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Guide" sheetId="2" state="visible" r:id="rId2"/>
    <sheet xmlns:r="http://schemas.openxmlformats.org/officeDocument/2006/relationships" name="System_Map" sheetId="3" state="visible" r:id="rId3"/>
    <sheet xmlns:r="http://schemas.openxmlformats.org/officeDocument/2006/relationships" name="User_Manual" sheetId="4" state="visible" r:id="rId4"/>
    <sheet xmlns:r="http://schemas.openxmlformats.org/officeDocument/2006/relationships" name="Settings" sheetId="5" state="visible" r:id="rId5"/>
    <sheet xmlns:r="http://schemas.openxmlformats.org/officeDocument/2006/relationships" name="Lists" sheetId="6" state="visible" r:id="rId6"/>
    <sheet xmlns:r="http://schemas.openxmlformats.org/officeDocument/2006/relationships" name="COA" sheetId="7" state="visible" r:id="rId7"/>
    <sheet xmlns:r="http://schemas.openxmlformats.org/officeDocument/2006/relationships" name="Locations" sheetId="8" state="visible" r:id="rId8"/>
    <sheet xmlns:r="http://schemas.openxmlformats.org/officeDocument/2006/relationships" name="Treasuries" sheetId="9" state="visible" r:id="rId9"/>
    <sheet xmlns:r="http://schemas.openxmlformats.org/officeDocument/2006/relationships" name="Users" sheetId="10" state="visible" r:id="rId10"/>
    <sheet xmlns:r="http://schemas.openxmlformats.org/officeDocument/2006/relationships" name="Permissions" sheetId="11" state="visible" r:id="rId11"/>
    <sheet xmlns:r="http://schemas.openxmlformats.org/officeDocument/2006/relationships" name="Suppliers" sheetId="12" state="visible" r:id="rId12"/>
    <sheet xmlns:r="http://schemas.openxmlformats.org/officeDocument/2006/relationships" name="Customers" sheetId="13" state="visible" r:id="rId13"/>
    <sheet xmlns:r="http://schemas.openxmlformats.org/officeDocument/2006/relationships" name="Employees" sheetId="14" state="visible" r:id="rId14"/>
    <sheet xmlns:r="http://schemas.openxmlformats.org/officeDocument/2006/relationships" name="Items" sheetId="15" state="visible" r:id="rId15"/>
    <sheet xmlns:r="http://schemas.openxmlformats.org/officeDocument/2006/relationships" name="Units" sheetId="16" state="visible" r:id="rId16"/>
    <sheet xmlns:r="http://schemas.openxmlformats.org/officeDocument/2006/relationships" name="Unit_Conversions" sheetId="17" state="visible" r:id="rId17"/>
    <sheet xmlns:r="http://schemas.openxmlformats.org/officeDocument/2006/relationships" name="Unit_Converter" sheetId="18" state="visible" r:id="rId18"/>
    <sheet xmlns:r="http://schemas.openxmlformats.org/officeDocument/2006/relationships" name="Payment_Methods" sheetId="19" state="visible" r:id="rId19"/>
    <sheet xmlns:r="http://schemas.openxmlformats.org/officeDocument/2006/relationships" name="Cost_Centers" sheetId="20" state="visible" r:id="rId20"/>
    <sheet xmlns:r="http://schemas.openxmlformats.org/officeDocument/2006/relationships" name="Tax_Settings" sheetId="21" state="visible" r:id="rId21"/>
    <sheet xmlns:r="http://schemas.openxmlformats.org/officeDocument/2006/relationships" name="Doc_Numbering" sheetId="22" state="visible" r:id="rId22"/>
    <sheet xmlns:r="http://schemas.openxmlformats.org/officeDocument/2006/relationships" name="Doc_Register" sheetId="23" state="visible" r:id="rId23"/>
    <sheet xmlns:r="http://schemas.openxmlformats.org/officeDocument/2006/relationships" name="Doc_Cancel_Rules" sheetId="24" state="visible" r:id="rId24"/>
    <sheet xmlns:r="http://schemas.openxmlformats.org/officeDocument/2006/relationships" name="Sales_Daily" sheetId="25" state="visible" r:id="rId25"/>
    <sheet xmlns:r="http://schemas.openxmlformats.org/officeDocument/2006/relationships" name="Platform_Settlements" sheetId="26" state="visible" r:id="rId26"/>
    <sheet xmlns:r="http://schemas.openxmlformats.org/officeDocument/2006/relationships" name="Daily_Recon" sheetId="27" state="visible" r:id="rId27"/>
    <sheet xmlns:r="http://schemas.openxmlformats.org/officeDocument/2006/relationships" name="Cash_Vouchers" sheetId="28" state="visible" r:id="rId28"/>
    <sheet xmlns:r="http://schemas.openxmlformats.org/officeDocument/2006/relationships" name="Cash_Close" sheetId="29" state="visible" r:id="rId29"/>
    <sheet xmlns:r="http://schemas.openxmlformats.org/officeDocument/2006/relationships" name="Treasury_Balances" sheetId="30" state="visible" r:id="rId30"/>
    <sheet xmlns:r="http://schemas.openxmlformats.org/officeDocument/2006/relationships" name="Cash_Flow" sheetId="31" state="visible" r:id="rId31"/>
    <sheet xmlns:r="http://schemas.openxmlformats.org/officeDocument/2006/relationships" name="Supplier_Invoices" sheetId="32" state="visible" r:id="rId32"/>
    <sheet xmlns:r="http://schemas.openxmlformats.org/officeDocument/2006/relationships" name="Supplier_Payments" sheetId="33" state="visible" r:id="rId33"/>
    <sheet xmlns:r="http://schemas.openxmlformats.org/officeDocument/2006/relationships" name="Supplier_Balances" sheetId="34" state="visible" r:id="rId34"/>
    <sheet xmlns:r="http://schemas.openxmlformats.org/officeDocument/2006/relationships" name="Customer_Balances" sheetId="35" state="visible" r:id="rId35"/>
    <sheet xmlns:r="http://schemas.openxmlformats.org/officeDocument/2006/relationships" name="Expenses" sheetId="36" state="visible" r:id="rId36"/>
    <sheet xmlns:r="http://schemas.openxmlformats.org/officeDocument/2006/relationships" name="Manual_JE" sheetId="37" state="visible" r:id="rId37"/>
    <sheet xmlns:r="http://schemas.openxmlformats.org/officeDocument/2006/relationships" name="Posting_Rules" sheetId="38" state="visible" r:id="rId38"/>
    <sheet xmlns:r="http://schemas.openxmlformats.org/officeDocument/2006/relationships" name="GL_Journal" sheetId="39" state="visible" r:id="rId39"/>
    <sheet xmlns:r="http://schemas.openxmlformats.org/officeDocument/2006/relationships" name="GL_Ledger" sheetId="40" state="visible" r:id="rId40"/>
    <sheet xmlns:r="http://schemas.openxmlformats.org/officeDocument/2006/relationships" name="Trial_Balance" sheetId="41" state="visible" r:id="rId41"/>
    <sheet xmlns:r="http://schemas.openxmlformats.org/officeDocument/2006/relationships" name="Income_Statement" sheetId="42" state="visible" r:id="rId42"/>
    <sheet xmlns:r="http://schemas.openxmlformats.org/officeDocument/2006/relationships" name="Balance_Sheet" sheetId="43" state="visible" r:id="rId43"/>
    <sheet xmlns:r="http://schemas.openxmlformats.org/officeDocument/2006/relationships" name="Close_Checklist" sheetId="44" state="visible" r:id="rId44"/>
    <sheet xmlns:r="http://schemas.openxmlformats.org/officeDocument/2006/relationships" name="Close_Confirm" sheetId="45" state="visible" r:id="rId45"/>
    <sheet xmlns:r="http://schemas.openxmlformats.org/officeDocument/2006/relationships" name="Period_Close" sheetId="46" state="visible" r:id="rId46"/>
    <sheet xmlns:r="http://schemas.openxmlformats.org/officeDocument/2006/relationships" name="Audit_Log" sheetId="47" state="visible" r:id="rId47"/>
    <sheet xmlns:r="http://schemas.openxmlformats.org/officeDocument/2006/relationships" name="Test_Cases" sheetId="48" state="visible" r:id="rId48"/>
    <sheet xmlns:r="http://schemas.openxmlformats.org/officeDocument/2006/relationships" name="JE_Guide" sheetId="49" state="visible" r:id="rId49"/>
    <sheet xmlns:r="http://schemas.openxmlformats.org/officeDocument/2006/relationships" name="Forms_Catalog" sheetId="50" state="visible" r:id="rId50"/>
    <sheet xmlns:r="http://schemas.openxmlformats.org/officeDocument/2006/relationships" name="Glossary" sheetId="51" state="visible" r:id="rId51"/>
    <sheet xmlns:r="http://schemas.openxmlformats.org/officeDocument/2006/relationships" name="Known_Issues" sheetId="52" state="visible" r:id="rId52"/>
    <sheet xmlns:r="http://schemas.openxmlformats.org/officeDocument/2006/relationships" name="Roadmap" sheetId="53" state="visible" r:id="rId53"/>
    <sheet xmlns:r="http://schemas.openxmlformats.org/officeDocument/2006/relationships" name="Open_Questions" sheetId="54" state="visible" r:id="rId54"/>
    <sheet xmlns:r="http://schemas.openxmlformats.org/officeDocument/2006/relationships" name="Expansion_Guide" sheetId="55" state="visible" r:id="rId55"/>
    <sheet xmlns:r="http://schemas.openxmlformats.org/officeDocument/2006/relationships" name="PR" sheetId="56" state="visible" r:id="rId56"/>
    <sheet xmlns:r="http://schemas.openxmlformats.org/officeDocument/2006/relationships" name="Quotations" sheetId="57" state="visible" r:id="rId57"/>
    <sheet xmlns:r="http://schemas.openxmlformats.org/officeDocument/2006/relationships" name="PO" sheetId="58" state="visible" r:id="rId58"/>
    <sheet xmlns:r="http://schemas.openxmlformats.org/officeDocument/2006/relationships" name="GRN" sheetId="59" state="visible" r:id="rId59"/>
    <sheet xmlns:r="http://schemas.openxmlformats.org/officeDocument/2006/relationships" name="Inventory_Moves" sheetId="60" state="visible" r:id="rId60"/>
    <sheet xmlns:r="http://schemas.openxmlformats.org/officeDocument/2006/relationships" name="Stock_Count" sheetId="61" state="visible" r:id="rId61"/>
    <sheet xmlns:r="http://schemas.openxmlformats.org/officeDocument/2006/relationships" name="Recipes" sheetId="62" state="visible" r:id="rId62"/>
    <sheet xmlns:r="http://schemas.openxmlformats.org/officeDocument/2006/relationships" name="Production" sheetId="63" state="visible" r:id="rId63"/>
    <sheet xmlns:r="http://schemas.openxmlformats.org/officeDocument/2006/relationships" name="Payroll" sheetId="64" state="visible" r:id="rId64"/>
    <sheet xmlns:r="http://schemas.openxmlformats.org/officeDocument/2006/relationships" name="Fixed_Assets" sheetId="65" state="visible" r:id="rId65"/>
    <sheet xmlns:r="http://schemas.openxmlformats.org/officeDocument/2006/relationships" name="Advances_Custody" sheetId="66" state="visible" r:id="rId66"/>
  </sheets>
  <definedNames>
    <definedName name="LST_LOC">Locations!$A$5:$A$34</definedName>
    <definedName name="LST_TRE">Treasuries!$A$5:$A$34</definedName>
    <definedName name="LST_PM">Payment_Methods!$A$5:$A$19</definedName>
    <definedName name="LST_CC">Cost_Centers!$A$5:$A$34</definedName>
    <definedName name="LST_SUP">Suppliers!$A$5:$A$154</definedName>
    <definedName name="LST_CUS">Customers!$A$5:$A$104</definedName>
    <definedName name="LST_EMP">Employees!$A$5:$A$104</definedName>
    <definedName name="LST_ACCT">COA!$A$5:$A$254</definedName>
    <definedName name="LST_USER">Users!$B$5:$B$44</definedName>
    <definedName name="LST_UNIT">Units!$A$5:$A$34</definedName>
    <definedName name="LST_ITEM">Items!$A$5:$A$304</definedName>
    <definedName name="ST_DRAFT">Lists!$A$5</definedName>
    <definedName name="ST_APPR">Lists!$A$6</definedName>
    <definedName name="ST_POST">Lists!$A$7</definedName>
    <definedName name="ST_REV">Lists!$A$8</definedName>
    <definedName name="ST_CANC">Lists!$A$9</definedName>
    <definedName name="LST_STATUS">Lists!$A$5:$A$9</definedName>
    <definedName name="LST_VTYPE">Lists!$E$5:$E$11</definedName>
    <definedName name="LST_ITYPE">Lists!$J$5:$J$7</definedName>
    <definedName name="LST_EMODE">Lists!$N$5:$N$6</definedName>
    <definedName name="LST_YN">Lists!$R$5:$R$6</definedName>
    <definedName name="LST_CATS">Lists!$T$5:$T$8</definedName>
    <definedName name="LST_JETYPE">Lists!$W$5:$W$14</definedName>
    <definedName name="LST_RSN">Lists!$Y$5:$Y$13</definedName>
    <definedName name="LST_RES">Lists!$AA$5:$AA$7</definedName>
    <definedName name="LST_CF">Lists!$AC$5:$AC$9</definedName>
    <definedName name="LST_TTYPE">Lists!$AF$5:$AF$7</definedName>
    <definedName name="LST_LTYPE">Lists!$AH$5:$AH$8</definedName>
    <definedName name="LST_ATYPE">Lists!$AJ$5:$AJ$10</definedName>
    <definedName name="LST_PMTYPE">Lists!$AM$5:$AM$8</definedName>
    <definedName name="LST_ROLE">Lists!$AO$5:$AO$14</definedName>
    <definedName name="S_FYStart">Settings!$C$8</definedName>
    <definedName name="S_From">Settings!$C$9</definedName>
    <definedName name="S_To">Settings!$C$10</definedName>
    <definedName name="S_Branch">Settings!$C$11</definedName>
    <definedName name="S_CC">Settings!$C$12</definedName>
    <definedName name="S_PeriodID">Settings!$C$13</definedName>
    <definedName name="S_PFrom">Settings!$C$14</definedName>
    <definedName name="S_PTo">Settings!$C$15</definedName>
    <definedName name="S_CogsMethod">Settings!$C$16</definedName>
    <definedName name="S_Tol">Settings!$C$17</definedName>
    <definedName name="S_PlatDays">Settings!$C$18</definedName>
    <definedName name="S_CashTol">Settings!$C$19</definedName>
    <definedName name="S_Mode">Settings!$C$20</definedName>
    <definedName name="S_VATOn">Tax_Settings!$C$5</definedName>
    <definedName name="S_VATRate">Tax_Settings!$C$6</definedName>
    <definedName name="S_VATF">Tax_Settings!$C$7</definedName>
    <definedName name="LG_Acct">GL_Ledger!$B$4</definedName>
    <definedName name="LG_Party">GL_Ledger!$B$5</definedName>
    <definedName name="LG_Loc">GL_Ledger!$B$6</definedName>
    <definedName name="LG_CC">GL_Ledger!$B$7</definedName>
    <definedName name="LG_From">GL_Ledger!$B$8</definedName>
    <definedName name="LG_To">GL_Ledger!$B$9</definedName>
    <definedName name="LG_Open">GL_Ledger!$E$5</definedName>
    <definedName name="TB_From">Trial_Balance!$C$4</definedName>
    <definedName name="TB_To">Trial_Balance!$C$5</definedName>
    <definedName name="TB_Branch">Trial_Balance!$C$6</definedName>
    <definedName name="TB_CC">Trial_Balance!$C$7</definedName>
    <definedName name="TB_LOCC">Trial_Balance!$E$4</definedName>
    <definedName name="TB_CCC">Trial_Balance!$E$5</definedName>
    <definedName name="TB_Diff">Trial_Balance!$H$10</definedName>
    <definedName name="TB_Status">Trial_Balance!$C$11</definedName>
    <definedName name="GL_TotalDiff">Trial_Balance!$C$12</definedName>
    <definedName name="TR_From">Treasury_Balances!$B$4</definedName>
    <definedName name="TR_To">Treasury_Balances!$B$5</definedName>
    <definedName name="TR_Day">Treasury_Balances!$B$6</definedName>
    <definedName name="TR_TotalCash">Treasury_Balances!$E$4</definedName>
    <definedName name="TR_Negative">Treasury_Balances!$E$5</definedName>
    <definedName name="SB_From">Supplier_Balances!$B$4</definedName>
    <definedName name="SB_To">Supplier_Balances!$B$5</definedName>
    <definedName name="SB_Total">Supplier_Balances!$E$4</definedName>
    <definedName name="SB_GL">Supplier_Balances!$E$5</definedName>
    <definedName name="SB_Diff">Supplier_Balances!$E$6</definedName>
    <definedName name="SB_Negative">Supplier_Balances!$E$7</definedName>
    <definedName name="SB_Overdue">Supplier_Balances!$E$8</definedName>
    <definedName name="CB_To">Customer_Balances!$B$4</definedName>
    <definedName name="CB_Diff">Customer_Balances!$E$6</definedName>
    <definedName name="ACC_DISC">Posting_Rules!$B$5</definedName>
    <definedName name="ACC_RET">Posting_Rules!$B$6</definedName>
    <definedName name="ACC_VAT_OUT">Posting_Rules!$B$7</definedName>
    <definedName name="ACC_VAT_IN">Posting_Rules!$B$8</definedName>
    <definedName name="ACC_SUPPLIERS">Posting_Rules!$B$9</definedName>
    <definedName name="ACC_CUSTOMERS">Posting_Rules!$B$10</definedName>
    <definedName name="ACC_ACCRUED">Posting_Rules!$B$11</definedName>
    <definedName name="ACC_SUSPENSE">Posting_Rules!$B$12</definedName>
    <definedName name="ACC_CASH_SHORT">Posting_Rules!$B$13</definedName>
    <definedName name="ACC_CASH_OVER">Posting_Rules!$B$14</definedName>
    <definedName name="ACC_PLT_DIFF">Posting_Rules!$B$15</definedName>
    <definedName name="ACC_PLT_OTHER">Posting_Rules!$B$16</definedName>
    <definedName name="ACC_ADVANCES">Posting_Rules!$B$17</definedName>
    <definedName name="ACC_CAPITAL">Posting_Rules!$B$18</definedName>
    <definedName name="ACC_INCSUM">Posting_Rules!$B$19</definedName>
    <definedName name="ACC_RE">Posting_Rules!$B$20</definedName>
    <definedName name="ACC_COGS">Posting_Rules!$B$21</definedName>
    <definedName name="ACC_INV_MAIN">Posting_Rules!$B$22</definedName>
    <definedName name="IS_From">Income_Statement!$B$4</definedName>
    <definedName name="IS_To">Income_Statement!$B$5</definedName>
    <definedName name="IS_Branch">Income_Statement!$B$6</definedName>
    <definedName name="IS_CC">Income_Statement!$B$7</definedName>
    <definedName name="IS_LOCC">Income_Statement!$E$4</definedName>
    <definedName name="IS_CCC">Income_Statement!$E$5</definedName>
    <definedName name="IS_Banner">Income_Statement!$B$8</definedName>
    <definedName name="IS_NetSales">Income_Statement!$E$20</definedName>
    <definedName name="IS_GrossSales">Income_Statement!$E$17</definedName>
    <definedName name="IS_COGS">Income_Statement!$E$26</definedName>
    <definedName name="IS_GrossProfit">Income_Statement!$E$27</definedName>
    <definedName name="IS_OpEx">Income_Statement!$E$38</definedName>
    <definedName name="IS_OpProfit">Income_Statement!$E$39</definedName>
    <definedName name="IS_NetProfit">Income_Statement!$E$41</definedName>
    <definedName name="IS_NetSales_P">Income_Statement!$G$20</definedName>
    <definedName name="IS_GrossProfit_P">Income_Statement!$G$27</definedName>
    <definedName name="IS_NetProfit_P">Income_Statement!$G$41</definedName>
    <definedName name="IS_OpEx_P">Income_Statement!$G$38</definedName>
    <definedName name="BS_AsOf">Balance_Sheet!$B$4</definedName>
    <definedName name="BS_Diff">Balance_Sheet!$D$34</definedName>
    <definedName name="BS_TotalAssets">Balance_Sheet!$D$17</definedName>
    <definedName name="BS_TotalLiab">Balance_Sheet!$D$24</definedName>
    <definedName name="BS_TotalEquity">Balance_Sheet!$D$32</definedName>
    <definedName name="CF_From">Cash_Flow!$B$4</definedName>
    <definedName name="CF_To">Cash_Flow!$B$5</definedName>
    <definedName name="CF_Diff">Cash_Flow!$B$21</definedName>
    <definedName name="CF_InternalNet">Cash_Flow!$B$22</definedName>
    <definedName name="CF_Net">Cash_Flow!$G$15</definedName>
    <definedName name="CF_Operating">Cash_Flow!$B$15</definedName>
    <definedName name="CK_Critical">Close_Checklist!$B$5</definedName>
    <definedName name="CK_Review">Close_Checklist!$B$6</definedName>
    <definedName name="CK_Drafts">Close_Checklist!$D$11</definedName>
    <definedName name="CK_Approved">Close_Checklist!$D$12</definedName>
    <definedName name="CK_DocDup">Close_Checklist!$D$14</definedName>
    <definedName name="CK_InvDup">Close_Checklist!$D$15</definedName>
    <definedName name="CK_ReconOpen">Close_Checklist!$D$26</definedName>
    <definedName name="CK_NoRecon">Close_Checklist!$D$27</definedName>
    <definedName name="CK_CashOpen">Close_Checklist!$D$29</definedName>
    <definedName name="CK_Stale">Close_Checklist!$D$33</definedName>
    <definedName name="CK_Susp">Close_Checklist!$D$31</definedName>
    <definedName name="CK_Errs">Close_Checklist!$D$10</definedName>
    <definedName name="CK_NoRef">Close_Checklist!$D$40</definedName>
    <definedName name="CK_CogsMissing">Close_Checklist!$D$34</definedName>
    <definedName name="CK_Unbal">Close_Checklist!$D$16</definedName>
    <definedName name="CK_NegCash">Close_Checklist!$D$30</definedName>
    <definedName name="CK_ManualOpen">Close_Checklist!$D$43</definedName>
    <definedName name="_xlnm._FilterDatabase" localSheetId="1" hidden="1">'Guide'!$A$4:$F$37</definedName>
    <definedName name="_xlnm._FilterDatabase" localSheetId="2" hidden="1">'System_Map'!$A$4:$H$21</definedName>
    <definedName name="_xlnm._FilterDatabase" localSheetId="3" hidden="1">'User_Manual'!$A$4:$J$18</definedName>
    <definedName name="_xlnm._FilterDatabase" localSheetId="6" hidden="1">'COA'!$A$4:$T$254</definedName>
    <definedName name="_xlnm._FilterDatabase" localSheetId="7" hidden="1">'Locations'!$A$4:$K$34</definedName>
    <definedName name="_xlnm._FilterDatabase" localSheetId="8" hidden="1">'Treasuries'!$A$4:$J$34</definedName>
    <definedName name="_xlnm._FilterDatabase" localSheetId="9" hidden="1">'Users'!$A$4:$H$44</definedName>
    <definedName name="_xlnm._FilterDatabase" localSheetId="10" hidden="1">'Permissions'!$A$4:$I$14</definedName>
    <definedName name="_xlnm._FilterDatabase" localSheetId="11" hidden="1">'Suppliers'!$A$4:$J$154</definedName>
    <definedName name="_xlnm._FilterDatabase" localSheetId="12" hidden="1">'Customers'!$A$4:$H$104</definedName>
    <definedName name="_xlnm._FilterDatabase" localSheetId="13" hidden="1">'Employees'!$A$4:$K$104</definedName>
    <definedName name="_xlnm._FilterDatabase" localSheetId="14" hidden="1">'Items'!$A$4:$L$304</definedName>
    <definedName name="_xlnm._FilterDatabase" localSheetId="15" hidden="1">'Units'!$A$4:$E$34</definedName>
    <definedName name="_xlnm._FilterDatabase" localSheetId="16" hidden="1">'Unit_Conversions'!$A$4:$H$64</definedName>
    <definedName name="_xlnm._FilterDatabase" localSheetId="17" hidden="1">'Unit_Converter'!$A$4:$G$44</definedName>
    <definedName name="_xlnm._FilterDatabase" localSheetId="18" hidden="1">'Payment_Methods'!$A$4:$O$19</definedName>
    <definedName name="_xlnm._FilterDatabase" localSheetId="19" hidden="1">'Cost_Centers'!$A$4:$E$34</definedName>
    <definedName name="_xlnm._FilterDatabase" localSheetId="21" hidden="1">'Doc_Numbering'!$A$4:$H$44</definedName>
    <definedName name="_xlnm._FilterDatabase" localSheetId="22" hidden="1">'Doc_Register'!$A$4:$I$436</definedName>
    <definedName name="_xlnm._FilterDatabase" localSheetId="23" hidden="1">'Doc_Cancel_Rules'!$A$4:$B$10</definedName>
    <definedName name="_xlnm._FilterDatabase" localSheetId="24" hidden="1">'Sales_Daily'!$A$4:$AY$60</definedName>
    <definedName name="_xlnm._FilterDatabase" localSheetId="25" hidden="1">'Platform_Settlements'!$A$4:$AA$20</definedName>
    <definedName name="_xlnm._FilterDatabase" localSheetId="26" hidden="1">'Daily_Recon'!$A$4:$M$64</definedName>
    <definedName name="_xlnm._FilterDatabase" localSheetId="27" hidden="1">'Cash_Vouchers'!$A$4:$AM$84</definedName>
    <definedName name="_xlnm._FilterDatabase" localSheetId="28" hidden="1">'Cash_Close'!$A$4:$P$44</definedName>
    <definedName name="_xlnm._FilterDatabase" localSheetId="29" hidden="1">'Treasury_Balances'!$A$8:$L$38</definedName>
    <definedName name="_xlnm._FilterDatabase" localSheetId="31" hidden="1">'Supplier_Invoices'!$A$4:$AG$84</definedName>
    <definedName name="_xlnm._FilterDatabase" localSheetId="32" hidden="1">'Supplier_Payments'!$A$4:$V$64</definedName>
    <definedName name="_xlnm._FilterDatabase" localSheetId="33" hidden="1">'Supplier_Balances'!$A$10:$M$160</definedName>
    <definedName name="_xlnm._FilterDatabase" localSheetId="34" hidden="1">'Customer_Balances'!$A$8:$E$108</definedName>
    <definedName name="_xlnm._FilterDatabase" localSheetId="35" hidden="1">'Expenses'!$A$4:$AE$84</definedName>
    <definedName name="_xlnm._FilterDatabase" localSheetId="36" hidden="1">'Manual_JE'!$A$4:$AG$64</definedName>
    <definedName name="_xlnm._FilterDatabase" localSheetId="38" hidden="1">'GL_Journal'!$A$4:$AF$1808</definedName>
    <definedName name="_xlnm._FilterDatabase" localSheetId="39" hidden="1">'GL_Ledger'!$A$12:$Q$512</definedName>
    <definedName name="_xlnm._FilterDatabase" localSheetId="40" hidden="1">'Trial_Balance'!$A$14:$M$264</definedName>
    <definedName name="_xlnm._FilterDatabase" localSheetId="43" hidden="1">'Close_Checklist'!$A$9:$H$56</definedName>
    <definedName name="_xlnm._FilterDatabase" localSheetId="44" hidden="1">'Close_Confirm'!$A$4:$G$304</definedName>
    <definedName name="_xlnm._FilterDatabase" localSheetId="45" hidden="1">'Period_Close'!$A$4:$P$64</definedName>
    <definedName name="_xlnm._FilterDatabase" localSheetId="46" hidden="1">'Audit_Log'!$A$4:$I$404</definedName>
    <definedName name="_xlnm._FilterDatabase" localSheetId="48" hidden="1">'JE_Guide'!$A$4:$N$43</definedName>
    <definedName name="_xlnm._FilterDatabase" localSheetId="49" hidden="1">'Forms_Catalog'!$A$4:$H$34</definedName>
    <definedName name="_xlnm._FilterDatabase" localSheetId="50" hidden="1">'Glossary'!$A$4:$D$21</definedName>
    <definedName name="_xlnm._FilterDatabase" localSheetId="51" hidden="1">'Known_Issues'!$A$4:$E$18</definedName>
    <definedName name="_xlnm._FilterDatabase" localSheetId="52" hidden="1">'Roadmap'!$A$4:$B$8</definedName>
    <definedName name="_xlnm._FilterDatabase" localSheetId="53" hidden="1">'Open_Questions'!$A$4:$B$12</definedName>
    <definedName name="_xlnm._FilterDatabase" localSheetId="54" hidden="1">'Expansion_Guide'!$A$4:$D$14</definedName>
    <definedName name="_xlnm._FilterDatabase" localSheetId="55" hidden="1">'PR'!$A$4:$J$44</definedName>
    <definedName name="_xlnm._FilterDatabase" localSheetId="56" hidden="1">'Quotations'!$A$4:$J$44</definedName>
    <definedName name="_xlnm._FilterDatabase" localSheetId="57" hidden="1">'PO'!$A$4:$K$44</definedName>
    <definedName name="_xlnm._FilterDatabase" localSheetId="58" hidden="1">'GRN'!$A$4:$J$44</definedName>
    <definedName name="_xlnm._FilterDatabase" localSheetId="59" hidden="1">'Inventory_Moves'!$A$4:$M$44</definedName>
    <definedName name="_xlnm._FilterDatabase" localSheetId="60" hidden="1">'Stock_Count'!$A$4:$J$44</definedName>
    <definedName name="_xlnm._FilterDatabase" localSheetId="61" hidden="1">'Recipes'!$A$4:$K$44</definedName>
    <definedName name="_xlnm._FilterDatabase" localSheetId="62" hidden="1">'Production'!$A$4:$J$44</definedName>
    <definedName name="_xlnm._FilterDatabase" localSheetId="63" hidden="1">'Payroll'!$A$4:$L$44</definedName>
    <definedName name="_xlnm._FilterDatabase" localSheetId="64" hidden="1">'Fixed_Assets'!$A$4:$K$44</definedName>
    <definedName name="_xlnm._FilterDatabase" localSheetId="65" hidden="1">'Advances_Custody'!$A$4:$I$44</definedName>
  </definedNames>
  <calcPr calcId="124519" fullCalcOnLoad="1"/>
</workbook>
</file>

<file path=xl/styles.xml><?xml version="1.0" encoding="utf-8"?>
<styleSheet xmlns="http://schemas.openxmlformats.org/spreadsheetml/2006/main">
  <numFmts count="6">
    <numFmt numFmtId="164" formatCode="yyyy-mm-dd"/>
    <numFmt numFmtId="165" formatCode="0.0%"/>
    <numFmt numFmtId="166" formatCode="#,##0.00;[Red]-#,##0.00"/>
    <numFmt numFmtId="167" formatCode="#,##0.####"/>
    <numFmt numFmtId="168" formatCode="#,##0.##"/>
    <numFmt numFmtId="169" formatCode="#,##0;[Red]-#,##0"/>
  </numFmts>
  <fonts count="20">
    <font>
      <name val="Calibri"/>
      <family val="2"/>
      <color theme="1"/>
      <sz val="11"/>
      <scheme val="minor"/>
    </font>
    <font>
      <name val="Tahoma"/>
      <b val="1"/>
      <color rgb="00FFFFFF"/>
      <sz val="14"/>
    </font>
    <font>
      <name val="Tahoma"/>
      <i val="1"/>
      <sz val="9"/>
    </font>
    <font>
      <name val="Tahoma"/>
      <b val="1"/>
      <color rgb="00FFFFFF"/>
      <sz val="10"/>
    </font>
    <font>
      <name val="Tahoma"/>
      <sz val="10"/>
    </font>
    <font>
      <name val="Tahoma"/>
      <b val="1"/>
    </font>
    <font>
      <name val="Tahoma"/>
      <b val="1"/>
      <sz val="10"/>
    </font>
    <font>
      <name val="Tahoma"/>
      <color rgb="00404040"/>
      <sz val="9"/>
    </font>
    <font>
      <name val="Tahoma"/>
      <b val="1"/>
      <color rgb="00C00000"/>
      <sz val="9"/>
    </font>
    <font>
      <name val="Tahoma"/>
      <sz val="9"/>
    </font>
    <font>
      <name val="Tahoma"/>
      <i val="1"/>
      <color rgb="00404040"/>
      <sz val="9"/>
    </font>
    <font>
      <name val="Tahoma"/>
      <b val="1"/>
      <sz val="9"/>
    </font>
    <font>
      <name val="Tahoma"/>
      <b val="1"/>
      <color rgb="00FFFFFF"/>
    </font>
    <font>
      <name val="Tahoma"/>
      <b val="1"/>
      <sz val="12"/>
    </font>
    <font>
      <name val="Tahoma"/>
      <b val="1"/>
      <color rgb="00FFFFFF"/>
      <sz val="18"/>
    </font>
    <font>
      <name val="Tahoma"/>
      <b val="1"/>
      <sz val="11"/>
    </font>
    <font>
      <name val="Tahoma"/>
      <b val="1"/>
      <color rgb="00404040"/>
      <sz val="9"/>
    </font>
    <font>
      <name val="Tahoma"/>
      <b val="1"/>
      <color rgb="000B4F5C"/>
      <sz val="16"/>
    </font>
    <font>
      <name val="Tahoma"/>
      <color rgb="00595959"/>
      <sz val="8"/>
    </font>
    <font>
      <name val="Tahoma"/>
      <b val="1"/>
      <color rgb="000B4F5C"/>
      <sz val="11"/>
    </font>
  </fonts>
  <fills count="11">
    <fill>
      <patternFill/>
    </fill>
    <fill>
      <patternFill patternType="gray125"/>
    </fill>
    <fill>
      <patternFill patternType="solid">
        <fgColor rgb="000B4F5C"/>
      </patternFill>
    </fill>
    <fill>
      <patternFill patternType="solid">
        <fgColor rgb="001F4E78"/>
      </patternFill>
    </fill>
    <fill>
      <patternFill patternType="solid">
        <fgColor rgb="00FFF8E1"/>
      </patternFill>
    </fill>
    <fill>
      <patternFill patternType="solid">
        <fgColor rgb="00F2F2F2"/>
      </patternFill>
    </fill>
    <fill>
      <patternFill patternType="solid">
        <fgColor rgb="00595959"/>
      </patternFill>
    </fill>
    <fill>
      <patternFill patternType="solid">
        <fgColor rgb="00DCEBEF"/>
      </patternFill>
    </fill>
    <fill>
      <patternFill patternType="solid">
        <fgColor rgb="00E7F3F5"/>
      </patternFill>
    </fill>
    <fill>
      <patternFill patternType="solid">
        <fgColor rgb="00C5E0E6"/>
      </patternFill>
    </fill>
    <fill>
      <patternFill patternType="solid">
        <fgColor rgb="00FFFFFF"/>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80">
    <xf numFmtId="0" fontId="0" fillId="0" borderId="0" pivotButton="0" quotePrefix="0" xfId="0"/>
    <xf numFmtId="0" fontId="0" fillId="2" borderId="0" pivotButton="0" quotePrefix="0" xfId="0"/>
    <xf numFmtId="0" fontId="14" fillId="2" borderId="0" pivotButton="0" quotePrefix="0" xfId="0"/>
    <xf numFmtId="0" fontId="6" fillId="0" borderId="1" pivotButton="0" quotePrefix="0" xfId="0"/>
    <xf numFmtId="0" fontId="0" fillId="0" borderId="4" pivotButton="0" quotePrefix="0" xfId="0"/>
    <xf numFmtId="0" fontId="0" fillId="0" borderId="5" pivotButton="0" quotePrefix="0" xfId="0"/>
    <xf numFmtId="0" fontId="15" fillId="0" borderId="1" pivotButton="0" quotePrefix="0" xfId="0"/>
    <xf numFmtId="0" fontId="16" fillId="7" borderId="1" applyAlignment="1" pivotButton="0" quotePrefix="0" xfId="0">
      <alignment horizontal="center" vertical="center" wrapText="1"/>
    </xf>
    <xf numFmtId="0" fontId="0" fillId="0" borderId="1" pivotButton="0" quotePrefix="0" xfId="0"/>
    <xf numFmtId="4" fontId="17" fillId="10" borderId="1" applyAlignment="1" pivotButton="0" quotePrefix="0" xfId="0">
      <alignment horizontal="center" vertical="center"/>
    </xf>
    <xf numFmtId="3" fontId="17" fillId="10" borderId="1" applyAlignment="1" pivotButton="0" quotePrefix="0" xfId="0">
      <alignment horizontal="center" vertical="center"/>
    </xf>
    <xf numFmtId="0" fontId="18" fillId="0" borderId="1" applyAlignment="1" pivotButton="0" quotePrefix="0" xfId="0">
      <alignment horizontal="center"/>
    </xf>
    <xf numFmtId="165" fontId="17" fillId="10" borderId="1" applyAlignment="1" pivotButton="0" quotePrefix="0" xfId="0">
      <alignment horizontal="center" vertical="center"/>
    </xf>
    <xf numFmtId="0" fontId="19" fillId="7" borderId="0" pivotButton="0" quotePrefix="0" xfId="0"/>
    <xf numFmtId="0" fontId="0" fillId="7" borderId="0" pivotButton="0" quotePrefix="0" xfId="0"/>
    <xf numFmtId="0" fontId="11" fillId="7" borderId="0" pivotButton="0" quotePrefix="0" xfId="0"/>
    <xf numFmtId="0" fontId="9" fillId="0" borderId="1" pivotButton="0" quotePrefix="0" xfId="0"/>
    <xf numFmtId="166" fontId="9" fillId="0" borderId="1" pivotButton="0" quotePrefix="0" xfId="0"/>
    <xf numFmtId="0" fontId="11" fillId="7" borderId="0" applyAlignment="1" pivotButton="0" quotePrefix="0" xfId="0">
      <alignment horizontal="center" wrapText="1"/>
    </xf>
    <xf numFmtId="169" fontId="9" fillId="0" borderId="1" pivotButton="0" quotePrefix="0" xfId="0"/>
    <xf numFmtId="165" fontId="9" fillId="0" borderId="1" pivotButton="0" quotePrefix="0" xfId="0"/>
    <xf numFmtId="0" fontId="4" fillId="0" borderId="0" pivotButton="0" quotePrefix="0" xfId="0"/>
    <xf numFmtId="0" fontId="1" fillId="2" borderId="0" pivotButton="0" quotePrefix="0" xfId="0"/>
    <xf numFmtId="0" fontId="10" fillId="0" borderId="0" pivotButton="0" quotePrefix="0" xfId="0"/>
    <xf numFmtId="0" fontId="3" fillId="3" borderId="1" applyAlignment="1" pivotButton="0" quotePrefix="0" xfId="0">
      <alignment horizontal="center" vertical="center" wrapText="1"/>
    </xf>
    <xf numFmtId="0" fontId="4" fillId="0" borderId="1" applyAlignment="1" pivotButton="0" quotePrefix="0" xfId="0">
      <alignment vertical="top" wrapText="1"/>
    </xf>
    <xf numFmtId="0" fontId="2" fillId="0" borderId="0" pivotButton="0" quotePrefix="0" xfId="0"/>
    <xf numFmtId="0" fontId="5" fillId="0" borderId="0" pivotButton="0" quotePrefix="0" xfId="0"/>
    <xf numFmtId="0" fontId="6" fillId="0" borderId="0" pivotButton="0" quotePrefix="0" xfId="0"/>
    <xf numFmtId="0" fontId="4" fillId="4" borderId="1" applyProtection="1" pivotButton="0" quotePrefix="0" xfId="0">
      <protection locked="0" hidden="0"/>
    </xf>
    <xf numFmtId="0" fontId="7" fillId="0" borderId="0" pivotButton="0" quotePrefix="0" xfId="0"/>
    <xf numFmtId="164" fontId="4" fillId="4" borderId="1" applyProtection="1" pivotButton="0" quotePrefix="0" xfId="0">
      <protection locked="0" hidden="0"/>
    </xf>
    <xf numFmtId="0" fontId="4" fillId="5" borderId="1" pivotButton="0" quotePrefix="0" xfId="0"/>
    <xf numFmtId="164" fontId="4" fillId="5" borderId="1" pivotButton="0" quotePrefix="0" xfId="0"/>
    <xf numFmtId="0" fontId="3" fillId="3" borderId="1" applyAlignment="1" pivotButton="0" quotePrefix="0" xfId="0">
      <alignment horizontal="center" wrapText="1"/>
    </xf>
    <xf numFmtId="0" fontId="10" fillId="0" borderId="0" applyAlignment="1" pivotButton="0" quotePrefix="0" xfId="0">
      <alignment vertical="center"/>
    </xf>
    <xf numFmtId="0" fontId="11" fillId="4" borderId="1" pivotButton="0" quotePrefix="0" xfId="0"/>
    <xf numFmtId="0" fontId="11" fillId="5" borderId="1" pivotButton="0" quotePrefix="0" xfId="0"/>
    <xf numFmtId="0" fontId="3" fillId="6" borderId="1" applyAlignment="1" pivotButton="0" quotePrefix="0" xfId="0">
      <alignment horizontal="center" vertical="center" wrapText="1"/>
    </xf>
    <xf numFmtId="0" fontId="4" fillId="4" borderId="1" applyAlignment="1" applyProtection="1" pivotButton="0" quotePrefix="0" xfId="0">
      <alignment horizontal="center" vertical="center"/>
      <protection locked="0" hidden="0"/>
    </xf>
    <xf numFmtId="0" fontId="13" fillId="0" borderId="0" pivotButton="0" quotePrefix="0" xfId="0"/>
    <xf numFmtId="0" fontId="0" fillId="0" borderId="0" applyAlignment="1" pivotButton="0" quotePrefix="0" xfId="0">
      <alignment wrapText="1"/>
    </xf>
    <xf numFmtId="4" fontId="4" fillId="4" borderId="1" applyProtection="1" pivotButton="0" quotePrefix="0" xfId="0">
      <protection locked="0" hidden="0"/>
    </xf>
    <xf numFmtId="4" fontId="4" fillId="5" borderId="1" pivotButton="0" quotePrefix="0" xfId="0"/>
    <xf numFmtId="0" fontId="4" fillId="5" borderId="1" applyAlignment="1" pivotButton="0" quotePrefix="0" xfId="0">
      <alignment horizontal="center" vertical="center"/>
    </xf>
    <xf numFmtId="167" fontId="4" fillId="5" borderId="1" pivotButton="0" quotePrefix="0" xfId="0"/>
    <xf numFmtId="165" fontId="4" fillId="4" borderId="1" applyProtection="1" pivotButton="0" quotePrefix="0" xfId="0">
      <protection locked="0" hidden="0"/>
    </xf>
    <xf numFmtId="166" fontId="4" fillId="5" borderId="1" pivotButton="0" quotePrefix="0" xfId="0"/>
    <xf numFmtId="0" fontId="8" fillId="0" borderId="0" pivotButton="0" quotePrefix="0" xfId="0"/>
    <xf numFmtId="0" fontId="0" fillId="4" borderId="1" applyProtection="1" pivotButton="0" quotePrefix="0" xfId="0">
      <protection locked="0" hidden="0"/>
    </xf>
    <xf numFmtId="0" fontId="9" fillId="0" borderId="0" pivotButton="0" quotePrefix="0" xfId="0"/>
    <xf numFmtId="165" fontId="0" fillId="4" borderId="1" applyProtection="1" pivotButton="0" quotePrefix="0" xfId="0">
      <protection locked="0" hidden="0"/>
    </xf>
    <xf numFmtId="0" fontId="0" fillId="5" borderId="1" pivotButton="0" quotePrefix="0" xfId="0"/>
    <xf numFmtId="0" fontId="6" fillId="7" borderId="1" pivotButton="0" quotePrefix="0" xfId="0"/>
    <xf numFmtId="0" fontId="12" fillId="6" borderId="1" applyAlignment="1" pivotButton="0" quotePrefix="0" xfId="0">
      <alignment horizontal="center" wrapText="1"/>
    </xf>
    <xf numFmtId="166" fontId="0" fillId="0" borderId="1" pivotButton="0" quotePrefix="0" xfId="0"/>
    <xf numFmtId="166" fontId="5" fillId="8" borderId="1" pivotButton="0" quotePrefix="0" xfId="0"/>
    <xf numFmtId="0" fontId="12" fillId="3" borderId="1" pivotButton="0" quotePrefix="0" xfId="0"/>
    <xf numFmtId="0" fontId="12" fillId="3" borderId="1" applyAlignment="1" pivotButton="0" quotePrefix="0" xfId="0">
      <alignment horizontal="center" wrapText="1"/>
    </xf>
    <xf numFmtId="0" fontId="6" fillId="7" borderId="1" applyAlignment="1" pivotButton="0" quotePrefix="0" xfId="0">
      <alignment horizontal="center" vertical="center"/>
    </xf>
    <xf numFmtId="166" fontId="4" fillId="0" borderId="1" pivotButton="0" quotePrefix="0" xfId="0"/>
    <xf numFmtId="4" fontId="4" fillId="0" borderId="1" pivotButton="0" quotePrefix="0" xfId="0"/>
    <xf numFmtId="166" fontId="6" fillId="0" borderId="1" pivotButton="0" quotePrefix="0" xfId="0"/>
    <xf numFmtId="0" fontId="12" fillId="3" borderId="1" applyAlignment="1" pivotButton="0" quotePrefix="0" xfId="0">
      <alignment horizontal="center"/>
    </xf>
    <xf numFmtId="0" fontId="12" fillId="2" borderId="1" applyAlignment="1" pivotButton="0" quotePrefix="0" xfId="0">
      <alignment horizontal="center" wrapText="1"/>
    </xf>
    <xf numFmtId="0" fontId="4" fillId="0" borderId="1" pivotButton="0" quotePrefix="0" xfId="0"/>
    <xf numFmtId="165" fontId="0" fillId="0" borderId="1" pivotButton="0" quotePrefix="0" xfId="0"/>
    <xf numFmtId="0" fontId="6" fillId="8" borderId="1" pivotButton="0" quotePrefix="0" xfId="0"/>
    <xf numFmtId="0" fontId="6" fillId="8" borderId="0" pivotButton="0" quotePrefix="0" xfId="0"/>
    <xf numFmtId="166" fontId="6" fillId="8" borderId="1" pivotButton="0" quotePrefix="0" xfId="0"/>
    <xf numFmtId="165" fontId="6" fillId="8" borderId="1" pivotButton="0" quotePrefix="0" xfId="0"/>
    <xf numFmtId="0" fontId="6" fillId="9" borderId="1" pivotButton="0" quotePrefix="0" xfId="0"/>
    <xf numFmtId="0" fontId="6" fillId="9" borderId="0" pivotButton="0" quotePrefix="0" xfId="0"/>
    <xf numFmtId="166" fontId="6" fillId="9" borderId="1" pivotButton="0" quotePrefix="0" xfId="0"/>
    <xf numFmtId="165" fontId="6" fillId="9" borderId="1" pivotButton="0" quotePrefix="0" xfId="0"/>
    <xf numFmtId="0" fontId="12" fillId="6" borderId="1" applyAlignment="1" pivotButton="0" quotePrefix="0" xfId="0">
      <alignment horizontal="center"/>
    </xf>
    <xf numFmtId="0" fontId="0" fillId="8" borderId="0" pivotButton="0" quotePrefix="0" xfId="0"/>
    <xf numFmtId="168" fontId="0" fillId="5" borderId="1" pivotButton="0" quotePrefix="0" xfId="0"/>
    <xf numFmtId="0" fontId="0" fillId="0" borderId="1" applyAlignment="1" pivotButton="0" quotePrefix="0" xfId="0">
      <alignment wrapText="1"/>
    </xf>
    <xf numFmtId="1" fontId="4" fillId="5" borderId="1" pivotButton="0" quotePrefix="0" xfId="0"/>
  </cellXfs>
  <cellStyles count="1">
    <cellStyle name="Normal" xfId="0" builtinId="0" hidden="0"/>
  </cellStyles>
  <dxfs count="4">
    <dxf>
      <fill>
        <patternFill patternType="solid">
          <fgColor rgb="00FFE699"/>
          <bgColor rgb="00FFE699"/>
        </patternFill>
      </fill>
    </dxf>
    <dxf>
      <fill>
        <patternFill patternType="solid">
          <fgColor rgb="00C6E0B4"/>
          <bgColor rgb="00C6E0B4"/>
        </patternFill>
      </fill>
    </dxf>
    <dxf>
      <font>
        <b val="1"/>
        <color rgb="00C00000"/>
      </font>
    </dxf>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styles" Target="styles.xml" Id="rId67"/><Relationship Type="http://schemas.openxmlformats.org/officeDocument/2006/relationships/theme" Target="theme/theme1.xml" Id="rId6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صافي المبيعات حسب الفرع</a:t>
            </a:r>
          </a:p>
        </rich>
      </tx>
    </title>
    <plotArea>
      <barChart>
        <barDir val="col"/>
        <grouping val="clustered"/>
        <ser>
          <idx val="0"/>
          <order val="0"/>
          <tx>
            <strRef>
              <f>'Dashboard'!D36</f>
            </strRef>
          </tx>
          <spPr>
            <a:ln xmlns:a="http://schemas.openxmlformats.org/drawingml/2006/main">
              <a:prstDash val="solid"/>
            </a:ln>
          </spPr>
          <cat>
            <numRef>
              <f>'Dashboard'!$B$37:$B$42</f>
            </numRef>
          </cat>
          <val>
            <numRef>
              <f>'Dashboard'!$D$37:$D$42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المصروفات التشغيلية (الفترة الحالية)</a:t>
            </a:r>
          </a:p>
        </rich>
      </tx>
    </title>
    <plotArea>
      <barChart>
        <barDir val="bar"/>
        <grouping val="clustered"/>
        <ser>
          <idx val="0"/>
          <order val="0"/>
          <tx>
            <strRef>
              <f>'Dashboard'!E44</f>
            </strRef>
          </tx>
          <spPr>
            <a:ln xmlns:a="http://schemas.openxmlformats.org/drawingml/2006/main">
              <a:prstDash val="solid"/>
            </a:ln>
          </spPr>
          <cat>
            <numRef>
              <f>'Dashboard'!$B$45:$B$53</f>
            </numRef>
          </cat>
          <val>
            <numRef>
              <f>'Dashboard'!$E$45:$E$53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9</col>
      <colOff>0</colOff>
      <row>21</row>
      <rowOff>0</rowOff>
    </from>
    <ext cx="50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43</row>
      <rowOff>0</rowOff>
    </from>
    <ext cx="5040000" cy="2015999"/>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0B4F5C"/>
    <outlinePr summaryBelow="1" summaryRight="1"/>
    <pageSetUpPr/>
  </sheetPr>
  <dimension ref="A1:N69"/>
  <sheetViews>
    <sheetView showGridLines="0" rightToLeft="1" workbookViewId="0">
      <pane ySplit="3" topLeftCell="A4" activePane="bottomLeft" state="frozen"/>
      <selection pane="bottomLeft" activeCell="A1" sqref="A1"/>
    </sheetView>
  </sheetViews>
  <sheetFormatPr baseColWidth="8" defaultRowHeight="15"/>
  <cols>
    <col width="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ht="34" customHeight="1">
      <c r="A1" s="1" t="n"/>
      <c r="B1" s="2" t="inlineStr">
        <is>
          <t>لوحة التحكم الرئيسية - مطاعم ستاموني</t>
        </is>
      </c>
      <c r="C1" s="1" t="n"/>
      <c r="D1" s="1" t="n"/>
      <c r="E1" s="1" t="n"/>
      <c r="F1" s="1" t="n"/>
      <c r="G1" s="1" t="n"/>
      <c r="H1" s="1" t="n"/>
      <c r="I1" s="1" t="n"/>
      <c r="J1" s="1" t="n"/>
      <c r="K1" s="1" t="n"/>
      <c r="L1" s="1" t="n"/>
      <c r="M1" s="1" t="n"/>
      <c r="N1" s="1" t="n"/>
    </row>
    <row r="2">
      <c r="B2" s="3">
        <f>"الفترة: "&amp;YEAR(S_From)&amp;"-"&amp;TEXT(MONTH(S_From),"00")&amp;"-"&amp;TEXT(DAY(S_From),"00")&amp;" → "&amp;YEAR(S_To)&amp;"-"&amp;TEXT(MONTH(S_To),"00")&amp;"-"&amp;TEXT(DAY(S_To),"00")&amp;"   |   الفرع: "&amp;S_Branch&amp;"   |   وضع البيانات: "&amp;S_Mode&amp;"   |   العملة: EGP"</f>
        <v/>
      </c>
      <c r="C2" s="4" t="n"/>
      <c r="D2" s="4" t="n"/>
      <c r="E2" s="4" t="n"/>
      <c r="F2" s="4" t="n"/>
      <c r="G2" s="4" t="n"/>
      <c r="H2" s="4" t="n"/>
      <c r="I2" s="4" t="n"/>
      <c r="J2" s="4" t="n"/>
      <c r="K2" s="4" t="n"/>
      <c r="L2" s="4" t="n"/>
      <c r="M2" s="4" t="n"/>
      <c r="N2" s="5" t="n"/>
    </row>
    <row r="3">
      <c r="B3" s="6">
        <f>IS_Banner</f>
        <v/>
      </c>
      <c r="C3" s="4" t="n"/>
      <c r="D3" s="4" t="n"/>
      <c r="E3" s="4" t="n"/>
      <c r="F3" s="4" t="n"/>
      <c r="G3" s="4" t="n"/>
      <c r="H3" s="4" t="n"/>
      <c r="I3" s="4" t="n"/>
      <c r="J3" s="4" t="n"/>
      <c r="K3" s="4" t="n"/>
      <c r="L3" s="4" t="n"/>
      <c r="M3" s="4" t="n"/>
      <c r="N3" s="5" t="n"/>
    </row>
    <row r="5">
      <c r="B5" s="7" t="inlineStr">
        <is>
          <t>مبيعات آخر يوم مسجل</t>
        </is>
      </c>
      <c r="C5" s="8" t="n"/>
      <c r="D5" s="7" t="inlineStr">
        <is>
          <t>إجمالي مبيعات الفترة</t>
        </is>
      </c>
      <c r="E5" s="8" t="n"/>
      <c r="F5" s="7" t="inlineStr">
        <is>
          <t>صافي المبيعات</t>
        </is>
      </c>
      <c r="G5" s="8" t="n"/>
      <c r="H5" s="7" t="inlineStr">
        <is>
          <t>عدد الطلبات</t>
        </is>
      </c>
      <c r="I5" s="8" t="n"/>
      <c r="J5" s="7" t="inlineStr">
        <is>
          <t>متوسط قيمة الطلب</t>
        </is>
      </c>
      <c r="K5" s="8" t="n"/>
      <c r="L5" s="7">
        <f>"مجمل الربح"&amp;IF(CK_Critical&gt;0," (أولي)","")</f>
        <v/>
      </c>
      <c r="M5" s="8" t="n"/>
    </row>
    <row r="6" ht="28" customHeight="1">
      <c r="B6" s="9">
        <f>SUMIFS(Sales_Daily!$Z:$Z,Sales_Daily!$B:$B,_xlfn.MAXIFS(Sales_Daily!$B:$B,Sales_Daily!$B:$B,"&lt;="&amp;S_To,Sales_Daily!$AY:$AY,1),Sales_Daily!$AY:$AY,1)</f>
        <v/>
      </c>
      <c r="C6" s="8" t="n"/>
      <c r="D6" s="9">
        <f>IS_GrossSales</f>
        <v/>
      </c>
      <c r="E6" s="8" t="n"/>
      <c r="F6" s="9">
        <f>IS_NetSales</f>
        <v/>
      </c>
      <c r="G6" s="8" t="n"/>
      <c r="H6" s="10">
        <f>SUMIFS(Sales_Daily!$D:$D,Sales_Daily!$B:$B,"&gt;="&amp;S_From,Sales_Daily!$B:$B,"&lt;="&amp;S_To,Sales_Daily!$AY:$AY,1)</f>
        <v/>
      </c>
      <c r="I6" s="8" t="n"/>
      <c r="J6" s="9">
        <f>IF(H6=0,"غير متوفر",SUMIFS(Sales_Daily!$AA:$AA,Sales_Daily!$B:$B,"&gt;="&amp;S_From,Sales_Daily!$B:$B,"&lt;="&amp;S_To,Sales_Daily!$AY:$AY,1)/H6)</f>
        <v/>
      </c>
      <c r="K6" s="8" t="n"/>
      <c r="L6" s="9">
        <f>IS_GrossProfit</f>
        <v/>
      </c>
      <c r="M6" s="8" t="n"/>
    </row>
    <row r="7">
      <c r="B7" s="11">
        <f>IF(_xlfn.MAXIFS(Sales_Daily!$B:$B,Sales_Daily!$B:$B,"&lt;="&amp;S_To,Sales_Daily!$AY:$AY,1)=0,"لا مبيعات مرحلة","بتاريخ "&amp;YEAR(_xlfn.MAXIFS(Sales_Daily!$B:$B,Sales_Daily!$B:$B,"&lt;="&amp;S_To,Sales_Daily!$AY:$AY,1))&amp;"-"&amp;TEXT(MONTH(_xlfn.MAXIFS(Sales_Daily!$B:$B,Sales_Daily!$B:$B,"&lt;="&amp;S_To,Sales_Daily!$AY:$AY,1)),"00")&amp;"-"&amp;TEXT(DAY(_xlfn.MAXIFS(Sales_Daily!$B:$B,Sales_Daily!$B:$B,"&lt;="&amp;S_To,Sales_Daily!$AY:$AY,1)),"00"))</f>
        <v/>
      </c>
      <c r="C7" s="8" t="n"/>
      <c r="D7" s="11" t="inlineStr">
        <is>
          <t>قبل الخصومات والمرتجعات</t>
        </is>
      </c>
      <c r="E7" s="8" t="n"/>
      <c r="F7" s="11">
        <f>IF(IS_NetSales_P=0,"المقارنة: لا توجد فترة سابقة","السابقة: "&amp;TEXT(IS_NetSales_P,"#,##0")&amp;"  ("&amp;TEXT((IS_NetSales-IS_NetSales_P)/ABS(IS_NetSales_P),"+0%;-0%")&amp;")")</f>
        <v/>
      </c>
      <c r="G7" s="8" t="n"/>
      <c r="H7" s="11" t="inlineStr">
        <is>
          <t>من تقارير المبيعات المرحلة</t>
        </is>
      </c>
      <c r="I7" s="8" t="n"/>
      <c r="J7" s="11" t="inlineStr">
        <is>
          <t>صافي المبيعات ÷ عدد الطلبات</t>
        </is>
      </c>
      <c r="K7" s="8" t="n"/>
      <c r="L7" s="11">
        <f>IF(IS_GrossProfit_P=0,"المقارنة: لا توجد فترة سابقة","السابقة: "&amp;TEXT(IS_GrossProfit_P,"#,##0")&amp;"  ("&amp;TEXT((IS_GrossProfit-IS_GrossProfit_P)/ABS(IS_GrossProfit_P),"+0%;-0%")&amp;")")</f>
        <v/>
      </c>
      <c r="M7" s="8" t="n"/>
    </row>
    <row r="9">
      <c r="B9" s="7">
        <f>"صافي الربح"&amp;IF(CK_Critical&gt;0," (أولي - غير مؤكد)"," (مؤكد)")</f>
        <v/>
      </c>
      <c r="C9" s="8" t="n"/>
      <c r="D9" s="7" t="inlineStr">
        <is>
          <t>نسبة تكلفة المبيعات</t>
        </is>
      </c>
      <c r="E9" s="8" t="n"/>
      <c r="F9" s="7" t="inlineStr">
        <is>
          <t>المصروفات التشغيلية</t>
        </is>
      </c>
      <c r="G9" s="8" t="n"/>
      <c r="H9" s="7" t="inlineStr">
        <is>
          <t>قيمة المخزون</t>
        </is>
      </c>
      <c r="I9" s="8" t="n"/>
      <c r="J9" s="7" t="inlineStr">
        <is>
          <t>مستحقات منصات التوصيل والبطاقات</t>
        </is>
      </c>
      <c r="K9" s="8" t="n"/>
      <c r="L9" s="7" t="inlineStr">
        <is>
          <t>أرصدة الموردين</t>
        </is>
      </c>
      <c r="M9" s="8" t="n"/>
    </row>
    <row r="10" ht="28" customHeight="1">
      <c r="B10" s="9">
        <f>IS_NetProfit</f>
        <v/>
      </c>
      <c r="C10" s="8" t="n"/>
      <c r="D10" s="12">
        <f>IF(IS_NetSales=0,"-",IS_COGS/IS_NetSales)</f>
        <v/>
      </c>
      <c r="E10" s="8" t="n"/>
      <c r="F10" s="9">
        <f>IS_OpEx</f>
        <v/>
      </c>
      <c r="G10" s="8" t="n"/>
      <c r="H10" s="9">
        <f>(SUMIFS(GL_Journal!$S:$S,GL_Journal!$G:$G,"&gt;=1400",GL_Journal!$G:$G,"&lt;=1499",GL_Journal!$D:$D,"&lt;="&amp;S_To)-SUMIFS(GL_Journal!$T:$T,GL_Journal!$G:$G,"&gt;=1400",GL_Journal!$G:$G,"&lt;=1499",GL_Journal!$D:$D,"&lt;="&amp;S_To))</f>
        <v/>
      </c>
      <c r="I10" s="8" t="n"/>
      <c r="J10" s="9">
        <f>(SUMIFS(GL_Journal!$S:$S,GL_Journal!$G:$G,"&gt;=1302",GL_Journal!$G:$G,"&lt;=1304",GL_Journal!$D:$D,"&lt;="&amp;S_To)-SUMIFS(GL_Journal!$T:$T,GL_Journal!$G:$G,"&gt;=1302",GL_Journal!$G:$G,"&lt;=1304",GL_Journal!$D:$D,"&lt;="&amp;S_To))</f>
        <v/>
      </c>
      <c r="K10" s="8" t="n"/>
      <c r="L10" s="9">
        <f>SB_Total</f>
        <v/>
      </c>
      <c r="M10" s="8" t="n"/>
    </row>
    <row r="11">
      <c r="B11" s="11">
        <f>IF(IS_NetProfit_P=0,"المقارنة: لا توجد فترة سابقة","السابقة: "&amp;TEXT(IS_NetProfit_P,"#,##0")&amp;"  ("&amp;TEXT((IS_NetProfit-IS_NetProfit_P)/ABS(IS_NetProfit_P),"+0%;-0%")&amp;")")</f>
        <v/>
      </c>
      <c r="C11" s="8" t="n"/>
      <c r="D11" s="11" t="inlineStr">
        <is>
          <t>تكلفة المبيعات ÷ صافي المبيعات</t>
        </is>
      </c>
      <c r="E11" s="8" t="n"/>
      <c r="F11" s="11">
        <f>IF(IS_OpEx_P=0,"المقارنة: لا توجد فترة سابقة","السابقة: "&amp;TEXT(IS_OpEx_P,"#,##0")&amp;"  ("&amp;TEXT((IS_OpEx-IS_OpEx_P)/ABS(IS_OpEx_P),"+0%;-0%")&amp;")")</f>
        <v/>
      </c>
      <c r="G11" s="8" t="n"/>
      <c r="H11" s="11" t="inlineStr">
        <is>
          <t>حسابات 1400-1499 (دفتريًا)</t>
        </is>
      </c>
      <c r="I11" s="8" t="n"/>
      <c r="J11" s="11" t="inlineStr">
        <is>
          <t>1302-1304 غير محصلة</t>
        </is>
      </c>
      <c r="K11" s="8" t="n"/>
      <c r="L11" s="11" t="inlineStr">
        <is>
          <t>إجمالي المستحق للموردين</t>
        </is>
      </c>
      <c r="M11" s="8" t="n"/>
    </row>
    <row r="13">
      <c r="B13" s="7" t="inlineStr">
        <is>
          <t>الهالك (طبيعي وغير طبيعي)</t>
        </is>
      </c>
      <c r="C13" s="8" t="n"/>
      <c r="D13" s="7" t="inlineStr">
        <is>
          <t>فروق الجرد (مخزون)</t>
        </is>
      </c>
      <c r="E13" s="8" t="n"/>
      <c r="F13" s="7" t="inlineStr">
        <is>
          <t>فروق الخزائن (عجز - زيادة)</t>
        </is>
      </c>
      <c r="G13" s="8" t="n"/>
      <c r="H13" s="7" t="inlineStr">
        <is>
          <t>أرصدة البنوك</t>
        </is>
      </c>
      <c r="I13" s="8" t="n"/>
      <c r="J13" s="7" t="inlineStr">
        <is>
          <t>النقدية بالخزائن</t>
        </is>
      </c>
      <c r="K13" s="8" t="n"/>
      <c r="L13" s="7" t="inlineStr">
        <is>
          <t>مديونيات العملاء المستحقة</t>
        </is>
      </c>
      <c r="M13" s="8" t="n"/>
    </row>
    <row r="14" ht="28" customHeight="1">
      <c r="B14" s="9">
        <f>(SUMIFS(GL_Journal!$S:$S,GL_Journal!$G:$G,"&gt;=5200",GL_Journal!$G:$G,"&lt;=5299",GL_Journal!$D:$D,"&gt;="&amp;S_From,GL_Journal!$D:$D,"&lt;="&amp;S_To)-SUMIFS(GL_Journal!$T:$T,GL_Journal!$G:$G,"&gt;=5200",GL_Journal!$G:$G,"&lt;=5299",GL_Journal!$D:$D,"&gt;="&amp;S_From,GL_Journal!$D:$D,"&lt;="&amp;S_To))</f>
        <v/>
      </c>
      <c r="C14" s="8" t="n"/>
      <c r="D14" s="9">
        <f>(SUMIFS(GL_Journal!$S:$S,GL_Journal!$G:$G,"&gt;=5400",GL_Journal!$G:$G,"&lt;=5499",GL_Journal!$D:$D,"&gt;="&amp;S_From,GL_Journal!$D:$D,"&lt;="&amp;S_To)-SUMIFS(GL_Journal!$T:$T,GL_Journal!$G:$G,"&gt;=5400",GL_Journal!$G:$G,"&lt;=5499",GL_Journal!$D:$D,"&gt;="&amp;S_From,GL_Journal!$D:$D,"&lt;="&amp;S_To))</f>
        <v/>
      </c>
      <c r="E14" s="8" t="n"/>
      <c r="F14" s="9">
        <f>(SUMIFS(GL_Journal!$S:$S,GL_Journal!$G:$G,ACC_CASH_SHORT,GL_Journal!$D:$D,"&gt;="&amp;S_From,GL_Journal!$D:$D,"&lt;="&amp;S_To)-SUMIFS(GL_Journal!$T:$T,GL_Journal!$G:$G,ACC_CASH_SHORT,GL_Journal!$D:$D,"&gt;="&amp;S_From,GL_Journal!$D:$D,"&lt;="&amp;S_To))-(-(SUMIFS(GL_Journal!$S:$S,GL_Journal!$G:$G,ACC_CASH_OVER,GL_Journal!$D:$D,"&gt;="&amp;S_From,GL_Journal!$D:$D,"&lt;="&amp;S_To)-SUMIFS(GL_Journal!$T:$T,GL_Journal!$G:$G,ACC_CASH_OVER,GL_Journal!$D:$D,"&gt;="&amp;S_From,GL_Journal!$D:$D,"&lt;="&amp;S_To)))</f>
        <v/>
      </c>
      <c r="G14" s="8" t="n"/>
      <c r="H14" s="9">
        <f>(SUMIFS(GL_Journal!$S:$S,GL_Journal!$G:$G,"&gt;=1200",GL_Journal!$G:$G,"&lt;=1299",GL_Journal!$D:$D,"&lt;="&amp;S_To)-SUMIFS(GL_Journal!$T:$T,GL_Journal!$G:$G,"&gt;=1200",GL_Journal!$G:$G,"&lt;=1299",GL_Journal!$D:$D,"&lt;="&amp;S_To))</f>
        <v/>
      </c>
      <c r="I14" s="8" t="n"/>
      <c r="J14" s="9">
        <f>(SUMIFS(GL_Journal!$S:$S,GL_Journal!$G:$G,"&gt;=1100",GL_Journal!$G:$G,"&lt;=1199",GL_Journal!$D:$D,"&lt;="&amp;S_To)-SUMIFS(GL_Journal!$T:$T,GL_Journal!$G:$G,"&gt;=1100",GL_Journal!$G:$G,"&lt;=1199",GL_Journal!$D:$D,"&lt;="&amp;S_To))</f>
        <v/>
      </c>
      <c r="K14" s="8" t="n"/>
      <c r="L14" s="9">
        <f>(SUMIFS(GL_Journal!$S:$S,GL_Journal!$G:$G,ACC_CUSTOMERS,GL_Journal!$D:$D,"&lt;="&amp;S_To)-SUMIFS(GL_Journal!$T:$T,GL_Journal!$G:$G,ACC_CUSTOMERS,GL_Journal!$D:$D,"&lt;="&amp;S_To))</f>
        <v/>
      </c>
      <c r="M14" s="8" t="n"/>
    </row>
    <row r="15">
      <c r="B15" s="11" t="inlineStr">
        <is>
          <t>المرحلة 2 للتفصيل</t>
        </is>
      </c>
      <c r="C15" s="8" t="n"/>
      <c r="D15" s="11" t="inlineStr">
        <is>
          <t>موجب = عجز</t>
        </is>
      </c>
      <c r="E15" s="8" t="n"/>
      <c r="F15" s="11" t="inlineStr">
        <is>
          <t>موجب = عجز صافٍ</t>
        </is>
      </c>
      <c r="G15" s="8" t="n"/>
      <c r="H15" s="11" t="inlineStr"/>
      <c r="I15" s="8" t="n"/>
      <c r="J15" s="11" t="inlineStr"/>
      <c r="K15" s="8" t="n"/>
      <c r="L15" s="11" t="inlineStr">
        <is>
          <t>حساب 1301</t>
        </is>
      </c>
      <c r="M15" s="8" t="n"/>
    </row>
    <row r="21">
      <c r="A21" s="13" t="inlineStr">
        <is>
          <t>رصيد كل خزينة وبنك (Treasury_Balances)</t>
        </is>
      </c>
      <c r="B21" s="14" t="n"/>
      <c r="C21" s="14" t="n"/>
      <c r="D21" s="14" t="n"/>
      <c r="E21" s="14" t="n"/>
      <c r="F21" s="14" t="n"/>
      <c r="G21" s="14" t="n"/>
      <c r="H21" s="14" t="n"/>
      <c r="I21" s="14" t="n"/>
      <c r="J21" s="14" t="n"/>
      <c r="K21" s="14" t="n"/>
      <c r="L21" s="14" t="n"/>
      <c r="M21" s="14" t="n"/>
      <c r="N21" s="14" t="n"/>
    </row>
    <row r="22">
      <c r="B22" s="15" t="inlineStr">
        <is>
          <t>الكود</t>
        </is>
      </c>
      <c r="C22" s="15" t="inlineStr">
        <is>
          <t>الاسم</t>
        </is>
      </c>
      <c r="F22" s="15" t="inlineStr">
        <is>
          <t>الرصيد الختامي</t>
        </is>
      </c>
      <c r="H22" s="15" t="inlineStr">
        <is>
          <t>تنبيه</t>
        </is>
      </c>
    </row>
    <row r="23">
      <c r="B23" s="16">
        <f>Treasury_Balances!$A$9</f>
        <v/>
      </c>
      <c r="C23" s="16">
        <f>Treasury_Balances!$B$9</f>
        <v/>
      </c>
      <c r="F23" s="17">
        <f>Treasury_Balances!$I$9</f>
        <v/>
      </c>
      <c r="H23" s="16">
        <f>Treasury_Balances!$L$9</f>
        <v/>
      </c>
    </row>
    <row r="24">
      <c r="B24" s="16">
        <f>Treasury_Balances!$A$10</f>
        <v/>
      </c>
      <c r="C24" s="16">
        <f>Treasury_Balances!$B$10</f>
        <v/>
      </c>
      <c r="F24" s="17">
        <f>Treasury_Balances!$I$10</f>
        <v/>
      </c>
      <c r="H24" s="16">
        <f>Treasury_Balances!$L$10</f>
        <v/>
      </c>
    </row>
    <row r="25">
      <c r="B25" s="16">
        <f>Treasury_Balances!$A$11</f>
        <v/>
      </c>
      <c r="C25" s="16">
        <f>Treasury_Balances!$B$11</f>
        <v/>
      </c>
      <c r="F25" s="17">
        <f>Treasury_Balances!$I$11</f>
        <v/>
      </c>
      <c r="H25" s="16">
        <f>Treasury_Balances!$L$11</f>
        <v/>
      </c>
    </row>
    <row r="26">
      <c r="B26" s="16">
        <f>Treasury_Balances!$A$12</f>
        <v/>
      </c>
      <c r="C26" s="16">
        <f>Treasury_Balances!$B$12</f>
        <v/>
      </c>
      <c r="F26" s="17">
        <f>Treasury_Balances!$I$12</f>
        <v/>
      </c>
      <c r="H26" s="16">
        <f>Treasury_Balances!$L$12</f>
        <v/>
      </c>
    </row>
    <row r="27">
      <c r="B27" s="16">
        <f>Treasury_Balances!$A$13</f>
        <v/>
      </c>
      <c r="C27" s="16">
        <f>Treasury_Balances!$B$13</f>
        <v/>
      </c>
      <c r="F27" s="17">
        <f>Treasury_Balances!$I$13</f>
        <v/>
      </c>
      <c r="H27" s="16">
        <f>Treasury_Balances!$L$13</f>
        <v/>
      </c>
    </row>
    <row r="28">
      <c r="B28" s="16">
        <f>Treasury_Balances!$A$14</f>
        <v/>
      </c>
      <c r="C28" s="16">
        <f>Treasury_Balances!$B$14</f>
        <v/>
      </c>
      <c r="F28" s="17">
        <f>Treasury_Balances!$I$14</f>
        <v/>
      </c>
      <c r="H28" s="16">
        <f>Treasury_Balances!$L$14</f>
        <v/>
      </c>
    </row>
    <row r="29">
      <c r="B29" s="16">
        <f>Treasury_Balances!$A$15</f>
        <v/>
      </c>
      <c r="C29" s="16">
        <f>Treasury_Balances!$B$15</f>
        <v/>
      </c>
      <c r="F29" s="17">
        <f>Treasury_Balances!$I$15</f>
        <v/>
      </c>
      <c r="H29" s="16">
        <f>Treasury_Balances!$L$15</f>
        <v/>
      </c>
    </row>
    <row r="30">
      <c r="B30" s="16">
        <f>Treasury_Balances!$A$16</f>
        <v/>
      </c>
      <c r="C30" s="16">
        <f>Treasury_Balances!$B$16</f>
        <v/>
      </c>
      <c r="F30" s="17">
        <f>Treasury_Balances!$I$16</f>
        <v/>
      </c>
      <c r="H30" s="16">
        <f>Treasury_Balances!$L$16</f>
        <v/>
      </c>
    </row>
    <row r="31">
      <c r="B31" s="16">
        <f>Treasury_Balances!$A$17</f>
        <v/>
      </c>
      <c r="C31" s="16">
        <f>Treasury_Balances!$B$17</f>
        <v/>
      </c>
      <c r="F31" s="17">
        <f>Treasury_Balances!$I$17</f>
        <v/>
      </c>
      <c r="H31" s="16">
        <f>Treasury_Balances!$L$17</f>
        <v/>
      </c>
    </row>
    <row r="32">
      <c r="B32" s="16">
        <f>Treasury_Balances!$A$18</f>
        <v/>
      </c>
      <c r="C32" s="16">
        <f>Treasury_Balances!$B$18</f>
        <v/>
      </c>
      <c r="F32" s="17">
        <f>Treasury_Balances!$I$18</f>
        <v/>
      </c>
      <c r="H32" s="16">
        <f>Treasury_Balances!$L$18</f>
        <v/>
      </c>
    </row>
    <row r="35">
      <c r="A35" s="13" t="inlineStr">
        <is>
          <t>مقارنة أداء الفروع (من قائمة الدخل - بدون توزيع تكاليف الإدارة)</t>
        </is>
      </c>
      <c r="B35" s="14" t="n"/>
      <c r="C35" s="14" t="n"/>
      <c r="D35" s="14" t="n"/>
      <c r="E35" s="14" t="n"/>
      <c r="F35" s="14" t="n"/>
      <c r="G35" s="14" t="n"/>
      <c r="H35" s="14" t="n"/>
      <c r="I35" s="14" t="n"/>
      <c r="J35" s="14" t="n"/>
      <c r="K35" s="14" t="n"/>
      <c r="L35" s="14" t="n"/>
      <c r="M35" s="14" t="n"/>
      <c r="N35" s="14" t="n"/>
    </row>
    <row r="36">
      <c r="B36" s="18" t="inlineStr">
        <is>
          <t>الفرع</t>
        </is>
      </c>
      <c r="C36" s="18" t="inlineStr">
        <is>
          <t>إجمالي المبيعات</t>
        </is>
      </c>
      <c r="D36" s="18" t="inlineStr">
        <is>
          <t>صافي المبيعات</t>
        </is>
      </c>
      <c r="E36" s="18" t="inlineStr">
        <is>
          <t>تكلفة المبيعات</t>
        </is>
      </c>
      <c r="F36" s="18" t="inlineStr">
        <is>
          <t>مجمل الربح</t>
        </is>
      </c>
      <c r="G36" s="18" t="inlineStr">
        <is>
          <t>% مجمل الربح</t>
        </is>
      </c>
      <c r="H36" s="18" t="inlineStr">
        <is>
          <t>مصروفات مباشرة</t>
        </is>
      </c>
      <c r="I36" s="18" t="inlineStr">
        <is>
          <t>الربح التشغيلي</t>
        </is>
      </c>
    </row>
    <row r="37">
      <c r="B37" s="19">
        <f>Income_Statement!I$11</f>
        <v/>
      </c>
      <c r="C37" s="19">
        <f>IF(B37="","",Income_Statement!I17)</f>
        <v/>
      </c>
      <c r="D37" s="19">
        <f>IF(B37="","",Income_Statement!I20)</f>
        <v/>
      </c>
      <c r="E37" s="19">
        <f>IF(B37="","",Income_Statement!I26)</f>
        <v/>
      </c>
      <c r="F37" s="19">
        <f>IF(B37="","",Income_Statement!I27)</f>
        <v/>
      </c>
      <c r="G37" s="20">
        <f>IF(B37="","",IF(D37=0,0,F37/D37))</f>
        <v/>
      </c>
      <c r="H37" s="19">
        <f>IF(B37="","",Income_Statement!I38)</f>
        <v/>
      </c>
      <c r="I37" s="19">
        <f>IF(B37="","",Income_Statement!I39)</f>
        <v/>
      </c>
    </row>
    <row r="38">
      <c r="B38" s="19">
        <f>Income_Statement!J$11</f>
        <v/>
      </c>
      <c r="C38" s="19">
        <f>IF(B38="","",Income_Statement!J17)</f>
        <v/>
      </c>
      <c r="D38" s="19">
        <f>IF(B38="","",Income_Statement!J20)</f>
        <v/>
      </c>
      <c r="E38" s="19">
        <f>IF(B38="","",Income_Statement!J26)</f>
        <v/>
      </c>
      <c r="F38" s="19">
        <f>IF(B38="","",Income_Statement!J27)</f>
        <v/>
      </c>
      <c r="G38" s="20">
        <f>IF(B38="","",IF(D38=0,0,F38/D38))</f>
        <v/>
      </c>
      <c r="H38" s="19">
        <f>IF(B38="","",Income_Statement!J38)</f>
        <v/>
      </c>
      <c r="I38" s="19">
        <f>IF(B38="","",Income_Statement!J39)</f>
        <v/>
      </c>
    </row>
    <row r="39">
      <c r="B39" s="19">
        <f>Income_Statement!K$11</f>
        <v/>
      </c>
      <c r="C39" s="19">
        <f>IF(B39="","",Income_Statement!K17)</f>
        <v/>
      </c>
      <c r="D39" s="19">
        <f>IF(B39="","",Income_Statement!K20)</f>
        <v/>
      </c>
      <c r="E39" s="19">
        <f>IF(B39="","",Income_Statement!K26)</f>
        <v/>
      </c>
      <c r="F39" s="19">
        <f>IF(B39="","",Income_Statement!K27)</f>
        <v/>
      </c>
      <c r="G39" s="20">
        <f>IF(B39="","",IF(D39=0,0,F39/D39))</f>
        <v/>
      </c>
      <c r="H39" s="19">
        <f>IF(B39="","",Income_Statement!K38)</f>
        <v/>
      </c>
      <c r="I39" s="19">
        <f>IF(B39="","",Income_Statement!K39)</f>
        <v/>
      </c>
    </row>
    <row r="40">
      <c r="B40" s="19">
        <f>Income_Statement!L$11</f>
        <v/>
      </c>
      <c r="C40" s="19">
        <f>IF(B40="","",Income_Statement!L17)</f>
        <v/>
      </c>
      <c r="D40" s="19">
        <f>IF(B40="","",Income_Statement!L20)</f>
        <v/>
      </c>
      <c r="E40" s="19">
        <f>IF(B40="","",Income_Statement!L26)</f>
        <v/>
      </c>
      <c r="F40" s="19">
        <f>IF(B40="","",Income_Statement!L27)</f>
        <v/>
      </c>
      <c r="G40" s="20">
        <f>IF(B40="","",IF(D40=0,0,F40/D40))</f>
        <v/>
      </c>
      <c r="H40" s="19">
        <f>IF(B40="","",Income_Statement!L38)</f>
        <v/>
      </c>
      <c r="I40" s="19">
        <f>IF(B40="","",Income_Statement!L39)</f>
        <v/>
      </c>
    </row>
    <row r="41">
      <c r="B41" s="19">
        <f>Income_Statement!M$11</f>
        <v/>
      </c>
      <c r="C41" s="19">
        <f>IF(B41="","",Income_Statement!M17)</f>
        <v/>
      </c>
      <c r="D41" s="19">
        <f>IF(B41="","",Income_Statement!M20)</f>
        <v/>
      </c>
      <c r="E41" s="19">
        <f>IF(B41="","",Income_Statement!M26)</f>
        <v/>
      </c>
      <c r="F41" s="19">
        <f>IF(B41="","",Income_Statement!M27)</f>
        <v/>
      </c>
      <c r="G41" s="20">
        <f>IF(B41="","",IF(D41=0,0,F41/D41))</f>
        <v/>
      </c>
      <c r="H41" s="19">
        <f>IF(B41="","",Income_Statement!M38)</f>
        <v/>
      </c>
      <c r="I41" s="19">
        <f>IF(B41="","",Income_Statement!M39)</f>
        <v/>
      </c>
    </row>
    <row r="42">
      <c r="B42" s="19">
        <f>Income_Statement!N$11</f>
        <v/>
      </c>
      <c r="C42" s="19">
        <f>IF(B42="","",Income_Statement!N17)</f>
        <v/>
      </c>
      <c r="D42" s="19">
        <f>IF(B42="","",Income_Statement!N20)</f>
        <v/>
      </c>
      <c r="E42" s="19">
        <f>IF(B42="","",Income_Statement!N26)</f>
        <v/>
      </c>
      <c r="F42" s="19">
        <f>IF(B42="","",Income_Statement!N27)</f>
        <v/>
      </c>
      <c r="G42" s="20">
        <f>IF(B42="","",IF(D42=0,0,F42/D42))</f>
        <v/>
      </c>
      <c r="H42" s="19">
        <f>IF(B42="","",Income_Statement!N38)</f>
        <v/>
      </c>
      <c r="I42" s="19">
        <f>IF(B42="","",Income_Statement!N39)</f>
        <v/>
      </c>
    </row>
    <row r="44">
      <c r="A44" s="13" t="inlineStr">
        <is>
          <t>المصروفات التشغيلية حسب النوع</t>
        </is>
      </c>
      <c r="B44" s="14" t="n"/>
      <c r="C44" s="14" t="n"/>
      <c r="D44" s="14" t="n"/>
      <c r="E44" s="15" t="inlineStr">
        <is>
          <t>الحالية</t>
        </is>
      </c>
      <c r="F44" s="15" t="inlineStr">
        <is>
          <t>السابقة</t>
        </is>
      </c>
      <c r="G44" s="14" t="n"/>
      <c r="H44" s="14" t="n"/>
      <c r="I44" s="14" t="n"/>
      <c r="J44" s="14" t="n"/>
      <c r="K44" s="14" t="n"/>
      <c r="L44" s="14" t="n"/>
      <c r="M44" s="14" t="n"/>
      <c r="N44" s="14" t="n"/>
    </row>
    <row r="45">
      <c r="B45" s="16">
        <f>Income_Statement!$A$29</f>
        <v/>
      </c>
      <c r="E45" s="19">
        <f>Income_Statement!$E$29</f>
        <v/>
      </c>
      <c r="F45" s="19">
        <f>Income_Statement!$G$29</f>
        <v/>
      </c>
    </row>
    <row r="46">
      <c r="B46" s="16">
        <f>Income_Statement!$A$30</f>
        <v/>
      </c>
      <c r="E46" s="19">
        <f>Income_Statement!$E$30</f>
        <v/>
      </c>
      <c r="F46" s="19">
        <f>Income_Statement!$G$30</f>
        <v/>
      </c>
    </row>
    <row r="47">
      <c r="B47" s="16">
        <f>Income_Statement!$A$31</f>
        <v/>
      </c>
      <c r="E47" s="19">
        <f>Income_Statement!$E$31</f>
        <v/>
      </c>
      <c r="F47" s="19">
        <f>Income_Statement!$G$31</f>
        <v/>
      </c>
    </row>
    <row r="48">
      <c r="B48" s="16">
        <f>Income_Statement!$A$32</f>
        <v/>
      </c>
      <c r="E48" s="19">
        <f>Income_Statement!$E$32</f>
        <v/>
      </c>
      <c r="F48" s="19">
        <f>Income_Statement!$G$32</f>
        <v/>
      </c>
    </row>
    <row r="49">
      <c r="B49" s="16">
        <f>Income_Statement!$A$33</f>
        <v/>
      </c>
      <c r="E49" s="19">
        <f>Income_Statement!$E$33</f>
        <v/>
      </c>
      <c r="F49" s="19">
        <f>Income_Statement!$G$33</f>
        <v/>
      </c>
    </row>
    <row r="50">
      <c r="B50" s="16">
        <f>Income_Statement!$A$34</f>
        <v/>
      </c>
      <c r="E50" s="19">
        <f>Income_Statement!$E$34</f>
        <v/>
      </c>
      <c r="F50" s="19">
        <f>Income_Statement!$G$34</f>
        <v/>
      </c>
    </row>
    <row r="51">
      <c r="B51" s="16">
        <f>Income_Statement!$A$35</f>
        <v/>
      </c>
      <c r="E51" s="19">
        <f>Income_Statement!$E$35</f>
        <v/>
      </c>
      <c r="F51" s="19">
        <f>Income_Statement!$G$35</f>
        <v/>
      </c>
    </row>
    <row r="52">
      <c r="B52" s="16">
        <f>Income_Statement!$A$36</f>
        <v/>
      </c>
      <c r="E52" s="19">
        <f>Income_Statement!$E$36</f>
        <v/>
      </c>
      <c r="F52" s="19">
        <f>Income_Statement!$G$36</f>
        <v/>
      </c>
    </row>
    <row r="53">
      <c r="B53" s="16">
        <f>Income_Statement!$A$37</f>
        <v/>
      </c>
      <c r="E53" s="19">
        <f>Income_Statement!$E$37</f>
        <v/>
      </c>
      <c r="F53" s="19">
        <f>Income_Statement!$G$37</f>
        <v/>
      </c>
    </row>
    <row r="58">
      <c r="A58" s="13" t="inlineStr">
        <is>
          <t>التنبيهات (Alerts)</t>
        </is>
      </c>
      <c r="B58" s="14" t="n"/>
      <c r="C58" s="14" t="n"/>
      <c r="D58" s="14" t="n"/>
      <c r="E58" s="14" t="n"/>
      <c r="F58" s="14" t="n"/>
      <c r="G58" s="14" t="n"/>
      <c r="H58" s="14" t="n"/>
      <c r="I58" s="14" t="n"/>
      <c r="J58" s="14" t="n"/>
      <c r="K58" s="14" t="n"/>
      <c r="L58" s="14" t="n"/>
      <c r="M58" s="14" t="n"/>
      <c r="N58" s="14" t="n"/>
    </row>
    <row r="59">
      <c r="B59" s="21">
        <f>IF(CK_Critical&gt;0,"✖ "&amp;CK_Critical&amp;" بند حرج مفتوح في قائمة الإقفال - النتائج أولية","✔ لا توجد بنود إقفال حرجة مفتوحة")</f>
        <v/>
      </c>
    </row>
    <row r="60">
      <c r="B60" s="21">
        <f>IF(CK_Drafts+CK_Approved&gt;0,"⚠ "&amp;CK_Drafts&amp;" مستند مسودة و"&amp;CK_Approved&amp;" معتمد غير مرحّل في الفترة","✔ كل مستندات الفترة مرحّلة أو ملغاة")</f>
        <v/>
      </c>
    </row>
    <row r="61">
      <c r="B61" s="21">
        <f>IF(CK_DocDup+CK_InvDup&gt;0,"✖ مستندات مكررة: أرقام "&amp;CK_DocDup&amp;" وفواتير موردين "&amp;CK_InvDup,"✔ لا توجد مستندات مكررة")</f>
        <v/>
      </c>
    </row>
    <row r="62">
      <c r="B62" s="21">
        <f>IF(CK_Unbal&gt;0,"✖ "&amp;CK_Unbal&amp;" قيد يدوي غير متوازن لم يُرحَّل","✔ كل القيود اليدوية متوازنة")</f>
        <v/>
      </c>
    </row>
    <row r="63">
      <c r="B63" s="21">
        <f>IF(CK_NoRecon&gt;0,"⚠ "&amp;CK_NoRecon&amp;" يوم مبيعات بدون مطابقة يومية","✔ المطابقة اليومية للمبيعات مكتملة")</f>
        <v/>
      </c>
    </row>
    <row r="64">
      <c r="B64" s="21">
        <f>IF(CK_ReconOpen+CK_CashOpen&gt;0,"⚠ فروق مفتوحة: مبيعات "&amp;CK_ReconOpen&amp;" وخزائن "&amp;CK_CashOpen,"✔ لا فروق مفتوحة في المبيعات والخزائن")</f>
        <v/>
      </c>
    </row>
    <row r="65">
      <c r="B65" s="21">
        <f>IF(CK_Stale&gt;0,"⚠ "&amp;CK_Stale&amp;" منصة/بطاقات بمستحقات متأخرة التسوية","✔ تسويات المنصات منتظمة")</f>
        <v/>
      </c>
    </row>
    <row r="66">
      <c r="B66" s="21">
        <f>IF(SB_Overdue&gt;0,"⚠ مستحقات موردين متأخرة: "&amp;TEXT(SB_Overdue,"#,##0"),"✔ لا مستحقات موردين متأخرة")</f>
        <v/>
      </c>
    </row>
    <row r="67">
      <c r="B67" s="21">
        <f>IF(CK_NoRef&gt;0,"⚠ "&amp;CK_NoRef&amp;" مستند مرحل بدون مرجع/مرفق ورقي","✔ كل المستندات المرحلة لها مرجع ورقي")</f>
        <v/>
      </c>
    </row>
    <row r="68">
      <c r="B68" s="21">
        <f>IF(CK_CogsMissing&gt;0,"✖ قيد تسوية تكلفة المبيعات غير مسجل: الربح مبالغ فيه","✔ تكلفة المبيعات مسجلة")</f>
        <v/>
      </c>
    </row>
    <row r="69">
      <c r="B69" s="21">
        <f>IF(ABS(TB_Diff)&gt;S_Tol,"✖ ميزان المراجعة غير متوازن","✔ ميزان المراجعة متوازن")</f>
        <v/>
      </c>
    </row>
  </sheetData>
  <sheetProtection selectLockedCells="0" selectUnlockedCells="0" sheet="1" objects="0" insertRows="1" insertHyperlinks="1" autoFilter="0" scenarios="0" formatColumns="0" deleteColumns="1" insertColumns="1" pivotTables="1" deleteRows="1" formatCells="0" formatRows="0" sort="1"/>
  <mergeCells count="86">
    <mergeCell ref="H10:I10"/>
    <mergeCell ref="C31:E31"/>
    <mergeCell ref="J10:K10"/>
    <mergeCell ref="B53:D53"/>
    <mergeCell ref="H9:I9"/>
    <mergeCell ref="J9:K9"/>
    <mergeCell ref="D6:E6"/>
    <mergeCell ref="F15:G15"/>
    <mergeCell ref="D13:E13"/>
    <mergeCell ref="C23:E23"/>
    <mergeCell ref="B14:C14"/>
    <mergeCell ref="L5:M5"/>
    <mergeCell ref="L14:M14"/>
    <mergeCell ref="B13:C13"/>
    <mergeCell ref="D7:E7"/>
    <mergeCell ref="F13:G13"/>
    <mergeCell ref="H13:I13"/>
    <mergeCell ref="B64:L64"/>
    <mergeCell ref="H15:I15"/>
    <mergeCell ref="B63:L63"/>
    <mergeCell ref="C25:E25"/>
    <mergeCell ref="L7:M7"/>
    <mergeCell ref="D10:E10"/>
    <mergeCell ref="F10:G10"/>
    <mergeCell ref="F6:G6"/>
    <mergeCell ref="B66:L66"/>
    <mergeCell ref="B11:C11"/>
    <mergeCell ref="D11:E11"/>
    <mergeCell ref="F5:G5"/>
    <mergeCell ref="B67:L67"/>
    <mergeCell ref="B3:N3"/>
    <mergeCell ref="B61:L61"/>
    <mergeCell ref="C32:E32"/>
    <mergeCell ref="H11:I11"/>
    <mergeCell ref="J11:K11"/>
    <mergeCell ref="B45:D45"/>
    <mergeCell ref="B69:L69"/>
    <mergeCell ref="D9:E9"/>
    <mergeCell ref="B47:D47"/>
    <mergeCell ref="F9:G9"/>
    <mergeCell ref="C24:E24"/>
    <mergeCell ref="B6:C6"/>
    <mergeCell ref="B15:C15"/>
    <mergeCell ref="L6:M6"/>
    <mergeCell ref="D15:E15"/>
    <mergeCell ref="B46:D46"/>
    <mergeCell ref="H5:I5"/>
    <mergeCell ref="C26:E26"/>
    <mergeCell ref="H14:I14"/>
    <mergeCell ref="B48:D48"/>
    <mergeCell ref="B7:C7"/>
    <mergeCell ref="F7:G7"/>
    <mergeCell ref="B49:D49"/>
    <mergeCell ref="B60:L60"/>
    <mergeCell ref="B51:D51"/>
    <mergeCell ref="C28:E28"/>
    <mergeCell ref="L10:M10"/>
    <mergeCell ref="B50:D50"/>
    <mergeCell ref="B9:C9"/>
    <mergeCell ref="C30:E30"/>
    <mergeCell ref="B2:N2"/>
    <mergeCell ref="L9:M9"/>
    <mergeCell ref="B5:C5"/>
    <mergeCell ref="D5:E5"/>
    <mergeCell ref="L11:M11"/>
    <mergeCell ref="D14:E14"/>
    <mergeCell ref="F14:G14"/>
    <mergeCell ref="F11:G11"/>
    <mergeCell ref="J5:K5"/>
    <mergeCell ref="B62:L62"/>
    <mergeCell ref="J14:K14"/>
    <mergeCell ref="B59:L59"/>
    <mergeCell ref="J13:K13"/>
    <mergeCell ref="L13:M13"/>
    <mergeCell ref="H6:I6"/>
    <mergeCell ref="C27:E27"/>
    <mergeCell ref="J6:K6"/>
    <mergeCell ref="J15:K15"/>
    <mergeCell ref="L15:M15"/>
    <mergeCell ref="H7:I7"/>
    <mergeCell ref="J7:K7"/>
    <mergeCell ref="B10:C10"/>
    <mergeCell ref="B65:L65"/>
    <mergeCell ref="B68:L68"/>
    <mergeCell ref="B52:D52"/>
    <mergeCell ref="C29:E29"/>
  </mergeCells>
  <conditionalFormatting sqref="B3">
    <cfRule type="expression" priority="1" dxfId="0">
      <formula>LEFT(B3,1)="⚠"</formula>
    </cfRule>
    <cfRule type="expression" priority="2" dxfId="1">
      <formula>LEFT(B3,1)="✔"</formula>
    </cfRule>
  </conditionalFormatting>
  <conditionalFormatting sqref="B10">
    <cfRule type="cellIs" priority="3" operator="lessThan" dxfId="2">
      <formula>0</formula>
    </cfRule>
  </conditionalFormatting>
  <conditionalFormatting sqref="H14">
    <cfRule type="cellIs" priority="4" operator="lessThan" dxfId="2">
      <formula>0</formula>
    </cfRule>
  </conditionalFormatting>
  <conditionalFormatting sqref="J14">
    <cfRule type="cellIs" priority="5" operator="lessThan" dxfId="2">
      <formula>0</formula>
    </cfRule>
  </conditionalFormatting>
  <conditionalFormatting sqref="G37:G42">
    <cfRule type="expression" priority="6" dxfId="0">
      <formula>AND(ISNUMBER(G37),G37&lt;0.5)</formula>
    </cfRule>
  </conditionalFormatting>
  <conditionalFormatting sqref="B59:B69">
    <cfRule type="expression" priority="7" dxfId="3">
      <formula>LEFT(B59,1)="✖"</formula>
    </cfRule>
    <cfRule type="expression" priority="8" dxfId="0">
      <formula>LEFT(B59,1)="⚠"</formula>
    </cfRule>
    <cfRule type="expression" priority="9" dxfId="1">
      <formula>LEFT(B59,1)="✔"</formula>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7F7F7F"/>
    <outlinePr summaryBelow="1" summaryRight="1"/>
    <pageSetUpPr/>
  </sheetPr>
  <dimension ref="A1:F37"/>
  <sheetViews>
    <sheetView rightToLeft="1" zoomScale="90" workbookViewId="0">
      <pane ySplit="4" topLeftCell="A5" activePane="bottomLeft" state="frozen"/>
      <selection pane="bottomLeft" activeCell="A1" sqref="A1"/>
    </sheetView>
  </sheetViews>
  <sheetFormatPr baseColWidth="8" defaultRowHeight="15"/>
  <cols>
    <col width="44" customWidth="1" min="1" max="1"/>
    <col width="10" customWidth="1" min="2" max="2"/>
    <col width="46" customWidth="1" min="3" max="3"/>
    <col width="26" customWidth="1" min="4" max="4"/>
    <col width="28" customWidth="1" min="5" max="5"/>
    <col width="24" customWidth="1" min="6" max="6"/>
  </cols>
  <sheetData>
    <row r="1" ht="26" customHeight="1">
      <c r="A1" s="22" t="inlineStr">
        <is>
          <t>دليل الأوراق (Sheet Guide)</t>
        </is>
      </c>
      <c r="B1" s="1" t="n"/>
      <c r="C1" s="1" t="n"/>
      <c r="D1" s="1" t="n"/>
      <c r="E1" s="1" t="n"/>
      <c r="F1" s="1" t="n"/>
    </row>
    <row r="2">
      <c r="A2" s="23" t="inlineStr">
        <is>
          <t>ابدأ من هنا: ماذا تفعل كل ورقة وماذا تدخل فيها. التفاصيل الكاملة في ملفات docs</t>
        </is>
      </c>
    </row>
    <row r="4">
      <c r="A4" s="24" t="inlineStr">
        <is>
          <t>الورقة</t>
        </is>
      </c>
      <c r="B4" s="24" t="inlineStr">
        <is>
          <t>المجموعة</t>
        </is>
      </c>
      <c r="C4" s="24" t="inlineStr">
        <is>
          <t>الوظيفة</t>
        </is>
      </c>
      <c r="D4" s="24" t="inlineStr">
        <is>
          <t>المدخلات</t>
        </is>
      </c>
      <c r="E4" s="24" t="inlineStr">
        <is>
          <t>المخرجات</t>
        </is>
      </c>
      <c r="F4" s="24" t="inlineStr">
        <is>
          <t>ملاحظات</t>
        </is>
      </c>
    </row>
    <row r="5">
      <c r="A5" s="25" t="inlineStr">
        <is>
          <t>Dashboard</t>
        </is>
      </c>
      <c r="B5" s="25" t="inlineStr">
        <is>
          <t>A/K</t>
        </is>
      </c>
      <c r="C5" s="25" t="inlineStr">
        <is>
          <t>لوحة التحكم الرئيسية</t>
        </is>
      </c>
      <c r="D5" s="25" t="inlineStr">
        <is>
          <t>لا إدخال</t>
        </is>
      </c>
      <c r="E5" s="25" t="inlineStr">
        <is>
          <t>مؤشرات ورسوم وتنبيهات</t>
        </is>
      </c>
      <c r="F5" s="25" t="inlineStr">
        <is>
          <t>—</t>
        </is>
      </c>
    </row>
    <row r="6">
      <c r="A6" s="25" t="inlineStr">
        <is>
          <t>Guide</t>
        </is>
      </c>
      <c r="B6" s="25" t="inlineStr">
        <is>
          <t>A</t>
        </is>
      </c>
      <c r="C6" s="25" t="inlineStr">
        <is>
          <t>هذا الدليل وخريطة الأوراق</t>
        </is>
      </c>
      <c r="D6" s="25" t="inlineStr">
        <is>
          <t>—</t>
        </is>
      </c>
      <c r="E6" s="25" t="inlineStr">
        <is>
          <t>—</t>
        </is>
      </c>
      <c r="F6" s="25" t="inlineStr">
        <is>
          <t>—</t>
        </is>
      </c>
    </row>
    <row r="7">
      <c r="A7" s="25" t="inlineStr">
        <is>
          <t>System_Map</t>
        </is>
      </c>
      <c r="B7" s="25" t="inlineStr">
        <is>
          <t>A</t>
        </is>
      </c>
      <c r="C7" s="25" t="inlineStr">
        <is>
          <t>خريطة النظام: الوحدات والمستندات والقيود</t>
        </is>
      </c>
      <c r="D7" s="25" t="inlineStr">
        <is>
          <t>—</t>
        </is>
      </c>
      <c r="E7" s="25" t="inlineStr">
        <is>
          <t>—</t>
        </is>
      </c>
      <c r="F7" s="25" t="inlineStr">
        <is>
          <t>—</t>
        </is>
      </c>
    </row>
    <row r="8">
      <c r="A8" s="25" t="inlineStr">
        <is>
          <t>Settings</t>
        </is>
      </c>
      <c r="B8" s="25" t="inlineStr">
        <is>
          <t>A</t>
        </is>
      </c>
      <c r="C8" s="25" t="inlineStr">
        <is>
          <t>فترة التقارير وطريقة التكلفة وحدود السماح</t>
        </is>
      </c>
      <c r="D8" s="25" t="inlineStr">
        <is>
          <t>الخلايا الصفراء</t>
        </is>
      </c>
      <c r="E8" s="25" t="inlineStr">
        <is>
          <t>تتحكم في كل التقارير</t>
        </is>
      </c>
      <c r="F8" s="25" t="inlineStr">
        <is>
          <t>—</t>
        </is>
      </c>
    </row>
    <row r="9">
      <c r="A9" s="25" t="inlineStr">
        <is>
          <t>Lists</t>
        </is>
      </c>
      <c r="B9" s="25" t="inlineStr">
        <is>
          <t>A</t>
        </is>
      </c>
      <c r="C9" s="25" t="inlineStr">
        <is>
          <t>القوائم المنسدلة وحالات المستندات</t>
        </is>
      </c>
      <c r="D9" s="25" t="inlineStr">
        <is>
          <t>المسؤول فقط</t>
        </is>
      </c>
      <c r="E9" s="25" t="inlineStr">
        <is>
          <t>—</t>
        </is>
      </c>
      <c r="F9" s="25" t="inlineStr">
        <is>
          <t>—</t>
        </is>
      </c>
    </row>
    <row r="10">
      <c r="A10" s="25" t="inlineStr">
        <is>
          <t>COA</t>
        </is>
      </c>
      <c r="B10" s="25" t="inlineStr">
        <is>
          <t>A/J</t>
        </is>
      </c>
      <c r="C10" s="25" t="inlineStr">
        <is>
          <t>دليل الحسابات الموحد</t>
        </is>
      </c>
      <c r="D10" s="25" t="inlineStr">
        <is>
          <t>حساب جديد في صف فارغ</t>
        </is>
      </c>
      <c r="E10" s="25" t="inlineStr">
        <is>
          <t>يغذي القوائم والتقارير</t>
        </is>
      </c>
      <c r="F10" s="25" t="inlineStr">
        <is>
          <t>—</t>
        </is>
      </c>
    </row>
    <row r="11">
      <c r="A11" s="25" t="inlineStr">
        <is>
          <t>Locations</t>
        </is>
      </c>
      <c r="B11" s="25" t="inlineStr">
        <is>
          <t>A</t>
        </is>
      </c>
      <c r="C11" s="25" t="inlineStr">
        <is>
          <t>الفروع والمخازن والمطابخ والإدارة</t>
        </is>
      </c>
      <c r="D11" s="25" t="inlineStr">
        <is>
          <t>صف لكل موقع</t>
        </is>
      </c>
      <c r="E11" s="25" t="inlineStr">
        <is>
          <t>—</t>
        </is>
      </c>
      <c r="F11" s="25" t="inlineStr">
        <is>
          <t>—</t>
        </is>
      </c>
    </row>
    <row r="12">
      <c r="A12" s="25" t="inlineStr">
        <is>
          <t>Treasuries</t>
        </is>
      </c>
      <c r="B12" s="25" t="inlineStr">
        <is>
          <t>A/C</t>
        </is>
      </c>
      <c r="C12" s="25" t="inlineStr">
        <is>
          <t>الخزائن والبنوك وحساب كل منها</t>
        </is>
      </c>
      <c r="D12" s="25" t="inlineStr">
        <is>
          <t>صف لكل خزينة</t>
        </is>
      </c>
      <c r="E12" s="25" t="inlineStr">
        <is>
          <t>—</t>
        </is>
      </c>
      <c r="F12" s="25" t="inlineStr">
        <is>
          <t>—</t>
        </is>
      </c>
    </row>
    <row r="13">
      <c r="A13" s="25" t="inlineStr">
        <is>
          <t>Users / Permissions</t>
        </is>
      </c>
      <c r="B13" s="25" t="inlineStr">
        <is>
          <t>A</t>
        </is>
      </c>
      <c r="C13" s="25" t="inlineStr">
        <is>
          <t>المستخدمون ومصفوفة الصلاحيات</t>
        </is>
      </c>
      <c r="D13" s="25" t="inlineStr">
        <is>
          <t>—</t>
        </is>
      </c>
      <c r="E13" s="25" t="inlineStr">
        <is>
          <t>—</t>
        </is>
      </c>
      <c r="F13" s="25" t="inlineStr">
        <is>
          <t>—</t>
        </is>
      </c>
    </row>
    <row r="14">
      <c r="A14" s="25" t="inlineStr">
        <is>
          <t>Suppliers / Customers / Employees</t>
        </is>
      </c>
      <c r="B14" s="25" t="inlineStr">
        <is>
          <t>A</t>
        </is>
      </c>
      <c r="C14" s="25" t="inlineStr">
        <is>
          <t>الموردون والعملاء والموظفون</t>
        </is>
      </c>
      <c r="D14" s="25" t="inlineStr">
        <is>
          <t>—</t>
        </is>
      </c>
      <c r="E14" s="25" t="inlineStr">
        <is>
          <t>—</t>
        </is>
      </c>
      <c r="F14" s="25" t="inlineStr">
        <is>
          <t>—</t>
        </is>
      </c>
    </row>
    <row r="15">
      <c r="A15" s="25" t="inlineStr">
        <is>
          <t>Items / Units / Unit_Conversions / Unit_Converter</t>
        </is>
      </c>
      <c r="B15" s="25" t="inlineStr">
        <is>
          <t>A/E</t>
        </is>
      </c>
      <c r="C15" s="25" t="inlineStr">
        <is>
          <t>الأصناف والوحدات والتحويل المعتمد ومحوّل مضبوط</t>
        </is>
      </c>
      <c r="D15" s="25" t="inlineStr">
        <is>
          <t>—</t>
        </is>
      </c>
      <c r="E15" s="25" t="inlineStr">
        <is>
          <t>—</t>
        </is>
      </c>
      <c r="F15" s="25" t="inlineStr">
        <is>
          <t>—</t>
        </is>
      </c>
    </row>
    <row r="16">
      <c r="A16" s="25" t="inlineStr">
        <is>
          <t>Payment_Methods / Cost_Centers / Tax_Settings</t>
        </is>
      </c>
      <c r="B16" s="25" t="inlineStr">
        <is>
          <t>A</t>
        </is>
      </c>
      <c r="C16" s="25" t="inlineStr">
        <is>
          <t>وسائل الدفع ومراكز التكلفة والضرائب</t>
        </is>
      </c>
      <c r="D16" s="25" t="inlineStr">
        <is>
          <t>—</t>
        </is>
      </c>
      <c r="E16" s="25" t="inlineStr">
        <is>
          <t>—</t>
        </is>
      </c>
      <c r="F16" s="25" t="inlineStr">
        <is>
          <t>—</t>
        </is>
      </c>
    </row>
    <row r="17">
      <c r="A17" s="25" t="inlineStr">
        <is>
          <t>Doc_Numbering / Doc_Register</t>
        </is>
      </c>
      <c r="B17" s="25" t="inlineStr">
        <is>
          <t>A</t>
        </is>
      </c>
      <c r="C17" s="25" t="inlineStr">
        <is>
          <t>ترقيم المستندات وسجل الأرقام المركزي</t>
        </is>
      </c>
      <c r="D17" s="25" t="inlineStr">
        <is>
          <t>—</t>
        </is>
      </c>
      <c r="E17" s="25" t="inlineStr">
        <is>
          <t>منع التكرار</t>
        </is>
      </c>
      <c r="F17" s="25" t="inlineStr">
        <is>
          <t>—</t>
        </is>
      </c>
    </row>
    <row r="18">
      <c r="A18" s="25" t="inlineStr">
        <is>
          <t>Sales_Daily</t>
        </is>
      </c>
      <c r="B18" s="25" t="inlineStr">
        <is>
          <t>B</t>
        </is>
      </c>
      <c r="C18" s="25" t="inlineStr">
        <is>
          <t>المبيعات اليومية (صف لكل فرع ويوم)</t>
        </is>
      </c>
      <c r="D18" s="25" t="inlineStr">
        <is>
          <t>نموذج 15</t>
        </is>
      </c>
      <c r="E18" s="25" t="inlineStr">
        <is>
          <t>GL_Journal</t>
        </is>
      </c>
      <c r="F18" s="25" t="inlineStr">
        <is>
          <t>اليومية</t>
        </is>
      </c>
    </row>
    <row r="19">
      <c r="A19" s="25" t="inlineStr">
        <is>
          <t>Platform_Settlements</t>
        </is>
      </c>
      <c r="B19" s="25" t="inlineStr">
        <is>
          <t>B</t>
        </is>
      </c>
      <c r="C19" s="25" t="inlineStr">
        <is>
          <t>تسويات المنصات والبطاقات</t>
        </is>
      </c>
      <c r="D19" s="25" t="inlineStr">
        <is>
          <t>نموذج 16</t>
        </is>
      </c>
      <c r="E19" s="25" t="inlineStr">
        <is>
          <t>GL_Journal</t>
        </is>
      </c>
      <c r="F19" s="25" t="inlineStr">
        <is>
          <t>—</t>
        </is>
      </c>
    </row>
    <row r="20">
      <c r="A20" s="25" t="inlineStr">
        <is>
          <t>Daily_Recon</t>
        </is>
      </c>
      <c r="B20" s="25" t="inlineStr">
        <is>
          <t>B</t>
        </is>
      </c>
      <c r="C20" s="25" t="inlineStr">
        <is>
          <t>المطابقة اليومية للمبيعات</t>
        </is>
      </c>
      <c r="D20" s="25" t="inlineStr">
        <is>
          <t>الفعلي والسبب</t>
        </is>
      </c>
      <c r="E20" s="25" t="inlineStr">
        <is>
          <t>Close_Checklist</t>
        </is>
      </c>
      <c r="F20" s="25" t="inlineStr">
        <is>
          <t>—</t>
        </is>
      </c>
    </row>
    <row r="21">
      <c r="A21" s="25" t="inlineStr">
        <is>
          <t>Cash_Vouchers</t>
        </is>
      </c>
      <c r="B21" s="25" t="inlineStr">
        <is>
          <t>C</t>
        </is>
      </c>
      <c r="C21" s="25" t="inlineStr">
        <is>
          <t>قبض/صرف/تحويل/إيداع/عجز/زيادة</t>
        </is>
      </c>
      <c r="D21" s="25" t="inlineStr">
        <is>
          <t>نماذج 11-13 و30</t>
        </is>
      </c>
      <c r="E21" s="25" t="inlineStr">
        <is>
          <t>GL_Journal</t>
        </is>
      </c>
      <c r="F21" s="25" t="inlineStr">
        <is>
          <t>—</t>
        </is>
      </c>
    </row>
    <row r="22">
      <c r="A22" s="25" t="inlineStr">
        <is>
          <t>Cash_Close</t>
        </is>
      </c>
      <c r="B22" s="25" t="inlineStr">
        <is>
          <t>C</t>
        </is>
      </c>
      <c r="C22" s="25" t="inlineStr">
        <is>
          <t>إقفال الخزينة اليومي وفروق الجرد</t>
        </is>
      </c>
      <c r="D22" s="25" t="inlineStr">
        <is>
          <t>نموذج 14</t>
        </is>
      </c>
      <c r="E22" s="25" t="inlineStr">
        <is>
          <t>Close_Checklist</t>
        </is>
      </c>
      <c r="F22" s="25" t="inlineStr">
        <is>
          <t>—</t>
        </is>
      </c>
    </row>
    <row r="23">
      <c r="A23" s="25" t="inlineStr">
        <is>
          <t>Treasury_Balances / Cash_Flow</t>
        </is>
      </c>
      <c r="B23" s="25" t="inlineStr">
        <is>
          <t>C/K</t>
        </is>
      </c>
      <c r="C23" s="25" t="inlineStr">
        <is>
          <t>أرصدة الخزائن وحركة النقدية والتدفقات</t>
        </is>
      </c>
      <c r="D23" s="25" t="inlineStr">
        <is>
          <t>لا إدخال</t>
        </is>
      </c>
      <c r="E23" s="25" t="inlineStr">
        <is>
          <t>تقارير</t>
        </is>
      </c>
      <c r="F23" s="25" t="inlineStr">
        <is>
          <t>—</t>
        </is>
      </c>
    </row>
    <row r="24">
      <c r="A24" s="25" t="inlineStr">
        <is>
          <t>Supplier_Invoices / Supplier_Payments</t>
        </is>
      </c>
      <c r="B24" s="25" t="inlineStr">
        <is>
          <t>D</t>
        </is>
      </c>
      <c r="C24" s="25" t="inlineStr">
        <is>
          <t>فواتير الموردين ودفعاتهم</t>
        </is>
      </c>
      <c r="D24" s="25" t="inlineStr">
        <is>
          <t>فاتورة المورد / نموذج 12</t>
        </is>
      </c>
      <c r="E24" s="25" t="inlineStr">
        <is>
          <t>GL_Journal</t>
        </is>
      </c>
      <c r="F24" s="25" t="inlineStr">
        <is>
          <t>—</t>
        </is>
      </c>
    </row>
    <row r="25">
      <c r="A25" s="25" t="inlineStr">
        <is>
          <t>Supplier_Balances / Customer_Balances</t>
        </is>
      </c>
      <c r="B25" s="25" t="inlineStr">
        <is>
          <t>D/K</t>
        </is>
      </c>
      <c r="C25" s="25" t="inlineStr">
        <is>
          <t>الأرصدة وأعمار الديون</t>
        </is>
      </c>
      <c r="D25" s="25" t="inlineStr">
        <is>
          <t>لا إدخال</t>
        </is>
      </c>
      <c r="E25" s="25" t="inlineStr">
        <is>
          <t>تقارير</t>
        </is>
      </c>
      <c r="F25" s="25" t="inlineStr">
        <is>
          <t>—</t>
        </is>
      </c>
    </row>
    <row r="26">
      <c r="A26" s="25" t="inlineStr">
        <is>
          <t>Expenses</t>
        </is>
      </c>
      <c r="B26" s="25" t="inlineStr">
        <is>
          <t>H</t>
        </is>
      </c>
      <c r="C26" s="25" t="inlineStr">
        <is>
          <t>المصروفات والمستحقات</t>
        </is>
      </c>
      <c r="D26" s="25" t="inlineStr">
        <is>
          <t>نموذج 17</t>
        </is>
      </c>
      <c r="E26" s="25" t="inlineStr">
        <is>
          <t>GL_Journal</t>
        </is>
      </c>
      <c r="F26" s="25" t="inlineStr">
        <is>
          <t>—</t>
        </is>
      </c>
    </row>
    <row r="27">
      <c r="A27" s="25" t="inlineStr">
        <is>
          <t>Manual_JE</t>
        </is>
      </c>
      <c r="B27" s="25" t="inlineStr">
        <is>
          <t>J</t>
        </is>
      </c>
      <c r="C27" s="25" t="inlineStr">
        <is>
          <t>القيود اليدوية والتسويات</t>
        </is>
      </c>
      <c r="D27" s="25" t="inlineStr">
        <is>
          <t>نماذج 24-25</t>
        </is>
      </c>
      <c r="E27" s="25" t="inlineStr">
        <is>
          <t>GL_Journal</t>
        </is>
      </c>
      <c r="F27" s="25" t="inlineStr">
        <is>
          <t>—</t>
        </is>
      </c>
    </row>
    <row r="28">
      <c r="A28" s="25" t="inlineStr">
        <is>
          <t>Posting_Rules</t>
        </is>
      </c>
      <c r="B28" s="25" t="inlineStr">
        <is>
          <t>J</t>
        </is>
      </c>
      <c r="C28" s="25" t="inlineStr">
        <is>
          <t>خريطة الحسابات وقواعد القيود</t>
        </is>
      </c>
      <c r="D28" s="25" t="inlineStr">
        <is>
          <t>المسؤول فقط</t>
        </is>
      </c>
      <c r="E28" s="25" t="inlineStr">
        <is>
          <t>—</t>
        </is>
      </c>
      <c r="F28" s="25" t="inlineStr">
        <is>
          <t>—</t>
        </is>
      </c>
    </row>
    <row r="29">
      <c r="A29" s="25" t="inlineStr">
        <is>
          <t>GL_Journal</t>
        </is>
      </c>
      <c r="B29" s="25" t="inlineStr">
        <is>
          <t>J</t>
        </is>
      </c>
      <c r="C29" s="25" t="inlineStr">
        <is>
          <t>دفتر اليومية العام المولّد آليًا</t>
        </is>
      </c>
      <c r="D29" s="25" t="inlineStr">
        <is>
          <t>لا إدخال</t>
        </is>
      </c>
      <c r="E29" s="25" t="inlineStr">
        <is>
          <t>كل التقارير</t>
        </is>
      </c>
      <c r="F29" s="25" t="inlineStr">
        <is>
          <t>—</t>
        </is>
      </c>
    </row>
    <row r="30">
      <c r="A30" s="25" t="inlineStr">
        <is>
          <t>GL_Ledger</t>
        </is>
      </c>
      <c r="B30" s="25" t="inlineStr">
        <is>
          <t>K</t>
        </is>
      </c>
      <c r="C30" s="25" t="inlineStr">
        <is>
          <t>الأستاذ العام وكشف الحساب</t>
        </is>
      </c>
      <c r="D30" s="25" t="inlineStr">
        <is>
          <t>اختيار حساب/جهة</t>
        </is>
      </c>
      <c r="E30" s="25" t="inlineStr">
        <is>
          <t>—</t>
        </is>
      </c>
      <c r="F30" s="25" t="inlineStr">
        <is>
          <t>—</t>
        </is>
      </c>
    </row>
    <row r="31">
      <c r="A31" s="25" t="inlineStr">
        <is>
          <t>Trial_Balance / Income_Statement / Balance_Sheet</t>
        </is>
      </c>
      <c r="B31" s="25" t="inlineStr">
        <is>
          <t>K</t>
        </is>
      </c>
      <c r="C31" s="25" t="inlineStr">
        <is>
          <t>ميزان المراجعة وقائمة الدخل والميزانية</t>
        </is>
      </c>
      <c r="D31" s="25" t="inlineStr">
        <is>
          <t>لا إدخال</t>
        </is>
      </c>
      <c r="E31" s="25" t="inlineStr">
        <is>
          <t>—</t>
        </is>
      </c>
      <c r="F31" s="25" t="inlineStr">
        <is>
          <t>—</t>
        </is>
      </c>
    </row>
    <row r="32">
      <c r="A32" s="25" t="inlineStr">
        <is>
          <t>Close_Checklist / Close_Confirm / Period_Close</t>
        </is>
      </c>
      <c r="B32" s="25" t="inlineStr">
        <is>
          <t>L</t>
        </is>
      </c>
      <c r="C32" s="25" t="inlineStr">
        <is>
          <t>الإقفال وتأكيداته وسجله</t>
        </is>
      </c>
      <c r="D32" s="25" t="inlineStr">
        <is>
          <t>تأكيدات</t>
        </is>
      </c>
      <c r="E32" s="25" t="inlineStr">
        <is>
          <t>—</t>
        </is>
      </c>
      <c r="F32" s="25" t="inlineStr">
        <is>
          <t>—</t>
        </is>
      </c>
    </row>
    <row r="33">
      <c r="A33" s="25" t="inlineStr">
        <is>
          <t>Audit_Log</t>
        </is>
      </c>
      <c r="B33" s="25" t="inlineStr">
        <is>
          <t>L</t>
        </is>
      </c>
      <c r="C33" s="25" t="inlineStr">
        <is>
          <t>سجل المراجعة (يدوي + Apps Script)</t>
        </is>
      </c>
      <c r="D33" s="25" t="inlineStr">
        <is>
          <t>تسجيل الأحداث</t>
        </is>
      </c>
      <c r="E33" s="25" t="inlineStr">
        <is>
          <t>—</t>
        </is>
      </c>
      <c r="F33" s="25" t="inlineStr">
        <is>
          <t>—</t>
        </is>
      </c>
    </row>
    <row r="34">
      <c r="A34" s="25" t="inlineStr">
        <is>
          <t>Test_Cases</t>
        </is>
      </c>
      <c r="B34" s="25" t="inlineStr">
        <is>
          <t>—</t>
        </is>
      </c>
      <c r="C34" s="25" t="inlineStr">
        <is>
          <t>اختبارات الجودة الحية</t>
        </is>
      </c>
      <c r="D34" s="25" t="inlineStr">
        <is>
          <t>—</t>
        </is>
      </c>
      <c r="E34" s="25" t="inlineStr">
        <is>
          <t>—</t>
        </is>
      </c>
      <c r="F34" s="25" t="inlineStr">
        <is>
          <t>—</t>
        </is>
      </c>
    </row>
    <row r="35">
      <c r="A35" s="25" t="inlineStr">
        <is>
          <t>JE_Guide / Forms_Catalog / Glossary</t>
        </is>
      </c>
      <c r="B35" s="25" t="inlineStr">
        <is>
          <t>—</t>
        </is>
      </c>
      <c r="C35" s="25" t="inlineStr">
        <is>
          <t>دليل القيود والنماذج والقاموس</t>
        </is>
      </c>
      <c r="D35" s="25" t="inlineStr">
        <is>
          <t>—</t>
        </is>
      </c>
      <c r="E35" s="25" t="inlineStr">
        <is>
          <t>—</t>
        </is>
      </c>
      <c r="F35" s="25" t="inlineStr">
        <is>
          <t>—</t>
        </is>
      </c>
    </row>
    <row r="36">
      <c r="A36" s="25" t="inlineStr">
        <is>
          <t>Known_Issues / Roadmap / Expansion_Guide</t>
        </is>
      </c>
      <c r="B36" s="25" t="inlineStr">
        <is>
          <t>—</t>
        </is>
      </c>
      <c r="C36" s="25" t="inlineStr">
        <is>
          <t>المشكلات المعروفة وخطة التطوير وإرشادات التوسعة</t>
        </is>
      </c>
      <c r="D36" s="25" t="inlineStr">
        <is>
          <t>—</t>
        </is>
      </c>
      <c r="E36" s="25" t="inlineStr">
        <is>
          <t>—</t>
        </is>
      </c>
      <c r="F36" s="25" t="inlineStr">
        <is>
          <t>—</t>
        </is>
      </c>
    </row>
    <row r="37">
      <c r="A37" s="25" t="inlineStr">
        <is>
          <t>PR, Quotations, PO, GRN, Inventory_Moves, Stock_Count, Recipes, Production, Payroll, Fixed_Assets, Advances_Custody</t>
        </is>
      </c>
      <c r="B37" s="25" t="inlineStr">
        <is>
          <t>المراحل 2-3</t>
        </is>
      </c>
      <c r="C37" s="25" t="inlineStr">
        <is>
          <t>هياكل جاهزة للمراحل القادمة</t>
        </is>
      </c>
      <c r="D37" s="25" t="inlineStr">
        <is>
          <t>—</t>
        </is>
      </c>
      <c r="E37" s="25" t="inlineStr">
        <is>
          <t>—</t>
        </is>
      </c>
      <c r="F37" s="25" t="inlineStr">
        <is>
          <t>لا تؤثر على الدفاتر بعد</t>
        </is>
      </c>
    </row>
  </sheetData>
  <autoFilter ref="A4:F37"/>
  <pageMargins left="0.75" right="0.75" top="1" bottom="1" header="0.5" footer="0.5"/>
</worksheet>
</file>

<file path=xl/worksheets/sheet3.xml><?xml version="1.0" encoding="utf-8"?>
<worksheet xmlns="http://schemas.openxmlformats.org/spreadsheetml/2006/main">
  <sheetPr>
    <tabColor rgb="007F7F7F"/>
    <outlinePr summaryBelow="1" summaryRight="1"/>
    <pageSetUpPr/>
  </sheetPr>
  <dimension ref="A1:H21"/>
  <sheetViews>
    <sheetView rightToLeft="1" zoomScale="90" workbookViewId="0">
      <pane ySplit="4" topLeftCell="A5" activePane="bottomLeft" state="frozen"/>
      <selection pane="bottomLeft" activeCell="A1" sqref="A1"/>
    </sheetView>
  </sheetViews>
  <sheetFormatPr baseColWidth="8" defaultRowHeight="15"/>
  <cols>
    <col width="26" customWidth="1" min="1" max="1"/>
    <col width="26" customWidth="1" min="2" max="2"/>
    <col width="20" customWidth="1" min="3" max="3"/>
    <col width="24" customWidth="1" min="4" max="4"/>
    <col width="56" customWidth="1" min="5" max="5"/>
    <col width="40" customWidth="1" min="6" max="6"/>
    <col width="34" customWidth="1" min="7" max="7"/>
    <col width="14" customWidth="1" min="8" max="8"/>
  </cols>
  <sheetData>
    <row r="1" ht="26" customHeight="1">
      <c r="A1" s="22" t="inlineStr">
        <is>
          <t>خريطة النظام (System Map)</t>
        </is>
      </c>
      <c r="B1" s="1" t="n"/>
      <c r="C1" s="1" t="n"/>
      <c r="D1" s="1" t="n"/>
      <c r="E1" s="1" t="n"/>
      <c r="F1" s="1" t="n"/>
      <c r="G1" s="1" t="n"/>
      <c r="H1" s="1" t="n"/>
    </row>
    <row r="2">
      <c r="A2" s="23" t="inlineStr">
        <is>
          <t>الوحدات المالية والتشغيلية وحركة البيانات بينها</t>
        </is>
      </c>
    </row>
    <row r="4">
      <c r="A4" s="24" t="inlineStr">
        <is>
          <t>الوحدة</t>
        </is>
      </c>
      <c r="B4" s="24" t="inlineStr">
        <is>
          <t>المستند الذي يبدأ الحركة</t>
        </is>
      </c>
      <c r="C4" s="24" t="inlineStr">
        <is>
          <t>من يعدّه</t>
        </is>
      </c>
      <c r="D4" s="24" t="inlineStr">
        <is>
          <t>من يعتمده</t>
        </is>
      </c>
      <c r="E4" s="24" t="inlineStr">
        <is>
          <t>القيد المحاسبي الناتج</t>
        </is>
      </c>
      <c r="F4" s="24" t="inlineStr">
        <is>
          <t>الأثر (خزينة / مخزون / تكلفة / ربح)</t>
        </is>
      </c>
      <c r="G4" s="24" t="inlineStr">
        <is>
          <t>التقارير</t>
        </is>
      </c>
      <c r="H4" s="24" t="inlineStr">
        <is>
          <t>المرحلة</t>
        </is>
      </c>
    </row>
    <row r="5">
      <c r="A5" s="25" t="inlineStr">
        <is>
          <t>مبيعات الفرع اليومية</t>
        </is>
      </c>
      <c r="B5" s="25" t="inlineStr">
        <is>
          <t>تقرير مبيعات يومي (15)</t>
        </is>
      </c>
      <c r="C5" s="25" t="inlineStr">
        <is>
          <t>الكاشير / أمين الصندوق</t>
        </is>
      </c>
      <c r="D5" s="25" t="inlineStr">
        <is>
          <t>مدير الفرع ← المحاسب يرحّل</t>
        </is>
      </c>
      <c r="E5" s="25" t="inlineStr">
        <is>
          <t>مدين: تحصيل كل وسيلة دفع (خزينة / بطاقات / منصات) + خصومات + مرتجعات | دائن: إيراد كل فئة (+ضريبة)</t>
        </is>
      </c>
      <c r="F5" s="25" t="inlineStr">
        <is>
          <t>نقدية↑ أو مستحقات↑ | ربح↑ | مخزون: لا (التكلفة في التسوية الدورية)</t>
        </is>
      </c>
      <c r="G5" s="25" t="inlineStr">
        <is>
          <t>Income_Statement, Dashboard, Daily_Recon</t>
        </is>
      </c>
      <c r="H5" s="25" t="inlineStr">
        <is>
          <t>1</t>
        </is>
      </c>
    </row>
    <row r="6">
      <c r="A6" s="25" t="inlineStr">
        <is>
          <t>مطابقة المبيعات اليومية</t>
        </is>
      </c>
      <c r="B6" s="25" t="inlineStr">
        <is>
          <t>كشف إقفال (14) + تقرير الجهاز/المنصة</t>
        </is>
      </c>
      <c r="C6" s="25" t="inlineStr">
        <is>
          <t>أمين الصندوق</t>
        </is>
      </c>
      <c r="D6" s="25" t="inlineStr">
        <is>
          <t>مدير الفرع</t>
        </is>
      </c>
      <c r="E6" s="25" t="inlineStr">
        <is>
          <t>لا قيد؛ الفرق يُسجل بسند عجز/زيادة</t>
        </is>
      </c>
      <c r="F6" s="25" t="inlineStr">
        <is>
          <t>يكشف الفروق قبل أن تدخل الأرباح</t>
        </is>
      </c>
      <c r="G6" s="25" t="inlineStr">
        <is>
          <t>Daily_Recon, Close_Checklist</t>
        </is>
      </c>
      <c r="H6" s="25" t="inlineStr">
        <is>
          <t>1</t>
        </is>
      </c>
    </row>
    <row r="7">
      <c r="A7" s="25" t="inlineStr">
        <is>
          <t>تسوية المنصات والبطاقات</t>
        </is>
      </c>
      <c r="B7" s="25" t="inlineStr">
        <is>
          <t>كشف تسوية (16)</t>
        </is>
      </c>
      <c r="C7" s="25" t="inlineStr">
        <is>
          <t>المحاسب</t>
        </is>
      </c>
      <c r="D7" s="25" t="inlineStr">
        <is>
          <t>المدير المالي</t>
        </is>
      </c>
      <c r="E7" s="25" t="inlineStr">
        <is>
          <t>مدين: بنك + عمولة + خصومات (+1309) | دائن: مستحقات المنصة</t>
        </is>
      </c>
      <c r="F7" s="25" t="inlineStr">
        <is>
          <t>نقدية↑ | مستحقات↓ | ربح↓ بقيمة العمولة فقط</t>
        </is>
      </c>
      <c r="G7" s="25" t="inlineStr">
        <is>
          <t>Platform_Settlements, Balance_Sheet</t>
        </is>
      </c>
      <c r="H7" s="25" t="inlineStr">
        <is>
          <t>1</t>
        </is>
      </c>
    </row>
    <row r="8">
      <c r="A8" s="25" t="inlineStr">
        <is>
          <t>الخزائن وسندات القبض والصرف</t>
        </is>
      </c>
      <c r="B8" s="25" t="inlineStr">
        <is>
          <t>سند قبض (11) / صرف (12)</t>
        </is>
      </c>
      <c r="C8" s="25" t="inlineStr">
        <is>
          <t>أمين الصندوق</t>
        </is>
      </c>
      <c r="D8" s="25" t="inlineStr">
        <is>
          <t>المعتمد ← المحاسب</t>
        </is>
      </c>
      <c r="E8" s="25" t="inlineStr">
        <is>
          <t>قبض: مدين خزينة / دائن الحساب المقابل | صرف: العكس</t>
        </is>
      </c>
      <c r="F8" s="25" t="inlineStr">
        <is>
          <t>حسب الحساب المقابل</t>
        </is>
      </c>
      <c r="G8" s="25" t="inlineStr">
        <is>
          <t>Treasury_Balances, GL_Ledger</t>
        </is>
      </c>
      <c r="H8" s="25" t="inlineStr">
        <is>
          <t>1</t>
        </is>
      </c>
    </row>
    <row r="9">
      <c r="A9" s="25" t="inlineStr">
        <is>
          <t>التحويل بين الخزائن والبنوك</t>
        </is>
      </c>
      <c r="B9" s="25" t="inlineStr">
        <is>
          <t>إذن تحويل (13)</t>
        </is>
      </c>
      <c r="C9" s="25" t="inlineStr">
        <is>
          <t>المسلِّم والمستلم</t>
        </is>
      </c>
      <c r="D9" s="25" t="inlineStr">
        <is>
          <t>المعتمد</t>
        </is>
      </c>
      <c r="E9" s="25" t="inlineStr">
        <is>
          <t>مدين: الخزينة المستلمة / دائن: المسلِّمة</t>
        </is>
      </c>
      <c r="F9" s="25" t="inlineStr">
        <is>
          <t>لا أثر على الإيراد أو المصروف</t>
        </is>
      </c>
      <c r="G9" s="25" t="inlineStr">
        <is>
          <t>Treasury_Balances, Cash_Flow (تحويلات داخلية = 0)</t>
        </is>
      </c>
      <c r="H9" s="25" t="inlineStr">
        <is>
          <t>1</t>
        </is>
      </c>
    </row>
    <row r="10">
      <c r="A10" s="25" t="inlineStr">
        <is>
          <t>عجز وزيادة الخزينة</t>
        </is>
      </c>
      <c r="B10" s="25" t="inlineStr">
        <is>
          <t>كشف إقفال (14) + تسوية (30)</t>
        </is>
      </c>
      <c r="C10" s="25" t="inlineStr">
        <is>
          <t>أمين الصندوق</t>
        </is>
      </c>
      <c r="D10" s="25" t="inlineStr">
        <is>
          <t>مدير الفرع + المدير المالي</t>
        </is>
      </c>
      <c r="E10" s="25" t="inlineStr">
        <is>
          <t>عجز: مدين 6910 / دائن خزينة | زيادة: مدين خزينة / دائن 4210</t>
        </is>
      </c>
      <c r="F10" s="25" t="inlineStr">
        <is>
          <t>نقدية↓/↑ | ربح↓/↑</t>
        </is>
      </c>
      <c r="G10" s="25" t="inlineStr">
        <is>
          <t>Cash_Close, Dashboard</t>
        </is>
      </c>
      <c r="H10" s="25" t="inlineStr">
        <is>
          <t>1</t>
        </is>
      </c>
    </row>
    <row r="11">
      <c r="A11" s="25" t="inlineStr">
        <is>
          <t>المصروفات والمستحقات</t>
        </is>
      </c>
      <c r="B11" s="25" t="inlineStr">
        <is>
          <t>نموذج مصروفات (17)</t>
        </is>
      </c>
      <c r="C11" s="25" t="inlineStr">
        <is>
          <t>مقدم الطلب</t>
        </is>
      </c>
      <c r="D11" s="25" t="inlineStr">
        <is>
          <t>مدير الفرع/الإدارة ← المحاسب</t>
        </is>
      </c>
      <c r="E11" s="25" t="inlineStr">
        <is>
          <t>فوري: مدين مصروف / دائن خزينة | آجل: دائن 2201</t>
        </is>
      </c>
      <c r="F11" s="25" t="inlineStr">
        <is>
          <t>ربح↓ بتاريخ الاستحقاق | نقدية بتاريخ الدفع</t>
        </is>
      </c>
      <c r="G11" s="25" t="inlineStr">
        <is>
          <t>Expenses, Income_Statement</t>
        </is>
      </c>
      <c r="H11" s="25" t="inlineStr">
        <is>
          <t>1</t>
        </is>
      </c>
    </row>
    <row r="12">
      <c r="A12" s="25" t="inlineStr">
        <is>
          <t>المشتريات (طلب ← أمر ← استلام ← فاتورة ← سداد)</t>
        </is>
      </c>
      <c r="B12" s="25" t="inlineStr">
        <is>
          <t>نماذج 1 و2 و3 + فاتورة المورد</t>
        </is>
      </c>
      <c r="C12" s="25" t="inlineStr">
        <is>
          <t>مشرف المشتريات / أمين المخزن</t>
        </is>
      </c>
      <c r="D12" s="25" t="inlineStr">
        <is>
          <t>معتمد الشراء ← المدير المالي</t>
        </is>
      </c>
      <c r="E12" s="25" t="inlineStr">
        <is>
          <t>فاتورة: مدين مخزون/أصل/مصروف / دائن 2101 | الطلب والأمر لا قيد لهما</t>
        </is>
      </c>
      <c r="F12" s="25" t="inlineStr">
        <is>
          <t>مخزون↑ والتزام↑ | لا أثر على الربح</t>
        </is>
      </c>
      <c r="G12" s="25" t="inlineStr">
        <is>
          <t>Supplier_Invoices, Supplier_Balances</t>
        </is>
      </c>
      <c r="H12" s="25" t="inlineStr">
        <is>
          <t>1 (الفاتورة) / 2 (الطلب والأمر والاستلام)</t>
        </is>
      </c>
    </row>
    <row r="13">
      <c r="A13" s="25" t="inlineStr">
        <is>
          <t>الموردون ودفعاتهم</t>
        </is>
      </c>
      <c r="B13" s="25" t="inlineStr">
        <is>
          <t>سند صرف (12)</t>
        </is>
      </c>
      <c r="C13" s="25" t="inlineStr">
        <is>
          <t>مشرف المشتريات</t>
        </is>
      </c>
      <c r="D13" s="25" t="inlineStr">
        <is>
          <t>المدير المالي</t>
        </is>
      </c>
      <c r="E13" s="25" t="inlineStr">
        <is>
          <t>مدين 2101 / دائن خزينة أو بنك</t>
        </is>
      </c>
      <c r="F13" s="25" t="inlineStr">
        <is>
          <t>التزام↓ ونقدية↓</t>
        </is>
      </c>
      <c r="G13" s="25" t="inlineStr">
        <is>
          <t>Supplier_Payments, Supplier_Balances</t>
        </is>
      </c>
      <c r="H13" s="25" t="inlineStr">
        <is>
          <t>1</t>
        </is>
      </c>
    </row>
    <row r="14">
      <c r="A14" s="25" t="inlineStr">
        <is>
          <t>المخزون والتحويلات</t>
        </is>
      </c>
      <c r="B14" s="25" t="inlineStr">
        <is>
          <t>إذن استلام (3) / صرف (4) / تحويل (5) / جرد (10)</t>
        </is>
      </c>
      <c r="C14" s="25" t="inlineStr">
        <is>
          <t>أمين المخزن</t>
        </is>
      </c>
      <c r="D14" s="25" t="inlineStr">
        <is>
          <t>معتمد الصرف</t>
        </is>
      </c>
      <c r="E14" s="25" t="inlineStr">
        <is>
          <t>التحويل: مدين مخزون المستلم / دائن المسلِّم (بالتكلفة الدفترية)</t>
        </is>
      </c>
      <c r="F14" s="25" t="inlineStr">
        <is>
          <t>لا إيراد ولا تكلفة مبيعات</t>
        </is>
      </c>
      <c r="G14" s="25" t="inlineStr">
        <is>
          <t>Inventory_Moves (المرحلة 2)</t>
        </is>
      </c>
      <c r="H14" s="25" t="inlineStr">
        <is>
          <t>2</t>
        </is>
      </c>
    </row>
    <row r="15">
      <c r="A15" s="25" t="inlineStr">
        <is>
          <t>السنتر كيتشن والإنتاج</t>
        </is>
      </c>
      <c r="B15" s="25" t="inlineStr">
        <is>
          <t>نماذج 6 و7 و8 و9</t>
        </is>
      </c>
      <c r="C15" s="25" t="inlineStr">
        <is>
          <t>مدير الإنتاج</t>
        </is>
      </c>
      <c r="D15" s="25" t="inlineStr">
        <is>
          <t>المدير المالي (للهالك غير الطبيعي)</t>
        </is>
      </c>
      <c r="E15" s="25" t="inlineStr">
        <is>
          <t>خام ← تحت التشغيل ← تام ← مخزون الفرع، والهالك بحساب منفصل</t>
        </is>
      </c>
      <c r="F15" s="25" t="inlineStr">
        <is>
          <t>لا إيراد؛ التكلفة تنتقل مع المنتج</t>
        </is>
      </c>
      <c r="G15" s="25" t="inlineStr">
        <is>
          <t>Production, Recipes (المرحلة 2)</t>
        </is>
      </c>
      <c r="H15" s="25" t="inlineStr">
        <is>
          <t>2</t>
        </is>
      </c>
    </row>
    <row r="16">
      <c r="A16" s="25" t="inlineStr">
        <is>
          <t>تكلفة المبيعات</t>
        </is>
      </c>
      <c r="B16" s="25" t="inlineStr">
        <is>
          <t>محضر جرد (10) + تسوية (25)</t>
        </is>
      </c>
      <c r="C16" s="25" t="inlineStr">
        <is>
          <t>المحاسب + أمين المخزن</t>
        </is>
      </c>
      <c r="D16" s="25" t="inlineStr">
        <is>
          <t>المدير المالي</t>
        </is>
      </c>
      <c r="E16" s="25" t="inlineStr">
        <is>
          <t>النسخة 1: مدين 5101 / دائن 1401.. بالمستهلك شهريًا (دوري مُعدّل) | المرحلة 2: مستمر</t>
        </is>
      </c>
      <c r="F16" s="25" t="inlineStr">
        <is>
          <t>ربح↓ | مخزون↓</t>
        </is>
      </c>
      <c r="G16" s="25" t="inlineStr">
        <is>
          <t>Income_Statement, Close_Checklist</t>
        </is>
      </c>
      <c r="H16" s="25" t="inlineStr">
        <is>
          <t>1 / 2</t>
        </is>
      </c>
    </row>
    <row r="17">
      <c r="A17" s="25" t="inlineStr">
        <is>
          <t>الرواتب والسلف والعهد</t>
        </is>
      </c>
      <c r="B17" s="25" t="inlineStr">
        <is>
          <t>كشف رواتب (22) / سلفة (18) / عهدة (19)</t>
        </is>
      </c>
      <c r="C17" s="25" t="inlineStr">
        <is>
          <t>الموارد البشرية / المحاسب</t>
        </is>
      </c>
      <c r="D17" s="25" t="inlineStr">
        <is>
          <t>المدير المالي</t>
        </is>
      </c>
      <c r="E17" s="25" t="inlineStr">
        <is>
          <t>استحقاق: مدين 6101 / دائن 2202 | سلفة: مدين 1501</t>
        </is>
      </c>
      <c r="F17" s="25" t="inlineStr">
        <is>
          <t>ربح↓ بالاستحقاق | نقدية بالدفع</t>
        </is>
      </c>
      <c r="G17" s="25" t="inlineStr">
        <is>
          <t>Payroll, Employees (المرحلة 3)</t>
        </is>
      </c>
      <c r="H17" s="25" t="inlineStr">
        <is>
          <t>3 (مؤقتًا بقيد يدوي)</t>
        </is>
      </c>
    </row>
    <row r="18">
      <c r="A18" s="25" t="inlineStr">
        <is>
          <t>الأصول الثابتة والإهلاك</t>
        </is>
      </c>
      <c r="B18" s="25" t="inlineStr">
        <is>
          <t>فاتورة أصل + بطاقة أصل</t>
        </is>
      </c>
      <c r="C18" s="25" t="inlineStr">
        <is>
          <t>المحاسب</t>
        </is>
      </c>
      <c r="D18" s="25" t="inlineStr">
        <is>
          <t>المدير المالي</t>
        </is>
      </c>
      <c r="E18" s="25" t="inlineStr">
        <is>
          <t>شراء: مدين 17xx / دائن 2101 | إهلاك: مدين 6801 / دائن 179x</t>
        </is>
      </c>
      <c r="F18" s="25" t="inlineStr">
        <is>
          <t>ربح↓ بالإهلاك فقط</t>
        </is>
      </c>
      <c r="G18" s="25" t="inlineStr">
        <is>
          <t>Fixed_Assets (المرحلة 3)</t>
        </is>
      </c>
      <c r="H18" s="25" t="inlineStr">
        <is>
          <t>3 (مؤقتًا بقيد يدوي)</t>
        </is>
      </c>
    </row>
    <row r="19">
      <c r="A19" s="25" t="inlineStr">
        <is>
          <t>القيود والتسويات</t>
        </is>
      </c>
      <c r="B19" s="25" t="inlineStr">
        <is>
          <t>قيد يومية (24) / تسوية (25)</t>
        </is>
      </c>
      <c r="C19" s="25" t="inlineStr">
        <is>
          <t>المحاسب</t>
        </is>
      </c>
      <c r="D19" s="25" t="inlineStr">
        <is>
          <t>المدير المالي</t>
        </is>
      </c>
      <c r="E19" s="25" t="inlineStr">
        <is>
          <t>حسب القيد: يجب أن يتساوى المدين والدائن قبل الترحيل</t>
        </is>
      </c>
      <c r="F19" s="25" t="inlineStr">
        <is>
          <t>حسب القيد</t>
        </is>
      </c>
      <c r="G19" s="25" t="inlineStr">
        <is>
          <t>GL_Journal, Manual_JE</t>
        </is>
      </c>
      <c r="H19" s="25" t="inlineStr">
        <is>
          <t>1</t>
        </is>
      </c>
    </row>
    <row r="20">
      <c r="A20" s="25" t="inlineStr">
        <is>
          <t>الإقفال الشهري</t>
        </is>
      </c>
      <c r="B20" s="25" t="inlineStr">
        <is>
          <t>محضر إقفال (26)</t>
        </is>
      </c>
      <c r="C20" s="25" t="inlineStr">
        <is>
          <t>المحاسب</t>
        </is>
      </c>
      <c r="D20" s="25" t="inlineStr">
        <is>
          <t>المدير المالي + الإدارة العليا</t>
        </is>
      </c>
      <c r="E20" s="25" t="inlineStr">
        <is>
          <t>لا قيد شهري؛ لقطة نتائج وقت الإقفال</t>
        </is>
      </c>
      <c r="F20" s="25" t="inlineStr">
        <is>
          <t>يثبت أرقام الفترة</t>
        </is>
      </c>
      <c r="G20" s="25" t="inlineStr">
        <is>
          <t>Close_Checklist, Period_Close</t>
        </is>
      </c>
      <c r="H20" s="25" t="inlineStr">
        <is>
          <t>1</t>
        </is>
      </c>
    </row>
    <row r="21">
      <c r="A21" s="25" t="inlineStr">
        <is>
          <t>التقارير</t>
        </is>
      </c>
      <c r="B21" s="25" t="inlineStr">
        <is>
          <t>—</t>
        </is>
      </c>
      <c r="C21" s="25" t="inlineStr">
        <is>
          <t>المحاسب</t>
        </is>
      </c>
      <c r="D21" s="25" t="inlineStr">
        <is>
          <t>—</t>
        </is>
      </c>
      <c r="E21" s="25" t="inlineStr">
        <is>
          <t>تقرأ من دفتر اليومية فقط</t>
        </is>
      </c>
      <c r="F21" s="25" t="inlineStr">
        <is>
          <t>—</t>
        </is>
      </c>
      <c r="G21" s="25" t="inlineStr">
        <is>
          <t>Trial_Balance, Income_Statement, Balance_Sheet, Cash_Flow, Dashboard</t>
        </is>
      </c>
      <c r="H21" s="25" t="inlineStr">
        <is>
          <t>1</t>
        </is>
      </c>
    </row>
  </sheetData>
  <autoFilter ref="A4:H21"/>
  <pageMargins left="0.75" right="0.75" top="1" bottom="1" header="0.5" footer="0.5"/>
</worksheet>
</file>

<file path=xl/worksheets/sheet4.xml><?xml version="1.0" encoding="utf-8"?>
<worksheet xmlns="http://schemas.openxmlformats.org/spreadsheetml/2006/main">
  <sheetPr>
    <tabColor rgb="007F7F7F"/>
    <outlinePr summaryBelow="1" summaryRight="1"/>
    <pageSetUpPr/>
  </sheetPr>
  <dimension ref="A1:J18"/>
  <sheetViews>
    <sheetView rightToLeft="1" zoomScale="90" workbookViewId="0">
      <pane ySplit="4" topLeftCell="A5" activePane="bottomLeft" state="frozen"/>
      <selection pane="bottomLeft" activeCell="A1" sqref="A1"/>
    </sheetView>
  </sheetViews>
  <sheetFormatPr baseColWidth="8" defaultRowHeight="15"/>
  <cols>
    <col width="5" customWidth="1" min="1" max="1"/>
    <col width="24" customWidth="1" min="2" max="2"/>
    <col width="24" customWidth="1" min="3" max="3"/>
    <col width="24" customWidth="1" min="4" max="4"/>
    <col width="70" customWidth="1" min="5" max="5"/>
    <col width="36" customWidth="1" min="6" max="6"/>
    <col width="30" customWidth="1" min="7" max="7"/>
    <col width="30" customWidth="1" min="8" max="8"/>
    <col width="34" customWidth="1" min="9" max="9"/>
    <col width="22" customWidth="1" min="10" max="10"/>
  </cols>
  <sheetData>
    <row r="1" ht="26" customHeight="1">
      <c r="A1" s="22" t="inlineStr">
        <is>
          <t>دليل التشغيل المبسط لغير المحاسبين</t>
        </is>
      </c>
      <c r="B1" s="1" t="n"/>
      <c r="C1" s="1" t="n"/>
      <c r="D1" s="1" t="n"/>
      <c r="E1" s="1" t="n"/>
      <c r="F1" s="1" t="n"/>
      <c r="G1" s="1" t="n"/>
      <c r="H1" s="1" t="n"/>
      <c r="I1" s="1" t="n"/>
      <c r="J1" s="1" t="n"/>
    </row>
    <row r="2">
      <c r="A2" s="23" t="inlineStr">
        <is>
          <t>14 إجراء بالترتيب: من المسؤول، المستند، الخطوات، الخانات، النتيجة، التحقق، الأخطاء الشائعة، المعتمِد</t>
        </is>
      </c>
    </row>
    <row r="4">
      <c r="A4" s="24" t="inlineStr">
        <is>
          <t>م</t>
        </is>
      </c>
      <c r="B4" s="24" t="inlineStr">
        <is>
          <t>الإجراء</t>
        </is>
      </c>
      <c r="C4" s="24" t="inlineStr">
        <is>
          <t>من المسؤول؟</t>
        </is>
      </c>
      <c r="D4" s="24" t="inlineStr">
        <is>
          <t>المستند المطلوب</t>
        </is>
      </c>
      <c r="E4" s="24" t="inlineStr">
        <is>
          <t>الخطوات بالترتيب</t>
        </is>
      </c>
      <c r="F4" s="24" t="inlineStr">
        <is>
          <t>الخانات التي يملؤها</t>
        </is>
      </c>
      <c r="G4" s="24" t="inlineStr">
        <is>
          <t>النتيجة المتوقعة</t>
        </is>
      </c>
      <c r="H4" s="24" t="inlineStr">
        <is>
          <t>كيف يعرف أنها تمت صحيحة</t>
        </is>
      </c>
      <c r="I4" s="24" t="inlineStr">
        <is>
          <t>الأخطاء الشائعة</t>
        </is>
      </c>
      <c r="J4" s="24" t="inlineStr">
        <is>
          <t>من يعتمد</t>
        </is>
      </c>
    </row>
    <row r="5">
      <c r="A5" s="25" t="n">
        <v>1</v>
      </c>
      <c r="B5" s="25" t="inlineStr">
        <is>
          <t>كيف يبدأ المستخدم يومه</t>
        </is>
      </c>
      <c r="C5" s="25" t="inlineStr">
        <is>
          <t>مدير الفرع + أمين الصندوق (+ المحاسب في الإدارة)</t>
        </is>
      </c>
      <c r="D5" s="25" t="inlineStr">
        <is>
          <t>لا مستند (فحص بداية اليوم)</t>
        </is>
      </c>
      <c r="E5" s="25" t="inlineStr">
        <is>
          <t>1) افتح ملف Satamoni_Financial_Management_System من رابط Google Sheets الذي شاركه المدير المالي.
2) افتح ورقة Dashboard وانظر الشريط الأعلى: إذا ظهر (نتائج أولية) فهذا طبيعي أثناء الشهر.
3) اقرأ قسم التنبيهات (Alerts): الأحمر = مشكلة تحتاج إجراء، الأصفر = مراجعة، الأخضر = سليم.
4) افتح نموذج الورق الجديد لليوم (تقرير المبيعات اليومي - نموذج 15) وتأكد أن الرقم المطبوع عليه هو التالي بعد آخر رقم استُخدم.
5) أمين الصندوق يعدّ الفكّة ويسجلها في كشف إقفال الأمس ليتأكد من الرصيد الافتتاحي.</t>
        </is>
      </c>
      <c r="F5" s="25" t="inlineStr">
        <is>
          <t>لا خانات.</t>
        </is>
      </c>
      <c r="G5" s="25" t="inlineStr">
        <is>
          <t>تعرف حالة الفرع والتنبيهات المعلقة قبل بدء البيع.</t>
        </is>
      </c>
      <c r="H5" s="25" t="inlineStr">
        <is>
          <t>لا توجد تنبيهات حمراء تخص فرعك.</t>
        </is>
      </c>
      <c r="I5" s="25" t="inlineStr">
        <is>
          <t>• البدء دون قراءة التنبيهات
• استخدام رقم نموذج مكرر (النظام يمنع ترحيله)</t>
        </is>
      </c>
      <c r="J5" s="25" t="inlineStr">
        <is>
          <t>—</t>
        </is>
      </c>
    </row>
    <row r="6">
      <c r="A6" s="25" t="n">
        <v>2</v>
      </c>
      <c r="B6" s="25" t="inlineStr">
        <is>
          <t>كيف يسجل المبيعات</t>
        </is>
      </c>
      <c r="C6" s="25" t="inlineStr">
        <is>
          <t>أمين الصندوق/الكاشير يعد، مدير الفرع يعتمد، المحاسب يرحّل</t>
        </is>
      </c>
      <c r="D6" s="25" t="inlineStr">
        <is>
          <t>تقرير مبيعات يومي (نموذج 15)</t>
        </is>
      </c>
      <c r="E6" s="25" t="inlineStr">
        <is>
          <t>1) في آخر اليوم: اطبع تقرير نقطة البيع (أو اجمع الأرقام) واملأ نموذج 15: المبيعات حسب الفئة، الخصومات، المرتجعات، ثم التحصيل حسب وسيلة الدفع.
2) تأكد على الورق أن (مجموع وسائل الدفع = صافي المبيعات).
3) يوقّع الكاشير ومدير الفرع.
4) في Google Sheets افتح ورقة Sales_Daily وأضف صفًا جديدًا في أول صف فارغ (الخلايا الصفراء فقط).
5) املأ: رقم التقرير، التاريخ، الفرع، عدد الطلبات، المبيعات لكل فئة، الخصومات، المرتجعات، ثم تحصيل كل وسيلة دفع.
6) اختر الحالة (مسودة) ثم أخبر مدير الفرع ليختار نفسه في خانة (المعتمد) ويغيّر الحالة إلى (معتمد).
7) المحاسب يراجع ويغيّر الحالة إلى (مرحل) ويكتب اسمه في خانة (المحاسب المرحِّل).</t>
        </is>
      </c>
      <c r="F6" s="25" t="inlineStr">
        <is>
          <t>رقم التقرير، التاريخ، الفرع، عدد الطلبات، أربع خانات للفئات، الخصومات، المرتجعات، خمس خانات لوسائل الدفع، الحالة، المُعِد، المعتمد، المرحِّل، مرجع الورق.</t>
        </is>
      </c>
      <c r="G6" s="25" t="inlineStr">
        <is>
          <t>عمود (فحص المستند) فارغ، وعمود (فرق صافي - وسائل الدفع) = 0.00، وتظهر أسطر القيد في GL_Journal.</t>
        </is>
      </c>
      <c r="H6" s="25" t="inlineStr">
        <is>
          <t>Dashboard: مبيعات اليوم تساوي ما في النموذج الورقي.</t>
        </is>
      </c>
      <c r="I6" s="25" t="inlineStr">
        <is>
          <t>• كتابة الصافي في خانة الإجمالي
• نسيان خانة تحصيل المنصة فيظهر فرق
• ترك الحالة (مسودة): لن يظهر في التقارير
• اختيار فرع خطأ</t>
        </is>
      </c>
      <c r="J6" s="25" t="inlineStr">
        <is>
          <t>مدير الفرع (اعتماد) ثم المحاسب (ترحيل)</t>
        </is>
      </c>
    </row>
    <row r="7">
      <c r="A7" s="25" t="n">
        <v>3</v>
      </c>
      <c r="B7" s="25" t="inlineStr">
        <is>
          <t>كيف يغلق الخزينة</t>
        </is>
      </c>
      <c r="C7" s="25" t="inlineStr">
        <is>
          <t>أمين الصندوق يعد، مدير الفرع يعتمد، المحاسب يراجع</t>
        </is>
      </c>
      <c r="D7" s="25" t="inlineStr">
        <is>
          <t>كشف إقفال خزينة يومي (نموذج 14)، وعند الفرق نموذج 30</t>
        </is>
      </c>
      <c r="E7" s="25" t="inlineStr">
        <is>
          <t>1) عدّ النقدية الفعلية بالفئات واملأ نموذج 14.
2) في ورقة Cash_Close أضف صفًا: التاريخ، الخزينة، المبلغ المعدود.
3) اقرأ الرصيد الدفتري ثم عمود (فرق الجرد). إن كان صفرًا انتهيت.
4) إن وُجد فرق: اكتب سبب الفرق والمسؤول وحالة المعالجة، واملأ نموذج 30.
5) المحاسب يسجل في Cash_Vouchers سند (عجز خزينة) أو (زيادة خزينة) ويربط رقمه في Cash_Close.
6) في ورقة Daily_Recon سجل المطابقة اليومية لنقدي وكل وسيلة دفع (المتوقع من المبيعات ← الفعلي).</t>
        </is>
      </c>
      <c r="F7" s="25" t="inlineStr">
        <is>
          <t>التاريخ، الخزينة، المبلغ المعدود، السبب، المسؤول، الحالة، رقم سند التسوية.</t>
        </is>
      </c>
      <c r="G7" s="25" t="inlineStr">
        <is>
          <t>عمود (فرق متبقٍ بعد التسوية) = 0 ولا ظهور لـ (فحص).</t>
        </is>
      </c>
      <c r="H7" s="25" t="inlineStr">
        <is>
          <t>Cash_Close: الصف أخضر بلا تنبيه. Treasury_Balances: رصيد الخزينة = ما عددته.</t>
        </is>
      </c>
      <c r="I7" s="25" t="inlineStr">
        <is>
          <t>• إخفاء العجز في تعديل المبيعات
• عدم كتابة اسم المسؤول عن الفرق
• نسيان ربط رقم سند التسوية</t>
        </is>
      </c>
      <c r="J7" s="25" t="inlineStr">
        <is>
          <t>مدير الفرع + المحاسب</t>
        </is>
      </c>
    </row>
    <row r="8">
      <c r="A8" s="25" t="n">
        <v>4</v>
      </c>
      <c r="B8" s="25" t="inlineStr">
        <is>
          <t>كيف يطلب شراء بضاعة</t>
        </is>
      </c>
      <c r="C8" s="25" t="inlineStr">
        <is>
          <t>طالب الشراء (أمين المخزن/مدير الفرع)، معتمد الشراء</t>
        </is>
      </c>
      <c r="D8" s="25" t="inlineStr">
        <is>
          <t>طلب شراء (نموذج 1) ثم أمر شراء (نموذج 2)</t>
        </is>
      </c>
      <c r="E8" s="25" t="inlineStr">
        <is>
          <t>1) املأ نموذج 1: الأصناف والكميات والجهة وتاريخ الاحتياج.
2) يوقّع مدير الجهة، ثم يعتمد مشرف المشتريات.
3) مشرف المشتريات يصدر أمر شراء (نموذج 2) للمورد المعتمد ويحتفظ بالصورة.
4) في المرحلة 1: الطلب والأمر ورقيان فقط، ولا يُسجلان محاسبيًا. في المرحلة 2 سيُسجلان في ورقتي PR وPO.</t>
        </is>
      </c>
      <c r="F8" s="25" t="inlineStr">
        <is>
          <t>الجهة، التاريخ، الأصناف، الكميات، سبب الطلب.</t>
        </is>
      </c>
      <c r="G8" s="25" t="inlineStr">
        <is>
          <t>أمر شراء موقع ومرقم يُسلَّم للمورد.</t>
        </is>
      </c>
      <c r="H8" s="25" t="inlineStr">
        <is>
          <t>رقم الأمر مسجل في دفتر الأوامر ويحمل نفس رقم الطلب.</t>
        </is>
      </c>
      <c r="I8" s="25" t="inlineStr">
        <is>
          <t>• الشراء بدون أمر شراء
• أن يطلب ويعتمد نفس الشخص</t>
        </is>
      </c>
      <c r="J8" s="25" t="inlineStr">
        <is>
          <t>معتمد الشراء (مختلف عن الطالب)</t>
        </is>
      </c>
    </row>
    <row r="9">
      <c r="A9" s="25" t="n">
        <v>5</v>
      </c>
      <c r="B9" s="25" t="inlineStr">
        <is>
          <t>كيف يستلم أمين المخزن البضاعة</t>
        </is>
      </c>
      <c r="C9" s="25" t="inlineStr">
        <is>
          <t>أمين المخزن يستلم، مشرف المشتريات يطابق، المحاسب يسجل الفاتورة</t>
        </is>
      </c>
      <c r="D9" s="25" t="inlineStr">
        <is>
          <t>إذن استلام مخزني (نموذج 3) + فاتورة المورد</t>
        </is>
      </c>
      <c r="E9" s="25" t="inlineStr">
        <is>
          <t>1) قارن البضاعة الواردة بأمر الشراء: النوع والكمية والصلاحية والجودة.
2) املأ نموذج 3 بالكمية المستلمة والمرفوضة ووقّع مع مندوب المورد.
3) سلّم أصل الإذن للمحاسب مع الفاتورة في نفس اليوم.
4) المحاسب يسجل الفاتورة في Supplier_Invoices: المورد، رقم فاتورة المورد، التاريخ، الحساب المدين (مخزون)، الجهة، الصافي، مراجع الأمر والاستلام.
5) النظام يرفض فاتورة مكررة (نفس المورد ونفس الرقم).</t>
        </is>
      </c>
      <c r="F9" s="25" t="inlineStr">
        <is>
          <t>رقم التسجيل، رقم فاتورة المورد، المورد، التاريخ، النوع، الحساب المدين، الجهة، الصافي، الضريبة، الدفع الفوري (للنقدي)، الأمر، الاستلام.</t>
        </is>
      </c>
      <c r="G9" s="25" t="inlineStr">
        <is>
          <t>رصيد المورد يزيد بقيمة الفاتورة، ويظهر تاريخ الاستحقاق.</t>
        </is>
      </c>
      <c r="H9" s="25" t="inlineStr">
        <is>
          <t>Supplier_Balances: رصيد المورد وتاريخ الاستحقاق. عمود (فحص المستند) فارغ.</t>
        </is>
      </c>
      <c r="I9" s="25" t="inlineStr">
        <is>
          <t>• تسجيل الفاتورة قبل الاستلام الفعلي
• اختيار حساب مصروف بدل مخزون
• تسجيل فاتورة نفسها مرتين</t>
        </is>
      </c>
      <c r="J9" s="25" t="inlineStr">
        <is>
          <t>مشرف المشتريات (مطابقة) + المدير المالي</t>
        </is>
      </c>
    </row>
    <row r="10">
      <c r="A10" s="25" t="n">
        <v>6</v>
      </c>
      <c r="B10" s="25" t="inlineStr">
        <is>
          <t>كيف يصرف المخزن للسنتر كيتشن أو الفروع</t>
        </is>
      </c>
      <c r="C10" s="25" t="inlineStr">
        <is>
          <t>أمين المخزن ينفذ، مدير الإنتاج/الفرع يستلم، المعتمد يوقع</t>
        </is>
      </c>
      <c r="D10" s="25" t="inlineStr">
        <is>
          <t>طلب صرف إنتاج (6) / إذن صرف (4) / إذن تحويل (5)</t>
        </is>
      </c>
      <c r="E10" s="25" t="inlineStr">
        <is>
          <t>1) الجهة الطالبة تملأ الطلب بالكميات.
2) المعتمد يوقع.
3) أمين المخزن يصرف ويملأ إذن الصرف أو التحويل، ويوقع المستلم على الأصل.
4) تُسلَّم الأصول للمحاسب أسبوعيًا على الأقل لحفظ سجل الحركة.
5) المرحلة 1: ورقيًا فقط ولا يؤثر على الربح. المرحلة 2: تُسجل في Inventory_Moves، وتبقى تكلفة التحويل = التكلفة الدفترية.</t>
        </is>
      </c>
      <c r="F10" s="25" t="inlineStr">
        <is>
          <t>الصنف، الوحدة، الكمية، الجهة المصدر والمستلمة.</t>
        </is>
      </c>
      <c r="G10" s="25" t="inlineStr">
        <is>
          <t>الكمية تخرج من المخزن وتدخل جهة الاستلام بدون أي إيراد أو تكلفة مبيعات.</t>
        </is>
      </c>
      <c r="H10" s="25" t="inlineStr">
        <is>
          <t>لا يوجد في أي قيد حساب إيراد. الرصيد الإجمالي للمخزون لم يتغير.</t>
        </is>
      </c>
      <c r="I10" s="25" t="inlineStr">
        <is>
          <t>• الصرف بدون إذن موقع
• ترك التحويل مفتوحًا بدون توقيع المستلم</t>
        </is>
      </c>
      <c r="J10" s="25" t="inlineStr">
        <is>
          <t>معتمد الصرف</t>
        </is>
      </c>
    </row>
    <row r="11">
      <c r="A11" s="25" t="n">
        <v>7</v>
      </c>
      <c r="B11" s="25" t="inlineStr">
        <is>
          <t>كيف يتم تسجيل الإنتاج والهالك</t>
        </is>
      </c>
      <c r="C11" s="25" t="inlineStr">
        <is>
          <t>مدير الإنتاج يعد، أمين المخزن يتحقق، المدير المالي يعتمد الهالك غير الطبيعي</t>
        </is>
      </c>
      <c r="D11" s="25" t="inlineStr">
        <is>
          <t>تقرير إنتاج يومي (7) / تحويل إنتاج (8) / تقرير هالك (9)</t>
        </is>
      </c>
      <c r="E11" s="25" t="inlineStr">
        <is>
          <t>1) يصرف المطبخ المواد حسب الوصفة القياسية.
2) في نهاية اليوم يسجل مدير الإنتاج الكمية المخططة والفعلية والهالك الطبيعي وغير الطبيعي في نموذج 7.
3) يحوّل الإنتاج للفروع بنموذج 8 ويوقع الفرع.
4) الهالك غير الطبيعي يحتاج تحقيقًا واعتمادًا كتابيًا من المدير المالي.
5) المرحلة 2: تسجيل في Production وInventory_Moves مع حساب تكلفة الدفعة وتكلفة الوحدة والفروق.</t>
        </is>
      </c>
      <c r="F11" s="25" t="inlineStr">
        <is>
          <t>الوصفة، الكمية المخططة والفعلية، الهالك بنوعيه، الجهة المحولة إليها.</t>
        </is>
      </c>
      <c r="G11" s="25" t="inlineStr">
        <is>
          <t>تكلفة المنتج المحوَّل = تكلفة الدفعة ÷ الناتج الصالح؛ الهالك غير الطبيعي يظهر بحساب منفصل.</t>
        </is>
      </c>
      <c r="H11" s="25" t="inlineStr">
        <is>
          <t>مقارنة الاستخدام الفعلي بالوصفة القياسية.</t>
        </is>
      </c>
      <c r="I11" s="25" t="inlineStr">
        <is>
          <t>• احتساب المنتج المحول مبيعات
• إخفاء الهالك داخل الاستخدام</t>
        </is>
      </c>
      <c r="J11" s="25" t="inlineStr">
        <is>
          <t>مدير الإنتاج + المدير المالي (غير الطبيعي)</t>
        </is>
      </c>
    </row>
    <row r="12">
      <c r="A12" s="25" t="n">
        <v>8</v>
      </c>
      <c r="B12" s="25" t="inlineStr">
        <is>
          <t>كيف يتم تسجيل المصروفات</t>
        </is>
      </c>
      <c r="C12" s="25" t="inlineStr">
        <is>
          <t>مقدم الطلب يعد، مدير الفرع/الإدارة يوافق، المحاسب يرحّل</t>
        </is>
      </c>
      <c r="D12" s="25" t="inlineStr">
        <is>
          <t>نموذج مصروفات (17) + فاتورة/إيصال</t>
        </is>
      </c>
      <c r="E12" s="25" t="inlineStr">
        <is>
          <t>1) املأ نموذج 17 وارفق الفاتورة أو الإيصال.
2) اختر (فوري) إن دُفع الآن، أو (آجل) إن كان مستحقًا ويُسدد لاحقًا.
3) في ورقة Expenses أضف صفًا: رقم المصروف، تاريخ الاستحقاق، الفرع، مركز التكلفة، الحساب، المبلغ، النمط، الخزينة (للفوري)، المستفيد.
4) عند السداد لاحقًا للآجل: في Cash_Vouchers سجل (صرف) بالحساب المقابل 2201 واكتب في (المستند المرتبط) رقم المصروف.
5) لا تسجل هنا شراء أجهزة أو معدات: تُسجل في فواتير الموردين كأصل ثابت.</t>
        </is>
      </c>
      <c r="F12" s="25" t="inlineStr">
        <is>
          <t>الرقم، التاريخ، الفرع، مركز التكلفة، حساب المصروف، المبلغ، النمط، الخزينة، المستفيد، البيان.</t>
        </is>
      </c>
      <c r="G12" s="25" t="inlineStr">
        <is>
          <t>يظهر المصروف في قائمة الدخل في شهر الاستحقاق، وحالة السداد في عمود (حالة السداد).</t>
        </is>
      </c>
      <c r="H12" s="25" t="inlineStr">
        <is>
          <t>Expenses: حالة السداد صحيحة. Income_Statement: المصروف على الفرع المطلوب.</t>
        </is>
      </c>
      <c r="I12" s="25" t="inlineStr">
        <is>
          <t>• اختيار حساب غير صحيح
• تسجيل الآجل كفوري
• نسيان ربط سند السداد</t>
        </is>
      </c>
      <c r="J12" s="25" t="inlineStr">
        <is>
          <t>مدير الفرع/الإدارة + المدير المالي</t>
        </is>
      </c>
    </row>
    <row r="13">
      <c r="A13" s="25" t="n">
        <v>9</v>
      </c>
      <c r="B13" s="25" t="inlineStr">
        <is>
          <t>كيف يتم تسجيل سداد الموردين</t>
        </is>
      </c>
      <c r="C13" s="25" t="inlineStr">
        <is>
          <t>مشرف المشتريات يعد، المدير المالي يعتمد، أمين الخزينة ينفذ، المحاسب يرحّل</t>
        </is>
      </c>
      <c r="D13" s="25" t="inlineStr">
        <is>
          <t>سند صرف (نموذج 12) أو طلب دفع</t>
        </is>
      </c>
      <c r="E13" s="25" t="inlineStr">
        <is>
          <t>1) راجع Supplier_Balances: رصيد المورد وتاريخ الاستحقاق.
2) املأ نموذج 12 بالمبلغ والمورد والفواتير المسددة.
3) يعتمد المدير المالي، ثم يدفع أمين الخزينة أو يحوّل البنك.
4) في Supplier_Payments أضف صفًا: رقم الدفعة، التاريخ، المورد، الخزينة/البنك، المبلغ، طريقة الدفع، رقم تسجيل الفاتورة المسددة.</t>
        </is>
      </c>
      <c r="F13" s="25" t="inlineStr">
        <is>
          <t>رقم الدفعة، التاريخ، المورد، الخزينة/البنك، المبلغ، الطريقة، الفاتورة المسددة.</t>
        </is>
      </c>
      <c r="G13" s="25" t="inlineStr">
        <is>
          <t>رصيد المورد ينقص بقيمة الدفعة، ورصيد الخزينة/البنك ينقص.</t>
        </is>
      </c>
      <c r="H13" s="25" t="inlineStr">
        <is>
          <t>Supplier_Balances ثم Treasury_Balances. الفرق بين دفتر الموردين الفرعي وحساب 2101 = صفر.</t>
        </is>
      </c>
      <c r="I13" s="25" t="inlineStr">
        <is>
          <t>• دفعة تتجاوز الرصيد
• السداد قبل الاعتماد
• اختيار مورد خطأ</t>
        </is>
      </c>
      <c r="J13" s="25" t="inlineStr">
        <is>
          <t>المدير المالي</t>
        </is>
      </c>
    </row>
    <row r="14">
      <c r="A14" s="25" t="n">
        <v>10</v>
      </c>
      <c r="B14" s="25" t="inlineStr">
        <is>
          <t>كيف يراجع المدير نتائج الفرع</t>
        </is>
      </c>
      <c r="C14" s="25" t="inlineStr">
        <is>
          <t>مدير الفرع / الإدارة</t>
        </is>
      </c>
      <c r="D14" s="25" t="inlineStr">
        <is>
          <t>لا مستند (مراجعة)</t>
        </is>
      </c>
      <c r="E14" s="25" t="inlineStr">
        <is>
          <t>1) افتح Dashboard وانظر جدول (مقارنة أداء الفروع).
2) افتح Income_Statement واختر الفرع من Settings (S_Branch) لرؤية تفاصيل مصروفاته.
3) قارن الفترة الحالية بالسابقة في الأعمدة الجانبية.
4) انتبه: صافي الربح (أولي) حتى يكتمل الإقفال.</t>
        </is>
      </c>
      <c r="F14" s="25" t="inlineStr">
        <is>
          <t>لا.</t>
        </is>
      </c>
      <c r="G14" s="25" t="inlineStr">
        <is>
          <t>فهم المبيعات والتكلفة والمصروفات والربح التشغيلي للفرع.</t>
        </is>
      </c>
      <c r="H14" s="25" t="inlineStr">
        <is>
          <t>الأرقام تتطابق مع تقارير الفرع الورقية.</t>
        </is>
      </c>
      <c r="I14" s="25" t="inlineStr">
        <is>
          <t>• اعتبار الربح الأولي نهائيًا
• مقارنة فرعين بدون النظر لتوزيع المصروفات المشتركة</t>
        </is>
      </c>
      <c r="J14" s="25" t="inlineStr">
        <is>
          <t>—</t>
        </is>
      </c>
    </row>
    <row r="15">
      <c r="A15" s="25" t="n">
        <v>11</v>
      </c>
      <c r="B15" s="25" t="inlineStr">
        <is>
          <t>كيف يراجع المحاسب القيود</t>
        </is>
      </c>
      <c r="C15" s="25" t="inlineStr">
        <is>
          <t>المحاسب / مراجع الحسابات</t>
        </is>
      </c>
      <c r="D15" s="25" t="inlineStr">
        <is>
          <t>لا مستند (مراجعة)</t>
        </is>
      </c>
      <c r="E15" s="25" t="inlineStr">
        <is>
          <t>1) افتح GL_Journal وفلتر عمود (أثر فعلي) على 0 لمعرفة الأسطر المحجوبة وأسبابها.
2) افتح Close_Checklist وعالج كل بند ✖ ثم ⚠.
3) افتح Trial_Balance وتأكد أن الحالة (متوازن).
4) راجع GL_Ledger لحسابات الصندوق والبنوك والموردين.
5) راجع عينة من المستندات الورقية مقابل ما سُجل.</t>
        </is>
      </c>
      <c r="F15" s="25" t="inlineStr">
        <is>
          <t>لا.</t>
        </is>
      </c>
      <c r="G15" s="25" t="inlineStr">
        <is>
          <t>لا أخطاء حرجة ولا قيود محجوبة بلا تفسير.</t>
        </is>
      </c>
      <c r="H15" s="25" t="inlineStr">
        <is>
          <t>Test_Cases كلها (نجح) في الاختبارات الحية.</t>
        </is>
      </c>
      <c r="I15" s="25" t="inlineStr">
        <is>
          <t>• ترحيل مستند به تنبيه
• تجاهل بنود المراجعة</t>
        </is>
      </c>
      <c r="J15" s="25" t="inlineStr">
        <is>
          <t>المدير المالي</t>
        </is>
      </c>
    </row>
    <row r="16">
      <c r="A16" s="25" t="n">
        <v>12</v>
      </c>
      <c r="B16" s="25" t="inlineStr">
        <is>
          <t>كيف يتم إقفال الشهر</t>
        </is>
      </c>
      <c r="C16" s="25" t="inlineStr">
        <is>
          <t>المحاسب يعد، المراجع يراجع، المدير المالي يقفل، الإدارة العليا تعتمد</t>
        </is>
      </c>
      <c r="D16" s="25" t="inlineStr">
        <is>
          <t>محضر إقفال شهر (26)</t>
        </is>
      </c>
      <c r="E16" s="25" t="inlineStr">
        <is>
          <t>1) في Settings ضع (بداية الفترة) أول الشهر و(نهاية الفترة) آخر الشهر.
2) سجّل القيود الدورية: تسوية تكلفة المبيعات بعد الجرد، المصروفات المستحقة، إطفاء المقدم، الإهلاك، الرواتب، عمولة المنصات المقدرة.
3) افتح Close_Checklist وعالج كل البنود الحرجة الآلية.
4) للبنود اليدوية (M01-M14): نفّذ الإجراء ثم سجل التأكيد في Close_Confirm.
5) عندما تصبح (جاهزية الإقفال) خضراء: افتح Period_Close، أضف الشهر، انسخ القيم الحية والصقها كقيم في أعمدة (لقطة)، ثم اكتب اسمك والمعتمد الثاني وغيّر الحالة إلى (مقفلة).
6) وقّع محضر الإقفال (نموذج 26) وأرشفه، وأنشئ نسخة احتياطية من الملف (ملف ← إنشاء نسخة).</t>
        </is>
      </c>
      <c r="F16" s="25" t="inlineStr">
        <is>
          <t>رقم الفترة، الحالة، المقفِل، التاريخ، المعتمد الثاني، لقطات الإيرادات والربح والمدين والدائن.</t>
        </is>
      </c>
      <c r="G16" s="25" t="inlineStr">
        <is>
          <t>الفترة (مقفلة) وأي تغيير لاحق في أرقامها يظهر فورًا كبند حرج.</t>
        </is>
      </c>
      <c r="H16" s="25" t="inlineStr">
        <is>
          <t>Close_Checklist: لا بنود حرجة. Period_Close: عمود (تغيّر بعد الإقفال) فارغ.</t>
        </is>
      </c>
      <c r="I16" s="25" t="inlineStr">
        <is>
          <t>• الإقفال قبل الجرد
• عدم حفظ نسخة احتياطية
• تسجيل قيد بأثر رجعي في فترة مقفلة</t>
        </is>
      </c>
      <c r="J16" s="25" t="inlineStr">
        <is>
          <t>المدير المالي + الإدارة العليا</t>
        </is>
      </c>
    </row>
    <row r="17">
      <c r="A17" s="25" t="n">
        <v>13</v>
      </c>
      <c r="B17" s="25" t="inlineStr">
        <is>
          <t>ماذا يفعل المستخدم عند ظهور خطأ</t>
        </is>
      </c>
      <c r="C17" s="25" t="inlineStr">
        <is>
          <t>أي مستخدم</t>
        </is>
      </c>
      <c r="D17" s="25" t="inlineStr">
        <is>
          <t>—</t>
        </is>
      </c>
      <c r="E17" s="25" t="inlineStr">
        <is>
          <t>1) لا تحاول حذف الصف أو تغيير الأرقام لإخفاء الخطأ.
2) اقرأ رسالة عمود (فحص المستند) في الصف نفسه: هي تقول بالضبط ما هو الخطأ.
3) صحّح الخلية الصفراء المعنية (قبل الترحيل فقط).
4) إن كان المستند قد رُحِّل: أخبر المحاسب لعكسه وتسجيل مستند صحيح (لا تعدله بنفسك).
5) إن ظهرت أخطاء مثل #REF! أو #NAME? في خلايا معادلات فلا تعدّلها: أبلغ المدير المالي (قد يكون حُذف عمود أو تغيّر اسم ورقة).
6) اكتب الحادثة في Audit_Log إن طُلب منك.</t>
        </is>
      </c>
      <c r="F17" s="25" t="inlineStr">
        <is>
          <t>—</t>
        </is>
      </c>
      <c r="G17" s="25" t="inlineStr">
        <is>
          <t>الخطأ يختفي ويصبح عمود (فحص) فارغًا.</t>
        </is>
      </c>
      <c r="H17" s="25" t="inlineStr">
        <is>
          <t>الصف يعمل ويظهر في GL_Journal.</t>
        </is>
      </c>
      <c r="I17" s="25" t="inlineStr">
        <is>
          <t>• تجاوز الخطأ بكتابة صفر
• نسخ صف قديم فيتكرر الرقم</t>
        </is>
      </c>
      <c r="J17" s="25" t="inlineStr">
        <is>
          <t>المحاسب</t>
        </is>
      </c>
    </row>
    <row r="18">
      <c r="A18" s="25" t="n">
        <v>14</v>
      </c>
      <c r="B18" s="25" t="inlineStr">
        <is>
          <t>العمليات التي يجب ألا يقوم بها المستخدم بنفسه</t>
        </is>
      </c>
      <c r="C18" s="25" t="inlineStr">
        <is>
          <t>الجميع</t>
        </is>
      </c>
      <c r="D18" s="25" t="inlineStr">
        <is>
          <t>—</t>
        </is>
      </c>
      <c r="E18" s="25" t="inlineStr">
        <is>
          <t>1) لا تعدّل أو تحذف مستندًا (مرحل) أو (معكوس).
2) لا تغيّر الحالة إلى (مرحل) لمستند أعددته أو اعتمدته بنفسك.
3) لا تمسح الصيغ (الخلايا الرمادية) ولا تغيّر ترتيب الأعمدة أو تحذف أوراقًا.
4) لا تعدّل أرصدة المخزون يدويًا؛ التسوية بمستند معتمد فقط.
5) لا تغيّر دليل الحسابات أو الأكواد الأساسية؛ هذا للمدير المالي.
6) لا تدخل مبلغًا سالبًا لتصحيح خطأ؛ استخدم عكس المستند.
7) لا تشارك الملف أو تغيّر صلاحياته.
8) لا تغيّر فترة التقارير في Settings ثم تتجاهل أن الجميع يراها.</t>
        </is>
      </c>
      <c r="F18" s="25" t="inlineStr">
        <is>
          <t>—</t>
        </is>
      </c>
      <c r="G18" s="25" t="inlineStr">
        <is>
          <t>—</t>
        </is>
      </c>
      <c r="H18" s="25" t="inlineStr">
        <is>
          <t>—</t>
        </is>
      </c>
      <c r="I18" s="25" t="inlineStr">
        <is>
          <t>• — (هذه كلها أخطاء)</t>
        </is>
      </c>
      <c r="J18" s="25" t="inlineStr">
        <is>
          <t>—</t>
        </is>
      </c>
    </row>
  </sheetData>
  <autoFilter ref="A4:J18"/>
  <pageMargins left="0.75" right="0.75" top="1" bottom="1" header="0.5" footer="0.5"/>
</worksheet>
</file>

<file path=xl/worksheets/sheet5.xml><?xml version="1.0" encoding="utf-8"?>
<worksheet xmlns="http://schemas.openxmlformats.org/spreadsheetml/2006/main">
  <sheetPr>
    <tabColor rgb="007F7F7F"/>
    <outlinePr summaryBelow="1" summaryRight="1"/>
    <pageSetUpPr/>
  </sheetPr>
  <dimension ref="A1:E20"/>
  <sheetViews>
    <sheetView rightToLeft="1" workbookViewId="0">
      <selection activeCell="A1" sqref="A1"/>
    </sheetView>
  </sheetViews>
  <sheetFormatPr baseColWidth="8" defaultRowHeight="15"/>
  <cols>
    <col width="3" customWidth="1" min="1" max="1"/>
    <col width="44" customWidth="1" min="2" max="2"/>
    <col width="24" customWidth="1" min="3" max="3"/>
    <col width="70" customWidth="1" min="4" max="4"/>
  </cols>
  <sheetData>
    <row r="1">
      <c r="A1" s="22" t="inlineStr">
        <is>
          <t>إعدادات النظام (System Settings)</t>
        </is>
      </c>
      <c r="B1" s="1" t="n"/>
      <c r="C1" s="1" t="n"/>
      <c r="D1" s="1" t="n"/>
      <c r="E1" s="1" t="n"/>
    </row>
    <row r="2">
      <c r="A2" s="26" t="inlineStr">
        <is>
          <t>الخلايا الصفراء قابلة للتعديل. فترة التقارير تتحكم في لوحة التحكم وميزان المراجعة وقائمة الدخل وقائمة الإقفال.</t>
        </is>
      </c>
    </row>
    <row r="4">
      <c r="B4" s="27" t="inlineStr">
        <is>
          <t>الإعداد</t>
        </is>
      </c>
      <c r="C4" s="27" t="inlineStr">
        <is>
          <t>القيمة</t>
        </is>
      </c>
      <c r="D4" s="27" t="inlineStr">
        <is>
          <t>ملاحظات</t>
        </is>
      </c>
    </row>
    <row r="5">
      <c r="B5" s="28" t="inlineStr">
        <is>
          <t>اسم المنشأة</t>
        </is>
      </c>
      <c r="C5" s="29" t="inlineStr">
        <is>
          <t>مطاعم ستاموني (Satamoni)</t>
        </is>
      </c>
      <c r="D5" s="30" t="inlineStr">
        <is>
          <t>للعرض في التقارير</t>
        </is>
      </c>
    </row>
    <row r="6">
      <c r="B6" s="28" t="inlineStr">
        <is>
          <t>العملة الأساسية</t>
        </is>
      </c>
      <c r="C6" s="29" t="inlineStr">
        <is>
          <t>EGP</t>
        </is>
      </c>
      <c r="D6" s="30" t="inlineStr">
        <is>
          <t>جنيه مصري</t>
        </is>
      </c>
    </row>
    <row r="7">
      <c r="B7" s="28" t="inlineStr">
        <is>
          <t>المنطقة الزمنية</t>
        </is>
      </c>
      <c r="C7" s="29" t="inlineStr">
        <is>
          <t>Africa/Cairo</t>
        </is>
      </c>
      <c r="D7" s="30" t="inlineStr">
        <is>
          <t>اضبطها أيضًا من إعدادات ملف Google Sheets: ملف ← الإعدادات</t>
        </is>
      </c>
    </row>
    <row r="8">
      <c r="B8" s="28" t="inlineStr">
        <is>
          <t>بداية السنة المالية</t>
        </is>
      </c>
      <c r="C8" s="31" t="n">
        <v>46023</v>
      </c>
      <c r="D8" s="30" t="inlineStr">
        <is>
          <t>تُستخدم في الإقفال السنوي</t>
        </is>
      </c>
    </row>
    <row r="9">
      <c r="B9" s="28" t="inlineStr">
        <is>
          <t>بداية فترة التقارير</t>
        </is>
      </c>
      <c r="C9" s="31" t="n">
        <v>46296</v>
      </c>
      <c r="D9" s="30" t="inlineStr">
        <is>
          <t>غيّرها لعرض شهر آخر (يجب أن تكون أول الشهر عند الإقفال)</t>
        </is>
      </c>
    </row>
    <row r="10">
      <c r="B10" s="28" t="inlineStr">
        <is>
          <t>نهاية فترة التقارير</t>
        </is>
      </c>
      <c r="C10" s="31" t="n">
        <v>46326</v>
      </c>
      <c r="D10" s="30" t="inlineStr">
        <is>
          <t>آخر يوم في الفترة؛ هي أيضًا تاريخ الأرصدة في الميزانية</t>
        </is>
      </c>
    </row>
    <row r="11">
      <c r="B11" s="28" t="inlineStr">
        <is>
          <t>الفرع المختار للتقارير</t>
        </is>
      </c>
      <c r="C11" s="29" t="inlineStr">
        <is>
          <t>ALL</t>
        </is>
      </c>
      <c r="D11" s="30" t="inlineStr">
        <is>
          <t>ALL = كل المواقع، أو كود موقع مثل BR01</t>
        </is>
      </c>
    </row>
    <row r="12">
      <c r="B12" s="28" t="inlineStr">
        <is>
          <t>مركز التكلفة المختار</t>
        </is>
      </c>
      <c r="C12" s="29" t="inlineStr">
        <is>
          <t>ALL</t>
        </is>
      </c>
      <c r="D12" s="30" t="inlineStr">
        <is>
          <t>ALL = كل المراكز، أو كود مثل CC10</t>
        </is>
      </c>
    </row>
    <row r="13">
      <c r="B13" s="28" t="inlineStr">
        <is>
          <t>رقم الفترة (آلي)</t>
        </is>
      </c>
      <c r="C13" s="32">
        <f>YEAR(C10)*100+MONTH(C10)</f>
        <v/>
      </c>
      <c r="D13" s="30" t="inlineStr">
        <is>
          <t>صيغة: سنة*100+شهر، تُستخدم في الإقفال</t>
        </is>
      </c>
    </row>
    <row r="14">
      <c r="B14" s="28" t="inlineStr">
        <is>
          <t>بداية فترة المقارنة (آلي)</t>
        </is>
      </c>
      <c r="C14" s="33">
        <f>C9-(C10-C9+1)</f>
        <v/>
      </c>
      <c r="D14" s="30" t="inlineStr">
        <is>
          <t>فترة سابقة بنفس عدد الأيام</t>
        </is>
      </c>
    </row>
    <row r="15">
      <c r="B15" s="28" t="inlineStr">
        <is>
          <t>نهاية فترة المقارنة (آلي)</t>
        </is>
      </c>
      <c r="C15" s="33">
        <f>C9-1</f>
        <v/>
      </c>
      <c r="D15" s="30" t="inlineStr"/>
    </row>
    <row r="16">
      <c r="B16" s="28" t="inlineStr">
        <is>
          <t>طريقة تسجيل تكلفة المبيعات</t>
        </is>
      </c>
      <c r="C16" s="29" t="inlineStr">
        <is>
          <t>PERIODIC</t>
        </is>
      </c>
      <c r="D16" s="30" t="inlineStr">
        <is>
          <t>PERIODIC = دوري مُعدّل (النسخة الأولى: قيد شهري بالجرد) | PERPETUAL = مستمر من حركات المخزون (المرحلة 2). لا تجمع بينهما في نفس الفترة.</t>
        </is>
      </c>
    </row>
    <row r="17">
      <c r="B17" s="28" t="inlineStr">
        <is>
          <t>هامش السماح بالفروق (جنيه)</t>
        </is>
      </c>
      <c r="C17" s="29" t="n">
        <v>0.01</v>
      </c>
      <c r="D17" s="30" t="inlineStr">
        <is>
          <t>للمقارنات الحسابية (تقريب)</t>
        </is>
      </c>
    </row>
    <row r="18">
      <c r="B18" s="28" t="inlineStr">
        <is>
          <t>أيام تنبيه تأخر تسوية المنصات</t>
        </is>
      </c>
      <c r="C18" s="29" t="n">
        <v>14</v>
      </c>
      <c r="D18" s="30" t="inlineStr">
        <is>
          <t>تنبيه إن مضى هذا العدد دون تسوية ومستحقات المنصة موجودة</t>
        </is>
      </c>
    </row>
    <row r="19">
      <c r="B19" s="28" t="inlineStr">
        <is>
          <t>حد فرق الخزينة المسموح (جنيه)</t>
        </is>
      </c>
      <c r="C19" s="29" t="n">
        <v>0</v>
      </c>
      <c r="D19" s="30" t="inlineStr">
        <is>
          <t>أي فرق أكبر منه يجب أن يُسجل بسند عجز/زيادة</t>
        </is>
      </c>
    </row>
    <row r="20">
      <c r="B20" s="28" t="inlineStr">
        <is>
          <t>وضع البيانات</t>
        </is>
      </c>
      <c r="C20" s="29" t="inlineStr">
        <is>
          <t>تشغيلي</t>
        </is>
      </c>
      <c r="D20" s="30" t="inlineStr">
        <is>
          <t>تجريبي = بيانات الاختبار؛ غيّرها إلى (تشغيلي) بعد تفريغ البيانات التجريبية</t>
        </is>
      </c>
    </row>
  </sheetData>
  <sheetProtection selectLockedCells="0" selectUnlockedCells="0" sheet="1" objects="0" insertRows="1" insertHyperlinks="1" autoFilter="0" scenarios="0" formatColumns="0" deleteColumns="1" insertColumns="1" pivotTables="1" deleteRows="1" formatCells="0" formatRows="0" sort="1"/>
  <dataValidations count="1">
    <dataValidation sqref="C16" showDropDown="0" showInputMessage="0" showErrorMessage="0" allowBlank="0" type="list">
      <formula1>"PERIODIC,PERPETUAL"</formula1>
    </dataValidation>
  </dataValidations>
  <pageMargins left="0.75" right="0.75" top="1" bottom="1" header="0.5" footer="0.5"/>
</worksheet>
</file>

<file path=xl/worksheets/sheet6.xml><?xml version="1.0" encoding="utf-8"?>
<worksheet xmlns="http://schemas.openxmlformats.org/spreadsheetml/2006/main">
  <sheetPr>
    <tabColor rgb="007F7F7F"/>
    <outlinePr summaryBelow="1" summaryRight="1"/>
    <pageSetUpPr/>
  </sheetPr>
  <dimension ref="A1:AQ14"/>
  <sheetViews>
    <sheetView rightToLeft="1" workbookViewId="0">
      <selection activeCell="A1" sqref="A1"/>
    </sheetView>
  </sheetViews>
  <sheetFormatPr baseColWidth="8" defaultRowHeight="15"/>
  <cols>
    <col width="14" customWidth="1" min="1" max="1"/>
    <col width="12" customWidth="1" min="2" max="2"/>
    <col width="48" customWidth="1" min="3" max="3"/>
    <col width="18" customWidth="1" min="5" max="5"/>
    <col width="8" customWidth="1" min="6" max="6"/>
    <col width="10" customWidth="1" min="7" max="7"/>
    <col width="44" customWidth="1" min="8" max="8"/>
    <col width="22" customWidth="1" min="10" max="10"/>
    <col width="8" customWidth="1" min="11" max="11"/>
    <col width="30" customWidth="1" min="12" max="12"/>
    <col width="16" customWidth="1" min="14" max="14"/>
    <col width="8" customWidth="1" min="15" max="15"/>
    <col width="36" customWidth="1" min="16" max="16"/>
    <col width="10" customWidth="1" min="18" max="18"/>
    <col width="16" customWidth="1" min="20" max="20"/>
    <col width="12" customWidth="1" min="21" max="21"/>
    <col width="24" customWidth="1" min="23" max="23"/>
    <col width="22" customWidth="1" min="25" max="25"/>
    <col width="22" customWidth="1" min="27" max="27"/>
    <col width="14" customWidth="1" min="29" max="29"/>
    <col width="28" customWidth="1" min="30" max="30"/>
    <col width="14" customWidth="1" min="32" max="32"/>
    <col width="14" customWidth="1" min="34" max="34"/>
    <col width="8" customWidth="1" min="36" max="36"/>
    <col width="16" customWidth="1" min="37" max="37"/>
    <col width="14" customWidth="1" min="39" max="39"/>
    <col width="18" customWidth="1" min="41" max="41"/>
  </cols>
  <sheetData>
    <row r="1">
      <c r="A1" s="22" t="inlineStr">
        <is>
          <t>القوائم المنسدلة وحالات المستندات (Lists &amp; Document Statuses)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row>
    <row r="2">
      <c r="A2" s="26" t="inlineStr">
        <is>
          <t>هذه القوائم تغذي القوائم المنسدلة في كل الأوراق. لا تغيّر نصوص الحالات (مسودة/معتمد/مرحل/معكوس/ملغى) لأن المعادلات تعتمد عليها.</t>
        </is>
      </c>
    </row>
    <row r="4">
      <c r="A4" s="34" t="inlineStr">
        <is>
          <t>حالة المستند</t>
        </is>
      </c>
      <c r="B4" s="34" t="inlineStr">
        <is>
          <t>Code</t>
        </is>
      </c>
      <c r="C4" s="34" t="inlineStr">
        <is>
          <t>المعنى</t>
        </is>
      </c>
      <c r="E4" s="34" t="inlineStr">
        <is>
          <t>نوع السند</t>
        </is>
      </c>
      <c r="F4" s="34" t="inlineStr">
        <is>
          <t>Code</t>
        </is>
      </c>
      <c r="G4" s="34" t="inlineStr">
        <is>
          <t>بادئة الرقم</t>
        </is>
      </c>
      <c r="H4" s="34" t="inlineStr">
        <is>
          <t>الوصف</t>
        </is>
      </c>
      <c r="J4" s="34" t="inlineStr">
        <is>
          <t>نوع فاتورة المورد</t>
        </is>
      </c>
      <c r="K4" s="34" t="inlineStr">
        <is>
          <t>Code</t>
        </is>
      </c>
      <c r="L4" s="34" t="inlineStr">
        <is>
          <t>الوصف</t>
        </is>
      </c>
      <c r="N4" s="34" t="inlineStr">
        <is>
          <t>نمط سداد المصروف</t>
        </is>
      </c>
      <c r="O4" s="34" t="inlineStr">
        <is>
          <t>Code</t>
        </is>
      </c>
      <c r="P4" s="34" t="inlineStr">
        <is>
          <t>الوصف</t>
        </is>
      </c>
      <c r="R4" s="34" t="inlineStr">
        <is>
          <t>نعم/لا</t>
        </is>
      </c>
      <c r="T4" s="34" t="inlineStr">
        <is>
          <t>فئة الإيراد</t>
        </is>
      </c>
      <c r="U4" s="34" t="inlineStr">
        <is>
          <t>حساب الإيراد</t>
        </is>
      </c>
      <c r="W4" s="34" t="inlineStr">
        <is>
          <t>نوع القيد اليدوي</t>
        </is>
      </c>
      <c r="Y4" s="34" t="inlineStr">
        <is>
          <t>سبب الفرق</t>
        </is>
      </c>
      <c r="AA4" s="34" t="inlineStr">
        <is>
          <t>حالة المعالجة</t>
        </is>
      </c>
      <c r="AC4" s="34" t="inlineStr">
        <is>
          <t>تصنيف التدفق</t>
        </is>
      </c>
      <c r="AD4" s="34" t="inlineStr">
        <is>
          <t>المعنى</t>
        </is>
      </c>
      <c r="AF4" s="34" t="inlineStr">
        <is>
          <t>نوع الخزينة</t>
        </is>
      </c>
      <c r="AH4" s="34" t="inlineStr">
        <is>
          <t>نوع الموقع</t>
        </is>
      </c>
      <c r="AJ4" s="34" t="inlineStr">
        <is>
          <t>رمز النوع</t>
        </is>
      </c>
      <c r="AK4" s="34" t="inlineStr">
        <is>
          <t>نوع الحساب</t>
        </is>
      </c>
      <c r="AM4" s="34" t="inlineStr">
        <is>
          <t>نوع وسيلة الدفع</t>
        </is>
      </c>
      <c r="AO4" s="34" t="inlineStr">
        <is>
          <t>الأدوار</t>
        </is>
      </c>
    </row>
    <row r="5">
      <c r="A5" s="29" t="inlineStr">
        <is>
          <t>مسودة</t>
        </is>
      </c>
      <c r="B5" s="29" t="inlineStr">
        <is>
          <t>DRAFT</t>
        </is>
      </c>
      <c r="C5" s="29" t="inlineStr">
        <is>
          <t>مستند مُعد ولم يُعتمد بعد - لا يؤثر على الدفاتر</t>
        </is>
      </c>
      <c r="E5" s="29" t="inlineStr">
        <is>
          <t>قبض</t>
        </is>
      </c>
      <c r="F5" s="29" t="inlineStr">
        <is>
          <t>RCV</t>
        </is>
      </c>
      <c r="G5" s="29" t="inlineStr">
        <is>
          <t>RCV</t>
        </is>
      </c>
      <c r="H5" s="29" t="inlineStr">
        <is>
          <t>سند قبض نقدية/بنك من جهة (حساب مقابل دائن)</t>
        </is>
      </c>
      <c r="J5" s="29" t="inlineStr">
        <is>
          <t>فاتورة</t>
        </is>
      </c>
      <c r="K5" s="29" t="inlineStr">
        <is>
          <t>INV</t>
        </is>
      </c>
      <c r="L5" s="29" t="inlineStr">
        <is>
          <t>فاتورة مورد</t>
        </is>
      </c>
      <c r="N5" s="29" t="inlineStr">
        <is>
          <t>فوري</t>
        </is>
      </c>
      <c r="O5" s="29" t="inlineStr">
        <is>
          <t>IMM</t>
        </is>
      </c>
      <c r="P5" s="29" t="inlineStr">
        <is>
          <t>مدفوع وقت الإثبات</t>
        </is>
      </c>
      <c r="R5" s="29" t="inlineStr">
        <is>
          <t>نعم</t>
        </is>
      </c>
      <c r="T5" s="29" t="inlineStr">
        <is>
          <t>فطير</t>
        </is>
      </c>
      <c r="U5" s="29" t="n">
        <v>4101</v>
      </c>
      <c r="W5" s="29" t="inlineStr">
        <is>
          <t>افتتاحي</t>
        </is>
      </c>
      <c r="Y5" s="29" t="inlineStr">
        <is>
          <t>خطأ إدخال</t>
        </is>
      </c>
      <c r="AA5" s="29" t="inlineStr">
        <is>
          <t>تمت التسوية</t>
        </is>
      </c>
      <c r="AC5" s="29" t="inlineStr">
        <is>
          <t>OPERATING</t>
        </is>
      </c>
      <c r="AD5" s="29" t="inlineStr">
        <is>
          <t>تشغيلية</t>
        </is>
      </c>
      <c r="AF5" s="29" t="inlineStr">
        <is>
          <t>خزينة</t>
        </is>
      </c>
      <c r="AH5" s="29" t="inlineStr">
        <is>
          <t>فرع</t>
        </is>
      </c>
      <c r="AJ5" s="29" t="inlineStr">
        <is>
          <t>A</t>
        </is>
      </c>
      <c r="AK5" s="29" t="inlineStr">
        <is>
          <t>أصل</t>
        </is>
      </c>
      <c r="AM5" s="29" t="inlineStr">
        <is>
          <t>نقدي</t>
        </is>
      </c>
      <c r="AO5" s="29" t="inlineStr">
        <is>
          <t>الإدارة العليا</t>
        </is>
      </c>
    </row>
    <row r="6">
      <c r="A6" s="29" t="inlineStr">
        <is>
          <t>معتمد</t>
        </is>
      </c>
      <c r="B6" s="29" t="inlineStr">
        <is>
          <t>APPROVED</t>
        </is>
      </c>
      <c r="C6" s="29" t="inlineStr">
        <is>
          <t>اعتمده المسؤول ولم يرحّله المحاسب بعد - لا يؤثر على الدفاتر</t>
        </is>
      </c>
      <c r="E6" s="29" t="inlineStr">
        <is>
          <t>صرف</t>
        </is>
      </c>
      <c r="F6" s="29" t="inlineStr">
        <is>
          <t>PAY</t>
        </is>
      </c>
      <c r="G6" s="29" t="inlineStr">
        <is>
          <t>PAY</t>
        </is>
      </c>
      <c r="H6" s="29" t="inlineStr">
        <is>
          <t>سند صرف نقدية/بنك لجهة (حساب مقابل مدين)</t>
        </is>
      </c>
      <c r="J6" s="29" t="inlineStr">
        <is>
          <t>إشعار خصم (مرتجع)</t>
        </is>
      </c>
      <c r="K6" s="29" t="inlineStr">
        <is>
          <t>CN</t>
        </is>
      </c>
      <c r="L6" s="29" t="inlineStr">
        <is>
          <t>تخفيض مديونية المورد</t>
        </is>
      </c>
      <c r="N6" s="29" t="inlineStr">
        <is>
          <t>آجل</t>
        </is>
      </c>
      <c r="O6" s="29" t="inlineStr">
        <is>
          <t>CRD</t>
        </is>
      </c>
      <c r="P6" s="29" t="inlineStr">
        <is>
          <t>مستحق ويُسدد لاحقًا بسند صرف مرتبط</t>
        </is>
      </c>
      <c r="R6" s="29" t="inlineStr">
        <is>
          <t>لا</t>
        </is>
      </c>
      <c r="T6" s="29" t="inlineStr">
        <is>
          <t>بيتزا</t>
        </is>
      </c>
      <c r="U6" s="29" t="n">
        <v>4102</v>
      </c>
      <c r="W6" s="29" t="inlineStr">
        <is>
          <t>تسوية</t>
        </is>
      </c>
      <c r="Y6" s="29" t="inlineStr">
        <is>
          <t>عجز نقدي</t>
        </is>
      </c>
      <c r="AA6" s="29" t="inlineStr">
        <is>
          <t>معلق</t>
        </is>
      </c>
      <c r="AC6" s="29" t="inlineStr">
        <is>
          <t>INVESTING</t>
        </is>
      </c>
      <c r="AD6" s="29" t="inlineStr">
        <is>
          <t>استثمارية</t>
        </is>
      </c>
      <c r="AF6" s="29" t="inlineStr">
        <is>
          <t>بنك</t>
        </is>
      </c>
      <c r="AH6" s="29" t="inlineStr">
        <is>
          <t>مخزن رئيسي</t>
        </is>
      </c>
      <c r="AJ6" s="29" t="inlineStr">
        <is>
          <t>L</t>
        </is>
      </c>
      <c r="AK6" s="29" t="inlineStr">
        <is>
          <t>التزام</t>
        </is>
      </c>
      <c r="AM6" s="29" t="inlineStr">
        <is>
          <t>بطاقة</t>
        </is>
      </c>
      <c r="AO6" s="29" t="inlineStr">
        <is>
          <t>المدير المالي</t>
        </is>
      </c>
    </row>
    <row r="7">
      <c r="A7" s="29" t="inlineStr">
        <is>
          <t>مرحل</t>
        </is>
      </c>
      <c r="B7" s="29" t="inlineStr">
        <is>
          <t>POSTED</t>
        </is>
      </c>
      <c r="C7" s="29" t="inlineStr">
        <is>
          <t>رحّله المحاسب - يؤثر على دفتر اليومية والأستاذ</t>
        </is>
      </c>
      <c r="E7" s="29" t="inlineStr">
        <is>
          <t>تحويل بين خزائن</t>
        </is>
      </c>
      <c r="F7" s="29" t="inlineStr">
        <is>
          <t>TRF</t>
        </is>
      </c>
      <c r="G7" s="29" t="inlineStr">
        <is>
          <t>TRF</t>
        </is>
      </c>
      <c r="H7" s="29" t="inlineStr">
        <is>
          <t>نقل نقدية بين خزينتين - لا يؤثر على الإيراد/المصروف</t>
        </is>
      </c>
      <c r="J7" s="29" t="inlineStr">
        <is>
          <t>إشعار إضافة</t>
        </is>
      </c>
      <c r="K7" s="29" t="inlineStr">
        <is>
          <t>DN</t>
        </is>
      </c>
      <c r="L7" s="29" t="inlineStr">
        <is>
          <t>زيادة مديونية المورد (رسوم/فروق سعر)</t>
        </is>
      </c>
      <c r="T7" s="29" t="inlineStr">
        <is>
          <t>مكرونات</t>
        </is>
      </c>
      <c r="U7" s="29" t="n">
        <v>4103</v>
      </c>
      <c r="W7" s="29" t="inlineStr">
        <is>
          <t>تصحيح</t>
        </is>
      </c>
      <c r="Y7" s="29" t="inlineStr">
        <is>
          <t>زيادة نقدية</t>
        </is>
      </c>
      <c r="AA7" s="29" t="inlineStr">
        <is>
          <t>مقبول بموافقة الإدارة</t>
        </is>
      </c>
      <c r="AC7" s="29" t="inlineStr">
        <is>
          <t>FINANCING</t>
        </is>
      </c>
      <c r="AD7" s="29" t="inlineStr">
        <is>
          <t>تمويلية</t>
        </is>
      </c>
      <c r="AF7" s="29" t="inlineStr">
        <is>
          <t>عهدة نثرية</t>
        </is>
      </c>
      <c r="AH7" s="29" t="inlineStr">
        <is>
          <t>سنتر كيتشن</t>
        </is>
      </c>
      <c r="AJ7" s="29" t="inlineStr">
        <is>
          <t>E</t>
        </is>
      </c>
      <c r="AK7" s="29" t="inlineStr">
        <is>
          <t>حقوق ملكية</t>
        </is>
      </c>
      <c r="AM7" s="29" t="inlineStr">
        <is>
          <t>منصة</t>
        </is>
      </c>
      <c r="AO7" s="29" t="inlineStr">
        <is>
          <t>المحاسب</t>
        </is>
      </c>
    </row>
    <row r="8">
      <c r="A8" s="29" t="inlineStr">
        <is>
          <t>معكوس</t>
        </is>
      </c>
      <c r="B8" s="29" t="inlineStr">
        <is>
          <t>REVERSED</t>
        </is>
      </c>
      <c r="C8" s="29" t="inlineStr">
        <is>
          <t>أُلغي أثره بمستند تصحيح موثق (مرجع التصحيح إلزامي)</t>
        </is>
      </c>
      <c r="E8" s="29" t="inlineStr">
        <is>
          <t>إيداع بنكي</t>
        </is>
      </c>
      <c r="F8" s="29" t="inlineStr">
        <is>
          <t>DEP</t>
        </is>
      </c>
      <c r="G8" s="29" t="inlineStr">
        <is>
          <t>TRF</t>
        </is>
      </c>
      <c r="H8" s="29" t="inlineStr">
        <is>
          <t>من خزينة إلى بنك</t>
        </is>
      </c>
      <c r="T8" s="29" t="inlineStr">
        <is>
          <t>أخرى</t>
        </is>
      </c>
      <c r="U8" s="29" t="n">
        <v>4104</v>
      </c>
      <c r="W8" s="29" t="inlineStr">
        <is>
          <t>عكس</t>
        </is>
      </c>
      <c r="Y8" s="29" t="inlineStr">
        <is>
          <t>تأخر تحصيل</t>
        </is>
      </c>
      <c r="AC8" s="29" t="inlineStr">
        <is>
          <t>INTERNAL</t>
        </is>
      </c>
      <c r="AD8" s="29" t="inlineStr">
        <is>
          <t>تحويل داخلي (يجب أن يصفّر)</t>
        </is>
      </c>
      <c r="AH8" s="29" t="inlineStr">
        <is>
          <t>إدارة</t>
        </is>
      </c>
      <c r="AJ8" s="29" t="inlineStr">
        <is>
          <t>R</t>
        </is>
      </c>
      <c r="AK8" s="29" t="inlineStr">
        <is>
          <t>إيراد</t>
        </is>
      </c>
      <c r="AM8" s="29" t="inlineStr">
        <is>
          <t>تحويل</t>
        </is>
      </c>
      <c r="AO8" s="29" t="inlineStr">
        <is>
          <t>مراجع الحسابات</t>
        </is>
      </c>
    </row>
    <row r="9">
      <c r="A9" s="29" t="inlineStr">
        <is>
          <t>ملغى</t>
        </is>
      </c>
      <c r="B9" s="29" t="inlineStr">
        <is>
          <t>CANCELLED</t>
        </is>
      </c>
      <c r="C9" s="29" t="inlineStr">
        <is>
          <t>ألغي قبل الترحيل - يبقى في السجل ولا يؤثر</t>
        </is>
      </c>
      <c r="E9" s="29" t="inlineStr">
        <is>
          <t>سحب بنكي</t>
        </is>
      </c>
      <c r="F9" s="29" t="inlineStr">
        <is>
          <t>WDR</t>
        </is>
      </c>
      <c r="G9" s="29" t="inlineStr">
        <is>
          <t>TRF</t>
        </is>
      </c>
      <c r="H9" s="29" t="inlineStr">
        <is>
          <t>من بنك إلى خزينة</t>
        </is>
      </c>
      <c r="W9" s="29" t="inlineStr">
        <is>
          <t>إهلاك</t>
        </is>
      </c>
      <c r="Y9" s="29" t="inlineStr">
        <is>
          <t>خصم غير مسجل</t>
        </is>
      </c>
      <c r="AC9" s="29" t="inlineStr">
        <is>
          <t>OPENING</t>
        </is>
      </c>
      <c r="AD9" s="29" t="inlineStr">
        <is>
          <t>رصيد افتتاحي</t>
        </is>
      </c>
      <c r="AJ9" s="29" t="inlineStr">
        <is>
          <t>C</t>
        </is>
      </c>
      <c r="AK9" s="29" t="inlineStr">
        <is>
          <t>تكلفة مبيعات</t>
        </is>
      </c>
      <c r="AO9" s="29" t="inlineStr">
        <is>
          <t>مدير فرع</t>
        </is>
      </c>
    </row>
    <row r="10">
      <c r="E10" s="29" t="inlineStr">
        <is>
          <t>عجز خزينة</t>
        </is>
      </c>
      <c r="F10" s="29" t="inlineStr">
        <is>
          <t>SHT</t>
        </is>
      </c>
      <c r="G10" s="29" t="inlineStr">
        <is>
          <t>ADJ</t>
        </is>
      </c>
      <c r="H10" s="29" t="inlineStr">
        <is>
          <t>فرق جرد خزينة بالنقص</t>
        </is>
      </c>
      <c r="W10" s="29" t="inlineStr">
        <is>
          <t>تسوية تكلفة المبيعات</t>
        </is>
      </c>
      <c r="Y10" s="29" t="inlineStr">
        <is>
          <t>إلغاء بعد الدفع</t>
        </is>
      </c>
      <c r="AJ10" s="29" t="inlineStr">
        <is>
          <t>X</t>
        </is>
      </c>
      <c r="AK10" s="29" t="inlineStr">
        <is>
          <t>مصروف</t>
        </is>
      </c>
      <c r="AO10" s="29" t="inlineStr">
        <is>
          <t>أمين صندوق</t>
        </is>
      </c>
    </row>
    <row r="11">
      <c r="E11" s="29" t="inlineStr">
        <is>
          <t>زيادة خزينة</t>
        </is>
      </c>
      <c r="F11" s="29" t="inlineStr">
        <is>
          <t>OVR</t>
        </is>
      </c>
      <c r="G11" s="29" t="inlineStr">
        <is>
          <t>ADJ</t>
        </is>
      </c>
      <c r="H11" s="29" t="inlineStr">
        <is>
          <t>فرق جرد خزينة بالزيادة</t>
        </is>
      </c>
      <c r="W11" s="29" t="inlineStr">
        <is>
          <t>استحقاق/مقدم</t>
        </is>
      </c>
      <c r="Y11" s="29" t="inlineStr">
        <is>
          <t>فرق عمولة منصة</t>
        </is>
      </c>
      <c r="AO11" s="29" t="inlineStr">
        <is>
          <t>أمين مخزن</t>
        </is>
      </c>
    </row>
    <row r="12">
      <c r="W12" s="29" t="inlineStr">
        <is>
          <t>رواتب (مؤقت)</t>
        </is>
      </c>
      <c r="Y12" s="29" t="inlineStr">
        <is>
          <t>مستند ناقص</t>
        </is>
      </c>
      <c r="AO12" s="29" t="inlineStr">
        <is>
          <t>مشرف مشتريات</t>
        </is>
      </c>
    </row>
    <row r="13">
      <c r="W13" s="29" t="inlineStr">
        <is>
          <t>إقفال</t>
        </is>
      </c>
      <c r="Y13" s="29" t="inlineStr">
        <is>
          <t>أخرى</t>
        </is>
      </c>
      <c r="AO13" s="29" t="inlineStr">
        <is>
          <t>مدير إنتاج</t>
        </is>
      </c>
    </row>
    <row r="14">
      <c r="W14" s="29" t="inlineStr">
        <is>
          <t>أخرى</t>
        </is>
      </c>
      <c r="AO14" s="29" t="inlineStr">
        <is>
          <t>مستخدم قراءة</t>
        </is>
      </c>
    </row>
  </sheetData>
  <pageMargins left="0.75" right="0.75" top="1" bottom="1" header="0.5" footer="0.5"/>
</worksheet>
</file>

<file path=xl/worksheets/sheet7.xml><?xml version="1.0" encoding="utf-8"?>
<worksheet xmlns="http://schemas.openxmlformats.org/spreadsheetml/2006/main">
  <sheetPr>
    <tabColor rgb="002E75B6"/>
    <outlinePr summaryBelow="1" summaryRight="1"/>
    <pageSetUpPr fitToPage="1"/>
  </sheetPr>
  <dimension ref="A1:T25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44" customWidth="1" min="2" max="2"/>
    <col width="34" customWidth="1" min="3" max="3"/>
    <col width="8" customWidth="1" min="4" max="4"/>
    <col width="8" customWidth="1" min="5" max="5"/>
    <col width="10" customWidth="1" min="6" max="6"/>
    <col width="9" customWidth="1" min="7" max="7"/>
    <col width="10" customWidth="1" min="8" max="8"/>
    <col width="12" customWidth="1" min="9" max="9"/>
    <col width="10" customWidth="1" min="10" max="10"/>
    <col width="10" customWidth="1" min="11" max="11"/>
    <col width="7" customWidth="1" min="12" max="12"/>
    <col width="10" customWidth="1" min="13" max="13"/>
    <col width="10" customWidth="1" min="14" max="14"/>
    <col width="40" customWidth="1" min="15" max="15"/>
    <col width="10" customWidth="1" min="16" max="16"/>
    <col width="10" customWidth="1" min="17" max="17"/>
    <col width="9" customWidth="1" min="18" max="18"/>
    <col width="12" customWidth="1" min="19" max="19"/>
    <col width="40" customWidth="1" min="20" max="20"/>
  </cols>
  <sheetData>
    <row r="1" ht="26" customHeight="1">
      <c r="A1" s="22" t="inlineStr">
        <is>
          <t>دليل الحسابات الموحد (Chart of Accounts)</t>
        </is>
      </c>
      <c r="B1" s="1" t="n"/>
      <c r="C1" s="1" t="n"/>
      <c r="D1" s="1" t="n"/>
      <c r="E1" s="1" t="n"/>
      <c r="F1" s="1" t="n"/>
      <c r="G1" s="1" t="n"/>
      <c r="H1" s="1" t="n"/>
      <c r="I1" s="1" t="n"/>
      <c r="J1" s="1" t="n"/>
      <c r="K1" s="1" t="n"/>
      <c r="L1" s="1" t="n"/>
      <c r="M1" s="1" t="n"/>
      <c r="N1" s="1" t="n"/>
      <c r="O1" s="1" t="n"/>
      <c r="P1" s="1" t="n"/>
      <c r="Q1" s="1" t="n"/>
      <c r="R1" s="1" t="n"/>
      <c r="S1" s="1" t="n"/>
      <c r="T1" s="1" t="n"/>
    </row>
    <row r="2">
      <c r="A2" s="35" t="inlineStr">
        <is>
          <t>ترقيم 4 خانات: الفئة (1-6) ثم المجموعة (100) ثم الحساب. أضف حسابًا جديدًا في أي صف فارغ بالنطاق المناسب ويظهر فورًا في ميزان المراجعة. الحسابات الرئيسية (لا) لا يُرحَّل عليها.</t>
        </is>
      </c>
    </row>
    <row r="3">
      <c r="A3" s="36" t="inlineStr">
        <is>
          <t>خلايا الإدخال</t>
        </is>
      </c>
      <c r="B3" s="37" t="inlineStr">
        <is>
          <t>معادلات (لا تعدّل)</t>
        </is>
      </c>
    </row>
    <row r="4" ht="34" customHeight="1">
      <c r="A4" s="24" t="inlineStr">
        <is>
          <t>كود الحساب
Code</t>
        </is>
      </c>
      <c r="B4" s="24" t="inlineStr">
        <is>
          <t>اسم الحساب
Name (AR)</t>
        </is>
      </c>
      <c r="C4" s="24" t="inlineStr">
        <is>
          <t>Account Name (EN)</t>
        </is>
      </c>
      <c r="D4" s="24" t="inlineStr">
        <is>
          <t>النوع</t>
        </is>
      </c>
      <c r="E4" s="24" t="inlineStr">
        <is>
          <t>المستوى</t>
        </is>
      </c>
      <c r="F4" s="24" t="inlineStr">
        <is>
          <t>قابل للترحيل</t>
        </is>
      </c>
      <c r="G4" s="24" t="inlineStr">
        <is>
          <t>الطبيعة</t>
        </is>
      </c>
      <c r="H4" s="24" t="inlineStr">
        <is>
          <t>نقدية/بنك (1/0)</t>
        </is>
      </c>
      <c r="I4" s="24" t="inlineStr">
        <is>
          <t>تصنيف التدفق</t>
        </is>
      </c>
      <c r="J4" s="24" t="inlineStr">
        <is>
          <t>مسموح في المصروفات</t>
        </is>
      </c>
      <c r="K4" s="24" t="inlineStr">
        <is>
          <t>مسموح في المشتريات</t>
        </is>
      </c>
      <c r="L4" s="24" t="inlineStr">
        <is>
          <t>نشط</t>
        </is>
      </c>
      <c r="M4" s="24" t="inlineStr">
        <is>
          <t>من نطاق (للرئيسي)</t>
        </is>
      </c>
      <c r="N4" s="24" t="inlineStr">
        <is>
          <t>إلى نطاق (للرئيسي)</t>
        </is>
      </c>
      <c r="O4" s="24" t="inlineStr">
        <is>
          <t>ملاحظات</t>
        </is>
      </c>
      <c r="P4" s="38" t="inlineStr">
        <is>
          <t>بداية النطاق</t>
        </is>
      </c>
      <c r="Q4" s="38" t="inlineStr">
        <is>
          <t>نهاية النطاق</t>
        </is>
      </c>
      <c r="R4" s="38" t="inlineStr">
        <is>
          <t>صالح للترحيل (1/0)</t>
        </is>
      </c>
      <c r="S4" s="38" t="inlineStr">
        <is>
          <t>نوع الحساب</t>
        </is>
      </c>
      <c r="T4" s="38" t="inlineStr">
        <is>
          <t>فحص</t>
        </is>
      </c>
    </row>
    <row r="5">
      <c r="A5" s="39" t="n">
        <v>1000</v>
      </c>
      <c r="B5" s="29" t="inlineStr">
        <is>
          <t>الأصول</t>
        </is>
      </c>
      <c r="C5" s="29" t="inlineStr">
        <is>
          <t>Assets</t>
        </is>
      </c>
      <c r="D5" s="39" t="inlineStr">
        <is>
          <t>A</t>
        </is>
      </c>
      <c r="E5" s="39" t="n">
        <v>1</v>
      </c>
      <c r="F5" s="39" t="inlineStr">
        <is>
          <t>لا</t>
        </is>
      </c>
      <c r="G5" s="39" t="inlineStr">
        <is>
          <t>مدين</t>
        </is>
      </c>
      <c r="H5" s="39" t="n">
        <v>0</v>
      </c>
      <c r="I5" s="29" t="inlineStr">
        <is>
          <t>OPERATING</t>
        </is>
      </c>
      <c r="J5" s="39" t="inlineStr">
        <is>
          <t>لا</t>
        </is>
      </c>
      <c r="K5" s="39" t="inlineStr">
        <is>
          <t>لا</t>
        </is>
      </c>
      <c r="L5" s="39" t="inlineStr">
        <is>
          <t>نعم</t>
        </is>
      </c>
      <c r="M5" s="29" t="n">
        <v>1000</v>
      </c>
      <c r="N5" s="29" t="n">
        <v>1999</v>
      </c>
      <c r="O5" s="29" t="inlineStr"/>
      <c r="P5" s="32">
        <f>IF($A5="","",IF($F5="نعم",$A5,$M5))</f>
        <v/>
      </c>
      <c r="Q5" s="32">
        <f>IF($A5="","",IF($F5="نعم",$A5,$N5))</f>
        <v/>
      </c>
      <c r="R5" s="32">
        <f>IF($A5="","",IF(AND($F5="نعم",$L5&lt;&gt;"لا"),1,0))</f>
        <v/>
      </c>
      <c r="S5" s="32">
        <f>IF($D5="","",IFERROR(INDEX(Lists!$AK$5:$AK$10,MATCH($D5,Lists!$AJ$5:$AJ$10,0)),"نوع غير معرف"))</f>
        <v/>
      </c>
      <c r="T5" s="32">
        <f>IF($A5="","",IF(COUNTIF($A:$A,$A5)&gt;1,"كود حساب مكرر",IF($B5="","اسم الحساب ناقص",IF(AND($F5="نعم",$G5=""),"الطبيعة ناقصة",IF(AND($F5&lt;&gt;"نعم",OR($M5="",$N5="")),"الحساب الرئيسي يحتاج نطاقًا (من/إلى)",IF(AND($H5=1,$F5&lt;&gt;"نعم"),"حساب نقدية يجب أن يكون قابلًا للترحيل",IF(AND($F5="نعم",$D5=""),"النوع ناقص","")))))))</f>
        <v/>
      </c>
    </row>
    <row r="6">
      <c r="A6" s="39" t="n">
        <v>1100</v>
      </c>
      <c r="B6" s="29" t="inlineStr">
        <is>
          <t>النقدية والخزائن</t>
        </is>
      </c>
      <c r="C6" s="29" t="inlineStr">
        <is>
          <t>Cash on Hand</t>
        </is>
      </c>
      <c r="D6" s="39" t="inlineStr">
        <is>
          <t>A</t>
        </is>
      </c>
      <c r="E6" s="39" t="n">
        <v>2</v>
      </c>
      <c r="F6" s="39" t="inlineStr">
        <is>
          <t>لا</t>
        </is>
      </c>
      <c r="G6" s="39" t="inlineStr">
        <is>
          <t>مدين</t>
        </is>
      </c>
      <c r="H6" s="39" t="n">
        <v>0</v>
      </c>
      <c r="I6" s="29" t="inlineStr">
        <is>
          <t>OPERATING</t>
        </is>
      </c>
      <c r="J6" s="39" t="inlineStr">
        <is>
          <t>لا</t>
        </is>
      </c>
      <c r="K6" s="39" t="inlineStr">
        <is>
          <t>لا</t>
        </is>
      </c>
      <c r="L6" s="39" t="inlineStr">
        <is>
          <t>نعم</t>
        </is>
      </c>
      <c r="M6" s="29" t="n">
        <v>1100</v>
      </c>
      <c r="N6" s="29" t="n">
        <v>1199</v>
      </c>
      <c r="O6" s="29" t="inlineStr"/>
      <c r="P6" s="32">
        <f>IF($A6="","",IF($F6="نعم",$A6,$M6))</f>
        <v/>
      </c>
      <c r="Q6" s="32">
        <f>IF($A6="","",IF($F6="نعم",$A6,$N6))</f>
        <v/>
      </c>
      <c r="R6" s="32">
        <f>IF($A6="","",IF(AND($F6="نعم",$L6&lt;&gt;"لا"),1,0))</f>
        <v/>
      </c>
      <c r="S6" s="32">
        <f>IF($D6="","",IFERROR(INDEX(Lists!$AK$5:$AK$10,MATCH($D6,Lists!$AJ$5:$AJ$10,0)),"نوع غير معرف"))</f>
        <v/>
      </c>
      <c r="T6" s="32">
        <f>IF($A6="","",IF(COUNTIF($A:$A,$A6)&gt;1,"كود حساب مكرر",IF($B6="","اسم الحساب ناقص",IF(AND($F6="نعم",$G6=""),"الطبيعة ناقصة",IF(AND($F6&lt;&gt;"نعم",OR($M6="",$N6="")),"الحساب الرئيسي يحتاج نطاقًا (من/إلى)",IF(AND($H6=1,$F6&lt;&gt;"نعم"),"حساب نقدية يجب أن يكون قابلًا للترحيل",IF(AND($F6="نعم",$D6=""),"النوع ناقص","")))))))</f>
        <v/>
      </c>
    </row>
    <row r="7">
      <c r="A7" s="39" t="n">
        <v>1101</v>
      </c>
      <c r="B7" s="29" t="inlineStr">
        <is>
          <t>خزينة الفرع BR01</t>
        </is>
      </c>
      <c r="C7" s="29" t="inlineStr">
        <is>
          <t>Cash - Branch BR01</t>
        </is>
      </c>
      <c r="D7" s="39" t="inlineStr">
        <is>
          <t>A</t>
        </is>
      </c>
      <c r="E7" s="39" t="n">
        <v>3</v>
      </c>
      <c r="F7" s="39" t="inlineStr">
        <is>
          <t>نعم</t>
        </is>
      </c>
      <c r="G7" s="39" t="inlineStr">
        <is>
          <t>مدين</t>
        </is>
      </c>
      <c r="H7" s="39" t="n">
        <v>1</v>
      </c>
      <c r="I7" s="29" t="inlineStr">
        <is>
          <t>OPERATING</t>
        </is>
      </c>
      <c r="J7" s="39" t="inlineStr">
        <is>
          <t>لا</t>
        </is>
      </c>
      <c r="K7" s="39" t="inlineStr">
        <is>
          <t>لا</t>
        </is>
      </c>
      <c r="L7" s="39" t="inlineStr">
        <is>
          <t>نعم</t>
        </is>
      </c>
      <c r="M7" s="29" t="n"/>
      <c r="N7" s="29" t="n"/>
      <c r="O7" s="29" t="inlineStr"/>
      <c r="P7" s="32">
        <f>IF($A7="","",IF($F7="نعم",$A7,$M7))</f>
        <v/>
      </c>
      <c r="Q7" s="32">
        <f>IF($A7="","",IF($F7="نعم",$A7,$N7))</f>
        <v/>
      </c>
      <c r="R7" s="32">
        <f>IF($A7="","",IF(AND($F7="نعم",$L7&lt;&gt;"لا"),1,0))</f>
        <v/>
      </c>
      <c r="S7" s="32">
        <f>IF($D7="","",IFERROR(INDEX(Lists!$AK$5:$AK$10,MATCH($D7,Lists!$AJ$5:$AJ$10,0)),"نوع غير معرف"))</f>
        <v/>
      </c>
      <c r="T7" s="32">
        <f>IF($A7="","",IF(COUNTIF($A:$A,$A7)&gt;1,"كود حساب مكرر",IF($B7="","اسم الحساب ناقص",IF(AND($F7="نعم",$G7=""),"الطبيعة ناقصة",IF(AND($F7&lt;&gt;"نعم",OR($M7="",$N7="")),"الحساب الرئيسي يحتاج نطاقًا (من/إلى)",IF(AND($H7=1,$F7&lt;&gt;"نعم"),"حساب نقدية يجب أن يكون قابلًا للترحيل",IF(AND($F7="نعم",$D7=""),"النوع ناقص","")))))))</f>
        <v/>
      </c>
    </row>
    <row r="8">
      <c r="A8" s="39" t="n">
        <v>1102</v>
      </c>
      <c r="B8" s="29" t="inlineStr">
        <is>
          <t>خزينة الفرع BR02</t>
        </is>
      </c>
      <c r="C8" s="29" t="inlineStr">
        <is>
          <t>Cash - Branch BR02</t>
        </is>
      </c>
      <c r="D8" s="39" t="inlineStr">
        <is>
          <t>A</t>
        </is>
      </c>
      <c r="E8" s="39" t="n">
        <v>3</v>
      </c>
      <c r="F8" s="39" t="inlineStr">
        <is>
          <t>نعم</t>
        </is>
      </c>
      <c r="G8" s="39" t="inlineStr">
        <is>
          <t>مدين</t>
        </is>
      </c>
      <c r="H8" s="39" t="n">
        <v>1</v>
      </c>
      <c r="I8" s="29" t="inlineStr">
        <is>
          <t>OPERATING</t>
        </is>
      </c>
      <c r="J8" s="39" t="inlineStr">
        <is>
          <t>لا</t>
        </is>
      </c>
      <c r="K8" s="39" t="inlineStr">
        <is>
          <t>لا</t>
        </is>
      </c>
      <c r="L8" s="39" t="inlineStr">
        <is>
          <t>نعم</t>
        </is>
      </c>
      <c r="M8" s="29" t="n"/>
      <c r="N8" s="29" t="n"/>
      <c r="O8" s="29" t="inlineStr"/>
      <c r="P8" s="32">
        <f>IF($A8="","",IF($F8="نعم",$A8,$M8))</f>
        <v/>
      </c>
      <c r="Q8" s="32">
        <f>IF($A8="","",IF($F8="نعم",$A8,$N8))</f>
        <v/>
      </c>
      <c r="R8" s="32">
        <f>IF($A8="","",IF(AND($F8="نعم",$L8&lt;&gt;"لا"),1,0))</f>
        <v/>
      </c>
      <c r="S8" s="32">
        <f>IF($D8="","",IFERROR(INDEX(Lists!$AK$5:$AK$10,MATCH($D8,Lists!$AJ$5:$AJ$10,0)),"نوع غير معرف"))</f>
        <v/>
      </c>
      <c r="T8" s="32">
        <f>IF($A8="","",IF(COUNTIF($A:$A,$A8)&gt;1,"كود حساب مكرر",IF($B8="","اسم الحساب ناقص",IF(AND($F8="نعم",$G8=""),"الطبيعة ناقصة",IF(AND($F8&lt;&gt;"نعم",OR($M8="",$N8="")),"الحساب الرئيسي يحتاج نطاقًا (من/إلى)",IF(AND($H8=1,$F8&lt;&gt;"نعم"),"حساب نقدية يجب أن يكون قابلًا للترحيل",IF(AND($F8="نعم",$D8=""),"النوع ناقص","")))))))</f>
        <v/>
      </c>
    </row>
    <row r="9">
      <c r="A9" s="39" t="n">
        <v>1103</v>
      </c>
      <c r="B9" s="29" t="inlineStr">
        <is>
          <t>خزينة الفرع BR03</t>
        </is>
      </c>
      <c r="C9" s="29" t="inlineStr">
        <is>
          <t>Cash - Branch BR03</t>
        </is>
      </c>
      <c r="D9" s="39" t="inlineStr">
        <is>
          <t>A</t>
        </is>
      </c>
      <c r="E9" s="39" t="n">
        <v>3</v>
      </c>
      <c r="F9" s="39" t="inlineStr">
        <is>
          <t>نعم</t>
        </is>
      </c>
      <c r="G9" s="39" t="inlineStr">
        <is>
          <t>مدين</t>
        </is>
      </c>
      <c r="H9" s="39" t="n">
        <v>1</v>
      </c>
      <c r="I9" s="29" t="inlineStr">
        <is>
          <t>OPERATING</t>
        </is>
      </c>
      <c r="J9" s="39" t="inlineStr">
        <is>
          <t>لا</t>
        </is>
      </c>
      <c r="K9" s="39" t="inlineStr">
        <is>
          <t>لا</t>
        </is>
      </c>
      <c r="L9" s="39" t="inlineStr">
        <is>
          <t>نعم</t>
        </is>
      </c>
      <c r="M9" s="29" t="n"/>
      <c r="N9" s="29" t="n"/>
      <c r="O9" s="29" t="inlineStr"/>
      <c r="P9" s="32">
        <f>IF($A9="","",IF($F9="نعم",$A9,$M9))</f>
        <v/>
      </c>
      <c r="Q9" s="32">
        <f>IF($A9="","",IF($F9="نعم",$A9,$N9))</f>
        <v/>
      </c>
      <c r="R9" s="32">
        <f>IF($A9="","",IF(AND($F9="نعم",$L9&lt;&gt;"لا"),1,0))</f>
        <v/>
      </c>
      <c r="S9" s="32">
        <f>IF($D9="","",IFERROR(INDEX(Lists!$AK$5:$AK$10,MATCH($D9,Lists!$AJ$5:$AJ$10,0)),"نوع غير معرف"))</f>
        <v/>
      </c>
      <c r="T9" s="32">
        <f>IF($A9="","",IF(COUNTIF($A:$A,$A9)&gt;1,"كود حساب مكرر",IF($B9="","اسم الحساب ناقص",IF(AND($F9="نعم",$G9=""),"الطبيعة ناقصة",IF(AND($F9&lt;&gt;"نعم",OR($M9="",$N9="")),"الحساب الرئيسي يحتاج نطاقًا (من/إلى)",IF(AND($H9=1,$F9&lt;&gt;"نعم"),"حساب نقدية يجب أن يكون قابلًا للترحيل",IF(AND($F9="نعم",$D9=""),"النوع ناقص","")))))))</f>
        <v/>
      </c>
    </row>
    <row r="10">
      <c r="A10" s="39" t="n">
        <v>1104</v>
      </c>
      <c r="B10" s="29" t="inlineStr">
        <is>
          <t>خزينة الإدارة الرئيسية HQ01</t>
        </is>
      </c>
      <c r="C10" s="29" t="inlineStr">
        <is>
          <t>Cash - Head Office</t>
        </is>
      </c>
      <c r="D10" s="39" t="inlineStr">
        <is>
          <t>A</t>
        </is>
      </c>
      <c r="E10" s="39" t="n">
        <v>3</v>
      </c>
      <c r="F10" s="39" t="inlineStr">
        <is>
          <t>نعم</t>
        </is>
      </c>
      <c r="G10" s="39" t="inlineStr">
        <is>
          <t>مدين</t>
        </is>
      </c>
      <c r="H10" s="39" t="n">
        <v>1</v>
      </c>
      <c r="I10" s="29" t="inlineStr">
        <is>
          <t>OPERATING</t>
        </is>
      </c>
      <c r="J10" s="39" t="inlineStr">
        <is>
          <t>لا</t>
        </is>
      </c>
      <c r="K10" s="39" t="inlineStr">
        <is>
          <t>لا</t>
        </is>
      </c>
      <c r="L10" s="39" t="inlineStr">
        <is>
          <t>نعم</t>
        </is>
      </c>
      <c r="M10" s="29" t="n"/>
      <c r="N10" s="29" t="n"/>
      <c r="O10" s="29" t="inlineStr"/>
      <c r="P10" s="32">
        <f>IF($A10="","",IF($F10="نعم",$A10,$M10))</f>
        <v/>
      </c>
      <c r="Q10" s="32">
        <f>IF($A10="","",IF($F10="نعم",$A10,$N10))</f>
        <v/>
      </c>
      <c r="R10" s="32">
        <f>IF($A10="","",IF(AND($F10="نعم",$L10&lt;&gt;"لا"),1,0))</f>
        <v/>
      </c>
      <c r="S10" s="32">
        <f>IF($D10="","",IFERROR(INDEX(Lists!$AK$5:$AK$10,MATCH($D10,Lists!$AJ$5:$AJ$10,0)),"نوع غير معرف"))</f>
        <v/>
      </c>
      <c r="T10" s="32">
        <f>IF($A10="","",IF(COUNTIF($A:$A,$A10)&gt;1,"كود حساب مكرر",IF($B10="","اسم الحساب ناقص",IF(AND($F10="نعم",$G10=""),"الطبيعة ناقصة",IF(AND($F10&lt;&gt;"نعم",OR($M10="",$N10="")),"الحساب الرئيسي يحتاج نطاقًا (من/إلى)",IF(AND($H10=1,$F10&lt;&gt;"نعم"),"حساب نقدية يجب أن يكون قابلًا للترحيل",IF(AND($F10="نعم",$D10=""),"النوع ناقص","")))))))</f>
        <v/>
      </c>
    </row>
    <row r="11">
      <c r="A11" s="39" t="n">
        <v>1105</v>
      </c>
      <c r="B11" s="29" t="inlineStr">
        <is>
          <t>عهدة المصروفات النثرية</t>
        </is>
      </c>
      <c r="C11" s="29" t="inlineStr">
        <is>
          <t>Petty Cash</t>
        </is>
      </c>
      <c r="D11" s="39" t="inlineStr">
        <is>
          <t>A</t>
        </is>
      </c>
      <c r="E11" s="39" t="n">
        <v>3</v>
      </c>
      <c r="F11" s="39" t="inlineStr">
        <is>
          <t>نعم</t>
        </is>
      </c>
      <c r="G11" s="39" t="inlineStr">
        <is>
          <t>مدين</t>
        </is>
      </c>
      <c r="H11" s="39" t="n">
        <v>1</v>
      </c>
      <c r="I11" s="29" t="inlineStr">
        <is>
          <t>OPERATING</t>
        </is>
      </c>
      <c r="J11" s="39" t="inlineStr">
        <is>
          <t>لا</t>
        </is>
      </c>
      <c r="K11" s="39" t="inlineStr">
        <is>
          <t>لا</t>
        </is>
      </c>
      <c r="L11" s="39" t="inlineStr">
        <is>
          <t>نعم</t>
        </is>
      </c>
      <c r="M11" s="29" t="n"/>
      <c r="N11" s="29" t="n"/>
      <c r="O11" s="29" t="inlineStr"/>
      <c r="P11" s="32">
        <f>IF($A11="","",IF($F11="نعم",$A11,$M11))</f>
        <v/>
      </c>
      <c r="Q11" s="32">
        <f>IF($A11="","",IF($F11="نعم",$A11,$N11))</f>
        <v/>
      </c>
      <c r="R11" s="32">
        <f>IF($A11="","",IF(AND($F11="نعم",$L11&lt;&gt;"لا"),1,0))</f>
        <v/>
      </c>
      <c r="S11" s="32">
        <f>IF($D11="","",IFERROR(INDEX(Lists!$AK$5:$AK$10,MATCH($D11,Lists!$AJ$5:$AJ$10,0)),"نوع غير معرف"))</f>
        <v/>
      </c>
      <c r="T11" s="32">
        <f>IF($A11="","",IF(COUNTIF($A:$A,$A11)&gt;1,"كود حساب مكرر",IF($B11="","اسم الحساب ناقص",IF(AND($F11="نعم",$G11=""),"الطبيعة ناقصة",IF(AND($F11&lt;&gt;"نعم",OR($M11="",$N11="")),"الحساب الرئيسي يحتاج نطاقًا (من/إلى)",IF(AND($H11=1,$F11&lt;&gt;"نعم"),"حساب نقدية يجب أن يكون قابلًا للترحيل",IF(AND($F11="نعم",$D11=""),"النوع ناقص","")))))))</f>
        <v/>
      </c>
    </row>
    <row r="12">
      <c r="A12" s="39" t="n">
        <v>1106</v>
      </c>
      <c r="B12" s="29" t="inlineStr">
        <is>
          <t>نقدية بالطريق (تحويلات قيد التسوية)</t>
        </is>
      </c>
      <c r="C12" s="29" t="inlineStr">
        <is>
          <t>Cash in Transit</t>
        </is>
      </c>
      <c r="D12" s="39" t="inlineStr">
        <is>
          <t>A</t>
        </is>
      </c>
      <c r="E12" s="39" t="n">
        <v>3</v>
      </c>
      <c r="F12" s="39" t="inlineStr">
        <is>
          <t>نعم</t>
        </is>
      </c>
      <c r="G12" s="39" t="inlineStr">
        <is>
          <t>مدين</t>
        </is>
      </c>
      <c r="H12" s="39" t="n">
        <v>1</v>
      </c>
      <c r="I12" s="29" t="inlineStr">
        <is>
          <t>OPERATING</t>
        </is>
      </c>
      <c r="J12" s="39" t="inlineStr">
        <is>
          <t>لا</t>
        </is>
      </c>
      <c r="K12" s="39" t="inlineStr">
        <is>
          <t>لا</t>
        </is>
      </c>
      <c r="L12" s="39" t="inlineStr">
        <is>
          <t>نعم</t>
        </is>
      </c>
      <c r="M12" s="29" t="n"/>
      <c r="N12" s="29" t="n"/>
      <c r="O12" s="29" t="inlineStr">
        <is>
          <t>يجب أن يكون رصيده صفرًا عند الإقفال</t>
        </is>
      </c>
      <c r="P12" s="32">
        <f>IF($A12="","",IF($F12="نعم",$A12,$M12))</f>
        <v/>
      </c>
      <c r="Q12" s="32">
        <f>IF($A12="","",IF($F12="نعم",$A12,$N12))</f>
        <v/>
      </c>
      <c r="R12" s="32">
        <f>IF($A12="","",IF(AND($F12="نعم",$L12&lt;&gt;"لا"),1,0))</f>
        <v/>
      </c>
      <c r="S12" s="32">
        <f>IF($D12="","",IFERROR(INDEX(Lists!$AK$5:$AK$10,MATCH($D12,Lists!$AJ$5:$AJ$10,0)),"نوع غير معرف"))</f>
        <v/>
      </c>
      <c r="T12" s="32">
        <f>IF($A12="","",IF(COUNTIF($A:$A,$A12)&gt;1,"كود حساب مكرر",IF($B12="","اسم الحساب ناقص",IF(AND($F12="نعم",$G12=""),"الطبيعة ناقصة",IF(AND($F12&lt;&gt;"نعم",OR($M12="",$N12="")),"الحساب الرئيسي يحتاج نطاقًا (من/إلى)",IF(AND($H12=1,$F12&lt;&gt;"نعم"),"حساب نقدية يجب أن يكون قابلًا للترحيل",IF(AND($F12="نعم",$D12=""),"النوع ناقص","")))))))</f>
        <v/>
      </c>
    </row>
    <row r="13">
      <c r="A13" s="39" t="n">
        <v>1200</v>
      </c>
      <c r="B13" s="29" t="inlineStr">
        <is>
          <t>البنوك</t>
        </is>
      </c>
      <c r="C13" s="29" t="inlineStr">
        <is>
          <t>Banks</t>
        </is>
      </c>
      <c r="D13" s="39" t="inlineStr">
        <is>
          <t>A</t>
        </is>
      </c>
      <c r="E13" s="39" t="n">
        <v>2</v>
      </c>
      <c r="F13" s="39" t="inlineStr">
        <is>
          <t>لا</t>
        </is>
      </c>
      <c r="G13" s="39" t="inlineStr">
        <is>
          <t>مدين</t>
        </is>
      </c>
      <c r="H13" s="39" t="n">
        <v>0</v>
      </c>
      <c r="I13" s="29" t="inlineStr">
        <is>
          <t>OPERATING</t>
        </is>
      </c>
      <c r="J13" s="39" t="inlineStr">
        <is>
          <t>لا</t>
        </is>
      </c>
      <c r="K13" s="39" t="inlineStr">
        <is>
          <t>لا</t>
        </is>
      </c>
      <c r="L13" s="39" t="inlineStr">
        <is>
          <t>نعم</t>
        </is>
      </c>
      <c r="M13" s="29" t="n">
        <v>1200</v>
      </c>
      <c r="N13" s="29" t="n">
        <v>1299</v>
      </c>
      <c r="O13" s="29" t="inlineStr"/>
      <c r="P13" s="32">
        <f>IF($A13="","",IF($F13="نعم",$A13,$M13))</f>
        <v/>
      </c>
      <c r="Q13" s="32">
        <f>IF($A13="","",IF($F13="نعم",$A13,$N13))</f>
        <v/>
      </c>
      <c r="R13" s="32">
        <f>IF($A13="","",IF(AND($F13="نعم",$L13&lt;&gt;"لا"),1,0))</f>
        <v/>
      </c>
      <c r="S13" s="32">
        <f>IF($D13="","",IFERROR(INDEX(Lists!$AK$5:$AK$10,MATCH($D13,Lists!$AJ$5:$AJ$10,0)),"نوع غير معرف"))</f>
        <v/>
      </c>
      <c r="T13" s="32">
        <f>IF($A13="","",IF(COUNTIF($A:$A,$A13)&gt;1,"كود حساب مكرر",IF($B13="","اسم الحساب ناقص",IF(AND($F13="نعم",$G13=""),"الطبيعة ناقصة",IF(AND($F13&lt;&gt;"نعم",OR($M13="",$N13="")),"الحساب الرئيسي يحتاج نطاقًا (من/إلى)",IF(AND($H13=1,$F13&lt;&gt;"نعم"),"حساب نقدية يجب أن يكون قابلًا للترحيل",IF(AND($F13="نعم",$D13=""),"النوع ناقص","")))))))</f>
        <v/>
      </c>
    </row>
    <row r="14">
      <c r="A14" s="39" t="n">
        <v>1201</v>
      </c>
      <c r="B14" s="29" t="inlineStr">
        <is>
          <t>البنك الأول - حساب جاري (تجريبي)</t>
        </is>
      </c>
      <c r="C14" s="29" t="inlineStr">
        <is>
          <t>Bank 1 - Current</t>
        </is>
      </c>
      <c r="D14" s="39" t="inlineStr">
        <is>
          <t>A</t>
        </is>
      </c>
      <c r="E14" s="39" t="n">
        <v>3</v>
      </c>
      <c r="F14" s="39" t="inlineStr">
        <is>
          <t>نعم</t>
        </is>
      </c>
      <c r="G14" s="39" t="inlineStr">
        <is>
          <t>مدين</t>
        </is>
      </c>
      <c r="H14" s="39" t="n">
        <v>1</v>
      </c>
      <c r="I14" s="29" t="inlineStr">
        <is>
          <t>OPERATING</t>
        </is>
      </c>
      <c r="J14" s="39" t="inlineStr">
        <is>
          <t>لا</t>
        </is>
      </c>
      <c r="K14" s="39" t="inlineStr">
        <is>
          <t>لا</t>
        </is>
      </c>
      <c r="L14" s="39" t="inlineStr">
        <is>
          <t>نعم</t>
        </is>
      </c>
      <c r="M14" s="29" t="n"/>
      <c r="N14" s="29" t="n"/>
      <c r="O14" s="29" t="inlineStr"/>
      <c r="P14" s="32">
        <f>IF($A14="","",IF($F14="نعم",$A14,$M14))</f>
        <v/>
      </c>
      <c r="Q14" s="32">
        <f>IF($A14="","",IF($F14="نعم",$A14,$N14))</f>
        <v/>
      </c>
      <c r="R14" s="32">
        <f>IF($A14="","",IF(AND($F14="نعم",$L14&lt;&gt;"لا"),1,0))</f>
        <v/>
      </c>
      <c r="S14" s="32">
        <f>IF($D14="","",IFERROR(INDEX(Lists!$AK$5:$AK$10,MATCH($D14,Lists!$AJ$5:$AJ$10,0)),"نوع غير معرف"))</f>
        <v/>
      </c>
      <c r="T14" s="32">
        <f>IF($A14="","",IF(COUNTIF($A:$A,$A14)&gt;1,"كود حساب مكرر",IF($B14="","اسم الحساب ناقص",IF(AND($F14="نعم",$G14=""),"الطبيعة ناقصة",IF(AND($F14&lt;&gt;"نعم",OR($M14="",$N14="")),"الحساب الرئيسي يحتاج نطاقًا (من/إلى)",IF(AND($H14=1,$F14&lt;&gt;"نعم"),"حساب نقدية يجب أن يكون قابلًا للترحيل",IF(AND($F14="نعم",$D14=""),"النوع ناقص","")))))))</f>
        <v/>
      </c>
    </row>
    <row r="15">
      <c r="A15" s="39" t="n">
        <v>1202</v>
      </c>
      <c r="B15" s="29" t="inlineStr">
        <is>
          <t>البنك الثاني - حساب جاري (تجريبي)</t>
        </is>
      </c>
      <c r="C15" s="29" t="inlineStr">
        <is>
          <t>Bank 2 - Current</t>
        </is>
      </c>
      <c r="D15" s="39" t="inlineStr">
        <is>
          <t>A</t>
        </is>
      </c>
      <c r="E15" s="39" t="n">
        <v>3</v>
      </c>
      <c r="F15" s="39" t="inlineStr">
        <is>
          <t>نعم</t>
        </is>
      </c>
      <c r="G15" s="39" t="inlineStr">
        <is>
          <t>مدين</t>
        </is>
      </c>
      <c r="H15" s="39" t="n">
        <v>1</v>
      </c>
      <c r="I15" s="29" t="inlineStr">
        <is>
          <t>OPERATING</t>
        </is>
      </c>
      <c r="J15" s="39" t="inlineStr">
        <is>
          <t>لا</t>
        </is>
      </c>
      <c r="K15" s="39" t="inlineStr">
        <is>
          <t>لا</t>
        </is>
      </c>
      <c r="L15" s="39" t="inlineStr">
        <is>
          <t>نعم</t>
        </is>
      </c>
      <c r="M15" s="29" t="n"/>
      <c r="N15" s="29" t="n"/>
      <c r="O15" s="29" t="inlineStr"/>
      <c r="P15" s="32">
        <f>IF($A15="","",IF($F15="نعم",$A15,$M15))</f>
        <v/>
      </c>
      <c r="Q15" s="32">
        <f>IF($A15="","",IF($F15="نعم",$A15,$N15))</f>
        <v/>
      </c>
      <c r="R15" s="32">
        <f>IF($A15="","",IF(AND($F15="نعم",$L15&lt;&gt;"لا"),1,0))</f>
        <v/>
      </c>
      <c r="S15" s="32">
        <f>IF($D15="","",IFERROR(INDEX(Lists!$AK$5:$AK$10,MATCH($D15,Lists!$AJ$5:$AJ$10,0)),"نوع غير معرف"))</f>
        <v/>
      </c>
      <c r="T15" s="32">
        <f>IF($A15="","",IF(COUNTIF($A:$A,$A15)&gt;1,"كود حساب مكرر",IF($B15="","اسم الحساب ناقص",IF(AND($F15="نعم",$G15=""),"الطبيعة ناقصة",IF(AND($F15&lt;&gt;"نعم",OR($M15="",$N15="")),"الحساب الرئيسي يحتاج نطاقًا (من/إلى)",IF(AND($H15=1,$F15&lt;&gt;"نعم"),"حساب نقدية يجب أن يكون قابلًا للترحيل",IF(AND($F15="نعم",$D15=""),"النوع ناقص","")))))))</f>
        <v/>
      </c>
    </row>
    <row r="16">
      <c r="A16" s="39" t="n">
        <v>1203</v>
      </c>
      <c r="B16" s="29" t="inlineStr">
        <is>
          <t>محافظ وتحويلات إلكترونية</t>
        </is>
      </c>
      <c r="C16" s="29" t="inlineStr">
        <is>
          <t>E-wallets / Instant transfers</t>
        </is>
      </c>
      <c r="D16" s="39" t="inlineStr">
        <is>
          <t>A</t>
        </is>
      </c>
      <c r="E16" s="39" t="n">
        <v>3</v>
      </c>
      <c r="F16" s="39" t="inlineStr">
        <is>
          <t>نعم</t>
        </is>
      </c>
      <c r="G16" s="39" t="inlineStr">
        <is>
          <t>مدين</t>
        </is>
      </c>
      <c r="H16" s="39" t="n">
        <v>1</v>
      </c>
      <c r="I16" s="29" t="inlineStr">
        <is>
          <t>OPERATING</t>
        </is>
      </c>
      <c r="J16" s="39" t="inlineStr">
        <is>
          <t>لا</t>
        </is>
      </c>
      <c r="K16" s="39" t="inlineStr">
        <is>
          <t>لا</t>
        </is>
      </c>
      <c r="L16" s="39" t="inlineStr">
        <is>
          <t>نعم</t>
        </is>
      </c>
      <c r="M16" s="29" t="n"/>
      <c r="N16" s="29" t="n"/>
      <c r="O16" s="29" t="inlineStr"/>
      <c r="P16" s="32">
        <f>IF($A16="","",IF($F16="نعم",$A16,$M16))</f>
        <v/>
      </c>
      <c r="Q16" s="32">
        <f>IF($A16="","",IF($F16="نعم",$A16,$N16))</f>
        <v/>
      </c>
      <c r="R16" s="32">
        <f>IF($A16="","",IF(AND($F16="نعم",$L16&lt;&gt;"لا"),1,0))</f>
        <v/>
      </c>
      <c r="S16" s="32">
        <f>IF($D16="","",IFERROR(INDEX(Lists!$AK$5:$AK$10,MATCH($D16,Lists!$AJ$5:$AJ$10,0)),"نوع غير معرف"))</f>
        <v/>
      </c>
      <c r="T16" s="32">
        <f>IF($A16="","",IF(COUNTIF($A:$A,$A16)&gt;1,"كود حساب مكرر",IF($B16="","اسم الحساب ناقص",IF(AND($F16="نعم",$G16=""),"الطبيعة ناقصة",IF(AND($F16&lt;&gt;"نعم",OR($M16="",$N16="")),"الحساب الرئيسي يحتاج نطاقًا (من/إلى)",IF(AND($H16=1,$F16&lt;&gt;"نعم"),"حساب نقدية يجب أن يكون قابلًا للترحيل",IF(AND($F16="نعم",$D16=""),"النوع ناقص","")))))))</f>
        <v/>
      </c>
    </row>
    <row r="17">
      <c r="A17" s="39" t="n">
        <v>1300</v>
      </c>
      <c r="B17" s="29" t="inlineStr">
        <is>
          <t>العملاء ومنصات التوصيل والبطاقات</t>
        </is>
      </c>
      <c r="C17" s="29" t="inlineStr">
        <is>
          <t>Receivables &amp; Platforms</t>
        </is>
      </c>
      <c r="D17" s="39" t="inlineStr">
        <is>
          <t>A</t>
        </is>
      </c>
      <c r="E17" s="39" t="n">
        <v>2</v>
      </c>
      <c r="F17" s="39" t="inlineStr">
        <is>
          <t>لا</t>
        </is>
      </c>
      <c r="G17" s="39" t="inlineStr">
        <is>
          <t>مدين</t>
        </is>
      </c>
      <c r="H17" s="39" t="n">
        <v>0</v>
      </c>
      <c r="I17" s="29" t="inlineStr">
        <is>
          <t>OPERATING</t>
        </is>
      </c>
      <c r="J17" s="39" t="inlineStr">
        <is>
          <t>لا</t>
        </is>
      </c>
      <c r="K17" s="39" t="inlineStr">
        <is>
          <t>لا</t>
        </is>
      </c>
      <c r="L17" s="39" t="inlineStr">
        <is>
          <t>نعم</t>
        </is>
      </c>
      <c r="M17" s="29" t="n">
        <v>1300</v>
      </c>
      <c r="N17" s="29" t="n">
        <v>1399</v>
      </c>
      <c r="O17" s="29" t="inlineStr"/>
      <c r="P17" s="32">
        <f>IF($A17="","",IF($F17="نعم",$A17,$M17))</f>
        <v/>
      </c>
      <c r="Q17" s="32">
        <f>IF($A17="","",IF($F17="نعم",$A17,$N17))</f>
        <v/>
      </c>
      <c r="R17" s="32">
        <f>IF($A17="","",IF(AND($F17="نعم",$L17&lt;&gt;"لا"),1,0))</f>
        <v/>
      </c>
      <c r="S17" s="32">
        <f>IF($D17="","",IFERROR(INDEX(Lists!$AK$5:$AK$10,MATCH($D17,Lists!$AJ$5:$AJ$10,0)),"نوع غير معرف"))</f>
        <v/>
      </c>
      <c r="T17" s="32">
        <f>IF($A17="","",IF(COUNTIF($A:$A,$A17)&gt;1,"كود حساب مكرر",IF($B17="","اسم الحساب ناقص",IF(AND($F17="نعم",$G17=""),"الطبيعة ناقصة",IF(AND($F17&lt;&gt;"نعم",OR($M17="",$N17="")),"الحساب الرئيسي يحتاج نطاقًا (من/إلى)",IF(AND($H17=1,$F17&lt;&gt;"نعم"),"حساب نقدية يجب أن يكون قابلًا للترحيل",IF(AND($F17="نعم",$D17=""),"النوع ناقص","")))))))</f>
        <v/>
      </c>
    </row>
    <row r="18">
      <c r="A18" s="39" t="n">
        <v>1301</v>
      </c>
      <c r="B18" s="29" t="inlineStr">
        <is>
          <t>عملاء (مدينون تجاريون)</t>
        </is>
      </c>
      <c r="C18" s="29" t="inlineStr">
        <is>
          <t>Trade Receivables</t>
        </is>
      </c>
      <c r="D18" s="39" t="inlineStr">
        <is>
          <t>A</t>
        </is>
      </c>
      <c r="E18" s="39" t="n">
        <v>3</v>
      </c>
      <c r="F18" s="39" t="inlineStr">
        <is>
          <t>نعم</t>
        </is>
      </c>
      <c r="G18" s="39" t="inlineStr">
        <is>
          <t>مدين</t>
        </is>
      </c>
      <c r="H18" s="39" t="n">
        <v>0</v>
      </c>
      <c r="I18" s="29" t="inlineStr">
        <is>
          <t>OPERATING</t>
        </is>
      </c>
      <c r="J18" s="39" t="inlineStr">
        <is>
          <t>لا</t>
        </is>
      </c>
      <c r="K18" s="39" t="inlineStr">
        <is>
          <t>لا</t>
        </is>
      </c>
      <c r="L18" s="39" t="inlineStr">
        <is>
          <t>نعم</t>
        </is>
      </c>
      <c r="M18" s="29" t="n"/>
      <c r="N18" s="29" t="n"/>
      <c r="O18" s="29" t="inlineStr"/>
      <c r="P18" s="32">
        <f>IF($A18="","",IF($F18="نعم",$A18,$M18))</f>
        <v/>
      </c>
      <c r="Q18" s="32">
        <f>IF($A18="","",IF($F18="نعم",$A18,$N18))</f>
        <v/>
      </c>
      <c r="R18" s="32">
        <f>IF($A18="","",IF(AND($F18="نعم",$L18&lt;&gt;"لا"),1,0))</f>
        <v/>
      </c>
      <c r="S18" s="32">
        <f>IF($D18="","",IFERROR(INDEX(Lists!$AK$5:$AK$10,MATCH($D18,Lists!$AJ$5:$AJ$10,0)),"نوع غير معرف"))</f>
        <v/>
      </c>
      <c r="T18" s="32">
        <f>IF($A18="","",IF(COUNTIF($A:$A,$A18)&gt;1,"كود حساب مكرر",IF($B18="","اسم الحساب ناقص",IF(AND($F18="نعم",$G18=""),"الطبيعة ناقصة",IF(AND($F18&lt;&gt;"نعم",OR($M18="",$N18="")),"الحساب الرئيسي يحتاج نطاقًا (من/إلى)",IF(AND($H18=1,$F18&lt;&gt;"نعم"),"حساب نقدية يجب أن يكون قابلًا للترحيل",IF(AND($F18="نعم",$D18=""),"النوع ناقص","")))))))</f>
        <v/>
      </c>
    </row>
    <row r="19">
      <c r="A19" s="39" t="n">
        <v>1302</v>
      </c>
      <c r="B19" s="29" t="inlineStr">
        <is>
          <t>مستحقات بطاقات الدفع (POS Clearing)</t>
        </is>
      </c>
      <c r="C19" s="29" t="inlineStr">
        <is>
          <t>Card Settlements Receivable</t>
        </is>
      </c>
      <c r="D19" s="39" t="inlineStr">
        <is>
          <t>A</t>
        </is>
      </c>
      <c r="E19" s="39" t="n">
        <v>3</v>
      </c>
      <c r="F19" s="39" t="inlineStr">
        <is>
          <t>نعم</t>
        </is>
      </c>
      <c r="G19" s="39" t="inlineStr">
        <is>
          <t>مدين</t>
        </is>
      </c>
      <c r="H19" s="39" t="n">
        <v>0</v>
      </c>
      <c r="I19" s="29" t="inlineStr">
        <is>
          <t>OPERATING</t>
        </is>
      </c>
      <c r="J19" s="39" t="inlineStr">
        <is>
          <t>لا</t>
        </is>
      </c>
      <c r="K19" s="39" t="inlineStr">
        <is>
          <t>لا</t>
        </is>
      </c>
      <c r="L19" s="39" t="inlineStr">
        <is>
          <t>نعم</t>
        </is>
      </c>
      <c r="M19" s="29" t="n"/>
      <c r="N19" s="29" t="n"/>
      <c r="O19" s="29" t="inlineStr"/>
      <c r="P19" s="32">
        <f>IF($A19="","",IF($F19="نعم",$A19,$M19))</f>
        <v/>
      </c>
      <c r="Q19" s="32">
        <f>IF($A19="","",IF($F19="نعم",$A19,$N19))</f>
        <v/>
      </c>
      <c r="R19" s="32">
        <f>IF($A19="","",IF(AND($F19="نعم",$L19&lt;&gt;"لا"),1,0))</f>
        <v/>
      </c>
      <c r="S19" s="32">
        <f>IF($D19="","",IFERROR(INDEX(Lists!$AK$5:$AK$10,MATCH($D19,Lists!$AJ$5:$AJ$10,0)),"نوع غير معرف"))</f>
        <v/>
      </c>
      <c r="T19" s="32">
        <f>IF($A19="","",IF(COUNTIF($A:$A,$A19)&gt;1,"كود حساب مكرر",IF($B19="","اسم الحساب ناقص",IF(AND($F19="نعم",$G19=""),"الطبيعة ناقصة",IF(AND($F19&lt;&gt;"نعم",OR($M19="",$N19="")),"الحساب الرئيسي يحتاج نطاقًا (من/إلى)",IF(AND($H19=1,$F19&lt;&gt;"نعم"),"حساب نقدية يجب أن يكون قابلًا للترحيل",IF(AND($F19="نعم",$D19=""),"النوع ناقص","")))))))</f>
        <v/>
      </c>
    </row>
    <row r="20">
      <c r="A20" s="39" t="n">
        <v>1303</v>
      </c>
      <c r="B20" s="29" t="inlineStr">
        <is>
          <t>مستحقات منصة طلبات</t>
        </is>
      </c>
      <c r="C20" s="29" t="inlineStr">
        <is>
          <t>Receivable - Talabat</t>
        </is>
      </c>
      <c r="D20" s="39" t="inlineStr">
        <is>
          <t>A</t>
        </is>
      </c>
      <c r="E20" s="39" t="n">
        <v>3</v>
      </c>
      <c r="F20" s="39" t="inlineStr">
        <is>
          <t>نعم</t>
        </is>
      </c>
      <c r="G20" s="39" t="inlineStr">
        <is>
          <t>مدين</t>
        </is>
      </c>
      <c r="H20" s="39" t="n">
        <v>0</v>
      </c>
      <c r="I20" s="29" t="inlineStr">
        <is>
          <t>OPERATING</t>
        </is>
      </c>
      <c r="J20" s="39" t="inlineStr">
        <is>
          <t>لا</t>
        </is>
      </c>
      <c r="K20" s="39" t="inlineStr">
        <is>
          <t>لا</t>
        </is>
      </c>
      <c r="L20" s="39" t="inlineStr">
        <is>
          <t>نعم</t>
        </is>
      </c>
      <c r="M20" s="29" t="n"/>
      <c r="N20" s="29" t="n"/>
      <c r="O20" s="29" t="inlineStr"/>
      <c r="P20" s="32">
        <f>IF($A20="","",IF($F20="نعم",$A20,$M20))</f>
        <v/>
      </c>
      <c r="Q20" s="32">
        <f>IF($A20="","",IF($F20="نعم",$A20,$N20))</f>
        <v/>
      </c>
      <c r="R20" s="32">
        <f>IF($A20="","",IF(AND($F20="نعم",$L20&lt;&gt;"لا"),1,0))</f>
        <v/>
      </c>
      <c r="S20" s="32">
        <f>IF($D20="","",IFERROR(INDEX(Lists!$AK$5:$AK$10,MATCH($D20,Lists!$AJ$5:$AJ$10,0)),"نوع غير معرف"))</f>
        <v/>
      </c>
      <c r="T20" s="32">
        <f>IF($A20="","",IF(COUNTIF($A:$A,$A20)&gt;1,"كود حساب مكرر",IF($B20="","اسم الحساب ناقص",IF(AND($F20="نعم",$G20=""),"الطبيعة ناقصة",IF(AND($F20&lt;&gt;"نعم",OR($M20="",$N20="")),"الحساب الرئيسي يحتاج نطاقًا (من/إلى)",IF(AND($H20=1,$F20&lt;&gt;"نعم"),"حساب نقدية يجب أن يكون قابلًا للترحيل",IF(AND($F20="نعم",$D20=""),"النوع ناقص","")))))))</f>
        <v/>
      </c>
    </row>
    <row r="21">
      <c r="A21" s="39" t="n">
        <v>1304</v>
      </c>
      <c r="B21" s="29" t="inlineStr">
        <is>
          <t>مستحقات منصة توصيل أخرى</t>
        </is>
      </c>
      <c r="C21" s="29" t="inlineStr">
        <is>
          <t>Receivable - Other Delivery Platform</t>
        </is>
      </c>
      <c r="D21" s="39" t="inlineStr">
        <is>
          <t>A</t>
        </is>
      </c>
      <c r="E21" s="39" t="n">
        <v>3</v>
      </c>
      <c r="F21" s="39" t="inlineStr">
        <is>
          <t>نعم</t>
        </is>
      </c>
      <c r="G21" s="39" t="inlineStr">
        <is>
          <t>مدين</t>
        </is>
      </c>
      <c r="H21" s="39" t="n">
        <v>0</v>
      </c>
      <c r="I21" s="29" t="inlineStr">
        <is>
          <t>OPERATING</t>
        </is>
      </c>
      <c r="J21" s="39" t="inlineStr">
        <is>
          <t>لا</t>
        </is>
      </c>
      <c r="K21" s="39" t="inlineStr">
        <is>
          <t>لا</t>
        </is>
      </c>
      <c r="L21" s="39" t="inlineStr">
        <is>
          <t>نعم</t>
        </is>
      </c>
      <c r="M21" s="29" t="n"/>
      <c r="N21" s="29" t="n"/>
      <c r="O21" s="29" t="inlineStr"/>
      <c r="P21" s="32">
        <f>IF($A21="","",IF($F21="نعم",$A21,$M21))</f>
        <v/>
      </c>
      <c r="Q21" s="32">
        <f>IF($A21="","",IF($F21="نعم",$A21,$N21))</f>
        <v/>
      </c>
      <c r="R21" s="32">
        <f>IF($A21="","",IF(AND($F21="نعم",$L21&lt;&gt;"لا"),1,0))</f>
        <v/>
      </c>
      <c r="S21" s="32">
        <f>IF($D21="","",IFERROR(INDEX(Lists!$AK$5:$AK$10,MATCH($D21,Lists!$AJ$5:$AJ$10,0)),"نوع غير معرف"))</f>
        <v/>
      </c>
      <c r="T21" s="32">
        <f>IF($A21="","",IF(COUNTIF($A:$A,$A21)&gt;1,"كود حساب مكرر",IF($B21="","اسم الحساب ناقص",IF(AND($F21="نعم",$G21=""),"الطبيعة ناقصة",IF(AND($F21&lt;&gt;"نعم",OR($M21="",$N21="")),"الحساب الرئيسي يحتاج نطاقًا (من/إلى)",IF(AND($H21=1,$F21&lt;&gt;"نعم"),"حساب نقدية يجب أن يكون قابلًا للترحيل",IF(AND($F21="نعم",$D21=""),"النوع ناقص","")))))))</f>
        <v/>
      </c>
    </row>
    <row r="22">
      <c r="A22" s="39" t="n">
        <v>1309</v>
      </c>
      <c r="B22" s="29" t="inlineStr">
        <is>
          <t>فروق تسوية المنصات تحت المراجعة</t>
        </is>
      </c>
      <c r="C22" s="29" t="inlineStr">
        <is>
          <t>Platform Settlement Differences (pending)</t>
        </is>
      </c>
      <c r="D22" s="39" t="inlineStr">
        <is>
          <t>A</t>
        </is>
      </c>
      <c r="E22" s="39" t="n">
        <v>3</v>
      </c>
      <c r="F22" s="39" t="inlineStr">
        <is>
          <t>نعم</t>
        </is>
      </c>
      <c r="G22" s="39" t="inlineStr">
        <is>
          <t>مدين</t>
        </is>
      </c>
      <c r="H22" s="39" t="n">
        <v>0</v>
      </c>
      <c r="I22" s="29" t="inlineStr">
        <is>
          <t>OPERATING</t>
        </is>
      </c>
      <c r="J22" s="39" t="inlineStr">
        <is>
          <t>لا</t>
        </is>
      </c>
      <c r="K22" s="39" t="inlineStr">
        <is>
          <t>لا</t>
        </is>
      </c>
      <c r="L22" s="39" t="inlineStr">
        <is>
          <t>نعم</t>
        </is>
      </c>
      <c r="M22" s="29" t="n"/>
      <c r="N22" s="29" t="n"/>
      <c r="O22" s="29" t="inlineStr">
        <is>
          <t>حساب مراجعة؛ يُسوّى شهريًا</t>
        </is>
      </c>
      <c r="P22" s="32">
        <f>IF($A22="","",IF($F22="نعم",$A22,$M22))</f>
        <v/>
      </c>
      <c r="Q22" s="32">
        <f>IF($A22="","",IF($F22="نعم",$A22,$N22))</f>
        <v/>
      </c>
      <c r="R22" s="32">
        <f>IF($A22="","",IF(AND($F22="نعم",$L22&lt;&gt;"لا"),1,0))</f>
        <v/>
      </c>
      <c r="S22" s="32">
        <f>IF($D22="","",IFERROR(INDEX(Lists!$AK$5:$AK$10,MATCH($D22,Lists!$AJ$5:$AJ$10,0)),"نوع غير معرف"))</f>
        <v/>
      </c>
      <c r="T22" s="32">
        <f>IF($A22="","",IF(COUNTIF($A:$A,$A22)&gt;1,"كود حساب مكرر",IF($B22="","اسم الحساب ناقص",IF(AND($F22="نعم",$G22=""),"الطبيعة ناقصة",IF(AND($F22&lt;&gt;"نعم",OR($M22="",$N22="")),"الحساب الرئيسي يحتاج نطاقًا (من/إلى)",IF(AND($H22=1,$F22&lt;&gt;"نعم"),"حساب نقدية يجب أن يكون قابلًا للترحيل",IF(AND($F22="نعم",$D22=""),"النوع ناقص","")))))))</f>
        <v/>
      </c>
    </row>
    <row r="23">
      <c r="A23" s="39" t="n">
        <v>1400</v>
      </c>
      <c r="B23" s="29" t="inlineStr">
        <is>
          <t>المخزون</t>
        </is>
      </c>
      <c r="C23" s="29" t="inlineStr">
        <is>
          <t>Inventory</t>
        </is>
      </c>
      <c r="D23" s="39" t="inlineStr">
        <is>
          <t>A</t>
        </is>
      </c>
      <c r="E23" s="39" t="n">
        <v>2</v>
      </c>
      <c r="F23" s="39" t="inlineStr">
        <is>
          <t>لا</t>
        </is>
      </c>
      <c r="G23" s="39" t="inlineStr">
        <is>
          <t>مدين</t>
        </is>
      </c>
      <c r="H23" s="39" t="n">
        <v>0</v>
      </c>
      <c r="I23" s="29" t="inlineStr">
        <is>
          <t>OPERATING</t>
        </is>
      </c>
      <c r="J23" s="39" t="inlineStr">
        <is>
          <t>لا</t>
        </is>
      </c>
      <c r="K23" s="39" t="inlineStr">
        <is>
          <t>لا</t>
        </is>
      </c>
      <c r="L23" s="39" t="inlineStr">
        <is>
          <t>نعم</t>
        </is>
      </c>
      <c r="M23" s="29" t="n">
        <v>1400</v>
      </c>
      <c r="N23" s="29" t="n">
        <v>1499</v>
      </c>
      <c r="O23" s="29" t="inlineStr"/>
      <c r="P23" s="32">
        <f>IF($A23="","",IF($F23="نعم",$A23,$M23))</f>
        <v/>
      </c>
      <c r="Q23" s="32">
        <f>IF($A23="","",IF($F23="نعم",$A23,$N23))</f>
        <v/>
      </c>
      <c r="R23" s="32">
        <f>IF($A23="","",IF(AND($F23="نعم",$L23&lt;&gt;"لا"),1,0))</f>
        <v/>
      </c>
      <c r="S23" s="32">
        <f>IF($D23="","",IFERROR(INDEX(Lists!$AK$5:$AK$10,MATCH($D23,Lists!$AJ$5:$AJ$10,0)),"نوع غير معرف"))</f>
        <v/>
      </c>
      <c r="T23" s="32">
        <f>IF($A23="","",IF(COUNTIF($A:$A,$A23)&gt;1,"كود حساب مكرر",IF($B23="","اسم الحساب ناقص",IF(AND($F23="نعم",$G23=""),"الطبيعة ناقصة",IF(AND($F23&lt;&gt;"نعم",OR($M23="",$N23="")),"الحساب الرئيسي يحتاج نطاقًا (من/إلى)",IF(AND($H23=1,$F23&lt;&gt;"نعم"),"حساب نقدية يجب أن يكون قابلًا للترحيل",IF(AND($F23="نعم",$D23=""),"النوع ناقص","")))))))</f>
        <v/>
      </c>
    </row>
    <row r="24">
      <c r="A24" s="39" t="n">
        <v>1401</v>
      </c>
      <c r="B24" s="29" t="inlineStr">
        <is>
          <t>مخزون المخزن الرئيسي - مواد خام</t>
        </is>
      </c>
      <c r="C24" s="29" t="inlineStr">
        <is>
          <t>Inventory - Main Warehouse (raw)</t>
        </is>
      </c>
      <c r="D24" s="39" t="inlineStr">
        <is>
          <t>A</t>
        </is>
      </c>
      <c r="E24" s="39" t="n">
        <v>3</v>
      </c>
      <c r="F24" s="39" t="inlineStr">
        <is>
          <t>نعم</t>
        </is>
      </c>
      <c r="G24" s="39" t="inlineStr">
        <is>
          <t>مدين</t>
        </is>
      </c>
      <c r="H24" s="39" t="n">
        <v>0</v>
      </c>
      <c r="I24" s="29" t="inlineStr">
        <is>
          <t>OPERATING</t>
        </is>
      </c>
      <c r="J24" s="39" t="inlineStr">
        <is>
          <t>لا</t>
        </is>
      </c>
      <c r="K24" s="39" t="inlineStr">
        <is>
          <t>نعم</t>
        </is>
      </c>
      <c r="L24" s="39" t="inlineStr">
        <is>
          <t>نعم</t>
        </is>
      </c>
      <c r="M24" s="29" t="n"/>
      <c r="N24" s="29" t="n"/>
      <c r="O24" s="29" t="inlineStr"/>
      <c r="P24" s="32">
        <f>IF($A24="","",IF($F24="نعم",$A24,$M24))</f>
        <v/>
      </c>
      <c r="Q24" s="32">
        <f>IF($A24="","",IF($F24="نعم",$A24,$N24))</f>
        <v/>
      </c>
      <c r="R24" s="32">
        <f>IF($A24="","",IF(AND($F24="نعم",$L24&lt;&gt;"لا"),1,0))</f>
        <v/>
      </c>
      <c r="S24" s="32">
        <f>IF($D24="","",IFERROR(INDEX(Lists!$AK$5:$AK$10,MATCH($D24,Lists!$AJ$5:$AJ$10,0)),"نوع غير معرف"))</f>
        <v/>
      </c>
      <c r="T24" s="32">
        <f>IF($A24="","",IF(COUNTIF($A:$A,$A24)&gt;1,"كود حساب مكرر",IF($B24="","اسم الحساب ناقص",IF(AND($F24="نعم",$G24=""),"الطبيعة ناقصة",IF(AND($F24&lt;&gt;"نعم",OR($M24="",$N24="")),"الحساب الرئيسي يحتاج نطاقًا (من/إلى)",IF(AND($H24=1,$F24&lt;&gt;"نعم"),"حساب نقدية يجب أن يكون قابلًا للترحيل",IF(AND($F24="نعم",$D24=""),"النوع ناقص","")))))))</f>
        <v/>
      </c>
    </row>
    <row r="25">
      <c r="A25" s="39" t="n">
        <v>1402</v>
      </c>
      <c r="B25" s="29" t="inlineStr">
        <is>
          <t>مخزون السنتر كيتشن - مواد خام</t>
        </is>
      </c>
      <c r="C25" s="29" t="inlineStr">
        <is>
          <t>Inventory - Central Kitchen (raw)</t>
        </is>
      </c>
      <c r="D25" s="39" t="inlineStr">
        <is>
          <t>A</t>
        </is>
      </c>
      <c r="E25" s="39" t="n">
        <v>3</v>
      </c>
      <c r="F25" s="39" t="inlineStr">
        <is>
          <t>نعم</t>
        </is>
      </c>
      <c r="G25" s="39" t="inlineStr">
        <is>
          <t>مدين</t>
        </is>
      </c>
      <c r="H25" s="39" t="n">
        <v>0</v>
      </c>
      <c r="I25" s="29" t="inlineStr">
        <is>
          <t>OPERATING</t>
        </is>
      </c>
      <c r="J25" s="39" t="inlineStr">
        <is>
          <t>لا</t>
        </is>
      </c>
      <c r="K25" s="39" t="inlineStr">
        <is>
          <t>نعم</t>
        </is>
      </c>
      <c r="L25" s="39" t="inlineStr">
        <is>
          <t>نعم</t>
        </is>
      </c>
      <c r="M25" s="29" t="n"/>
      <c r="N25" s="29" t="n"/>
      <c r="O25" s="29" t="inlineStr"/>
      <c r="P25" s="32">
        <f>IF($A25="","",IF($F25="نعم",$A25,$M25))</f>
        <v/>
      </c>
      <c r="Q25" s="32">
        <f>IF($A25="","",IF($F25="نعم",$A25,$N25))</f>
        <v/>
      </c>
      <c r="R25" s="32">
        <f>IF($A25="","",IF(AND($F25="نعم",$L25&lt;&gt;"لا"),1,0))</f>
        <v/>
      </c>
      <c r="S25" s="32">
        <f>IF($D25="","",IFERROR(INDEX(Lists!$AK$5:$AK$10,MATCH($D25,Lists!$AJ$5:$AJ$10,0)),"نوع غير معرف"))</f>
        <v/>
      </c>
      <c r="T25" s="32">
        <f>IF($A25="","",IF(COUNTIF($A:$A,$A25)&gt;1,"كود حساب مكرر",IF($B25="","اسم الحساب ناقص",IF(AND($F25="نعم",$G25=""),"الطبيعة ناقصة",IF(AND($F25&lt;&gt;"نعم",OR($M25="",$N25="")),"الحساب الرئيسي يحتاج نطاقًا (من/إلى)",IF(AND($H25=1,$F25&lt;&gt;"نعم"),"حساب نقدية يجب أن يكون قابلًا للترحيل",IF(AND($F25="نعم",$D25=""),"النوع ناقص","")))))))</f>
        <v/>
      </c>
    </row>
    <row r="26">
      <c r="A26" s="39" t="n">
        <v>1403</v>
      </c>
      <c r="B26" s="29" t="inlineStr">
        <is>
          <t>مخزون منتجات نصف مصنعة وتامة</t>
        </is>
      </c>
      <c r="C26" s="29" t="inlineStr">
        <is>
          <t>Inventory - WIP/Finished Goods</t>
        </is>
      </c>
      <c r="D26" s="39" t="inlineStr">
        <is>
          <t>A</t>
        </is>
      </c>
      <c r="E26" s="39" t="n">
        <v>3</v>
      </c>
      <c r="F26" s="39" t="inlineStr">
        <is>
          <t>نعم</t>
        </is>
      </c>
      <c r="G26" s="39" t="inlineStr">
        <is>
          <t>مدين</t>
        </is>
      </c>
      <c r="H26" s="39" t="n">
        <v>0</v>
      </c>
      <c r="I26" s="29" t="inlineStr">
        <is>
          <t>OPERATING</t>
        </is>
      </c>
      <c r="J26" s="39" t="inlineStr">
        <is>
          <t>لا</t>
        </is>
      </c>
      <c r="K26" s="39" t="inlineStr">
        <is>
          <t>نعم</t>
        </is>
      </c>
      <c r="L26" s="39" t="inlineStr">
        <is>
          <t>نعم</t>
        </is>
      </c>
      <c r="M26" s="29" t="n"/>
      <c r="N26" s="29" t="n"/>
      <c r="O26" s="29" t="inlineStr"/>
      <c r="P26" s="32">
        <f>IF($A26="","",IF($F26="نعم",$A26,$M26))</f>
        <v/>
      </c>
      <c r="Q26" s="32">
        <f>IF($A26="","",IF($F26="نعم",$A26,$N26))</f>
        <v/>
      </c>
      <c r="R26" s="32">
        <f>IF($A26="","",IF(AND($F26="نعم",$L26&lt;&gt;"لا"),1,0))</f>
        <v/>
      </c>
      <c r="S26" s="32">
        <f>IF($D26="","",IFERROR(INDEX(Lists!$AK$5:$AK$10,MATCH($D26,Lists!$AJ$5:$AJ$10,0)),"نوع غير معرف"))</f>
        <v/>
      </c>
      <c r="T26" s="32">
        <f>IF($A26="","",IF(COUNTIF($A:$A,$A26)&gt;1,"كود حساب مكرر",IF($B26="","اسم الحساب ناقص",IF(AND($F26="نعم",$G26=""),"الطبيعة ناقصة",IF(AND($F26&lt;&gt;"نعم",OR($M26="",$N26="")),"الحساب الرئيسي يحتاج نطاقًا (من/إلى)",IF(AND($H26=1,$F26&lt;&gt;"نعم"),"حساب نقدية يجب أن يكون قابلًا للترحيل",IF(AND($F26="نعم",$D26=""),"النوع ناقص","")))))))</f>
        <v/>
      </c>
    </row>
    <row r="27">
      <c r="A27" s="39" t="n">
        <v>1404</v>
      </c>
      <c r="B27" s="29" t="inlineStr">
        <is>
          <t>مخزون الفروع</t>
        </is>
      </c>
      <c r="C27" s="29" t="inlineStr">
        <is>
          <t>Inventory - Branches</t>
        </is>
      </c>
      <c r="D27" s="39" t="inlineStr">
        <is>
          <t>A</t>
        </is>
      </c>
      <c r="E27" s="39" t="n">
        <v>3</v>
      </c>
      <c r="F27" s="39" t="inlineStr">
        <is>
          <t>نعم</t>
        </is>
      </c>
      <c r="G27" s="39" t="inlineStr">
        <is>
          <t>مدين</t>
        </is>
      </c>
      <c r="H27" s="39" t="n">
        <v>0</v>
      </c>
      <c r="I27" s="29" t="inlineStr">
        <is>
          <t>OPERATING</t>
        </is>
      </c>
      <c r="J27" s="39" t="inlineStr">
        <is>
          <t>لا</t>
        </is>
      </c>
      <c r="K27" s="39" t="inlineStr">
        <is>
          <t>نعم</t>
        </is>
      </c>
      <c r="L27" s="39" t="inlineStr">
        <is>
          <t>نعم</t>
        </is>
      </c>
      <c r="M27" s="29" t="n"/>
      <c r="N27" s="29" t="n"/>
      <c r="O27" s="29" t="inlineStr"/>
      <c r="P27" s="32">
        <f>IF($A27="","",IF($F27="نعم",$A27,$M27))</f>
        <v/>
      </c>
      <c r="Q27" s="32">
        <f>IF($A27="","",IF($F27="نعم",$A27,$N27))</f>
        <v/>
      </c>
      <c r="R27" s="32">
        <f>IF($A27="","",IF(AND($F27="نعم",$L27&lt;&gt;"لا"),1,0))</f>
        <v/>
      </c>
      <c r="S27" s="32">
        <f>IF($D27="","",IFERROR(INDEX(Lists!$AK$5:$AK$10,MATCH($D27,Lists!$AJ$5:$AJ$10,0)),"نوع غير معرف"))</f>
        <v/>
      </c>
      <c r="T27" s="32">
        <f>IF($A27="","",IF(COUNTIF($A:$A,$A27)&gt;1,"كود حساب مكرر",IF($B27="","اسم الحساب ناقص",IF(AND($F27="نعم",$G27=""),"الطبيعة ناقصة",IF(AND($F27&lt;&gt;"نعم",OR($M27="",$N27="")),"الحساب الرئيسي يحتاج نطاقًا (من/إلى)",IF(AND($H27=1,$F27&lt;&gt;"نعم"),"حساب نقدية يجب أن يكون قابلًا للترحيل",IF(AND($F27="نعم",$D27=""),"النوع ناقص","")))))))</f>
        <v/>
      </c>
    </row>
    <row r="28">
      <c r="A28" s="39" t="n">
        <v>1405</v>
      </c>
      <c r="B28" s="29" t="inlineStr">
        <is>
          <t>مخزون عبوات وتغليف</t>
        </is>
      </c>
      <c r="C28" s="29" t="inlineStr">
        <is>
          <t>Inventory - Packaging</t>
        </is>
      </c>
      <c r="D28" s="39" t="inlineStr">
        <is>
          <t>A</t>
        </is>
      </c>
      <c r="E28" s="39" t="n">
        <v>3</v>
      </c>
      <c r="F28" s="39" t="inlineStr">
        <is>
          <t>نعم</t>
        </is>
      </c>
      <c r="G28" s="39" t="inlineStr">
        <is>
          <t>مدين</t>
        </is>
      </c>
      <c r="H28" s="39" t="n">
        <v>0</v>
      </c>
      <c r="I28" s="29" t="inlineStr">
        <is>
          <t>OPERATING</t>
        </is>
      </c>
      <c r="J28" s="39" t="inlineStr">
        <is>
          <t>لا</t>
        </is>
      </c>
      <c r="K28" s="39" t="inlineStr">
        <is>
          <t>نعم</t>
        </is>
      </c>
      <c r="L28" s="39" t="inlineStr">
        <is>
          <t>نعم</t>
        </is>
      </c>
      <c r="M28" s="29" t="n"/>
      <c r="N28" s="29" t="n"/>
      <c r="O28" s="29" t="inlineStr"/>
      <c r="P28" s="32">
        <f>IF($A28="","",IF($F28="نعم",$A28,$M28))</f>
        <v/>
      </c>
      <c r="Q28" s="32">
        <f>IF($A28="","",IF($F28="نعم",$A28,$N28))</f>
        <v/>
      </c>
      <c r="R28" s="32">
        <f>IF($A28="","",IF(AND($F28="نعم",$L28&lt;&gt;"لا"),1,0))</f>
        <v/>
      </c>
      <c r="S28" s="32">
        <f>IF($D28="","",IFERROR(INDEX(Lists!$AK$5:$AK$10,MATCH($D28,Lists!$AJ$5:$AJ$10,0)),"نوع غير معرف"))</f>
        <v/>
      </c>
      <c r="T28" s="32">
        <f>IF($A28="","",IF(COUNTIF($A:$A,$A28)&gt;1,"كود حساب مكرر",IF($B28="","اسم الحساب ناقص",IF(AND($F28="نعم",$G28=""),"الطبيعة ناقصة",IF(AND($F28&lt;&gt;"نعم",OR($M28="",$N28="")),"الحساب الرئيسي يحتاج نطاقًا (من/إلى)",IF(AND($H28=1,$F28&lt;&gt;"نعم"),"حساب نقدية يجب أن يكون قابلًا للترحيل",IF(AND($F28="نعم",$D28=""),"النوع ناقص","")))))))</f>
        <v/>
      </c>
    </row>
    <row r="29">
      <c r="A29" s="39" t="n">
        <v>1406</v>
      </c>
      <c r="B29" s="29" t="inlineStr">
        <is>
          <t>إنتاج تحت التشغيل (WIP)</t>
        </is>
      </c>
      <c r="C29" s="29" t="inlineStr">
        <is>
          <t>Work in Process</t>
        </is>
      </c>
      <c r="D29" s="39" t="inlineStr">
        <is>
          <t>A</t>
        </is>
      </c>
      <c r="E29" s="39" t="n">
        <v>3</v>
      </c>
      <c r="F29" s="39" t="inlineStr">
        <is>
          <t>نعم</t>
        </is>
      </c>
      <c r="G29" s="39" t="inlineStr">
        <is>
          <t>مدين</t>
        </is>
      </c>
      <c r="H29" s="39" t="n">
        <v>0</v>
      </c>
      <c r="I29" s="29" t="inlineStr">
        <is>
          <t>OPERATING</t>
        </is>
      </c>
      <c r="J29" s="39" t="inlineStr">
        <is>
          <t>لا</t>
        </is>
      </c>
      <c r="K29" s="39" t="inlineStr">
        <is>
          <t>لا</t>
        </is>
      </c>
      <c r="L29" s="39" t="inlineStr">
        <is>
          <t>نعم</t>
        </is>
      </c>
      <c r="M29" s="29" t="n"/>
      <c r="N29" s="29" t="n"/>
      <c r="O29" s="29" t="inlineStr">
        <is>
          <t>المرحلة 2</t>
        </is>
      </c>
      <c r="P29" s="32">
        <f>IF($A29="","",IF($F29="نعم",$A29,$M29))</f>
        <v/>
      </c>
      <c r="Q29" s="32">
        <f>IF($A29="","",IF($F29="نعم",$A29,$N29))</f>
        <v/>
      </c>
      <c r="R29" s="32">
        <f>IF($A29="","",IF(AND($F29="نعم",$L29&lt;&gt;"لا"),1,0))</f>
        <v/>
      </c>
      <c r="S29" s="32">
        <f>IF($D29="","",IFERROR(INDEX(Lists!$AK$5:$AK$10,MATCH($D29,Lists!$AJ$5:$AJ$10,0)),"نوع غير معرف"))</f>
        <v/>
      </c>
      <c r="T29" s="32">
        <f>IF($A29="","",IF(COUNTIF($A:$A,$A29)&gt;1,"كود حساب مكرر",IF($B29="","اسم الحساب ناقص",IF(AND($F29="نعم",$G29=""),"الطبيعة ناقصة",IF(AND($F29&lt;&gt;"نعم",OR($M29="",$N29="")),"الحساب الرئيسي يحتاج نطاقًا (من/إلى)",IF(AND($H29=1,$F29&lt;&gt;"نعم"),"حساب نقدية يجب أن يكون قابلًا للترحيل",IF(AND($F29="نعم",$D29=""),"النوع ناقص","")))))))</f>
        <v/>
      </c>
    </row>
    <row r="30">
      <c r="A30" s="39" t="n">
        <v>1407</v>
      </c>
      <c r="B30" s="29" t="inlineStr">
        <is>
          <t>بضاعة بالطريق (تحويلات مخزنية مفتوحة)</t>
        </is>
      </c>
      <c r="C30" s="29" t="inlineStr">
        <is>
          <t>Goods in Transit</t>
        </is>
      </c>
      <c r="D30" s="39" t="inlineStr">
        <is>
          <t>A</t>
        </is>
      </c>
      <c r="E30" s="39" t="n">
        <v>3</v>
      </c>
      <c r="F30" s="39" t="inlineStr">
        <is>
          <t>نعم</t>
        </is>
      </c>
      <c r="G30" s="39" t="inlineStr">
        <is>
          <t>مدين</t>
        </is>
      </c>
      <c r="H30" s="39" t="n">
        <v>0</v>
      </c>
      <c r="I30" s="29" t="inlineStr">
        <is>
          <t>OPERATING</t>
        </is>
      </c>
      <c r="J30" s="39" t="inlineStr">
        <is>
          <t>لا</t>
        </is>
      </c>
      <c r="K30" s="39" t="inlineStr">
        <is>
          <t>لا</t>
        </is>
      </c>
      <c r="L30" s="39" t="inlineStr">
        <is>
          <t>نعم</t>
        </is>
      </c>
      <c r="M30" s="29" t="n"/>
      <c r="N30" s="29" t="n"/>
      <c r="O30" s="29" t="inlineStr">
        <is>
          <t>المرحلة 2</t>
        </is>
      </c>
      <c r="P30" s="32">
        <f>IF($A30="","",IF($F30="نعم",$A30,$M30))</f>
        <v/>
      </c>
      <c r="Q30" s="32">
        <f>IF($A30="","",IF($F30="نعم",$A30,$N30))</f>
        <v/>
      </c>
      <c r="R30" s="32">
        <f>IF($A30="","",IF(AND($F30="نعم",$L30&lt;&gt;"لا"),1,0))</f>
        <v/>
      </c>
      <c r="S30" s="32">
        <f>IF($D30="","",IFERROR(INDEX(Lists!$AK$5:$AK$10,MATCH($D30,Lists!$AJ$5:$AJ$10,0)),"نوع غير معرف"))</f>
        <v/>
      </c>
      <c r="T30" s="32">
        <f>IF($A30="","",IF(COUNTIF($A:$A,$A30)&gt;1,"كود حساب مكرر",IF($B30="","اسم الحساب ناقص",IF(AND($F30="نعم",$G30=""),"الطبيعة ناقصة",IF(AND($F30&lt;&gt;"نعم",OR($M30="",$N30="")),"الحساب الرئيسي يحتاج نطاقًا (من/إلى)",IF(AND($H30=1,$F30&lt;&gt;"نعم"),"حساب نقدية يجب أن يكون قابلًا للترحيل",IF(AND($F30="نعم",$D30=""),"النوع ناقص","")))))))</f>
        <v/>
      </c>
    </row>
    <row r="31">
      <c r="A31" s="39" t="n">
        <v>1500</v>
      </c>
      <c r="B31" s="29" t="inlineStr">
        <is>
          <t>السلف والعهد</t>
        </is>
      </c>
      <c r="C31" s="29" t="inlineStr">
        <is>
          <t>Advances &amp; Custody</t>
        </is>
      </c>
      <c r="D31" s="39" t="inlineStr">
        <is>
          <t>A</t>
        </is>
      </c>
      <c r="E31" s="39" t="n">
        <v>2</v>
      </c>
      <c r="F31" s="39" t="inlineStr">
        <is>
          <t>لا</t>
        </is>
      </c>
      <c r="G31" s="39" t="inlineStr">
        <is>
          <t>مدين</t>
        </is>
      </c>
      <c r="H31" s="39" t="n">
        <v>0</v>
      </c>
      <c r="I31" s="29" t="inlineStr">
        <is>
          <t>OPERATING</t>
        </is>
      </c>
      <c r="J31" s="39" t="inlineStr">
        <is>
          <t>لا</t>
        </is>
      </c>
      <c r="K31" s="39" t="inlineStr">
        <is>
          <t>لا</t>
        </is>
      </c>
      <c r="L31" s="39" t="inlineStr">
        <is>
          <t>نعم</t>
        </is>
      </c>
      <c r="M31" s="29" t="n">
        <v>1500</v>
      </c>
      <c r="N31" s="29" t="n">
        <v>1599</v>
      </c>
      <c r="O31" s="29" t="inlineStr"/>
      <c r="P31" s="32">
        <f>IF($A31="","",IF($F31="نعم",$A31,$M31))</f>
        <v/>
      </c>
      <c r="Q31" s="32">
        <f>IF($A31="","",IF($F31="نعم",$A31,$N31))</f>
        <v/>
      </c>
      <c r="R31" s="32">
        <f>IF($A31="","",IF(AND($F31="نعم",$L31&lt;&gt;"لا"),1,0))</f>
        <v/>
      </c>
      <c r="S31" s="32">
        <f>IF($D31="","",IFERROR(INDEX(Lists!$AK$5:$AK$10,MATCH($D31,Lists!$AJ$5:$AJ$10,0)),"نوع غير معرف"))</f>
        <v/>
      </c>
      <c r="T31" s="32">
        <f>IF($A31="","",IF(COUNTIF($A:$A,$A31)&gt;1,"كود حساب مكرر",IF($B31="","اسم الحساب ناقص",IF(AND($F31="نعم",$G31=""),"الطبيعة ناقصة",IF(AND($F31&lt;&gt;"نعم",OR($M31="",$N31="")),"الحساب الرئيسي يحتاج نطاقًا (من/إلى)",IF(AND($H31=1,$F31&lt;&gt;"نعم"),"حساب نقدية يجب أن يكون قابلًا للترحيل",IF(AND($F31="نعم",$D31=""),"النوع ناقص","")))))))</f>
        <v/>
      </c>
    </row>
    <row r="32">
      <c r="A32" s="39" t="n">
        <v>1501</v>
      </c>
      <c r="B32" s="29" t="inlineStr">
        <is>
          <t>سلف الموظفين</t>
        </is>
      </c>
      <c r="C32" s="29" t="inlineStr">
        <is>
          <t>Employee Advances</t>
        </is>
      </c>
      <c r="D32" s="39" t="inlineStr">
        <is>
          <t>A</t>
        </is>
      </c>
      <c r="E32" s="39" t="n">
        <v>3</v>
      </c>
      <c r="F32" s="39" t="inlineStr">
        <is>
          <t>نعم</t>
        </is>
      </c>
      <c r="G32" s="39" t="inlineStr">
        <is>
          <t>مدين</t>
        </is>
      </c>
      <c r="H32" s="39" t="n">
        <v>0</v>
      </c>
      <c r="I32" s="29" t="inlineStr">
        <is>
          <t>OPERATING</t>
        </is>
      </c>
      <c r="J32" s="39" t="inlineStr">
        <is>
          <t>لا</t>
        </is>
      </c>
      <c r="K32" s="39" t="inlineStr">
        <is>
          <t>لا</t>
        </is>
      </c>
      <c r="L32" s="39" t="inlineStr">
        <is>
          <t>نعم</t>
        </is>
      </c>
      <c r="M32" s="29" t="n"/>
      <c r="N32" s="29" t="n"/>
      <c r="O32" s="29" t="inlineStr"/>
      <c r="P32" s="32">
        <f>IF($A32="","",IF($F32="نعم",$A32,$M32))</f>
        <v/>
      </c>
      <c r="Q32" s="32">
        <f>IF($A32="","",IF($F32="نعم",$A32,$N32))</f>
        <v/>
      </c>
      <c r="R32" s="32">
        <f>IF($A32="","",IF(AND($F32="نعم",$L32&lt;&gt;"لا"),1,0))</f>
        <v/>
      </c>
      <c r="S32" s="32">
        <f>IF($D32="","",IFERROR(INDEX(Lists!$AK$5:$AK$10,MATCH($D32,Lists!$AJ$5:$AJ$10,0)),"نوع غير معرف"))</f>
        <v/>
      </c>
      <c r="T32" s="32">
        <f>IF($A32="","",IF(COUNTIF($A:$A,$A32)&gt;1,"كود حساب مكرر",IF($B32="","اسم الحساب ناقص",IF(AND($F32="نعم",$G32=""),"الطبيعة ناقصة",IF(AND($F32&lt;&gt;"نعم",OR($M32="",$N32="")),"الحساب الرئيسي يحتاج نطاقًا (من/إلى)",IF(AND($H32=1,$F32&lt;&gt;"نعم"),"حساب نقدية يجب أن يكون قابلًا للترحيل",IF(AND($F32="نعم",$D32=""),"النوع ناقص","")))))))</f>
        <v/>
      </c>
    </row>
    <row r="33">
      <c r="A33" s="39" t="n">
        <v>1502</v>
      </c>
      <c r="B33" s="29" t="inlineStr">
        <is>
          <t>عهد الموظفين</t>
        </is>
      </c>
      <c r="C33" s="29" t="inlineStr">
        <is>
          <t>Employee Custody</t>
        </is>
      </c>
      <c r="D33" s="39" t="inlineStr">
        <is>
          <t>A</t>
        </is>
      </c>
      <c r="E33" s="39" t="n">
        <v>3</v>
      </c>
      <c r="F33" s="39" t="inlineStr">
        <is>
          <t>نعم</t>
        </is>
      </c>
      <c r="G33" s="39" t="inlineStr">
        <is>
          <t>مدين</t>
        </is>
      </c>
      <c r="H33" s="39" t="n">
        <v>0</v>
      </c>
      <c r="I33" s="29" t="inlineStr">
        <is>
          <t>OPERATING</t>
        </is>
      </c>
      <c r="J33" s="39" t="inlineStr">
        <is>
          <t>لا</t>
        </is>
      </c>
      <c r="K33" s="39" t="inlineStr">
        <is>
          <t>لا</t>
        </is>
      </c>
      <c r="L33" s="39" t="inlineStr">
        <is>
          <t>نعم</t>
        </is>
      </c>
      <c r="M33" s="29" t="n"/>
      <c r="N33" s="29" t="n"/>
      <c r="O33" s="29" t="inlineStr"/>
      <c r="P33" s="32">
        <f>IF($A33="","",IF($F33="نعم",$A33,$M33))</f>
        <v/>
      </c>
      <c r="Q33" s="32">
        <f>IF($A33="","",IF($F33="نعم",$A33,$N33))</f>
        <v/>
      </c>
      <c r="R33" s="32">
        <f>IF($A33="","",IF(AND($F33="نعم",$L33&lt;&gt;"لا"),1,0))</f>
        <v/>
      </c>
      <c r="S33" s="32">
        <f>IF($D33="","",IFERROR(INDEX(Lists!$AK$5:$AK$10,MATCH($D33,Lists!$AJ$5:$AJ$10,0)),"نوع غير معرف"))</f>
        <v/>
      </c>
      <c r="T33" s="32">
        <f>IF($A33="","",IF(COUNTIF($A:$A,$A33)&gt;1,"كود حساب مكرر",IF($B33="","اسم الحساب ناقص",IF(AND($F33="نعم",$G33=""),"الطبيعة ناقصة",IF(AND($F33&lt;&gt;"نعم",OR($M33="",$N33="")),"الحساب الرئيسي يحتاج نطاقًا (من/إلى)",IF(AND($H33=1,$F33&lt;&gt;"نعم"),"حساب نقدية يجب أن يكون قابلًا للترحيل",IF(AND($F33="نعم",$D33=""),"النوع ناقص","")))))))</f>
        <v/>
      </c>
    </row>
    <row r="34">
      <c r="A34" s="39" t="n">
        <v>1600</v>
      </c>
      <c r="B34" s="29" t="inlineStr">
        <is>
          <t>المصروفات المقدمة والضرائب المدينة</t>
        </is>
      </c>
      <c r="C34" s="29" t="inlineStr">
        <is>
          <t>Prepaids &amp; Tax Receivable</t>
        </is>
      </c>
      <c r="D34" s="39" t="inlineStr">
        <is>
          <t>A</t>
        </is>
      </c>
      <c r="E34" s="39" t="n">
        <v>2</v>
      </c>
      <c r="F34" s="39" t="inlineStr">
        <is>
          <t>لا</t>
        </is>
      </c>
      <c r="G34" s="39" t="inlineStr">
        <is>
          <t>مدين</t>
        </is>
      </c>
      <c r="H34" s="39" t="n">
        <v>0</v>
      </c>
      <c r="I34" s="29" t="inlineStr">
        <is>
          <t>OPERATING</t>
        </is>
      </c>
      <c r="J34" s="39" t="inlineStr">
        <is>
          <t>لا</t>
        </is>
      </c>
      <c r="K34" s="39" t="inlineStr">
        <is>
          <t>لا</t>
        </is>
      </c>
      <c r="L34" s="39" t="inlineStr">
        <is>
          <t>نعم</t>
        </is>
      </c>
      <c r="M34" s="29" t="n">
        <v>1600</v>
      </c>
      <c r="N34" s="29" t="n">
        <v>1699</v>
      </c>
      <c r="O34" s="29" t="inlineStr"/>
      <c r="P34" s="32">
        <f>IF($A34="","",IF($F34="نعم",$A34,$M34))</f>
        <v/>
      </c>
      <c r="Q34" s="32">
        <f>IF($A34="","",IF($F34="نعم",$A34,$N34))</f>
        <v/>
      </c>
      <c r="R34" s="32">
        <f>IF($A34="","",IF(AND($F34="نعم",$L34&lt;&gt;"لا"),1,0))</f>
        <v/>
      </c>
      <c r="S34" s="32">
        <f>IF($D34="","",IFERROR(INDEX(Lists!$AK$5:$AK$10,MATCH($D34,Lists!$AJ$5:$AJ$10,0)),"نوع غير معرف"))</f>
        <v/>
      </c>
      <c r="T34" s="32">
        <f>IF($A34="","",IF(COUNTIF($A:$A,$A34)&gt;1,"كود حساب مكرر",IF($B34="","اسم الحساب ناقص",IF(AND($F34="نعم",$G34=""),"الطبيعة ناقصة",IF(AND($F34&lt;&gt;"نعم",OR($M34="",$N34="")),"الحساب الرئيسي يحتاج نطاقًا (من/إلى)",IF(AND($H34=1,$F34&lt;&gt;"نعم"),"حساب نقدية يجب أن يكون قابلًا للترحيل",IF(AND($F34="نعم",$D34=""),"النوع ناقص","")))))))</f>
        <v/>
      </c>
    </row>
    <row r="35">
      <c r="A35" s="39" t="n">
        <v>1601</v>
      </c>
      <c r="B35" s="29" t="inlineStr">
        <is>
          <t>إيجار مدفوع مقدمًا</t>
        </is>
      </c>
      <c r="C35" s="29" t="inlineStr">
        <is>
          <t>Prepaid Rent</t>
        </is>
      </c>
      <c r="D35" s="39" t="inlineStr">
        <is>
          <t>A</t>
        </is>
      </c>
      <c r="E35" s="39" t="n">
        <v>3</v>
      </c>
      <c r="F35" s="39" t="inlineStr">
        <is>
          <t>نعم</t>
        </is>
      </c>
      <c r="G35" s="39" t="inlineStr">
        <is>
          <t>مدين</t>
        </is>
      </c>
      <c r="H35" s="39" t="n">
        <v>0</v>
      </c>
      <c r="I35" s="29" t="inlineStr">
        <is>
          <t>OPERATING</t>
        </is>
      </c>
      <c r="J35" s="39" t="inlineStr">
        <is>
          <t>نعم</t>
        </is>
      </c>
      <c r="K35" s="39" t="inlineStr">
        <is>
          <t>نعم</t>
        </is>
      </c>
      <c r="L35" s="39" t="inlineStr">
        <is>
          <t>نعم</t>
        </is>
      </c>
      <c r="M35" s="29" t="n"/>
      <c r="N35" s="29" t="n"/>
      <c r="O35" s="29" t="inlineStr"/>
      <c r="P35" s="32">
        <f>IF($A35="","",IF($F35="نعم",$A35,$M35))</f>
        <v/>
      </c>
      <c r="Q35" s="32">
        <f>IF($A35="","",IF($F35="نعم",$A35,$N35))</f>
        <v/>
      </c>
      <c r="R35" s="32">
        <f>IF($A35="","",IF(AND($F35="نعم",$L35&lt;&gt;"لا"),1,0))</f>
        <v/>
      </c>
      <c r="S35" s="32">
        <f>IF($D35="","",IFERROR(INDEX(Lists!$AK$5:$AK$10,MATCH($D35,Lists!$AJ$5:$AJ$10,0)),"نوع غير معرف"))</f>
        <v/>
      </c>
      <c r="T35" s="32">
        <f>IF($A35="","",IF(COUNTIF($A:$A,$A35)&gt;1,"كود حساب مكرر",IF($B35="","اسم الحساب ناقص",IF(AND($F35="نعم",$G35=""),"الطبيعة ناقصة",IF(AND($F35&lt;&gt;"نعم",OR($M35="",$N35="")),"الحساب الرئيسي يحتاج نطاقًا (من/إلى)",IF(AND($H35=1,$F35&lt;&gt;"نعم"),"حساب نقدية يجب أن يكون قابلًا للترحيل",IF(AND($F35="نعم",$D35=""),"النوع ناقص","")))))))</f>
        <v/>
      </c>
    </row>
    <row r="36">
      <c r="A36" s="39" t="n">
        <v>1602</v>
      </c>
      <c r="B36" s="29" t="inlineStr">
        <is>
          <t>تأمينات وتراخيص مدفوعة مقدمًا</t>
        </is>
      </c>
      <c r="C36" s="29" t="inlineStr">
        <is>
          <t>Prepaid Insurance &amp; Licences</t>
        </is>
      </c>
      <c r="D36" s="39" t="inlineStr">
        <is>
          <t>A</t>
        </is>
      </c>
      <c r="E36" s="39" t="n">
        <v>3</v>
      </c>
      <c r="F36" s="39" t="inlineStr">
        <is>
          <t>نعم</t>
        </is>
      </c>
      <c r="G36" s="39" t="inlineStr">
        <is>
          <t>مدين</t>
        </is>
      </c>
      <c r="H36" s="39" t="n">
        <v>0</v>
      </c>
      <c r="I36" s="29" t="inlineStr">
        <is>
          <t>OPERATING</t>
        </is>
      </c>
      <c r="J36" s="39" t="inlineStr">
        <is>
          <t>نعم</t>
        </is>
      </c>
      <c r="K36" s="39" t="inlineStr">
        <is>
          <t>نعم</t>
        </is>
      </c>
      <c r="L36" s="39" t="inlineStr">
        <is>
          <t>نعم</t>
        </is>
      </c>
      <c r="M36" s="29" t="n"/>
      <c r="N36" s="29" t="n"/>
      <c r="O36" s="29" t="inlineStr"/>
      <c r="P36" s="32">
        <f>IF($A36="","",IF($F36="نعم",$A36,$M36))</f>
        <v/>
      </c>
      <c r="Q36" s="32">
        <f>IF($A36="","",IF($F36="نعم",$A36,$N36))</f>
        <v/>
      </c>
      <c r="R36" s="32">
        <f>IF($A36="","",IF(AND($F36="نعم",$L36&lt;&gt;"لا"),1,0))</f>
        <v/>
      </c>
      <c r="S36" s="32">
        <f>IF($D36="","",IFERROR(INDEX(Lists!$AK$5:$AK$10,MATCH($D36,Lists!$AJ$5:$AJ$10,0)),"نوع غير معرف"))</f>
        <v/>
      </c>
      <c r="T36" s="32">
        <f>IF($A36="","",IF(COUNTIF($A:$A,$A36)&gt;1,"كود حساب مكرر",IF($B36="","اسم الحساب ناقص",IF(AND($F36="نعم",$G36=""),"الطبيعة ناقصة",IF(AND($F36&lt;&gt;"نعم",OR($M36="",$N36="")),"الحساب الرئيسي يحتاج نطاقًا (من/إلى)",IF(AND($H36=1,$F36&lt;&gt;"نعم"),"حساب نقدية يجب أن يكون قابلًا للترحيل",IF(AND($F36="نعم",$D36=""),"النوع ناقص","")))))))</f>
        <v/>
      </c>
    </row>
    <row r="37">
      <c r="A37" s="39" t="n">
        <v>1603</v>
      </c>
      <c r="B37" s="29" t="inlineStr">
        <is>
          <t>مصروفات مدفوعة مقدمًا أخرى</t>
        </is>
      </c>
      <c r="C37" s="29" t="inlineStr">
        <is>
          <t>Other Prepaids</t>
        </is>
      </c>
      <c r="D37" s="39" t="inlineStr">
        <is>
          <t>A</t>
        </is>
      </c>
      <c r="E37" s="39" t="n">
        <v>3</v>
      </c>
      <c r="F37" s="39" t="inlineStr">
        <is>
          <t>نعم</t>
        </is>
      </c>
      <c r="G37" s="39" t="inlineStr">
        <is>
          <t>مدين</t>
        </is>
      </c>
      <c r="H37" s="39" t="n">
        <v>0</v>
      </c>
      <c r="I37" s="29" t="inlineStr">
        <is>
          <t>OPERATING</t>
        </is>
      </c>
      <c r="J37" s="39" t="inlineStr">
        <is>
          <t>نعم</t>
        </is>
      </c>
      <c r="K37" s="39" t="inlineStr">
        <is>
          <t>نعم</t>
        </is>
      </c>
      <c r="L37" s="39" t="inlineStr">
        <is>
          <t>نعم</t>
        </is>
      </c>
      <c r="M37" s="29" t="n"/>
      <c r="N37" s="29" t="n"/>
      <c r="O37" s="29" t="inlineStr"/>
      <c r="P37" s="32">
        <f>IF($A37="","",IF($F37="نعم",$A37,$M37))</f>
        <v/>
      </c>
      <c r="Q37" s="32">
        <f>IF($A37="","",IF($F37="نعم",$A37,$N37))</f>
        <v/>
      </c>
      <c r="R37" s="32">
        <f>IF($A37="","",IF(AND($F37="نعم",$L37&lt;&gt;"لا"),1,0))</f>
        <v/>
      </c>
      <c r="S37" s="32">
        <f>IF($D37="","",IFERROR(INDEX(Lists!$AK$5:$AK$10,MATCH($D37,Lists!$AJ$5:$AJ$10,0)),"نوع غير معرف"))</f>
        <v/>
      </c>
      <c r="T37" s="32">
        <f>IF($A37="","",IF(COUNTIF($A:$A,$A37)&gt;1,"كود حساب مكرر",IF($B37="","اسم الحساب ناقص",IF(AND($F37="نعم",$G37=""),"الطبيعة ناقصة",IF(AND($F37&lt;&gt;"نعم",OR($M37="",$N37="")),"الحساب الرئيسي يحتاج نطاقًا (من/إلى)",IF(AND($H37=1,$F37&lt;&gt;"نعم"),"حساب نقدية يجب أن يكون قابلًا للترحيل",IF(AND($F37="نعم",$D37=""),"النوع ناقص","")))))))</f>
        <v/>
      </c>
    </row>
    <row r="38">
      <c r="A38" s="39" t="n">
        <v>1610</v>
      </c>
      <c r="B38" s="29" t="inlineStr">
        <is>
          <t>ضريبة قيمة مضافة - مدخلات</t>
        </is>
      </c>
      <c r="C38" s="29" t="inlineStr">
        <is>
          <t>VAT Input</t>
        </is>
      </c>
      <c r="D38" s="39" t="inlineStr">
        <is>
          <t>A</t>
        </is>
      </c>
      <c r="E38" s="39" t="n">
        <v>3</v>
      </c>
      <c r="F38" s="39" t="inlineStr">
        <is>
          <t>نعم</t>
        </is>
      </c>
      <c r="G38" s="39" t="inlineStr">
        <is>
          <t>مدين</t>
        </is>
      </c>
      <c r="H38" s="39" t="n">
        <v>0</v>
      </c>
      <c r="I38" s="29" t="inlineStr">
        <is>
          <t>OPERATING</t>
        </is>
      </c>
      <c r="J38" s="39" t="inlineStr">
        <is>
          <t>لا</t>
        </is>
      </c>
      <c r="K38" s="39" t="inlineStr">
        <is>
          <t>لا</t>
        </is>
      </c>
      <c r="L38" s="39" t="inlineStr">
        <is>
          <t>نعم</t>
        </is>
      </c>
      <c r="M38" s="29" t="n"/>
      <c r="N38" s="29" t="n"/>
      <c r="O38" s="29" t="inlineStr">
        <is>
          <t>تُستخدم فقط عند تفعيل الضريبة</t>
        </is>
      </c>
      <c r="P38" s="32">
        <f>IF($A38="","",IF($F38="نعم",$A38,$M38))</f>
        <v/>
      </c>
      <c r="Q38" s="32">
        <f>IF($A38="","",IF($F38="نعم",$A38,$N38))</f>
        <v/>
      </c>
      <c r="R38" s="32">
        <f>IF($A38="","",IF(AND($F38="نعم",$L38&lt;&gt;"لا"),1,0))</f>
        <v/>
      </c>
      <c r="S38" s="32">
        <f>IF($D38="","",IFERROR(INDEX(Lists!$AK$5:$AK$10,MATCH($D38,Lists!$AJ$5:$AJ$10,0)),"نوع غير معرف"))</f>
        <v/>
      </c>
      <c r="T38" s="32">
        <f>IF($A38="","",IF(COUNTIF($A:$A,$A38)&gt;1,"كود حساب مكرر",IF($B38="","اسم الحساب ناقص",IF(AND($F38="نعم",$G38=""),"الطبيعة ناقصة",IF(AND($F38&lt;&gt;"نعم",OR($M38="",$N38="")),"الحساب الرئيسي يحتاج نطاقًا (من/إلى)",IF(AND($H38=1,$F38&lt;&gt;"نعم"),"حساب نقدية يجب أن يكون قابلًا للترحيل",IF(AND($F38="نعم",$D38=""),"النوع ناقص","")))))))</f>
        <v/>
      </c>
    </row>
    <row r="39">
      <c r="A39" s="39" t="n">
        <v>1700</v>
      </c>
      <c r="B39" s="29" t="inlineStr">
        <is>
          <t>الأصول الثابتة</t>
        </is>
      </c>
      <c r="C39" s="29" t="inlineStr">
        <is>
          <t>Fixed Assets</t>
        </is>
      </c>
      <c r="D39" s="39" t="inlineStr">
        <is>
          <t>A</t>
        </is>
      </c>
      <c r="E39" s="39" t="n">
        <v>2</v>
      </c>
      <c r="F39" s="39" t="inlineStr">
        <is>
          <t>لا</t>
        </is>
      </c>
      <c r="G39" s="39" t="inlineStr">
        <is>
          <t>مدين</t>
        </is>
      </c>
      <c r="H39" s="39" t="n">
        <v>0</v>
      </c>
      <c r="I39" s="29" t="inlineStr">
        <is>
          <t>OPERATING</t>
        </is>
      </c>
      <c r="J39" s="39" t="inlineStr">
        <is>
          <t>لا</t>
        </is>
      </c>
      <c r="K39" s="39" t="inlineStr">
        <is>
          <t>لا</t>
        </is>
      </c>
      <c r="L39" s="39" t="inlineStr">
        <is>
          <t>نعم</t>
        </is>
      </c>
      <c r="M39" s="29" t="n">
        <v>1700</v>
      </c>
      <c r="N39" s="29" t="n">
        <v>1799</v>
      </c>
      <c r="O39" s="29" t="inlineStr"/>
      <c r="P39" s="32">
        <f>IF($A39="","",IF($F39="نعم",$A39,$M39))</f>
        <v/>
      </c>
      <c r="Q39" s="32">
        <f>IF($A39="","",IF($F39="نعم",$A39,$N39))</f>
        <v/>
      </c>
      <c r="R39" s="32">
        <f>IF($A39="","",IF(AND($F39="نعم",$L39&lt;&gt;"لا"),1,0))</f>
        <v/>
      </c>
      <c r="S39" s="32">
        <f>IF($D39="","",IFERROR(INDEX(Lists!$AK$5:$AK$10,MATCH($D39,Lists!$AJ$5:$AJ$10,0)),"نوع غير معرف"))</f>
        <v/>
      </c>
      <c r="T39" s="32">
        <f>IF($A39="","",IF(COUNTIF($A:$A,$A39)&gt;1,"كود حساب مكرر",IF($B39="","اسم الحساب ناقص",IF(AND($F39="نعم",$G39=""),"الطبيعة ناقصة",IF(AND($F39&lt;&gt;"نعم",OR($M39="",$N39="")),"الحساب الرئيسي يحتاج نطاقًا (من/إلى)",IF(AND($H39=1,$F39&lt;&gt;"نعم"),"حساب نقدية يجب أن يكون قابلًا للترحيل",IF(AND($F39="نعم",$D39=""),"النوع ناقص","")))))))</f>
        <v/>
      </c>
    </row>
    <row r="40">
      <c r="A40" s="39" t="n">
        <v>1701</v>
      </c>
      <c r="B40" s="29" t="inlineStr">
        <is>
          <t>معدات المطابخ والأفران</t>
        </is>
      </c>
      <c r="C40" s="29" t="inlineStr">
        <is>
          <t>Kitchen Equipment &amp; Ovens</t>
        </is>
      </c>
      <c r="D40" s="39" t="inlineStr">
        <is>
          <t>A</t>
        </is>
      </c>
      <c r="E40" s="39" t="n">
        <v>3</v>
      </c>
      <c r="F40" s="39" t="inlineStr">
        <is>
          <t>نعم</t>
        </is>
      </c>
      <c r="G40" s="39" t="inlineStr">
        <is>
          <t>مدين</t>
        </is>
      </c>
      <c r="H40" s="39" t="n">
        <v>0</v>
      </c>
      <c r="I40" s="29" t="inlineStr">
        <is>
          <t>INVESTING</t>
        </is>
      </c>
      <c r="J40" s="39" t="inlineStr">
        <is>
          <t>لا</t>
        </is>
      </c>
      <c r="K40" s="39" t="inlineStr">
        <is>
          <t>نعم</t>
        </is>
      </c>
      <c r="L40" s="39" t="inlineStr">
        <is>
          <t>نعم</t>
        </is>
      </c>
      <c r="M40" s="29" t="n"/>
      <c r="N40" s="29" t="n"/>
      <c r="O40" s="29" t="inlineStr"/>
      <c r="P40" s="32">
        <f>IF($A40="","",IF($F40="نعم",$A40,$M40))</f>
        <v/>
      </c>
      <c r="Q40" s="32">
        <f>IF($A40="","",IF($F40="نعم",$A40,$N40))</f>
        <v/>
      </c>
      <c r="R40" s="32">
        <f>IF($A40="","",IF(AND($F40="نعم",$L40&lt;&gt;"لا"),1,0))</f>
        <v/>
      </c>
      <c r="S40" s="32">
        <f>IF($D40="","",IFERROR(INDEX(Lists!$AK$5:$AK$10,MATCH($D40,Lists!$AJ$5:$AJ$10,0)),"نوع غير معرف"))</f>
        <v/>
      </c>
      <c r="T40" s="32">
        <f>IF($A40="","",IF(COUNTIF($A:$A,$A40)&gt;1,"كود حساب مكرر",IF($B40="","اسم الحساب ناقص",IF(AND($F40="نعم",$G40=""),"الطبيعة ناقصة",IF(AND($F40&lt;&gt;"نعم",OR($M40="",$N40="")),"الحساب الرئيسي يحتاج نطاقًا (من/إلى)",IF(AND($H40=1,$F40&lt;&gt;"نعم"),"حساب نقدية يجب أن يكون قابلًا للترحيل",IF(AND($F40="نعم",$D40=""),"النوع ناقص","")))))))</f>
        <v/>
      </c>
    </row>
    <row r="41">
      <c r="A41" s="39" t="n">
        <v>1702</v>
      </c>
      <c r="B41" s="29" t="inlineStr">
        <is>
          <t>أثاث وتجهيزات</t>
        </is>
      </c>
      <c r="C41" s="29" t="inlineStr">
        <is>
          <t>Furniture &amp; Fixtures</t>
        </is>
      </c>
      <c r="D41" s="39" t="inlineStr">
        <is>
          <t>A</t>
        </is>
      </c>
      <c r="E41" s="39" t="n">
        <v>3</v>
      </c>
      <c r="F41" s="39" t="inlineStr">
        <is>
          <t>نعم</t>
        </is>
      </c>
      <c r="G41" s="39" t="inlineStr">
        <is>
          <t>مدين</t>
        </is>
      </c>
      <c r="H41" s="39" t="n">
        <v>0</v>
      </c>
      <c r="I41" s="29" t="inlineStr">
        <is>
          <t>INVESTING</t>
        </is>
      </c>
      <c r="J41" s="39" t="inlineStr">
        <is>
          <t>لا</t>
        </is>
      </c>
      <c r="K41" s="39" t="inlineStr">
        <is>
          <t>نعم</t>
        </is>
      </c>
      <c r="L41" s="39" t="inlineStr">
        <is>
          <t>نعم</t>
        </is>
      </c>
      <c r="M41" s="29" t="n"/>
      <c r="N41" s="29" t="n"/>
      <c r="O41" s="29" t="inlineStr"/>
      <c r="P41" s="32">
        <f>IF($A41="","",IF($F41="نعم",$A41,$M41))</f>
        <v/>
      </c>
      <c r="Q41" s="32">
        <f>IF($A41="","",IF($F41="نعم",$A41,$N41))</f>
        <v/>
      </c>
      <c r="R41" s="32">
        <f>IF($A41="","",IF(AND($F41="نعم",$L41&lt;&gt;"لا"),1,0))</f>
        <v/>
      </c>
      <c r="S41" s="32">
        <f>IF($D41="","",IFERROR(INDEX(Lists!$AK$5:$AK$10,MATCH($D41,Lists!$AJ$5:$AJ$10,0)),"نوع غير معرف"))</f>
        <v/>
      </c>
      <c r="T41" s="32">
        <f>IF($A41="","",IF(COUNTIF($A:$A,$A41)&gt;1,"كود حساب مكرر",IF($B41="","اسم الحساب ناقص",IF(AND($F41="نعم",$G41=""),"الطبيعة ناقصة",IF(AND($F41&lt;&gt;"نعم",OR($M41="",$N41="")),"الحساب الرئيسي يحتاج نطاقًا (من/إلى)",IF(AND($H41=1,$F41&lt;&gt;"نعم"),"حساب نقدية يجب أن يكون قابلًا للترحيل",IF(AND($F41="نعم",$D41=""),"النوع ناقص","")))))))</f>
        <v/>
      </c>
    </row>
    <row r="42">
      <c r="A42" s="39" t="n">
        <v>1703</v>
      </c>
      <c r="B42" s="29" t="inlineStr">
        <is>
          <t>أجهزة وحاسبات ونظم نقاط البيع</t>
        </is>
      </c>
      <c r="C42" s="29" t="inlineStr">
        <is>
          <t>IT &amp; POS Equipment</t>
        </is>
      </c>
      <c r="D42" s="39" t="inlineStr">
        <is>
          <t>A</t>
        </is>
      </c>
      <c r="E42" s="39" t="n">
        <v>3</v>
      </c>
      <c r="F42" s="39" t="inlineStr">
        <is>
          <t>نعم</t>
        </is>
      </c>
      <c r="G42" s="39" t="inlineStr">
        <is>
          <t>مدين</t>
        </is>
      </c>
      <c r="H42" s="39" t="n">
        <v>0</v>
      </c>
      <c r="I42" s="29" t="inlineStr">
        <is>
          <t>INVESTING</t>
        </is>
      </c>
      <c r="J42" s="39" t="inlineStr">
        <is>
          <t>لا</t>
        </is>
      </c>
      <c r="K42" s="39" t="inlineStr">
        <is>
          <t>نعم</t>
        </is>
      </c>
      <c r="L42" s="39" t="inlineStr">
        <is>
          <t>نعم</t>
        </is>
      </c>
      <c r="M42" s="29" t="n"/>
      <c r="N42" s="29" t="n"/>
      <c r="O42" s="29" t="inlineStr"/>
      <c r="P42" s="32">
        <f>IF($A42="","",IF($F42="نعم",$A42,$M42))</f>
        <v/>
      </c>
      <c r="Q42" s="32">
        <f>IF($A42="","",IF($F42="نعم",$A42,$N42))</f>
        <v/>
      </c>
      <c r="R42" s="32">
        <f>IF($A42="","",IF(AND($F42="نعم",$L42&lt;&gt;"لا"),1,0))</f>
        <v/>
      </c>
      <c r="S42" s="32">
        <f>IF($D42="","",IFERROR(INDEX(Lists!$AK$5:$AK$10,MATCH($D42,Lists!$AJ$5:$AJ$10,0)),"نوع غير معرف"))</f>
        <v/>
      </c>
      <c r="T42" s="32">
        <f>IF($A42="","",IF(COUNTIF($A:$A,$A42)&gt;1,"كود حساب مكرر",IF($B42="","اسم الحساب ناقص",IF(AND($F42="نعم",$G42=""),"الطبيعة ناقصة",IF(AND($F42&lt;&gt;"نعم",OR($M42="",$N42="")),"الحساب الرئيسي يحتاج نطاقًا (من/إلى)",IF(AND($H42=1,$F42&lt;&gt;"نعم"),"حساب نقدية يجب أن يكون قابلًا للترحيل",IF(AND($F42="نعم",$D42=""),"النوع ناقص","")))))))</f>
        <v/>
      </c>
    </row>
    <row r="43">
      <c r="A43" s="39" t="n">
        <v>1704</v>
      </c>
      <c r="B43" s="29" t="inlineStr">
        <is>
          <t>ديكورات وتجهيزات الفروع</t>
        </is>
      </c>
      <c r="C43" s="29" t="inlineStr">
        <is>
          <t>Leasehold Improvements</t>
        </is>
      </c>
      <c r="D43" s="39" t="inlineStr">
        <is>
          <t>A</t>
        </is>
      </c>
      <c r="E43" s="39" t="n">
        <v>3</v>
      </c>
      <c r="F43" s="39" t="inlineStr">
        <is>
          <t>نعم</t>
        </is>
      </c>
      <c r="G43" s="39" t="inlineStr">
        <is>
          <t>مدين</t>
        </is>
      </c>
      <c r="H43" s="39" t="n">
        <v>0</v>
      </c>
      <c r="I43" s="29" t="inlineStr">
        <is>
          <t>INVESTING</t>
        </is>
      </c>
      <c r="J43" s="39" t="inlineStr">
        <is>
          <t>لا</t>
        </is>
      </c>
      <c r="K43" s="39" t="inlineStr">
        <is>
          <t>نعم</t>
        </is>
      </c>
      <c r="L43" s="39" t="inlineStr">
        <is>
          <t>نعم</t>
        </is>
      </c>
      <c r="M43" s="29" t="n"/>
      <c r="N43" s="29" t="n"/>
      <c r="O43" s="29" t="inlineStr"/>
      <c r="P43" s="32">
        <f>IF($A43="","",IF($F43="نعم",$A43,$M43))</f>
        <v/>
      </c>
      <c r="Q43" s="32">
        <f>IF($A43="","",IF($F43="نعم",$A43,$N43))</f>
        <v/>
      </c>
      <c r="R43" s="32">
        <f>IF($A43="","",IF(AND($F43="نعم",$L43&lt;&gt;"لا"),1,0))</f>
        <v/>
      </c>
      <c r="S43" s="32">
        <f>IF($D43="","",IFERROR(INDEX(Lists!$AK$5:$AK$10,MATCH($D43,Lists!$AJ$5:$AJ$10,0)),"نوع غير معرف"))</f>
        <v/>
      </c>
      <c r="T43" s="32">
        <f>IF($A43="","",IF(COUNTIF($A:$A,$A43)&gt;1,"كود حساب مكرر",IF($B43="","اسم الحساب ناقص",IF(AND($F43="نعم",$G43=""),"الطبيعة ناقصة",IF(AND($F43&lt;&gt;"نعم",OR($M43="",$N43="")),"الحساب الرئيسي يحتاج نطاقًا (من/إلى)",IF(AND($H43=1,$F43&lt;&gt;"نعم"),"حساب نقدية يجب أن يكون قابلًا للترحيل",IF(AND($F43="نعم",$D43=""),"النوع ناقص","")))))))</f>
        <v/>
      </c>
    </row>
    <row r="44">
      <c r="A44" s="39" t="n">
        <v>1790</v>
      </c>
      <c r="B44" s="29" t="inlineStr">
        <is>
          <t>مجمع الإهلاك</t>
        </is>
      </c>
      <c r="C44" s="29" t="inlineStr">
        <is>
          <t>Accumulated Depreciation</t>
        </is>
      </c>
      <c r="D44" s="39" t="inlineStr">
        <is>
          <t>A</t>
        </is>
      </c>
      <c r="E44" s="39" t="n">
        <v>2</v>
      </c>
      <c r="F44" s="39" t="inlineStr">
        <is>
          <t>لا</t>
        </is>
      </c>
      <c r="G44" s="39" t="inlineStr">
        <is>
          <t>دائن</t>
        </is>
      </c>
      <c r="H44" s="39" t="n">
        <v>0</v>
      </c>
      <c r="I44" s="29" t="inlineStr">
        <is>
          <t>OPERATING</t>
        </is>
      </c>
      <c r="J44" s="39" t="inlineStr">
        <is>
          <t>لا</t>
        </is>
      </c>
      <c r="K44" s="39" t="inlineStr">
        <is>
          <t>لا</t>
        </is>
      </c>
      <c r="L44" s="39" t="inlineStr">
        <is>
          <t>نعم</t>
        </is>
      </c>
      <c r="M44" s="29" t="n">
        <v>1790</v>
      </c>
      <c r="N44" s="29" t="n">
        <v>1799</v>
      </c>
      <c r="O44" s="29" t="inlineStr"/>
      <c r="P44" s="32">
        <f>IF($A44="","",IF($F44="نعم",$A44,$M44))</f>
        <v/>
      </c>
      <c r="Q44" s="32">
        <f>IF($A44="","",IF($F44="نعم",$A44,$N44))</f>
        <v/>
      </c>
      <c r="R44" s="32">
        <f>IF($A44="","",IF(AND($F44="نعم",$L44&lt;&gt;"لا"),1,0))</f>
        <v/>
      </c>
      <c r="S44" s="32">
        <f>IF($D44="","",IFERROR(INDEX(Lists!$AK$5:$AK$10,MATCH($D44,Lists!$AJ$5:$AJ$10,0)),"نوع غير معرف"))</f>
        <v/>
      </c>
      <c r="T44" s="32">
        <f>IF($A44="","",IF(COUNTIF($A:$A,$A44)&gt;1,"كود حساب مكرر",IF($B44="","اسم الحساب ناقص",IF(AND($F44="نعم",$G44=""),"الطبيعة ناقصة",IF(AND($F44&lt;&gt;"نعم",OR($M44="",$N44="")),"الحساب الرئيسي يحتاج نطاقًا (من/إلى)",IF(AND($H44=1,$F44&lt;&gt;"نعم"),"حساب نقدية يجب أن يكون قابلًا للترحيل",IF(AND($F44="نعم",$D44=""),"النوع ناقص","")))))))</f>
        <v/>
      </c>
    </row>
    <row r="45">
      <c r="A45" s="39" t="n">
        <v>1791</v>
      </c>
      <c r="B45" s="29" t="inlineStr">
        <is>
          <t>مجمع إهلاك معدات المطابخ</t>
        </is>
      </c>
      <c r="C45" s="29" t="inlineStr">
        <is>
          <t>Acc. Dep. - Kitchen Equipment</t>
        </is>
      </c>
      <c r="D45" s="39" t="inlineStr">
        <is>
          <t>A</t>
        </is>
      </c>
      <c r="E45" s="39" t="n">
        <v>3</v>
      </c>
      <c r="F45" s="39" t="inlineStr">
        <is>
          <t>نعم</t>
        </is>
      </c>
      <c r="G45" s="39" t="inlineStr">
        <is>
          <t>دائن</t>
        </is>
      </c>
      <c r="H45" s="39" t="n">
        <v>0</v>
      </c>
      <c r="I45" s="29" t="inlineStr">
        <is>
          <t>OPERATING</t>
        </is>
      </c>
      <c r="J45" s="39" t="inlineStr">
        <is>
          <t>لا</t>
        </is>
      </c>
      <c r="K45" s="39" t="inlineStr">
        <is>
          <t>لا</t>
        </is>
      </c>
      <c r="L45" s="39" t="inlineStr">
        <is>
          <t>نعم</t>
        </is>
      </c>
      <c r="M45" s="29" t="n"/>
      <c r="N45" s="29" t="n"/>
      <c r="O45" s="29" t="inlineStr"/>
      <c r="P45" s="32">
        <f>IF($A45="","",IF($F45="نعم",$A45,$M45))</f>
        <v/>
      </c>
      <c r="Q45" s="32">
        <f>IF($A45="","",IF($F45="نعم",$A45,$N45))</f>
        <v/>
      </c>
      <c r="R45" s="32">
        <f>IF($A45="","",IF(AND($F45="نعم",$L45&lt;&gt;"لا"),1,0))</f>
        <v/>
      </c>
      <c r="S45" s="32">
        <f>IF($D45="","",IFERROR(INDEX(Lists!$AK$5:$AK$10,MATCH($D45,Lists!$AJ$5:$AJ$10,0)),"نوع غير معرف"))</f>
        <v/>
      </c>
      <c r="T45" s="32">
        <f>IF($A45="","",IF(COUNTIF($A:$A,$A45)&gt;1,"كود حساب مكرر",IF($B45="","اسم الحساب ناقص",IF(AND($F45="نعم",$G45=""),"الطبيعة ناقصة",IF(AND($F45&lt;&gt;"نعم",OR($M45="",$N45="")),"الحساب الرئيسي يحتاج نطاقًا (من/إلى)",IF(AND($H45=1,$F45&lt;&gt;"نعم"),"حساب نقدية يجب أن يكون قابلًا للترحيل",IF(AND($F45="نعم",$D45=""),"النوع ناقص","")))))))</f>
        <v/>
      </c>
    </row>
    <row r="46">
      <c r="A46" s="39" t="n">
        <v>1792</v>
      </c>
      <c r="B46" s="29" t="inlineStr">
        <is>
          <t>مجمع إهلاك الأثاث والتجهيزات</t>
        </is>
      </c>
      <c r="C46" s="29" t="inlineStr">
        <is>
          <t>Acc. Dep. - Furniture</t>
        </is>
      </c>
      <c r="D46" s="39" t="inlineStr">
        <is>
          <t>A</t>
        </is>
      </c>
      <c r="E46" s="39" t="n">
        <v>3</v>
      </c>
      <c r="F46" s="39" t="inlineStr">
        <is>
          <t>نعم</t>
        </is>
      </c>
      <c r="G46" s="39" t="inlineStr">
        <is>
          <t>دائن</t>
        </is>
      </c>
      <c r="H46" s="39" t="n">
        <v>0</v>
      </c>
      <c r="I46" s="29" t="inlineStr">
        <is>
          <t>OPERATING</t>
        </is>
      </c>
      <c r="J46" s="39" t="inlineStr">
        <is>
          <t>لا</t>
        </is>
      </c>
      <c r="K46" s="39" t="inlineStr">
        <is>
          <t>لا</t>
        </is>
      </c>
      <c r="L46" s="39" t="inlineStr">
        <is>
          <t>نعم</t>
        </is>
      </c>
      <c r="M46" s="29" t="n"/>
      <c r="N46" s="29" t="n"/>
      <c r="O46" s="29" t="inlineStr"/>
      <c r="P46" s="32">
        <f>IF($A46="","",IF($F46="نعم",$A46,$M46))</f>
        <v/>
      </c>
      <c r="Q46" s="32">
        <f>IF($A46="","",IF($F46="نعم",$A46,$N46))</f>
        <v/>
      </c>
      <c r="R46" s="32">
        <f>IF($A46="","",IF(AND($F46="نعم",$L46&lt;&gt;"لا"),1,0))</f>
        <v/>
      </c>
      <c r="S46" s="32">
        <f>IF($D46="","",IFERROR(INDEX(Lists!$AK$5:$AK$10,MATCH($D46,Lists!$AJ$5:$AJ$10,0)),"نوع غير معرف"))</f>
        <v/>
      </c>
      <c r="T46" s="32">
        <f>IF($A46="","",IF(COUNTIF($A:$A,$A46)&gt;1,"كود حساب مكرر",IF($B46="","اسم الحساب ناقص",IF(AND($F46="نعم",$G46=""),"الطبيعة ناقصة",IF(AND($F46&lt;&gt;"نعم",OR($M46="",$N46="")),"الحساب الرئيسي يحتاج نطاقًا (من/إلى)",IF(AND($H46=1,$F46&lt;&gt;"نعم"),"حساب نقدية يجب أن يكون قابلًا للترحيل",IF(AND($F46="نعم",$D46=""),"النوع ناقص","")))))))</f>
        <v/>
      </c>
    </row>
    <row r="47">
      <c r="A47" s="39" t="n">
        <v>1793</v>
      </c>
      <c r="B47" s="29" t="inlineStr">
        <is>
          <t>مجمع إهلاك الأجهزة والحاسبات</t>
        </is>
      </c>
      <c r="C47" s="29" t="inlineStr">
        <is>
          <t>Acc. Dep. - IT</t>
        </is>
      </c>
      <c r="D47" s="39" t="inlineStr">
        <is>
          <t>A</t>
        </is>
      </c>
      <c r="E47" s="39" t="n">
        <v>3</v>
      </c>
      <c r="F47" s="39" t="inlineStr">
        <is>
          <t>نعم</t>
        </is>
      </c>
      <c r="G47" s="39" t="inlineStr">
        <is>
          <t>دائن</t>
        </is>
      </c>
      <c r="H47" s="39" t="n">
        <v>0</v>
      </c>
      <c r="I47" s="29" t="inlineStr">
        <is>
          <t>OPERATING</t>
        </is>
      </c>
      <c r="J47" s="39" t="inlineStr">
        <is>
          <t>لا</t>
        </is>
      </c>
      <c r="K47" s="39" t="inlineStr">
        <is>
          <t>لا</t>
        </is>
      </c>
      <c r="L47" s="39" t="inlineStr">
        <is>
          <t>نعم</t>
        </is>
      </c>
      <c r="M47" s="29" t="n"/>
      <c r="N47" s="29" t="n"/>
      <c r="O47" s="29" t="inlineStr"/>
      <c r="P47" s="32">
        <f>IF($A47="","",IF($F47="نعم",$A47,$M47))</f>
        <v/>
      </c>
      <c r="Q47" s="32">
        <f>IF($A47="","",IF($F47="نعم",$A47,$N47))</f>
        <v/>
      </c>
      <c r="R47" s="32">
        <f>IF($A47="","",IF(AND($F47="نعم",$L47&lt;&gt;"لا"),1,0))</f>
        <v/>
      </c>
      <c r="S47" s="32">
        <f>IF($D47="","",IFERROR(INDEX(Lists!$AK$5:$AK$10,MATCH($D47,Lists!$AJ$5:$AJ$10,0)),"نوع غير معرف"))</f>
        <v/>
      </c>
      <c r="T47" s="32">
        <f>IF($A47="","",IF(COUNTIF($A:$A,$A47)&gt;1,"كود حساب مكرر",IF($B47="","اسم الحساب ناقص",IF(AND($F47="نعم",$G47=""),"الطبيعة ناقصة",IF(AND($F47&lt;&gt;"نعم",OR($M47="",$N47="")),"الحساب الرئيسي يحتاج نطاقًا (من/إلى)",IF(AND($H47=1,$F47&lt;&gt;"نعم"),"حساب نقدية يجب أن يكون قابلًا للترحيل",IF(AND($F47="نعم",$D47=""),"النوع ناقص","")))))))</f>
        <v/>
      </c>
    </row>
    <row r="48">
      <c r="A48" s="39" t="n">
        <v>1794</v>
      </c>
      <c r="B48" s="29" t="inlineStr">
        <is>
          <t>مجمع إهلاك الديكورات</t>
        </is>
      </c>
      <c r="C48" s="29" t="inlineStr">
        <is>
          <t>Acc. Dep. - Leasehold</t>
        </is>
      </c>
      <c r="D48" s="39" t="inlineStr">
        <is>
          <t>A</t>
        </is>
      </c>
      <c r="E48" s="39" t="n">
        <v>3</v>
      </c>
      <c r="F48" s="39" t="inlineStr">
        <is>
          <t>نعم</t>
        </is>
      </c>
      <c r="G48" s="39" t="inlineStr">
        <is>
          <t>دائن</t>
        </is>
      </c>
      <c r="H48" s="39" t="n">
        <v>0</v>
      </c>
      <c r="I48" s="29" t="inlineStr">
        <is>
          <t>OPERATING</t>
        </is>
      </c>
      <c r="J48" s="39" t="inlineStr">
        <is>
          <t>لا</t>
        </is>
      </c>
      <c r="K48" s="39" t="inlineStr">
        <is>
          <t>لا</t>
        </is>
      </c>
      <c r="L48" s="39" t="inlineStr">
        <is>
          <t>نعم</t>
        </is>
      </c>
      <c r="M48" s="29" t="n"/>
      <c r="N48" s="29" t="n"/>
      <c r="O48" s="29" t="inlineStr"/>
      <c r="P48" s="32">
        <f>IF($A48="","",IF($F48="نعم",$A48,$M48))</f>
        <v/>
      </c>
      <c r="Q48" s="32">
        <f>IF($A48="","",IF($F48="نعم",$A48,$N48))</f>
        <v/>
      </c>
      <c r="R48" s="32">
        <f>IF($A48="","",IF(AND($F48="نعم",$L48&lt;&gt;"لا"),1,0))</f>
        <v/>
      </c>
      <c r="S48" s="32">
        <f>IF($D48="","",IFERROR(INDEX(Lists!$AK$5:$AK$10,MATCH($D48,Lists!$AJ$5:$AJ$10,0)),"نوع غير معرف"))</f>
        <v/>
      </c>
      <c r="T48" s="32">
        <f>IF($A48="","",IF(COUNTIF($A:$A,$A48)&gt;1,"كود حساب مكرر",IF($B48="","اسم الحساب ناقص",IF(AND($F48="نعم",$G48=""),"الطبيعة ناقصة",IF(AND($F48&lt;&gt;"نعم",OR($M48="",$N48="")),"الحساب الرئيسي يحتاج نطاقًا (من/إلى)",IF(AND($H48=1,$F48&lt;&gt;"نعم"),"حساب نقدية يجب أن يكون قابلًا للترحيل",IF(AND($F48="نعم",$D48=""),"النوع ناقص","")))))))</f>
        <v/>
      </c>
    </row>
    <row r="49">
      <c r="A49" s="39" t="n">
        <v>2000</v>
      </c>
      <c r="B49" s="29" t="inlineStr">
        <is>
          <t>الالتزامات</t>
        </is>
      </c>
      <c r="C49" s="29" t="inlineStr">
        <is>
          <t>Liabilities</t>
        </is>
      </c>
      <c r="D49" s="39" t="inlineStr">
        <is>
          <t>L</t>
        </is>
      </c>
      <c r="E49" s="39" t="n">
        <v>1</v>
      </c>
      <c r="F49" s="39" t="inlineStr">
        <is>
          <t>لا</t>
        </is>
      </c>
      <c r="G49" s="39" t="inlineStr">
        <is>
          <t>دائن</t>
        </is>
      </c>
      <c r="H49" s="39" t="n">
        <v>0</v>
      </c>
      <c r="I49" s="29" t="inlineStr">
        <is>
          <t>OPERATING</t>
        </is>
      </c>
      <c r="J49" s="39" t="inlineStr">
        <is>
          <t>لا</t>
        </is>
      </c>
      <c r="K49" s="39" t="inlineStr">
        <is>
          <t>لا</t>
        </is>
      </c>
      <c r="L49" s="39" t="inlineStr">
        <is>
          <t>نعم</t>
        </is>
      </c>
      <c r="M49" s="29" t="n">
        <v>2000</v>
      </c>
      <c r="N49" s="29" t="n">
        <v>2999</v>
      </c>
      <c r="O49" s="29" t="inlineStr"/>
      <c r="P49" s="32">
        <f>IF($A49="","",IF($F49="نعم",$A49,$M49))</f>
        <v/>
      </c>
      <c r="Q49" s="32">
        <f>IF($A49="","",IF($F49="نعم",$A49,$N49))</f>
        <v/>
      </c>
      <c r="R49" s="32">
        <f>IF($A49="","",IF(AND($F49="نعم",$L49&lt;&gt;"لا"),1,0))</f>
        <v/>
      </c>
      <c r="S49" s="32">
        <f>IF($D49="","",IFERROR(INDEX(Lists!$AK$5:$AK$10,MATCH($D49,Lists!$AJ$5:$AJ$10,0)),"نوع غير معرف"))</f>
        <v/>
      </c>
      <c r="T49" s="32">
        <f>IF($A49="","",IF(COUNTIF($A:$A,$A49)&gt;1,"كود حساب مكرر",IF($B49="","اسم الحساب ناقص",IF(AND($F49="نعم",$G49=""),"الطبيعة ناقصة",IF(AND($F49&lt;&gt;"نعم",OR($M49="",$N49="")),"الحساب الرئيسي يحتاج نطاقًا (من/إلى)",IF(AND($H49=1,$F49&lt;&gt;"نعم"),"حساب نقدية يجب أن يكون قابلًا للترحيل",IF(AND($F49="نعم",$D49=""),"النوع ناقص","")))))))</f>
        <v/>
      </c>
    </row>
    <row r="50">
      <c r="A50" s="39" t="n">
        <v>2100</v>
      </c>
      <c r="B50" s="29" t="inlineStr">
        <is>
          <t>الموردون</t>
        </is>
      </c>
      <c r="C50" s="29" t="inlineStr">
        <is>
          <t>Suppliers</t>
        </is>
      </c>
      <c r="D50" s="39" t="inlineStr">
        <is>
          <t>L</t>
        </is>
      </c>
      <c r="E50" s="39" t="n">
        <v>2</v>
      </c>
      <c r="F50" s="39" t="inlineStr">
        <is>
          <t>لا</t>
        </is>
      </c>
      <c r="G50" s="39" t="inlineStr">
        <is>
          <t>دائن</t>
        </is>
      </c>
      <c r="H50" s="39" t="n">
        <v>0</v>
      </c>
      <c r="I50" s="29" t="inlineStr">
        <is>
          <t>OPERATING</t>
        </is>
      </c>
      <c r="J50" s="39" t="inlineStr">
        <is>
          <t>لا</t>
        </is>
      </c>
      <c r="K50" s="39" t="inlineStr">
        <is>
          <t>لا</t>
        </is>
      </c>
      <c r="L50" s="39" t="inlineStr">
        <is>
          <t>نعم</t>
        </is>
      </c>
      <c r="M50" s="29" t="n">
        <v>2100</v>
      </c>
      <c r="N50" s="29" t="n">
        <v>2199</v>
      </c>
      <c r="O50" s="29" t="inlineStr"/>
      <c r="P50" s="32">
        <f>IF($A50="","",IF($F50="نعم",$A50,$M50))</f>
        <v/>
      </c>
      <c r="Q50" s="32">
        <f>IF($A50="","",IF($F50="نعم",$A50,$N50))</f>
        <v/>
      </c>
      <c r="R50" s="32">
        <f>IF($A50="","",IF(AND($F50="نعم",$L50&lt;&gt;"لا"),1,0))</f>
        <v/>
      </c>
      <c r="S50" s="32">
        <f>IF($D50="","",IFERROR(INDEX(Lists!$AK$5:$AK$10,MATCH($D50,Lists!$AJ$5:$AJ$10,0)),"نوع غير معرف"))</f>
        <v/>
      </c>
      <c r="T50" s="32">
        <f>IF($A50="","",IF(COUNTIF($A:$A,$A50)&gt;1,"كود حساب مكرر",IF($B50="","اسم الحساب ناقص",IF(AND($F50="نعم",$G50=""),"الطبيعة ناقصة",IF(AND($F50&lt;&gt;"نعم",OR($M50="",$N50="")),"الحساب الرئيسي يحتاج نطاقًا (من/إلى)",IF(AND($H50=1,$F50&lt;&gt;"نعم"),"حساب نقدية يجب أن يكون قابلًا للترحيل",IF(AND($F50="نعم",$D50=""),"النوع ناقص","")))))))</f>
        <v/>
      </c>
    </row>
    <row r="51">
      <c r="A51" s="39" t="n">
        <v>2101</v>
      </c>
      <c r="B51" s="29" t="inlineStr">
        <is>
          <t>موردون (ذمم دائنة)</t>
        </is>
      </c>
      <c r="C51" s="29" t="inlineStr">
        <is>
          <t>Trade Payables</t>
        </is>
      </c>
      <c r="D51" s="39" t="inlineStr">
        <is>
          <t>L</t>
        </is>
      </c>
      <c r="E51" s="39" t="n">
        <v>3</v>
      </c>
      <c r="F51" s="39" t="inlineStr">
        <is>
          <t>نعم</t>
        </is>
      </c>
      <c r="G51" s="39" t="inlineStr">
        <is>
          <t>دائن</t>
        </is>
      </c>
      <c r="H51" s="39" t="n">
        <v>0</v>
      </c>
      <c r="I51" s="29" t="inlineStr">
        <is>
          <t>OPERATING</t>
        </is>
      </c>
      <c r="J51" s="39" t="inlineStr">
        <is>
          <t>لا</t>
        </is>
      </c>
      <c r="K51" s="39" t="inlineStr">
        <is>
          <t>لا</t>
        </is>
      </c>
      <c r="L51" s="39" t="inlineStr">
        <is>
          <t>نعم</t>
        </is>
      </c>
      <c r="M51" s="29" t="n"/>
      <c r="N51" s="29" t="n"/>
      <c r="O51" s="29" t="inlineStr"/>
      <c r="P51" s="32">
        <f>IF($A51="","",IF($F51="نعم",$A51,$M51))</f>
        <v/>
      </c>
      <c r="Q51" s="32">
        <f>IF($A51="","",IF($F51="نعم",$A51,$N51))</f>
        <v/>
      </c>
      <c r="R51" s="32">
        <f>IF($A51="","",IF(AND($F51="نعم",$L51&lt;&gt;"لا"),1,0))</f>
        <v/>
      </c>
      <c r="S51" s="32">
        <f>IF($D51="","",IFERROR(INDEX(Lists!$AK$5:$AK$10,MATCH($D51,Lists!$AJ$5:$AJ$10,0)),"نوع غير معرف"))</f>
        <v/>
      </c>
      <c r="T51" s="32">
        <f>IF($A51="","",IF(COUNTIF($A:$A,$A51)&gt;1,"كود حساب مكرر",IF($B51="","اسم الحساب ناقص",IF(AND($F51="نعم",$G51=""),"الطبيعة ناقصة",IF(AND($F51&lt;&gt;"نعم",OR($M51="",$N51="")),"الحساب الرئيسي يحتاج نطاقًا (من/إلى)",IF(AND($H51=1,$F51&lt;&gt;"نعم"),"حساب نقدية يجب أن يكون قابلًا للترحيل",IF(AND($F51="نعم",$D51=""),"النوع ناقص","")))))))</f>
        <v/>
      </c>
    </row>
    <row r="52">
      <c r="A52" s="39" t="n">
        <v>2110</v>
      </c>
      <c r="B52" s="29" t="inlineStr">
        <is>
          <t>بضاعة مستلمة غير مفوترة (GRNI)</t>
        </is>
      </c>
      <c r="C52" s="29" t="inlineStr">
        <is>
          <t>Goods Received Not Invoiced</t>
        </is>
      </c>
      <c r="D52" s="39" t="inlineStr">
        <is>
          <t>L</t>
        </is>
      </c>
      <c r="E52" s="39" t="n">
        <v>3</v>
      </c>
      <c r="F52" s="39" t="inlineStr">
        <is>
          <t>نعم</t>
        </is>
      </c>
      <c r="G52" s="39" t="inlineStr">
        <is>
          <t>دائن</t>
        </is>
      </c>
      <c r="H52" s="39" t="n">
        <v>0</v>
      </c>
      <c r="I52" s="29" t="inlineStr">
        <is>
          <t>OPERATING</t>
        </is>
      </c>
      <c r="J52" s="39" t="inlineStr">
        <is>
          <t>لا</t>
        </is>
      </c>
      <c r="K52" s="39" t="inlineStr">
        <is>
          <t>لا</t>
        </is>
      </c>
      <c r="L52" s="39" t="inlineStr">
        <is>
          <t>نعم</t>
        </is>
      </c>
      <c r="M52" s="29" t="n"/>
      <c r="N52" s="29" t="n"/>
      <c r="O52" s="29" t="inlineStr">
        <is>
          <t>المرحلة 2</t>
        </is>
      </c>
      <c r="P52" s="32">
        <f>IF($A52="","",IF($F52="نعم",$A52,$M52))</f>
        <v/>
      </c>
      <c r="Q52" s="32">
        <f>IF($A52="","",IF($F52="نعم",$A52,$N52))</f>
        <v/>
      </c>
      <c r="R52" s="32">
        <f>IF($A52="","",IF(AND($F52="نعم",$L52&lt;&gt;"لا"),1,0))</f>
        <v/>
      </c>
      <c r="S52" s="32">
        <f>IF($D52="","",IFERROR(INDEX(Lists!$AK$5:$AK$10,MATCH($D52,Lists!$AJ$5:$AJ$10,0)),"نوع غير معرف"))</f>
        <v/>
      </c>
      <c r="T52" s="32">
        <f>IF($A52="","",IF(COUNTIF($A:$A,$A52)&gt;1,"كود حساب مكرر",IF($B52="","اسم الحساب ناقص",IF(AND($F52="نعم",$G52=""),"الطبيعة ناقصة",IF(AND($F52&lt;&gt;"نعم",OR($M52="",$N52="")),"الحساب الرئيسي يحتاج نطاقًا (من/إلى)",IF(AND($H52=1,$F52&lt;&gt;"نعم"),"حساب نقدية يجب أن يكون قابلًا للترحيل",IF(AND($F52="نعم",$D52=""),"النوع ناقص","")))))))</f>
        <v/>
      </c>
    </row>
    <row r="53">
      <c r="A53" s="39" t="n">
        <v>2200</v>
      </c>
      <c r="B53" s="29" t="inlineStr">
        <is>
          <t>المصروفات والرواتب المستحقة</t>
        </is>
      </c>
      <c r="C53" s="29" t="inlineStr">
        <is>
          <t>Accruals</t>
        </is>
      </c>
      <c r="D53" s="39" t="inlineStr">
        <is>
          <t>L</t>
        </is>
      </c>
      <c r="E53" s="39" t="n">
        <v>2</v>
      </c>
      <c r="F53" s="39" t="inlineStr">
        <is>
          <t>لا</t>
        </is>
      </c>
      <c r="G53" s="39" t="inlineStr">
        <is>
          <t>دائن</t>
        </is>
      </c>
      <c r="H53" s="39" t="n">
        <v>0</v>
      </c>
      <c r="I53" s="29" t="inlineStr">
        <is>
          <t>OPERATING</t>
        </is>
      </c>
      <c r="J53" s="39" t="inlineStr">
        <is>
          <t>لا</t>
        </is>
      </c>
      <c r="K53" s="39" t="inlineStr">
        <is>
          <t>لا</t>
        </is>
      </c>
      <c r="L53" s="39" t="inlineStr">
        <is>
          <t>نعم</t>
        </is>
      </c>
      <c r="M53" s="29" t="n">
        <v>2200</v>
      </c>
      <c r="N53" s="29" t="n">
        <v>2299</v>
      </c>
      <c r="O53" s="29" t="inlineStr"/>
      <c r="P53" s="32">
        <f>IF($A53="","",IF($F53="نعم",$A53,$M53))</f>
        <v/>
      </c>
      <c r="Q53" s="32">
        <f>IF($A53="","",IF($F53="نعم",$A53,$N53))</f>
        <v/>
      </c>
      <c r="R53" s="32">
        <f>IF($A53="","",IF(AND($F53="نعم",$L53&lt;&gt;"لا"),1,0))</f>
        <v/>
      </c>
      <c r="S53" s="32">
        <f>IF($D53="","",IFERROR(INDEX(Lists!$AK$5:$AK$10,MATCH($D53,Lists!$AJ$5:$AJ$10,0)),"نوع غير معرف"))</f>
        <v/>
      </c>
      <c r="T53" s="32">
        <f>IF($A53="","",IF(COUNTIF($A:$A,$A53)&gt;1,"كود حساب مكرر",IF($B53="","اسم الحساب ناقص",IF(AND($F53="نعم",$G53=""),"الطبيعة ناقصة",IF(AND($F53&lt;&gt;"نعم",OR($M53="",$N53="")),"الحساب الرئيسي يحتاج نطاقًا (من/إلى)",IF(AND($H53=1,$F53&lt;&gt;"نعم"),"حساب نقدية يجب أن يكون قابلًا للترحيل",IF(AND($F53="نعم",$D53=""),"النوع ناقص","")))))))</f>
        <v/>
      </c>
    </row>
    <row r="54">
      <c r="A54" s="39" t="n">
        <v>2201</v>
      </c>
      <c r="B54" s="29" t="inlineStr">
        <is>
          <t>مصروفات مستحقة</t>
        </is>
      </c>
      <c r="C54" s="29" t="inlineStr">
        <is>
          <t>Accrued Expenses</t>
        </is>
      </c>
      <c r="D54" s="39" t="inlineStr">
        <is>
          <t>L</t>
        </is>
      </c>
      <c r="E54" s="39" t="n">
        <v>3</v>
      </c>
      <c r="F54" s="39" t="inlineStr">
        <is>
          <t>نعم</t>
        </is>
      </c>
      <c r="G54" s="39" t="inlineStr">
        <is>
          <t>دائن</t>
        </is>
      </c>
      <c r="H54" s="39" t="n">
        <v>0</v>
      </c>
      <c r="I54" s="29" t="inlineStr">
        <is>
          <t>OPERATING</t>
        </is>
      </c>
      <c r="J54" s="39" t="inlineStr">
        <is>
          <t>لا</t>
        </is>
      </c>
      <c r="K54" s="39" t="inlineStr">
        <is>
          <t>لا</t>
        </is>
      </c>
      <c r="L54" s="39" t="inlineStr">
        <is>
          <t>نعم</t>
        </is>
      </c>
      <c r="M54" s="29" t="n"/>
      <c r="N54" s="29" t="n"/>
      <c r="O54" s="29" t="inlineStr"/>
      <c r="P54" s="32">
        <f>IF($A54="","",IF($F54="نعم",$A54,$M54))</f>
        <v/>
      </c>
      <c r="Q54" s="32">
        <f>IF($A54="","",IF($F54="نعم",$A54,$N54))</f>
        <v/>
      </c>
      <c r="R54" s="32">
        <f>IF($A54="","",IF(AND($F54="نعم",$L54&lt;&gt;"لا"),1,0))</f>
        <v/>
      </c>
      <c r="S54" s="32">
        <f>IF($D54="","",IFERROR(INDEX(Lists!$AK$5:$AK$10,MATCH($D54,Lists!$AJ$5:$AJ$10,0)),"نوع غير معرف"))</f>
        <v/>
      </c>
      <c r="T54" s="32">
        <f>IF($A54="","",IF(COUNTIF($A:$A,$A54)&gt;1,"كود حساب مكرر",IF($B54="","اسم الحساب ناقص",IF(AND($F54="نعم",$G54=""),"الطبيعة ناقصة",IF(AND($F54&lt;&gt;"نعم",OR($M54="",$N54="")),"الحساب الرئيسي يحتاج نطاقًا (من/إلى)",IF(AND($H54=1,$F54&lt;&gt;"نعم"),"حساب نقدية يجب أن يكون قابلًا للترحيل",IF(AND($F54="نعم",$D54=""),"النوع ناقص","")))))))</f>
        <v/>
      </c>
    </row>
    <row r="55">
      <c r="A55" s="39" t="n">
        <v>2202</v>
      </c>
      <c r="B55" s="29" t="inlineStr">
        <is>
          <t>رواتب وأجور مستحقة</t>
        </is>
      </c>
      <c r="C55" s="29" t="inlineStr">
        <is>
          <t>Accrued Salaries</t>
        </is>
      </c>
      <c r="D55" s="39" t="inlineStr">
        <is>
          <t>L</t>
        </is>
      </c>
      <c r="E55" s="39" t="n">
        <v>3</v>
      </c>
      <c r="F55" s="39" t="inlineStr">
        <is>
          <t>نعم</t>
        </is>
      </c>
      <c r="G55" s="39" t="inlineStr">
        <is>
          <t>دائن</t>
        </is>
      </c>
      <c r="H55" s="39" t="n">
        <v>0</v>
      </c>
      <c r="I55" s="29" t="inlineStr">
        <is>
          <t>OPERATING</t>
        </is>
      </c>
      <c r="J55" s="39" t="inlineStr">
        <is>
          <t>لا</t>
        </is>
      </c>
      <c r="K55" s="39" t="inlineStr">
        <is>
          <t>لا</t>
        </is>
      </c>
      <c r="L55" s="39" t="inlineStr">
        <is>
          <t>نعم</t>
        </is>
      </c>
      <c r="M55" s="29" t="n"/>
      <c r="N55" s="29" t="n"/>
      <c r="O55" s="29" t="inlineStr"/>
      <c r="P55" s="32">
        <f>IF($A55="","",IF($F55="نعم",$A55,$M55))</f>
        <v/>
      </c>
      <c r="Q55" s="32">
        <f>IF($A55="","",IF($F55="نعم",$A55,$N55))</f>
        <v/>
      </c>
      <c r="R55" s="32">
        <f>IF($A55="","",IF(AND($F55="نعم",$L55&lt;&gt;"لا"),1,0))</f>
        <v/>
      </c>
      <c r="S55" s="32">
        <f>IF($D55="","",IFERROR(INDEX(Lists!$AK$5:$AK$10,MATCH($D55,Lists!$AJ$5:$AJ$10,0)),"نوع غير معرف"))</f>
        <v/>
      </c>
      <c r="T55" s="32">
        <f>IF($A55="","",IF(COUNTIF($A:$A,$A55)&gt;1,"كود حساب مكرر",IF($B55="","اسم الحساب ناقص",IF(AND($F55="نعم",$G55=""),"الطبيعة ناقصة",IF(AND($F55&lt;&gt;"نعم",OR($M55="",$N55="")),"الحساب الرئيسي يحتاج نطاقًا (من/إلى)",IF(AND($H55=1,$F55&lt;&gt;"نعم"),"حساب نقدية يجب أن يكون قابلًا للترحيل",IF(AND($F55="نعم",$D55=""),"النوع ناقص","")))))))</f>
        <v/>
      </c>
    </row>
    <row r="56">
      <c r="A56" s="39" t="n">
        <v>2203</v>
      </c>
      <c r="B56" s="29" t="inlineStr">
        <is>
          <t>تأمينات اجتماعية مستحقة</t>
        </is>
      </c>
      <c r="C56" s="29" t="inlineStr">
        <is>
          <t>Social Insurance Payable</t>
        </is>
      </c>
      <c r="D56" s="39" t="inlineStr">
        <is>
          <t>L</t>
        </is>
      </c>
      <c r="E56" s="39" t="n">
        <v>3</v>
      </c>
      <c r="F56" s="39" t="inlineStr">
        <is>
          <t>نعم</t>
        </is>
      </c>
      <c r="G56" s="39" t="inlineStr">
        <is>
          <t>دائن</t>
        </is>
      </c>
      <c r="H56" s="39" t="n">
        <v>0</v>
      </c>
      <c r="I56" s="29" t="inlineStr">
        <is>
          <t>OPERATING</t>
        </is>
      </c>
      <c r="J56" s="39" t="inlineStr">
        <is>
          <t>لا</t>
        </is>
      </c>
      <c r="K56" s="39" t="inlineStr">
        <is>
          <t>لا</t>
        </is>
      </c>
      <c r="L56" s="39" t="inlineStr">
        <is>
          <t>نعم</t>
        </is>
      </c>
      <c r="M56" s="29" t="n"/>
      <c r="N56" s="29" t="n"/>
      <c r="O56" s="29" t="inlineStr"/>
      <c r="P56" s="32">
        <f>IF($A56="","",IF($F56="نعم",$A56,$M56))</f>
        <v/>
      </c>
      <c r="Q56" s="32">
        <f>IF($A56="","",IF($F56="نعم",$A56,$N56))</f>
        <v/>
      </c>
      <c r="R56" s="32">
        <f>IF($A56="","",IF(AND($F56="نعم",$L56&lt;&gt;"لا"),1,0))</f>
        <v/>
      </c>
      <c r="S56" s="32">
        <f>IF($D56="","",IFERROR(INDEX(Lists!$AK$5:$AK$10,MATCH($D56,Lists!$AJ$5:$AJ$10,0)),"نوع غير معرف"))</f>
        <v/>
      </c>
      <c r="T56" s="32">
        <f>IF($A56="","",IF(COUNTIF($A:$A,$A56)&gt;1,"كود حساب مكرر",IF($B56="","اسم الحساب ناقص",IF(AND($F56="نعم",$G56=""),"الطبيعة ناقصة",IF(AND($F56&lt;&gt;"نعم",OR($M56="",$N56="")),"الحساب الرئيسي يحتاج نطاقًا (من/إلى)",IF(AND($H56=1,$F56&lt;&gt;"نعم"),"حساب نقدية يجب أن يكون قابلًا للترحيل",IF(AND($F56="نعم",$D56=""),"النوع ناقص","")))))))</f>
        <v/>
      </c>
    </row>
    <row r="57">
      <c r="A57" s="39" t="n">
        <v>2300</v>
      </c>
      <c r="B57" s="29" t="inlineStr">
        <is>
          <t>الضرائب المستحقة</t>
        </is>
      </c>
      <c r="C57" s="29" t="inlineStr">
        <is>
          <t>Taxes Payable</t>
        </is>
      </c>
      <c r="D57" s="39" t="inlineStr">
        <is>
          <t>L</t>
        </is>
      </c>
      <c r="E57" s="39" t="n">
        <v>2</v>
      </c>
      <c r="F57" s="39" t="inlineStr">
        <is>
          <t>لا</t>
        </is>
      </c>
      <c r="G57" s="39" t="inlineStr">
        <is>
          <t>دائن</t>
        </is>
      </c>
      <c r="H57" s="39" t="n">
        <v>0</v>
      </c>
      <c r="I57" s="29" t="inlineStr">
        <is>
          <t>OPERATING</t>
        </is>
      </c>
      <c r="J57" s="39" t="inlineStr">
        <is>
          <t>لا</t>
        </is>
      </c>
      <c r="K57" s="39" t="inlineStr">
        <is>
          <t>لا</t>
        </is>
      </c>
      <c r="L57" s="39" t="inlineStr">
        <is>
          <t>نعم</t>
        </is>
      </c>
      <c r="M57" s="29" t="n">
        <v>2300</v>
      </c>
      <c r="N57" s="29" t="n">
        <v>2399</v>
      </c>
      <c r="O57" s="29" t="inlineStr"/>
      <c r="P57" s="32">
        <f>IF($A57="","",IF($F57="نعم",$A57,$M57))</f>
        <v/>
      </c>
      <c r="Q57" s="32">
        <f>IF($A57="","",IF($F57="نعم",$A57,$N57))</f>
        <v/>
      </c>
      <c r="R57" s="32">
        <f>IF($A57="","",IF(AND($F57="نعم",$L57&lt;&gt;"لا"),1,0))</f>
        <v/>
      </c>
      <c r="S57" s="32">
        <f>IF($D57="","",IFERROR(INDEX(Lists!$AK$5:$AK$10,MATCH($D57,Lists!$AJ$5:$AJ$10,0)),"نوع غير معرف"))</f>
        <v/>
      </c>
      <c r="T57" s="32">
        <f>IF($A57="","",IF(COUNTIF($A:$A,$A57)&gt;1,"كود حساب مكرر",IF($B57="","اسم الحساب ناقص",IF(AND($F57="نعم",$G57=""),"الطبيعة ناقصة",IF(AND($F57&lt;&gt;"نعم",OR($M57="",$N57="")),"الحساب الرئيسي يحتاج نطاقًا (من/إلى)",IF(AND($H57=1,$F57&lt;&gt;"نعم"),"حساب نقدية يجب أن يكون قابلًا للترحيل",IF(AND($F57="نعم",$D57=""),"النوع ناقص","")))))))</f>
        <v/>
      </c>
    </row>
    <row r="58">
      <c r="A58" s="39" t="n">
        <v>2301</v>
      </c>
      <c r="B58" s="29" t="inlineStr">
        <is>
          <t>ضريبة قيمة مضافة - مخرجات</t>
        </is>
      </c>
      <c r="C58" s="29" t="inlineStr">
        <is>
          <t>VAT Output</t>
        </is>
      </c>
      <c r="D58" s="39" t="inlineStr">
        <is>
          <t>L</t>
        </is>
      </c>
      <c r="E58" s="39" t="n">
        <v>3</v>
      </c>
      <c r="F58" s="39" t="inlineStr">
        <is>
          <t>نعم</t>
        </is>
      </c>
      <c r="G58" s="39" t="inlineStr">
        <is>
          <t>دائن</t>
        </is>
      </c>
      <c r="H58" s="39" t="n">
        <v>0</v>
      </c>
      <c r="I58" s="29" t="inlineStr">
        <is>
          <t>OPERATING</t>
        </is>
      </c>
      <c r="J58" s="39" t="inlineStr">
        <is>
          <t>لا</t>
        </is>
      </c>
      <c r="K58" s="39" t="inlineStr">
        <is>
          <t>لا</t>
        </is>
      </c>
      <c r="L58" s="39" t="inlineStr">
        <is>
          <t>نعم</t>
        </is>
      </c>
      <c r="M58" s="29" t="n"/>
      <c r="N58" s="29" t="n"/>
      <c r="O58" s="29" t="inlineStr">
        <is>
          <t>تُستخدم فقط عند تفعيل الضريبة</t>
        </is>
      </c>
      <c r="P58" s="32">
        <f>IF($A58="","",IF($F58="نعم",$A58,$M58))</f>
        <v/>
      </c>
      <c r="Q58" s="32">
        <f>IF($A58="","",IF($F58="نعم",$A58,$N58))</f>
        <v/>
      </c>
      <c r="R58" s="32">
        <f>IF($A58="","",IF(AND($F58="نعم",$L58&lt;&gt;"لا"),1,0))</f>
        <v/>
      </c>
      <c r="S58" s="32">
        <f>IF($D58="","",IFERROR(INDEX(Lists!$AK$5:$AK$10,MATCH($D58,Lists!$AJ$5:$AJ$10,0)),"نوع غير معرف"))</f>
        <v/>
      </c>
      <c r="T58" s="32">
        <f>IF($A58="","",IF(COUNTIF($A:$A,$A58)&gt;1,"كود حساب مكرر",IF($B58="","اسم الحساب ناقص",IF(AND($F58="نعم",$G58=""),"الطبيعة ناقصة",IF(AND($F58&lt;&gt;"نعم",OR($M58="",$N58="")),"الحساب الرئيسي يحتاج نطاقًا (من/إلى)",IF(AND($H58=1,$F58&lt;&gt;"نعم"),"حساب نقدية يجب أن يكون قابلًا للترحيل",IF(AND($F58="نعم",$D58=""),"النوع ناقص","")))))))</f>
        <v/>
      </c>
    </row>
    <row r="59">
      <c r="A59" s="39" t="n">
        <v>2302</v>
      </c>
      <c r="B59" s="29" t="inlineStr">
        <is>
          <t>ضرائب ورسوم أخرى مستحقة</t>
        </is>
      </c>
      <c r="C59" s="29" t="inlineStr">
        <is>
          <t>Other Taxes Payable</t>
        </is>
      </c>
      <c r="D59" s="39" t="inlineStr">
        <is>
          <t>L</t>
        </is>
      </c>
      <c r="E59" s="39" t="n">
        <v>3</v>
      </c>
      <c r="F59" s="39" t="inlineStr">
        <is>
          <t>نعم</t>
        </is>
      </c>
      <c r="G59" s="39" t="inlineStr">
        <is>
          <t>دائن</t>
        </is>
      </c>
      <c r="H59" s="39" t="n">
        <v>0</v>
      </c>
      <c r="I59" s="29" t="inlineStr">
        <is>
          <t>OPERATING</t>
        </is>
      </c>
      <c r="J59" s="39" t="inlineStr">
        <is>
          <t>لا</t>
        </is>
      </c>
      <c r="K59" s="39" t="inlineStr">
        <is>
          <t>لا</t>
        </is>
      </c>
      <c r="L59" s="39" t="inlineStr">
        <is>
          <t>نعم</t>
        </is>
      </c>
      <c r="M59" s="29" t="n"/>
      <c r="N59" s="29" t="n"/>
      <c r="O59" s="29" t="inlineStr"/>
      <c r="P59" s="32">
        <f>IF($A59="","",IF($F59="نعم",$A59,$M59))</f>
        <v/>
      </c>
      <c r="Q59" s="32">
        <f>IF($A59="","",IF($F59="نعم",$A59,$N59))</f>
        <v/>
      </c>
      <c r="R59" s="32">
        <f>IF($A59="","",IF(AND($F59="نعم",$L59&lt;&gt;"لا"),1,0))</f>
        <v/>
      </c>
      <c r="S59" s="32">
        <f>IF($D59="","",IFERROR(INDEX(Lists!$AK$5:$AK$10,MATCH($D59,Lists!$AJ$5:$AJ$10,0)),"نوع غير معرف"))</f>
        <v/>
      </c>
      <c r="T59" s="32">
        <f>IF($A59="","",IF(COUNTIF($A:$A,$A59)&gt;1,"كود حساب مكرر",IF($B59="","اسم الحساب ناقص",IF(AND($F59="نعم",$G59=""),"الطبيعة ناقصة",IF(AND($F59&lt;&gt;"نعم",OR($M59="",$N59="")),"الحساب الرئيسي يحتاج نطاقًا (من/إلى)",IF(AND($H59=1,$F59&lt;&gt;"نعم"),"حساب نقدية يجب أن يكون قابلًا للترحيل",IF(AND($F59="نعم",$D59=""),"النوع ناقص","")))))))</f>
        <v/>
      </c>
    </row>
    <row r="60">
      <c r="A60" s="39" t="n">
        <v>2400</v>
      </c>
      <c r="B60" s="29" t="inlineStr">
        <is>
          <t>التزامات أخرى</t>
        </is>
      </c>
      <c r="C60" s="29" t="inlineStr">
        <is>
          <t>Other Liabilities</t>
        </is>
      </c>
      <c r="D60" s="39" t="inlineStr">
        <is>
          <t>L</t>
        </is>
      </c>
      <c r="E60" s="39" t="n">
        <v>2</v>
      </c>
      <c r="F60" s="39" t="inlineStr">
        <is>
          <t>لا</t>
        </is>
      </c>
      <c r="G60" s="39" t="inlineStr">
        <is>
          <t>دائن</t>
        </is>
      </c>
      <c r="H60" s="39" t="n">
        <v>0</v>
      </c>
      <c r="I60" s="29" t="inlineStr">
        <is>
          <t>OPERATING</t>
        </is>
      </c>
      <c r="J60" s="39" t="inlineStr">
        <is>
          <t>لا</t>
        </is>
      </c>
      <c r="K60" s="39" t="inlineStr">
        <is>
          <t>لا</t>
        </is>
      </c>
      <c r="L60" s="39" t="inlineStr">
        <is>
          <t>نعم</t>
        </is>
      </c>
      <c r="M60" s="29" t="n">
        <v>2400</v>
      </c>
      <c r="N60" s="29" t="n">
        <v>2499</v>
      </c>
      <c r="O60" s="29" t="inlineStr"/>
      <c r="P60" s="32">
        <f>IF($A60="","",IF($F60="نعم",$A60,$M60))</f>
        <v/>
      </c>
      <c r="Q60" s="32">
        <f>IF($A60="","",IF($F60="نعم",$A60,$N60))</f>
        <v/>
      </c>
      <c r="R60" s="32">
        <f>IF($A60="","",IF(AND($F60="نعم",$L60&lt;&gt;"لا"),1,0))</f>
        <v/>
      </c>
      <c r="S60" s="32">
        <f>IF($D60="","",IFERROR(INDEX(Lists!$AK$5:$AK$10,MATCH($D60,Lists!$AJ$5:$AJ$10,0)),"نوع غير معرف"))</f>
        <v/>
      </c>
      <c r="T60" s="32">
        <f>IF($A60="","",IF(COUNTIF($A:$A,$A60)&gt;1,"كود حساب مكرر",IF($B60="","اسم الحساب ناقص",IF(AND($F60="نعم",$G60=""),"الطبيعة ناقصة",IF(AND($F60&lt;&gt;"نعم",OR($M60="",$N60="")),"الحساب الرئيسي يحتاج نطاقًا (من/إلى)",IF(AND($H60=1,$F60&lt;&gt;"نعم"),"حساب نقدية يجب أن يكون قابلًا للترحيل",IF(AND($F60="نعم",$D60=""),"النوع ناقص","")))))))</f>
        <v/>
      </c>
    </row>
    <row r="61">
      <c r="A61" s="39" t="n">
        <v>2401</v>
      </c>
      <c r="B61" s="29" t="inlineStr">
        <is>
          <t>أمانات وتأمينات من الغير</t>
        </is>
      </c>
      <c r="C61" s="29" t="inlineStr">
        <is>
          <t>Deposits Held</t>
        </is>
      </c>
      <c r="D61" s="39" t="inlineStr">
        <is>
          <t>L</t>
        </is>
      </c>
      <c r="E61" s="39" t="n">
        <v>3</v>
      </c>
      <c r="F61" s="39" t="inlineStr">
        <is>
          <t>نعم</t>
        </is>
      </c>
      <c r="G61" s="39" t="inlineStr">
        <is>
          <t>دائن</t>
        </is>
      </c>
      <c r="H61" s="39" t="n">
        <v>0</v>
      </c>
      <c r="I61" s="29" t="inlineStr">
        <is>
          <t>FINANCING</t>
        </is>
      </c>
      <c r="J61" s="39" t="inlineStr">
        <is>
          <t>لا</t>
        </is>
      </c>
      <c r="K61" s="39" t="inlineStr">
        <is>
          <t>لا</t>
        </is>
      </c>
      <c r="L61" s="39" t="inlineStr">
        <is>
          <t>نعم</t>
        </is>
      </c>
      <c r="M61" s="29" t="n"/>
      <c r="N61" s="29" t="n"/>
      <c r="O61" s="29" t="inlineStr"/>
      <c r="P61" s="32">
        <f>IF($A61="","",IF($F61="نعم",$A61,$M61))</f>
        <v/>
      </c>
      <c r="Q61" s="32">
        <f>IF($A61="","",IF($F61="نعم",$A61,$N61))</f>
        <v/>
      </c>
      <c r="R61" s="32">
        <f>IF($A61="","",IF(AND($F61="نعم",$L61&lt;&gt;"لا"),1,0))</f>
        <v/>
      </c>
      <c r="S61" s="32">
        <f>IF($D61="","",IFERROR(INDEX(Lists!$AK$5:$AK$10,MATCH($D61,Lists!$AJ$5:$AJ$10,0)),"نوع غير معرف"))</f>
        <v/>
      </c>
      <c r="T61" s="32">
        <f>IF($A61="","",IF(COUNTIF($A:$A,$A61)&gt;1,"كود حساب مكرر",IF($B61="","اسم الحساب ناقص",IF(AND($F61="نعم",$G61=""),"الطبيعة ناقصة",IF(AND($F61&lt;&gt;"نعم",OR($M61="",$N61="")),"الحساب الرئيسي يحتاج نطاقًا (من/إلى)",IF(AND($H61=1,$F61&lt;&gt;"نعم"),"حساب نقدية يجب أن يكون قابلًا للترحيل",IF(AND($F61="نعم",$D61=""),"النوع ناقص","")))))))</f>
        <v/>
      </c>
    </row>
    <row r="62">
      <c r="A62" s="39" t="n">
        <v>2402</v>
      </c>
      <c r="B62" s="29" t="inlineStr">
        <is>
          <t>قروض وتمويل</t>
        </is>
      </c>
      <c r="C62" s="29" t="inlineStr">
        <is>
          <t>Loans</t>
        </is>
      </c>
      <c r="D62" s="39" t="inlineStr">
        <is>
          <t>L</t>
        </is>
      </c>
      <c r="E62" s="39" t="n">
        <v>3</v>
      </c>
      <c r="F62" s="39" t="inlineStr">
        <is>
          <t>نعم</t>
        </is>
      </c>
      <c r="G62" s="39" t="inlineStr">
        <is>
          <t>دائن</t>
        </is>
      </c>
      <c r="H62" s="39" t="n">
        <v>0</v>
      </c>
      <c r="I62" s="29" t="inlineStr">
        <is>
          <t>FINANCING</t>
        </is>
      </c>
      <c r="J62" s="39" t="inlineStr">
        <is>
          <t>لا</t>
        </is>
      </c>
      <c r="K62" s="39" t="inlineStr">
        <is>
          <t>لا</t>
        </is>
      </c>
      <c r="L62" s="39" t="inlineStr">
        <is>
          <t>نعم</t>
        </is>
      </c>
      <c r="M62" s="29" t="n"/>
      <c r="N62" s="29" t="n"/>
      <c r="O62" s="29" t="inlineStr"/>
      <c r="P62" s="32">
        <f>IF($A62="","",IF($F62="نعم",$A62,$M62))</f>
        <v/>
      </c>
      <c r="Q62" s="32">
        <f>IF($A62="","",IF($F62="نعم",$A62,$N62))</f>
        <v/>
      </c>
      <c r="R62" s="32">
        <f>IF($A62="","",IF(AND($F62="نعم",$L62&lt;&gt;"لا"),1,0))</f>
        <v/>
      </c>
      <c r="S62" s="32">
        <f>IF($D62="","",IFERROR(INDEX(Lists!$AK$5:$AK$10,MATCH($D62,Lists!$AJ$5:$AJ$10,0)),"نوع غير معرف"))</f>
        <v/>
      </c>
      <c r="T62" s="32">
        <f>IF($A62="","",IF(COUNTIF($A:$A,$A62)&gt;1,"كود حساب مكرر",IF($B62="","اسم الحساب ناقص",IF(AND($F62="نعم",$G62=""),"الطبيعة ناقصة",IF(AND($F62&lt;&gt;"نعم",OR($M62="",$N62="")),"الحساب الرئيسي يحتاج نطاقًا (من/إلى)",IF(AND($H62=1,$F62&lt;&gt;"نعم"),"حساب نقدية يجب أن يكون قابلًا للترحيل",IF(AND($F62="نعم",$D62=""),"النوع ناقص","")))))))</f>
        <v/>
      </c>
    </row>
    <row r="63">
      <c r="A63" s="39" t="n">
        <v>2403</v>
      </c>
      <c r="B63" s="29" t="inlineStr">
        <is>
          <t>التزامات أخرى</t>
        </is>
      </c>
      <c r="C63" s="29" t="inlineStr">
        <is>
          <t>Other Payables</t>
        </is>
      </c>
      <c r="D63" s="39" t="inlineStr">
        <is>
          <t>L</t>
        </is>
      </c>
      <c r="E63" s="39" t="n">
        <v>3</v>
      </c>
      <c r="F63" s="39" t="inlineStr">
        <is>
          <t>نعم</t>
        </is>
      </c>
      <c r="G63" s="39" t="inlineStr">
        <is>
          <t>دائن</t>
        </is>
      </c>
      <c r="H63" s="39" t="n">
        <v>0</v>
      </c>
      <c r="I63" s="29" t="inlineStr">
        <is>
          <t>OPERATING</t>
        </is>
      </c>
      <c r="J63" s="39" t="inlineStr">
        <is>
          <t>لا</t>
        </is>
      </c>
      <c r="K63" s="39" t="inlineStr">
        <is>
          <t>لا</t>
        </is>
      </c>
      <c r="L63" s="39" t="inlineStr">
        <is>
          <t>نعم</t>
        </is>
      </c>
      <c r="M63" s="29" t="n"/>
      <c r="N63" s="29" t="n"/>
      <c r="O63" s="29" t="inlineStr"/>
      <c r="P63" s="32">
        <f>IF($A63="","",IF($F63="نعم",$A63,$M63))</f>
        <v/>
      </c>
      <c r="Q63" s="32">
        <f>IF($A63="","",IF($F63="نعم",$A63,$N63))</f>
        <v/>
      </c>
      <c r="R63" s="32">
        <f>IF($A63="","",IF(AND($F63="نعم",$L63&lt;&gt;"لا"),1,0))</f>
        <v/>
      </c>
      <c r="S63" s="32">
        <f>IF($D63="","",IFERROR(INDEX(Lists!$AK$5:$AK$10,MATCH($D63,Lists!$AJ$5:$AJ$10,0)),"نوع غير معرف"))</f>
        <v/>
      </c>
      <c r="T63" s="32">
        <f>IF($A63="","",IF(COUNTIF($A:$A,$A63)&gt;1,"كود حساب مكرر",IF($B63="","اسم الحساب ناقص",IF(AND($F63="نعم",$G63=""),"الطبيعة ناقصة",IF(AND($F63&lt;&gt;"نعم",OR($M63="",$N63="")),"الحساب الرئيسي يحتاج نطاقًا (من/إلى)",IF(AND($H63=1,$F63&lt;&gt;"نعم"),"حساب نقدية يجب أن يكون قابلًا للترحيل",IF(AND($F63="نعم",$D63=""),"النوع ناقص","")))))))</f>
        <v/>
      </c>
    </row>
    <row r="64">
      <c r="A64" s="39" t="n">
        <v>2900</v>
      </c>
      <c r="B64" s="29" t="inlineStr">
        <is>
          <t>حسابات معلقة</t>
        </is>
      </c>
      <c r="C64" s="29" t="inlineStr">
        <is>
          <t>Suspense</t>
        </is>
      </c>
      <c r="D64" s="39" t="inlineStr">
        <is>
          <t>L</t>
        </is>
      </c>
      <c r="E64" s="39" t="n">
        <v>2</v>
      </c>
      <c r="F64" s="39" t="inlineStr">
        <is>
          <t>لا</t>
        </is>
      </c>
      <c r="G64" s="39" t="inlineStr">
        <is>
          <t>دائن</t>
        </is>
      </c>
      <c r="H64" s="39" t="n">
        <v>0</v>
      </c>
      <c r="I64" s="29" t="inlineStr">
        <is>
          <t>OPERATING</t>
        </is>
      </c>
      <c r="J64" s="39" t="inlineStr">
        <is>
          <t>لا</t>
        </is>
      </c>
      <c r="K64" s="39" t="inlineStr">
        <is>
          <t>لا</t>
        </is>
      </c>
      <c r="L64" s="39" t="inlineStr">
        <is>
          <t>نعم</t>
        </is>
      </c>
      <c r="M64" s="29" t="n">
        <v>2900</v>
      </c>
      <c r="N64" s="29" t="n">
        <v>2999</v>
      </c>
      <c r="O64" s="29" t="inlineStr"/>
      <c r="P64" s="32">
        <f>IF($A64="","",IF($F64="نعم",$A64,$M64))</f>
        <v/>
      </c>
      <c r="Q64" s="32">
        <f>IF($A64="","",IF($F64="نعم",$A64,$N64))</f>
        <v/>
      </c>
      <c r="R64" s="32">
        <f>IF($A64="","",IF(AND($F64="نعم",$L64&lt;&gt;"لا"),1,0))</f>
        <v/>
      </c>
      <c r="S64" s="32">
        <f>IF($D64="","",IFERROR(INDEX(Lists!$AK$5:$AK$10,MATCH($D64,Lists!$AJ$5:$AJ$10,0)),"نوع غير معرف"))</f>
        <v/>
      </c>
      <c r="T64" s="32">
        <f>IF($A64="","",IF(COUNTIF($A:$A,$A64)&gt;1,"كود حساب مكرر",IF($B64="","اسم الحساب ناقص",IF(AND($F64="نعم",$G64=""),"الطبيعة ناقصة",IF(AND($F64&lt;&gt;"نعم",OR($M64="",$N64="")),"الحساب الرئيسي يحتاج نطاقًا (من/إلى)",IF(AND($H64=1,$F64&lt;&gt;"نعم"),"حساب نقدية يجب أن يكون قابلًا للترحيل",IF(AND($F64="نعم",$D64=""),"النوع ناقص","")))))))</f>
        <v/>
      </c>
    </row>
    <row r="65">
      <c r="A65" s="39" t="n">
        <v>2901</v>
      </c>
      <c r="B65" s="29" t="inlineStr">
        <is>
          <t>حساب معلق (يجب تصفيره قبل الإقفال)</t>
        </is>
      </c>
      <c r="C65" s="29" t="inlineStr">
        <is>
          <t>Suspense Account</t>
        </is>
      </c>
      <c r="D65" s="39" t="inlineStr">
        <is>
          <t>L</t>
        </is>
      </c>
      <c r="E65" s="39" t="n">
        <v>3</v>
      </c>
      <c r="F65" s="39" t="inlineStr">
        <is>
          <t>نعم</t>
        </is>
      </c>
      <c r="G65" s="39" t="inlineStr">
        <is>
          <t>دائن</t>
        </is>
      </c>
      <c r="H65" s="39" t="n">
        <v>0</v>
      </c>
      <c r="I65" s="29" t="inlineStr">
        <is>
          <t>OPERATING</t>
        </is>
      </c>
      <c r="J65" s="39" t="inlineStr">
        <is>
          <t>لا</t>
        </is>
      </c>
      <c r="K65" s="39" t="inlineStr">
        <is>
          <t>لا</t>
        </is>
      </c>
      <c r="L65" s="39" t="inlineStr">
        <is>
          <t>نعم</t>
        </is>
      </c>
      <c r="M65" s="29" t="n"/>
      <c r="N65" s="29" t="n"/>
      <c r="O65" s="29" t="inlineStr"/>
      <c r="P65" s="32">
        <f>IF($A65="","",IF($F65="نعم",$A65,$M65))</f>
        <v/>
      </c>
      <c r="Q65" s="32">
        <f>IF($A65="","",IF($F65="نعم",$A65,$N65))</f>
        <v/>
      </c>
      <c r="R65" s="32">
        <f>IF($A65="","",IF(AND($F65="نعم",$L65&lt;&gt;"لا"),1,0))</f>
        <v/>
      </c>
      <c r="S65" s="32">
        <f>IF($D65="","",IFERROR(INDEX(Lists!$AK$5:$AK$10,MATCH($D65,Lists!$AJ$5:$AJ$10,0)),"نوع غير معرف"))</f>
        <v/>
      </c>
      <c r="T65" s="32">
        <f>IF($A65="","",IF(COUNTIF($A:$A,$A65)&gt;1,"كود حساب مكرر",IF($B65="","اسم الحساب ناقص",IF(AND($F65="نعم",$G65=""),"الطبيعة ناقصة",IF(AND($F65&lt;&gt;"نعم",OR($M65="",$N65="")),"الحساب الرئيسي يحتاج نطاقًا (من/إلى)",IF(AND($H65=1,$F65&lt;&gt;"نعم"),"حساب نقدية يجب أن يكون قابلًا للترحيل",IF(AND($F65="نعم",$D65=""),"النوع ناقص","")))))))</f>
        <v/>
      </c>
    </row>
    <row r="66">
      <c r="A66" s="39" t="n">
        <v>3000</v>
      </c>
      <c r="B66" s="29" t="inlineStr">
        <is>
          <t>حقوق الملكية</t>
        </is>
      </c>
      <c r="C66" s="29" t="inlineStr">
        <is>
          <t>Equity</t>
        </is>
      </c>
      <c r="D66" s="39" t="inlineStr">
        <is>
          <t>E</t>
        </is>
      </c>
      <c r="E66" s="39" t="n">
        <v>1</v>
      </c>
      <c r="F66" s="39" t="inlineStr">
        <is>
          <t>لا</t>
        </is>
      </c>
      <c r="G66" s="39" t="inlineStr">
        <is>
          <t>دائن</t>
        </is>
      </c>
      <c r="H66" s="39" t="n">
        <v>0</v>
      </c>
      <c r="I66" s="29" t="inlineStr">
        <is>
          <t>OPERATING</t>
        </is>
      </c>
      <c r="J66" s="39" t="inlineStr">
        <is>
          <t>لا</t>
        </is>
      </c>
      <c r="K66" s="39" t="inlineStr">
        <is>
          <t>لا</t>
        </is>
      </c>
      <c r="L66" s="39" t="inlineStr">
        <is>
          <t>نعم</t>
        </is>
      </c>
      <c r="M66" s="29" t="n">
        <v>3000</v>
      </c>
      <c r="N66" s="29" t="n">
        <v>3999</v>
      </c>
      <c r="O66" s="29" t="inlineStr"/>
      <c r="P66" s="32">
        <f>IF($A66="","",IF($F66="نعم",$A66,$M66))</f>
        <v/>
      </c>
      <c r="Q66" s="32">
        <f>IF($A66="","",IF($F66="نعم",$A66,$N66))</f>
        <v/>
      </c>
      <c r="R66" s="32">
        <f>IF($A66="","",IF(AND($F66="نعم",$L66&lt;&gt;"لا"),1,0))</f>
        <v/>
      </c>
      <c r="S66" s="32">
        <f>IF($D66="","",IFERROR(INDEX(Lists!$AK$5:$AK$10,MATCH($D66,Lists!$AJ$5:$AJ$10,0)),"نوع غير معرف"))</f>
        <v/>
      </c>
      <c r="T66" s="32">
        <f>IF($A66="","",IF(COUNTIF($A:$A,$A66)&gt;1,"كود حساب مكرر",IF($B66="","اسم الحساب ناقص",IF(AND($F66="نعم",$G66=""),"الطبيعة ناقصة",IF(AND($F66&lt;&gt;"نعم",OR($M66="",$N66="")),"الحساب الرئيسي يحتاج نطاقًا (من/إلى)",IF(AND($H66=1,$F66&lt;&gt;"نعم"),"حساب نقدية يجب أن يكون قابلًا للترحيل",IF(AND($F66="نعم",$D66=""),"النوع ناقص","")))))))</f>
        <v/>
      </c>
    </row>
    <row r="67">
      <c r="A67" s="39" t="n">
        <v>3100</v>
      </c>
      <c r="B67" s="29" t="inlineStr">
        <is>
          <t>رأس المال</t>
        </is>
      </c>
      <c r="C67" s="29" t="inlineStr">
        <is>
          <t>Capital</t>
        </is>
      </c>
      <c r="D67" s="39" t="inlineStr">
        <is>
          <t>E</t>
        </is>
      </c>
      <c r="E67" s="39" t="n">
        <v>2</v>
      </c>
      <c r="F67" s="39" t="inlineStr">
        <is>
          <t>لا</t>
        </is>
      </c>
      <c r="G67" s="39" t="inlineStr">
        <is>
          <t>دائن</t>
        </is>
      </c>
      <c r="H67" s="39" t="n">
        <v>0</v>
      </c>
      <c r="I67" s="29" t="inlineStr">
        <is>
          <t>OPERATING</t>
        </is>
      </c>
      <c r="J67" s="39" t="inlineStr">
        <is>
          <t>لا</t>
        </is>
      </c>
      <c r="K67" s="39" t="inlineStr">
        <is>
          <t>لا</t>
        </is>
      </c>
      <c r="L67" s="39" t="inlineStr">
        <is>
          <t>نعم</t>
        </is>
      </c>
      <c r="M67" s="29" t="n">
        <v>3100</v>
      </c>
      <c r="N67" s="29" t="n">
        <v>3199</v>
      </c>
      <c r="O67" s="29" t="inlineStr"/>
      <c r="P67" s="32">
        <f>IF($A67="","",IF($F67="نعم",$A67,$M67))</f>
        <v/>
      </c>
      <c r="Q67" s="32">
        <f>IF($A67="","",IF($F67="نعم",$A67,$N67))</f>
        <v/>
      </c>
      <c r="R67" s="32">
        <f>IF($A67="","",IF(AND($F67="نعم",$L67&lt;&gt;"لا"),1,0))</f>
        <v/>
      </c>
      <c r="S67" s="32">
        <f>IF($D67="","",IFERROR(INDEX(Lists!$AK$5:$AK$10,MATCH($D67,Lists!$AJ$5:$AJ$10,0)),"نوع غير معرف"))</f>
        <v/>
      </c>
      <c r="T67" s="32">
        <f>IF($A67="","",IF(COUNTIF($A:$A,$A67)&gt;1,"كود حساب مكرر",IF($B67="","اسم الحساب ناقص",IF(AND($F67="نعم",$G67=""),"الطبيعة ناقصة",IF(AND($F67&lt;&gt;"نعم",OR($M67="",$N67="")),"الحساب الرئيسي يحتاج نطاقًا (من/إلى)",IF(AND($H67=1,$F67&lt;&gt;"نعم"),"حساب نقدية يجب أن يكون قابلًا للترحيل",IF(AND($F67="نعم",$D67=""),"النوع ناقص","")))))))</f>
        <v/>
      </c>
    </row>
    <row r="68">
      <c r="A68" s="39" t="n">
        <v>3101</v>
      </c>
      <c r="B68" s="29" t="inlineStr">
        <is>
          <t>رأس المال</t>
        </is>
      </c>
      <c r="C68" s="29" t="inlineStr">
        <is>
          <t>Owner's Capital</t>
        </is>
      </c>
      <c r="D68" s="39" t="inlineStr">
        <is>
          <t>E</t>
        </is>
      </c>
      <c r="E68" s="39" t="n">
        <v>3</v>
      </c>
      <c r="F68" s="39" t="inlineStr">
        <is>
          <t>نعم</t>
        </is>
      </c>
      <c r="G68" s="39" t="inlineStr">
        <is>
          <t>دائن</t>
        </is>
      </c>
      <c r="H68" s="39" t="n">
        <v>0</v>
      </c>
      <c r="I68" s="29" t="inlineStr">
        <is>
          <t>FINANCING</t>
        </is>
      </c>
      <c r="J68" s="39" t="inlineStr">
        <is>
          <t>لا</t>
        </is>
      </c>
      <c r="K68" s="39" t="inlineStr">
        <is>
          <t>لا</t>
        </is>
      </c>
      <c r="L68" s="39" t="inlineStr">
        <is>
          <t>نعم</t>
        </is>
      </c>
      <c r="M68" s="29" t="n"/>
      <c r="N68" s="29" t="n"/>
      <c r="O68" s="29" t="inlineStr"/>
      <c r="P68" s="32">
        <f>IF($A68="","",IF($F68="نعم",$A68,$M68))</f>
        <v/>
      </c>
      <c r="Q68" s="32">
        <f>IF($A68="","",IF($F68="نعم",$A68,$N68))</f>
        <v/>
      </c>
      <c r="R68" s="32">
        <f>IF($A68="","",IF(AND($F68="نعم",$L68&lt;&gt;"لا"),1,0))</f>
        <v/>
      </c>
      <c r="S68" s="32">
        <f>IF($D68="","",IFERROR(INDEX(Lists!$AK$5:$AK$10,MATCH($D68,Lists!$AJ$5:$AJ$10,0)),"نوع غير معرف"))</f>
        <v/>
      </c>
      <c r="T68" s="32">
        <f>IF($A68="","",IF(COUNTIF($A:$A,$A68)&gt;1,"كود حساب مكرر",IF($B68="","اسم الحساب ناقص",IF(AND($F68="نعم",$G68=""),"الطبيعة ناقصة",IF(AND($F68&lt;&gt;"نعم",OR($M68="",$N68="")),"الحساب الرئيسي يحتاج نطاقًا (من/إلى)",IF(AND($H68=1,$F68&lt;&gt;"نعم"),"حساب نقدية يجب أن يكون قابلًا للترحيل",IF(AND($F68="نعم",$D68=""),"النوع ناقص","")))))))</f>
        <v/>
      </c>
    </row>
    <row r="69">
      <c r="A69" s="39" t="n">
        <v>3200</v>
      </c>
      <c r="B69" s="29" t="inlineStr">
        <is>
          <t>جاري المالك</t>
        </is>
      </c>
      <c r="C69" s="29" t="inlineStr">
        <is>
          <t>Owner Current Account</t>
        </is>
      </c>
      <c r="D69" s="39" t="inlineStr">
        <is>
          <t>E</t>
        </is>
      </c>
      <c r="E69" s="39" t="n">
        <v>2</v>
      </c>
      <c r="F69" s="39" t="inlineStr">
        <is>
          <t>لا</t>
        </is>
      </c>
      <c r="G69" s="39" t="inlineStr">
        <is>
          <t>دائن</t>
        </is>
      </c>
      <c r="H69" s="39" t="n">
        <v>0</v>
      </c>
      <c r="I69" s="29" t="inlineStr">
        <is>
          <t>OPERATING</t>
        </is>
      </c>
      <c r="J69" s="39" t="inlineStr">
        <is>
          <t>لا</t>
        </is>
      </c>
      <c r="K69" s="39" t="inlineStr">
        <is>
          <t>لا</t>
        </is>
      </c>
      <c r="L69" s="39" t="inlineStr">
        <is>
          <t>نعم</t>
        </is>
      </c>
      <c r="M69" s="29" t="n">
        <v>3200</v>
      </c>
      <c r="N69" s="29" t="n">
        <v>3299</v>
      </c>
      <c r="O69" s="29" t="inlineStr"/>
      <c r="P69" s="32">
        <f>IF($A69="","",IF($F69="نعم",$A69,$M69))</f>
        <v/>
      </c>
      <c r="Q69" s="32">
        <f>IF($A69="","",IF($F69="نعم",$A69,$N69))</f>
        <v/>
      </c>
      <c r="R69" s="32">
        <f>IF($A69="","",IF(AND($F69="نعم",$L69&lt;&gt;"لا"),1,0))</f>
        <v/>
      </c>
      <c r="S69" s="32">
        <f>IF($D69="","",IFERROR(INDEX(Lists!$AK$5:$AK$10,MATCH($D69,Lists!$AJ$5:$AJ$10,0)),"نوع غير معرف"))</f>
        <v/>
      </c>
      <c r="T69" s="32">
        <f>IF($A69="","",IF(COUNTIF($A:$A,$A69)&gt;1,"كود حساب مكرر",IF($B69="","اسم الحساب ناقص",IF(AND($F69="نعم",$G69=""),"الطبيعة ناقصة",IF(AND($F69&lt;&gt;"نعم",OR($M69="",$N69="")),"الحساب الرئيسي يحتاج نطاقًا (من/إلى)",IF(AND($H69=1,$F69&lt;&gt;"نعم"),"حساب نقدية يجب أن يكون قابلًا للترحيل",IF(AND($F69="نعم",$D69=""),"النوع ناقص","")))))))</f>
        <v/>
      </c>
    </row>
    <row r="70">
      <c r="A70" s="39" t="n">
        <v>3201</v>
      </c>
      <c r="B70" s="29" t="inlineStr">
        <is>
          <t>جاري المالك</t>
        </is>
      </c>
      <c r="C70" s="29" t="inlineStr">
        <is>
          <t>Owner Current Account</t>
        </is>
      </c>
      <c r="D70" s="39" t="inlineStr">
        <is>
          <t>E</t>
        </is>
      </c>
      <c r="E70" s="39" t="n">
        <v>3</v>
      </c>
      <c r="F70" s="39" t="inlineStr">
        <is>
          <t>نعم</t>
        </is>
      </c>
      <c r="G70" s="39" t="inlineStr">
        <is>
          <t>دائن</t>
        </is>
      </c>
      <c r="H70" s="39" t="n">
        <v>0</v>
      </c>
      <c r="I70" s="29" t="inlineStr">
        <is>
          <t>FINANCING</t>
        </is>
      </c>
      <c r="J70" s="39" t="inlineStr">
        <is>
          <t>لا</t>
        </is>
      </c>
      <c r="K70" s="39" t="inlineStr">
        <is>
          <t>لا</t>
        </is>
      </c>
      <c r="L70" s="39" t="inlineStr">
        <is>
          <t>نعم</t>
        </is>
      </c>
      <c r="M70" s="29" t="n"/>
      <c r="N70" s="29" t="n"/>
      <c r="O70" s="29" t="inlineStr"/>
      <c r="P70" s="32">
        <f>IF($A70="","",IF($F70="نعم",$A70,$M70))</f>
        <v/>
      </c>
      <c r="Q70" s="32">
        <f>IF($A70="","",IF($F70="نعم",$A70,$N70))</f>
        <v/>
      </c>
      <c r="R70" s="32">
        <f>IF($A70="","",IF(AND($F70="نعم",$L70&lt;&gt;"لا"),1,0))</f>
        <v/>
      </c>
      <c r="S70" s="32">
        <f>IF($D70="","",IFERROR(INDEX(Lists!$AK$5:$AK$10,MATCH($D70,Lists!$AJ$5:$AJ$10,0)),"نوع غير معرف"))</f>
        <v/>
      </c>
      <c r="T70" s="32">
        <f>IF($A70="","",IF(COUNTIF($A:$A,$A70)&gt;1,"كود حساب مكرر",IF($B70="","اسم الحساب ناقص",IF(AND($F70="نعم",$G70=""),"الطبيعة ناقصة",IF(AND($F70&lt;&gt;"نعم",OR($M70="",$N70="")),"الحساب الرئيسي يحتاج نطاقًا (من/إلى)",IF(AND($H70=1,$F70&lt;&gt;"نعم"),"حساب نقدية يجب أن يكون قابلًا للترحيل",IF(AND($F70="نعم",$D70=""),"النوع ناقص","")))))))</f>
        <v/>
      </c>
    </row>
    <row r="71">
      <c r="A71" s="39" t="n">
        <v>3300</v>
      </c>
      <c r="B71" s="29" t="inlineStr">
        <is>
          <t>الأرباح المحتجزة</t>
        </is>
      </c>
      <c r="C71" s="29" t="inlineStr">
        <is>
          <t>Retained Earnings</t>
        </is>
      </c>
      <c r="D71" s="39" t="inlineStr">
        <is>
          <t>E</t>
        </is>
      </c>
      <c r="E71" s="39" t="n">
        <v>2</v>
      </c>
      <c r="F71" s="39" t="inlineStr">
        <is>
          <t>لا</t>
        </is>
      </c>
      <c r="G71" s="39" t="inlineStr">
        <is>
          <t>دائن</t>
        </is>
      </c>
      <c r="H71" s="39" t="n">
        <v>0</v>
      </c>
      <c r="I71" s="29" t="inlineStr">
        <is>
          <t>OPERATING</t>
        </is>
      </c>
      <c r="J71" s="39" t="inlineStr">
        <is>
          <t>لا</t>
        </is>
      </c>
      <c r="K71" s="39" t="inlineStr">
        <is>
          <t>لا</t>
        </is>
      </c>
      <c r="L71" s="39" t="inlineStr">
        <is>
          <t>نعم</t>
        </is>
      </c>
      <c r="M71" s="29" t="n">
        <v>3300</v>
      </c>
      <c r="N71" s="29" t="n">
        <v>3399</v>
      </c>
      <c r="O71" s="29" t="inlineStr"/>
      <c r="P71" s="32">
        <f>IF($A71="","",IF($F71="نعم",$A71,$M71))</f>
        <v/>
      </c>
      <c r="Q71" s="32">
        <f>IF($A71="","",IF($F71="نعم",$A71,$N71))</f>
        <v/>
      </c>
      <c r="R71" s="32">
        <f>IF($A71="","",IF(AND($F71="نعم",$L71&lt;&gt;"لا"),1,0))</f>
        <v/>
      </c>
      <c r="S71" s="32">
        <f>IF($D71="","",IFERROR(INDEX(Lists!$AK$5:$AK$10,MATCH($D71,Lists!$AJ$5:$AJ$10,0)),"نوع غير معرف"))</f>
        <v/>
      </c>
      <c r="T71" s="32">
        <f>IF($A71="","",IF(COUNTIF($A:$A,$A71)&gt;1,"كود حساب مكرر",IF($B71="","اسم الحساب ناقص",IF(AND($F71="نعم",$G71=""),"الطبيعة ناقصة",IF(AND($F71&lt;&gt;"نعم",OR($M71="",$N71="")),"الحساب الرئيسي يحتاج نطاقًا (من/إلى)",IF(AND($H71=1,$F71&lt;&gt;"نعم"),"حساب نقدية يجب أن يكون قابلًا للترحيل",IF(AND($F71="نعم",$D71=""),"النوع ناقص","")))))))</f>
        <v/>
      </c>
    </row>
    <row r="72">
      <c r="A72" s="39" t="n">
        <v>3301</v>
      </c>
      <c r="B72" s="29" t="inlineStr">
        <is>
          <t>أرباح محتجزة (مرحّلة)</t>
        </is>
      </c>
      <c r="C72" s="29" t="inlineStr">
        <is>
          <t>Retained Earnings</t>
        </is>
      </c>
      <c r="D72" s="39" t="inlineStr">
        <is>
          <t>E</t>
        </is>
      </c>
      <c r="E72" s="39" t="n">
        <v>3</v>
      </c>
      <c r="F72" s="39" t="inlineStr">
        <is>
          <t>نعم</t>
        </is>
      </c>
      <c r="G72" s="39" t="inlineStr">
        <is>
          <t>دائن</t>
        </is>
      </c>
      <c r="H72" s="39" t="n">
        <v>0</v>
      </c>
      <c r="I72" s="29" t="inlineStr">
        <is>
          <t>OPERATING</t>
        </is>
      </c>
      <c r="J72" s="39" t="inlineStr">
        <is>
          <t>لا</t>
        </is>
      </c>
      <c r="K72" s="39" t="inlineStr">
        <is>
          <t>لا</t>
        </is>
      </c>
      <c r="L72" s="39" t="inlineStr">
        <is>
          <t>نعم</t>
        </is>
      </c>
      <c r="M72" s="29" t="n"/>
      <c r="N72" s="29" t="n"/>
      <c r="O72" s="29" t="inlineStr"/>
      <c r="P72" s="32">
        <f>IF($A72="","",IF($F72="نعم",$A72,$M72))</f>
        <v/>
      </c>
      <c r="Q72" s="32">
        <f>IF($A72="","",IF($F72="نعم",$A72,$N72))</f>
        <v/>
      </c>
      <c r="R72" s="32">
        <f>IF($A72="","",IF(AND($F72="نعم",$L72&lt;&gt;"لا"),1,0))</f>
        <v/>
      </c>
      <c r="S72" s="32">
        <f>IF($D72="","",IFERROR(INDEX(Lists!$AK$5:$AK$10,MATCH($D72,Lists!$AJ$5:$AJ$10,0)),"نوع غير معرف"))</f>
        <v/>
      </c>
      <c r="T72" s="32">
        <f>IF($A72="","",IF(COUNTIF($A:$A,$A72)&gt;1,"كود حساب مكرر",IF($B72="","اسم الحساب ناقص",IF(AND($F72="نعم",$G72=""),"الطبيعة ناقصة",IF(AND($F72&lt;&gt;"نعم",OR($M72="",$N72="")),"الحساب الرئيسي يحتاج نطاقًا (من/إلى)",IF(AND($H72=1,$F72&lt;&gt;"نعم"),"حساب نقدية يجب أن يكون قابلًا للترحيل",IF(AND($F72="نعم",$D72=""),"النوع ناقص","")))))))</f>
        <v/>
      </c>
    </row>
    <row r="73">
      <c r="A73" s="39" t="n">
        <v>3400</v>
      </c>
      <c r="B73" s="29" t="inlineStr">
        <is>
          <t>المسحوبات والتوزيعات</t>
        </is>
      </c>
      <c r="C73" s="29" t="inlineStr">
        <is>
          <t>Drawings &amp; Distributions</t>
        </is>
      </c>
      <c r="D73" s="39" t="inlineStr">
        <is>
          <t>E</t>
        </is>
      </c>
      <c r="E73" s="39" t="n">
        <v>2</v>
      </c>
      <c r="F73" s="39" t="inlineStr">
        <is>
          <t>لا</t>
        </is>
      </c>
      <c r="G73" s="39" t="inlineStr">
        <is>
          <t>مدين</t>
        </is>
      </c>
      <c r="H73" s="39" t="n">
        <v>0</v>
      </c>
      <c r="I73" s="29" t="inlineStr">
        <is>
          <t>OPERATING</t>
        </is>
      </c>
      <c r="J73" s="39" t="inlineStr">
        <is>
          <t>لا</t>
        </is>
      </c>
      <c r="K73" s="39" t="inlineStr">
        <is>
          <t>لا</t>
        </is>
      </c>
      <c r="L73" s="39" t="inlineStr">
        <is>
          <t>نعم</t>
        </is>
      </c>
      <c r="M73" s="29" t="n">
        <v>3400</v>
      </c>
      <c r="N73" s="29" t="n">
        <v>3499</v>
      </c>
      <c r="O73" s="29" t="inlineStr"/>
      <c r="P73" s="32">
        <f>IF($A73="","",IF($F73="نعم",$A73,$M73))</f>
        <v/>
      </c>
      <c r="Q73" s="32">
        <f>IF($A73="","",IF($F73="نعم",$A73,$N73))</f>
        <v/>
      </c>
      <c r="R73" s="32">
        <f>IF($A73="","",IF(AND($F73="نعم",$L73&lt;&gt;"لا"),1,0))</f>
        <v/>
      </c>
      <c r="S73" s="32">
        <f>IF($D73="","",IFERROR(INDEX(Lists!$AK$5:$AK$10,MATCH($D73,Lists!$AJ$5:$AJ$10,0)),"نوع غير معرف"))</f>
        <v/>
      </c>
      <c r="T73" s="32">
        <f>IF($A73="","",IF(COUNTIF($A:$A,$A73)&gt;1,"كود حساب مكرر",IF($B73="","اسم الحساب ناقص",IF(AND($F73="نعم",$G73=""),"الطبيعة ناقصة",IF(AND($F73&lt;&gt;"نعم",OR($M73="",$N73="")),"الحساب الرئيسي يحتاج نطاقًا (من/إلى)",IF(AND($H73=1,$F73&lt;&gt;"نعم"),"حساب نقدية يجب أن يكون قابلًا للترحيل",IF(AND($F73="نعم",$D73=""),"النوع ناقص","")))))))</f>
        <v/>
      </c>
    </row>
    <row r="74">
      <c r="A74" s="39" t="n">
        <v>3401</v>
      </c>
      <c r="B74" s="29" t="inlineStr">
        <is>
          <t>مسحوبات المالك</t>
        </is>
      </c>
      <c r="C74" s="29" t="inlineStr">
        <is>
          <t>Owner Drawings</t>
        </is>
      </c>
      <c r="D74" s="39" t="inlineStr">
        <is>
          <t>E</t>
        </is>
      </c>
      <c r="E74" s="39" t="n">
        <v>3</v>
      </c>
      <c r="F74" s="39" t="inlineStr">
        <is>
          <t>نعم</t>
        </is>
      </c>
      <c r="G74" s="39" t="inlineStr">
        <is>
          <t>مدين</t>
        </is>
      </c>
      <c r="H74" s="39" t="n">
        <v>0</v>
      </c>
      <c r="I74" s="29" t="inlineStr">
        <is>
          <t>FINANCING</t>
        </is>
      </c>
      <c r="J74" s="39" t="inlineStr">
        <is>
          <t>لا</t>
        </is>
      </c>
      <c r="K74" s="39" t="inlineStr">
        <is>
          <t>لا</t>
        </is>
      </c>
      <c r="L74" s="39" t="inlineStr">
        <is>
          <t>نعم</t>
        </is>
      </c>
      <c r="M74" s="29" t="n"/>
      <c r="N74" s="29" t="n"/>
      <c r="O74" s="29" t="inlineStr"/>
      <c r="P74" s="32">
        <f>IF($A74="","",IF($F74="نعم",$A74,$M74))</f>
        <v/>
      </c>
      <c r="Q74" s="32">
        <f>IF($A74="","",IF($F74="نعم",$A74,$N74))</f>
        <v/>
      </c>
      <c r="R74" s="32">
        <f>IF($A74="","",IF(AND($F74="نعم",$L74&lt;&gt;"لا"),1,0))</f>
        <v/>
      </c>
      <c r="S74" s="32">
        <f>IF($D74="","",IFERROR(INDEX(Lists!$AK$5:$AK$10,MATCH($D74,Lists!$AJ$5:$AJ$10,0)),"نوع غير معرف"))</f>
        <v/>
      </c>
      <c r="T74" s="32">
        <f>IF($A74="","",IF(COUNTIF($A:$A,$A74)&gt;1,"كود حساب مكرر",IF($B74="","اسم الحساب ناقص",IF(AND($F74="نعم",$G74=""),"الطبيعة ناقصة",IF(AND($F74&lt;&gt;"نعم",OR($M74="",$N74="")),"الحساب الرئيسي يحتاج نطاقًا (من/إلى)",IF(AND($H74=1,$F74&lt;&gt;"نعم"),"حساب نقدية يجب أن يكون قابلًا للترحيل",IF(AND($F74="نعم",$D74=""),"النوع ناقص","")))))))</f>
        <v/>
      </c>
    </row>
    <row r="75">
      <c r="A75" s="39" t="n">
        <v>3402</v>
      </c>
      <c r="B75" s="29" t="inlineStr">
        <is>
          <t>توزيعات أرباح</t>
        </is>
      </c>
      <c r="C75" s="29" t="inlineStr">
        <is>
          <t>Dividends</t>
        </is>
      </c>
      <c r="D75" s="39" t="inlineStr">
        <is>
          <t>E</t>
        </is>
      </c>
      <c r="E75" s="39" t="n">
        <v>3</v>
      </c>
      <c r="F75" s="39" t="inlineStr">
        <is>
          <t>نعم</t>
        </is>
      </c>
      <c r="G75" s="39" t="inlineStr">
        <is>
          <t>مدين</t>
        </is>
      </c>
      <c r="H75" s="39" t="n">
        <v>0</v>
      </c>
      <c r="I75" s="29" t="inlineStr">
        <is>
          <t>FINANCING</t>
        </is>
      </c>
      <c r="J75" s="39" t="inlineStr">
        <is>
          <t>لا</t>
        </is>
      </c>
      <c r="K75" s="39" t="inlineStr">
        <is>
          <t>لا</t>
        </is>
      </c>
      <c r="L75" s="39" t="inlineStr">
        <is>
          <t>نعم</t>
        </is>
      </c>
      <c r="M75" s="29" t="n"/>
      <c r="N75" s="29" t="n"/>
      <c r="O75" s="29" t="inlineStr"/>
      <c r="P75" s="32">
        <f>IF($A75="","",IF($F75="نعم",$A75,$M75))</f>
        <v/>
      </c>
      <c r="Q75" s="32">
        <f>IF($A75="","",IF($F75="نعم",$A75,$N75))</f>
        <v/>
      </c>
      <c r="R75" s="32">
        <f>IF($A75="","",IF(AND($F75="نعم",$L75&lt;&gt;"لا"),1,0))</f>
        <v/>
      </c>
      <c r="S75" s="32">
        <f>IF($D75="","",IFERROR(INDEX(Lists!$AK$5:$AK$10,MATCH($D75,Lists!$AJ$5:$AJ$10,0)),"نوع غير معرف"))</f>
        <v/>
      </c>
      <c r="T75" s="32">
        <f>IF($A75="","",IF(COUNTIF($A:$A,$A75)&gt;1,"كود حساب مكرر",IF($B75="","اسم الحساب ناقص",IF(AND($F75="نعم",$G75=""),"الطبيعة ناقصة",IF(AND($F75&lt;&gt;"نعم",OR($M75="",$N75="")),"الحساب الرئيسي يحتاج نطاقًا (من/إلى)",IF(AND($H75=1,$F75&lt;&gt;"نعم"),"حساب نقدية يجب أن يكون قابلًا للترحيل",IF(AND($F75="نعم",$D75=""),"النوع ناقص","")))))))</f>
        <v/>
      </c>
    </row>
    <row r="76">
      <c r="A76" s="39" t="n">
        <v>3500</v>
      </c>
      <c r="B76" s="29" t="inlineStr">
        <is>
          <t>ملخص الدخل (حساب الإقفال)</t>
        </is>
      </c>
      <c r="C76" s="29" t="inlineStr">
        <is>
          <t>Income Summary</t>
        </is>
      </c>
      <c r="D76" s="39" t="inlineStr">
        <is>
          <t>E</t>
        </is>
      </c>
      <c r="E76" s="39" t="n">
        <v>2</v>
      </c>
      <c r="F76" s="39" t="inlineStr">
        <is>
          <t>لا</t>
        </is>
      </c>
      <c r="G76" s="39" t="inlineStr">
        <is>
          <t>دائن</t>
        </is>
      </c>
      <c r="H76" s="39" t="n">
        <v>0</v>
      </c>
      <c r="I76" s="29" t="inlineStr">
        <is>
          <t>OPERATING</t>
        </is>
      </c>
      <c r="J76" s="39" t="inlineStr">
        <is>
          <t>لا</t>
        </is>
      </c>
      <c r="K76" s="39" t="inlineStr">
        <is>
          <t>لا</t>
        </is>
      </c>
      <c r="L76" s="39" t="inlineStr">
        <is>
          <t>نعم</t>
        </is>
      </c>
      <c r="M76" s="29" t="n">
        <v>3500</v>
      </c>
      <c r="N76" s="29" t="n">
        <v>3599</v>
      </c>
      <c r="O76" s="29" t="inlineStr"/>
      <c r="P76" s="32">
        <f>IF($A76="","",IF($F76="نعم",$A76,$M76))</f>
        <v/>
      </c>
      <c r="Q76" s="32">
        <f>IF($A76="","",IF($F76="نعم",$A76,$N76))</f>
        <v/>
      </c>
      <c r="R76" s="32">
        <f>IF($A76="","",IF(AND($F76="نعم",$L76&lt;&gt;"لا"),1,0))</f>
        <v/>
      </c>
      <c r="S76" s="32">
        <f>IF($D76="","",IFERROR(INDEX(Lists!$AK$5:$AK$10,MATCH($D76,Lists!$AJ$5:$AJ$10,0)),"نوع غير معرف"))</f>
        <v/>
      </c>
      <c r="T76" s="32">
        <f>IF($A76="","",IF(COUNTIF($A:$A,$A76)&gt;1,"كود حساب مكرر",IF($B76="","اسم الحساب ناقص",IF(AND($F76="نعم",$G76=""),"الطبيعة ناقصة",IF(AND($F76&lt;&gt;"نعم",OR($M76="",$N76="")),"الحساب الرئيسي يحتاج نطاقًا (من/إلى)",IF(AND($H76=1,$F76&lt;&gt;"نعم"),"حساب نقدية يجب أن يكون قابلًا للترحيل",IF(AND($F76="نعم",$D76=""),"النوع ناقص","")))))))</f>
        <v/>
      </c>
    </row>
    <row r="77">
      <c r="A77" s="39" t="n">
        <v>3501</v>
      </c>
      <c r="B77" s="29" t="inlineStr">
        <is>
          <t>ملخص الدخل</t>
        </is>
      </c>
      <c r="C77" s="29" t="inlineStr">
        <is>
          <t>Income Summary</t>
        </is>
      </c>
      <c r="D77" s="39" t="inlineStr">
        <is>
          <t>E</t>
        </is>
      </c>
      <c r="E77" s="39" t="n">
        <v>3</v>
      </c>
      <c r="F77" s="39" t="inlineStr">
        <is>
          <t>نعم</t>
        </is>
      </c>
      <c r="G77" s="39" t="inlineStr">
        <is>
          <t>دائن</t>
        </is>
      </c>
      <c r="H77" s="39" t="n">
        <v>0</v>
      </c>
      <c r="I77" s="29" t="inlineStr">
        <is>
          <t>OPERATING</t>
        </is>
      </c>
      <c r="J77" s="39" t="inlineStr">
        <is>
          <t>لا</t>
        </is>
      </c>
      <c r="K77" s="39" t="inlineStr">
        <is>
          <t>لا</t>
        </is>
      </c>
      <c r="L77" s="39" t="inlineStr">
        <is>
          <t>نعم</t>
        </is>
      </c>
      <c r="M77" s="29" t="n"/>
      <c r="N77" s="29" t="n"/>
      <c r="O77" s="29" t="inlineStr">
        <is>
          <t>يُستخدم فقط في قيد إقفال نهاية السنة</t>
        </is>
      </c>
      <c r="P77" s="32">
        <f>IF($A77="","",IF($F77="نعم",$A77,$M77))</f>
        <v/>
      </c>
      <c r="Q77" s="32">
        <f>IF($A77="","",IF($F77="نعم",$A77,$N77))</f>
        <v/>
      </c>
      <c r="R77" s="32">
        <f>IF($A77="","",IF(AND($F77="نعم",$L77&lt;&gt;"لا"),1,0))</f>
        <v/>
      </c>
      <c r="S77" s="32">
        <f>IF($D77="","",IFERROR(INDEX(Lists!$AK$5:$AK$10,MATCH($D77,Lists!$AJ$5:$AJ$10,0)),"نوع غير معرف"))</f>
        <v/>
      </c>
      <c r="T77" s="32">
        <f>IF($A77="","",IF(COUNTIF($A:$A,$A77)&gt;1,"كود حساب مكرر",IF($B77="","اسم الحساب ناقص",IF(AND($F77="نعم",$G77=""),"الطبيعة ناقصة",IF(AND($F77&lt;&gt;"نعم",OR($M77="",$N77="")),"الحساب الرئيسي يحتاج نطاقًا (من/إلى)",IF(AND($H77=1,$F77&lt;&gt;"نعم"),"حساب نقدية يجب أن يكون قابلًا للترحيل",IF(AND($F77="نعم",$D77=""),"النوع ناقص","")))))))</f>
        <v/>
      </c>
    </row>
    <row r="78">
      <c r="A78" s="39" t="n">
        <v>4000</v>
      </c>
      <c r="B78" s="29" t="inlineStr">
        <is>
          <t>الإيرادات</t>
        </is>
      </c>
      <c r="C78" s="29" t="inlineStr">
        <is>
          <t>Revenue</t>
        </is>
      </c>
      <c r="D78" s="39" t="inlineStr">
        <is>
          <t>R</t>
        </is>
      </c>
      <c r="E78" s="39" t="n">
        <v>1</v>
      </c>
      <c r="F78" s="39" t="inlineStr">
        <is>
          <t>لا</t>
        </is>
      </c>
      <c r="G78" s="39" t="inlineStr">
        <is>
          <t>دائن</t>
        </is>
      </c>
      <c r="H78" s="39" t="n">
        <v>0</v>
      </c>
      <c r="I78" s="29" t="inlineStr">
        <is>
          <t>OPERATING</t>
        </is>
      </c>
      <c r="J78" s="39" t="inlineStr">
        <is>
          <t>لا</t>
        </is>
      </c>
      <c r="K78" s="39" t="inlineStr">
        <is>
          <t>لا</t>
        </is>
      </c>
      <c r="L78" s="39" t="inlineStr">
        <is>
          <t>نعم</t>
        </is>
      </c>
      <c r="M78" s="29" t="n">
        <v>4000</v>
      </c>
      <c r="N78" s="29" t="n">
        <v>4999</v>
      </c>
      <c r="O78" s="29" t="inlineStr"/>
      <c r="P78" s="32">
        <f>IF($A78="","",IF($F78="نعم",$A78,$M78))</f>
        <v/>
      </c>
      <c r="Q78" s="32">
        <f>IF($A78="","",IF($F78="نعم",$A78,$N78))</f>
        <v/>
      </c>
      <c r="R78" s="32">
        <f>IF($A78="","",IF(AND($F78="نعم",$L78&lt;&gt;"لا"),1,0))</f>
        <v/>
      </c>
      <c r="S78" s="32">
        <f>IF($D78="","",IFERROR(INDEX(Lists!$AK$5:$AK$10,MATCH($D78,Lists!$AJ$5:$AJ$10,0)),"نوع غير معرف"))</f>
        <v/>
      </c>
      <c r="T78" s="32">
        <f>IF($A78="","",IF(COUNTIF($A:$A,$A78)&gt;1,"كود حساب مكرر",IF($B78="","اسم الحساب ناقص",IF(AND($F78="نعم",$G78=""),"الطبيعة ناقصة",IF(AND($F78&lt;&gt;"نعم",OR($M78="",$N78="")),"الحساب الرئيسي يحتاج نطاقًا (من/إلى)",IF(AND($H78=1,$F78&lt;&gt;"نعم"),"حساب نقدية يجب أن يكون قابلًا للترحيل",IF(AND($F78="نعم",$D78=""),"النوع ناقص","")))))))</f>
        <v/>
      </c>
    </row>
    <row r="79">
      <c r="A79" s="39" t="n">
        <v>4100</v>
      </c>
      <c r="B79" s="29" t="inlineStr">
        <is>
          <t>المبيعات</t>
        </is>
      </c>
      <c r="C79" s="29" t="inlineStr">
        <is>
          <t>Sales</t>
        </is>
      </c>
      <c r="D79" s="39" t="inlineStr">
        <is>
          <t>R</t>
        </is>
      </c>
      <c r="E79" s="39" t="n">
        <v>2</v>
      </c>
      <c r="F79" s="39" t="inlineStr">
        <is>
          <t>لا</t>
        </is>
      </c>
      <c r="G79" s="39" t="inlineStr">
        <is>
          <t>دائن</t>
        </is>
      </c>
      <c r="H79" s="39" t="n">
        <v>0</v>
      </c>
      <c r="I79" s="29" t="inlineStr">
        <is>
          <t>OPERATING</t>
        </is>
      </c>
      <c r="J79" s="39" t="inlineStr">
        <is>
          <t>لا</t>
        </is>
      </c>
      <c r="K79" s="39" t="inlineStr">
        <is>
          <t>لا</t>
        </is>
      </c>
      <c r="L79" s="39" t="inlineStr">
        <is>
          <t>نعم</t>
        </is>
      </c>
      <c r="M79" s="29" t="n">
        <v>4100</v>
      </c>
      <c r="N79" s="29" t="n">
        <v>4199</v>
      </c>
      <c r="O79" s="29" t="inlineStr"/>
      <c r="P79" s="32">
        <f>IF($A79="","",IF($F79="نعم",$A79,$M79))</f>
        <v/>
      </c>
      <c r="Q79" s="32">
        <f>IF($A79="","",IF($F79="نعم",$A79,$N79))</f>
        <v/>
      </c>
      <c r="R79" s="32">
        <f>IF($A79="","",IF(AND($F79="نعم",$L79&lt;&gt;"لا"),1,0))</f>
        <v/>
      </c>
      <c r="S79" s="32">
        <f>IF($D79="","",IFERROR(INDEX(Lists!$AK$5:$AK$10,MATCH($D79,Lists!$AJ$5:$AJ$10,0)),"نوع غير معرف"))</f>
        <v/>
      </c>
      <c r="T79" s="32">
        <f>IF($A79="","",IF(COUNTIF($A:$A,$A79)&gt;1,"كود حساب مكرر",IF($B79="","اسم الحساب ناقص",IF(AND($F79="نعم",$G79=""),"الطبيعة ناقصة",IF(AND($F79&lt;&gt;"نعم",OR($M79="",$N79="")),"الحساب الرئيسي يحتاج نطاقًا (من/إلى)",IF(AND($H79=1,$F79&lt;&gt;"نعم"),"حساب نقدية يجب أن يكون قابلًا للترحيل",IF(AND($F79="نعم",$D79=""),"النوع ناقص","")))))))</f>
        <v/>
      </c>
    </row>
    <row r="80">
      <c r="A80" s="39" t="n">
        <v>4101</v>
      </c>
      <c r="B80" s="29" t="inlineStr">
        <is>
          <t>مبيعات الفطير</t>
        </is>
      </c>
      <c r="C80" s="29" t="inlineStr">
        <is>
          <t>Sales - Fateer</t>
        </is>
      </c>
      <c r="D80" s="39" t="inlineStr">
        <is>
          <t>R</t>
        </is>
      </c>
      <c r="E80" s="39" t="n">
        <v>3</v>
      </c>
      <c r="F80" s="39" t="inlineStr">
        <is>
          <t>نعم</t>
        </is>
      </c>
      <c r="G80" s="39" t="inlineStr">
        <is>
          <t>دائن</t>
        </is>
      </c>
      <c r="H80" s="39" t="n">
        <v>0</v>
      </c>
      <c r="I80" s="29" t="inlineStr">
        <is>
          <t>OPERATING</t>
        </is>
      </c>
      <c r="J80" s="39" t="inlineStr">
        <is>
          <t>لا</t>
        </is>
      </c>
      <c r="K80" s="39" t="inlineStr">
        <is>
          <t>لا</t>
        </is>
      </c>
      <c r="L80" s="39" t="inlineStr">
        <is>
          <t>نعم</t>
        </is>
      </c>
      <c r="M80" s="29" t="n"/>
      <c r="N80" s="29" t="n"/>
      <c r="O80" s="29" t="inlineStr"/>
      <c r="P80" s="32">
        <f>IF($A80="","",IF($F80="نعم",$A80,$M80))</f>
        <v/>
      </c>
      <c r="Q80" s="32">
        <f>IF($A80="","",IF($F80="نعم",$A80,$N80))</f>
        <v/>
      </c>
      <c r="R80" s="32">
        <f>IF($A80="","",IF(AND($F80="نعم",$L80&lt;&gt;"لا"),1,0))</f>
        <v/>
      </c>
      <c r="S80" s="32">
        <f>IF($D80="","",IFERROR(INDEX(Lists!$AK$5:$AK$10,MATCH($D80,Lists!$AJ$5:$AJ$10,0)),"نوع غير معرف"))</f>
        <v/>
      </c>
      <c r="T80" s="32">
        <f>IF($A80="","",IF(COUNTIF($A:$A,$A80)&gt;1,"كود حساب مكرر",IF($B80="","اسم الحساب ناقص",IF(AND($F80="نعم",$G80=""),"الطبيعة ناقصة",IF(AND($F80&lt;&gt;"نعم",OR($M80="",$N80="")),"الحساب الرئيسي يحتاج نطاقًا (من/إلى)",IF(AND($H80=1,$F80&lt;&gt;"نعم"),"حساب نقدية يجب أن يكون قابلًا للترحيل",IF(AND($F80="نعم",$D80=""),"النوع ناقص","")))))))</f>
        <v/>
      </c>
    </row>
    <row r="81">
      <c r="A81" s="39" t="n">
        <v>4102</v>
      </c>
      <c r="B81" s="29" t="inlineStr">
        <is>
          <t>مبيعات البيتزا</t>
        </is>
      </c>
      <c r="C81" s="29" t="inlineStr">
        <is>
          <t>Sales - Pizza</t>
        </is>
      </c>
      <c r="D81" s="39" t="inlineStr">
        <is>
          <t>R</t>
        </is>
      </c>
      <c r="E81" s="39" t="n">
        <v>3</v>
      </c>
      <c r="F81" s="39" t="inlineStr">
        <is>
          <t>نعم</t>
        </is>
      </c>
      <c r="G81" s="39" t="inlineStr">
        <is>
          <t>دائن</t>
        </is>
      </c>
      <c r="H81" s="39" t="n">
        <v>0</v>
      </c>
      <c r="I81" s="29" t="inlineStr">
        <is>
          <t>OPERATING</t>
        </is>
      </c>
      <c r="J81" s="39" t="inlineStr">
        <is>
          <t>لا</t>
        </is>
      </c>
      <c r="K81" s="39" t="inlineStr">
        <is>
          <t>لا</t>
        </is>
      </c>
      <c r="L81" s="39" t="inlineStr">
        <is>
          <t>نعم</t>
        </is>
      </c>
      <c r="M81" s="29" t="n"/>
      <c r="N81" s="29" t="n"/>
      <c r="O81" s="29" t="inlineStr"/>
      <c r="P81" s="32">
        <f>IF($A81="","",IF($F81="نعم",$A81,$M81))</f>
        <v/>
      </c>
      <c r="Q81" s="32">
        <f>IF($A81="","",IF($F81="نعم",$A81,$N81))</f>
        <v/>
      </c>
      <c r="R81" s="32">
        <f>IF($A81="","",IF(AND($F81="نعم",$L81&lt;&gt;"لا"),1,0))</f>
        <v/>
      </c>
      <c r="S81" s="32">
        <f>IF($D81="","",IFERROR(INDEX(Lists!$AK$5:$AK$10,MATCH($D81,Lists!$AJ$5:$AJ$10,0)),"نوع غير معرف"))</f>
        <v/>
      </c>
      <c r="T81" s="32">
        <f>IF($A81="","",IF(COUNTIF($A:$A,$A81)&gt;1,"كود حساب مكرر",IF($B81="","اسم الحساب ناقص",IF(AND($F81="نعم",$G81=""),"الطبيعة ناقصة",IF(AND($F81&lt;&gt;"نعم",OR($M81="",$N81="")),"الحساب الرئيسي يحتاج نطاقًا (من/إلى)",IF(AND($H81=1,$F81&lt;&gt;"نعم"),"حساب نقدية يجب أن يكون قابلًا للترحيل",IF(AND($F81="نعم",$D81=""),"النوع ناقص","")))))))</f>
        <v/>
      </c>
    </row>
    <row r="82">
      <c r="A82" s="39" t="n">
        <v>4103</v>
      </c>
      <c r="B82" s="29" t="inlineStr">
        <is>
          <t>مبيعات المكرونات</t>
        </is>
      </c>
      <c r="C82" s="29" t="inlineStr">
        <is>
          <t>Sales - Pasta</t>
        </is>
      </c>
      <c r="D82" s="39" t="inlineStr">
        <is>
          <t>R</t>
        </is>
      </c>
      <c r="E82" s="39" t="n">
        <v>3</v>
      </c>
      <c r="F82" s="39" t="inlineStr">
        <is>
          <t>نعم</t>
        </is>
      </c>
      <c r="G82" s="39" t="inlineStr">
        <is>
          <t>دائن</t>
        </is>
      </c>
      <c r="H82" s="39" t="n">
        <v>0</v>
      </c>
      <c r="I82" s="29" t="inlineStr">
        <is>
          <t>OPERATING</t>
        </is>
      </c>
      <c r="J82" s="39" t="inlineStr">
        <is>
          <t>لا</t>
        </is>
      </c>
      <c r="K82" s="39" t="inlineStr">
        <is>
          <t>لا</t>
        </is>
      </c>
      <c r="L82" s="39" t="inlineStr">
        <is>
          <t>نعم</t>
        </is>
      </c>
      <c r="M82" s="29" t="n"/>
      <c r="N82" s="29" t="n"/>
      <c r="O82" s="29" t="inlineStr"/>
      <c r="P82" s="32">
        <f>IF($A82="","",IF($F82="نعم",$A82,$M82))</f>
        <v/>
      </c>
      <c r="Q82" s="32">
        <f>IF($A82="","",IF($F82="نعم",$A82,$N82))</f>
        <v/>
      </c>
      <c r="R82" s="32">
        <f>IF($A82="","",IF(AND($F82="نعم",$L82&lt;&gt;"لا"),1,0))</f>
        <v/>
      </c>
      <c r="S82" s="32">
        <f>IF($D82="","",IFERROR(INDEX(Lists!$AK$5:$AK$10,MATCH($D82,Lists!$AJ$5:$AJ$10,0)),"نوع غير معرف"))</f>
        <v/>
      </c>
      <c r="T82" s="32">
        <f>IF($A82="","",IF(COUNTIF($A:$A,$A82)&gt;1,"كود حساب مكرر",IF($B82="","اسم الحساب ناقص",IF(AND($F82="نعم",$G82=""),"الطبيعة ناقصة",IF(AND($F82&lt;&gt;"نعم",OR($M82="",$N82="")),"الحساب الرئيسي يحتاج نطاقًا (من/إلى)",IF(AND($H82=1,$F82&lt;&gt;"نعم"),"حساب نقدية يجب أن يكون قابلًا للترحيل",IF(AND($F82="نعم",$D82=""),"النوع ناقص","")))))))</f>
        <v/>
      </c>
    </row>
    <row r="83">
      <c r="A83" s="39" t="n">
        <v>4104</v>
      </c>
      <c r="B83" s="29" t="inlineStr">
        <is>
          <t>مبيعات أخرى (مشروبات وإضافات)</t>
        </is>
      </c>
      <c r="C83" s="29" t="inlineStr">
        <is>
          <t>Sales - Other</t>
        </is>
      </c>
      <c r="D83" s="39" t="inlineStr">
        <is>
          <t>R</t>
        </is>
      </c>
      <c r="E83" s="39" t="n">
        <v>3</v>
      </c>
      <c r="F83" s="39" t="inlineStr">
        <is>
          <t>نعم</t>
        </is>
      </c>
      <c r="G83" s="39" t="inlineStr">
        <is>
          <t>دائن</t>
        </is>
      </c>
      <c r="H83" s="39" t="n">
        <v>0</v>
      </c>
      <c r="I83" s="29" t="inlineStr">
        <is>
          <t>OPERATING</t>
        </is>
      </c>
      <c r="J83" s="39" t="inlineStr">
        <is>
          <t>لا</t>
        </is>
      </c>
      <c r="K83" s="39" t="inlineStr">
        <is>
          <t>لا</t>
        </is>
      </c>
      <c r="L83" s="39" t="inlineStr">
        <is>
          <t>نعم</t>
        </is>
      </c>
      <c r="M83" s="29" t="n"/>
      <c r="N83" s="29" t="n"/>
      <c r="O83" s="29" t="inlineStr"/>
      <c r="P83" s="32">
        <f>IF($A83="","",IF($F83="نعم",$A83,$M83))</f>
        <v/>
      </c>
      <c r="Q83" s="32">
        <f>IF($A83="","",IF($F83="نعم",$A83,$N83))</f>
        <v/>
      </c>
      <c r="R83" s="32">
        <f>IF($A83="","",IF(AND($F83="نعم",$L83&lt;&gt;"لا"),1,0))</f>
        <v/>
      </c>
      <c r="S83" s="32">
        <f>IF($D83="","",IFERROR(INDEX(Lists!$AK$5:$AK$10,MATCH($D83,Lists!$AJ$5:$AJ$10,0)),"نوع غير معرف"))</f>
        <v/>
      </c>
      <c r="T83" s="32">
        <f>IF($A83="","",IF(COUNTIF($A:$A,$A83)&gt;1,"كود حساب مكرر",IF($B83="","اسم الحساب ناقص",IF(AND($F83="نعم",$G83=""),"الطبيعة ناقصة",IF(AND($F83&lt;&gt;"نعم",OR($M83="",$N83="")),"الحساب الرئيسي يحتاج نطاقًا (من/إلى)",IF(AND($H83=1,$F83&lt;&gt;"نعم"),"حساب نقدية يجب أن يكون قابلًا للترحيل",IF(AND($F83="نعم",$D83=""),"النوع ناقص","")))))))</f>
        <v/>
      </c>
    </row>
    <row r="84">
      <c r="A84" s="39" t="n">
        <v>4200</v>
      </c>
      <c r="B84" s="29" t="inlineStr">
        <is>
          <t>إيرادات أخرى</t>
        </is>
      </c>
      <c r="C84" s="29" t="inlineStr">
        <is>
          <t>Other Income</t>
        </is>
      </c>
      <c r="D84" s="39" t="inlineStr">
        <is>
          <t>R</t>
        </is>
      </c>
      <c r="E84" s="39" t="n">
        <v>2</v>
      </c>
      <c r="F84" s="39" t="inlineStr">
        <is>
          <t>لا</t>
        </is>
      </c>
      <c r="G84" s="39" t="inlineStr">
        <is>
          <t>دائن</t>
        </is>
      </c>
      <c r="H84" s="39" t="n">
        <v>0</v>
      </c>
      <c r="I84" s="29" t="inlineStr">
        <is>
          <t>OPERATING</t>
        </is>
      </c>
      <c r="J84" s="39" t="inlineStr">
        <is>
          <t>لا</t>
        </is>
      </c>
      <c r="K84" s="39" t="inlineStr">
        <is>
          <t>لا</t>
        </is>
      </c>
      <c r="L84" s="39" t="inlineStr">
        <is>
          <t>نعم</t>
        </is>
      </c>
      <c r="M84" s="29" t="n">
        <v>4200</v>
      </c>
      <c r="N84" s="29" t="n">
        <v>4299</v>
      </c>
      <c r="O84" s="29" t="inlineStr"/>
      <c r="P84" s="32">
        <f>IF($A84="","",IF($F84="نعم",$A84,$M84))</f>
        <v/>
      </c>
      <c r="Q84" s="32">
        <f>IF($A84="","",IF($F84="نعم",$A84,$N84))</f>
        <v/>
      </c>
      <c r="R84" s="32">
        <f>IF($A84="","",IF(AND($F84="نعم",$L84&lt;&gt;"لا"),1,0))</f>
        <v/>
      </c>
      <c r="S84" s="32">
        <f>IF($D84="","",IFERROR(INDEX(Lists!$AK$5:$AK$10,MATCH($D84,Lists!$AJ$5:$AJ$10,0)),"نوع غير معرف"))</f>
        <v/>
      </c>
      <c r="T84" s="32">
        <f>IF($A84="","",IF(COUNTIF($A:$A,$A84)&gt;1,"كود حساب مكرر",IF($B84="","اسم الحساب ناقص",IF(AND($F84="نعم",$G84=""),"الطبيعة ناقصة",IF(AND($F84&lt;&gt;"نعم",OR($M84="",$N84="")),"الحساب الرئيسي يحتاج نطاقًا (من/إلى)",IF(AND($H84=1,$F84&lt;&gt;"نعم"),"حساب نقدية يجب أن يكون قابلًا للترحيل",IF(AND($F84="نعم",$D84=""),"النوع ناقص","")))))))</f>
        <v/>
      </c>
    </row>
    <row r="85">
      <c r="A85" s="39" t="n">
        <v>4201</v>
      </c>
      <c r="B85" s="29" t="inlineStr">
        <is>
          <t>إيرادات متنوعة</t>
        </is>
      </c>
      <c r="C85" s="29" t="inlineStr">
        <is>
          <t>Miscellaneous Income</t>
        </is>
      </c>
      <c r="D85" s="39" t="inlineStr">
        <is>
          <t>R</t>
        </is>
      </c>
      <c r="E85" s="39" t="n">
        <v>3</v>
      </c>
      <c r="F85" s="39" t="inlineStr">
        <is>
          <t>نعم</t>
        </is>
      </c>
      <c r="G85" s="39" t="inlineStr">
        <is>
          <t>دائن</t>
        </is>
      </c>
      <c r="H85" s="39" t="n">
        <v>0</v>
      </c>
      <c r="I85" s="29" t="inlineStr">
        <is>
          <t>OPERATING</t>
        </is>
      </c>
      <c r="J85" s="39" t="inlineStr">
        <is>
          <t>لا</t>
        </is>
      </c>
      <c r="K85" s="39" t="inlineStr">
        <is>
          <t>لا</t>
        </is>
      </c>
      <c r="L85" s="39" t="inlineStr">
        <is>
          <t>نعم</t>
        </is>
      </c>
      <c r="M85" s="29" t="n"/>
      <c r="N85" s="29" t="n"/>
      <c r="O85" s="29" t="inlineStr"/>
      <c r="P85" s="32">
        <f>IF($A85="","",IF($F85="نعم",$A85,$M85))</f>
        <v/>
      </c>
      <c r="Q85" s="32">
        <f>IF($A85="","",IF($F85="نعم",$A85,$N85))</f>
        <v/>
      </c>
      <c r="R85" s="32">
        <f>IF($A85="","",IF(AND($F85="نعم",$L85&lt;&gt;"لا"),1,0))</f>
        <v/>
      </c>
      <c r="S85" s="32">
        <f>IF($D85="","",IFERROR(INDEX(Lists!$AK$5:$AK$10,MATCH($D85,Lists!$AJ$5:$AJ$10,0)),"نوع غير معرف"))</f>
        <v/>
      </c>
      <c r="T85" s="32">
        <f>IF($A85="","",IF(COUNTIF($A:$A,$A85)&gt;1,"كود حساب مكرر",IF($B85="","اسم الحساب ناقص",IF(AND($F85="نعم",$G85=""),"الطبيعة ناقصة",IF(AND($F85&lt;&gt;"نعم",OR($M85="",$N85="")),"الحساب الرئيسي يحتاج نطاقًا (من/إلى)",IF(AND($H85=1,$F85&lt;&gt;"نعم"),"حساب نقدية يجب أن يكون قابلًا للترحيل",IF(AND($F85="نعم",$D85=""),"النوع ناقص","")))))))</f>
        <v/>
      </c>
    </row>
    <row r="86">
      <c r="A86" s="39" t="n">
        <v>4210</v>
      </c>
      <c r="B86" s="29" t="inlineStr">
        <is>
          <t>زيادة خزينة</t>
        </is>
      </c>
      <c r="C86" s="29" t="inlineStr">
        <is>
          <t>Cash Overage</t>
        </is>
      </c>
      <c r="D86" s="39" t="inlineStr">
        <is>
          <t>R</t>
        </is>
      </c>
      <c r="E86" s="39" t="n">
        <v>3</v>
      </c>
      <c r="F86" s="39" t="inlineStr">
        <is>
          <t>نعم</t>
        </is>
      </c>
      <c r="G86" s="39" t="inlineStr">
        <is>
          <t>دائن</t>
        </is>
      </c>
      <c r="H86" s="39" t="n">
        <v>0</v>
      </c>
      <c r="I86" s="29" t="inlineStr">
        <is>
          <t>OPERATING</t>
        </is>
      </c>
      <c r="J86" s="39" t="inlineStr">
        <is>
          <t>لا</t>
        </is>
      </c>
      <c r="K86" s="39" t="inlineStr">
        <is>
          <t>لا</t>
        </is>
      </c>
      <c r="L86" s="39" t="inlineStr">
        <is>
          <t>نعم</t>
        </is>
      </c>
      <c r="M86" s="29" t="n"/>
      <c r="N86" s="29" t="n"/>
      <c r="O86" s="29" t="inlineStr"/>
      <c r="P86" s="32">
        <f>IF($A86="","",IF($F86="نعم",$A86,$M86))</f>
        <v/>
      </c>
      <c r="Q86" s="32">
        <f>IF($A86="","",IF($F86="نعم",$A86,$N86))</f>
        <v/>
      </c>
      <c r="R86" s="32">
        <f>IF($A86="","",IF(AND($F86="نعم",$L86&lt;&gt;"لا"),1,0))</f>
        <v/>
      </c>
      <c r="S86" s="32">
        <f>IF($D86="","",IFERROR(INDEX(Lists!$AK$5:$AK$10,MATCH($D86,Lists!$AJ$5:$AJ$10,0)),"نوع غير معرف"))</f>
        <v/>
      </c>
      <c r="T86" s="32">
        <f>IF($A86="","",IF(COUNTIF($A:$A,$A86)&gt;1,"كود حساب مكرر",IF($B86="","اسم الحساب ناقص",IF(AND($F86="نعم",$G86=""),"الطبيعة ناقصة",IF(AND($F86&lt;&gt;"نعم",OR($M86="",$N86="")),"الحساب الرئيسي يحتاج نطاقًا (من/إلى)",IF(AND($H86=1,$F86&lt;&gt;"نعم"),"حساب نقدية يجب أن يكون قابلًا للترحيل",IF(AND($F86="نعم",$D86=""),"النوع ناقص","")))))))</f>
        <v/>
      </c>
    </row>
    <row r="87">
      <c r="A87" s="39" t="n">
        <v>4900</v>
      </c>
      <c r="B87" s="29" t="inlineStr">
        <is>
          <t>خصومات ومرتجعات المبيعات (حسابات مقابلة)</t>
        </is>
      </c>
      <c r="C87" s="29" t="inlineStr">
        <is>
          <t>Sales Contra Accounts</t>
        </is>
      </c>
      <c r="D87" s="39" t="inlineStr">
        <is>
          <t>R</t>
        </is>
      </c>
      <c r="E87" s="39" t="n">
        <v>2</v>
      </c>
      <c r="F87" s="39" t="inlineStr">
        <is>
          <t>لا</t>
        </is>
      </c>
      <c r="G87" s="39" t="inlineStr">
        <is>
          <t>مدين</t>
        </is>
      </c>
      <c r="H87" s="39" t="n">
        <v>0</v>
      </c>
      <c r="I87" s="29" t="inlineStr">
        <is>
          <t>OPERATING</t>
        </is>
      </c>
      <c r="J87" s="39" t="inlineStr">
        <is>
          <t>لا</t>
        </is>
      </c>
      <c r="K87" s="39" t="inlineStr">
        <is>
          <t>لا</t>
        </is>
      </c>
      <c r="L87" s="39" t="inlineStr">
        <is>
          <t>نعم</t>
        </is>
      </c>
      <c r="M87" s="29" t="n">
        <v>4900</v>
      </c>
      <c r="N87" s="29" t="n">
        <v>4999</v>
      </c>
      <c r="O87" s="29" t="inlineStr"/>
      <c r="P87" s="32">
        <f>IF($A87="","",IF($F87="نعم",$A87,$M87))</f>
        <v/>
      </c>
      <c r="Q87" s="32">
        <f>IF($A87="","",IF($F87="نعم",$A87,$N87))</f>
        <v/>
      </c>
      <c r="R87" s="32">
        <f>IF($A87="","",IF(AND($F87="نعم",$L87&lt;&gt;"لا"),1,0))</f>
        <v/>
      </c>
      <c r="S87" s="32">
        <f>IF($D87="","",IFERROR(INDEX(Lists!$AK$5:$AK$10,MATCH($D87,Lists!$AJ$5:$AJ$10,0)),"نوع غير معرف"))</f>
        <v/>
      </c>
      <c r="T87" s="32">
        <f>IF($A87="","",IF(COUNTIF($A:$A,$A87)&gt;1,"كود حساب مكرر",IF($B87="","اسم الحساب ناقص",IF(AND($F87="نعم",$G87=""),"الطبيعة ناقصة",IF(AND($F87&lt;&gt;"نعم",OR($M87="",$N87="")),"الحساب الرئيسي يحتاج نطاقًا (من/إلى)",IF(AND($H87=1,$F87&lt;&gt;"نعم"),"حساب نقدية يجب أن يكون قابلًا للترحيل",IF(AND($F87="نعم",$D87=""),"النوع ناقص","")))))))</f>
        <v/>
      </c>
    </row>
    <row r="88">
      <c r="A88" s="39" t="n">
        <v>4901</v>
      </c>
      <c r="B88" s="29" t="inlineStr">
        <is>
          <t>خصومات المبيعات والعروض</t>
        </is>
      </c>
      <c r="C88" s="29" t="inlineStr">
        <is>
          <t>Sales Discounts</t>
        </is>
      </c>
      <c r="D88" s="39" t="inlineStr">
        <is>
          <t>R</t>
        </is>
      </c>
      <c r="E88" s="39" t="n">
        <v>3</v>
      </c>
      <c r="F88" s="39" t="inlineStr">
        <is>
          <t>نعم</t>
        </is>
      </c>
      <c r="G88" s="39" t="inlineStr">
        <is>
          <t>مدين</t>
        </is>
      </c>
      <c r="H88" s="39" t="n">
        <v>0</v>
      </c>
      <c r="I88" s="29" t="inlineStr">
        <is>
          <t>OPERATING</t>
        </is>
      </c>
      <c r="J88" s="39" t="inlineStr">
        <is>
          <t>لا</t>
        </is>
      </c>
      <c r="K88" s="39" t="inlineStr">
        <is>
          <t>لا</t>
        </is>
      </c>
      <c r="L88" s="39" t="inlineStr">
        <is>
          <t>نعم</t>
        </is>
      </c>
      <c r="M88" s="29" t="n"/>
      <c r="N88" s="29" t="n"/>
      <c r="O88" s="29" t="inlineStr"/>
      <c r="P88" s="32">
        <f>IF($A88="","",IF($F88="نعم",$A88,$M88))</f>
        <v/>
      </c>
      <c r="Q88" s="32">
        <f>IF($A88="","",IF($F88="نعم",$A88,$N88))</f>
        <v/>
      </c>
      <c r="R88" s="32">
        <f>IF($A88="","",IF(AND($F88="نعم",$L88&lt;&gt;"لا"),1,0))</f>
        <v/>
      </c>
      <c r="S88" s="32">
        <f>IF($D88="","",IFERROR(INDEX(Lists!$AK$5:$AK$10,MATCH($D88,Lists!$AJ$5:$AJ$10,0)),"نوع غير معرف"))</f>
        <v/>
      </c>
      <c r="T88" s="32">
        <f>IF($A88="","",IF(COUNTIF($A:$A,$A88)&gt;1,"كود حساب مكرر",IF($B88="","اسم الحساب ناقص",IF(AND($F88="نعم",$G88=""),"الطبيعة ناقصة",IF(AND($F88&lt;&gt;"نعم",OR($M88="",$N88="")),"الحساب الرئيسي يحتاج نطاقًا (من/إلى)",IF(AND($H88=1,$F88&lt;&gt;"نعم"),"حساب نقدية يجب أن يكون قابلًا للترحيل",IF(AND($F88="نعم",$D88=""),"النوع ناقص","")))))))</f>
        <v/>
      </c>
    </row>
    <row r="89">
      <c r="A89" s="39" t="n">
        <v>4902</v>
      </c>
      <c r="B89" s="29" t="inlineStr">
        <is>
          <t>مرتجعات وإلغاءات المبيعات</t>
        </is>
      </c>
      <c r="C89" s="29" t="inlineStr">
        <is>
          <t>Sales Returns &amp; Cancellations</t>
        </is>
      </c>
      <c r="D89" s="39" t="inlineStr">
        <is>
          <t>R</t>
        </is>
      </c>
      <c r="E89" s="39" t="n">
        <v>3</v>
      </c>
      <c r="F89" s="39" t="inlineStr">
        <is>
          <t>نعم</t>
        </is>
      </c>
      <c r="G89" s="39" t="inlineStr">
        <is>
          <t>مدين</t>
        </is>
      </c>
      <c r="H89" s="39" t="n">
        <v>0</v>
      </c>
      <c r="I89" s="29" t="inlineStr">
        <is>
          <t>OPERATING</t>
        </is>
      </c>
      <c r="J89" s="39" t="inlineStr">
        <is>
          <t>لا</t>
        </is>
      </c>
      <c r="K89" s="39" t="inlineStr">
        <is>
          <t>لا</t>
        </is>
      </c>
      <c r="L89" s="39" t="inlineStr">
        <is>
          <t>نعم</t>
        </is>
      </c>
      <c r="M89" s="29" t="n"/>
      <c r="N89" s="29" t="n"/>
      <c r="O89" s="29" t="inlineStr"/>
      <c r="P89" s="32">
        <f>IF($A89="","",IF($F89="نعم",$A89,$M89))</f>
        <v/>
      </c>
      <c r="Q89" s="32">
        <f>IF($A89="","",IF($F89="نعم",$A89,$N89))</f>
        <v/>
      </c>
      <c r="R89" s="32">
        <f>IF($A89="","",IF(AND($F89="نعم",$L89&lt;&gt;"لا"),1,0))</f>
        <v/>
      </c>
      <c r="S89" s="32">
        <f>IF($D89="","",IFERROR(INDEX(Lists!$AK$5:$AK$10,MATCH($D89,Lists!$AJ$5:$AJ$10,0)),"نوع غير معرف"))</f>
        <v/>
      </c>
      <c r="T89" s="32">
        <f>IF($A89="","",IF(COUNTIF($A:$A,$A89)&gt;1,"كود حساب مكرر",IF($B89="","اسم الحساب ناقص",IF(AND($F89="نعم",$G89=""),"الطبيعة ناقصة",IF(AND($F89&lt;&gt;"نعم",OR($M89="",$N89="")),"الحساب الرئيسي يحتاج نطاقًا (من/إلى)",IF(AND($H89=1,$F89&lt;&gt;"نعم"),"حساب نقدية يجب أن يكون قابلًا للترحيل",IF(AND($F89="نعم",$D89=""),"النوع ناقص","")))))))</f>
        <v/>
      </c>
    </row>
    <row r="90">
      <c r="A90" s="39" t="n">
        <v>5000</v>
      </c>
      <c r="B90" s="29" t="inlineStr">
        <is>
          <t>تكلفة المبيعات</t>
        </is>
      </c>
      <c r="C90" s="29" t="inlineStr">
        <is>
          <t>Cost of Sales</t>
        </is>
      </c>
      <c r="D90" s="39" t="inlineStr">
        <is>
          <t>C</t>
        </is>
      </c>
      <c r="E90" s="39" t="n">
        <v>1</v>
      </c>
      <c r="F90" s="39" t="inlineStr">
        <is>
          <t>لا</t>
        </is>
      </c>
      <c r="G90" s="39" t="inlineStr">
        <is>
          <t>مدين</t>
        </is>
      </c>
      <c r="H90" s="39" t="n">
        <v>0</v>
      </c>
      <c r="I90" s="29" t="inlineStr">
        <is>
          <t>OPERATING</t>
        </is>
      </c>
      <c r="J90" s="39" t="inlineStr">
        <is>
          <t>لا</t>
        </is>
      </c>
      <c r="K90" s="39" t="inlineStr">
        <is>
          <t>لا</t>
        </is>
      </c>
      <c r="L90" s="39" t="inlineStr">
        <is>
          <t>نعم</t>
        </is>
      </c>
      <c r="M90" s="29" t="n">
        <v>5000</v>
      </c>
      <c r="N90" s="29" t="n">
        <v>5999</v>
      </c>
      <c r="O90" s="29" t="inlineStr"/>
      <c r="P90" s="32">
        <f>IF($A90="","",IF($F90="نعم",$A90,$M90))</f>
        <v/>
      </c>
      <c r="Q90" s="32">
        <f>IF($A90="","",IF($F90="نعم",$A90,$N90))</f>
        <v/>
      </c>
      <c r="R90" s="32">
        <f>IF($A90="","",IF(AND($F90="نعم",$L90&lt;&gt;"لا"),1,0))</f>
        <v/>
      </c>
      <c r="S90" s="32">
        <f>IF($D90="","",IFERROR(INDEX(Lists!$AK$5:$AK$10,MATCH($D90,Lists!$AJ$5:$AJ$10,0)),"نوع غير معرف"))</f>
        <v/>
      </c>
      <c r="T90" s="32">
        <f>IF($A90="","",IF(COUNTIF($A:$A,$A90)&gt;1,"كود حساب مكرر",IF($B90="","اسم الحساب ناقص",IF(AND($F90="نعم",$G90=""),"الطبيعة ناقصة",IF(AND($F90&lt;&gt;"نعم",OR($M90="",$N90="")),"الحساب الرئيسي يحتاج نطاقًا (من/إلى)",IF(AND($H90=1,$F90&lt;&gt;"نعم"),"حساب نقدية يجب أن يكون قابلًا للترحيل",IF(AND($F90="نعم",$D90=""),"النوع ناقص","")))))))</f>
        <v/>
      </c>
    </row>
    <row r="91">
      <c r="A91" s="39" t="n">
        <v>5100</v>
      </c>
      <c r="B91" s="29" t="inlineStr">
        <is>
          <t>تكلفة المواد</t>
        </is>
      </c>
      <c r="C91" s="29" t="inlineStr">
        <is>
          <t>Material Cost</t>
        </is>
      </c>
      <c r="D91" s="39" t="inlineStr">
        <is>
          <t>C</t>
        </is>
      </c>
      <c r="E91" s="39" t="n">
        <v>2</v>
      </c>
      <c r="F91" s="39" t="inlineStr">
        <is>
          <t>لا</t>
        </is>
      </c>
      <c r="G91" s="39" t="inlineStr">
        <is>
          <t>مدين</t>
        </is>
      </c>
      <c r="H91" s="39" t="n">
        <v>0</v>
      </c>
      <c r="I91" s="29" t="inlineStr">
        <is>
          <t>OPERATING</t>
        </is>
      </c>
      <c r="J91" s="39" t="inlineStr">
        <is>
          <t>لا</t>
        </is>
      </c>
      <c r="K91" s="39" t="inlineStr">
        <is>
          <t>لا</t>
        </is>
      </c>
      <c r="L91" s="39" t="inlineStr">
        <is>
          <t>نعم</t>
        </is>
      </c>
      <c r="M91" s="29" t="n">
        <v>5100</v>
      </c>
      <c r="N91" s="29" t="n">
        <v>5199</v>
      </c>
      <c r="O91" s="29" t="inlineStr"/>
      <c r="P91" s="32">
        <f>IF($A91="","",IF($F91="نعم",$A91,$M91))</f>
        <v/>
      </c>
      <c r="Q91" s="32">
        <f>IF($A91="","",IF($F91="نعم",$A91,$N91))</f>
        <v/>
      </c>
      <c r="R91" s="32">
        <f>IF($A91="","",IF(AND($F91="نعم",$L91&lt;&gt;"لا"),1,0))</f>
        <v/>
      </c>
      <c r="S91" s="32">
        <f>IF($D91="","",IFERROR(INDEX(Lists!$AK$5:$AK$10,MATCH($D91,Lists!$AJ$5:$AJ$10,0)),"نوع غير معرف"))</f>
        <v/>
      </c>
      <c r="T91" s="32">
        <f>IF($A91="","",IF(COUNTIF($A:$A,$A91)&gt;1,"كود حساب مكرر",IF($B91="","اسم الحساب ناقص",IF(AND($F91="نعم",$G91=""),"الطبيعة ناقصة",IF(AND($F91&lt;&gt;"نعم",OR($M91="",$N91="")),"الحساب الرئيسي يحتاج نطاقًا (من/إلى)",IF(AND($H91=1,$F91&lt;&gt;"نعم"),"حساب نقدية يجب أن يكون قابلًا للترحيل",IF(AND($F91="نعم",$D91=""),"النوع ناقص","")))))))</f>
        <v/>
      </c>
    </row>
    <row r="92">
      <c r="A92" s="39" t="n">
        <v>5101</v>
      </c>
      <c r="B92" s="29" t="inlineStr">
        <is>
          <t>تكلفة المواد المباشرة المستهلكة</t>
        </is>
      </c>
      <c r="C92" s="29" t="inlineStr">
        <is>
          <t>Direct Materials Consumed</t>
        </is>
      </c>
      <c r="D92" s="39" t="inlineStr">
        <is>
          <t>C</t>
        </is>
      </c>
      <c r="E92" s="39" t="n">
        <v>3</v>
      </c>
      <c r="F92" s="39" t="inlineStr">
        <is>
          <t>نعم</t>
        </is>
      </c>
      <c r="G92" s="39" t="inlineStr">
        <is>
          <t>مدين</t>
        </is>
      </c>
      <c r="H92" s="39" t="n">
        <v>0</v>
      </c>
      <c r="I92" s="29" t="inlineStr">
        <is>
          <t>OPERATING</t>
        </is>
      </c>
      <c r="J92" s="39" t="inlineStr">
        <is>
          <t>لا</t>
        </is>
      </c>
      <c r="K92" s="39" t="inlineStr">
        <is>
          <t>لا</t>
        </is>
      </c>
      <c r="L92" s="39" t="inlineStr">
        <is>
          <t>نعم</t>
        </is>
      </c>
      <c r="M92" s="29" t="n"/>
      <c r="N92" s="29" t="n"/>
      <c r="O92" s="29" t="inlineStr"/>
      <c r="P92" s="32">
        <f>IF($A92="","",IF($F92="نعم",$A92,$M92))</f>
        <v/>
      </c>
      <c r="Q92" s="32">
        <f>IF($A92="","",IF($F92="نعم",$A92,$N92))</f>
        <v/>
      </c>
      <c r="R92" s="32">
        <f>IF($A92="","",IF(AND($F92="نعم",$L92&lt;&gt;"لا"),1,0))</f>
        <v/>
      </c>
      <c r="S92" s="32">
        <f>IF($D92="","",IFERROR(INDEX(Lists!$AK$5:$AK$10,MATCH($D92,Lists!$AJ$5:$AJ$10,0)),"نوع غير معرف"))</f>
        <v/>
      </c>
      <c r="T92" s="32">
        <f>IF($A92="","",IF(COUNTIF($A:$A,$A92)&gt;1,"كود حساب مكرر",IF($B92="","اسم الحساب ناقص",IF(AND($F92="نعم",$G92=""),"الطبيعة ناقصة",IF(AND($F92&lt;&gt;"نعم",OR($M92="",$N92="")),"الحساب الرئيسي يحتاج نطاقًا (من/إلى)",IF(AND($H92=1,$F92&lt;&gt;"نعم"),"حساب نقدية يجب أن يكون قابلًا للترحيل",IF(AND($F92="نعم",$D92=""),"النوع ناقص","")))))))</f>
        <v/>
      </c>
    </row>
    <row r="93">
      <c r="A93" s="39" t="n">
        <v>5102</v>
      </c>
      <c r="B93" s="29" t="inlineStr">
        <is>
          <t>تكلفة المنتجات المحولة والمباعة</t>
        </is>
      </c>
      <c r="C93" s="29" t="inlineStr">
        <is>
          <t>Transferred Products Sold</t>
        </is>
      </c>
      <c r="D93" s="39" t="inlineStr">
        <is>
          <t>C</t>
        </is>
      </c>
      <c r="E93" s="39" t="n">
        <v>3</v>
      </c>
      <c r="F93" s="39" t="inlineStr">
        <is>
          <t>نعم</t>
        </is>
      </c>
      <c r="G93" s="39" t="inlineStr">
        <is>
          <t>مدين</t>
        </is>
      </c>
      <c r="H93" s="39" t="n">
        <v>0</v>
      </c>
      <c r="I93" s="29" t="inlineStr">
        <is>
          <t>OPERATING</t>
        </is>
      </c>
      <c r="J93" s="39" t="inlineStr">
        <is>
          <t>لا</t>
        </is>
      </c>
      <c r="K93" s="39" t="inlineStr">
        <is>
          <t>لا</t>
        </is>
      </c>
      <c r="L93" s="39" t="inlineStr">
        <is>
          <t>نعم</t>
        </is>
      </c>
      <c r="M93" s="29" t="n"/>
      <c r="N93" s="29" t="n"/>
      <c r="O93" s="29" t="inlineStr"/>
      <c r="P93" s="32">
        <f>IF($A93="","",IF($F93="نعم",$A93,$M93))</f>
        <v/>
      </c>
      <c r="Q93" s="32">
        <f>IF($A93="","",IF($F93="نعم",$A93,$N93))</f>
        <v/>
      </c>
      <c r="R93" s="32">
        <f>IF($A93="","",IF(AND($F93="نعم",$L93&lt;&gt;"لا"),1,0))</f>
        <v/>
      </c>
      <c r="S93" s="32">
        <f>IF($D93="","",IFERROR(INDEX(Lists!$AK$5:$AK$10,MATCH($D93,Lists!$AJ$5:$AJ$10,0)),"نوع غير معرف"))</f>
        <v/>
      </c>
      <c r="T93" s="32">
        <f>IF($A93="","",IF(COUNTIF($A:$A,$A93)&gt;1,"كود حساب مكرر",IF($B93="","اسم الحساب ناقص",IF(AND($F93="نعم",$G93=""),"الطبيعة ناقصة",IF(AND($F93&lt;&gt;"نعم",OR($M93="",$N93="")),"الحساب الرئيسي يحتاج نطاقًا (من/إلى)",IF(AND($H93=1,$F93&lt;&gt;"نعم"),"حساب نقدية يجب أن يكون قابلًا للترحيل",IF(AND($F93="نعم",$D93=""),"النوع ناقص","")))))))</f>
        <v/>
      </c>
    </row>
    <row r="94">
      <c r="A94" s="39" t="n">
        <v>5103</v>
      </c>
      <c r="B94" s="29" t="inlineStr">
        <is>
          <t>تكلفة العبوات والتغليف</t>
        </is>
      </c>
      <c r="C94" s="29" t="inlineStr">
        <is>
          <t>Packaging Cost</t>
        </is>
      </c>
      <c r="D94" s="39" t="inlineStr">
        <is>
          <t>C</t>
        </is>
      </c>
      <c r="E94" s="39" t="n">
        <v>3</v>
      </c>
      <c r="F94" s="39" t="inlineStr">
        <is>
          <t>نعم</t>
        </is>
      </c>
      <c r="G94" s="39" t="inlineStr">
        <is>
          <t>مدين</t>
        </is>
      </c>
      <c r="H94" s="39" t="n">
        <v>0</v>
      </c>
      <c r="I94" s="29" t="inlineStr">
        <is>
          <t>OPERATING</t>
        </is>
      </c>
      <c r="J94" s="39" t="inlineStr">
        <is>
          <t>لا</t>
        </is>
      </c>
      <c r="K94" s="39" t="inlineStr">
        <is>
          <t>لا</t>
        </is>
      </c>
      <c r="L94" s="39" t="inlineStr">
        <is>
          <t>نعم</t>
        </is>
      </c>
      <c r="M94" s="29" t="n"/>
      <c r="N94" s="29" t="n"/>
      <c r="O94" s="29" t="inlineStr"/>
      <c r="P94" s="32">
        <f>IF($A94="","",IF($F94="نعم",$A94,$M94))</f>
        <v/>
      </c>
      <c r="Q94" s="32">
        <f>IF($A94="","",IF($F94="نعم",$A94,$N94))</f>
        <v/>
      </c>
      <c r="R94" s="32">
        <f>IF($A94="","",IF(AND($F94="نعم",$L94&lt;&gt;"لا"),1,0))</f>
        <v/>
      </c>
      <c r="S94" s="32">
        <f>IF($D94="","",IFERROR(INDEX(Lists!$AK$5:$AK$10,MATCH($D94,Lists!$AJ$5:$AJ$10,0)),"نوع غير معرف"))</f>
        <v/>
      </c>
      <c r="T94" s="32">
        <f>IF($A94="","",IF(COUNTIF($A:$A,$A94)&gt;1,"كود حساب مكرر",IF($B94="","اسم الحساب ناقص",IF(AND($F94="نعم",$G94=""),"الطبيعة ناقصة",IF(AND($F94&lt;&gt;"نعم",OR($M94="",$N94="")),"الحساب الرئيسي يحتاج نطاقًا (من/إلى)",IF(AND($H94=1,$F94&lt;&gt;"نعم"),"حساب نقدية يجب أن يكون قابلًا للترحيل",IF(AND($F94="نعم",$D94=""),"النوع ناقص","")))))))</f>
        <v/>
      </c>
    </row>
    <row r="95">
      <c r="A95" s="39" t="n">
        <v>5200</v>
      </c>
      <c r="B95" s="29" t="inlineStr">
        <is>
          <t>الهالك</t>
        </is>
      </c>
      <c r="C95" s="29" t="inlineStr">
        <is>
          <t>Waste</t>
        </is>
      </c>
      <c r="D95" s="39" t="inlineStr">
        <is>
          <t>C</t>
        </is>
      </c>
      <c r="E95" s="39" t="n">
        <v>2</v>
      </c>
      <c r="F95" s="39" t="inlineStr">
        <is>
          <t>لا</t>
        </is>
      </c>
      <c r="G95" s="39" t="inlineStr">
        <is>
          <t>مدين</t>
        </is>
      </c>
      <c r="H95" s="39" t="n">
        <v>0</v>
      </c>
      <c r="I95" s="29" t="inlineStr">
        <is>
          <t>OPERATING</t>
        </is>
      </c>
      <c r="J95" s="39" t="inlineStr">
        <is>
          <t>لا</t>
        </is>
      </c>
      <c r="K95" s="39" t="inlineStr">
        <is>
          <t>لا</t>
        </is>
      </c>
      <c r="L95" s="39" t="inlineStr">
        <is>
          <t>نعم</t>
        </is>
      </c>
      <c r="M95" s="29" t="n">
        <v>5200</v>
      </c>
      <c r="N95" s="29" t="n">
        <v>5299</v>
      </c>
      <c r="O95" s="29" t="inlineStr"/>
      <c r="P95" s="32">
        <f>IF($A95="","",IF($F95="نعم",$A95,$M95))</f>
        <v/>
      </c>
      <c r="Q95" s="32">
        <f>IF($A95="","",IF($F95="نعم",$A95,$N95))</f>
        <v/>
      </c>
      <c r="R95" s="32">
        <f>IF($A95="","",IF(AND($F95="نعم",$L95&lt;&gt;"لا"),1,0))</f>
        <v/>
      </c>
      <c r="S95" s="32">
        <f>IF($D95="","",IFERROR(INDEX(Lists!$AK$5:$AK$10,MATCH($D95,Lists!$AJ$5:$AJ$10,0)),"نوع غير معرف"))</f>
        <v/>
      </c>
      <c r="T95" s="32">
        <f>IF($A95="","",IF(COUNTIF($A:$A,$A95)&gt;1,"كود حساب مكرر",IF($B95="","اسم الحساب ناقص",IF(AND($F95="نعم",$G95=""),"الطبيعة ناقصة",IF(AND($F95&lt;&gt;"نعم",OR($M95="",$N95="")),"الحساب الرئيسي يحتاج نطاقًا (من/إلى)",IF(AND($H95=1,$F95&lt;&gt;"نعم"),"حساب نقدية يجب أن يكون قابلًا للترحيل",IF(AND($F95="نعم",$D95=""),"النوع ناقص","")))))))</f>
        <v/>
      </c>
    </row>
    <row r="96">
      <c r="A96" s="39" t="n">
        <v>5201</v>
      </c>
      <c r="B96" s="29" t="inlineStr">
        <is>
          <t>هالك طبيعي معتمد</t>
        </is>
      </c>
      <c r="C96" s="29" t="inlineStr">
        <is>
          <t>Normal Waste (approved)</t>
        </is>
      </c>
      <c r="D96" s="39" t="inlineStr">
        <is>
          <t>C</t>
        </is>
      </c>
      <c r="E96" s="39" t="n">
        <v>3</v>
      </c>
      <c r="F96" s="39" t="inlineStr">
        <is>
          <t>نعم</t>
        </is>
      </c>
      <c r="G96" s="39" t="inlineStr">
        <is>
          <t>مدين</t>
        </is>
      </c>
      <c r="H96" s="39" t="n">
        <v>0</v>
      </c>
      <c r="I96" s="29" t="inlineStr">
        <is>
          <t>OPERATING</t>
        </is>
      </c>
      <c r="J96" s="39" t="inlineStr">
        <is>
          <t>لا</t>
        </is>
      </c>
      <c r="K96" s="39" t="inlineStr">
        <is>
          <t>لا</t>
        </is>
      </c>
      <c r="L96" s="39" t="inlineStr">
        <is>
          <t>نعم</t>
        </is>
      </c>
      <c r="M96" s="29" t="n"/>
      <c r="N96" s="29" t="n"/>
      <c r="O96" s="29" t="inlineStr"/>
      <c r="P96" s="32">
        <f>IF($A96="","",IF($F96="نعم",$A96,$M96))</f>
        <v/>
      </c>
      <c r="Q96" s="32">
        <f>IF($A96="","",IF($F96="نعم",$A96,$N96))</f>
        <v/>
      </c>
      <c r="R96" s="32">
        <f>IF($A96="","",IF(AND($F96="نعم",$L96&lt;&gt;"لا"),1,0))</f>
        <v/>
      </c>
      <c r="S96" s="32">
        <f>IF($D96="","",IFERROR(INDEX(Lists!$AK$5:$AK$10,MATCH($D96,Lists!$AJ$5:$AJ$10,0)),"نوع غير معرف"))</f>
        <v/>
      </c>
      <c r="T96" s="32">
        <f>IF($A96="","",IF(COUNTIF($A:$A,$A96)&gt;1,"كود حساب مكرر",IF($B96="","اسم الحساب ناقص",IF(AND($F96="نعم",$G96=""),"الطبيعة ناقصة",IF(AND($F96&lt;&gt;"نعم",OR($M96="",$N96="")),"الحساب الرئيسي يحتاج نطاقًا (من/إلى)",IF(AND($H96=1,$F96&lt;&gt;"نعم"),"حساب نقدية يجب أن يكون قابلًا للترحيل",IF(AND($F96="نعم",$D96=""),"النوع ناقص","")))))))</f>
        <v/>
      </c>
    </row>
    <row r="97">
      <c r="A97" s="39" t="n">
        <v>5202</v>
      </c>
      <c r="B97" s="29" t="inlineStr">
        <is>
          <t>هالك غير طبيعي</t>
        </is>
      </c>
      <c r="C97" s="29" t="inlineStr">
        <is>
          <t>Abnormal Waste</t>
        </is>
      </c>
      <c r="D97" s="39" t="inlineStr">
        <is>
          <t>C</t>
        </is>
      </c>
      <c r="E97" s="39" t="n">
        <v>3</v>
      </c>
      <c r="F97" s="39" t="inlineStr">
        <is>
          <t>نعم</t>
        </is>
      </c>
      <c r="G97" s="39" t="inlineStr">
        <is>
          <t>مدين</t>
        </is>
      </c>
      <c r="H97" s="39" t="n">
        <v>0</v>
      </c>
      <c r="I97" s="29" t="inlineStr">
        <is>
          <t>OPERATING</t>
        </is>
      </c>
      <c r="J97" s="39" t="inlineStr">
        <is>
          <t>لا</t>
        </is>
      </c>
      <c r="K97" s="39" t="inlineStr">
        <is>
          <t>لا</t>
        </is>
      </c>
      <c r="L97" s="39" t="inlineStr">
        <is>
          <t>نعم</t>
        </is>
      </c>
      <c r="M97" s="29" t="n"/>
      <c r="N97" s="29" t="n"/>
      <c r="O97" s="29" t="inlineStr"/>
      <c r="P97" s="32">
        <f>IF($A97="","",IF($F97="نعم",$A97,$M97))</f>
        <v/>
      </c>
      <c r="Q97" s="32">
        <f>IF($A97="","",IF($F97="نعم",$A97,$N97))</f>
        <v/>
      </c>
      <c r="R97" s="32">
        <f>IF($A97="","",IF(AND($F97="نعم",$L97&lt;&gt;"لا"),1,0))</f>
        <v/>
      </c>
      <c r="S97" s="32">
        <f>IF($D97="","",IFERROR(INDEX(Lists!$AK$5:$AK$10,MATCH($D97,Lists!$AJ$5:$AJ$10,0)),"نوع غير معرف"))</f>
        <v/>
      </c>
      <c r="T97" s="32">
        <f>IF($A97="","",IF(COUNTIF($A:$A,$A97)&gt;1,"كود حساب مكرر",IF($B97="","اسم الحساب ناقص",IF(AND($F97="نعم",$G97=""),"الطبيعة ناقصة",IF(AND($F97&lt;&gt;"نعم",OR($M97="",$N97="")),"الحساب الرئيسي يحتاج نطاقًا (من/إلى)",IF(AND($H97=1,$F97&lt;&gt;"نعم"),"حساب نقدية يجب أن يكون قابلًا للترحيل",IF(AND($F97="نعم",$D97=""),"النوع ناقص","")))))))</f>
        <v/>
      </c>
    </row>
    <row r="98">
      <c r="A98" s="39" t="n">
        <v>5300</v>
      </c>
      <c r="B98" s="29" t="inlineStr">
        <is>
          <t>الضيافة والمجانيات</t>
        </is>
      </c>
      <c r="C98" s="29" t="inlineStr">
        <is>
          <t>Complimentary</t>
        </is>
      </c>
      <c r="D98" s="39" t="inlineStr">
        <is>
          <t>C</t>
        </is>
      </c>
      <c r="E98" s="39" t="n">
        <v>2</v>
      </c>
      <c r="F98" s="39" t="inlineStr">
        <is>
          <t>لا</t>
        </is>
      </c>
      <c r="G98" s="39" t="inlineStr">
        <is>
          <t>مدين</t>
        </is>
      </c>
      <c r="H98" s="39" t="n">
        <v>0</v>
      </c>
      <c r="I98" s="29" t="inlineStr">
        <is>
          <t>OPERATING</t>
        </is>
      </c>
      <c r="J98" s="39" t="inlineStr">
        <is>
          <t>لا</t>
        </is>
      </c>
      <c r="K98" s="39" t="inlineStr">
        <is>
          <t>لا</t>
        </is>
      </c>
      <c r="L98" s="39" t="inlineStr">
        <is>
          <t>نعم</t>
        </is>
      </c>
      <c r="M98" s="29" t="n">
        <v>5300</v>
      </c>
      <c r="N98" s="29" t="n">
        <v>5399</v>
      </c>
      <c r="O98" s="29" t="inlineStr"/>
      <c r="P98" s="32">
        <f>IF($A98="","",IF($F98="نعم",$A98,$M98))</f>
        <v/>
      </c>
      <c r="Q98" s="32">
        <f>IF($A98="","",IF($F98="نعم",$A98,$N98))</f>
        <v/>
      </c>
      <c r="R98" s="32">
        <f>IF($A98="","",IF(AND($F98="نعم",$L98&lt;&gt;"لا"),1,0))</f>
        <v/>
      </c>
      <c r="S98" s="32">
        <f>IF($D98="","",IFERROR(INDEX(Lists!$AK$5:$AK$10,MATCH($D98,Lists!$AJ$5:$AJ$10,0)),"نوع غير معرف"))</f>
        <v/>
      </c>
      <c r="T98" s="32">
        <f>IF($A98="","",IF(COUNTIF($A:$A,$A98)&gt;1,"كود حساب مكرر",IF($B98="","اسم الحساب ناقص",IF(AND($F98="نعم",$G98=""),"الطبيعة ناقصة",IF(AND($F98&lt;&gt;"نعم",OR($M98="",$N98="")),"الحساب الرئيسي يحتاج نطاقًا (من/إلى)",IF(AND($H98=1,$F98&lt;&gt;"نعم"),"حساب نقدية يجب أن يكون قابلًا للترحيل",IF(AND($F98="نعم",$D98=""),"النوع ناقص","")))))))</f>
        <v/>
      </c>
    </row>
    <row r="99">
      <c r="A99" s="39" t="n">
        <v>5301</v>
      </c>
      <c r="B99" s="29" t="inlineStr">
        <is>
          <t>تكلفة الضيافة والطلبات المجانية</t>
        </is>
      </c>
      <c r="C99" s="29" t="inlineStr">
        <is>
          <t>Complimentary Cost</t>
        </is>
      </c>
      <c r="D99" s="39" t="inlineStr">
        <is>
          <t>C</t>
        </is>
      </c>
      <c r="E99" s="39" t="n">
        <v>3</v>
      </c>
      <c r="F99" s="39" t="inlineStr">
        <is>
          <t>نعم</t>
        </is>
      </c>
      <c r="G99" s="39" t="inlineStr">
        <is>
          <t>مدين</t>
        </is>
      </c>
      <c r="H99" s="39" t="n">
        <v>0</v>
      </c>
      <c r="I99" s="29" t="inlineStr">
        <is>
          <t>OPERATING</t>
        </is>
      </c>
      <c r="J99" s="39" t="inlineStr">
        <is>
          <t>لا</t>
        </is>
      </c>
      <c r="K99" s="39" t="inlineStr">
        <is>
          <t>لا</t>
        </is>
      </c>
      <c r="L99" s="39" t="inlineStr">
        <is>
          <t>نعم</t>
        </is>
      </c>
      <c r="M99" s="29" t="n"/>
      <c r="N99" s="29" t="n"/>
      <c r="O99" s="29" t="inlineStr"/>
      <c r="P99" s="32">
        <f>IF($A99="","",IF($F99="نعم",$A99,$M99))</f>
        <v/>
      </c>
      <c r="Q99" s="32">
        <f>IF($A99="","",IF($F99="نعم",$A99,$N99))</f>
        <v/>
      </c>
      <c r="R99" s="32">
        <f>IF($A99="","",IF(AND($F99="نعم",$L99&lt;&gt;"لا"),1,0))</f>
        <v/>
      </c>
      <c r="S99" s="32">
        <f>IF($D99="","",IFERROR(INDEX(Lists!$AK$5:$AK$10,MATCH($D99,Lists!$AJ$5:$AJ$10,0)),"نوع غير معرف"))</f>
        <v/>
      </c>
      <c r="T99" s="32">
        <f>IF($A99="","",IF(COUNTIF($A:$A,$A99)&gt;1,"كود حساب مكرر",IF($B99="","اسم الحساب ناقص",IF(AND($F99="نعم",$G99=""),"الطبيعة ناقصة",IF(AND($F99&lt;&gt;"نعم",OR($M99="",$N99="")),"الحساب الرئيسي يحتاج نطاقًا (من/إلى)",IF(AND($H99=1,$F99&lt;&gt;"نعم"),"حساب نقدية يجب أن يكون قابلًا للترحيل",IF(AND($F99="نعم",$D99=""),"النوع ناقص","")))))))</f>
        <v/>
      </c>
    </row>
    <row r="100">
      <c r="A100" s="39" t="n">
        <v>5400</v>
      </c>
      <c r="B100" s="29" t="inlineStr">
        <is>
          <t>فروق المخزون والتكلفة</t>
        </is>
      </c>
      <c r="C100" s="29" t="inlineStr">
        <is>
          <t>Inventory &amp; Cost Variances</t>
        </is>
      </c>
      <c r="D100" s="39" t="inlineStr">
        <is>
          <t>C</t>
        </is>
      </c>
      <c r="E100" s="39" t="n">
        <v>2</v>
      </c>
      <c r="F100" s="39" t="inlineStr">
        <is>
          <t>لا</t>
        </is>
      </c>
      <c r="G100" s="39" t="inlineStr">
        <is>
          <t>مدين</t>
        </is>
      </c>
      <c r="H100" s="39" t="n">
        <v>0</v>
      </c>
      <c r="I100" s="29" t="inlineStr">
        <is>
          <t>OPERATING</t>
        </is>
      </c>
      <c r="J100" s="39" t="inlineStr">
        <is>
          <t>لا</t>
        </is>
      </c>
      <c r="K100" s="39" t="inlineStr">
        <is>
          <t>لا</t>
        </is>
      </c>
      <c r="L100" s="39" t="inlineStr">
        <is>
          <t>نعم</t>
        </is>
      </c>
      <c r="M100" s="29" t="n">
        <v>5400</v>
      </c>
      <c r="N100" s="29" t="n">
        <v>5499</v>
      </c>
      <c r="O100" s="29" t="inlineStr"/>
      <c r="P100" s="32">
        <f>IF($A100="","",IF($F100="نعم",$A100,$M100))</f>
        <v/>
      </c>
      <c r="Q100" s="32">
        <f>IF($A100="","",IF($F100="نعم",$A100,$N100))</f>
        <v/>
      </c>
      <c r="R100" s="32">
        <f>IF($A100="","",IF(AND($F100="نعم",$L100&lt;&gt;"لا"),1,0))</f>
        <v/>
      </c>
      <c r="S100" s="32">
        <f>IF($D100="","",IFERROR(INDEX(Lists!$AK$5:$AK$10,MATCH($D100,Lists!$AJ$5:$AJ$10,0)),"نوع غير معرف"))</f>
        <v/>
      </c>
      <c r="T100" s="32">
        <f>IF($A100="","",IF(COUNTIF($A:$A,$A100)&gt;1,"كود حساب مكرر",IF($B100="","اسم الحساب ناقص",IF(AND($F100="نعم",$G100=""),"الطبيعة ناقصة",IF(AND($F100&lt;&gt;"نعم",OR($M100="",$N100="")),"الحساب الرئيسي يحتاج نطاقًا (من/إلى)",IF(AND($H100=1,$F100&lt;&gt;"نعم"),"حساب نقدية يجب أن يكون قابلًا للترحيل",IF(AND($F100="نعم",$D100=""),"النوع ناقص","")))))))</f>
        <v/>
      </c>
    </row>
    <row r="101">
      <c r="A101" s="39" t="n">
        <v>5401</v>
      </c>
      <c r="B101" s="29" t="inlineStr">
        <is>
          <t>فروق جرد المخزون (عجز/زيادة)</t>
        </is>
      </c>
      <c r="C101" s="29" t="inlineStr">
        <is>
          <t>Inventory Count Variance</t>
        </is>
      </c>
      <c r="D101" s="39" t="inlineStr">
        <is>
          <t>C</t>
        </is>
      </c>
      <c r="E101" s="39" t="n">
        <v>3</v>
      </c>
      <c r="F101" s="39" t="inlineStr">
        <is>
          <t>نعم</t>
        </is>
      </c>
      <c r="G101" s="39" t="inlineStr">
        <is>
          <t>مدين</t>
        </is>
      </c>
      <c r="H101" s="39" t="n">
        <v>0</v>
      </c>
      <c r="I101" s="29" t="inlineStr">
        <is>
          <t>OPERATING</t>
        </is>
      </c>
      <c r="J101" s="39" t="inlineStr">
        <is>
          <t>لا</t>
        </is>
      </c>
      <c r="K101" s="39" t="inlineStr">
        <is>
          <t>لا</t>
        </is>
      </c>
      <c r="L101" s="39" t="inlineStr">
        <is>
          <t>نعم</t>
        </is>
      </c>
      <c r="M101" s="29" t="n"/>
      <c r="N101" s="29" t="n"/>
      <c r="O101" s="29" t="inlineStr"/>
      <c r="P101" s="32">
        <f>IF($A101="","",IF($F101="نعم",$A101,$M101))</f>
        <v/>
      </c>
      <c r="Q101" s="32">
        <f>IF($A101="","",IF($F101="نعم",$A101,$N101))</f>
        <v/>
      </c>
      <c r="R101" s="32">
        <f>IF($A101="","",IF(AND($F101="نعم",$L101&lt;&gt;"لا"),1,0))</f>
        <v/>
      </c>
      <c r="S101" s="32">
        <f>IF($D101="","",IFERROR(INDEX(Lists!$AK$5:$AK$10,MATCH($D101,Lists!$AJ$5:$AJ$10,0)),"نوع غير معرف"))</f>
        <v/>
      </c>
      <c r="T101" s="32">
        <f>IF($A101="","",IF(COUNTIF($A:$A,$A101)&gt;1,"كود حساب مكرر",IF($B101="","اسم الحساب ناقص",IF(AND($F101="نعم",$G101=""),"الطبيعة ناقصة",IF(AND($F101&lt;&gt;"نعم",OR($M101="",$N101="")),"الحساب الرئيسي يحتاج نطاقًا (من/إلى)",IF(AND($H101=1,$F101&lt;&gt;"نعم"),"حساب نقدية يجب أن يكون قابلًا للترحيل",IF(AND($F101="نعم",$D101=""),"النوع ناقص","")))))))</f>
        <v/>
      </c>
    </row>
    <row r="102">
      <c r="A102" s="39" t="n">
        <v>5402</v>
      </c>
      <c r="B102" s="29" t="inlineStr">
        <is>
          <t>فروق التكلفة والأسعار</t>
        </is>
      </c>
      <c r="C102" s="29" t="inlineStr">
        <is>
          <t>Cost / Price Variance</t>
        </is>
      </c>
      <c r="D102" s="39" t="inlineStr">
        <is>
          <t>C</t>
        </is>
      </c>
      <c r="E102" s="39" t="n">
        <v>3</v>
      </c>
      <c r="F102" s="39" t="inlineStr">
        <is>
          <t>نعم</t>
        </is>
      </c>
      <c r="G102" s="39" t="inlineStr">
        <is>
          <t>مدين</t>
        </is>
      </c>
      <c r="H102" s="39" t="n">
        <v>0</v>
      </c>
      <c r="I102" s="29" t="inlineStr">
        <is>
          <t>OPERATING</t>
        </is>
      </c>
      <c r="J102" s="39" t="inlineStr">
        <is>
          <t>لا</t>
        </is>
      </c>
      <c r="K102" s="39" t="inlineStr">
        <is>
          <t>لا</t>
        </is>
      </c>
      <c r="L102" s="39" t="inlineStr">
        <is>
          <t>نعم</t>
        </is>
      </c>
      <c r="M102" s="29" t="n"/>
      <c r="N102" s="29" t="n"/>
      <c r="O102" s="29" t="inlineStr"/>
      <c r="P102" s="32">
        <f>IF($A102="","",IF($F102="نعم",$A102,$M102))</f>
        <v/>
      </c>
      <c r="Q102" s="32">
        <f>IF($A102="","",IF($F102="نعم",$A102,$N102))</f>
        <v/>
      </c>
      <c r="R102" s="32">
        <f>IF($A102="","",IF(AND($F102="نعم",$L102&lt;&gt;"لا"),1,0))</f>
        <v/>
      </c>
      <c r="S102" s="32">
        <f>IF($D102="","",IFERROR(INDEX(Lists!$AK$5:$AK$10,MATCH($D102,Lists!$AJ$5:$AJ$10,0)),"نوع غير معرف"))</f>
        <v/>
      </c>
      <c r="T102" s="32">
        <f>IF($A102="","",IF(COUNTIF($A:$A,$A102)&gt;1,"كود حساب مكرر",IF($B102="","اسم الحساب ناقص",IF(AND($F102="نعم",$G102=""),"الطبيعة ناقصة",IF(AND($F102&lt;&gt;"نعم",OR($M102="",$N102="")),"الحساب الرئيسي يحتاج نطاقًا (من/إلى)",IF(AND($H102=1,$F102&lt;&gt;"نعم"),"حساب نقدية يجب أن يكون قابلًا للترحيل",IF(AND($F102="نعم",$D102=""),"النوع ناقص","")))))))</f>
        <v/>
      </c>
    </row>
    <row r="103">
      <c r="A103" s="39" t="n">
        <v>6000</v>
      </c>
      <c r="B103" s="29" t="inlineStr">
        <is>
          <t>المصروفات التشغيلية والإدارية</t>
        </is>
      </c>
      <c r="C103" s="29" t="inlineStr">
        <is>
          <t>Operating &amp; Admin Expenses</t>
        </is>
      </c>
      <c r="D103" s="39" t="inlineStr">
        <is>
          <t>X</t>
        </is>
      </c>
      <c r="E103" s="39" t="n">
        <v>1</v>
      </c>
      <c r="F103" s="39" t="inlineStr">
        <is>
          <t>لا</t>
        </is>
      </c>
      <c r="G103" s="39" t="inlineStr">
        <is>
          <t>مدين</t>
        </is>
      </c>
      <c r="H103" s="39" t="n">
        <v>0</v>
      </c>
      <c r="I103" s="29" t="inlineStr">
        <is>
          <t>OPERATING</t>
        </is>
      </c>
      <c r="J103" s="39" t="inlineStr">
        <is>
          <t>لا</t>
        </is>
      </c>
      <c r="K103" s="39" t="inlineStr">
        <is>
          <t>لا</t>
        </is>
      </c>
      <c r="L103" s="39" t="inlineStr">
        <is>
          <t>نعم</t>
        </is>
      </c>
      <c r="M103" s="29" t="n">
        <v>6000</v>
      </c>
      <c r="N103" s="29" t="n">
        <v>6999</v>
      </c>
      <c r="O103" s="29" t="inlineStr"/>
      <c r="P103" s="32">
        <f>IF($A103="","",IF($F103="نعم",$A103,$M103))</f>
        <v/>
      </c>
      <c r="Q103" s="32">
        <f>IF($A103="","",IF($F103="نعم",$A103,$N103))</f>
        <v/>
      </c>
      <c r="R103" s="32">
        <f>IF($A103="","",IF(AND($F103="نعم",$L103&lt;&gt;"لا"),1,0))</f>
        <v/>
      </c>
      <c r="S103" s="32">
        <f>IF($D103="","",IFERROR(INDEX(Lists!$AK$5:$AK$10,MATCH($D103,Lists!$AJ$5:$AJ$10,0)),"نوع غير معرف"))</f>
        <v/>
      </c>
      <c r="T103" s="32">
        <f>IF($A103="","",IF(COUNTIF($A:$A,$A103)&gt;1,"كود حساب مكرر",IF($B103="","اسم الحساب ناقص",IF(AND($F103="نعم",$G103=""),"الطبيعة ناقصة",IF(AND($F103&lt;&gt;"نعم",OR($M103="",$N103="")),"الحساب الرئيسي يحتاج نطاقًا (من/إلى)",IF(AND($H103=1,$F103&lt;&gt;"نعم"),"حساب نقدية يجب أن يكون قابلًا للترحيل",IF(AND($F103="نعم",$D103=""),"النوع ناقص","")))))))</f>
        <v/>
      </c>
    </row>
    <row r="104">
      <c r="A104" s="39" t="n">
        <v>6100</v>
      </c>
      <c r="B104" s="29" t="inlineStr">
        <is>
          <t>الرواتب والأجور</t>
        </is>
      </c>
      <c r="C104" s="29" t="inlineStr">
        <is>
          <t>Payroll</t>
        </is>
      </c>
      <c r="D104" s="39" t="inlineStr">
        <is>
          <t>X</t>
        </is>
      </c>
      <c r="E104" s="39" t="n">
        <v>2</v>
      </c>
      <c r="F104" s="39" t="inlineStr">
        <is>
          <t>لا</t>
        </is>
      </c>
      <c r="G104" s="39" t="inlineStr">
        <is>
          <t>مدين</t>
        </is>
      </c>
      <c r="H104" s="39" t="n">
        <v>0</v>
      </c>
      <c r="I104" s="29" t="inlineStr">
        <is>
          <t>OPERATING</t>
        </is>
      </c>
      <c r="J104" s="39" t="inlineStr">
        <is>
          <t>لا</t>
        </is>
      </c>
      <c r="K104" s="39" t="inlineStr">
        <is>
          <t>لا</t>
        </is>
      </c>
      <c r="L104" s="39" t="inlineStr">
        <is>
          <t>نعم</t>
        </is>
      </c>
      <c r="M104" s="29" t="n">
        <v>6100</v>
      </c>
      <c r="N104" s="29" t="n">
        <v>6199</v>
      </c>
      <c r="O104" s="29" t="inlineStr"/>
      <c r="P104" s="32">
        <f>IF($A104="","",IF($F104="نعم",$A104,$M104))</f>
        <v/>
      </c>
      <c r="Q104" s="32">
        <f>IF($A104="","",IF($F104="نعم",$A104,$N104))</f>
        <v/>
      </c>
      <c r="R104" s="32">
        <f>IF($A104="","",IF(AND($F104="نعم",$L104&lt;&gt;"لا"),1,0))</f>
        <v/>
      </c>
      <c r="S104" s="32">
        <f>IF($D104="","",IFERROR(INDEX(Lists!$AK$5:$AK$10,MATCH($D104,Lists!$AJ$5:$AJ$10,0)),"نوع غير معرف"))</f>
        <v/>
      </c>
      <c r="T104" s="32">
        <f>IF($A104="","",IF(COUNTIF($A:$A,$A104)&gt;1,"كود حساب مكرر",IF($B104="","اسم الحساب ناقص",IF(AND($F104="نعم",$G104=""),"الطبيعة ناقصة",IF(AND($F104&lt;&gt;"نعم",OR($M104="",$N104="")),"الحساب الرئيسي يحتاج نطاقًا (من/إلى)",IF(AND($H104=1,$F104&lt;&gt;"نعم"),"حساب نقدية يجب أن يكون قابلًا للترحيل",IF(AND($F104="نعم",$D104=""),"النوع ناقص","")))))))</f>
        <v/>
      </c>
    </row>
    <row r="105">
      <c r="A105" s="39" t="n">
        <v>6101</v>
      </c>
      <c r="B105" s="29" t="inlineStr">
        <is>
          <t>رواتب وأجور</t>
        </is>
      </c>
      <c r="C105" s="29" t="inlineStr">
        <is>
          <t>Salaries &amp; Wages</t>
        </is>
      </c>
      <c r="D105" s="39" t="inlineStr">
        <is>
          <t>X</t>
        </is>
      </c>
      <c r="E105" s="39" t="n">
        <v>3</v>
      </c>
      <c r="F105" s="39" t="inlineStr">
        <is>
          <t>نعم</t>
        </is>
      </c>
      <c r="G105" s="39" t="inlineStr">
        <is>
          <t>مدين</t>
        </is>
      </c>
      <c r="H105" s="39" t="n">
        <v>0</v>
      </c>
      <c r="I105" s="29" t="inlineStr">
        <is>
          <t>OPERATING</t>
        </is>
      </c>
      <c r="J105" s="39" t="inlineStr">
        <is>
          <t>نعم</t>
        </is>
      </c>
      <c r="K105" s="39" t="inlineStr">
        <is>
          <t>لا</t>
        </is>
      </c>
      <c r="L105" s="39" t="inlineStr">
        <is>
          <t>نعم</t>
        </is>
      </c>
      <c r="M105" s="29" t="n"/>
      <c r="N105" s="29" t="n"/>
      <c r="O105" s="29" t="inlineStr"/>
      <c r="P105" s="32">
        <f>IF($A105="","",IF($F105="نعم",$A105,$M105))</f>
        <v/>
      </c>
      <c r="Q105" s="32">
        <f>IF($A105="","",IF($F105="نعم",$A105,$N105))</f>
        <v/>
      </c>
      <c r="R105" s="32">
        <f>IF($A105="","",IF(AND($F105="نعم",$L105&lt;&gt;"لا"),1,0))</f>
        <v/>
      </c>
      <c r="S105" s="32">
        <f>IF($D105="","",IFERROR(INDEX(Lists!$AK$5:$AK$10,MATCH($D105,Lists!$AJ$5:$AJ$10,0)),"نوع غير معرف"))</f>
        <v/>
      </c>
      <c r="T105" s="32">
        <f>IF($A105="","",IF(COUNTIF($A:$A,$A105)&gt;1,"كود حساب مكرر",IF($B105="","اسم الحساب ناقص",IF(AND($F105="نعم",$G105=""),"الطبيعة ناقصة",IF(AND($F105&lt;&gt;"نعم",OR($M105="",$N105="")),"الحساب الرئيسي يحتاج نطاقًا (من/إلى)",IF(AND($H105=1,$F105&lt;&gt;"نعم"),"حساب نقدية يجب أن يكون قابلًا للترحيل",IF(AND($F105="نعم",$D105=""),"النوع ناقص","")))))))</f>
        <v/>
      </c>
    </row>
    <row r="106">
      <c r="A106" s="39" t="n">
        <v>6102</v>
      </c>
      <c r="B106" s="29" t="inlineStr">
        <is>
          <t>تأمينات اجتماعية (حصة صاحب العمل)</t>
        </is>
      </c>
      <c r="C106" s="29" t="inlineStr">
        <is>
          <t>Employer Social Insurance</t>
        </is>
      </c>
      <c r="D106" s="39" t="inlineStr">
        <is>
          <t>X</t>
        </is>
      </c>
      <c r="E106" s="39" t="n">
        <v>3</v>
      </c>
      <c r="F106" s="39" t="inlineStr">
        <is>
          <t>نعم</t>
        </is>
      </c>
      <c r="G106" s="39" t="inlineStr">
        <is>
          <t>مدين</t>
        </is>
      </c>
      <c r="H106" s="39" t="n">
        <v>0</v>
      </c>
      <c r="I106" s="29" t="inlineStr">
        <is>
          <t>OPERATING</t>
        </is>
      </c>
      <c r="J106" s="39" t="inlineStr">
        <is>
          <t>نعم</t>
        </is>
      </c>
      <c r="K106" s="39" t="inlineStr">
        <is>
          <t>لا</t>
        </is>
      </c>
      <c r="L106" s="39" t="inlineStr">
        <is>
          <t>نعم</t>
        </is>
      </c>
      <c r="M106" s="29" t="n"/>
      <c r="N106" s="29" t="n"/>
      <c r="O106" s="29" t="inlineStr"/>
      <c r="P106" s="32">
        <f>IF($A106="","",IF($F106="نعم",$A106,$M106))</f>
        <v/>
      </c>
      <c r="Q106" s="32">
        <f>IF($A106="","",IF($F106="نعم",$A106,$N106))</f>
        <v/>
      </c>
      <c r="R106" s="32">
        <f>IF($A106="","",IF(AND($F106="نعم",$L106&lt;&gt;"لا"),1,0))</f>
        <v/>
      </c>
      <c r="S106" s="32">
        <f>IF($D106="","",IFERROR(INDEX(Lists!$AK$5:$AK$10,MATCH($D106,Lists!$AJ$5:$AJ$10,0)),"نوع غير معرف"))</f>
        <v/>
      </c>
      <c r="T106" s="32">
        <f>IF($A106="","",IF(COUNTIF($A:$A,$A106)&gt;1,"كود حساب مكرر",IF($B106="","اسم الحساب ناقص",IF(AND($F106="نعم",$G106=""),"الطبيعة ناقصة",IF(AND($F106&lt;&gt;"نعم",OR($M106="",$N106="")),"الحساب الرئيسي يحتاج نطاقًا (من/إلى)",IF(AND($H106=1,$F106&lt;&gt;"نعم"),"حساب نقدية يجب أن يكون قابلًا للترحيل",IF(AND($F106="نعم",$D106=""),"النوع ناقص","")))))))</f>
        <v/>
      </c>
    </row>
    <row r="107">
      <c r="A107" s="39" t="n">
        <v>6103</v>
      </c>
      <c r="B107" s="29" t="inlineStr">
        <is>
          <t>حوافز ومكافآت</t>
        </is>
      </c>
      <c r="C107" s="29" t="inlineStr">
        <is>
          <t>Bonuses</t>
        </is>
      </c>
      <c r="D107" s="39" t="inlineStr">
        <is>
          <t>X</t>
        </is>
      </c>
      <c r="E107" s="39" t="n">
        <v>3</v>
      </c>
      <c r="F107" s="39" t="inlineStr">
        <is>
          <t>نعم</t>
        </is>
      </c>
      <c r="G107" s="39" t="inlineStr">
        <is>
          <t>مدين</t>
        </is>
      </c>
      <c r="H107" s="39" t="n">
        <v>0</v>
      </c>
      <c r="I107" s="29" t="inlineStr">
        <is>
          <t>OPERATING</t>
        </is>
      </c>
      <c r="J107" s="39" t="inlineStr">
        <is>
          <t>نعم</t>
        </is>
      </c>
      <c r="K107" s="39" t="inlineStr">
        <is>
          <t>لا</t>
        </is>
      </c>
      <c r="L107" s="39" t="inlineStr">
        <is>
          <t>نعم</t>
        </is>
      </c>
      <c r="M107" s="29" t="n"/>
      <c r="N107" s="29" t="n"/>
      <c r="O107" s="29" t="inlineStr"/>
      <c r="P107" s="32">
        <f>IF($A107="","",IF($F107="نعم",$A107,$M107))</f>
        <v/>
      </c>
      <c r="Q107" s="32">
        <f>IF($A107="","",IF($F107="نعم",$A107,$N107))</f>
        <v/>
      </c>
      <c r="R107" s="32">
        <f>IF($A107="","",IF(AND($F107="نعم",$L107&lt;&gt;"لا"),1,0))</f>
        <v/>
      </c>
      <c r="S107" s="32">
        <f>IF($D107="","",IFERROR(INDEX(Lists!$AK$5:$AK$10,MATCH($D107,Lists!$AJ$5:$AJ$10,0)),"نوع غير معرف"))</f>
        <v/>
      </c>
      <c r="T107" s="32">
        <f>IF($A107="","",IF(COUNTIF($A:$A,$A107)&gt;1,"كود حساب مكرر",IF($B107="","اسم الحساب ناقص",IF(AND($F107="نعم",$G107=""),"الطبيعة ناقصة",IF(AND($F107&lt;&gt;"نعم",OR($M107="",$N107="")),"الحساب الرئيسي يحتاج نطاقًا (من/إلى)",IF(AND($H107=1,$F107&lt;&gt;"نعم"),"حساب نقدية يجب أن يكون قابلًا للترحيل",IF(AND($F107="نعم",$D107=""),"النوع ناقص","")))))))</f>
        <v/>
      </c>
    </row>
    <row r="108">
      <c r="A108" s="39" t="n">
        <v>6104</v>
      </c>
      <c r="B108" s="29" t="inlineStr">
        <is>
          <t>أجر إضافي</t>
        </is>
      </c>
      <c r="C108" s="29" t="inlineStr">
        <is>
          <t>Overtime</t>
        </is>
      </c>
      <c r="D108" s="39" t="inlineStr">
        <is>
          <t>X</t>
        </is>
      </c>
      <c r="E108" s="39" t="n">
        <v>3</v>
      </c>
      <c r="F108" s="39" t="inlineStr">
        <is>
          <t>نعم</t>
        </is>
      </c>
      <c r="G108" s="39" t="inlineStr">
        <is>
          <t>مدين</t>
        </is>
      </c>
      <c r="H108" s="39" t="n">
        <v>0</v>
      </c>
      <c r="I108" s="29" t="inlineStr">
        <is>
          <t>OPERATING</t>
        </is>
      </c>
      <c r="J108" s="39" t="inlineStr">
        <is>
          <t>نعم</t>
        </is>
      </c>
      <c r="K108" s="39" t="inlineStr">
        <is>
          <t>لا</t>
        </is>
      </c>
      <c r="L108" s="39" t="inlineStr">
        <is>
          <t>نعم</t>
        </is>
      </c>
      <c r="M108" s="29" t="n"/>
      <c r="N108" s="29" t="n"/>
      <c r="O108" s="29" t="inlineStr"/>
      <c r="P108" s="32">
        <f>IF($A108="","",IF($F108="نعم",$A108,$M108))</f>
        <v/>
      </c>
      <c r="Q108" s="32">
        <f>IF($A108="","",IF($F108="نعم",$A108,$N108))</f>
        <v/>
      </c>
      <c r="R108" s="32">
        <f>IF($A108="","",IF(AND($F108="نعم",$L108&lt;&gt;"لا"),1,0))</f>
        <v/>
      </c>
      <c r="S108" s="32">
        <f>IF($D108="","",IFERROR(INDEX(Lists!$AK$5:$AK$10,MATCH($D108,Lists!$AJ$5:$AJ$10,0)),"نوع غير معرف"))</f>
        <v/>
      </c>
      <c r="T108" s="32">
        <f>IF($A108="","",IF(COUNTIF($A:$A,$A108)&gt;1,"كود حساب مكرر",IF($B108="","اسم الحساب ناقص",IF(AND($F108="نعم",$G108=""),"الطبيعة ناقصة",IF(AND($F108&lt;&gt;"نعم",OR($M108="",$N108="")),"الحساب الرئيسي يحتاج نطاقًا (من/إلى)",IF(AND($H108=1,$F108&lt;&gt;"نعم"),"حساب نقدية يجب أن يكون قابلًا للترحيل",IF(AND($F108="نعم",$D108=""),"النوع ناقص","")))))))</f>
        <v/>
      </c>
    </row>
    <row r="109">
      <c r="A109" s="39" t="n">
        <v>6200</v>
      </c>
      <c r="B109" s="29" t="inlineStr">
        <is>
          <t>الإيجارات</t>
        </is>
      </c>
      <c r="C109" s="29" t="inlineStr">
        <is>
          <t>Rent</t>
        </is>
      </c>
      <c r="D109" s="39" t="inlineStr">
        <is>
          <t>X</t>
        </is>
      </c>
      <c r="E109" s="39" t="n">
        <v>2</v>
      </c>
      <c r="F109" s="39" t="inlineStr">
        <is>
          <t>لا</t>
        </is>
      </c>
      <c r="G109" s="39" t="inlineStr">
        <is>
          <t>مدين</t>
        </is>
      </c>
      <c r="H109" s="39" t="n">
        <v>0</v>
      </c>
      <c r="I109" s="29" t="inlineStr">
        <is>
          <t>OPERATING</t>
        </is>
      </c>
      <c r="J109" s="39" t="inlineStr">
        <is>
          <t>لا</t>
        </is>
      </c>
      <c r="K109" s="39" t="inlineStr">
        <is>
          <t>لا</t>
        </is>
      </c>
      <c r="L109" s="39" t="inlineStr">
        <is>
          <t>نعم</t>
        </is>
      </c>
      <c r="M109" s="29" t="n">
        <v>6200</v>
      </c>
      <c r="N109" s="29" t="n">
        <v>6299</v>
      </c>
      <c r="O109" s="29" t="inlineStr"/>
      <c r="P109" s="32">
        <f>IF($A109="","",IF($F109="نعم",$A109,$M109))</f>
        <v/>
      </c>
      <c r="Q109" s="32">
        <f>IF($A109="","",IF($F109="نعم",$A109,$N109))</f>
        <v/>
      </c>
      <c r="R109" s="32">
        <f>IF($A109="","",IF(AND($F109="نعم",$L109&lt;&gt;"لا"),1,0))</f>
        <v/>
      </c>
      <c r="S109" s="32">
        <f>IF($D109="","",IFERROR(INDEX(Lists!$AK$5:$AK$10,MATCH($D109,Lists!$AJ$5:$AJ$10,0)),"نوع غير معرف"))</f>
        <v/>
      </c>
      <c r="T109" s="32">
        <f>IF($A109="","",IF(COUNTIF($A:$A,$A109)&gt;1,"كود حساب مكرر",IF($B109="","اسم الحساب ناقص",IF(AND($F109="نعم",$G109=""),"الطبيعة ناقصة",IF(AND($F109&lt;&gt;"نعم",OR($M109="",$N109="")),"الحساب الرئيسي يحتاج نطاقًا (من/إلى)",IF(AND($H109=1,$F109&lt;&gt;"نعم"),"حساب نقدية يجب أن يكون قابلًا للترحيل",IF(AND($F109="نعم",$D109=""),"النوع ناقص","")))))))</f>
        <v/>
      </c>
    </row>
    <row r="110">
      <c r="A110" s="39" t="n">
        <v>6201</v>
      </c>
      <c r="B110" s="29" t="inlineStr">
        <is>
          <t>إيجار الفروع</t>
        </is>
      </c>
      <c r="C110" s="29" t="inlineStr">
        <is>
          <t>Rent - Branches</t>
        </is>
      </c>
      <c r="D110" s="39" t="inlineStr">
        <is>
          <t>X</t>
        </is>
      </c>
      <c r="E110" s="39" t="n">
        <v>3</v>
      </c>
      <c r="F110" s="39" t="inlineStr">
        <is>
          <t>نعم</t>
        </is>
      </c>
      <c r="G110" s="39" t="inlineStr">
        <is>
          <t>مدين</t>
        </is>
      </c>
      <c r="H110" s="39" t="n">
        <v>0</v>
      </c>
      <c r="I110" s="29" t="inlineStr">
        <is>
          <t>OPERATING</t>
        </is>
      </c>
      <c r="J110" s="39" t="inlineStr">
        <is>
          <t>نعم</t>
        </is>
      </c>
      <c r="K110" s="39" t="inlineStr">
        <is>
          <t>لا</t>
        </is>
      </c>
      <c r="L110" s="39" t="inlineStr">
        <is>
          <t>نعم</t>
        </is>
      </c>
      <c r="M110" s="29" t="n"/>
      <c r="N110" s="29" t="n"/>
      <c r="O110" s="29" t="inlineStr"/>
      <c r="P110" s="32">
        <f>IF($A110="","",IF($F110="نعم",$A110,$M110))</f>
        <v/>
      </c>
      <c r="Q110" s="32">
        <f>IF($A110="","",IF($F110="نعم",$A110,$N110))</f>
        <v/>
      </c>
      <c r="R110" s="32">
        <f>IF($A110="","",IF(AND($F110="نعم",$L110&lt;&gt;"لا"),1,0))</f>
        <v/>
      </c>
      <c r="S110" s="32">
        <f>IF($D110="","",IFERROR(INDEX(Lists!$AK$5:$AK$10,MATCH($D110,Lists!$AJ$5:$AJ$10,0)),"نوع غير معرف"))</f>
        <v/>
      </c>
      <c r="T110" s="32">
        <f>IF($A110="","",IF(COUNTIF($A:$A,$A110)&gt;1,"كود حساب مكرر",IF($B110="","اسم الحساب ناقص",IF(AND($F110="نعم",$G110=""),"الطبيعة ناقصة",IF(AND($F110&lt;&gt;"نعم",OR($M110="",$N110="")),"الحساب الرئيسي يحتاج نطاقًا (من/إلى)",IF(AND($H110=1,$F110&lt;&gt;"نعم"),"حساب نقدية يجب أن يكون قابلًا للترحيل",IF(AND($F110="نعم",$D110=""),"النوع ناقص","")))))))</f>
        <v/>
      </c>
    </row>
    <row r="111">
      <c r="A111" s="39" t="n">
        <v>6202</v>
      </c>
      <c r="B111" s="29" t="inlineStr">
        <is>
          <t>إيجار المخزن والمطبخ المركزي</t>
        </is>
      </c>
      <c r="C111" s="29" t="inlineStr">
        <is>
          <t>Rent - Warehouse &amp; CK</t>
        </is>
      </c>
      <c r="D111" s="39" t="inlineStr">
        <is>
          <t>X</t>
        </is>
      </c>
      <c r="E111" s="39" t="n">
        <v>3</v>
      </c>
      <c r="F111" s="39" t="inlineStr">
        <is>
          <t>نعم</t>
        </is>
      </c>
      <c r="G111" s="39" t="inlineStr">
        <is>
          <t>مدين</t>
        </is>
      </c>
      <c r="H111" s="39" t="n">
        <v>0</v>
      </c>
      <c r="I111" s="29" t="inlineStr">
        <is>
          <t>OPERATING</t>
        </is>
      </c>
      <c r="J111" s="39" t="inlineStr">
        <is>
          <t>نعم</t>
        </is>
      </c>
      <c r="K111" s="39" t="inlineStr">
        <is>
          <t>لا</t>
        </is>
      </c>
      <c r="L111" s="39" t="inlineStr">
        <is>
          <t>نعم</t>
        </is>
      </c>
      <c r="M111" s="29" t="n"/>
      <c r="N111" s="29" t="n"/>
      <c r="O111" s="29" t="inlineStr"/>
      <c r="P111" s="32">
        <f>IF($A111="","",IF($F111="نعم",$A111,$M111))</f>
        <v/>
      </c>
      <c r="Q111" s="32">
        <f>IF($A111="","",IF($F111="نعم",$A111,$N111))</f>
        <v/>
      </c>
      <c r="R111" s="32">
        <f>IF($A111="","",IF(AND($F111="نعم",$L111&lt;&gt;"لا"),1,0))</f>
        <v/>
      </c>
      <c r="S111" s="32">
        <f>IF($D111="","",IFERROR(INDEX(Lists!$AK$5:$AK$10,MATCH($D111,Lists!$AJ$5:$AJ$10,0)),"نوع غير معرف"))</f>
        <v/>
      </c>
      <c r="T111" s="32">
        <f>IF($A111="","",IF(COUNTIF($A:$A,$A111)&gt;1,"كود حساب مكرر",IF($B111="","اسم الحساب ناقص",IF(AND($F111="نعم",$G111=""),"الطبيعة ناقصة",IF(AND($F111&lt;&gt;"نعم",OR($M111="",$N111="")),"الحساب الرئيسي يحتاج نطاقًا (من/إلى)",IF(AND($H111=1,$F111&lt;&gt;"نعم"),"حساب نقدية يجب أن يكون قابلًا للترحيل",IF(AND($F111="نعم",$D111=""),"النوع ناقص","")))))))</f>
        <v/>
      </c>
    </row>
    <row r="112">
      <c r="A112" s="39" t="n">
        <v>6203</v>
      </c>
      <c r="B112" s="29" t="inlineStr">
        <is>
          <t>إيجار الإدارة</t>
        </is>
      </c>
      <c r="C112" s="29" t="inlineStr">
        <is>
          <t>Rent - Head Office</t>
        </is>
      </c>
      <c r="D112" s="39" t="inlineStr">
        <is>
          <t>X</t>
        </is>
      </c>
      <c r="E112" s="39" t="n">
        <v>3</v>
      </c>
      <c r="F112" s="39" t="inlineStr">
        <is>
          <t>نعم</t>
        </is>
      </c>
      <c r="G112" s="39" t="inlineStr">
        <is>
          <t>مدين</t>
        </is>
      </c>
      <c r="H112" s="39" t="n">
        <v>0</v>
      </c>
      <c r="I112" s="29" t="inlineStr">
        <is>
          <t>OPERATING</t>
        </is>
      </c>
      <c r="J112" s="39" t="inlineStr">
        <is>
          <t>نعم</t>
        </is>
      </c>
      <c r="K112" s="39" t="inlineStr">
        <is>
          <t>لا</t>
        </is>
      </c>
      <c r="L112" s="39" t="inlineStr">
        <is>
          <t>نعم</t>
        </is>
      </c>
      <c r="M112" s="29" t="n"/>
      <c r="N112" s="29" t="n"/>
      <c r="O112" s="29" t="inlineStr"/>
      <c r="P112" s="32">
        <f>IF($A112="","",IF($F112="نعم",$A112,$M112))</f>
        <v/>
      </c>
      <c r="Q112" s="32">
        <f>IF($A112="","",IF($F112="نعم",$A112,$N112))</f>
        <v/>
      </c>
      <c r="R112" s="32">
        <f>IF($A112="","",IF(AND($F112="نعم",$L112&lt;&gt;"لا"),1,0))</f>
        <v/>
      </c>
      <c r="S112" s="32">
        <f>IF($D112="","",IFERROR(INDEX(Lists!$AK$5:$AK$10,MATCH($D112,Lists!$AJ$5:$AJ$10,0)),"نوع غير معرف"))</f>
        <v/>
      </c>
      <c r="T112" s="32">
        <f>IF($A112="","",IF(COUNTIF($A:$A,$A112)&gt;1,"كود حساب مكرر",IF($B112="","اسم الحساب ناقص",IF(AND($F112="نعم",$G112=""),"الطبيعة ناقصة",IF(AND($F112&lt;&gt;"نعم",OR($M112="",$N112="")),"الحساب الرئيسي يحتاج نطاقًا (من/إلى)",IF(AND($H112=1,$F112&lt;&gt;"نعم"),"حساب نقدية يجب أن يكون قابلًا للترحيل",IF(AND($F112="نعم",$D112=""),"النوع ناقص","")))))))</f>
        <v/>
      </c>
    </row>
    <row r="113">
      <c r="A113" s="39" t="n">
        <v>6300</v>
      </c>
      <c r="B113" s="29" t="inlineStr">
        <is>
          <t>المرافق والاتصالات</t>
        </is>
      </c>
      <c r="C113" s="29" t="inlineStr">
        <is>
          <t>Utilities &amp; Comms</t>
        </is>
      </c>
      <c r="D113" s="39" t="inlineStr">
        <is>
          <t>X</t>
        </is>
      </c>
      <c r="E113" s="39" t="n">
        <v>2</v>
      </c>
      <c r="F113" s="39" t="inlineStr">
        <is>
          <t>لا</t>
        </is>
      </c>
      <c r="G113" s="39" t="inlineStr">
        <is>
          <t>مدين</t>
        </is>
      </c>
      <c r="H113" s="39" t="n">
        <v>0</v>
      </c>
      <c r="I113" s="29" t="inlineStr">
        <is>
          <t>OPERATING</t>
        </is>
      </c>
      <c r="J113" s="39" t="inlineStr">
        <is>
          <t>لا</t>
        </is>
      </c>
      <c r="K113" s="39" t="inlineStr">
        <is>
          <t>لا</t>
        </is>
      </c>
      <c r="L113" s="39" t="inlineStr">
        <is>
          <t>نعم</t>
        </is>
      </c>
      <c r="M113" s="29" t="n">
        <v>6300</v>
      </c>
      <c r="N113" s="29" t="n">
        <v>6399</v>
      </c>
      <c r="O113" s="29" t="inlineStr"/>
      <c r="P113" s="32">
        <f>IF($A113="","",IF($F113="نعم",$A113,$M113))</f>
        <v/>
      </c>
      <c r="Q113" s="32">
        <f>IF($A113="","",IF($F113="نعم",$A113,$N113))</f>
        <v/>
      </c>
      <c r="R113" s="32">
        <f>IF($A113="","",IF(AND($F113="نعم",$L113&lt;&gt;"لا"),1,0))</f>
        <v/>
      </c>
      <c r="S113" s="32">
        <f>IF($D113="","",IFERROR(INDEX(Lists!$AK$5:$AK$10,MATCH($D113,Lists!$AJ$5:$AJ$10,0)),"نوع غير معرف"))</f>
        <v/>
      </c>
      <c r="T113" s="32">
        <f>IF($A113="","",IF(COUNTIF($A:$A,$A113)&gt;1,"كود حساب مكرر",IF($B113="","اسم الحساب ناقص",IF(AND($F113="نعم",$G113=""),"الطبيعة ناقصة",IF(AND($F113&lt;&gt;"نعم",OR($M113="",$N113="")),"الحساب الرئيسي يحتاج نطاقًا (من/إلى)",IF(AND($H113=1,$F113&lt;&gt;"نعم"),"حساب نقدية يجب أن يكون قابلًا للترحيل",IF(AND($F113="نعم",$D113=""),"النوع ناقص","")))))))</f>
        <v/>
      </c>
    </row>
    <row r="114">
      <c r="A114" s="39" t="n">
        <v>6301</v>
      </c>
      <c r="B114" s="29" t="inlineStr">
        <is>
          <t>كهرباء</t>
        </is>
      </c>
      <c r="C114" s="29" t="inlineStr">
        <is>
          <t>Electricity</t>
        </is>
      </c>
      <c r="D114" s="39" t="inlineStr">
        <is>
          <t>X</t>
        </is>
      </c>
      <c r="E114" s="39" t="n">
        <v>3</v>
      </c>
      <c r="F114" s="39" t="inlineStr">
        <is>
          <t>نعم</t>
        </is>
      </c>
      <c r="G114" s="39" t="inlineStr">
        <is>
          <t>مدين</t>
        </is>
      </c>
      <c r="H114" s="39" t="n">
        <v>0</v>
      </c>
      <c r="I114" s="29" t="inlineStr">
        <is>
          <t>OPERATING</t>
        </is>
      </c>
      <c r="J114" s="39" t="inlineStr">
        <is>
          <t>نعم</t>
        </is>
      </c>
      <c r="K114" s="39" t="inlineStr">
        <is>
          <t>لا</t>
        </is>
      </c>
      <c r="L114" s="39" t="inlineStr">
        <is>
          <t>نعم</t>
        </is>
      </c>
      <c r="M114" s="29" t="n"/>
      <c r="N114" s="29" t="n"/>
      <c r="O114" s="29" t="inlineStr"/>
      <c r="P114" s="32">
        <f>IF($A114="","",IF($F114="نعم",$A114,$M114))</f>
        <v/>
      </c>
      <c r="Q114" s="32">
        <f>IF($A114="","",IF($F114="نعم",$A114,$N114))</f>
        <v/>
      </c>
      <c r="R114" s="32">
        <f>IF($A114="","",IF(AND($F114="نعم",$L114&lt;&gt;"لا"),1,0))</f>
        <v/>
      </c>
      <c r="S114" s="32">
        <f>IF($D114="","",IFERROR(INDEX(Lists!$AK$5:$AK$10,MATCH($D114,Lists!$AJ$5:$AJ$10,0)),"نوع غير معرف"))</f>
        <v/>
      </c>
      <c r="T114" s="32">
        <f>IF($A114="","",IF(COUNTIF($A:$A,$A114)&gt;1,"كود حساب مكرر",IF($B114="","اسم الحساب ناقص",IF(AND($F114="نعم",$G114=""),"الطبيعة ناقصة",IF(AND($F114&lt;&gt;"نعم",OR($M114="",$N114="")),"الحساب الرئيسي يحتاج نطاقًا (من/إلى)",IF(AND($H114=1,$F114&lt;&gt;"نعم"),"حساب نقدية يجب أن يكون قابلًا للترحيل",IF(AND($F114="نعم",$D114=""),"النوع ناقص","")))))))</f>
        <v/>
      </c>
    </row>
    <row r="115">
      <c r="A115" s="39" t="n">
        <v>6302</v>
      </c>
      <c r="B115" s="29" t="inlineStr">
        <is>
          <t>مياه</t>
        </is>
      </c>
      <c r="C115" s="29" t="inlineStr">
        <is>
          <t>Water</t>
        </is>
      </c>
      <c r="D115" s="39" t="inlineStr">
        <is>
          <t>X</t>
        </is>
      </c>
      <c r="E115" s="39" t="n">
        <v>3</v>
      </c>
      <c r="F115" s="39" t="inlineStr">
        <is>
          <t>نعم</t>
        </is>
      </c>
      <c r="G115" s="39" t="inlineStr">
        <is>
          <t>مدين</t>
        </is>
      </c>
      <c r="H115" s="39" t="n">
        <v>0</v>
      </c>
      <c r="I115" s="29" t="inlineStr">
        <is>
          <t>OPERATING</t>
        </is>
      </c>
      <c r="J115" s="39" t="inlineStr">
        <is>
          <t>نعم</t>
        </is>
      </c>
      <c r="K115" s="39" t="inlineStr">
        <is>
          <t>لا</t>
        </is>
      </c>
      <c r="L115" s="39" t="inlineStr">
        <is>
          <t>نعم</t>
        </is>
      </c>
      <c r="M115" s="29" t="n"/>
      <c r="N115" s="29" t="n"/>
      <c r="O115" s="29" t="inlineStr"/>
      <c r="P115" s="32">
        <f>IF($A115="","",IF($F115="نعم",$A115,$M115))</f>
        <v/>
      </c>
      <c r="Q115" s="32">
        <f>IF($A115="","",IF($F115="نعم",$A115,$N115))</f>
        <v/>
      </c>
      <c r="R115" s="32">
        <f>IF($A115="","",IF(AND($F115="نعم",$L115&lt;&gt;"لا"),1,0))</f>
        <v/>
      </c>
      <c r="S115" s="32">
        <f>IF($D115="","",IFERROR(INDEX(Lists!$AK$5:$AK$10,MATCH($D115,Lists!$AJ$5:$AJ$10,0)),"نوع غير معرف"))</f>
        <v/>
      </c>
      <c r="T115" s="32">
        <f>IF($A115="","",IF(COUNTIF($A:$A,$A115)&gt;1,"كود حساب مكرر",IF($B115="","اسم الحساب ناقص",IF(AND($F115="نعم",$G115=""),"الطبيعة ناقصة",IF(AND($F115&lt;&gt;"نعم",OR($M115="",$N115="")),"الحساب الرئيسي يحتاج نطاقًا (من/إلى)",IF(AND($H115=1,$F115&lt;&gt;"نعم"),"حساب نقدية يجب أن يكون قابلًا للترحيل",IF(AND($F115="نعم",$D115=""),"النوع ناقص","")))))))</f>
        <v/>
      </c>
    </row>
    <row r="116">
      <c r="A116" s="39" t="n">
        <v>6303</v>
      </c>
      <c r="B116" s="29" t="inlineStr">
        <is>
          <t>غاز</t>
        </is>
      </c>
      <c r="C116" s="29" t="inlineStr">
        <is>
          <t>Gas</t>
        </is>
      </c>
      <c r="D116" s="39" t="inlineStr">
        <is>
          <t>X</t>
        </is>
      </c>
      <c r="E116" s="39" t="n">
        <v>3</v>
      </c>
      <c r="F116" s="39" t="inlineStr">
        <is>
          <t>نعم</t>
        </is>
      </c>
      <c r="G116" s="39" t="inlineStr">
        <is>
          <t>مدين</t>
        </is>
      </c>
      <c r="H116" s="39" t="n">
        <v>0</v>
      </c>
      <c r="I116" s="29" t="inlineStr">
        <is>
          <t>OPERATING</t>
        </is>
      </c>
      <c r="J116" s="39" t="inlineStr">
        <is>
          <t>نعم</t>
        </is>
      </c>
      <c r="K116" s="39" t="inlineStr">
        <is>
          <t>لا</t>
        </is>
      </c>
      <c r="L116" s="39" t="inlineStr">
        <is>
          <t>نعم</t>
        </is>
      </c>
      <c r="M116" s="29" t="n"/>
      <c r="N116" s="29" t="n"/>
      <c r="O116" s="29" t="inlineStr"/>
      <c r="P116" s="32">
        <f>IF($A116="","",IF($F116="نعم",$A116,$M116))</f>
        <v/>
      </c>
      <c r="Q116" s="32">
        <f>IF($A116="","",IF($F116="نعم",$A116,$N116))</f>
        <v/>
      </c>
      <c r="R116" s="32">
        <f>IF($A116="","",IF(AND($F116="نعم",$L116&lt;&gt;"لا"),1,0))</f>
        <v/>
      </c>
      <c r="S116" s="32">
        <f>IF($D116="","",IFERROR(INDEX(Lists!$AK$5:$AK$10,MATCH($D116,Lists!$AJ$5:$AJ$10,0)),"نوع غير معرف"))</f>
        <v/>
      </c>
      <c r="T116" s="32">
        <f>IF($A116="","",IF(COUNTIF($A:$A,$A116)&gt;1,"كود حساب مكرر",IF($B116="","اسم الحساب ناقص",IF(AND($F116="نعم",$G116=""),"الطبيعة ناقصة",IF(AND($F116&lt;&gt;"نعم",OR($M116="",$N116="")),"الحساب الرئيسي يحتاج نطاقًا (من/إلى)",IF(AND($H116=1,$F116&lt;&gt;"نعم"),"حساب نقدية يجب أن يكون قابلًا للترحيل",IF(AND($F116="نعم",$D116=""),"النوع ناقص","")))))))</f>
        <v/>
      </c>
    </row>
    <row r="117">
      <c r="A117" s="39" t="n">
        <v>6304</v>
      </c>
      <c r="B117" s="29" t="inlineStr">
        <is>
          <t>إنترنت واتصالات</t>
        </is>
      </c>
      <c r="C117" s="29" t="inlineStr">
        <is>
          <t>Internet &amp; Telecom</t>
        </is>
      </c>
      <c r="D117" s="39" t="inlineStr">
        <is>
          <t>X</t>
        </is>
      </c>
      <c r="E117" s="39" t="n">
        <v>3</v>
      </c>
      <c r="F117" s="39" t="inlineStr">
        <is>
          <t>نعم</t>
        </is>
      </c>
      <c r="G117" s="39" t="inlineStr">
        <is>
          <t>مدين</t>
        </is>
      </c>
      <c r="H117" s="39" t="n">
        <v>0</v>
      </c>
      <c r="I117" s="29" t="inlineStr">
        <is>
          <t>OPERATING</t>
        </is>
      </c>
      <c r="J117" s="39" t="inlineStr">
        <is>
          <t>نعم</t>
        </is>
      </c>
      <c r="K117" s="39" t="inlineStr">
        <is>
          <t>لا</t>
        </is>
      </c>
      <c r="L117" s="39" t="inlineStr">
        <is>
          <t>نعم</t>
        </is>
      </c>
      <c r="M117" s="29" t="n"/>
      <c r="N117" s="29" t="n"/>
      <c r="O117" s="29" t="inlineStr"/>
      <c r="P117" s="32">
        <f>IF($A117="","",IF($F117="نعم",$A117,$M117))</f>
        <v/>
      </c>
      <c r="Q117" s="32">
        <f>IF($A117="","",IF($F117="نعم",$A117,$N117))</f>
        <v/>
      </c>
      <c r="R117" s="32">
        <f>IF($A117="","",IF(AND($F117="نعم",$L117&lt;&gt;"لا"),1,0))</f>
        <v/>
      </c>
      <c r="S117" s="32">
        <f>IF($D117="","",IFERROR(INDEX(Lists!$AK$5:$AK$10,MATCH($D117,Lists!$AJ$5:$AJ$10,0)),"نوع غير معرف"))</f>
        <v/>
      </c>
      <c r="T117" s="32">
        <f>IF($A117="","",IF(COUNTIF($A:$A,$A117)&gt;1,"كود حساب مكرر",IF($B117="","اسم الحساب ناقص",IF(AND($F117="نعم",$G117=""),"الطبيعة ناقصة",IF(AND($F117&lt;&gt;"نعم",OR($M117="",$N117="")),"الحساب الرئيسي يحتاج نطاقًا (من/إلى)",IF(AND($H117=1,$F117&lt;&gt;"نعم"),"حساب نقدية يجب أن يكون قابلًا للترحيل",IF(AND($F117="نعم",$D117=""),"النوع ناقص","")))))))</f>
        <v/>
      </c>
    </row>
    <row r="118">
      <c r="A118" s="39" t="n">
        <v>6400</v>
      </c>
      <c r="B118" s="29" t="inlineStr">
        <is>
          <t>التسويق</t>
        </is>
      </c>
      <c r="C118" s="29" t="inlineStr">
        <is>
          <t>Marketing</t>
        </is>
      </c>
      <c r="D118" s="39" t="inlineStr">
        <is>
          <t>X</t>
        </is>
      </c>
      <c r="E118" s="39" t="n">
        <v>2</v>
      </c>
      <c r="F118" s="39" t="inlineStr">
        <is>
          <t>لا</t>
        </is>
      </c>
      <c r="G118" s="39" t="inlineStr">
        <is>
          <t>مدين</t>
        </is>
      </c>
      <c r="H118" s="39" t="n">
        <v>0</v>
      </c>
      <c r="I118" s="29" t="inlineStr">
        <is>
          <t>OPERATING</t>
        </is>
      </c>
      <c r="J118" s="39" t="inlineStr">
        <is>
          <t>لا</t>
        </is>
      </c>
      <c r="K118" s="39" t="inlineStr">
        <is>
          <t>لا</t>
        </is>
      </c>
      <c r="L118" s="39" t="inlineStr">
        <is>
          <t>نعم</t>
        </is>
      </c>
      <c r="M118" s="29" t="n">
        <v>6400</v>
      </c>
      <c r="N118" s="29" t="n">
        <v>6499</v>
      </c>
      <c r="O118" s="29" t="inlineStr"/>
      <c r="P118" s="32">
        <f>IF($A118="","",IF($F118="نعم",$A118,$M118))</f>
        <v/>
      </c>
      <c r="Q118" s="32">
        <f>IF($A118="","",IF($F118="نعم",$A118,$N118))</f>
        <v/>
      </c>
      <c r="R118" s="32">
        <f>IF($A118="","",IF(AND($F118="نعم",$L118&lt;&gt;"لا"),1,0))</f>
        <v/>
      </c>
      <c r="S118" s="32">
        <f>IF($D118="","",IFERROR(INDEX(Lists!$AK$5:$AK$10,MATCH($D118,Lists!$AJ$5:$AJ$10,0)),"نوع غير معرف"))</f>
        <v/>
      </c>
      <c r="T118" s="32">
        <f>IF($A118="","",IF(COUNTIF($A:$A,$A118)&gt;1,"كود حساب مكرر",IF($B118="","اسم الحساب ناقص",IF(AND($F118="نعم",$G118=""),"الطبيعة ناقصة",IF(AND($F118&lt;&gt;"نعم",OR($M118="",$N118="")),"الحساب الرئيسي يحتاج نطاقًا (من/إلى)",IF(AND($H118=1,$F118&lt;&gt;"نعم"),"حساب نقدية يجب أن يكون قابلًا للترحيل",IF(AND($F118="نعم",$D118=""),"النوع ناقص","")))))))</f>
        <v/>
      </c>
    </row>
    <row r="119">
      <c r="A119" s="39" t="n">
        <v>6401</v>
      </c>
      <c r="B119" s="29" t="inlineStr">
        <is>
          <t>تسويق وإعلانات</t>
        </is>
      </c>
      <c r="C119" s="29" t="inlineStr">
        <is>
          <t>Marketing &amp; Ads</t>
        </is>
      </c>
      <c r="D119" s="39" t="inlineStr">
        <is>
          <t>X</t>
        </is>
      </c>
      <c r="E119" s="39" t="n">
        <v>3</v>
      </c>
      <c r="F119" s="39" t="inlineStr">
        <is>
          <t>نعم</t>
        </is>
      </c>
      <c r="G119" s="39" t="inlineStr">
        <is>
          <t>مدين</t>
        </is>
      </c>
      <c r="H119" s="39" t="n">
        <v>0</v>
      </c>
      <c r="I119" s="29" t="inlineStr">
        <is>
          <t>OPERATING</t>
        </is>
      </c>
      <c r="J119" s="39" t="inlineStr">
        <is>
          <t>نعم</t>
        </is>
      </c>
      <c r="K119" s="39" t="inlineStr">
        <is>
          <t>لا</t>
        </is>
      </c>
      <c r="L119" s="39" t="inlineStr">
        <is>
          <t>نعم</t>
        </is>
      </c>
      <c r="M119" s="29" t="n"/>
      <c r="N119" s="29" t="n"/>
      <c r="O119" s="29" t="inlineStr"/>
      <c r="P119" s="32">
        <f>IF($A119="","",IF($F119="نعم",$A119,$M119))</f>
        <v/>
      </c>
      <c r="Q119" s="32">
        <f>IF($A119="","",IF($F119="نعم",$A119,$N119))</f>
        <v/>
      </c>
      <c r="R119" s="32">
        <f>IF($A119="","",IF(AND($F119="نعم",$L119&lt;&gt;"لا"),1,0))</f>
        <v/>
      </c>
      <c r="S119" s="32">
        <f>IF($D119="","",IFERROR(INDEX(Lists!$AK$5:$AK$10,MATCH($D119,Lists!$AJ$5:$AJ$10,0)),"نوع غير معرف"))</f>
        <v/>
      </c>
      <c r="T119" s="32">
        <f>IF($A119="","",IF(COUNTIF($A:$A,$A119)&gt;1,"كود حساب مكرر",IF($B119="","اسم الحساب ناقص",IF(AND($F119="نعم",$G119=""),"الطبيعة ناقصة",IF(AND($F119&lt;&gt;"نعم",OR($M119="",$N119="")),"الحساب الرئيسي يحتاج نطاقًا (من/إلى)",IF(AND($H119=1,$F119&lt;&gt;"نعم"),"حساب نقدية يجب أن يكون قابلًا للترحيل",IF(AND($F119="نعم",$D119=""),"النوع ناقص","")))))))</f>
        <v/>
      </c>
    </row>
    <row r="120">
      <c r="A120" s="39" t="n">
        <v>6500</v>
      </c>
      <c r="B120" s="29" t="inlineStr">
        <is>
          <t>الصيانة</t>
        </is>
      </c>
      <c r="C120" s="29" t="inlineStr">
        <is>
          <t>Maintenance</t>
        </is>
      </c>
      <c r="D120" s="39" t="inlineStr">
        <is>
          <t>X</t>
        </is>
      </c>
      <c r="E120" s="39" t="n">
        <v>2</v>
      </c>
      <c r="F120" s="39" t="inlineStr">
        <is>
          <t>لا</t>
        </is>
      </c>
      <c r="G120" s="39" t="inlineStr">
        <is>
          <t>مدين</t>
        </is>
      </c>
      <c r="H120" s="39" t="n">
        <v>0</v>
      </c>
      <c r="I120" s="29" t="inlineStr">
        <is>
          <t>OPERATING</t>
        </is>
      </c>
      <c r="J120" s="39" t="inlineStr">
        <is>
          <t>لا</t>
        </is>
      </c>
      <c r="K120" s="39" t="inlineStr">
        <is>
          <t>لا</t>
        </is>
      </c>
      <c r="L120" s="39" t="inlineStr">
        <is>
          <t>نعم</t>
        </is>
      </c>
      <c r="M120" s="29" t="n">
        <v>6500</v>
      </c>
      <c r="N120" s="29" t="n">
        <v>6599</v>
      </c>
      <c r="O120" s="29" t="inlineStr"/>
      <c r="P120" s="32">
        <f>IF($A120="","",IF($F120="نعم",$A120,$M120))</f>
        <v/>
      </c>
      <c r="Q120" s="32">
        <f>IF($A120="","",IF($F120="نعم",$A120,$N120))</f>
        <v/>
      </c>
      <c r="R120" s="32">
        <f>IF($A120="","",IF(AND($F120="نعم",$L120&lt;&gt;"لا"),1,0))</f>
        <v/>
      </c>
      <c r="S120" s="32">
        <f>IF($D120="","",IFERROR(INDEX(Lists!$AK$5:$AK$10,MATCH($D120,Lists!$AJ$5:$AJ$10,0)),"نوع غير معرف"))</f>
        <v/>
      </c>
      <c r="T120" s="32">
        <f>IF($A120="","",IF(COUNTIF($A:$A,$A120)&gt;1,"كود حساب مكرر",IF($B120="","اسم الحساب ناقص",IF(AND($F120="نعم",$G120=""),"الطبيعة ناقصة",IF(AND($F120&lt;&gt;"نعم",OR($M120="",$N120="")),"الحساب الرئيسي يحتاج نطاقًا (من/إلى)",IF(AND($H120=1,$F120&lt;&gt;"نعم"),"حساب نقدية يجب أن يكون قابلًا للترحيل",IF(AND($F120="نعم",$D120=""),"النوع ناقص","")))))))</f>
        <v/>
      </c>
    </row>
    <row r="121">
      <c r="A121" s="39" t="n">
        <v>6501</v>
      </c>
      <c r="B121" s="29" t="inlineStr">
        <is>
          <t>صيانة وإصلاحات</t>
        </is>
      </c>
      <c r="C121" s="29" t="inlineStr">
        <is>
          <t>Repairs &amp; Maintenance</t>
        </is>
      </c>
      <c r="D121" s="39" t="inlineStr">
        <is>
          <t>X</t>
        </is>
      </c>
      <c r="E121" s="39" t="n">
        <v>3</v>
      </c>
      <c r="F121" s="39" t="inlineStr">
        <is>
          <t>نعم</t>
        </is>
      </c>
      <c r="G121" s="39" t="inlineStr">
        <is>
          <t>مدين</t>
        </is>
      </c>
      <c r="H121" s="39" t="n">
        <v>0</v>
      </c>
      <c r="I121" s="29" t="inlineStr">
        <is>
          <t>OPERATING</t>
        </is>
      </c>
      <c r="J121" s="39" t="inlineStr">
        <is>
          <t>نعم</t>
        </is>
      </c>
      <c r="K121" s="39" t="inlineStr">
        <is>
          <t>لا</t>
        </is>
      </c>
      <c r="L121" s="39" t="inlineStr">
        <is>
          <t>نعم</t>
        </is>
      </c>
      <c r="M121" s="29" t="n"/>
      <c r="N121" s="29" t="n"/>
      <c r="O121" s="29" t="inlineStr"/>
      <c r="P121" s="32">
        <f>IF($A121="","",IF($F121="نعم",$A121,$M121))</f>
        <v/>
      </c>
      <c r="Q121" s="32">
        <f>IF($A121="","",IF($F121="نعم",$A121,$N121))</f>
        <v/>
      </c>
      <c r="R121" s="32">
        <f>IF($A121="","",IF(AND($F121="نعم",$L121&lt;&gt;"لا"),1,0))</f>
        <v/>
      </c>
      <c r="S121" s="32">
        <f>IF($D121="","",IFERROR(INDEX(Lists!$AK$5:$AK$10,MATCH($D121,Lists!$AJ$5:$AJ$10,0)),"نوع غير معرف"))</f>
        <v/>
      </c>
      <c r="T121" s="32">
        <f>IF($A121="","",IF(COUNTIF($A:$A,$A121)&gt;1,"كود حساب مكرر",IF($B121="","اسم الحساب ناقص",IF(AND($F121="نعم",$G121=""),"الطبيعة ناقصة",IF(AND($F121&lt;&gt;"نعم",OR($M121="",$N121="")),"الحساب الرئيسي يحتاج نطاقًا (من/إلى)",IF(AND($H121=1,$F121&lt;&gt;"نعم"),"حساب نقدية يجب أن يكون قابلًا للترحيل",IF(AND($F121="نعم",$D121=""),"النوع ناقص","")))))))</f>
        <v/>
      </c>
    </row>
    <row r="122">
      <c r="A122" s="39" t="n">
        <v>6600</v>
      </c>
      <c r="B122" s="29" t="inlineStr">
        <is>
          <t>مصروفات التشغيل</t>
        </is>
      </c>
      <c r="C122" s="29" t="inlineStr">
        <is>
          <t>Operations</t>
        </is>
      </c>
      <c r="D122" s="39" t="inlineStr">
        <is>
          <t>X</t>
        </is>
      </c>
      <c r="E122" s="39" t="n">
        <v>2</v>
      </c>
      <c r="F122" s="39" t="inlineStr">
        <is>
          <t>لا</t>
        </is>
      </c>
      <c r="G122" s="39" t="inlineStr">
        <is>
          <t>مدين</t>
        </is>
      </c>
      <c r="H122" s="39" t="n">
        <v>0</v>
      </c>
      <c r="I122" s="29" t="inlineStr">
        <is>
          <t>OPERATING</t>
        </is>
      </c>
      <c r="J122" s="39" t="inlineStr">
        <is>
          <t>لا</t>
        </is>
      </c>
      <c r="K122" s="39" t="inlineStr">
        <is>
          <t>لا</t>
        </is>
      </c>
      <c r="L122" s="39" t="inlineStr">
        <is>
          <t>نعم</t>
        </is>
      </c>
      <c r="M122" s="29" t="n">
        <v>6600</v>
      </c>
      <c r="N122" s="29" t="n">
        <v>6699</v>
      </c>
      <c r="O122" s="29" t="inlineStr"/>
      <c r="P122" s="32">
        <f>IF($A122="","",IF($F122="نعم",$A122,$M122))</f>
        <v/>
      </c>
      <c r="Q122" s="32">
        <f>IF($A122="","",IF($F122="نعم",$A122,$N122))</f>
        <v/>
      </c>
      <c r="R122" s="32">
        <f>IF($A122="","",IF(AND($F122="نعم",$L122&lt;&gt;"لا"),1,0))</f>
        <v/>
      </c>
      <c r="S122" s="32">
        <f>IF($D122="","",IFERROR(INDEX(Lists!$AK$5:$AK$10,MATCH($D122,Lists!$AJ$5:$AJ$10,0)),"نوع غير معرف"))</f>
        <v/>
      </c>
      <c r="T122" s="32">
        <f>IF($A122="","",IF(COUNTIF($A:$A,$A122)&gt;1,"كود حساب مكرر",IF($B122="","اسم الحساب ناقص",IF(AND($F122="نعم",$G122=""),"الطبيعة ناقصة",IF(AND($F122&lt;&gt;"نعم",OR($M122="",$N122="")),"الحساب الرئيسي يحتاج نطاقًا (من/إلى)",IF(AND($H122=1,$F122&lt;&gt;"نعم"),"حساب نقدية يجب أن يكون قابلًا للترحيل",IF(AND($F122="نعم",$D122=""),"النوع ناقص","")))))))</f>
        <v/>
      </c>
    </row>
    <row r="123">
      <c r="A123" s="39" t="n">
        <v>6601</v>
      </c>
      <c r="B123" s="29" t="inlineStr">
        <is>
          <t>نقل وتوصيل</t>
        </is>
      </c>
      <c r="C123" s="29" t="inlineStr">
        <is>
          <t>Transport &amp; Delivery</t>
        </is>
      </c>
      <c r="D123" s="39" t="inlineStr">
        <is>
          <t>X</t>
        </is>
      </c>
      <c r="E123" s="39" t="n">
        <v>3</v>
      </c>
      <c r="F123" s="39" t="inlineStr">
        <is>
          <t>نعم</t>
        </is>
      </c>
      <c r="G123" s="39" t="inlineStr">
        <is>
          <t>مدين</t>
        </is>
      </c>
      <c r="H123" s="39" t="n">
        <v>0</v>
      </c>
      <c r="I123" s="29" t="inlineStr">
        <is>
          <t>OPERATING</t>
        </is>
      </c>
      <c r="J123" s="39" t="inlineStr">
        <is>
          <t>نعم</t>
        </is>
      </c>
      <c r="K123" s="39" t="inlineStr">
        <is>
          <t>لا</t>
        </is>
      </c>
      <c r="L123" s="39" t="inlineStr">
        <is>
          <t>نعم</t>
        </is>
      </c>
      <c r="M123" s="29" t="n"/>
      <c r="N123" s="29" t="n"/>
      <c r="O123" s="29" t="inlineStr"/>
      <c r="P123" s="32">
        <f>IF($A123="","",IF($F123="نعم",$A123,$M123))</f>
        <v/>
      </c>
      <c r="Q123" s="32">
        <f>IF($A123="","",IF($F123="نعم",$A123,$N123))</f>
        <v/>
      </c>
      <c r="R123" s="32">
        <f>IF($A123="","",IF(AND($F123="نعم",$L123&lt;&gt;"لا"),1,0))</f>
        <v/>
      </c>
      <c r="S123" s="32">
        <f>IF($D123="","",IFERROR(INDEX(Lists!$AK$5:$AK$10,MATCH($D123,Lists!$AJ$5:$AJ$10,0)),"نوع غير معرف"))</f>
        <v/>
      </c>
      <c r="T123" s="32">
        <f>IF($A123="","",IF(COUNTIF($A:$A,$A123)&gt;1,"كود حساب مكرر",IF($B123="","اسم الحساب ناقص",IF(AND($F123="نعم",$G123=""),"الطبيعة ناقصة",IF(AND($F123&lt;&gt;"نعم",OR($M123="",$N123="")),"الحساب الرئيسي يحتاج نطاقًا (من/إلى)",IF(AND($H123=1,$F123&lt;&gt;"نعم"),"حساب نقدية يجب أن يكون قابلًا للترحيل",IF(AND($F123="نعم",$D123=""),"النوع ناقص","")))))))</f>
        <v/>
      </c>
    </row>
    <row r="124">
      <c r="A124" s="39" t="n">
        <v>6602</v>
      </c>
      <c r="B124" s="29" t="inlineStr">
        <is>
          <t>نظافة</t>
        </is>
      </c>
      <c r="C124" s="29" t="inlineStr">
        <is>
          <t>Cleaning</t>
        </is>
      </c>
      <c r="D124" s="39" t="inlineStr">
        <is>
          <t>X</t>
        </is>
      </c>
      <c r="E124" s="39" t="n">
        <v>3</v>
      </c>
      <c r="F124" s="39" t="inlineStr">
        <is>
          <t>نعم</t>
        </is>
      </c>
      <c r="G124" s="39" t="inlineStr">
        <is>
          <t>مدين</t>
        </is>
      </c>
      <c r="H124" s="39" t="n">
        <v>0</v>
      </c>
      <c r="I124" s="29" t="inlineStr">
        <is>
          <t>OPERATING</t>
        </is>
      </c>
      <c r="J124" s="39" t="inlineStr">
        <is>
          <t>نعم</t>
        </is>
      </c>
      <c r="K124" s="39" t="inlineStr">
        <is>
          <t>لا</t>
        </is>
      </c>
      <c r="L124" s="39" t="inlineStr">
        <is>
          <t>نعم</t>
        </is>
      </c>
      <c r="M124" s="29" t="n"/>
      <c r="N124" s="29" t="n"/>
      <c r="O124" s="29" t="inlineStr"/>
      <c r="P124" s="32">
        <f>IF($A124="","",IF($F124="نعم",$A124,$M124))</f>
        <v/>
      </c>
      <c r="Q124" s="32">
        <f>IF($A124="","",IF($F124="نعم",$A124,$N124))</f>
        <v/>
      </c>
      <c r="R124" s="32">
        <f>IF($A124="","",IF(AND($F124="نعم",$L124&lt;&gt;"لا"),1,0))</f>
        <v/>
      </c>
      <c r="S124" s="32">
        <f>IF($D124="","",IFERROR(INDEX(Lists!$AK$5:$AK$10,MATCH($D124,Lists!$AJ$5:$AJ$10,0)),"نوع غير معرف"))</f>
        <v/>
      </c>
      <c r="T124" s="32">
        <f>IF($A124="","",IF(COUNTIF($A:$A,$A124)&gt;1,"كود حساب مكرر",IF($B124="","اسم الحساب ناقص",IF(AND($F124="نعم",$G124=""),"الطبيعة ناقصة",IF(AND($F124&lt;&gt;"نعم",OR($M124="",$N124="")),"الحساب الرئيسي يحتاج نطاقًا (من/إلى)",IF(AND($H124=1,$F124&lt;&gt;"نعم"),"حساب نقدية يجب أن يكون قابلًا للترحيل",IF(AND($F124="نعم",$D124=""),"النوع ناقص","")))))))</f>
        <v/>
      </c>
    </row>
    <row r="125">
      <c r="A125" s="39" t="n">
        <v>6603</v>
      </c>
      <c r="B125" s="29" t="inlineStr">
        <is>
          <t>مستلزمات تشغيلية</t>
        </is>
      </c>
      <c r="C125" s="29" t="inlineStr">
        <is>
          <t>Operating Supplies</t>
        </is>
      </c>
      <c r="D125" s="39" t="inlineStr">
        <is>
          <t>X</t>
        </is>
      </c>
      <c r="E125" s="39" t="n">
        <v>3</v>
      </c>
      <c r="F125" s="39" t="inlineStr">
        <is>
          <t>نعم</t>
        </is>
      </c>
      <c r="G125" s="39" t="inlineStr">
        <is>
          <t>مدين</t>
        </is>
      </c>
      <c r="H125" s="39" t="n">
        <v>0</v>
      </c>
      <c r="I125" s="29" t="inlineStr">
        <is>
          <t>OPERATING</t>
        </is>
      </c>
      <c r="J125" s="39" t="inlineStr">
        <is>
          <t>نعم</t>
        </is>
      </c>
      <c r="K125" s="39" t="inlineStr">
        <is>
          <t>لا</t>
        </is>
      </c>
      <c r="L125" s="39" t="inlineStr">
        <is>
          <t>نعم</t>
        </is>
      </c>
      <c r="M125" s="29" t="n"/>
      <c r="N125" s="29" t="n"/>
      <c r="O125" s="29" t="inlineStr"/>
      <c r="P125" s="32">
        <f>IF($A125="","",IF($F125="نعم",$A125,$M125))</f>
        <v/>
      </c>
      <c r="Q125" s="32">
        <f>IF($A125="","",IF($F125="نعم",$A125,$N125))</f>
        <v/>
      </c>
      <c r="R125" s="32">
        <f>IF($A125="","",IF(AND($F125="نعم",$L125&lt;&gt;"لا"),1,0))</f>
        <v/>
      </c>
      <c r="S125" s="32">
        <f>IF($D125="","",IFERROR(INDEX(Lists!$AK$5:$AK$10,MATCH($D125,Lists!$AJ$5:$AJ$10,0)),"نوع غير معرف"))</f>
        <v/>
      </c>
      <c r="T125" s="32">
        <f>IF($A125="","",IF(COUNTIF($A:$A,$A125)&gt;1,"كود حساب مكرر",IF($B125="","اسم الحساب ناقص",IF(AND($F125="نعم",$G125=""),"الطبيعة ناقصة",IF(AND($F125&lt;&gt;"نعم",OR($M125="",$N125="")),"الحساب الرئيسي يحتاج نطاقًا (من/إلى)",IF(AND($H125=1,$F125&lt;&gt;"نعم"),"حساب نقدية يجب أن يكون قابلًا للترحيل",IF(AND($F125="نعم",$D125=""),"النوع ناقص","")))))))</f>
        <v/>
      </c>
    </row>
    <row r="126">
      <c r="A126" s="39" t="n">
        <v>6700</v>
      </c>
      <c r="B126" s="29" t="inlineStr">
        <is>
          <t>العمولات والرسوم</t>
        </is>
      </c>
      <c r="C126" s="29" t="inlineStr">
        <is>
          <t>Commissions &amp; Fees</t>
        </is>
      </c>
      <c r="D126" s="39" t="inlineStr">
        <is>
          <t>X</t>
        </is>
      </c>
      <c r="E126" s="39" t="n">
        <v>2</v>
      </c>
      <c r="F126" s="39" t="inlineStr">
        <is>
          <t>لا</t>
        </is>
      </c>
      <c r="G126" s="39" t="inlineStr">
        <is>
          <t>مدين</t>
        </is>
      </c>
      <c r="H126" s="39" t="n">
        <v>0</v>
      </c>
      <c r="I126" s="29" t="inlineStr">
        <is>
          <t>OPERATING</t>
        </is>
      </c>
      <c r="J126" s="39" t="inlineStr">
        <is>
          <t>لا</t>
        </is>
      </c>
      <c r="K126" s="39" t="inlineStr">
        <is>
          <t>لا</t>
        </is>
      </c>
      <c r="L126" s="39" t="inlineStr">
        <is>
          <t>نعم</t>
        </is>
      </c>
      <c r="M126" s="29" t="n">
        <v>6700</v>
      </c>
      <c r="N126" s="29" t="n">
        <v>6799</v>
      </c>
      <c r="O126" s="29" t="inlineStr"/>
      <c r="P126" s="32">
        <f>IF($A126="","",IF($F126="نعم",$A126,$M126))</f>
        <v/>
      </c>
      <c r="Q126" s="32">
        <f>IF($A126="","",IF($F126="نعم",$A126,$N126))</f>
        <v/>
      </c>
      <c r="R126" s="32">
        <f>IF($A126="","",IF(AND($F126="نعم",$L126&lt;&gt;"لا"),1,0))</f>
        <v/>
      </c>
      <c r="S126" s="32">
        <f>IF($D126="","",IFERROR(INDEX(Lists!$AK$5:$AK$10,MATCH($D126,Lists!$AJ$5:$AJ$10,0)),"نوع غير معرف"))</f>
        <v/>
      </c>
      <c r="T126" s="32">
        <f>IF($A126="","",IF(COUNTIF($A:$A,$A126)&gt;1,"كود حساب مكرر",IF($B126="","اسم الحساب ناقص",IF(AND($F126="نعم",$G126=""),"الطبيعة ناقصة",IF(AND($F126&lt;&gt;"نعم",OR($M126="",$N126="")),"الحساب الرئيسي يحتاج نطاقًا (من/إلى)",IF(AND($H126=1,$F126&lt;&gt;"نعم"),"حساب نقدية يجب أن يكون قابلًا للترحيل",IF(AND($F126="نعم",$D126=""),"النوع ناقص","")))))))</f>
        <v/>
      </c>
    </row>
    <row r="127">
      <c r="A127" s="39" t="n">
        <v>6701</v>
      </c>
      <c r="B127" s="29" t="inlineStr">
        <is>
          <t>عمولات منصات التوصيل</t>
        </is>
      </c>
      <c r="C127" s="29" t="inlineStr">
        <is>
          <t>Delivery Platform Commission</t>
        </is>
      </c>
      <c r="D127" s="39" t="inlineStr">
        <is>
          <t>X</t>
        </is>
      </c>
      <c r="E127" s="39" t="n">
        <v>3</v>
      </c>
      <c r="F127" s="39" t="inlineStr">
        <is>
          <t>نعم</t>
        </is>
      </c>
      <c r="G127" s="39" t="inlineStr">
        <is>
          <t>مدين</t>
        </is>
      </c>
      <c r="H127" s="39" t="n">
        <v>0</v>
      </c>
      <c r="I127" s="29" t="inlineStr">
        <is>
          <t>OPERATING</t>
        </is>
      </c>
      <c r="J127" s="39" t="inlineStr">
        <is>
          <t>نعم</t>
        </is>
      </c>
      <c r="K127" s="39" t="inlineStr">
        <is>
          <t>لا</t>
        </is>
      </c>
      <c r="L127" s="39" t="inlineStr">
        <is>
          <t>نعم</t>
        </is>
      </c>
      <c r="M127" s="29" t="n"/>
      <c r="N127" s="29" t="n"/>
      <c r="O127" s="29" t="inlineStr"/>
      <c r="P127" s="32">
        <f>IF($A127="","",IF($F127="نعم",$A127,$M127))</f>
        <v/>
      </c>
      <c r="Q127" s="32">
        <f>IF($A127="","",IF($F127="نعم",$A127,$N127))</f>
        <v/>
      </c>
      <c r="R127" s="32">
        <f>IF($A127="","",IF(AND($F127="نعم",$L127&lt;&gt;"لا"),1,0))</f>
        <v/>
      </c>
      <c r="S127" s="32">
        <f>IF($D127="","",IFERROR(INDEX(Lists!$AK$5:$AK$10,MATCH($D127,Lists!$AJ$5:$AJ$10,0)),"نوع غير معرف"))</f>
        <v/>
      </c>
      <c r="T127" s="32">
        <f>IF($A127="","",IF(COUNTIF($A:$A,$A127)&gt;1,"كود حساب مكرر",IF($B127="","اسم الحساب ناقص",IF(AND($F127="نعم",$G127=""),"الطبيعة ناقصة",IF(AND($F127&lt;&gt;"نعم",OR($M127="",$N127="")),"الحساب الرئيسي يحتاج نطاقًا (من/إلى)",IF(AND($H127=1,$F127&lt;&gt;"نعم"),"حساب نقدية يجب أن يكون قابلًا للترحيل",IF(AND($F127="نعم",$D127=""),"النوع ناقص","")))))))</f>
        <v/>
      </c>
    </row>
    <row r="128">
      <c r="A128" s="39" t="n">
        <v>6702</v>
      </c>
      <c r="B128" s="29" t="inlineStr">
        <is>
          <t>رسوم بنكية وعمولات بطاقات</t>
        </is>
      </c>
      <c r="C128" s="29" t="inlineStr">
        <is>
          <t>Bank &amp; Card Fees</t>
        </is>
      </c>
      <c r="D128" s="39" t="inlineStr">
        <is>
          <t>X</t>
        </is>
      </c>
      <c r="E128" s="39" t="n">
        <v>3</v>
      </c>
      <c r="F128" s="39" t="inlineStr">
        <is>
          <t>نعم</t>
        </is>
      </c>
      <c r="G128" s="39" t="inlineStr">
        <is>
          <t>مدين</t>
        </is>
      </c>
      <c r="H128" s="39" t="n">
        <v>0</v>
      </c>
      <c r="I128" s="29" t="inlineStr">
        <is>
          <t>OPERATING</t>
        </is>
      </c>
      <c r="J128" s="39" t="inlineStr">
        <is>
          <t>نعم</t>
        </is>
      </c>
      <c r="K128" s="39" t="inlineStr">
        <is>
          <t>لا</t>
        </is>
      </c>
      <c r="L128" s="39" t="inlineStr">
        <is>
          <t>نعم</t>
        </is>
      </c>
      <c r="M128" s="29" t="n"/>
      <c r="N128" s="29" t="n"/>
      <c r="O128" s="29" t="inlineStr"/>
      <c r="P128" s="32">
        <f>IF($A128="","",IF($F128="نعم",$A128,$M128))</f>
        <v/>
      </c>
      <c r="Q128" s="32">
        <f>IF($A128="","",IF($F128="نعم",$A128,$N128))</f>
        <v/>
      </c>
      <c r="R128" s="32">
        <f>IF($A128="","",IF(AND($F128="نعم",$L128&lt;&gt;"لا"),1,0))</f>
        <v/>
      </c>
      <c r="S128" s="32">
        <f>IF($D128="","",IFERROR(INDEX(Lists!$AK$5:$AK$10,MATCH($D128,Lists!$AJ$5:$AJ$10,0)),"نوع غير معرف"))</f>
        <v/>
      </c>
      <c r="T128" s="32">
        <f>IF($A128="","",IF(COUNTIF($A:$A,$A128)&gt;1,"كود حساب مكرر",IF($B128="","اسم الحساب ناقص",IF(AND($F128="نعم",$G128=""),"الطبيعة ناقصة",IF(AND($F128&lt;&gt;"نعم",OR($M128="",$N128="")),"الحساب الرئيسي يحتاج نطاقًا (من/إلى)",IF(AND($H128=1,$F128&lt;&gt;"نعم"),"حساب نقدية يجب أن يكون قابلًا للترحيل",IF(AND($F128="نعم",$D128=""),"النوع ناقص","")))))))</f>
        <v/>
      </c>
    </row>
    <row r="129">
      <c r="A129" s="39" t="n">
        <v>6705</v>
      </c>
      <c r="B129" s="29" t="inlineStr">
        <is>
          <t>غرامات وخصومات المنصات الأخرى</t>
        </is>
      </c>
      <c r="C129" s="29" t="inlineStr">
        <is>
          <t>Platform Penalties / Other Deductions</t>
        </is>
      </c>
      <c r="D129" s="39" t="inlineStr">
        <is>
          <t>X</t>
        </is>
      </c>
      <c r="E129" s="39" t="n">
        <v>3</v>
      </c>
      <c r="F129" s="39" t="inlineStr">
        <is>
          <t>نعم</t>
        </is>
      </c>
      <c r="G129" s="39" t="inlineStr">
        <is>
          <t>مدين</t>
        </is>
      </c>
      <c r="H129" s="39" t="n">
        <v>0</v>
      </c>
      <c r="I129" s="29" t="inlineStr">
        <is>
          <t>OPERATING</t>
        </is>
      </c>
      <c r="J129" s="39" t="inlineStr">
        <is>
          <t>نعم</t>
        </is>
      </c>
      <c r="K129" s="39" t="inlineStr">
        <is>
          <t>لا</t>
        </is>
      </c>
      <c r="L129" s="39" t="inlineStr">
        <is>
          <t>نعم</t>
        </is>
      </c>
      <c r="M129" s="29" t="n"/>
      <c r="N129" s="29" t="n"/>
      <c r="O129" s="29" t="inlineStr"/>
      <c r="P129" s="32">
        <f>IF($A129="","",IF($F129="نعم",$A129,$M129))</f>
        <v/>
      </c>
      <c r="Q129" s="32">
        <f>IF($A129="","",IF($F129="نعم",$A129,$N129))</f>
        <v/>
      </c>
      <c r="R129" s="32">
        <f>IF($A129="","",IF(AND($F129="نعم",$L129&lt;&gt;"لا"),1,0))</f>
        <v/>
      </c>
      <c r="S129" s="32">
        <f>IF($D129="","",IFERROR(INDEX(Lists!$AK$5:$AK$10,MATCH($D129,Lists!$AJ$5:$AJ$10,0)),"نوع غير معرف"))</f>
        <v/>
      </c>
      <c r="T129" s="32">
        <f>IF($A129="","",IF(COUNTIF($A:$A,$A129)&gt;1,"كود حساب مكرر",IF($B129="","اسم الحساب ناقص",IF(AND($F129="نعم",$G129=""),"الطبيعة ناقصة",IF(AND($F129&lt;&gt;"نعم",OR($M129="",$N129="")),"الحساب الرئيسي يحتاج نطاقًا (من/إلى)",IF(AND($H129=1,$F129&lt;&gt;"نعم"),"حساب نقدية يجب أن يكون قابلًا للترحيل",IF(AND($F129="نعم",$D129=""),"النوع ناقص","")))))))</f>
        <v/>
      </c>
    </row>
    <row r="130">
      <c r="A130" s="39" t="n">
        <v>6800</v>
      </c>
      <c r="B130" s="29" t="inlineStr">
        <is>
          <t>الإهلاك</t>
        </is>
      </c>
      <c r="C130" s="29" t="inlineStr">
        <is>
          <t>Depreciation</t>
        </is>
      </c>
      <c r="D130" s="39" t="inlineStr">
        <is>
          <t>X</t>
        </is>
      </c>
      <c r="E130" s="39" t="n">
        <v>2</v>
      </c>
      <c r="F130" s="39" t="inlineStr">
        <is>
          <t>لا</t>
        </is>
      </c>
      <c r="G130" s="39" t="inlineStr">
        <is>
          <t>مدين</t>
        </is>
      </c>
      <c r="H130" s="39" t="n">
        <v>0</v>
      </c>
      <c r="I130" s="29" t="inlineStr">
        <is>
          <t>OPERATING</t>
        </is>
      </c>
      <c r="J130" s="39" t="inlineStr">
        <is>
          <t>لا</t>
        </is>
      </c>
      <c r="K130" s="39" t="inlineStr">
        <is>
          <t>لا</t>
        </is>
      </c>
      <c r="L130" s="39" t="inlineStr">
        <is>
          <t>نعم</t>
        </is>
      </c>
      <c r="M130" s="29" t="n">
        <v>6800</v>
      </c>
      <c r="N130" s="29" t="n">
        <v>6899</v>
      </c>
      <c r="O130" s="29" t="inlineStr"/>
      <c r="P130" s="32">
        <f>IF($A130="","",IF($F130="نعم",$A130,$M130))</f>
        <v/>
      </c>
      <c r="Q130" s="32">
        <f>IF($A130="","",IF($F130="نعم",$A130,$N130))</f>
        <v/>
      </c>
      <c r="R130" s="32">
        <f>IF($A130="","",IF(AND($F130="نعم",$L130&lt;&gt;"لا"),1,0))</f>
        <v/>
      </c>
      <c r="S130" s="32">
        <f>IF($D130="","",IFERROR(INDEX(Lists!$AK$5:$AK$10,MATCH($D130,Lists!$AJ$5:$AJ$10,0)),"نوع غير معرف"))</f>
        <v/>
      </c>
      <c r="T130" s="32">
        <f>IF($A130="","",IF(COUNTIF($A:$A,$A130)&gt;1,"كود حساب مكرر",IF($B130="","اسم الحساب ناقص",IF(AND($F130="نعم",$G130=""),"الطبيعة ناقصة",IF(AND($F130&lt;&gt;"نعم",OR($M130="",$N130="")),"الحساب الرئيسي يحتاج نطاقًا (من/إلى)",IF(AND($H130=1,$F130&lt;&gt;"نعم"),"حساب نقدية يجب أن يكون قابلًا للترحيل",IF(AND($F130="نعم",$D130=""),"النوع ناقص","")))))))</f>
        <v/>
      </c>
    </row>
    <row r="131">
      <c r="A131" s="39" t="n">
        <v>6801</v>
      </c>
      <c r="B131" s="29" t="inlineStr">
        <is>
          <t>إهلاك الأصول الثابتة</t>
        </is>
      </c>
      <c r="C131" s="29" t="inlineStr">
        <is>
          <t>Depreciation Expense</t>
        </is>
      </c>
      <c r="D131" s="39" t="inlineStr">
        <is>
          <t>X</t>
        </is>
      </c>
      <c r="E131" s="39" t="n">
        <v>3</v>
      </c>
      <c r="F131" s="39" t="inlineStr">
        <is>
          <t>نعم</t>
        </is>
      </c>
      <c r="G131" s="39" t="inlineStr">
        <is>
          <t>مدين</t>
        </is>
      </c>
      <c r="H131" s="39" t="n">
        <v>0</v>
      </c>
      <c r="I131" s="29" t="inlineStr">
        <is>
          <t>OPERATING</t>
        </is>
      </c>
      <c r="J131" s="39" t="inlineStr">
        <is>
          <t>لا</t>
        </is>
      </c>
      <c r="K131" s="39" t="inlineStr">
        <is>
          <t>لا</t>
        </is>
      </c>
      <c r="L131" s="39" t="inlineStr">
        <is>
          <t>نعم</t>
        </is>
      </c>
      <c r="M131" s="29" t="n"/>
      <c r="N131" s="29" t="n"/>
      <c r="O131" s="29" t="inlineStr"/>
      <c r="P131" s="32">
        <f>IF($A131="","",IF($F131="نعم",$A131,$M131))</f>
        <v/>
      </c>
      <c r="Q131" s="32">
        <f>IF($A131="","",IF($F131="نعم",$A131,$N131))</f>
        <v/>
      </c>
      <c r="R131" s="32">
        <f>IF($A131="","",IF(AND($F131="نعم",$L131&lt;&gt;"لا"),1,0))</f>
        <v/>
      </c>
      <c r="S131" s="32">
        <f>IF($D131="","",IFERROR(INDEX(Lists!$AK$5:$AK$10,MATCH($D131,Lists!$AJ$5:$AJ$10,0)),"نوع غير معرف"))</f>
        <v/>
      </c>
      <c r="T131" s="32">
        <f>IF($A131="","",IF(COUNTIF($A:$A,$A131)&gt;1,"كود حساب مكرر",IF($B131="","اسم الحساب ناقص",IF(AND($F131="نعم",$G131=""),"الطبيعة ناقصة",IF(AND($F131&lt;&gt;"نعم",OR($M131="",$N131="")),"الحساب الرئيسي يحتاج نطاقًا (من/إلى)",IF(AND($H131=1,$F131&lt;&gt;"نعم"),"حساب نقدية يجب أن يكون قابلًا للترحيل",IF(AND($F131="نعم",$D131=""),"النوع ناقص","")))))))</f>
        <v/>
      </c>
    </row>
    <row r="132">
      <c r="A132" s="39" t="n">
        <v>6900</v>
      </c>
      <c r="B132" s="29" t="inlineStr">
        <is>
          <t>مصروفات إدارية وأخرى</t>
        </is>
      </c>
      <c r="C132" s="29" t="inlineStr">
        <is>
          <t>Admin &amp; Other</t>
        </is>
      </c>
      <c r="D132" s="39" t="inlineStr">
        <is>
          <t>X</t>
        </is>
      </c>
      <c r="E132" s="39" t="n">
        <v>2</v>
      </c>
      <c r="F132" s="39" t="inlineStr">
        <is>
          <t>لا</t>
        </is>
      </c>
      <c r="G132" s="39" t="inlineStr">
        <is>
          <t>مدين</t>
        </is>
      </c>
      <c r="H132" s="39" t="n">
        <v>0</v>
      </c>
      <c r="I132" s="29" t="inlineStr">
        <is>
          <t>OPERATING</t>
        </is>
      </c>
      <c r="J132" s="39" t="inlineStr">
        <is>
          <t>لا</t>
        </is>
      </c>
      <c r="K132" s="39" t="inlineStr">
        <is>
          <t>لا</t>
        </is>
      </c>
      <c r="L132" s="39" t="inlineStr">
        <is>
          <t>نعم</t>
        </is>
      </c>
      <c r="M132" s="29" t="n">
        <v>6900</v>
      </c>
      <c r="N132" s="29" t="n">
        <v>6999</v>
      </c>
      <c r="O132" s="29" t="inlineStr"/>
      <c r="P132" s="32">
        <f>IF($A132="","",IF($F132="نعم",$A132,$M132))</f>
        <v/>
      </c>
      <c r="Q132" s="32">
        <f>IF($A132="","",IF($F132="نعم",$A132,$N132))</f>
        <v/>
      </c>
      <c r="R132" s="32">
        <f>IF($A132="","",IF(AND($F132="نعم",$L132&lt;&gt;"لا"),1,0))</f>
        <v/>
      </c>
      <c r="S132" s="32">
        <f>IF($D132="","",IFERROR(INDEX(Lists!$AK$5:$AK$10,MATCH($D132,Lists!$AJ$5:$AJ$10,0)),"نوع غير معرف"))</f>
        <v/>
      </c>
      <c r="T132" s="32">
        <f>IF($A132="","",IF(COUNTIF($A:$A,$A132)&gt;1,"كود حساب مكرر",IF($B132="","اسم الحساب ناقص",IF(AND($F132="نعم",$G132=""),"الطبيعة ناقصة",IF(AND($F132&lt;&gt;"نعم",OR($M132="",$N132="")),"الحساب الرئيسي يحتاج نطاقًا (من/إلى)",IF(AND($H132=1,$F132&lt;&gt;"نعم"),"حساب نقدية يجب أن يكون قابلًا للترحيل",IF(AND($F132="نعم",$D132=""),"النوع ناقص","")))))))</f>
        <v/>
      </c>
    </row>
    <row r="133">
      <c r="A133" s="39" t="n">
        <v>6901</v>
      </c>
      <c r="B133" s="29" t="inlineStr">
        <is>
          <t>مصروفات إدارية وعمومية</t>
        </is>
      </c>
      <c r="C133" s="29" t="inlineStr">
        <is>
          <t>G&amp;A</t>
        </is>
      </c>
      <c r="D133" s="39" t="inlineStr">
        <is>
          <t>X</t>
        </is>
      </c>
      <c r="E133" s="39" t="n">
        <v>3</v>
      </c>
      <c r="F133" s="39" t="inlineStr">
        <is>
          <t>نعم</t>
        </is>
      </c>
      <c r="G133" s="39" t="inlineStr">
        <is>
          <t>مدين</t>
        </is>
      </c>
      <c r="H133" s="39" t="n">
        <v>0</v>
      </c>
      <c r="I133" s="29" t="inlineStr">
        <is>
          <t>OPERATING</t>
        </is>
      </c>
      <c r="J133" s="39" t="inlineStr">
        <is>
          <t>نعم</t>
        </is>
      </c>
      <c r="K133" s="39" t="inlineStr">
        <is>
          <t>لا</t>
        </is>
      </c>
      <c r="L133" s="39" t="inlineStr">
        <is>
          <t>نعم</t>
        </is>
      </c>
      <c r="M133" s="29" t="n"/>
      <c r="N133" s="29" t="n"/>
      <c r="O133" s="29" t="inlineStr"/>
      <c r="P133" s="32">
        <f>IF($A133="","",IF($F133="نعم",$A133,$M133))</f>
        <v/>
      </c>
      <c r="Q133" s="32">
        <f>IF($A133="","",IF($F133="نعم",$A133,$N133))</f>
        <v/>
      </c>
      <c r="R133" s="32">
        <f>IF($A133="","",IF(AND($F133="نعم",$L133&lt;&gt;"لا"),1,0))</f>
        <v/>
      </c>
      <c r="S133" s="32">
        <f>IF($D133="","",IFERROR(INDEX(Lists!$AK$5:$AK$10,MATCH($D133,Lists!$AJ$5:$AJ$10,0)),"نوع غير معرف"))</f>
        <v/>
      </c>
      <c r="T133" s="32">
        <f>IF($A133="","",IF(COUNTIF($A:$A,$A133)&gt;1,"كود حساب مكرر",IF($B133="","اسم الحساب ناقص",IF(AND($F133="نعم",$G133=""),"الطبيعة ناقصة",IF(AND($F133&lt;&gt;"نعم",OR($M133="",$N133="")),"الحساب الرئيسي يحتاج نطاقًا (من/إلى)",IF(AND($H133=1,$F133&lt;&gt;"نعم"),"حساب نقدية يجب أن يكون قابلًا للترحيل",IF(AND($F133="نعم",$D133=""),"النوع ناقص","")))))))</f>
        <v/>
      </c>
    </row>
    <row r="134">
      <c r="A134" s="39" t="n">
        <v>6902</v>
      </c>
      <c r="B134" s="29" t="inlineStr">
        <is>
          <t>رسوم حكومية وتراخيص وتأمينات</t>
        </is>
      </c>
      <c r="C134" s="29" t="inlineStr">
        <is>
          <t>Government Fees, Licences &amp; Insurance</t>
        </is>
      </c>
      <c r="D134" s="39" t="inlineStr">
        <is>
          <t>X</t>
        </is>
      </c>
      <c r="E134" s="39" t="n">
        <v>3</v>
      </c>
      <c r="F134" s="39" t="inlineStr">
        <is>
          <t>نعم</t>
        </is>
      </c>
      <c r="G134" s="39" t="inlineStr">
        <is>
          <t>مدين</t>
        </is>
      </c>
      <c r="H134" s="39" t="n">
        <v>0</v>
      </c>
      <c r="I134" s="29" t="inlineStr">
        <is>
          <t>OPERATING</t>
        </is>
      </c>
      <c r="J134" s="39" t="inlineStr">
        <is>
          <t>نعم</t>
        </is>
      </c>
      <c r="K134" s="39" t="inlineStr">
        <is>
          <t>لا</t>
        </is>
      </c>
      <c r="L134" s="39" t="inlineStr">
        <is>
          <t>نعم</t>
        </is>
      </c>
      <c r="M134" s="29" t="n"/>
      <c r="N134" s="29" t="n"/>
      <c r="O134" s="29" t="inlineStr"/>
      <c r="P134" s="32">
        <f>IF($A134="","",IF($F134="نعم",$A134,$M134))</f>
        <v/>
      </c>
      <c r="Q134" s="32">
        <f>IF($A134="","",IF($F134="نعم",$A134,$N134))</f>
        <v/>
      </c>
      <c r="R134" s="32">
        <f>IF($A134="","",IF(AND($F134="نعم",$L134&lt;&gt;"لا"),1,0))</f>
        <v/>
      </c>
      <c r="S134" s="32">
        <f>IF($D134="","",IFERROR(INDEX(Lists!$AK$5:$AK$10,MATCH($D134,Lists!$AJ$5:$AJ$10,0)),"نوع غير معرف"))</f>
        <v/>
      </c>
      <c r="T134" s="32">
        <f>IF($A134="","",IF(COUNTIF($A:$A,$A134)&gt;1,"كود حساب مكرر",IF($B134="","اسم الحساب ناقص",IF(AND($F134="نعم",$G134=""),"الطبيعة ناقصة",IF(AND($F134&lt;&gt;"نعم",OR($M134="",$N134="")),"الحساب الرئيسي يحتاج نطاقًا (من/إلى)",IF(AND($H134=1,$F134&lt;&gt;"نعم"),"حساب نقدية يجب أن يكون قابلًا للترحيل",IF(AND($F134="نعم",$D134=""),"النوع ناقص","")))))))</f>
        <v/>
      </c>
    </row>
    <row r="135">
      <c r="A135" s="39" t="n">
        <v>6903</v>
      </c>
      <c r="B135" s="29" t="inlineStr">
        <is>
          <t>أتعاب مهنية</t>
        </is>
      </c>
      <c r="C135" s="29" t="inlineStr">
        <is>
          <t>Professional Fees</t>
        </is>
      </c>
      <c r="D135" s="39" t="inlineStr">
        <is>
          <t>X</t>
        </is>
      </c>
      <c r="E135" s="39" t="n">
        <v>3</v>
      </c>
      <c r="F135" s="39" t="inlineStr">
        <is>
          <t>نعم</t>
        </is>
      </c>
      <c r="G135" s="39" t="inlineStr">
        <is>
          <t>مدين</t>
        </is>
      </c>
      <c r="H135" s="39" t="n">
        <v>0</v>
      </c>
      <c r="I135" s="29" t="inlineStr">
        <is>
          <t>OPERATING</t>
        </is>
      </c>
      <c r="J135" s="39" t="inlineStr">
        <is>
          <t>نعم</t>
        </is>
      </c>
      <c r="K135" s="39" t="inlineStr">
        <is>
          <t>لا</t>
        </is>
      </c>
      <c r="L135" s="39" t="inlineStr">
        <is>
          <t>نعم</t>
        </is>
      </c>
      <c r="M135" s="29" t="n"/>
      <c r="N135" s="29" t="n"/>
      <c r="O135" s="29" t="inlineStr"/>
      <c r="P135" s="32">
        <f>IF($A135="","",IF($F135="نعم",$A135,$M135))</f>
        <v/>
      </c>
      <c r="Q135" s="32">
        <f>IF($A135="","",IF($F135="نعم",$A135,$N135))</f>
        <v/>
      </c>
      <c r="R135" s="32">
        <f>IF($A135="","",IF(AND($F135="نعم",$L135&lt;&gt;"لا"),1,0))</f>
        <v/>
      </c>
      <c r="S135" s="32">
        <f>IF($D135="","",IFERROR(INDEX(Lists!$AK$5:$AK$10,MATCH($D135,Lists!$AJ$5:$AJ$10,0)),"نوع غير معرف"))</f>
        <v/>
      </c>
      <c r="T135" s="32">
        <f>IF($A135="","",IF(COUNTIF($A:$A,$A135)&gt;1,"كود حساب مكرر",IF($B135="","اسم الحساب ناقص",IF(AND($F135="نعم",$G135=""),"الطبيعة ناقصة",IF(AND($F135&lt;&gt;"نعم",OR($M135="",$N135="")),"الحساب الرئيسي يحتاج نطاقًا (من/إلى)",IF(AND($H135=1,$F135&lt;&gt;"نعم"),"حساب نقدية يجب أن يكون قابلًا للترحيل",IF(AND($F135="نعم",$D135=""),"النوع ناقص","")))))))</f>
        <v/>
      </c>
    </row>
    <row r="136">
      <c r="A136" s="39" t="n">
        <v>6910</v>
      </c>
      <c r="B136" s="29" t="inlineStr">
        <is>
          <t>عجز خزينة</t>
        </is>
      </c>
      <c r="C136" s="29" t="inlineStr">
        <is>
          <t>Cash Shortage</t>
        </is>
      </c>
      <c r="D136" s="39" t="inlineStr">
        <is>
          <t>X</t>
        </is>
      </c>
      <c r="E136" s="39" t="n">
        <v>3</v>
      </c>
      <c r="F136" s="39" t="inlineStr">
        <is>
          <t>نعم</t>
        </is>
      </c>
      <c r="G136" s="39" t="inlineStr">
        <is>
          <t>مدين</t>
        </is>
      </c>
      <c r="H136" s="39" t="n">
        <v>0</v>
      </c>
      <c r="I136" s="29" t="inlineStr">
        <is>
          <t>OPERATING</t>
        </is>
      </c>
      <c r="J136" s="39" t="inlineStr">
        <is>
          <t>لا</t>
        </is>
      </c>
      <c r="K136" s="39" t="inlineStr">
        <is>
          <t>لا</t>
        </is>
      </c>
      <c r="L136" s="39" t="inlineStr">
        <is>
          <t>نعم</t>
        </is>
      </c>
      <c r="M136" s="29" t="n"/>
      <c r="N136" s="29" t="n"/>
      <c r="O136" s="29" t="inlineStr"/>
      <c r="P136" s="32">
        <f>IF($A136="","",IF($F136="نعم",$A136,$M136))</f>
        <v/>
      </c>
      <c r="Q136" s="32">
        <f>IF($A136="","",IF($F136="نعم",$A136,$N136))</f>
        <v/>
      </c>
      <c r="R136" s="32">
        <f>IF($A136="","",IF(AND($F136="نعم",$L136&lt;&gt;"لا"),1,0))</f>
        <v/>
      </c>
      <c r="S136" s="32">
        <f>IF($D136="","",IFERROR(INDEX(Lists!$AK$5:$AK$10,MATCH($D136,Lists!$AJ$5:$AJ$10,0)),"نوع غير معرف"))</f>
        <v/>
      </c>
      <c r="T136" s="32">
        <f>IF($A136="","",IF(COUNTIF($A:$A,$A136)&gt;1,"كود حساب مكرر",IF($B136="","اسم الحساب ناقص",IF(AND($F136="نعم",$G136=""),"الطبيعة ناقصة",IF(AND($F136&lt;&gt;"نعم",OR($M136="",$N136="")),"الحساب الرئيسي يحتاج نطاقًا (من/إلى)",IF(AND($H136=1,$F136&lt;&gt;"نعم"),"حساب نقدية يجب أن يكون قابلًا للترحيل",IF(AND($F136="نعم",$D136=""),"النوع ناقص","")))))))</f>
        <v/>
      </c>
    </row>
    <row r="137">
      <c r="A137" s="39" t="n">
        <v>6990</v>
      </c>
      <c r="B137" s="29" t="inlineStr">
        <is>
          <t>مصروفات أخرى</t>
        </is>
      </c>
      <c r="C137" s="29" t="inlineStr">
        <is>
          <t>Other Expenses</t>
        </is>
      </c>
      <c r="D137" s="39" t="inlineStr">
        <is>
          <t>X</t>
        </is>
      </c>
      <c r="E137" s="39" t="n">
        <v>3</v>
      </c>
      <c r="F137" s="39" t="inlineStr">
        <is>
          <t>نعم</t>
        </is>
      </c>
      <c r="G137" s="39" t="inlineStr">
        <is>
          <t>مدين</t>
        </is>
      </c>
      <c r="H137" s="39" t="n">
        <v>0</v>
      </c>
      <c r="I137" s="29" t="inlineStr">
        <is>
          <t>OPERATING</t>
        </is>
      </c>
      <c r="J137" s="39" t="inlineStr">
        <is>
          <t>نعم</t>
        </is>
      </c>
      <c r="K137" s="39" t="inlineStr">
        <is>
          <t>لا</t>
        </is>
      </c>
      <c r="L137" s="39" t="inlineStr">
        <is>
          <t>نعم</t>
        </is>
      </c>
      <c r="M137" s="29" t="n"/>
      <c r="N137" s="29" t="n"/>
      <c r="O137" s="29" t="inlineStr"/>
      <c r="P137" s="32">
        <f>IF($A137="","",IF($F137="نعم",$A137,$M137))</f>
        <v/>
      </c>
      <c r="Q137" s="32">
        <f>IF($A137="","",IF($F137="نعم",$A137,$N137))</f>
        <v/>
      </c>
      <c r="R137" s="32">
        <f>IF($A137="","",IF(AND($F137="نعم",$L137&lt;&gt;"لا"),1,0))</f>
        <v/>
      </c>
      <c r="S137" s="32">
        <f>IF($D137="","",IFERROR(INDEX(Lists!$AK$5:$AK$10,MATCH($D137,Lists!$AJ$5:$AJ$10,0)),"نوع غير معرف"))</f>
        <v/>
      </c>
      <c r="T137" s="32">
        <f>IF($A137="","",IF(COUNTIF($A:$A,$A137)&gt;1,"كود حساب مكرر",IF($B137="","اسم الحساب ناقص",IF(AND($F137="نعم",$G137=""),"الطبيعة ناقصة",IF(AND($F137&lt;&gt;"نعم",OR($M137="",$N137="")),"الحساب الرئيسي يحتاج نطاقًا (من/إلى)",IF(AND($H137=1,$F137&lt;&gt;"نعم"),"حساب نقدية يجب أن يكون قابلًا للترحيل",IF(AND($F137="نعم",$D137=""),"النوع ناقص","")))))))</f>
        <v/>
      </c>
    </row>
    <row r="138">
      <c r="A138" s="39" t="n"/>
      <c r="B138" s="29" t="n"/>
      <c r="C138" s="29" t="n"/>
      <c r="D138" s="39" t="n"/>
      <c r="E138" s="39" t="n"/>
      <c r="F138" s="39" t="n"/>
      <c r="G138" s="39" t="n"/>
      <c r="H138" s="39" t="n"/>
      <c r="I138" s="29" t="n"/>
      <c r="J138" s="39" t="n"/>
      <c r="K138" s="39" t="n"/>
      <c r="L138" s="39" t="n"/>
      <c r="M138" s="29" t="n"/>
      <c r="N138" s="29" t="n"/>
      <c r="O138" s="29" t="n"/>
      <c r="P138" s="32">
        <f>IF($A138="","",IF($F138="نعم",$A138,$M138))</f>
        <v/>
      </c>
      <c r="Q138" s="32">
        <f>IF($A138="","",IF($F138="نعم",$A138,$N138))</f>
        <v/>
      </c>
      <c r="R138" s="32">
        <f>IF($A138="","",IF(AND($F138="نعم",$L138&lt;&gt;"لا"),1,0))</f>
        <v/>
      </c>
      <c r="S138" s="32">
        <f>IF($D138="","",IFERROR(INDEX(Lists!$AK$5:$AK$10,MATCH($D138,Lists!$AJ$5:$AJ$10,0)),"نوع غير معرف"))</f>
        <v/>
      </c>
      <c r="T138" s="32">
        <f>IF($A138="","",IF(COUNTIF($A:$A,$A138)&gt;1,"كود حساب مكرر",IF($B138="","اسم الحساب ناقص",IF(AND($F138="نعم",$G138=""),"الطبيعة ناقصة",IF(AND($F138&lt;&gt;"نعم",OR($M138="",$N138="")),"الحساب الرئيسي يحتاج نطاقًا (من/إلى)",IF(AND($H138=1,$F138&lt;&gt;"نعم"),"حساب نقدية يجب أن يكون قابلًا للترحيل",IF(AND($F138="نعم",$D138=""),"النوع ناقص","")))))))</f>
        <v/>
      </c>
    </row>
    <row r="139">
      <c r="A139" s="39" t="n"/>
      <c r="B139" s="29" t="n"/>
      <c r="C139" s="29" t="n"/>
      <c r="D139" s="39" t="n"/>
      <c r="E139" s="39" t="n"/>
      <c r="F139" s="39" t="n"/>
      <c r="G139" s="39" t="n"/>
      <c r="H139" s="39" t="n"/>
      <c r="I139" s="29" t="n"/>
      <c r="J139" s="39" t="n"/>
      <c r="K139" s="39" t="n"/>
      <c r="L139" s="39" t="n"/>
      <c r="M139" s="29" t="n"/>
      <c r="N139" s="29" t="n"/>
      <c r="O139" s="29" t="n"/>
      <c r="P139" s="32">
        <f>IF($A139="","",IF($F139="نعم",$A139,$M139))</f>
        <v/>
      </c>
      <c r="Q139" s="32">
        <f>IF($A139="","",IF($F139="نعم",$A139,$N139))</f>
        <v/>
      </c>
      <c r="R139" s="32">
        <f>IF($A139="","",IF(AND($F139="نعم",$L139&lt;&gt;"لا"),1,0))</f>
        <v/>
      </c>
      <c r="S139" s="32">
        <f>IF($D139="","",IFERROR(INDEX(Lists!$AK$5:$AK$10,MATCH($D139,Lists!$AJ$5:$AJ$10,0)),"نوع غير معرف"))</f>
        <v/>
      </c>
      <c r="T139" s="32">
        <f>IF($A139="","",IF(COUNTIF($A:$A,$A139)&gt;1,"كود حساب مكرر",IF($B139="","اسم الحساب ناقص",IF(AND($F139="نعم",$G139=""),"الطبيعة ناقصة",IF(AND($F139&lt;&gt;"نعم",OR($M139="",$N139="")),"الحساب الرئيسي يحتاج نطاقًا (من/إلى)",IF(AND($H139=1,$F139&lt;&gt;"نعم"),"حساب نقدية يجب أن يكون قابلًا للترحيل",IF(AND($F139="نعم",$D139=""),"النوع ناقص","")))))))</f>
        <v/>
      </c>
    </row>
    <row r="140">
      <c r="A140" s="39" t="n"/>
      <c r="B140" s="29" t="n"/>
      <c r="C140" s="29" t="n"/>
      <c r="D140" s="39" t="n"/>
      <c r="E140" s="39" t="n"/>
      <c r="F140" s="39" t="n"/>
      <c r="G140" s="39" t="n"/>
      <c r="H140" s="39" t="n"/>
      <c r="I140" s="29" t="n"/>
      <c r="J140" s="39" t="n"/>
      <c r="K140" s="39" t="n"/>
      <c r="L140" s="39" t="n"/>
      <c r="M140" s="29" t="n"/>
      <c r="N140" s="29" t="n"/>
      <c r="O140" s="29" t="n"/>
      <c r="P140" s="32">
        <f>IF($A140="","",IF($F140="نعم",$A140,$M140))</f>
        <v/>
      </c>
      <c r="Q140" s="32">
        <f>IF($A140="","",IF($F140="نعم",$A140,$N140))</f>
        <v/>
      </c>
      <c r="R140" s="32">
        <f>IF($A140="","",IF(AND($F140="نعم",$L140&lt;&gt;"لا"),1,0))</f>
        <v/>
      </c>
      <c r="S140" s="32">
        <f>IF($D140="","",IFERROR(INDEX(Lists!$AK$5:$AK$10,MATCH($D140,Lists!$AJ$5:$AJ$10,0)),"نوع غير معرف"))</f>
        <v/>
      </c>
      <c r="T140" s="32">
        <f>IF($A140="","",IF(COUNTIF($A:$A,$A140)&gt;1,"كود حساب مكرر",IF($B140="","اسم الحساب ناقص",IF(AND($F140="نعم",$G140=""),"الطبيعة ناقصة",IF(AND($F140&lt;&gt;"نعم",OR($M140="",$N140="")),"الحساب الرئيسي يحتاج نطاقًا (من/إلى)",IF(AND($H140=1,$F140&lt;&gt;"نعم"),"حساب نقدية يجب أن يكون قابلًا للترحيل",IF(AND($F140="نعم",$D140=""),"النوع ناقص","")))))))</f>
        <v/>
      </c>
    </row>
    <row r="141">
      <c r="A141" s="39" t="n"/>
      <c r="B141" s="29" t="n"/>
      <c r="C141" s="29" t="n"/>
      <c r="D141" s="39" t="n"/>
      <c r="E141" s="39" t="n"/>
      <c r="F141" s="39" t="n"/>
      <c r="G141" s="39" t="n"/>
      <c r="H141" s="39" t="n"/>
      <c r="I141" s="29" t="n"/>
      <c r="J141" s="39" t="n"/>
      <c r="K141" s="39" t="n"/>
      <c r="L141" s="39" t="n"/>
      <c r="M141" s="29" t="n"/>
      <c r="N141" s="29" t="n"/>
      <c r="O141" s="29" t="n"/>
      <c r="P141" s="32">
        <f>IF($A141="","",IF($F141="نعم",$A141,$M141))</f>
        <v/>
      </c>
      <c r="Q141" s="32">
        <f>IF($A141="","",IF($F141="نعم",$A141,$N141))</f>
        <v/>
      </c>
      <c r="R141" s="32">
        <f>IF($A141="","",IF(AND($F141="نعم",$L141&lt;&gt;"لا"),1,0))</f>
        <v/>
      </c>
      <c r="S141" s="32">
        <f>IF($D141="","",IFERROR(INDEX(Lists!$AK$5:$AK$10,MATCH($D141,Lists!$AJ$5:$AJ$10,0)),"نوع غير معرف"))</f>
        <v/>
      </c>
      <c r="T141" s="32">
        <f>IF($A141="","",IF(COUNTIF($A:$A,$A141)&gt;1,"كود حساب مكرر",IF($B141="","اسم الحساب ناقص",IF(AND($F141="نعم",$G141=""),"الطبيعة ناقصة",IF(AND($F141&lt;&gt;"نعم",OR($M141="",$N141="")),"الحساب الرئيسي يحتاج نطاقًا (من/إلى)",IF(AND($H141=1,$F141&lt;&gt;"نعم"),"حساب نقدية يجب أن يكون قابلًا للترحيل",IF(AND($F141="نعم",$D141=""),"النوع ناقص","")))))))</f>
        <v/>
      </c>
    </row>
    <row r="142">
      <c r="A142" s="39" t="n"/>
      <c r="B142" s="29" t="n"/>
      <c r="C142" s="29" t="n"/>
      <c r="D142" s="39" t="n"/>
      <c r="E142" s="39" t="n"/>
      <c r="F142" s="39" t="n"/>
      <c r="G142" s="39" t="n"/>
      <c r="H142" s="39" t="n"/>
      <c r="I142" s="29" t="n"/>
      <c r="J142" s="39" t="n"/>
      <c r="K142" s="39" t="n"/>
      <c r="L142" s="39" t="n"/>
      <c r="M142" s="29" t="n"/>
      <c r="N142" s="29" t="n"/>
      <c r="O142" s="29" t="n"/>
      <c r="P142" s="32">
        <f>IF($A142="","",IF($F142="نعم",$A142,$M142))</f>
        <v/>
      </c>
      <c r="Q142" s="32">
        <f>IF($A142="","",IF($F142="نعم",$A142,$N142))</f>
        <v/>
      </c>
      <c r="R142" s="32">
        <f>IF($A142="","",IF(AND($F142="نعم",$L142&lt;&gt;"لا"),1,0))</f>
        <v/>
      </c>
      <c r="S142" s="32">
        <f>IF($D142="","",IFERROR(INDEX(Lists!$AK$5:$AK$10,MATCH($D142,Lists!$AJ$5:$AJ$10,0)),"نوع غير معرف"))</f>
        <v/>
      </c>
      <c r="T142" s="32">
        <f>IF($A142="","",IF(COUNTIF($A:$A,$A142)&gt;1,"كود حساب مكرر",IF($B142="","اسم الحساب ناقص",IF(AND($F142="نعم",$G142=""),"الطبيعة ناقصة",IF(AND($F142&lt;&gt;"نعم",OR($M142="",$N142="")),"الحساب الرئيسي يحتاج نطاقًا (من/إلى)",IF(AND($H142=1,$F142&lt;&gt;"نعم"),"حساب نقدية يجب أن يكون قابلًا للترحيل",IF(AND($F142="نعم",$D142=""),"النوع ناقص","")))))))</f>
        <v/>
      </c>
    </row>
    <row r="143">
      <c r="A143" s="39" t="n"/>
      <c r="B143" s="29" t="n"/>
      <c r="C143" s="29" t="n"/>
      <c r="D143" s="39" t="n"/>
      <c r="E143" s="39" t="n"/>
      <c r="F143" s="39" t="n"/>
      <c r="G143" s="39" t="n"/>
      <c r="H143" s="39" t="n"/>
      <c r="I143" s="29" t="n"/>
      <c r="J143" s="39" t="n"/>
      <c r="K143" s="39" t="n"/>
      <c r="L143" s="39" t="n"/>
      <c r="M143" s="29" t="n"/>
      <c r="N143" s="29" t="n"/>
      <c r="O143" s="29" t="n"/>
      <c r="P143" s="32">
        <f>IF($A143="","",IF($F143="نعم",$A143,$M143))</f>
        <v/>
      </c>
      <c r="Q143" s="32">
        <f>IF($A143="","",IF($F143="نعم",$A143,$N143))</f>
        <v/>
      </c>
      <c r="R143" s="32">
        <f>IF($A143="","",IF(AND($F143="نعم",$L143&lt;&gt;"لا"),1,0))</f>
        <v/>
      </c>
      <c r="S143" s="32">
        <f>IF($D143="","",IFERROR(INDEX(Lists!$AK$5:$AK$10,MATCH($D143,Lists!$AJ$5:$AJ$10,0)),"نوع غير معرف"))</f>
        <v/>
      </c>
      <c r="T143" s="32">
        <f>IF($A143="","",IF(COUNTIF($A:$A,$A143)&gt;1,"كود حساب مكرر",IF($B143="","اسم الحساب ناقص",IF(AND($F143="نعم",$G143=""),"الطبيعة ناقصة",IF(AND($F143&lt;&gt;"نعم",OR($M143="",$N143="")),"الحساب الرئيسي يحتاج نطاقًا (من/إلى)",IF(AND($H143=1,$F143&lt;&gt;"نعم"),"حساب نقدية يجب أن يكون قابلًا للترحيل",IF(AND($F143="نعم",$D143=""),"النوع ناقص","")))))))</f>
        <v/>
      </c>
    </row>
    <row r="144">
      <c r="A144" s="39" t="n"/>
      <c r="B144" s="29" t="n"/>
      <c r="C144" s="29" t="n"/>
      <c r="D144" s="39" t="n"/>
      <c r="E144" s="39" t="n"/>
      <c r="F144" s="39" t="n"/>
      <c r="G144" s="39" t="n"/>
      <c r="H144" s="39" t="n"/>
      <c r="I144" s="29" t="n"/>
      <c r="J144" s="39" t="n"/>
      <c r="K144" s="39" t="n"/>
      <c r="L144" s="39" t="n"/>
      <c r="M144" s="29" t="n"/>
      <c r="N144" s="29" t="n"/>
      <c r="O144" s="29" t="n"/>
      <c r="P144" s="32">
        <f>IF($A144="","",IF($F144="نعم",$A144,$M144))</f>
        <v/>
      </c>
      <c r="Q144" s="32">
        <f>IF($A144="","",IF($F144="نعم",$A144,$N144))</f>
        <v/>
      </c>
      <c r="R144" s="32">
        <f>IF($A144="","",IF(AND($F144="نعم",$L144&lt;&gt;"لا"),1,0))</f>
        <v/>
      </c>
      <c r="S144" s="32">
        <f>IF($D144="","",IFERROR(INDEX(Lists!$AK$5:$AK$10,MATCH($D144,Lists!$AJ$5:$AJ$10,0)),"نوع غير معرف"))</f>
        <v/>
      </c>
      <c r="T144" s="32">
        <f>IF($A144="","",IF(COUNTIF($A:$A,$A144)&gt;1,"كود حساب مكرر",IF($B144="","اسم الحساب ناقص",IF(AND($F144="نعم",$G144=""),"الطبيعة ناقصة",IF(AND($F144&lt;&gt;"نعم",OR($M144="",$N144="")),"الحساب الرئيسي يحتاج نطاقًا (من/إلى)",IF(AND($H144=1,$F144&lt;&gt;"نعم"),"حساب نقدية يجب أن يكون قابلًا للترحيل",IF(AND($F144="نعم",$D144=""),"النوع ناقص","")))))))</f>
        <v/>
      </c>
    </row>
    <row r="145">
      <c r="A145" s="39" t="n"/>
      <c r="B145" s="29" t="n"/>
      <c r="C145" s="29" t="n"/>
      <c r="D145" s="39" t="n"/>
      <c r="E145" s="39" t="n"/>
      <c r="F145" s="39" t="n"/>
      <c r="G145" s="39" t="n"/>
      <c r="H145" s="39" t="n"/>
      <c r="I145" s="29" t="n"/>
      <c r="J145" s="39" t="n"/>
      <c r="K145" s="39" t="n"/>
      <c r="L145" s="39" t="n"/>
      <c r="M145" s="29" t="n"/>
      <c r="N145" s="29" t="n"/>
      <c r="O145" s="29" t="n"/>
      <c r="P145" s="32">
        <f>IF($A145="","",IF($F145="نعم",$A145,$M145))</f>
        <v/>
      </c>
      <c r="Q145" s="32">
        <f>IF($A145="","",IF($F145="نعم",$A145,$N145))</f>
        <v/>
      </c>
      <c r="R145" s="32">
        <f>IF($A145="","",IF(AND($F145="نعم",$L145&lt;&gt;"لا"),1,0))</f>
        <v/>
      </c>
      <c r="S145" s="32">
        <f>IF($D145="","",IFERROR(INDEX(Lists!$AK$5:$AK$10,MATCH($D145,Lists!$AJ$5:$AJ$10,0)),"نوع غير معرف"))</f>
        <v/>
      </c>
      <c r="T145" s="32">
        <f>IF($A145="","",IF(COUNTIF($A:$A,$A145)&gt;1,"كود حساب مكرر",IF($B145="","اسم الحساب ناقص",IF(AND($F145="نعم",$G145=""),"الطبيعة ناقصة",IF(AND($F145&lt;&gt;"نعم",OR($M145="",$N145="")),"الحساب الرئيسي يحتاج نطاقًا (من/إلى)",IF(AND($H145=1,$F145&lt;&gt;"نعم"),"حساب نقدية يجب أن يكون قابلًا للترحيل",IF(AND($F145="نعم",$D145=""),"النوع ناقص","")))))))</f>
        <v/>
      </c>
    </row>
    <row r="146">
      <c r="A146" s="39" t="n"/>
      <c r="B146" s="29" t="n"/>
      <c r="C146" s="29" t="n"/>
      <c r="D146" s="39" t="n"/>
      <c r="E146" s="39" t="n"/>
      <c r="F146" s="39" t="n"/>
      <c r="G146" s="39" t="n"/>
      <c r="H146" s="39" t="n"/>
      <c r="I146" s="29" t="n"/>
      <c r="J146" s="39" t="n"/>
      <c r="K146" s="39" t="n"/>
      <c r="L146" s="39" t="n"/>
      <c r="M146" s="29" t="n"/>
      <c r="N146" s="29" t="n"/>
      <c r="O146" s="29" t="n"/>
      <c r="P146" s="32">
        <f>IF($A146="","",IF($F146="نعم",$A146,$M146))</f>
        <v/>
      </c>
      <c r="Q146" s="32">
        <f>IF($A146="","",IF($F146="نعم",$A146,$N146))</f>
        <v/>
      </c>
      <c r="R146" s="32">
        <f>IF($A146="","",IF(AND($F146="نعم",$L146&lt;&gt;"لا"),1,0))</f>
        <v/>
      </c>
      <c r="S146" s="32">
        <f>IF($D146="","",IFERROR(INDEX(Lists!$AK$5:$AK$10,MATCH($D146,Lists!$AJ$5:$AJ$10,0)),"نوع غير معرف"))</f>
        <v/>
      </c>
      <c r="T146" s="32">
        <f>IF($A146="","",IF(COUNTIF($A:$A,$A146)&gt;1,"كود حساب مكرر",IF($B146="","اسم الحساب ناقص",IF(AND($F146="نعم",$G146=""),"الطبيعة ناقصة",IF(AND($F146&lt;&gt;"نعم",OR($M146="",$N146="")),"الحساب الرئيسي يحتاج نطاقًا (من/إلى)",IF(AND($H146=1,$F146&lt;&gt;"نعم"),"حساب نقدية يجب أن يكون قابلًا للترحيل",IF(AND($F146="نعم",$D146=""),"النوع ناقص","")))))))</f>
        <v/>
      </c>
    </row>
    <row r="147">
      <c r="A147" s="39" t="n"/>
      <c r="B147" s="29" t="n"/>
      <c r="C147" s="29" t="n"/>
      <c r="D147" s="39" t="n"/>
      <c r="E147" s="39" t="n"/>
      <c r="F147" s="39" t="n"/>
      <c r="G147" s="39" t="n"/>
      <c r="H147" s="39" t="n"/>
      <c r="I147" s="29" t="n"/>
      <c r="J147" s="39" t="n"/>
      <c r="K147" s="39" t="n"/>
      <c r="L147" s="39" t="n"/>
      <c r="M147" s="29" t="n"/>
      <c r="N147" s="29" t="n"/>
      <c r="O147" s="29" t="n"/>
      <c r="P147" s="32">
        <f>IF($A147="","",IF($F147="نعم",$A147,$M147))</f>
        <v/>
      </c>
      <c r="Q147" s="32">
        <f>IF($A147="","",IF($F147="نعم",$A147,$N147))</f>
        <v/>
      </c>
      <c r="R147" s="32">
        <f>IF($A147="","",IF(AND($F147="نعم",$L147&lt;&gt;"لا"),1,0))</f>
        <v/>
      </c>
      <c r="S147" s="32">
        <f>IF($D147="","",IFERROR(INDEX(Lists!$AK$5:$AK$10,MATCH($D147,Lists!$AJ$5:$AJ$10,0)),"نوع غير معرف"))</f>
        <v/>
      </c>
      <c r="T147" s="32">
        <f>IF($A147="","",IF(COUNTIF($A:$A,$A147)&gt;1,"كود حساب مكرر",IF($B147="","اسم الحساب ناقص",IF(AND($F147="نعم",$G147=""),"الطبيعة ناقصة",IF(AND($F147&lt;&gt;"نعم",OR($M147="",$N147="")),"الحساب الرئيسي يحتاج نطاقًا (من/إلى)",IF(AND($H147=1,$F147&lt;&gt;"نعم"),"حساب نقدية يجب أن يكون قابلًا للترحيل",IF(AND($F147="نعم",$D147=""),"النوع ناقص","")))))))</f>
        <v/>
      </c>
    </row>
    <row r="148">
      <c r="A148" s="39" t="n"/>
      <c r="B148" s="29" t="n"/>
      <c r="C148" s="29" t="n"/>
      <c r="D148" s="39" t="n"/>
      <c r="E148" s="39" t="n"/>
      <c r="F148" s="39" t="n"/>
      <c r="G148" s="39" t="n"/>
      <c r="H148" s="39" t="n"/>
      <c r="I148" s="29" t="n"/>
      <c r="J148" s="39" t="n"/>
      <c r="K148" s="39" t="n"/>
      <c r="L148" s="39" t="n"/>
      <c r="M148" s="29" t="n"/>
      <c r="N148" s="29" t="n"/>
      <c r="O148" s="29" t="n"/>
      <c r="P148" s="32">
        <f>IF($A148="","",IF($F148="نعم",$A148,$M148))</f>
        <v/>
      </c>
      <c r="Q148" s="32">
        <f>IF($A148="","",IF($F148="نعم",$A148,$N148))</f>
        <v/>
      </c>
      <c r="R148" s="32">
        <f>IF($A148="","",IF(AND($F148="نعم",$L148&lt;&gt;"لا"),1,0))</f>
        <v/>
      </c>
      <c r="S148" s="32">
        <f>IF($D148="","",IFERROR(INDEX(Lists!$AK$5:$AK$10,MATCH($D148,Lists!$AJ$5:$AJ$10,0)),"نوع غير معرف"))</f>
        <v/>
      </c>
      <c r="T148" s="32">
        <f>IF($A148="","",IF(COUNTIF($A:$A,$A148)&gt;1,"كود حساب مكرر",IF($B148="","اسم الحساب ناقص",IF(AND($F148="نعم",$G148=""),"الطبيعة ناقصة",IF(AND($F148&lt;&gt;"نعم",OR($M148="",$N148="")),"الحساب الرئيسي يحتاج نطاقًا (من/إلى)",IF(AND($H148=1,$F148&lt;&gt;"نعم"),"حساب نقدية يجب أن يكون قابلًا للترحيل",IF(AND($F148="نعم",$D148=""),"النوع ناقص","")))))))</f>
        <v/>
      </c>
    </row>
    <row r="149">
      <c r="A149" s="39" t="n"/>
      <c r="B149" s="29" t="n"/>
      <c r="C149" s="29" t="n"/>
      <c r="D149" s="39" t="n"/>
      <c r="E149" s="39" t="n"/>
      <c r="F149" s="39" t="n"/>
      <c r="G149" s="39" t="n"/>
      <c r="H149" s="39" t="n"/>
      <c r="I149" s="29" t="n"/>
      <c r="J149" s="39" t="n"/>
      <c r="K149" s="39" t="n"/>
      <c r="L149" s="39" t="n"/>
      <c r="M149" s="29" t="n"/>
      <c r="N149" s="29" t="n"/>
      <c r="O149" s="29" t="n"/>
      <c r="P149" s="32">
        <f>IF($A149="","",IF($F149="نعم",$A149,$M149))</f>
        <v/>
      </c>
      <c r="Q149" s="32">
        <f>IF($A149="","",IF($F149="نعم",$A149,$N149))</f>
        <v/>
      </c>
      <c r="R149" s="32">
        <f>IF($A149="","",IF(AND($F149="نعم",$L149&lt;&gt;"لا"),1,0))</f>
        <v/>
      </c>
      <c r="S149" s="32">
        <f>IF($D149="","",IFERROR(INDEX(Lists!$AK$5:$AK$10,MATCH($D149,Lists!$AJ$5:$AJ$10,0)),"نوع غير معرف"))</f>
        <v/>
      </c>
      <c r="T149" s="32">
        <f>IF($A149="","",IF(COUNTIF($A:$A,$A149)&gt;1,"كود حساب مكرر",IF($B149="","اسم الحساب ناقص",IF(AND($F149="نعم",$G149=""),"الطبيعة ناقصة",IF(AND($F149&lt;&gt;"نعم",OR($M149="",$N149="")),"الحساب الرئيسي يحتاج نطاقًا (من/إلى)",IF(AND($H149=1,$F149&lt;&gt;"نعم"),"حساب نقدية يجب أن يكون قابلًا للترحيل",IF(AND($F149="نعم",$D149=""),"النوع ناقص","")))))))</f>
        <v/>
      </c>
    </row>
    <row r="150">
      <c r="A150" s="39" t="n"/>
      <c r="B150" s="29" t="n"/>
      <c r="C150" s="29" t="n"/>
      <c r="D150" s="39" t="n"/>
      <c r="E150" s="39" t="n"/>
      <c r="F150" s="39" t="n"/>
      <c r="G150" s="39" t="n"/>
      <c r="H150" s="39" t="n"/>
      <c r="I150" s="29" t="n"/>
      <c r="J150" s="39" t="n"/>
      <c r="K150" s="39" t="n"/>
      <c r="L150" s="39" t="n"/>
      <c r="M150" s="29" t="n"/>
      <c r="N150" s="29" t="n"/>
      <c r="O150" s="29" t="n"/>
      <c r="P150" s="32">
        <f>IF($A150="","",IF($F150="نعم",$A150,$M150))</f>
        <v/>
      </c>
      <c r="Q150" s="32">
        <f>IF($A150="","",IF($F150="نعم",$A150,$N150))</f>
        <v/>
      </c>
      <c r="R150" s="32">
        <f>IF($A150="","",IF(AND($F150="نعم",$L150&lt;&gt;"لا"),1,0))</f>
        <v/>
      </c>
      <c r="S150" s="32">
        <f>IF($D150="","",IFERROR(INDEX(Lists!$AK$5:$AK$10,MATCH($D150,Lists!$AJ$5:$AJ$10,0)),"نوع غير معرف"))</f>
        <v/>
      </c>
      <c r="T150" s="32">
        <f>IF($A150="","",IF(COUNTIF($A:$A,$A150)&gt;1,"كود حساب مكرر",IF($B150="","اسم الحساب ناقص",IF(AND($F150="نعم",$G150=""),"الطبيعة ناقصة",IF(AND($F150&lt;&gt;"نعم",OR($M150="",$N150="")),"الحساب الرئيسي يحتاج نطاقًا (من/إلى)",IF(AND($H150=1,$F150&lt;&gt;"نعم"),"حساب نقدية يجب أن يكون قابلًا للترحيل",IF(AND($F150="نعم",$D150=""),"النوع ناقص","")))))))</f>
        <v/>
      </c>
    </row>
    <row r="151">
      <c r="A151" s="39" t="n"/>
      <c r="B151" s="29" t="n"/>
      <c r="C151" s="29" t="n"/>
      <c r="D151" s="39" t="n"/>
      <c r="E151" s="39" t="n"/>
      <c r="F151" s="39" t="n"/>
      <c r="G151" s="39" t="n"/>
      <c r="H151" s="39" t="n"/>
      <c r="I151" s="29" t="n"/>
      <c r="J151" s="39" t="n"/>
      <c r="K151" s="39" t="n"/>
      <c r="L151" s="39" t="n"/>
      <c r="M151" s="29" t="n"/>
      <c r="N151" s="29" t="n"/>
      <c r="O151" s="29" t="n"/>
      <c r="P151" s="32">
        <f>IF($A151="","",IF($F151="نعم",$A151,$M151))</f>
        <v/>
      </c>
      <c r="Q151" s="32">
        <f>IF($A151="","",IF($F151="نعم",$A151,$N151))</f>
        <v/>
      </c>
      <c r="R151" s="32">
        <f>IF($A151="","",IF(AND($F151="نعم",$L151&lt;&gt;"لا"),1,0))</f>
        <v/>
      </c>
      <c r="S151" s="32">
        <f>IF($D151="","",IFERROR(INDEX(Lists!$AK$5:$AK$10,MATCH($D151,Lists!$AJ$5:$AJ$10,0)),"نوع غير معرف"))</f>
        <v/>
      </c>
      <c r="T151" s="32">
        <f>IF($A151="","",IF(COUNTIF($A:$A,$A151)&gt;1,"كود حساب مكرر",IF($B151="","اسم الحساب ناقص",IF(AND($F151="نعم",$G151=""),"الطبيعة ناقصة",IF(AND($F151&lt;&gt;"نعم",OR($M151="",$N151="")),"الحساب الرئيسي يحتاج نطاقًا (من/إلى)",IF(AND($H151=1,$F151&lt;&gt;"نعم"),"حساب نقدية يجب أن يكون قابلًا للترحيل",IF(AND($F151="نعم",$D151=""),"النوع ناقص","")))))))</f>
        <v/>
      </c>
    </row>
    <row r="152">
      <c r="A152" s="39" t="n"/>
      <c r="B152" s="29" t="n"/>
      <c r="C152" s="29" t="n"/>
      <c r="D152" s="39" t="n"/>
      <c r="E152" s="39" t="n"/>
      <c r="F152" s="39" t="n"/>
      <c r="G152" s="39" t="n"/>
      <c r="H152" s="39" t="n"/>
      <c r="I152" s="29" t="n"/>
      <c r="J152" s="39" t="n"/>
      <c r="K152" s="39" t="n"/>
      <c r="L152" s="39" t="n"/>
      <c r="M152" s="29" t="n"/>
      <c r="N152" s="29" t="n"/>
      <c r="O152" s="29" t="n"/>
      <c r="P152" s="32">
        <f>IF($A152="","",IF($F152="نعم",$A152,$M152))</f>
        <v/>
      </c>
      <c r="Q152" s="32">
        <f>IF($A152="","",IF($F152="نعم",$A152,$N152))</f>
        <v/>
      </c>
      <c r="R152" s="32">
        <f>IF($A152="","",IF(AND($F152="نعم",$L152&lt;&gt;"لا"),1,0))</f>
        <v/>
      </c>
      <c r="S152" s="32">
        <f>IF($D152="","",IFERROR(INDEX(Lists!$AK$5:$AK$10,MATCH($D152,Lists!$AJ$5:$AJ$10,0)),"نوع غير معرف"))</f>
        <v/>
      </c>
      <c r="T152" s="32">
        <f>IF($A152="","",IF(COUNTIF($A:$A,$A152)&gt;1,"كود حساب مكرر",IF($B152="","اسم الحساب ناقص",IF(AND($F152="نعم",$G152=""),"الطبيعة ناقصة",IF(AND($F152&lt;&gt;"نعم",OR($M152="",$N152="")),"الحساب الرئيسي يحتاج نطاقًا (من/إلى)",IF(AND($H152=1,$F152&lt;&gt;"نعم"),"حساب نقدية يجب أن يكون قابلًا للترحيل",IF(AND($F152="نعم",$D152=""),"النوع ناقص","")))))))</f>
        <v/>
      </c>
    </row>
    <row r="153">
      <c r="A153" s="39" t="n"/>
      <c r="B153" s="29" t="n"/>
      <c r="C153" s="29" t="n"/>
      <c r="D153" s="39" t="n"/>
      <c r="E153" s="39" t="n"/>
      <c r="F153" s="39" t="n"/>
      <c r="G153" s="39" t="n"/>
      <c r="H153" s="39" t="n"/>
      <c r="I153" s="29" t="n"/>
      <c r="J153" s="39" t="n"/>
      <c r="K153" s="39" t="n"/>
      <c r="L153" s="39" t="n"/>
      <c r="M153" s="29" t="n"/>
      <c r="N153" s="29" t="n"/>
      <c r="O153" s="29" t="n"/>
      <c r="P153" s="32">
        <f>IF($A153="","",IF($F153="نعم",$A153,$M153))</f>
        <v/>
      </c>
      <c r="Q153" s="32">
        <f>IF($A153="","",IF($F153="نعم",$A153,$N153))</f>
        <v/>
      </c>
      <c r="R153" s="32">
        <f>IF($A153="","",IF(AND($F153="نعم",$L153&lt;&gt;"لا"),1,0))</f>
        <v/>
      </c>
      <c r="S153" s="32">
        <f>IF($D153="","",IFERROR(INDEX(Lists!$AK$5:$AK$10,MATCH($D153,Lists!$AJ$5:$AJ$10,0)),"نوع غير معرف"))</f>
        <v/>
      </c>
      <c r="T153" s="32">
        <f>IF($A153="","",IF(COUNTIF($A:$A,$A153)&gt;1,"كود حساب مكرر",IF($B153="","اسم الحساب ناقص",IF(AND($F153="نعم",$G153=""),"الطبيعة ناقصة",IF(AND($F153&lt;&gt;"نعم",OR($M153="",$N153="")),"الحساب الرئيسي يحتاج نطاقًا (من/إلى)",IF(AND($H153=1,$F153&lt;&gt;"نعم"),"حساب نقدية يجب أن يكون قابلًا للترحيل",IF(AND($F153="نعم",$D153=""),"النوع ناقص","")))))))</f>
        <v/>
      </c>
    </row>
    <row r="154">
      <c r="A154" s="39" t="n"/>
      <c r="B154" s="29" t="n"/>
      <c r="C154" s="29" t="n"/>
      <c r="D154" s="39" t="n"/>
      <c r="E154" s="39" t="n"/>
      <c r="F154" s="39" t="n"/>
      <c r="G154" s="39" t="n"/>
      <c r="H154" s="39" t="n"/>
      <c r="I154" s="29" t="n"/>
      <c r="J154" s="39" t="n"/>
      <c r="K154" s="39" t="n"/>
      <c r="L154" s="39" t="n"/>
      <c r="M154" s="29" t="n"/>
      <c r="N154" s="29" t="n"/>
      <c r="O154" s="29" t="n"/>
      <c r="P154" s="32">
        <f>IF($A154="","",IF($F154="نعم",$A154,$M154))</f>
        <v/>
      </c>
      <c r="Q154" s="32">
        <f>IF($A154="","",IF($F154="نعم",$A154,$N154))</f>
        <v/>
      </c>
      <c r="R154" s="32">
        <f>IF($A154="","",IF(AND($F154="نعم",$L154&lt;&gt;"لا"),1,0))</f>
        <v/>
      </c>
      <c r="S154" s="32">
        <f>IF($D154="","",IFERROR(INDEX(Lists!$AK$5:$AK$10,MATCH($D154,Lists!$AJ$5:$AJ$10,0)),"نوع غير معرف"))</f>
        <v/>
      </c>
      <c r="T154" s="32">
        <f>IF($A154="","",IF(COUNTIF($A:$A,$A154)&gt;1,"كود حساب مكرر",IF($B154="","اسم الحساب ناقص",IF(AND($F154="نعم",$G154=""),"الطبيعة ناقصة",IF(AND($F154&lt;&gt;"نعم",OR($M154="",$N154="")),"الحساب الرئيسي يحتاج نطاقًا (من/إلى)",IF(AND($H154=1,$F154&lt;&gt;"نعم"),"حساب نقدية يجب أن يكون قابلًا للترحيل",IF(AND($F154="نعم",$D154=""),"النوع ناقص","")))))))</f>
        <v/>
      </c>
    </row>
    <row r="155">
      <c r="A155" s="39" t="n"/>
      <c r="B155" s="29" t="n"/>
      <c r="C155" s="29" t="n"/>
      <c r="D155" s="39" t="n"/>
      <c r="E155" s="39" t="n"/>
      <c r="F155" s="39" t="n"/>
      <c r="G155" s="39" t="n"/>
      <c r="H155" s="39" t="n"/>
      <c r="I155" s="29" t="n"/>
      <c r="J155" s="39" t="n"/>
      <c r="K155" s="39" t="n"/>
      <c r="L155" s="39" t="n"/>
      <c r="M155" s="29" t="n"/>
      <c r="N155" s="29" t="n"/>
      <c r="O155" s="29" t="n"/>
      <c r="P155" s="32">
        <f>IF($A155="","",IF($F155="نعم",$A155,$M155))</f>
        <v/>
      </c>
      <c r="Q155" s="32">
        <f>IF($A155="","",IF($F155="نعم",$A155,$N155))</f>
        <v/>
      </c>
      <c r="R155" s="32">
        <f>IF($A155="","",IF(AND($F155="نعم",$L155&lt;&gt;"لا"),1,0))</f>
        <v/>
      </c>
      <c r="S155" s="32">
        <f>IF($D155="","",IFERROR(INDEX(Lists!$AK$5:$AK$10,MATCH($D155,Lists!$AJ$5:$AJ$10,0)),"نوع غير معرف"))</f>
        <v/>
      </c>
      <c r="T155" s="32">
        <f>IF($A155="","",IF(COUNTIF($A:$A,$A155)&gt;1,"كود حساب مكرر",IF($B155="","اسم الحساب ناقص",IF(AND($F155="نعم",$G155=""),"الطبيعة ناقصة",IF(AND($F155&lt;&gt;"نعم",OR($M155="",$N155="")),"الحساب الرئيسي يحتاج نطاقًا (من/إلى)",IF(AND($H155=1,$F155&lt;&gt;"نعم"),"حساب نقدية يجب أن يكون قابلًا للترحيل",IF(AND($F155="نعم",$D155=""),"النوع ناقص","")))))))</f>
        <v/>
      </c>
    </row>
    <row r="156">
      <c r="A156" s="39" t="n"/>
      <c r="B156" s="29" t="n"/>
      <c r="C156" s="29" t="n"/>
      <c r="D156" s="39" t="n"/>
      <c r="E156" s="39" t="n"/>
      <c r="F156" s="39" t="n"/>
      <c r="G156" s="39" t="n"/>
      <c r="H156" s="39" t="n"/>
      <c r="I156" s="29" t="n"/>
      <c r="J156" s="39" t="n"/>
      <c r="K156" s="39" t="n"/>
      <c r="L156" s="39" t="n"/>
      <c r="M156" s="29" t="n"/>
      <c r="N156" s="29" t="n"/>
      <c r="O156" s="29" t="n"/>
      <c r="P156" s="32">
        <f>IF($A156="","",IF($F156="نعم",$A156,$M156))</f>
        <v/>
      </c>
      <c r="Q156" s="32">
        <f>IF($A156="","",IF($F156="نعم",$A156,$N156))</f>
        <v/>
      </c>
      <c r="R156" s="32">
        <f>IF($A156="","",IF(AND($F156="نعم",$L156&lt;&gt;"لا"),1,0))</f>
        <v/>
      </c>
      <c r="S156" s="32">
        <f>IF($D156="","",IFERROR(INDEX(Lists!$AK$5:$AK$10,MATCH($D156,Lists!$AJ$5:$AJ$10,0)),"نوع غير معرف"))</f>
        <v/>
      </c>
      <c r="T156" s="32">
        <f>IF($A156="","",IF(COUNTIF($A:$A,$A156)&gt;1,"كود حساب مكرر",IF($B156="","اسم الحساب ناقص",IF(AND($F156="نعم",$G156=""),"الطبيعة ناقصة",IF(AND($F156&lt;&gt;"نعم",OR($M156="",$N156="")),"الحساب الرئيسي يحتاج نطاقًا (من/إلى)",IF(AND($H156=1,$F156&lt;&gt;"نعم"),"حساب نقدية يجب أن يكون قابلًا للترحيل",IF(AND($F156="نعم",$D156=""),"النوع ناقص","")))))))</f>
        <v/>
      </c>
    </row>
    <row r="157">
      <c r="A157" s="39" t="n"/>
      <c r="B157" s="29" t="n"/>
      <c r="C157" s="29" t="n"/>
      <c r="D157" s="39" t="n"/>
      <c r="E157" s="39" t="n"/>
      <c r="F157" s="39" t="n"/>
      <c r="G157" s="39" t="n"/>
      <c r="H157" s="39" t="n"/>
      <c r="I157" s="29" t="n"/>
      <c r="J157" s="39" t="n"/>
      <c r="K157" s="39" t="n"/>
      <c r="L157" s="39" t="n"/>
      <c r="M157" s="29" t="n"/>
      <c r="N157" s="29" t="n"/>
      <c r="O157" s="29" t="n"/>
      <c r="P157" s="32">
        <f>IF($A157="","",IF($F157="نعم",$A157,$M157))</f>
        <v/>
      </c>
      <c r="Q157" s="32">
        <f>IF($A157="","",IF($F157="نعم",$A157,$N157))</f>
        <v/>
      </c>
      <c r="R157" s="32">
        <f>IF($A157="","",IF(AND($F157="نعم",$L157&lt;&gt;"لا"),1,0))</f>
        <v/>
      </c>
      <c r="S157" s="32">
        <f>IF($D157="","",IFERROR(INDEX(Lists!$AK$5:$AK$10,MATCH($D157,Lists!$AJ$5:$AJ$10,0)),"نوع غير معرف"))</f>
        <v/>
      </c>
      <c r="T157" s="32">
        <f>IF($A157="","",IF(COUNTIF($A:$A,$A157)&gt;1,"كود حساب مكرر",IF($B157="","اسم الحساب ناقص",IF(AND($F157="نعم",$G157=""),"الطبيعة ناقصة",IF(AND($F157&lt;&gt;"نعم",OR($M157="",$N157="")),"الحساب الرئيسي يحتاج نطاقًا (من/إلى)",IF(AND($H157=1,$F157&lt;&gt;"نعم"),"حساب نقدية يجب أن يكون قابلًا للترحيل",IF(AND($F157="نعم",$D157=""),"النوع ناقص","")))))))</f>
        <v/>
      </c>
    </row>
    <row r="158">
      <c r="A158" s="39" t="n"/>
      <c r="B158" s="29" t="n"/>
      <c r="C158" s="29" t="n"/>
      <c r="D158" s="39" t="n"/>
      <c r="E158" s="39" t="n"/>
      <c r="F158" s="39" t="n"/>
      <c r="G158" s="39" t="n"/>
      <c r="H158" s="39" t="n"/>
      <c r="I158" s="29" t="n"/>
      <c r="J158" s="39" t="n"/>
      <c r="K158" s="39" t="n"/>
      <c r="L158" s="39" t="n"/>
      <c r="M158" s="29" t="n"/>
      <c r="N158" s="29" t="n"/>
      <c r="O158" s="29" t="n"/>
      <c r="P158" s="32">
        <f>IF($A158="","",IF($F158="نعم",$A158,$M158))</f>
        <v/>
      </c>
      <c r="Q158" s="32">
        <f>IF($A158="","",IF($F158="نعم",$A158,$N158))</f>
        <v/>
      </c>
      <c r="R158" s="32">
        <f>IF($A158="","",IF(AND($F158="نعم",$L158&lt;&gt;"لا"),1,0))</f>
        <v/>
      </c>
      <c r="S158" s="32">
        <f>IF($D158="","",IFERROR(INDEX(Lists!$AK$5:$AK$10,MATCH($D158,Lists!$AJ$5:$AJ$10,0)),"نوع غير معرف"))</f>
        <v/>
      </c>
      <c r="T158" s="32">
        <f>IF($A158="","",IF(COUNTIF($A:$A,$A158)&gt;1,"كود حساب مكرر",IF($B158="","اسم الحساب ناقص",IF(AND($F158="نعم",$G158=""),"الطبيعة ناقصة",IF(AND($F158&lt;&gt;"نعم",OR($M158="",$N158="")),"الحساب الرئيسي يحتاج نطاقًا (من/إلى)",IF(AND($H158=1,$F158&lt;&gt;"نعم"),"حساب نقدية يجب أن يكون قابلًا للترحيل",IF(AND($F158="نعم",$D158=""),"النوع ناقص","")))))))</f>
        <v/>
      </c>
    </row>
    <row r="159">
      <c r="A159" s="39" t="n"/>
      <c r="B159" s="29" t="n"/>
      <c r="C159" s="29" t="n"/>
      <c r="D159" s="39" t="n"/>
      <c r="E159" s="39" t="n"/>
      <c r="F159" s="39" t="n"/>
      <c r="G159" s="39" t="n"/>
      <c r="H159" s="39" t="n"/>
      <c r="I159" s="29" t="n"/>
      <c r="J159" s="39" t="n"/>
      <c r="K159" s="39" t="n"/>
      <c r="L159" s="39" t="n"/>
      <c r="M159" s="29" t="n"/>
      <c r="N159" s="29" t="n"/>
      <c r="O159" s="29" t="n"/>
      <c r="P159" s="32">
        <f>IF($A159="","",IF($F159="نعم",$A159,$M159))</f>
        <v/>
      </c>
      <c r="Q159" s="32">
        <f>IF($A159="","",IF($F159="نعم",$A159,$N159))</f>
        <v/>
      </c>
      <c r="R159" s="32">
        <f>IF($A159="","",IF(AND($F159="نعم",$L159&lt;&gt;"لا"),1,0))</f>
        <v/>
      </c>
      <c r="S159" s="32">
        <f>IF($D159="","",IFERROR(INDEX(Lists!$AK$5:$AK$10,MATCH($D159,Lists!$AJ$5:$AJ$10,0)),"نوع غير معرف"))</f>
        <v/>
      </c>
      <c r="T159" s="32">
        <f>IF($A159="","",IF(COUNTIF($A:$A,$A159)&gt;1,"كود حساب مكرر",IF($B159="","اسم الحساب ناقص",IF(AND($F159="نعم",$G159=""),"الطبيعة ناقصة",IF(AND($F159&lt;&gt;"نعم",OR($M159="",$N159="")),"الحساب الرئيسي يحتاج نطاقًا (من/إلى)",IF(AND($H159=1,$F159&lt;&gt;"نعم"),"حساب نقدية يجب أن يكون قابلًا للترحيل",IF(AND($F159="نعم",$D159=""),"النوع ناقص","")))))))</f>
        <v/>
      </c>
    </row>
    <row r="160">
      <c r="A160" s="39" t="n"/>
      <c r="B160" s="29" t="n"/>
      <c r="C160" s="29" t="n"/>
      <c r="D160" s="39" t="n"/>
      <c r="E160" s="39" t="n"/>
      <c r="F160" s="39" t="n"/>
      <c r="G160" s="39" t="n"/>
      <c r="H160" s="39" t="n"/>
      <c r="I160" s="29" t="n"/>
      <c r="J160" s="39" t="n"/>
      <c r="K160" s="39" t="n"/>
      <c r="L160" s="39" t="n"/>
      <c r="M160" s="29" t="n"/>
      <c r="N160" s="29" t="n"/>
      <c r="O160" s="29" t="n"/>
      <c r="P160" s="32">
        <f>IF($A160="","",IF($F160="نعم",$A160,$M160))</f>
        <v/>
      </c>
      <c r="Q160" s="32">
        <f>IF($A160="","",IF($F160="نعم",$A160,$N160))</f>
        <v/>
      </c>
      <c r="R160" s="32">
        <f>IF($A160="","",IF(AND($F160="نعم",$L160&lt;&gt;"لا"),1,0))</f>
        <v/>
      </c>
      <c r="S160" s="32">
        <f>IF($D160="","",IFERROR(INDEX(Lists!$AK$5:$AK$10,MATCH($D160,Lists!$AJ$5:$AJ$10,0)),"نوع غير معرف"))</f>
        <v/>
      </c>
      <c r="T160" s="32">
        <f>IF($A160="","",IF(COUNTIF($A:$A,$A160)&gt;1,"كود حساب مكرر",IF($B160="","اسم الحساب ناقص",IF(AND($F160="نعم",$G160=""),"الطبيعة ناقصة",IF(AND($F160&lt;&gt;"نعم",OR($M160="",$N160="")),"الحساب الرئيسي يحتاج نطاقًا (من/إلى)",IF(AND($H160=1,$F160&lt;&gt;"نعم"),"حساب نقدية يجب أن يكون قابلًا للترحيل",IF(AND($F160="نعم",$D160=""),"النوع ناقص","")))))))</f>
        <v/>
      </c>
    </row>
    <row r="161">
      <c r="A161" s="39" t="n"/>
      <c r="B161" s="29" t="n"/>
      <c r="C161" s="29" t="n"/>
      <c r="D161" s="39" t="n"/>
      <c r="E161" s="39" t="n"/>
      <c r="F161" s="39" t="n"/>
      <c r="G161" s="39" t="n"/>
      <c r="H161" s="39" t="n"/>
      <c r="I161" s="29" t="n"/>
      <c r="J161" s="39" t="n"/>
      <c r="K161" s="39" t="n"/>
      <c r="L161" s="39" t="n"/>
      <c r="M161" s="29" t="n"/>
      <c r="N161" s="29" t="n"/>
      <c r="O161" s="29" t="n"/>
      <c r="P161" s="32">
        <f>IF($A161="","",IF($F161="نعم",$A161,$M161))</f>
        <v/>
      </c>
      <c r="Q161" s="32">
        <f>IF($A161="","",IF($F161="نعم",$A161,$N161))</f>
        <v/>
      </c>
      <c r="R161" s="32">
        <f>IF($A161="","",IF(AND($F161="نعم",$L161&lt;&gt;"لا"),1,0))</f>
        <v/>
      </c>
      <c r="S161" s="32">
        <f>IF($D161="","",IFERROR(INDEX(Lists!$AK$5:$AK$10,MATCH($D161,Lists!$AJ$5:$AJ$10,0)),"نوع غير معرف"))</f>
        <v/>
      </c>
      <c r="T161" s="32">
        <f>IF($A161="","",IF(COUNTIF($A:$A,$A161)&gt;1,"كود حساب مكرر",IF($B161="","اسم الحساب ناقص",IF(AND($F161="نعم",$G161=""),"الطبيعة ناقصة",IF(AND($F161&lt;&gt;"نعم",OR($M161="",$N161="")),"الحساب الرئيسي يحتاج نطاقًا (من/إلى)",IF(AND($H161=1,$F161&lt;&gt;"نعم"),"حساب نقدية يجب أن يكون قابلًا للترحيل",IF(AND($F161="نعم",$D161=""),"النوع ناقص","")))))))</f>
        <v/>
      </c>
    </row>
    <row r="162">
      <c r="A162" s="39" t="n"/>
      <c r="B162" s="29" t="n"/>
      <c r="C162" s="29" t="n"/>
      <c r="D162" s="39" t="n"/>
      <c r="E162" s="39" t="n"/>
      <c r="F162" s="39" t="n"/>
      <c r="G162" s="39" t="n"/>
      <c r="H162" s="39" t="n"/>
      <c r="I162" s="29" t="n"/>
      <c r="J162" s="39" t="n"/>
      <c r="K162" s="39" t="n"/>
      <c r="L162" s="39" t="n"/>
      <c r="M162" s="29" t="n"/>
      <c r="N162" s="29" t="n"/>
      <c r="O162" s="29" t="n"/>
      <c r="P162" s="32">
        <f>IF($A162="","",IF($F162="نعم",$A162,$M162))</f>
        <v/>
      </c>
      <c r="Q162" s="32">
        <f>IF($A162="","",IF($F162="نعم",$A162,$N162))</f>
        <v/>
      </c>
      <c r="R162" s="32">
        <f>IF($A162="","",IF(AND($F162="نعم",$L162&lt;&gt;"لا"),1,0))</f>
        <v/>
      </c>
      <c r="S162" s="32">
        <f>IF($D162="","",IFERROR(INDEX(Lists!$AK$5:$AK$10,MATCH($D162,Lists!$AJ$5:$AJ$10,0)),"نوع غير معرف"))</f>
        <v/>
      </c>
      <c r="T162" s="32">
        <f>IF($A162="","",IF(COUNTIF($A:$A,$A162)&gt;1,"كود حساب مكرر",IF($B162="","اسم الحساب ناقص",IF(AND($F162="نعم",$G162=""),"الطبيعة ناقصة",IF(AND($F162&lt;&gt;"نعم",OR($M162="",$N162="")),"الحساب الرئيسي يحتاج نطاقًا (من/إلى)",IF(AND($H162=1,$F162&lt;&gt;"نعم"),"حساب نقدية يجب أن يكون قابلًا للترحيل",IF(AND($F162="نعم",$D162=""),"النوع ناقص","")))))))</f>
        <v/>
      </c>
    </row>
    <row r="163">
      <c r="A163" s="39" t="n"/>
      <c r="B163" s="29" t="n"/>
      <c r="C163" s="29" t="n"/>
      <c r="D163" s="39" t="n"/>
      <c r="E163" s="39" t="n"/>
      <c r="F163" s="39" t="n"/>
      <c r="G163" s="39" t="n"/>
      <c r="H163" s="39" t="n"/>
      <c r="I163" s="29" t="n"/>
      <c r="J163" s="39" t="n"/>
      <c r="K163" s="39" t="n"/>
      <c r="L163" s="39" t="n"/>
      <c r="M163" s="29" t="n"/>
      <c r="N163" s="29" t="n"/>
      <c r="O163" s="29" t="n"/>
      <c r="P163" s="32">
        <f>IF($A163="","",IF($F163="نعم",$A163,$M163))</f>
        <v/>
      </c>
      <c r="Q163" s="32">
        <f>IF($A163="","",IF($F163="نعم",$A163,$N163))</f>
        <v/>
      </c>
      <c r="R163" s="32">
        <f>IF($A163="","",IF(AND($F163="نعم",$L163&lt;&gt;"لا"),1,0))</f>
        <v/>
      </c>
      <c r="S163" s="32">
        <f>IF($D163="","",IFERROR(INDEX(Lists!$AK$5:$AK$10,MATCH($D163,Lists!$AJ$5:$AJ$10,0)),"نوع غير معرف"))</f>
        <v/>
      </c>
      <c r="T163" s="32">
        <f>IF($A163="","",IF(COUNTIF($A:$A,$A163)&gt;1,"كود حساب مكرر",IF($B163="","اسم الحساب ناقص",IF(AND($F163="نعم",$G163=""),"الطبيعة ناقصة",IF(AND($F163&lt;&gt;"نعم",OR($M163="",$N163="")),"الحساب الرئيسي يحتاج نطاقًا (من/إلى)",IF(AND($H163=1,$F163&lt;&gt;"نعم"),"حساب نقدية يجب أن يكون قابلًا للترحيل",IF(AND($F163="نعم",$D163=""),"النوع ناقص","")))))))</f>
        <v/>
      </c>
    </row>
    <row r="164">
      <c r="A164" s="39" t="n"/>
      <c r="B164" s="29" t="n"/>
      <c r="C164" s="29" t="n"/>
      <c r="D164" s="39" t="n"/>
      <c r="E164" s="39" t="n"/>
      <c r="F164" s="39" t="n"/>
      <c r="G164" s="39" t="n"/>
      <c r="H164" s="39" t="n"/>
      <c r="I164" s="29" t="n"/>
      <c r="J164" s="39" t="n"/>
      <c r="K164" s="39" t="n"/>
      <c r="L164" s="39" t="n"/>
      <c r="M164" s="29" t="n"/>
      <c r="N164" s="29" t="n"/>
      <c r="O164" s="29" t="n"/>
      <c r="P164" s="32">
        <f>IF($A164="","",IF($F164="نعم",$A164,$M164))</f>
        <v/>
      </c>
      <c r="Q164" s="32">
        <f>IF($A164="","",IF($F164="نعم",$A164,$N164))</f>
        <v/>
      </c>
      <c r="R164" s="32">
        <f>IF($A164="","",IF(AND($F164="نعم",$L164&lt;&gt;"لا"),1,0))</f>
        <v/>
      </c>
      <c r="S164" s="32">
        <f>IF($D164="","",IFERROR(INDEX(Lists!$AK$5:$AK$10,MATCH($D164,Lists!$AJ$5:$AJ$10,0)),"نوع غير معرف"))</f>
        <v/>
      </c>
      <c r="T164" s="32">
        <f>IF($A164="","",IF(COUNTIF($A:$A,$A164)&gt;1,"كود حساب مكرر",IF($B164="","اسم الحساب ناقص",IF(AND($F164="نعم",$G164=""),"الطبيعة ناقصة",IF(AND($F164&lt;&gt;"نعم",OR($M164="",$N164="")),"الحساب الرئيسي يحتاج نطاقًا (من/إلى)",IF(AND($H164=1,$F164&lt;&gt;"نعم"),"حساب نقدية يجب أن يكون قابلًا للترحيل",IF(AND($F164="نعم",$D164=""),"النوع ناقص","")))))))</f>
        <v/>
      </c>
    </row>
    <row r="165">
      <c r="A165" s="39" t="n"/>
      <c r="B165" s="29" t="n"/>
      <c r="C165" s="29" t="n"/>
      <c r="D165" s="39" t="n"/>
      <c r="E165" s="39" t="n"/>
      <c r="F165" s="39" t="n"/>
      <c r="G165" s="39" t="n"/>
      <c r="H165" s="39" t="n"/>
      <c r="I165" s="29" t="n"/>
      <c r="J165" s="39" t="n"/>
      <c r="K165" s="39" t="n"/>
      <c r="L165" s="39" t="n"/>
      <c r="M165" s="29" t="n"/>
      <c r="N165" s="29" t="n"/>
      <c r="O165" s="29" t="n"/>
      <c r="P165" s="32">
        <f>IF($A165="","",IF($F165="نعم",$A165,$M165))</f>
        <v/>
      </c>
      <c r="Q165" s="32">
        <f>IF($A165="","",IF($F165="نعم",$A165,$N165))</f>
        <v/>
      </c>
      <c r="R165" s="32">
        <f>IF($A165="","",IF(AND($F165="نعم",$L165&lt;&gt;"لا"),1,0))</f>
        <v/>
      </c>
      <c r="S165" s="32">
        <f>IF($D165="","",IFERROR(INDEX(Lists!$AK$5:$AK$10,MATCH($D165,Lists!$AJ$5:$AJ$10,0)),"نوع غير معرف"))</f>
        <v/>
      </c>
      <c r="T165" s="32">
        <f>IF($A165="","",IF(COUNTIF($A:$A,$A165)&gt;1,"كود حساب مكرر",IF($B165="","اسم الحساب ناقص",IF(AND($F165="نعم",$G165=""),"الطبيعة ناقصة",IF(AND($F165&lt;&gt;"نعم",OR($M165="",$N165="")),"الحساب الرئيسي يحتاج نطاقًا (من/إلى)",IF(AND($H165=1,$F165&lt;&gt;"نعم"),"حساب نقدية يجب أن يكون قابلًا للترحيل",IF(AND($F165="نعم",$D165=""),"النوع ناقص","")))))))</f>
        <v/>
      </c>
    </row>
    <row r="166">
      <c r="A166" s="39" t="n"/>
      <c r="B166" s="29" t="n"/>
      <c r="C166" s="29" t="n"/>
      <c r="D166" s="39" t="n"/>
      <c r="E166" s="39" t="n"/>
      <c r="F166" s="39" t="n"/>
      <c r="G166" s="39" t="n"/>
      <c r="H166" s="39" t="n"/>
      <c r="I166" s="29" t="n"/>
      <c r="J166" s="39" t="n"/>
      <c r="K166" s="39" t="n"/>
      <c r="L166" s="39" t="n"/>
      <c r="M166" s="29" t="n"/>
      <c r="N166" s="29" t="n"/>
      <c r="O166" s="29" t="n"/>
      <c r="P166" s="32">
        <f>IF($A166="","",IF($F166="نعم",$A166,$M166))</f>
        <v/>
      </c>
      <c r="Q166" s="32">
        <f>IF($A166="","",IF($F166="نعم",$A166,$N166))</f>
        <v/>
      </c>
      <c r="R166" s="32">
        <f>IF($A166="","",IF(AND($F166="نعم",$L166&lt;&gt;"لا"),1,0))</f>
        <v/>
      </c>
      <c r="S166" s="32">
        <f>IF($D166="","",IFERROR(INDEX(Lists!$AK$5:$AK$10,MATCH($D166,Lists!$AJ$5:$AJ$10,0)),"نوع غير معرف"))</f>
        <v/>
      </c>
      <c r="T166" s="32">
        <f>IF($A166="","",IF(COUNTIF($A:$A,$A166)&gt;1,"كود حساب مكرر",IF($B166="","اسم الحساب ناقص",IF(AND($F166="نعم",$G166=""),"الطبيعة ناقصة",IF(AND($F166&lt;&gt;"نعم",OR($M166="",$N166="")),"الحساب الرئيسي يحتاج نطاقًا (من/إلى)",IF(AND($H166=1,$F166&lt;&gt;"نعم"),"حساب نقدية يجب أن يكون قابلًا للترحيل",IF(AND($F166="نعم",$D166=""),"النوع ناقص","")))))))</f>
        <v/>
      </c>
    </row>
    <row r="167">
      <c r="A167" s="39" t="n"/>
      <c r="B167" s="29" t="n"/>
      <c r="C167" s="29" t="n"/>
      <c r="D167" s="39" t="n"/>
      <c r="E167" s="39" t="n"/>
      <c r="F167" s="39" t="n"/>
      <c r="G167" s="39" t="n"/>
      <c r="H167" s="39" t="n"/>
      <c r="I167" s="29" t="n"/>
      <c r="J167" s="39" t="n"/>
      <c r="K167" s="39" t="n"/>
      <c r="L167" s="39" t="n"/>
      <c r="M167" s="29" t="n"/>
      <c r="N167" s="29" t="n"/>
      <c r="O167" s="29" t="n"/>
      <c r="P167" s="32">
        <f>IF($A167="","",IF($F167="نعم",$A167,$M167))</f>
        <v/>
      </c>
      <c r="Q167" s="32">
        <f>IF($A167="","",IF($F167="نعم",$A167,$N167))</f>
        <v/>
      </c>
      <c r="R167" s="32">
        <f>IF($A167="","",IF(AND($F167="نعم",$L167&lt;&gt;"لا"),1,0))</f>
        <v/>
      </c>
      <c r="S167" s="32">
        <f>IF($D167="","",IFERROR(INDEX(Lists!$AK$5:$AK$10,MATCH($D167,Lists!$AJ$5:$AJ$10,0)),"نوع غير معرف"))</f>
        <v/>
      </c>
      <c r="T167" s="32">
        <f>IF($A167="","",IF(COUNTIF($A:$A,$A167)&gt;1,"كود حساب مكرر",IF($B167="","اسم الحساب ناقص",IF(AND($F167="نعم",$G167=""),"الطبيعة ناقصة",IF(AND($F167&lt;&gt;"نعم",OR($M167="",$N167="")),"الحساب الرئيسي يحتاج نطاقًا (من/إلى)",IF(AND($H167=1,$F167&lt;&gt;"نعم"),"حساب نقدية يجب أن يكون قابلًا للترحيل",IF(AND($F167="نعم",$D167=""),"النوع ناقص","")))))))</f>
        <v/>
      </c>
    </row>
    <row r="168">
      <c r="A168" s="39" t="n"/>
      <c r="B168" s="29" t="n"/>
      <c r="C168" s="29" t="n"/>
      <c r="D168" s="39" t="n"/>
      <c r="E168" s="39" t="n"/>
      <c r="F168" s="39" t="n"/>
      <c r="G168" s="39" t="n"/>
      <c r="H168" s="39" t="n"/>
      <c r="I168" s="29" t="n"/>
      <c r="J168" s="39" t="n"/>
      <c r="K168" s="39" t="n"/>
      <c r="L168" s="39" t="n"/>
      <c r="M168" s="29" t="n"/>
      <c r="N168" s="29" t="n"/>
      <c r="O168" s="29" t="n"/>
      <c r="P168" s="32">
        <f>IF($A168="","",IF($F168="نعم",$A168,$M168))</f>
        <v/>
      </c>
      <c r="Q168" s="32">
        <f>IF($A168="","",IF($F168="نعم",$A168,$N168))</f>
        <v/>
      </c>
      <c r="R168" s="32">
        <f>IF($A168="","",IF(AND($F168="نعم",$L168&lt;&gt;"لا"),1,0))</f>
        <v/>
      </c>
      <c r="S168" s="32">
        <f>IF($D168="","",IFERROR(INDEX(Lists!$AK$5:$AK$10,MATCH($D168,Lists!$AJ$5:$AJ$10,0)),"نوع غير معرف"))</f>
        <v/>
      </c>
      <c r="T168" s="32">
        <f>IF($A168="","",IF(COUNTIF($A:$A,$A168)&gt;1,"كود حساب مكرر",IF($B168="","اسم الحساب ناقص",IF(AND($F168="نعم",$G168=""),"الطبيعة ناقصة",IF(AND($F168&lt;&gt;"نعم",OR($M168="",$N168="")),"الحساب الرئيسي يحتاج نطاقًا (من/إلى)",IF(AND($H168=1,$F168&lt;&gt;"نعم"),"حساب نقدية يجب أن يكون قابلًا للترحيل",IF(AND($F168="نعم",$D168=""),"النوع ناقص","")))))))</f>
        <v/>
      </c>
    </row>
    <row r="169">
      <c r="A169" s="39" t="n"/>
      <c r="B169" s="29" t="n"/>
      <c r="C169" s="29" t="n"/>
      <c r="D169" s="39" t="n"/>
      <c r="E169" s="39" t="n"/>
      <c r="F169" s="39" t="n"/>
      <c r="G169" s="39" t="n"/>
      <c r="H169" s="39" t="n"/>
      <c r="I169" s="29" t="n"/>
      <c r="J169" s="39" t="n"/>
      <c r="K169" s="39" t="n"/>
      <c r="L169" s="39" t="n"/>
      <c r="M169" s="29" t="n"/>
      <c r="N169" s="29" t="n"/>
      <c r="O169" s="29" t="n"/>
      <c r="P169" s="32">
        <f>IF($A169="","",IF($F169="نعم",$A169,$M169))</f>
        <v/>
      </c>
      <c r="Q169" s="32">
        <f>IF($A169="","",IF($F169="نعم",$A169,$N169))</f>
        <v/>
      </c>
      <c r="R169" s="32">
        <f>IF($A169="","",IF(AND($F169="نعم",$L169&lt;&gt;"لا"),1,0))</f>
        <v/>
      </c>
      <c r="S169" s="32">
        <f>IF($D169="","",IFERROR(INDEX(Lists!$AK$5:$AK$10,MATCH($D169,Lists!$AJ$5:$AJ$10,0)),"نوع غير معرف"))</f>
        <v/>
      </c>
      <c r="T169" s="32">
        <f>IF($A169="","",IF(COUNTIF($A:$A,$A169)&gt;1,"كود حساب مكرر",IF($B169="","اسم الحساب ناقص",IF(AND($F169="نعم",$G169=""),"الطبيعة ناقصة",IF(AND($F169&lt;&gt;"نعم",OR($M169="",$N169="")),"الحساب الرئيسي يحتاج نطاقًا (من/إلى)",IF(AND($H169=1,$F169&lt;&gt;"نعم"),"حساب نقدية يجب أن يكون قابلًا للترحيل",IF(AND($F169="نعم",$D169=""),"النوع ناقص","")))))))</f>
        <v/>
      </c>
    </row>
    <row r="170">
      <c r="A170" s="39" t="n"/>
      <c r="B170" s="29" t="n"/>
      <c r="C170" s="29" t="n"/>
      <c r="D170" s="39" t="n"/>
      <c r="E170" s="39" t="n"/>
      <c r="F170" s="39" t="n"/>
      <c r="G170" s="39" t="n"/>
      <c r="H170" s="39" t="n"/>
      <c r="I170" s="29" t="n"/>
      <c r="J170" s="39" t="n"/>
      <c r="K170" s="39" t="n"/>
      <c r="L170" s="39" t="n"/>
      <c r="M170" s="29" t="n"/>
      <c r="N170" s="29" t="n"/>
      <c r="O170" s="29" t="n"/>
      <c r="P170" s="32">
        <f>IF($A170="","",IF($F170="نعم",$A170,$M170))</f>
        <v/>
      </c>
      <c r="Q170" s="32">
        <f>IF($A170="","",IF($F170="نعم",$A170,$N170))</f>
        <v/>
      </c>
      <c r="R170" s="32">
        <f>IF($A170="","",IF(AND($F170="نعم",$L170&lt;&gt;"لا"),1,0))</f>
        <v/>
      </c>
      <c r="S170" s="32">
        <f>IF($D170="","",IFERROR(INDEX(Lists!$AK$5:$AK$10,MATCH($D170,Lists!$AJ$5:$AJ$10,0)),"نوع غير معرف"))</f>
        <v/>
      </c>
      <c r="T170" s="32">
        <f>IF($A170="","",IF(COUNTIF($A:$A,$A170)&gt;1,"كود حساب مكرر",IF($B170="","اسم الحساب ناقص",IF(AND($F170="نعم",$G170=""),"الطبيعة ناقصة",IF(AND($F170&lt;&gt;"نعم",OR($M170="",$N170="")),"الحساب الرئيسي يحتاج نطاقًا (من/إلى)",IF(AND($H170=1,$F170&lt;&gt;"نعم"),"حساب نقدية يجب أن يكون قابلًا للترحيل",IF(AND($F170="نعم",$D170=""),"النوع ناقص","")))))))</f>
        <v/>
      </c>
    </row>
    <row r="171">
      <c r="A171" s="39" t="n"/>
      <c r="B171" s="29" t="n"/>
      <c r="C171" s="29" t="n"/>
      <c r="D171" s="39" t="n"/>
      <c r="E171" s="39" t="n"/>
      <c r="F171" s="39" t="n"/>
      <c r="G171" s="39" t="n"/>
      <c r="H171" s="39" t="n"/>
      <c r="I171" s="29" t="n"/>
      <c r="J171" s="39" t="n"/>
      <c r="K171" s="39" t="n"/>
      <c r="L171" s="39" t="n"/>
      <c r="M171" s="29" t="n"/>
      <c r="N171" s="29" t="n"/>
      <c r="O171" s="29" t="n"/>
      <c r="P171" s="32">
        <f>IF($A171="","",IF($F171="نعم",$A171,$M171))</f>
        <v/>
      </c>
      <c r="Q171" s="32">
        <f>IF($A171="","",IF($F171="نعم",$A171,$N171))</f>
        <v/>
      </c>
      <c r="R171" s="32">
        <f>IF($A171="","",IF(AND($F171="نعم",$L171&lt;&gt;"لا"),1,0))</f>
        <v/>
      </c>
      <c r="S171" s="32">
        <f>IF($D171="","",IFERROR(INDEX(Lists!$AK$5:$AK$10,MATCH($D171,Lists!$AJ$5:$AJ$10,0)),"نوع غير معرف"))</f>
        <v/>
      </c>
      <c r="T171" s="32">
        <f>IF($A171="","",IF(COUNTIF($A:$A,$A171)&gt;1,"كود حساب مكرر",IF($B171="","اسم الحساب ناقص",IF(AND($F171="نعم",$G171=""),"الطبيعة ناقصة",IF(AND($F171&lt;&gt;"نعم",OR($M171="",$N171="")),"الحساب الرئيسي يحتاج نطاقًا (من/إلى)",IF(AND($H171=1,$F171&lt;&gt;"نعم"),"حساب نقدية يجب أن يكون قابلًا للترحيل",IF(AND($F171="نعم",$D171=""),"النوع ناقص","")))))))</f>
        <v/>
      </c>
    </row>
    <row r="172">
      <c r="A172" s="39" t="n"/>
      <c r="B172" s="29" t="n"/>
      <c r="C172" s="29" t="n"/>
      <c r="D172" s="39" t="n"/>
      <c r="E172" s="39" t="n"/>
      <c r="F172" s="39" t="n"/>
      <c r="G172" s="39" t="n"/>
      <c r="H172" s="39" t="n"/>
      <c r="I172" s="29" t="n"/>
      <c r="J172" s="39" t="n"/>
      <c r="K172" s="39" t="n"/>
      <c r="L172" s="39" t="n"/>
      <c r="M172" s="29" t="n"/>
      <c r="N172" s="29" t="n"/>
      <c r="O172" s="29" t="n"/>
      <c r="P172" s="32">
        <f>IF($A172="","",IF($F172="نعم",$A172,$M172))</f>
        <v/>
      </c>
      <c r="Q172" s="32">
        <f>IF($A172="","",IF($F172="نعم",$A172,$N172))</f>
        <v/>
      </c>
      <c r="R172" s="32">
        <f>IF($A172="","",IF(AND($F172="نعم",$L172&lt;&gt;"لا"),1,0))</f>
        <v/>
      </c>
      <c r="S172" s="32">
        <f>IF($D172="","",IFERROR(INDEX(Lists!$AK$5:$AK$10,MATCH($D172,Lists!$AJ$5:$AJ$10,0)),"نوع غير معرف"))</f>
        <v/>
      </c>
      <c r="T172" s="32">
        <f>IF($A172="","",IF(COUNTIF($A:$A,$A172)&gt;1,"كود حساب مكرر",IF($B172="","اسم الحساب ناقص",IF(AND($F172="نعم",$G172=""),"الطبيعة ناقصة",IF(AND($F172&lt;&gt;"نعم",OR($M172="",$N172="")),"الحساب الرئيسي يحتاج نطاقًا (من/إلى)",IF(AND($H172=1,$F172&lt;&gt;"نعم"),"حساب نقدية يجب أن يكون قابلًا للترحيل",IF(AND($F172="نعم",$D172=""),"النوع ناقص","")))))))</f>
        <v/>
      </c>
    </row>
    <row r="173">
      <c r="A173" s="39" t="n"/>
      <c r="B173" s="29" t="n"/>
      <c r="C173" s="29" t="n"/>
      <c r="D173" s="39" t="n"/>
      <c r="E173" s="39" t="n"/>
      <c r="F173" s="39" t="n"/>
      <c r="G173" s="39" t="n"/>
      <c r="H173" s="39" t="n"/>
      <c r="I173" s="29" t="n"/>
      <c r="J173" s="39" t="n"/>
      <c r="K173" s="39" t="n"/>
      <c r="L173" s="39" t="n"/>
      <c r="M173" s="29" t="n"/>
      <c r="N173" s="29" t="n"/>
      <c r="O173" s="29" t="n"/>
      <c r="P173" s="32">
        <f>IF($A173="","",IF($F173="نعم",$A173,$M173))</f>
        <v/>
      </c>
      <c r="Q173" s="32">
        <f>IF($A173="","",IF($F173="نعم",$A173,$N173))</f>
        <v/>
      </c>
      <c r="R173" s="32">
        <f>IF($A173="","",IF(AND($F173="نعم",$L173&lt;&gt;"لا"),1,0))</f>
        <v/>
      </c>
      <c r="S173" s="32">
        <f>IF($D173="","",IFERROR(INDEX(Lists!$AK$5:$AK$10,MATCH($D173,Lists!$AJ$5:$AJ$10,0)),"نوع غير معرف"))</f>
        <v/>
      </c>
      <c r="T173" s="32">
        <f>IF($A173="","",IF(COUNTIF($A:$A,$A173)&gt;1,"كود حساب مكرر",IF($B173="","اسم الحساب ناقص",IF(AND($F173="نعم",$G173=""),"الطبيعة ناقصة",IF(AND($F173&lt;&gt;"نعم",OR($M173="",$N173="")),"الحساب الرئيسي يحتاج نطاقًا (من/إلى)",IF(AND($H173=1,$F173&lt;&gt;"نعم"),"حساب نقدية يجب أن يكون قابلًا للترحيل",IF(AND($F173="نعم",$D173=""),"النوع ناقص","")))))))</f>
        <v/>
      </c>
    </row>
    <row r="174">
      <c r="A174" s="39" t="n"/>
      <c r="B174" s="29" t="n"/>
      <c r="C174" s="29" t="n"/>
      <c r="D174" s="39" t="n"/>
      <c r="E174" s="39" t="n"/>
      <c r="F174" s="39" t="n"/>
      <c r="G174" s="39" t="n"/>
      <c r="H174" s="39" t="n"/>
      <c r="I174" s="29" t="n"/>
      <c r="J174" s="39" t="n"/>
      <c r="K174" s="39" t="n"/>
      <c r="L174" s="39" t="n"/>
      <c r="M174" s="29" t="n"/>
      <c r="N174" s="29" t="n"/>
      <c r="O174" s="29" t="n"/>
      <c r="P174" s="32">
        <f>IF($A174="","",IF($F174="نعم",$A174,$M174))</f>
        <v/>
      </c>
      <c r="Q174" s="32">
        <f>IF($A174="","",IF($F174="نعم",$A174,$N174))</f>
        <v/>
      </c>
      <c r="R174" s="32">
        <f>IF($A174="","",IF(AND($F174="نعم",$L174&lt;&gt;"لا"),1,0))</f>
        <v/>
      </c>
      <c r="S174" s="32">
        <f>IF($D174="","",IFERROR(INDEX(Lists!$AK$5:$AK$10,MATCH($D174,Lists!$AJ$5:$AJ$10,0)),"نوع غير معرف"))</f>
        <v/>
      </c>
      <c r="T174" s="32">
        <f>IF($A174="","",IF(COUNTIF($A:$A,$A174)&gt;1,"كود حساب مكرر",IF($B174="","اسم الحساب ناقص",IF(AND($F174="نعم",$G174=""),"الطبيعة ناقصة",IF(AND($F174&lt;&gt;"نعم",OR($M174="",$N174="")),"الحساب الرئيسي يحتاج نطاقًا (من/إلى)",IF(AND($H174=1,$F174&lt;&gt;"نعم"),"حساب نقدية يجب أن يكون قابلًا للترحيل",IF(AND($F174="نعم",$D174=""),"النوع ناقص","")))))))</f>
        <v/>
      </c>
    </row>
    <row r="175">
      <c r="A175" s="39" t="n"/>
      <c r="B175" s="29" t="n"/>
      <c r="C175" s="29" t="n"/>
      <c r="D175" s="39" t="n"/>
      <c r="E175" s="39" t="n"/>
      <c r="F175" s="39" t="n"/>
      <c r="G175" s="39" t="n"/>
      <c r="H175" s="39" t="n"/>
      <c r="I175" s="29" t="n"/>
      <c r="J175" s="39" t="n"/>
      <c r="K175" s="39" t="n"/>
      <c r="L175" s="39" t="n"/>
      <c r="M175" s="29" t="n"/>
      <c r="N175" s="29" t="n"/>
      <c r="O175" s="29" t="n"/>
      <c r="P175" s="32">
        <f>IF($A175="","",IF($F175="نعم",$A175,$M175))</f>
        <v/>
      </c>
      <c r="Q175" s="32">
        <f>IF($A175="","",IF($F175="نعم",$A175,$N175))</f>
        <v/>
      </c>
      <c r="R175" s="32">
        <f>IF($A175="","",IF(AND($F175="نعم",$L175&lt;&gt;"لا"),1,0))</f>
        <v/>
      </c>
      <c r="S175" s="32">
        <f>IF($D175="","",IFERROR(INDEX(Lists!$AK$5:$AK$10,MATCH($D175,Lists!$AJ$5:$AJ$10,0)),"نوع غير معرف"))</f>
        <v/>
      </c>
      <c r="T175" s="32">
        <f>IF($A175="","",IF(COUNTIF($A:$A,$A175)&gt;1,"كود حساب مكرر",IF($B175="","اسم الحساب ناقص",IF(AND($F175="نعم",$G175=""),"الطبيعة ناقصة",IF(AND($F175&lt;&gt;"نعم",OR($M175="",$N175="")),"الحساب الرئيسي يحتاج نطاقًا (من/إلى)",IF(AND($H175=1,$F175&lt;&gt;"نعم"),"حساب نقدية يجب أن يكون قابلًا للترحيل",IF(AND($F175="نعم",$D175=""),"النوع ناقص","")))))))</f>
        <v/>
      </c>
    </row>
    <row r="176">
      <c r="A176" s="39" t="n"/>
      <c r="B176" s="29" t="n"/>
      <c r="C176" s="29" t="n"/>
      <c r="D176" s="39" t="n"/>
      <c r="E176" s="39" t="n"/>
      <c r="F176" s="39" t="n"/>
      <c r="G176" s="39" t="n"/>
      <c r="H176" s="39" t="n"/>
      <c r="I176" s="29" t="n"/>
      <c r="J176" s="39" t="n"/>
      <c r="K176" s="39" t="n"/>
      <c r="L176" s="39" t="n"/>
      <c r="M176" s="29" t="n"/>
      <c r="N176" s="29" t="n"/>
      <c r="O176" s="29" t="n"/>
      <c r="P176" s="32">
        <f>IF($A176="","",IF($F176="نعم",$A176,$M176))</f>
        <v/>
      </c>
      <c r="Q176" s="32">
        <f>IF($A176="","",IF($F176="نعم",$A176,$N176))</f>
        <v/>
      </c>
      <c r="R176" s="32">
        <f>IF($A176="","",IF(AND($F176="نعم",$L176&lt;&gt;"لا"),1,0))</f>
        <v/>
      </c>
      <c r="S176" s="32">
        <f>IF($D176="","",IFERROR(INDEX(Lists!$AK$5:$AK$10,MATCH($D176,Lists!$AJ$5:$AJ$10,0)),"نوع غير معرف"))</f>
        <v/>
      </c>
      <c r="T176" s="32">
        <f>IF($A176="","",IF(COUNTIF($A:$A,$A176)&gt;1,"كود حساب مكرر",IF($B176="","اسم الحساب ناقص",IF(AND($F176="نعم",$G176=""),"الطبيعة ناقصة",IF(AND($F176&lt;&gt;"نعم",OR($M176="",$N176="")),"الحساب الرئيسي يحتاج نطاقًا (من/إلى)",IF(AND($H176=1,$F176&lt;&gt;"نعم"),"حساب نقدية يجب أن يكون قابلًا للترحيل",IF(AND($F176="نعم",$D176=""),"النوع ناقص","")))))))</f>
        <v/>
      </c>
    </row>
    <row r="177">
      <c r="A177" s="39" t="n"/>
      <c r="B177" s="29" t="n"/>
      <c r="C177" s="29" t="n"/>
      <c r="D177" s="39" t="n"/>
      <c r="E177" s="39" t="n"/>
      <c r="F177" s="39" t="n"/>
      <c r="G177" s="39" t="n"/>
      <c r="H177" s="39" t="n"/>
      <c r="I177" s="29" t="n"/>
      <c r="J177" s="39" t="n"/>
      <c r="K177" s="39" t="n"/>
      <c r="L177" s="39" t="n"/>
      <c r="M177" s="29" t="n"/>
      <c r="N177" s="29" t="n"/>
      <c r="O177" s="29" t="n"/>
      <c r="P177" s="32">
        <f>IF($A177="","",IF($F177="نعم",$A177,$M177))</f>
        <v/>
      </c>
      <c r="Q177" s="32">
        <f>IF($A177="","",IF($F177="نعم",$A177,$N177))</f>
        <v/>
      </c>
      <c r="R177" s="32">
        <f>IF($A177="","",IF(AND($F177="نعم",$L177&lt;&gt;"لا"),1,0))</f>
        <v/>
      </c>
      <c r="S177" s="32">
        <f>IF($D177="","",IFERROR(INDEX(Lists!$AK$5:$AK$10,MATCH($D177,Lists!$AJ$5:$AJ$10,0)),"نوع غير معرف"))</f>
        <v/>
      </c>
      <c r="T177" s="32">
        <f>IF($A177="","",IF(COUNTIF($A:$A,$A177)&gt;1,"كود حساب مكرر",IF($B177="","اسم الحساب ناقص",IF(AND($F177="نعم",$G177=""),"الطبيعة ناقصة",IF(AND($F177&lt;&gt;"نعم",OR($M177="",$N177="")),"الحساب الرئيسي يحتاج نطاقًا (من/إلى)",IF(AND($H177=1,$F177&lt;&gt;"نعم"),"حساب نقدية يجب أن يكون قابلًا للترحيل",IF(AND($F177="نعم",$D177=""),"النوع ناقص","")))))))</f>
        <v/>
      </c>
    </row>
    <row r="178">
      <c r="A178" s="39" t="n"/>
      <c r="B178" s="29" t="n"/>
      <c r="C178" s="29" t="n"/>
      <c r="D178" s="39" t="n"/>
      <c r="E178" s="39" t="n"/>
      <c r="F178" s="39" t="n"/>
      <c r="G178" s="39" t="n"/>
      <c r="H178" s="39" t="n"/>
      <c r="I178" s="29" t="n"/>
      <c r="J178" s="39" t="n"/>
      <c r="K178" s="39" t="n"/>
      <c r="L178" s="39" t="n"/>
      <c r="M178" s="29" t="n"/>
      <c r="N178" s="29" t="n"/>
      <c r="O178" s="29" t="n"/>
      <c r="P178" s="32">
        <f>IF($A178="","",IF($F178="نعم",$A178,$M178))</f>
        <v/>
      </c>
      <c r="Q178" s="32">
        <f>IF($A178="","",IF($F178="نعم",$A178,$N178))</f>
        <v/>
      </c>
      <c r="R178" s="32">
        <f>IF($A178="","",IF(AND($F178="نعم",$L178&lt;&gt;"لا"),1,0))</f>
        <v/>
      </c>
      <c r="S178" s="32">
        <f>IF($D178="","",IFERROR(INDEX(Lists!$AK$5:$AK$10,MATCH($D178,Lists!$AJ$5:$AJ$10,0)),"نوع غير معرف"))</f>
        <v/>
      </c>
      <c r="T178" s="32">
        <f>IF($A178="","",IF(COUNTIF($A:$A,$A178)&gt;1,"كود حساب مكرر",IF($B178="","اسم الحساب ناقص",IF(AND($F178="نعم",$G178=""),"الطبيعة ناقصة",IF(AND($F178&lt;&gt;"نعم",OR($M178="",$N178="")),"الحساب الرئيسي يحتاج نطاقًا (من/إلى)",IF(AND($H178=1,$F178&lt;&gt;"نعم"),"حساب نقدية يجب أن يكون قابلًا للترحيل",IF(AND($F178="نعم",$D178=""),"النوع ناقص","")))))))</f>
        <v/>
      </c>
    </row>
    <row r="179">
      <c r="A179" s="39" t="n"/>
      <c r="B179" s="29" t="n"/>
      <c r="C179" s="29" t="n"/>
      <c r="D179" s="39" t="n"/>
      <c r="E179" s="39" t="n"/>
      <c r="F179" s="39" t="n"/>
      <c r="G179" s="39" t="n"/>
      <c r="H179" s="39" t="n"/>
      <c r="I179" s="29" t="n"/>
      <c r="J179" s="39" t="n"/>
      <c r="K179" s="39" t="n"/>
      <c r="L179" s="39" t="n"/>
      <c r="M179" s="29" t="n"/>
      <c r="N179" s="29" t="n"/>
      <c r="O179" s="29" t="n"/>
      <c r="P179" s="32">
        <f>IF($A179="","",IF($F179="نعم",$A179,$M179))</f>
        <v/>
      </c>
      <c r="Q179" s="32">
        <f>IF($A179="","",IF($F179="نعم",$A179,$N179))</f>
        <v/>
      </c>
      <c r="R179" s="32">
        <f>IF($A179="","",IF(AND($F179="نعم",$L179&lt;&gt;"لا"),1,0))</f>
        <v/>
      </c>
      <c r="S179" s="32">
        <f>IF($D179="","",IFERROR(INDEX(Lists!$AK$5:$AK$10,MATCH($D179,Lists!$AJ$5:$AJ$10,0)),"نوع غير معرف"))</f>
        <v/>
      </c>
      <c r="T179" s="32">
        <f>IF($A179="","",IF(COUNTIF($A:$A,$A179)&gt;1,"كود حساب مكرر",IF($B179="","اسم الحساب ناقص",IF(AND($F179="نعم",$G179=""),"الطبيعة ناقصة",IF(AND($F179&lt;&gt;"نعم",OR($M179="",$N179="")),"الحساب الرئيسي يحتاج نطاقًا (من/إلى)",IF(AND($H179=1,$F179&lt;&gt;"نعم"),"حساب نقدية يجب أن يكون قابلًا للترحيل",IF(AND($F179="نعم",$D179=""),"النوع ناقص","")))))))</f>
        <v/>
      </c>
    </row>
    <row r="180">
      <c r="A180" s="39" t="n"/>
      <c r="B180" s="29" t="n"/>
      <c r="C180" s="29" t="n"/>
      <c r="D180" s="39" t="n"/>
      <c r="E180" s="39" t="n"/>
      <c r="F180" s="39" t="n"/>
      <c r="G180" s="39" t="n"/>
      <c r="H180" s="39" t="n"/>
      <c r="I180" s="29" t="n"/>
      <c r="J180" s="39" t="n"/>
      <c r="K180" s="39" t="n"/>
      <c r="L180" s="39" t="n"/>
      <c r="M180" s="29" t="n"/>
      <c r="N180" s="29" t="n"/>
      <c r="O180" s="29" t="n"/>
      <c r="P180" s="32">
        <f>IF($A180="","",IF($F180="نعم",$A180,$M180))</f>
        <v/>
      </c>
      <c r="Q180" s="32">
        <f>IF($A180="","",IF($F180="نعم",$A180,$N180))</f>
        <v/>
      </c>
      <c r="R180" s="32">
        <f>IF($A180="","",IF(AND($F180="نعم",$L180&lt;&gt;"لا"),1,0))</f>
        <v/>
      </c>
      <c r="S180" s="32">
        <f>IF($D180="","",IFERROR(INDEX(Lists!$AK$5:$AK$10,MATCH($D180,Lists!$AJ$5:$AJ$10,0)),"نوع غير معرف"))</f>
        <v/>
      </c>
      <c r="T180" s="32">
        <f>IF($A180="","",IF(COUNTIF($A:$A,$A180)&gt;1,"كود حساب مكرر",IF($B180="","اسم الحساب ناقص",IF(AND($F180="نعم",$G180=""),"الطبيعة ناقصة",IF(AND($F180&lt;&gt;"نعم",OR($M180="",$N180="")),"الحساب الرئيسي يحتاج نطاقًا (من/إلى)",IF(AND($H180=1,$F180&lt;&gt;"نعم"),"حساب نقدية يجب أن يكون قابلًا للترحيل",IF(AND($F180="نعم",$D180=""),"النوع ناقص","")))))))</f>
        <v/>
      </c>
    </row>
    <row r="181">
      <c r="A181" s="39" t="n"/>
      <c r="B181" s="29" t="n"/>
      <c r="C181" s="29" t="n"/>
      <c r="D181" s="39" t="n"/>
      <c r="E181" s="39" t="n"/>
      <c r="F181" s="39" t="n"/>
      <c r="G181" s="39" t="n"/>
      <c r="H181" s="39" t="n"/>
      <c r="I181" s="29" t="n"/>
      <c r="J181" s="39" t="n"/>
      <c r="K181" s="39" t="n"/>
      <c r="L181" s="39" t="n"/>
      <c r="M181" s="29" t="n"/>
      <c r="N181" s="29" t="n"/>
      <c r="O181" s="29" t="n"/>
      <c r="P181" s="32">
        <f>IF($A181="","",IF($F181="نعم",$A181,$M181))</f>
        <v/>
      </c>
      <c r="Q181" s="32">
        <f>IF($A181="","",IF($F181="نعم",$A181,$N181))</f>
        <v/>
      </c>
      <c r="R181" s="32">
        <f>IF($A181="","",IF(AND($F181="نعم",$L181&lt;&gt;"لا"),1,0))</f>
        <v/>
      </c>
      <c r="S181" s="32">
        <f>IF($D181="","",IFERROR(INDEX(Lists!$AK$5:$AK$10,MATCH($D181,Lists!$AJ$5:$AJ$10,0)),"نوع غير معرف"))</f>
        <v/>
      </c>
      <c r="T181" s="32">
        <f>IF($A181="","",IF(COUNTIF($A:$A,$A181)&gt;1,"كود حساب مكرر",IF($B181="","اسم الحساب ناقص",IF(AND($F181="نعم",$G181=""),"الطبيعة ناقصة",IF(AND($F181&lt;&gt;"نعم",OR($M181="",$N181="")),"الحساب الرئيسي يحتاج نطاقًا (من/إلى)",IF(AND($H181=1,$F181&lt;&gt;"نعم"),"حساب نقدية يجب أن يكون قابلًا للترحيل",IF(AND($F181="نعم",$D181=""),"النوع ناقص","")))))))</f>
        <v/>
      </c>
    </row>
    <row r="182">
      <c r="A182" s="39" t="n"/>
      <c r="B182" s="29" t="n"/>
      <c r="C182" s="29" t="n"/>
      <c r="D182" s="39" t="n"/>
      <c r="E182" s="39" t="n"/>
      <c r="F182" s="39" t="n"/>
      <c r="G182" s="39" t="n"/>
      <c r="H182" s="39" t="n"/>
      <c r="I182" s="29" t="n"/>
      <c r="J182" s="39" t="n"/>
      <c r="K182" s="39" t="n"/>
      <c r="L182" s="39" t="n"/>
      <c r="M182" s="29" t="n"/>
      <c r="N182" s="29" t="n"/>
      <c r="O182" s="29" t="n"/>
      <c r="P182" s="32">
        <f>IF($A182="","",IF($F182="نعم",$A182,$M182))</f>
        <v/>
      </c>
      <c r="Q182" s="32">
        <f>IF($A182="","",IF($F182="نعم",$A182,$N182))</f>
        <v/>
      </c>
      <c r="R182" s="32">
        <f>IF($A182="","",IF(AND($F182="نعم",$L182&lt;&gt;"لا"),1,0))</f>
        <v/>
      </c>
      <c r="S182" s="32">
        <f>IF($D182="","",IFERROR(INDEX(Lists!$AK$5:$AK$10,MATCH($D182,Lists!$AJ$5:$AJ$10,0)),"نوع غير معرف"))</f>
        <v/>
      </c>
      <c r="T182" s="32">
        <f>IF($A182="","",IF(COUNTIF($A:$A,$A182)&gt;1,"كود حساب مكرر",IF($B182="","اسم الحساب ناقص",IF(AND($F182="نعم",$G182=""),"الطبيعة ناقصة",IF(AND($F182&lt;&gt;"نعم",OR($M182="",$N182="")),"الحساب الرئيسي يحتاج نطاقًا (من/إلى)",IF(AND($H182=1,$F182&lt;&gt;"نعم"),"حساب نقدية يجب أن يكون قابلًا للترحيل",IF(AND($F182="نعم",$D182=""),"النوع ناقص","")))))))</f>
        <v/>
      </c>
    </row>
    <row r="183">
      <c r="A183" s="39" t="n"/>
      <c r="B183" s="29" t="n"/>
      <c r="C183" s="29" t="n"/>
      <c r="D183" s="39" t="n"/>
      <c r="E183" s="39" t="n"/>
      <c r="F183" s="39" t="n"/>
      <c r="G183" s="39" t="n"/>
      <c r="H183" s="39" t="n"/>
      <c r="I183" s="29" t="n"/>
      <c r="J183" s="39" t="n"/>
      <c r="K183" s="39" t="n"/>
      <c r="L183" s="39" t="n"/>
      <c r="M183" s="29" t="n"/>
      <c r="N183" s="29" t="n"/>
      <c r="O183" s="29" t="n"/>
      <c r="P183" s="32">
        <f>IF($A183="","",IF($F183="نعم",$A183,$M183))</f>
        <v/>
      </c>
      <c r="Q183" s="32">
        <f>IF($A183="","",IF($F183="نعم",$A183,$N183))</f>
        <v/>
      </c>
      <c r="R183" s="32">
        <f>IF($A183="","",IF(AND($F183="نعم",$L183&lt;&gt;"لا"),1,0))</f>
        <v/>
      </c>
      <c r="S183" s="32">
        <f>IF($D183="","",IFERROR(INDEX(Lists!$AK$5:$AK$10,MATCH($D183,Lists!$AJ$5:$AJ$10,0)),"نوع غير معرف"))</f>
        <v/>
      </c>
      <c r="T183" s="32">
        <f>IF($A183="","",IF(COUNTIF($A:$A,$A183)&gt;1,"كود حساب مكرر",IF($B183="","اسم الحساب ناقص",IF(AND($F183="نعم",$G183=""),"الطبيعة ناقصة",IF(AND($F183&lt;&gt;"نعم",OR($M183="",$N183="")),"الحساب الرئيسي يحتاج نطاقًا (من/إلى)",IF(AND($H183=1,$F183&lt;&gt;"نعم"),"حساب نقدية يجب أن يكون قابلًا للترحيل",IF(AND($F183="نعم",$D183=""),"النوع ناقص","")))))))</f>
        <v/>
      </c>
    </row>
    <row r="184">
      <c r="A184" s="39" t="n"/>
      <c r="B184" s="29" t="n"/>
      <c r="C184" s="29" t="n"/>
      <c r="D184" s="39" t="n"/>
      <c r="E184" s="39" t="n"/>
      <c r="F184" s="39" t="n"/>
      <c r="G184" s="39" t="n"/>
      <c r="H184" s="39" t="n"/>
      <c r="I184" s="29" t="n"/>
      <c r="J184" s="39" t="n"/>
      <c r="K184" s="39" t="n"/>
      <c r="L184" s="39" t="n"/>
      <c r="M184" s="29" t="n"/>
      <c r="N184" s="29" t="n"/>
      <c r="O184" s="29" t="n"/>
      <c r="P184" s="32">
        <f>IF($A184="","",IF($F184="نعم",$A184,$M184))</f>
        <v/>
      </c>
      <c r="Q184" s="32">
        <f>IF($A184="","",IF($F184="نعم",$A184,$N184))</f>
        <v/>
      </c>
      <c r="R184" s="32">
        <f>IF($A184="","",IF(AND($F184="نعم",$L184&lt;&gt;"لا"),1,0))</f>
        <v/>
      </c>
      <c r="S184" s="32">
        <f>IF($D184="","",IFERROR(INDEX(Lists!$AK$5:$AK$10,MATCH($D184,Lists!$AJ$5:$AJ$10,0)),"نوع غير معرف"))</f>
        <v/>
      </c>
      <c r="T184" s="32">
        <f>IF($A184="","",IF(COUNTIF($A:$A,$A184)&gt;1,"كود حساب مكرر",IF($B184="","اسم الحساب ناقص",IF(AND($F184="نعم",$G184=""),"الطبيعة ناقصة",IF(AND($F184&lt;&gt;"نعم",OR($M184="",$N184="")),"الحساب الرئيسي يحتاج نطاقًا (من/إلى)",IF(AND($H184=1,$F184&lt;&gt;"نعم"),"حساب نقدية يجب أن يكون قابلًا للترحيل",IF(AND($F184="نعم",$D184=""),"النوع ناقص","")))))))</f>
        <v/>
      </c>
    </row>
    <row r="185">
      <c r="A185" s="39" t="n"/>
      <c r="B185" s="29" t="n"/>
      <c r="C185" s="29" t="n"/>
      <c r="D185" s="39" t="n"/>
      <c r="E185" s="39" t="n"/>
      <c r="F185" s="39" t="n"/>
      <c r="G185" s="39" t="n"/>
      <c r="H185" s="39" t="n"/>
      <c r="I185" s="29" t="n"/>
      <c r="J185" s="39" t="n"/>
      <c r="K185" s="39" t="n"/>
      <c r="L185" s="39" t="n"/>
      <c r="M185" s="29" t="n"/>
      <c r="N185" s="29" t="n"/>
      <c r="O185" s="29" t="n"/>
      <c r="P185" s="32">
        <f>IF($A185="","",IF($F185="نعم",$A185,$M185))</f>
        <v/>
      </c>
      <c r="Q185" s="32">
        <f>IF($A185="","",IF($F185="نعم",$A185,$N185))</f>
        <v/>
      </c>
      <c r="R185" s="32">
        <f>IF($A185="","",IF(AND($F185="نعم",$L185&lt;&gt;"لا"),1,0))</f>
        <v/>
      </c>
      <c r="S185" s="32">
        <f>IF($D185="","",IFERROR(INDEX(Lists!$AK$5:$AK$10,MATCH($D185,Lists!$AJ$5:$AJ$10,0)),"نوع غير معرف"))</f>
        <v/>
      </c>
      <c r="T185" s="32">
        <f>IF($A185="","",IF(COUNTIF($A:$A,$A185)&gt;1,"كود حساب مكرر",IF($B185="","اسم الحساب ناقص",IF(AND($F185="نعم",$G185=""),"الطبيعة ناقصة",IF(AND($F185&lt;&gt;"نعم",OR($M185="",$N185="")),"الحساب الرئيسي يحتاج نطاقًا (من/إلى)",IF(AND($H185=1,$F185&lt;&gt;"نعم"),"حساب نقدية يجب أن يكون قابلًا للترحيل",IF(AND($F185="نعم",$D185=""),"النوع ناقص","")))))))</f>
        <v/>
      </c>
    </row>
    <row r="186">
      <c r="A186" s="39" t="n"/>
      <c r="B186" s="29" t="n"/>
      <c r="C186" s="29" t="n"/>
      <c r="D186" s="39" t="n"/>
      <c r="E186" s="39" t="n"/>
      <c r="F186" s="39" t="n"/>
      <c r="G186" s="39" t="n"/>
      <c r="H186" s="39" t="n"/>
      <c r="I186" s="29" t="n"/>
      <c r="J186" s="39" t="n"/>
      <c r="K186" s="39" t="n"/>
      <c r="L186" s="39" t="n"/>
      <c r="M186" s="29" t="n"/>
      <c r="N186" s="29" t="n"/>
      <c r="O186" s="29" t="n"/>
      <c r="P186" s="32">
        <f>IF($A186="","",IF($F186="نعم",$A186,$M186))</f>
        <v/>
      </c>
      <c r="Q186" s="32">
        <f>IF($A186="","",IF($F186="نعم",$A186,$N186))</f>
        <v/>
      </c>
      <c r="R186" s="32">
        <f>IF($A186="","",IF(AND($F186="نعم",$L186&lt;&gt;"لا"),1,0))</f>
        <v/>
      </c>
      <c r="S186" s="32">
        <f>IF($D186="","",IFERROR(INDEX(Lists!$AK$5:$AK$10,MATCH($D186,Lists!$AJ$5:$AJ$10,0)),"نوع غير معرف"))</f>
        <v/>
      </c>
      <c r="T186" s="32">
        <f>IF($A186="","",IF(COUNTIF($A:$A,$A186)&gt;1,"كود حساب مكرر",IF($B186="","اسم الحساب ناقص",IF(AND($F186="نعم",$G186=""),"الطبيعة ناقصة",IF(AND($F186&lt;&gt;"نعم",OR($M186="",$N186="")),"الحساب الرئيسي يحتاج نطاقًا (من/إلى)",IF(AND($H186=1,$F186&lt;&gt;"نعم"),"حساب نقدية يجب أن يكون قابلًا للترحيل",IF(AND($F186="نعم",$D186=""),"النوع ناقص","")))))))</f>
        <v/>
      </c>
    </row>
    <row r="187">
      <c r="A187" s="39" t="n"/>
      <c r="B187" s="29" t="n"/>
      <c r="C187" s="29" t="n"/>
      <c r="D187" s="39" t="n"/>
      <c r="E187" s="39" t="n"/>
      <c r="F187" s="39" t="n"/>
      <c r="G187" s="39" t="n"/>
      <c r="H187" s="39" t="n"/>
      <c r="I187" s="29" t="n"/>
      <c r="J187" s="39" t="n"/>
      <c r="K187" s="39" t="n"/>
      <c r="L187" s="39" t="n"/>
      <c r="M187" s="29" t="n"/>
      <c r="N187" s="29" t="n"/>
      <c r="O187" s="29" t="n"/>
      <c r="P187" s="32">
        <f>IF($A187="","",IF($F187="نعم",$A187,$M187))</f>
        <v/>
      </c>
      <c r="Q187" s="32">
        <f>IF($A187="","",IF($F187="نعم",$A187,$N187))</f>
        <v/>
      </c>
      <c r="R187" s="32">
        <f>IF($A187="","",IF(AND($F187="نعم",$L187&lt;&gt;"لا"),1,0))</f>
        <v/>
      </c>
      <c r="S187" s="32">
        <f>IF($D187="","",IFERROR(INDEX(Lists!$AK$5:$AK$10,MATCH($D187,Lists!$AJ$5:$AJ$10,0)),"نوع غير معرف"))</f>
        <v/>
      </c>
      <c r="T187" s="32">
        <f>IF($A187="","",IF(COUNTIF($A:$A,$A187)&gt;1,"كود حساب مكرر",IF($B187="","اسم الحساب ناقص",IF(AND($F187="نعم",$G187=""),"الطبيعة ناقصة",IF(AND($F187&lt;&gt;"نعم",OR($M187="",$N187="")),"الحساب الرئيسي يحتاج نطاقًا (من/إلى)",IF(AND($H187=1,$F187&lt;&gt;"نعم"),"حساب نقدية يجب أن يكون قابلًا للترحيل",IF(AND($F187="نعم",$D187=""),"النوع ناقص","")))))))</f>
        <v/>
      </c>
    </row>
    <row r="188">
      <c r="A188" s="39" t="n"/>
      <c r="B188" s="29" t="n"/>
      <c r="C188" s="29" t="n"/>
      <c r="D188" s="39" t="n"/>
      <c r="E188" s="39" t="n"/>
      <c r="F188" s="39" t="n"/>
      <c r="G188" s="39" t="n"/>
      <c r="H188" s="39" t="n"/>
      <c r="I188" s="29" t="n"/>
      <c r="J188" s="39" t="n"/>
      <c r="K188" s="39" t="n"/>
      <c r="L188" s="39" t="n"/>
      <c r="M188" s="29" t="n"/>
      <c r="N188" s="29" t="n"/>
      <c r="O188" s="29" t="n"/>
      <c r="P188" s="32">
        <f>IF($A188="","",IF($F188="نعم",$A188,$M188))</f>
        <v/>
      </c>
      <c r="Q188" s="32">
        <f>IF($A188="","",IF($F188="نعم",$A188,$N188))</f>
        <v/>
      </c>
      <c r="R188" s="32">
        <f>IF($A188="","",IF(AND($F188="نعم",$L188&lt;&gt;"لا"),1,0))</f>
        <v/>
      </c>
      <c r="S188" s="32">
        <f>IF($D188="","",IFERROR(INDEX(Lists!$AK$5:$AK$10,MATCH($D188,Lists!$AJ$5:$AJ$10,0)),"نوع غير معرف"))</f>
        <v/>
      </c>
      <c r="T188" s="32">
        <f>IF($A188="","",IF(COUNTIF($A:$A,$A188)&gt;1,"كود حساب مكرر",IF($B188="","اسم الحساب ناقص",IF(AND($F188="نعم",$G188=""),"الطبيعة ناقصة",IF(AND($F188&lt;&gt;"نعم",OR($M188="",$N188="")),"الحساب الرئيسي يحتاج نطاقًا (من/إلى)",IF(AND($H188=1,$F188&lt;&gt;"نعم"),"حساب نقدية يجب أن يكون قابلًا للترحيل",IF(AND($F188="نعم",$D188=""),"النوع ناقص","")))))))</f>
        <v/>
      </c>
    </row>
    <row r="189">
      <c r="A189" s="39" t="n"/>
      <c r="B189" s="29" t="n"/>
      <c r="C189" s="29" t="n"/>
      <c r="D189" s="39" t="n"/>
      <c r="E189" s="39" t="n"/>
      <c r="F189" s="39" t="n"/>
      <c r="G189" s="39" t="n"/>
      <c r="H189" s="39" t="n"/>
      <c r="I189" s="29" t="n"/>
      <c r="J189" s="39" t="n"/>
      <c r="K189" s="39" t="n"/>
      <c r="L189" s="39" t="n"/>
      <c r="M189" s="29" t="n"/>
      <c r="N189" s="29" t="n"/>
      <c r="O189" s="29" t="n"/>
      <c r="P189" s="32">
        <f>IF($A189="","",IF($F189="نعم",$A189,$M189))</f>
        <v/>
      </c>
      <c r="Q189" s="32">
        <f>IF($A189="","",IF($F189="نعم",$A189,$N189))</f>
        <v/>
      </c>
      <c r="R189" s="32">
        <f>IF($A189="","",IF(AND($F189="نعم",$L189&lt;&gt;"لا"),1,0))</f>
        <v/>
      </c>
      <c r="S189" s="32">
        <f>IF($D189="","",IFERROR(INDEX(Lists!$AK$5:$AK$10,MATCH($D189,Lists!$AJ$5:$AJ$10,0)),"نوع غير معرف"))</f>
        <v/>
      </c>
      <c r="T189" s="32">
        <f>IF($A189="","",IF(COUNTIF($A:$A,$A189)&gt;1,"كود حساب مكرر",IF($B189="","اسم الحساب ناقص",IF(AND($F189="نعم",$G189=""),"الطبيعة ناقصة",IF(AND($F189&lt;&gt;"نعم",OR($M189="",$N189="")),"الحساب الرئيسي يحتاج نطاقًا (من/إلى)",IF(AND($H189=1,$F189&lt;&gt;"نعم"),"حساب نقدية يجب أن يكون قابلًا للترحيل",IF(AND($F189="نعم",$D189=""),"النوع ناقص","")))))))</f>
        <v/>
      </c>
    </row>
    <row r="190">
      <c r="A190" s="39" t="n"/>
      <c r="B190" s="29" t="n"/>
      <c r="C190" s="29" t="n"/>
      <c r="D190" s="39" t="n"/>
      <c r="E190" s="39" t="n"/>
      <c r="F190" s="39" t="n"/>
      <c r="G190" s="39" t="n"/>
      <c r="H190" s="39" t="n"/>
      <c r="I190" s="29" t="n"/>
      <c r="J190" s="39" t="n"/>
      <c r="K190" s="39" t="n"/>
      <c r="L190" s="39" t="n"/>
      <c r="M190" s="29" t="n"/>
      <c r="N190" s="29" t="n"/>
      <c r="O190" s="29" t="n"/>
      <c r="P190" s="32">
        <f>IF($A190="","",IF($F190="نعم",$A190,$M190))</f>
        <v/>
      </c>
      <c r="Q190" s="32">
        <f>IF($A190="","",IF($F190="نعم",$A190,$N190))</f>
        <v/>
      </c>
      <c r="R190" s="32">
        <f>IF($A190="","",IF(AND($F190="نعم",$L190&lt;&gt;"لا"),1,0))</f>
        <v/>
      </c>
      <c r="S190" s="32">
        <f>IF($D190="","",IFERROR(INDEX(Lists!$AK$5:$AK$10,MATCH($D190,Lists!$AJ$5:$AJ$10,0)),"نوع غير معرف"))</f>
        <v/>
      </c>
      <c r="T190" s="32">
        <f>IF($A190="","",IF(COUNTIF($A:$A,$A190)&gt;1,"كود حساب مكرر",IF($B190="","اسم الحساب ناقص",IF(AND($F190="نعم",$G190=""),"الطبيعة ناقصة",IF(AND($F190&lt;&gt;"نعم",OR($M190="",$N190="")),"الحساب الرئيسي يحتاج نطاقًا (من/إلى)",IF(AND($H190=1,$F190&lt;&gt;"نعم"),"حساب نقدية يجب أن يكون قابلًا للترحيل",IF(AND($F190="نعم",$D190=""),"النوع ناقص","")))))))</f>
        <v/>
      </c>
    </row>
    <row r="191">
      <c r="A191" s="39" t="n"/>
      <c r="B191" s="29" t="n"/>
      <c r="C191" s="29" t="n"/>
      <c r="D191" s="39" t="n"/>
      <c r="E191" s="39" t="n"/>
      <c r="F191" s="39" t="n"/>
      <c r="G191" s="39" t="n"/>
      <c r="H191" s="39" t="n"/>
      <c r="I191" s="29" t="n"/>
      <c r="J191" s="39" t="n"/>
      <c r="K191" s="39" t="n"/>
      <c r="L191" s="39" t="n"/>
      <c r="M191" s="29" t="n"/>
      <c r="N191" s="29" t="n"/>
      <c r="O191" s="29" t="n"/>
      <c r="P191" s="32">
        <f>IF($A191="","",IF($F191="نعم",$A191,$M191))</f>
        <v/>
      </c>
      <c r="Q191" s="32">
        <f>IF($A191="","",IF($F191="نعم",$A191,$N191))</f>
        <v/>
      </c>
      <c r="R191" s="32">
        <f>IF($A191="","",IF(AND($F191="نعم",$L191&lt;&gt;"لا"),1,0))</f>
        <v/>
      </c>
      <c r="S191" s="32">
        <f>IF($D191="","",IFERROR(INDEX(Lists!$AK$5:$AK$10,MATCH($D191,Lists!$AJ$5:$AJ$10,0)),"نوع غير معرف"))</f>
        <v/>
      </c>
      <c r="T191" s="32">
        <f>IF($A191="","",IF(COUNTIF($A:$A,$A191)&gt;1,"كود حساب مكرر",IF($B191="","اسم الحساب ناقص",IF(AND($F191="نعم",$G191=""),"الطبيعة ناقصة",IF(AND($F191&lt;&gt;"نعم",OR($M191="",$N191="")),"الحساب الرئيسي يحتاج نطاقًا (من/إلى)",IF(AND($H191=1,$F191&lt;&gt;"نعم"),"حساب نقدية يجب أن يكون قابلًا للترحيل",IF(AND($F191="نعم",$D191=""),"النوع ناقص","")))))))</f>
        <v/>
      </c>
    </row>
    <row r="192">
      <c r="A192" s="39" t="n"/>
      <c r="B192" s="29" t="n"/>
      <c r="C192" s="29" t="n"/>
      <c r="D192" s="39" t="n"/>
      <c r="E192" s="39" t="n"/>
      <c r="F192" s="39" t="n"/>
      <c r="G192" s="39" t="n"/>
      <c r="H192" s="39" t="n"/>
      <c r="I192" s="29" t="n"/>
      <c r="J192" s="39" t="n"/>
      <c r="K192" s="39" t="n"/>
      <c r="L192" s="39" t="n"/>
      <c r="M192" s="29" t="n"/>
      <c r="N192" s="29" t="n"/>
      <c r="O192" s="29" t="n"/>
      <c r="P192" s="32">
        <f>IF($A192="","",IF($F192="نعم",$A192,$M192))</f>
        <v/>
      </c>
      <c r="Q192" s="32">
        <f>IF($A192="","",IF($F192="نعم",$A192,$N192))</f>
        <v/>
      </c>
      <c r="R192" s="32">
        <f>IF($A192="","",IF(AND($F192="نعم",$L192&lt;&gt;"لا"),1,0))</f>
        <v/>
      </c>
      <c r="S192" s="32">
        <f>IF($D192="","",IFERROR(INDEX(Lists!$AK$5:$AK$10,MATCH($D192,Lists!$AJ$5:$AJ$10,0)),"نوع غير معرف"))</f>
        <v/>
      </c>
      <c r="T192" s="32">
        <f>IF($A192="","",IF(COUNTIF($A:$A,$A192)&gt;1,"كود حساب مكرر",IF($B192="","اسم الحساب ناقص",IF(AND($F192="نعم",$G192=""),"الطبيعة ناقصة",IF(AND($F192&lt;&gt;"نعم",OR($M192="",$N192="")),"الحساب الرئيسي يحتاج نطاقًا (من/إلى)",IF(AND($H192=1,$F192&lt;&gt;"نعم"),"حساب نقدية يجب أن يكون قابلًا للترحيل",IF(AND($F192="نعم",$D192=""),"النوع ناقص","")))))))</f>
        <v/>
      </c>
    </row>
    <row r="193">
      <c r="A193" s="39" t="n"/>
      <c r="B193" s="29" t="n"/>
      <c r="C193" s="29" t="n"/>
      <c r="D193" s="39" t="n"/>
      <c r="E193" s="39" t="n"/>
      <c r="F193" s="39" t="n"/>
      <c r="G193" s="39" t="n"/>
      <c r="H193" s="39" t="n"/>
      <c r="I193" s="29" t="n"/>
      <c r="J193" s="39" t="n"/>
      <c r="K193" s="39" t="n"/>
      <c r="L193" s="39" t="n"/>
      <c r="M193" s="29" t="n"/>
      <c r="N193" s="29" t="n"/>
      <c r="O193" s="29" t="n"/>
      <c r="P193" s="32">
        <f>IF($A193="","",IF($F193="نعم",$A193,$M193))</f>
        <v/>
      </c>
      <c r="Q193" s="32">
        <f>IF($A193="","",IF($F193="نعم",$A193,$N193))</f>
        <v/>
      </c>
      <c r="R193" s="32">
        <f>IF($A193="","",IF(AND($F193="نعم",$L193&lt;&gt;"لا"),1,0))</f>
        <v/>
      </c>
      <c r="S193" s="32">
        <f>IF($D193="","",IFERROR(INDEX(Lists!$AK$5:$AK$10,MATCH($D193,Lists!$AJ$5:$AJ$10,0)),"نوع غير معرف"))</f>
        <v/>
      </c>
      <c r="T193" s="32">
        <f>IF($A193="","",IF(COUNTIF($A:$A,$A193)&gt;1,"كود حساب مكرر",IF($B193="","اسم الحساب ناقص",IF(AND($F193="نعم",$G193=""),"الطبيعة ناقصة",IF(AND($F193&lt;&gt;"نعم",OR($M193="",$N193="")),"الحساب الرئيسي يحتاج نطاقًا (من/إلى)",IF(AND($H193=1,$F193&lt;&gt;"نعم"),"حساب نقدية يجب أن يكون قابلًا للترحيل",IF(AND($F193="نعم",$D193=""),"النوع ناقص","")))))))</f>
        <v/>
      </c>
    </row>
    <row r="194">
      <c r="A194" s="39" t="n"/>
      <c r="B194" s="29" t="n"/>
      <c r="C194" s="29" t="n"/>
      <c r="D194" s="39" t="n"/>
      <c r="E194" s="39" t="n"/>
      <c r="F194" s="39" t="n"/>
      <c r="G194" s="39" t="n"/>
      <c r="H194" s="39" t="n"/>
      <c r="I194" s="29" t="n"/>
      <c r="J194" s="39" t="n"/>
      <c r="K194" s="39" t="n"/>
      <c r="L194" s="39" t="n"/>
      <c r="M194" s="29" t="n"/>
      <c r="N194" s="29" t="n"/>
      <c r="O194" s="29" t="n"/>
      <c r="P194" s="32">
        <f>IF($A194="","",IF($F194="نعم",$A194,$M194))</f>
        <v/>
      </c>
      <c r="Q194" s="32">
        <f>IF($A194="","",IF($F194="نعم",$A194,$N194))</f>
        <v/>
      </c>
      <c r="R194" s="32">
        <f>IF($A194="","",IF(AND($F194="نعم",$L194&lt;&gt;"لا"),1,0))</f>
        <v/>
      </c>
      <c r="S194" s="32">
        <f>IF($D194="","",IFERROR(INDEX(Lists!$AK$5:$AK$10,MATCH($D194,Lists!$AJ$5:$AJ$10,0)),"نوع غير معرف"))</f>
        <v/>
      </c>
      <c r="T194" s="32">
        <f>IF($A194="","",IF(COUNTIF($A:$A,$A194)&gt;1,"كود حساب مكرر",IF($B194="","اسم الحساب ناقص",IF(AND($F194="نعم",$G194=""),"الطبيعة ناقصة",IF(AND($F194&lt;&gt;"نعم",OR($M194="",$N194="")),"الحساب الرئيسي يحتاج نطاقًا (من/إلى)",IF(AND($H194=1,$F194&lt;&gt;"نعم"),"حساب نقدية يجب أن يكون قابلًا للترحيل",IF(AND($F194="نعم",$D194=""),"النوع ناقص","")))))))</f>
        <v/>
      </c>
    </row>
    <row r="195">
      <c r="A195" s="39" t="n"/>
      <c r="B195" s="29" t="n"/>
      <c r="C195" s="29" t="n"/>
      <c r="D195" s="39" t="n"/>
      <c r="E195" s="39" t="n"/>
      <c r="F195" s="39" t="n"/>
      <c r="G195" s="39" t="n"/>
      <c r="H195" s="39" t="n"/>
      <c r="I195" s="29" t="n"/>
      <c r="J195" s="39" t="n"/>
      <c r="K195" s="39" t="n"/>
      <c r="L195" s="39" t="n"/>
      <c r="M195" s="29" t="n"/>
      <c r="N195" s="29" t="n"/>
      <c r="O195" s="29" t="n"/>
      <c r="P195" s="32">
        <f>IF($A195="","",IF($F195="نعم",$A195,$M195))</f>
        <v/>
      </c>
      <c r="Q195" s="32">
        <f>IF($A195="","",IF($F195="نعم",$A195,$N195))</f>
        <v/>
      </c>
      <c r="R195" s="32">
        <f>IF($A195="","",IF(AND($F195="نعم",$L195&lt;&gt;"لا"),1,0))</f>
        <v/>
      </c>
      <c r="S195" s="32">
        <f>IF($D195="","",IFERROR(INDEX(Lists!$AK$5:$AK$10,MATCH($D195,Lists!$AJ$5:$AJ$10,0)),"نوع غير معرف"))</f>
        <v/>
      </c>
      <c r="T195" s="32">
        <f>IF($A195="","",IF(COUNTIF($A:$A,$A195)&gt;1,"كود حساب مكرر",IF($B195="","اسم الحساب ناقص",IF(AND($F195="نعم",$G195=""),"الطبيعة ناقصة",IF(AND($F195&lt;&gt;"نعم",OR($M195="",$N195="")),"الحساب الرئيسي يحتاج نطاقًا (من/إلى)",IF(AND($H195=1,$F195&lt;&gt;"نعم"),"حساب نقدية يجب أن يكون قابلًا للترحيل",IF(AND($F195="نعم",$D195=""),"النوع ناقص","")))))))</f>
        <v/>
      </c>
    </row>
    <row r="196">
      <c r="A196" s="39" t="n"/>
      <c r="B196" s="29" t="n"/>
      <c r="C196" s="29" t="n"/>
      <c r="D196" s="39" t="n"/>
      <c r="E196" s="39" t="n"/>
      <c r="F196" s="39" t="n"/>
      <c r="G196" s="39" t="n"/>
      <c r="H196" s="39" t="n"/>
      <c r="I196" s="29" t="n"/>
      <c r="J196" s="39" t="n"/>
      <c r="K196" s="39" t="n"/>
      <c r="L196" s="39" t="n"/>
      <c r="M196" s="29" t="n"/>
      <c r="N196" s="29" t="n"/>
      <c r="O196" s="29" t="n"/>
      <c r="P196" s="32">
        <f>IF($A196="","",IF($F196="نعم",$A196,$M196))</f>
        <v/>
      </c>
      <c r="Q196" s="32">
        <f>IF($A196="","",IF($F196="نعم",$A196,$N196))</f>
        <v/>
      </c>
      <c r="R196" s="32">
        <f>IF($A196="","",IF(AND($F196="نعم",$L196&lt;&gt;"لا"),1,0))</f>
        <v/>
      </c>
      <c r="S196" s="32">
        <f>IF($D196="","",IFERROR(INDEX(Lists!$AK$5:$AK$10,MATCH($D196,Lists!$AJ$5:$AJ$10,0)),"نوع غير معرف"))</f>
        <v/>
      </c>
      <c r="T196" s="32">
        <f>IF($A196="","",IF(COUNTIF($A:$A,$A196)&gt;1,"كود حساب مكرر",IF($B196="","اسم الحساب ناقص",IF(AND($F196="نعم",$G196=""),"الطبيعة ناقصة",IF(AND($F196&lt;&gt;"نعم",OR($M196="",$N196="")),"الحساب الرئيسي يحتاج نطاقًا (من/إلى)",IF(AND($H196=1,$F196&lt;&gt;"نعم"),"حساب نقدية يجب أن يكون قابلًا للترحيل",IF(AND($F196="نعم",$D196=""),"النوع ناقص","")))))))</f>
        <v/>
      </c>
    </row>
    <row r="197">
      <c r="A197" s="39" t="n"/>
      <c r="B197" s="29" t="n"/>
      <c r="C197" s="29" t="n"/>
      <c r="D197" s="39" t="n"/>
      <c r="E197" s="39" t="n"/>
      <c r="F197" s="39" t="n"/>
      <c r="G197" s="39" t="n"/>
      <c r="H197" s="39" t="n"/>
      <c r="I197" s="29" t="n"/>
      <c r="J197" s="39" t="n"/>
      <c r="K197" s="39" t="n"/>
      <c r="L197" s="39" t="n"/>
      <c r="M197" s="29" t="n"/>
      <c r="N197" s="29" t="n"/>
      <c r="O197" s="29" t="n"/>
      <c r="P197" s="32">
        <f>IF($A197="","",IF($F197="نعم",$A197,$M197))</f>
        <v/>
      </c>
      <c r="Q197" s="32">
        <f>IF($A197="","",IF($F197="نعم",$A197,$N197))</f>
        <v/>
      </c>
      <c r="R197" s="32">
        <f>IF($A197="","",IF(AND($F197="نعم",$L197&lt;&gt;"لا"),1,0))</f>
        <v/>
      </c>
      <c r="S197" s="32">
        <f>IF($D197="","",IFERROR(INDEX(Lists!$AK$5:$AK$10,MATCH($D197,Lists!$AJ$5:$AJ$10,0)),"نوع غير معرف"))</f>
        <v/>
      </c>
      <c r="T197" s="32">
        <f>IF($A197="","",IF(COUNTIF($A:$A,$A197)&gt;1,"كود حساب مكرر",IF($B197="","اسم الحساب ناقص",IF(AND($F197="نعم",$G197=""),"الطبيعة ناقصة",IF(AND($F197&lt;&gt;"نعم",OR($M197="",$N197="")),"الحساب الرئيسي يحتاج نطاقًا (من/إلى)",IF(AND($H197=1,$F197&lt;&gt;"نعم"),"حساب نقدية يجب أن يكون قابلًا للترحيل",IF(AND($F197="نعم",$D197=""),"النوع ناقص","")))))))</f>
        <v/>
      </c>
    </row>
    <row r="198">
      <c r="A198" s="39" t="n"/>
      <c r="B198" s="29" t="n"/>
      <c r="C198" s="29" t="n"/>
      <c r="D198" s="39" t="n"/>
      <c r="E198" s="39" t="n"/>
      <c r="F198" s="39" t="n"/>
      <c r="G198" s="39" t="n"/>
      <c r="H198" s="39" t="n"/>
      <c r="I198" s="29" t="n"/>
      <c r="J198" s="39" t="n"/>
      <c r="K198" s="39" t="n"/>
      <c r="L198" s="39" t="n"/>
      <c r="M198" s="29" t="n"/>
      <c r="N198" s="29" t="n"/>
      <c r="O198" s="29" t="n"/>
      <c r="P198" s="32">
        <f>IF($A198="","",IF($F198="نعم",$A198,$M198))</f>
        <v/>
      </c>
      <c r="Q198" s="32">
        <f>IF($A198="","",IF($F198="نعم",$A198,$N198))</f>
        <v/>
      </c>
      <c r="R198" s="32">
        <f>IF($A198="","",IF(AND($F198="نعم",$L198&lt;&gt;"لا"),1,0))</f>
        <v/>
      </c>
      <c r="S198" s="32">
        <f>IF($D198="","",IFERROR(INDEX(Lists!$AK$5:$AK$10,MATCH($D198,Lists!$AJ$5:$AJ$10,0)),"نوع غير معرف"))</f>
        <v/>
      </c>
      <c r="T198" s="32">
        <f>IF($A198="","",IF(COUNTIF($A:$A,$A198)&gt;1,"كود حساب مكرر",IF($B198="","اسم الحساب ناقص",IF(AND($F198="نعم",$G198=""),"الطبيعة ناقصة",IF(AND($F198&lt;&gt;"نعم",OR($M198="",$N198="")),"الحساب الرئيسي يحتاج نطاقًا (من/إلى)",IF(AND($H198=1,$F198&lt;&gt;"نعم"),"حساب نقدية يجب أن يكون قابلًا للترحيل",IF(AND($F198="نعم",$D198=""),"النوع ناقص","")))))))</f>
        <v/>
      </c>
    </row>
    <row r="199">
      <c r="A199" s="39" t="n"/>
      <c r="B199" s="29" t="n"/>
      <c r="C199" s="29" t="n"/>
      <c r="D199" s="39" t="n"/>
      <c r="E199" s="39" t="n"/>
      <c r="F199" s="39" t="n"/>
      <c r="G199" s="39" t="n"/>
      <c r="H199" s="39" t="n"/>
      <c r="I199" s="29" t="n"/>
      <c r="J199" s="39" t="n"/>
      <c r="K199" s="39" t="n"/>
      <c r="L199" s="39" t="n"/>
      <c r="M199" s="29" t="n"/>
      <c r="N199" s="29" t="n"/>
      <c r="O199" s="29" t="n"/>
      <c r="P199" s="32">
        <f>IF($A199="","",IF($F199="نعم",$A199,$M199))</f>
        <v/>
      </c>
      <c r="Q199" s="32">
        <f>IF($A199="","",IF($F199="نعم",$A199,$N199))</f>
        <v/>
      </c>
      <c r="R199" s="32">
        <f>IF($A199="","",IF(AND($F199="نعم",$L199&lt;&gt;"لا"),1,0))</f>
        <v/>
      </c>
      <c r="S199" s="32">
        <f>IF($D199="","",IFERROR(INDEX(Lists!$AK$5:$AK$10,MATCH($D199,Lists!$AJ$5:$AJ$10,0)),"نوع غير معرف"))</f>
        <v/>
      </c>
      <c r="T199" s="32">
        <f>IF($A199="","",IF(COUNTIF($A:$A,$A199)&gt;1,"كود حساب مكرر",IF($B199="","اسم الحساب ناقص",IF(AND($F199="نعم",$G199=""),"الطبيعة ناقصة",IF(AND($F199&lt;&gt;"نعم",OR($M199="",$N199="")),"الحساب الرئيسي يحتاج نطاقًا (من/إلى)",IF(AND($H199=1,$F199&lt;&gt;"نعم"),"حساب نقدية يجب أن يكون قابلًا للترحيل",IF(AND($F199="نعم",$D199=""),"النوع ناقص","")))))))</f>
        <v/>
      </c>
    </row>
    <row r="200">
      <c r="A200" s="39" t="n"/>
      <c r="B200" s="29" t="n"/>
      <c r="C200" s="29" t="n"/>
      <c r="D200" s="39" t="n"/>
      <c r="E200" s="39" t="n"/>
      <c r="F200" s="39" t="n"/>
      <c r="G200" s="39" t="n"/>
      <c r="H200" s="39" t="n"/>
      <c r="I200" s="29" t="n"/>
      <c r="J200" s="39" t="n"/>
      <c r="K200" s="39" t="n"/>
      <c r="L200" s="39" t="n"/>
      <c r="M200" s="29" t="n"/>
      <c r="N200" s="29" t="n"/>
      <c r="O200" s="29" t="n"/>
      <c r="P200" s="32">
        <f>IF($A200="","",IF($F200="نعم",$A200,$M200))</f>
        <v/>
      </c>
      <c r="Q200" s="32">
        <f>IF($A200="","",IF($F200="نعم",$A200,$N200))</f>
        <v/>
      </c>
      <c r="R200" s="32">
        <f>IF($A200="","",IF(AND($F200="نعم",$L200&lt;&gt;"لا"),1,0))</f>
        <v/>
      </c>
      <c r="S200" s="32">
        <f>IF($D200="","",IFERROR(INDEX(Lists!$AK$5:$AK$10,MATCH($D200,Lists!$AJ$5:$AJ$10,0)),"نوع غير معرف"))</f>
        <v/>
      </c>
      <c r="T200" s="32">
        <f>IF($A200="","",IF(COUNTIF($A:$A,$A200)&gt;1,"كود حساب مكرر",IF($B200="","اسم الحساب ناقص",IF(AND($F200="نعم",$G200=""),"الطبيعة ناقصة",IF(AND($F200&lt;&gt;"نعم",OR($M200="",$N200="")),"الحساب الرئيسي يحتاج نطاقًا (من/إلى)",IF(AND($H200=1,$F200&lt;&gt;"نعم"),"حساب نقدية يجب أن يكون قابلًا للترحيل",IF(AND($F200="نعم",$D200=""),"النوع ناقص","")))))))</f>
        <v/>
      </c>
    </row>
    <row r="201">
      <c r="A201" s="39" t="n"/>
      <c r="B201" s="29" t="n"/>
      <c r="C201" s="29" t="n"/>
      <c r="D201" s="39" t="n"/>
      <c r="E201" s="39" t="n"/>
      <c r="F201" s="39" t="n"/>
      <c r="G201" s="39" t="n"/>
      <c r="H201" s="39" t="n"/>
      <c r="I201" s="29" t="n"/>
      <c r="J201" s="39" t="n"/>
      <c r="K201" s="39" t="n"/>
      <c r="L201" s="39" t="n"/>
      <c r="M201" s="29" t="n"/>
      <c r="N201" s="29" t="n"/>
      <c r="O201" s="29" t="n"/>
      <c r="P201" s="32">
        <f>IF($A201="","",IF($F201="نعم",$A201,$M201))</f>
        <v/>
      </c>
      <c r="Q201" s="32">
        <f>IF($A201="","",IF($F201="نعم",$A201,$N201))</f>
        <v/>
      </c>
      <c r="R201" s="32">
        <f>IF($A201="","",IF(AND($F201="نعم",$L201&lt;&gt;"لا"),1,0))</f>
        <v/>
      </c>
      <c r="S201" s="32">
        <f>IF($D201="","",IFERROR(INDEX(Lists!$AK$5:$AK$10,MATCH($D201,Lists!$AJ$5:$AJ$10,0)),"نوع غير معرف"))</f>
        <v/>
      </c>
      <c r="T201" s="32">
        <f>IF($A201="","",IF(COUNTIF($A:$A,$A201)&gt;1,"كود حساب مكرر",IF($B201="","اسم الحساب ناقص",IF(AND($F201="نعم",$G201=""),"الطبيعة ناقصة",IF(AND($F201&lt;&gt;"نعم",OR($M201="",$N201="")),"الحساب الرئيسي يحتاج نطاقًا (من/إلى)",IF(AND($H201=1,$F201&lt;&gt;"نعم"),"حساب نقدية يجب أن يكون قابلًا للترحيل",IF(AND($F201="نعم",$D201=""),"النوع ناقص","")))))))</f>
        <v/>
      </c>
    </row>
    <row r="202">
      <c r="A202" s="39" t="n"/>
      <c r="B202" s="29" t="n"/>
      <c r="C202" s="29" t="n"/>
      <c r="D202" s="39" t="n"/>
      <c r="E202" s="39" t="n"/>
      <c r="F202" s="39" t="n"/>
      <c r="G202" s="39" t="n"/>
      <c r="H202" s="39" t="n"/>
      <c r="I202" s="29" t="n"/>
      <c r="J202" s="39" t="n"/>
      <c r="K202" s="39" t="n"/>
      <c r="L202" s="39" t="n"/>
      <c r="M202" s="29" t="n"/>
      <c r="N202" s="29" t="n"/>
      <c r="O202" s="29" t="n"/>
      <c r="P202" s="32">
        <f>IF($A202="","",IF($F202="نعم",$A202,$M202))</f>
        <v/>
      </c>
      <c r="Q202" s="32">
        <f>IF($A202="","",IF($F202="نعم",$A202,$N202))</f>
        <v/>
      </c>
      <c r="R202" s="32">
        <f>IF($A202="","",IF(AND($F202="نعم",$L202&lt;&gt;"لا"),1,0))</f>
        <v/>
      </c>
      <c r="S202" s="32">
        <f>IF($D202="","",IFERROR(INDEX(Lists!$AK$5:$AK$10,MATCH($D202,Lists!$AJ$5:$AJ$10,0)),"نوع غير معرف"))</f>
        <v/>
      </c>
      <c r="T202" s="32">
        <f>IF($A202="","",IF(COUNTIF($A:$A,$A202)&gt;1,"كود حساب مكرر",IF($B202="","اسم الحساب ناقص",IF(AND($F202="نعم",$G202=""),"الطبيعة ناقصة",IF(AND($F202&lt;&gt;"نعم",OR($M202="",$N202="")),"الحساب الرئيسي يحتاج نطاقًا (من/إلى)",IF(AND($H202=1,$F202&lt;&gt;"نعم"),"حساب نقدية يجب أن يكون قابلًا للترحيل",IF(AND($F202="نعم",$D202=""),"النوع ناقص","")))))))</f>
        <v/>
      </c>
    </row>
    <row r="203">
      <c r="A203" s="39" t="n"/>
      <c r="B203" s="29" t="n"/>
      <c r="C203" s="29" t="n"/>
      <c r="D203" s="39" t="n"/>
      <c r="E203" s="39" t="n"/>
      <c r="F203" s="39" t="n"/>
      <c r="G203" s="39" t="n"/>
      <c r="H203" s="39" t="n"/>
      <c r="I203" s="29" t="n"/>
      <c r="J203" s="39" t="n"/>
      <c r="K203" s="39" t="n"/>
      <c r="L203" s="39" t="n"/>
      <c r="M203" s="29" t="n"/>
      <c r="N203" s="29" t="n"/>
      <c r="O203" s="29" t="n"/>
      <c r="P203" s="32">
        <f>IF($A203="","",IF($F203="نعم",$A203,$M203))</f>
        <v/>
      </c>
      <c r="Q203" s="32">
        <f>IF($A203="","",IF($F203="نعم",$A203,$N203))</f>
        <v/>
      </c>
      <c r="R203" s="32">
        <f>IF($A203="","",IF(AND($F203="نعم",$L203&lt;&gt;"لا"),1,0))</f>
        <v/>
      </c>
      <c r="S203" s="32">
        <f>IF($D203="","",IFERROR(INDEX(Lists!$AK$5:$AK$10,MATCH($D203,Lists!$AJ$5:$AJ$10,0)),"نوع غير معرف"))</f>
        <v/>
      </c>
      <c r="T203" s="32">
        <f>IF($A203="","",IF(COUNTIF($A:$A,$A203)&gt;1,"كود حساب مكرر",IF($B203="","اسم الحساب ناقص",IF(AND($F203="نعم",$G203=""),"الطبيعة ناقصة",IF(AND($F203&lt;&gt;"نعم",OR($M203="",$N203="")),"الحساب الرئيسي يحتاج نطاقًا (من/إلى)",IF(AND($H203=1,$F203&lt;&gt;"نعم"),"حساب نقدية يجب أن يكون قابلًا للترحيل",IF(AND($F203="نعم",$D203=""),"النوع ناقص","")))))))</f>
        <v/>
      </c>
    </row>
    <row r="204">
      <c r="A204" s="39" t="n"/>
      <c r="B204" s="29" t="n"/>
      <c r="C204" s="29" t="n"/>
      <c r="D204" s="39" t="n"/>
      <c r="E204" s="39" t="n"/>
      <c r="F204" s="39" t="n"/>
      <c r="G204" s="39" t="n"/>
      <c r="H204" s="39" t="n"/>
      <c r="I204" s="29" t="n"/>
      <c r="J204" s="39" t="n"/>
      <c r="K204" s="39" t="n"/>
      <c r="L204" s="39" t="n"/>
      <c r="M204" s="29" t="n"/>
      <c r="N204" s="29" t="n"/>
      <c r="O204" s="29" t="n"/>
      <c r="P204" s="32">
        <f>IF($A204="","",IF($F204="نعم",$A204,$M204))</f>
        <v/>
      </c>
      <c r="Q204" s="32">
        <f>IF($A204="","",IF($F204="نعم",$A204,$N204))</f>
        <v/>
      </c>
      <c r="R204" s="32">
        <f>IF($A204="","",IF(AND($F204="نعم",$L204&lt;&gt;"لا"),1,0))</f>
        <v/>
      </c>
      <c r="S204" s="32">
        <f>IF($D204="","",IFERROR(INDEX(Lists!$AK$5:$AK$10,MATCH($D204,Lists!$AJ$5:$AJ$10,0)),"نوع غير معرف"))</f>
        <v/>
      </c>
      <c r="T204" s="32">
        <f>IF($A204="","",IF(COUNTIF($A:$A,$A204)&gt;1,"كود حساب مكرر",IF($B204="","اسم الحساب ناقص",IF(AND($F204="نعم",$G204=""),"الطبيعة ناقصة",IF(AND($F204&lt;&gt;"نعم",OR($M204="",$N204="")),"الحساب الرئيسي يحتاج نطاقًا (من/إلى)",IF(AND($H204=1,$F204&lt;&gt;"نعم"),"حساب نقدية يجب أن يكون قابلًا للترحيل",IF(AND($F204="نعم",$D204=""),"النوع ناقص","")))))))</f>
        <v/>
      </c>
    </row>
    <row r="205">
      <c r="A205" s="39" t="n"/>
      <c r="B205" s="29" t="n"/>
      <c r="C205" s="29" t="n"/>
      <c r="D205" s="39" t="n"/>
      <c r="E205" s="39" t="n"/>
      <c r="F205" s="39" t="n"/>
      <c r="G205" s="39" t="n"/>
      <c r="H205" s="39" t="n"/>
      <c r="I205" s="29" t="n"/>
      <c r="J205" s="39" t="n"/>
      <c r="K205" s="39" t="n"/>
      <c r="L205" s="39" t="n"/>
      <c r="M205" s="29" t="n"/>
      <c r="N205" s="29" t="n"/>
      <c r="O205" s="29" t="n"/>
      <c r="P205" s="32">
        <f>IF($A205="","",IF($F205="نعم",$A205,$M205))</f>
        <v/>
      </c>
      <c r="Q205" s="32">
        <f>IF($A205="","",IF($F205="نعم",$A205,$N205))</f>
        <v/>
      </c>
      <c r="R205" s="32">
        <f>IF($A205="","",IF(AND($F205="نعم",$L205&lt;&gt;"لا"),1,0))</f>
        <v/>
      </c>
      <c r="S205" s="32">
        <f>IF($D205="","",IFERROR(INDEX(Lists!$AK$5:$AK$10,MATCH($D205,Lists!$AJ$5:$AJ$10,0)),"نوع غير معرف"))</f>
        <v/>
      </c>
      <c r="T205" s="32">
        <f>IF($A205="","",IF(COUNTIF($A:$A,$A205)&gt;1,"كود حساب مكرر",IF($B205="","اسم الحساب ناقص",IF(AND($F205="نعم",$G205=""),"الطبيعة ناقصة",IF(AND($F205&lt;&gt;"نعم",OR($M205="",$N205="")),"الحساب الرئيسي يحتاج نطاقًا (من/إلى)",IF(AND($H205=1,$F205&lt;&gt;"نعم"),"حساب نقدية يجب أن يكون قابلًا للترحيل",IF(AND($F205="نعم",$D205=""),"النوع ناقص","")))))))</f>
        <v/>
      </c>
    </row>
    <row r="206">
      <c r="A206" s="39" t="n"/>
      <c r="B206" s="29" t="n"/>
      <c r="C206" s="29" t="n"/>
      <c r="D206" s="39" t="n"/>
      <c r="E206" s="39" t="n"/>
      <c r="F206" s="39" t="n"/>
      <c r="G206" s="39" t="n"/>
      <c r="H206" s="39" t="n"/>
      <c r="I206" s="29" t="n"/>
      <c r="J206" s="39" t="n"/>
      <c r="K206" s="39" t="n"/>
      <c r="L206" s="39" t="n"/>
      <c r="M206" s="29" t="n"/>
      <c r="N206" s="29" t="n"/>
      <c r="O206" s="29" t="n"/>
      <c r="P206" s="32">
        <f>IF($A206="","",IF($F206="نعم",$A206,$M206))</f>
        <v/>
      </c>
      <c r="Q206" s="32">
        <f>IF($A206="","",IF($F206="نعم",$A206,$N206))</f>
        <v/>
      </c>
      <c r="R206" s="32">
        <f>IF($A206="","",IF(AND($F206="نعم",$L206&lt;&gt;"لا"),1,0))</f>
        <v/>
      </c>
      <c r="S206" s="32">
        <f>IF($D206="","",IFERROR(INDEX(Lists!$AK$5:$AK$10,MATCH($D206,Lists!$AJ$5:$AJ$10,0)),"نوع غير معرف"))</f>
        <v/>
      </c>
      <c r="T206" s="32">
        <f>IF($A206="","",IF(COUNTIF($A:$A,$A206)&gt;1,"كود حساب مكرر",IF($B206="","اسم الحساب ناقص",IF(AND($F206="نعم",$G206=""),"الطبيعة ناقصة",IF(AND($F206&lt;&gt;"نعم",OR($M206="",$N206="")),"الحساب الرئيسي يحتاج نطاقًا (من/إلى)",IF(AND($H206=1,$F206&lt;&gt;"نعم"),"حساب نقدية يجب أن يكون قابلًا للترحيل",IF(AND($F206="نعم",$D206=""),"النوع ناقص","")))))))</f>
        <v/>
      </c>
    </row>
    <row r="207">
      <c r="A207" s="39" t="n"/>
      <c r="B207" s="29" t="n"/>
      <c r="C207" s="29" t="n"/>
      <c r="D207" s="39" t="n"/>
      <c r="E207" s="39" t="n"/>
      <c r="F207" s="39" t="n"/>
      <c r="G207" s="39" t="n"/>
      <c r="H207" s="39" t="n"/>
      <c r="I207" s="29" t="n"/>
      <c r="J207" s="39" t="n"/>
      <c r="K207" s="39" t="n"/>
      <c r="L207" s="39" t="n"/>
      <c r="M207" s="29" t="n"/>
      <c r="N207" s="29" t="n"/>
      <c r="O207" s="29" t="n"/>
      <c r="P207" s="32">
        <f>IF($A207="","",IF($F207="نعم",$A207,$M207))</f>
        <v/>
      </c>
      <c r="Q207" s="32">
        <f>IF($A207="","",IF($F207="نعم",$A207,$N207))</f>
        <v/>
      </c>
      <c r="R207" s="32">
        <f>IF($A207="","",IF(AND($F207="نعم",$L207&lt;&gt;"لا"),1,0))</f>
        <v/>
      </c>
      <c r="S207" s="32">
        <f>IF($D207="","",IFERROR(INDEX(Lists!$AK$5:$AK$10,MATCH($D207,Lists!$AJ$5:$AJ$10,0)),"نوع غير معرف"))</f>
        <v/>
      </c>
      <c r="T207" s="32">
        <f>IF($A207="","",IF(COUNTIF($A:$A,$A207)&gt;1,"كود حساب مكرر",IF($B207="","اسم الحساب ناقص",IF(AND($F207="نعم",$G207=""),"الطبيعة ناقصة",IF(AND($F207&lt;&gt;"نعم",OR($M207="",$N207="")),"الحساب الرئيسي يحتاج نطاقًا (من/إلى)",IF(AND($H207=1,$F207&lt;&gt;"نعم"),"حساب نقدية يجب أن يكون قابلًا للترحيل",IF(AND($F207="نعم",$D207=""),"النوع ناقص","")))))))</f>
        <v/>
      </c>
    </row>
    <row r="208">
      <c r="A208" s="39" t="n"/>
      <c r="B208" s="29" t="n"/>
      <c r="C208" s="29" t="n"/>
      <c r="D208" s="39" t="n"/>
      <c r="E208" s="39" t="n"/>
      <c r="F208" s="39" t="n"/>
      <c r="G208" s="39" t="n"/>
      <c r="H208" s="39" t="n"/>
      <c r="I208" s="29" t="n"/>
      <c r="J208" s="39" t="n"/>
      <c r="K208" s="39" t="n"/>
      <c r="L208" s="39" t="n"/>
      <c r="M208" s="29" t="n"/>
      <c r="N208" s="29" t="n"/>
      <c r="O208" s="29" t="n"/>
      <c r="P208" s="32">
        <f>IF($A208="","",IF($F208="نعم",$A208,$M208))</f>
        <v/>
      </c>
      <c r="Q208" s="32">
        <f>IF($A208="","",IF($F208="نعم",$A208,$N208))</f>
        <v/>
      </c>
      <c r="R208" s="32">
        <f>IF($A208="","",IF(AND($F208="نعم",$L208&lt;&gt;"لا"),1,0))</f>
        <v/>
      </c>
      <c r="S208" s="32">
        <f>IF($D208="","",IFERROR(INDEX(Lists!$AK$5:$AK$10,MATCH($D208,Lists!$AJ$5:$AJ$10,0)),"نوع غير معرف"))</f>
        <v/>
      </c>
      <c r="T208" s="32">
        <f>IF($A208="","",IF(COUNTIF($A:$A,$A208)&gt;1,"كود حساب مكرر",IF($B208="","اسم الحساب ناقص",IF(AND($F208="نعم",$G208=""),"الطبيعة ناقصة",IF(AND($F208&lt;&gt;"نعم",OR($M208="",$N208="")),"الحساب الرئيسي يحتاج نطاقًا (من/إلى)",IF(AND($H208=1,$F208&lt;&gt;"نعم"),"حساب نقدية يجب أن يكون قابلًا للترحيل",IF(AND($F208="نعم",$D208=""),"النوع ناقص","")))))))</f>
        <v/>
      </c>
    </row>
    <row r="209">
      <c r="A209" s="39" t="n"/>
      <c r="B209" s="29" t="n"/>
      <c r="C209" s="29" t="n"/>
      <c r="D209" s="39" t="n"/>
      <c r="E209" s="39" t="n"/>
      <c r="F209" s="39" t="n"/>
      <c r="G209" s="39" t="n"/>
      <c r="H209" s="39" t="n"/>
      <c r="I209" s="29" t="n"/>
      <c r="J209" s="39" t="n"/>
      <c r="K209" s="39" t="n"/>
      <c r="L209" s="39" t="n"/>
      <c r="M209" s="29" t="n"/>
      <c r="N209" s="29" t="n"/>
      <c r="O209" s="29" t="n"/>
      <c r="P209" s="32">
        <f>IF($A209="","",IF($F209="نعم",$A209,$M209))</f>
        <v/>
      </c>
      <c r="Q209" s="32">
        <f>IF($A209="","",IF($F209="نعم",$A209,$N209))</f>
        <v/>
      </c>
      <c r="R209" s="32">
        <f>IF($A209="","",IF(AND($F209="نعم",$L209&lt;&gt;"لا"),1,0))</f>
        <v/>
      </c>
      <c r="S209" s="32">
        <f>IF($D209="","",IFERROR(INDEX(Lists!$AK$5:$AK$10,MATCH($D209,Lists!$AJ$5:$AJ$10,0)),"نوع غير معرف"))</f>
        <v/>
      </c>
      <c r="T209" s="32">
        <f>IF($A209="","",IF(COUNTIF($A:$A,$A209)&gt;1,"كود حساب مكرر",IF($B209="","اسم الحساب ناقص",IF(AND($F209="نعم",$G209=""),"الطبيعة ناقصة",IF(AND($F209&lt;&gt;"نعم",OR($M209="",$N209="")),"الحساب الرئيسي يحتاج نطاقًا (من/إلى)",IF(AND($H209=1,$F209&lt;&gt;"نعم"),"حساب نقدية يجب أن يكون قابلًا للترحيل",IF(AND($F209="نعم",$D209=""),"النوع ناقص","")))))))</f>
        <v/>
      </c>
    </row>
    <row r="210">
      <c r="A210" s="39" t="n"/>
      <c r="B210" s="29" t="n"/>
      <c r="C210" s="29" t="n"/>
      <c r="D210" s="39" t="n"/>
      <c r="E210" s="39" t="n"/>
      <c r="F210" s="39" t="n"/>
      <c r="G210" s="39" t="n"/>
      <c r="H210" s="39" t="n"/>
      <c r="I210" s="29" t="n"/>
      <c r="J210" s="39" t="n"/>
      <c r="K210" s="39" t="n"/>
      <c r="L210" s="39" t="n"/>
      <c r="M210" s="29" t="n"/>
      <c r="N210" s="29" t="n"/>
      <c r="O210" s="29" t="n"/>
      <c r="P210" s="32">
        <f>IF($A210="","",IF($F210="نعم",$A210,$M210))</f>
        <v/>
      </c>
      <c r="Q210" s="32">
        <f>IF($A210="","",IF($F210="نعم",$A210,$N210))</f>
        <v/>
      </c>
      <c r="R210" s="32">
        <f>IF($A210="","",IF(AND($F210="نعم",$L210&lt;&gt;"لا"),1,0))</f>
        <v/>
      </c>
      <c r="S210" s="32">
        <f>IF($D210="","",IFERROR(INDEX(Lists!$AK$5:$AK$10,MATCH($D210,Lists!$AJ$5:$AJ$10,0)),"نوع غير معرف"))</f>
        <v/>
      </c>
      <c r="T210" s="32">
        <f>IF($A210="","",IF(COUNTIF($A:$A,$A210)&gt;1,"كود حساب مكرر",IF($B210="","اسم الحساب ناقص",IF(AND($F210="نعم",$G210=""),"الطبيعة ناقصة",IF(AND($F210&lt;&gt;"نعم",OR($M210="",$N210="")),"الحساب الرئيسي يحتاج نطاقًا (من/إلى)",IF(AND($H210=1,$F210&lt;&gt;"نعم"),"حساب نقدية يجب أن يكون قابلًا للترحيل",IF(AND($F210="نعم",$D210=""),"النوع ناقص","")))))))</f>
        <v/>
      </c>
    </row>
    <row r="211">
      <c r="A211" s="39" t="n"/>
      <c r="B211" s="29" t="n"/>
      <c r="C211" s="29" t="n"/>
      <c r="D211" s="39" t="n"/>
      <c r="E211" s="39" t="n"/>
      <c r="F211" s="39" t="n"/>
      <c r="G211" s="39" t="n"/>
      <c r="H211" s="39" t="n"/>
      <c r="I211" s="29" t="n"/>
      <c r="J211" s="39" t="n"/>
      <c r="K211" s="39" t="n"/>
      <c r="L211" s="39" t="n"/>
      <c r="M211" s="29" t="n"/>
      <c r="N211" s="29" t="n"/>
      <c r="O211" s="29" t="n"/>
      <c r="P211" s="32">
        <f>IF($A211="","",IF($F211="نعم",$A211,$M211))</f>
        <v/>
      </c>
      <c r="Q211" s="32">
        <f>IF($A211="","",IF($F211="نعم",$A211,$N211))</f>
        <v/>
      </c>
      <c r="R211" s="32">
        <f>IF($A211="","",IF(AND($F211="نعم",$L211&lt;&gt;"لا"),1,0))</f>
        <v/>
      </c>
      <c r="S211" s="32">
        <f>IF($D211="","",IFERROR(INDEX(Lists!$AK$5:$AK$10,MATCH($D211,Lists!$AJ$5:$AJ$10,0)),"نوع غير معرف"))</f>
        <v/>
      </c>
      <c r="T211" s="32">
        <f>IF($A211="","",IF(COUNTIF($A:$A,$A211)&gt;1,"كود حساب مكرر",IF($B211="","اسم الحساب ناقص",IF(AND($F211="نعم",$G211=""),"الطبيعة ناقصة",IF(AND($F211&lt;&gt;"نعم",OR($M211="",$N211="")),"الحساب الرئيسي يحتاج نطاقًا (من/إلى)",IF(AND($H211=1,$F211&lt;&gt;"نعم"),"حساب نقدية يجب أن يكون قابلًا للترحيل",IF(AND($F211="نعم",$D211=""),"النوع ناقص","")))))))</f>
        <v/>
      </c>
    </row>
    <row r="212">
      <c r="A212" s="39" t="n"/>
      <c r="B212" s="29" t="n"/>
      <c r="C212" s="29" t="n"/>
      <c r="D212" s="39" t="n"/>
      <c r="E212" s="39" t="n"/>
      <c r="F212" s="39" t="n"/>
      <c r="G212" s="39" t="n"/>
      <c r="H212" s="39" t="n"/>
      <c r="I212" s="29" t="n"/>
      <c r="J212" s="39" t="n"/>
      <c r="K212" s="39" t="n"/>
      <c r="L212" s="39" t="n"/>
      <c r="M212" s="29" t="n"/>
      <c r="N212" s="29" t="n"/>
      <c r="O212" s="29" t="n"/>
      <c r="P212" s="32">
        <f>IF($A212="","",IF($F212="نعم",$A212,$M212))</f>
        <v/>
      </c>
      <c r="Q212" s="32">
        <f>IF($A212="","",IF($F212="نعم",$A212,$N212))</f>
        <v/>
      </c>
      <c r="R212" s="32">
        <f>IF($A212="","",IF(AND($F212="نعم",$L212&lt;&gt;"لا"),1,0))</f>
        <v/>
      </c>
      <c r="S212" s="32">
        <f>IF($D212="","",IFERROR(INDEX(Lists!$AK$5:$AK$10,MATCH($D212,Lists!$AJ$5:$AJ$10,0)),"نوع غير معرف"))</f>
        <v/>
      </c>
      <c r="T212" s="32">
        <f>IF($A212="","",IF(COUNTIF($A:$A,$A212)&gt;1,"كود حساب مكرر",IF($B212="","اسم الحساب ناقص",IF(AND($F212="نعم",$G212=""),"الطبيعة ناقصة",IF(AND($F212&lt;&gt;"نعم",OR($M212="",$N212="")),"الحساب الرئيسي يحتاج نطاقًا (من/إلى)",IF(AND($H212=1,$F212&lt;&gt;"نعم"),"حساب نقدية يجب أن يكون قابلًا للترحيل",IF(AND($F212="نعم",$D212=""),"النوع ناقص","")))))))</f>
        <v/>
      </c>
    </row>
    <row r="213">
      <c r="A213" s="39" t="n"/>
      <c r="B213" s="29" t="n"/>
      <c r="C213" s="29" t="n"/>
      <c r="D213" s="39" t="n"/>
      <c r="E213" s="39" t="n"/>
      <c r="F213" s="39" t="n"/>
      <c r="G213" s="39" t="n"/>
      <c r="H213" s="39" t="n"/>
      <c r="I213" s="29" t="n"/>
      <c r="J213" s="39" t="n"/>
      <c r="K213" s="39" t="n"/>
      <c r="L213" s="39" t="n"/>
      <c r="M213" s="29" t="n"/>
      <c r="N213" s="29" t="n"/>
      <c r="O213" s="29" t="n"/>
      <c r="P213" s="32">
        <f>IF($A213="","",IF($F213="نعم",$A213,$M213))</f>
        <v/>
      </c>
      <c r="Q213" s="32">
        <f>IF($A213="","",IF($F213="نعم",$A213,$N213))</f>
        <v/>
      </c>
      <c r="R213" s="32">
        <f>IF($A213="","",IF(AND($F213="نعم",$L213&lt;&gt;"لا"),1,0))</f>
        <v/>
      </c>
      <c r="S213" s="32">
        <f>IF($D213="","",IFERROR(INDEX(Lists!$AK$5:$AK$10,MATCH($D213,Lists!$AJ$5:$AJ$10,0)),"نوع غير معرف"))</f>
        <v/>
      </c>
      <c r="T213" s="32">
        <f>IF($A213="","",IF(COUNTIF($A:$A,$A213)&gt;1,"كود حساب مكرر",IF($B213="","اسم الحساب ناقص",IF(AND($F213="نعم",$G213=""),"الطبيعة ناقصة",IF(AND($F213&lt;&gt;"نعم",OR($M213="",$N213="")),"الحساب الرئيسي يحتاج نطاقًا (من/إلى)",IF(AND($H213=1,$F213&lt;&gt;"نعم"),"حساب نقدية يجب أن يكون قابلًا للترحيل",IF(AND($F213="نعم",$D213=""),"النوع ناقص","")))))))</f>
        <v/>
      </c>
    </row>
    <row r="214">
      <c r="A214" s="39" t="n"/>
      <c r="B214" s="29" t="n"/>
      <c r="C214" s="29" t="n"/>
      <c r="D214" s="39" t="n"/>
      <c r="E214" s="39" t="n"/>
      <c r="F214" s="39" t="n"/>
      <c r="G214" s="39" t="n"/>
      <c r="H214" s="39" t="n"/>
      <c r="I214" s="29" t="n"/>
      <c r="J214" s="39" t="n"/>
      <c r="K214" s="39" t="n"/>
      <c r="L214" s="39" t="n"/>
      <c r="M214" s="29" t="n"/>
      <c r="N214" s="29" t="n"/>
      <c r="O214" s="29" t="n"/>
      <c r="P214" s="32">
        <f>IF($A214="","",IF($F214="نعم",$A214,$M214))</f>
        <v/>
      </c>
      <c r="Q214" s="32">
        <f>IF($A214="","",IF($F214="نعم",$A214,$N214))</f>
        <v/>
      </c>
      <c r="R214" s="32">
        <f>IF($A214="","",IF(AND($F214="نعم",$L214&lt;&gt;"لا"),1,0))</f>
        <v/>
      </c>
      <c r="S214" s="32">
        <f>IF($D214="","",IFERROR(INDEX(Lists!$AK$5:$AK$10,MATCH($D214,Lists!$AJ$5:$AJ$10,0)),"نوع غير معرف"))</f>
        <v/>
      </c>
      <c r="T214" s="32">
        <f>IF($A214="","",IF(COUNTIF($A:$A,$A214)&gt;1,"كود حساب مكرر",IF($B214="","اسم الحساب ناقص",IF(AND($F214="نعم",$G214=""),"الطبيعة ناقصة",IF(AND($F214&lt;&gt;"نعم",OR($M214="",$N214="")),"الحساب الرئيسي يحتاج نطاقًا (من/إلى)",IF(AND($H214=1,$F214&lt;&gt;"نعم"),"حساب نقدية يجب أن يكون قابلًا للترحيل",IF(AND($F214="نعم",$D214=""),"النوع ناقص","")))))))</f>
        <v/>
      </c>
    </row>
    <row r="215">
      <c r="A215" s="39" t="n"/>
      <c r="B215" s="29" t="n"/>
      <c r="C215" s="29" t="n"/>
      <c r="D215" s="39" t="n"/>
      <c r="E215" s="39" t="n"/>
      <c r="F215" s="39" t="n"/>
      <c r="G215" s="39" t="n"/>
      <c r="H215" s="39" t="n"/>
      <c r="I215" s="29" t="n"/>
      <c r="J215" s="39" t="n"/>
      <c r="K215" s="39" t="n"/>
      <c r="L215" s="39" t="n"/>
      <c r="M215" s="29" t="n"/>
      <c r="N215" s="29" t="n"/>
      <c r="O215" s="29" t="n"/>
      <c r="P215" s="32">
        <f>IF($A215="","",IF($F215="نعم",$A215,$M215))</f>
        <v/>
      </c>
      <c r="Q215" s="32">
        <f>IF($A215="","",IF($F215="نعم",$A215,$N215))</f>
        <v/>
      </c>
      <c r="R215" s="32">
        <f>IF($A215="","",IF(AND($F215="نعم",$L215&lt;&gt;"لا"),1,0))</f>
        <v/>
      </c>
      <c r="S215" s="32">
        <f>IF($D215="","",IFERROR(INDEX(Lists!$AK$5:$AK$10,MATCH($D215,Lists!$AJ$5:$AJ$10,0)),"نوع غير معرف"))</f>
        <v/>
      </c>
      <c r="T215" s="32">
        <f>IF($A215="","",IF(COUNTIF($A:$A,$A215)&gt;1,"كود حساب مكرر",IF($B215="","اسم الحساب ناقص",IF(AND($F215="نعم",$G215=""),"الطبيعة ناقصة",IF(AND($F215&lt;&gt;"نعم",OR($M215="",$N215="")),"الحساب الرئيسي يحتاج نطاقًا (من/إلى)",IF(AND($H215=1,$F215&lt;&gt;"نعم"),"حساب نقدية يجب أن يكون قابلًا للترحيل",IF(AND($F215="نعم",$D215=""),"النوع ناقص","")))))))</f>
        <v/>
      </c>
    </row>
    <row r="216">
      <c r="A216" s="39" t="n"/>
      <c r="B216" s="29" t="n"/>
      <c r="C216" s="29" t="n"/>
      <c r="D216" s="39" t="n"/>
      <c r="E216" s="39" t="n"/>
      <c r="F216" s="39" t="n"/>
      <c r="G216" s="39" t="n"/>
      <c r="H216" s="39" t="n"/>
      <c r="I216" s="29" t="n"/>
      <c r="J216" s="39" t="n"/>
      <c r="K216" s="39" t="n"/>
      <c r="L216" s="39" t="n"/>
      <c r="M216" s="29" t="n"/>
      <c r="N216" s="29" t="n"/>
      <c r="O216" s="29" t="n"/>
      <c r="P216" s="32">
        <f>IF($A216="","",IF($F216="نعم",$A216,$M216))</f>
        <v/>
      </c>
      <c r="Q216" s="32">
        <f>IF($A216="","",IF($F216="نعم",$A216,$N216))</f>
        <v/>
      </c>
      <c r="R216" s="32">
        <f>IF($A216="","",IF(AND($F216="نعم",$L216&lt;&gt;"لا"),1,0))</f>
        <v/>
      </c>
      <c r="S216" s="32">
        <f>IF($D216="","",IFERROR(INDEX(Lists!$AK$5:$AK$10,MATCH($D216,Lists!$AJ$5:$AJ$10,0)),"نوع غير معرف"))</f>
        <v/>
      </c>
      <c r="T216" s="32">
        <f>IF($A216="","",IF(COUNTIF($A:$A,$A216)&gt;1,"كود حساب مكرر",IF($B216="","اسم الحساب ناقص",IF(AND($F216="نعم",$G216=""),"الطبيعة ناقصة",IF(AND($F216&lt;&gt;"نعم",OR($M216="",$N216="")),"الحساب الرئيسي يحتاج نطاقًا (من/إلى)",IF(AND($H216=1,$F216&lt;&gt;"نعم"),"حساب نقدية يجب أن يكون قابلًا للترحيل",IF(AND($F216="نعم",$D216=""),"النوع ناقص","")))))))</f>
        <v/>
      </c>
    </row>
    <row r="217">
      <c r="A217" s="39" t="n"/>
      <c r="B217" s="29" t="n"/>
      <c r="C217" s="29" t="n"/>
      <c r="D217" s="39" t="n"/>
      <c r="E217" s="39" t="n"/>
      <c r="F217" s="39" t="n"/>
      <c r="G217" s="39" t="n"/>
      <c r="H217" s="39" t="n"/>
      <c r="I217" s="29" t="n"/>
      <c r="J217" s="39" t="n"/>
      <c r="K217" s="39" t="n"/>
      <c r="L217" s="39" t="n"/>
      <c r="M217" s="29" t="n"/>
      <c r="N217" s="29" t="n"/>
      <c r="O217" s="29" t="n"/>
      <c r="P217" s="32">
        <f>IF($A217="","",IF($F217="نعم",$A217,$M217))</f>
        <v/>
      </c>
      <c r="Q217" s="32">
        <f>IF($A217="","",IF($F217="نعم",$A217,$N217))</f>
        <v/>
      </c>
      <c r="R217" s="32">
        <f>IF($A217="","",IF(AND($F217="نعم",$L217&lt;&gt;"لا"),1,0))</f>
        <v/>
      </c>
      <c r="S217" s="32">
        <f>IF($D217="","",IFERROR(INDEX(Lists!$AK$5:$AK$10,MATCH($D217,Lists!$AJ$5:$AJ$10,0)),"نوع غير معرف"))</f>
        <v/>
      </c>
      <c r="T217" s="32">
        <f>IF($A217="","",IF(COUNTIF($A:$A,$A217)&gt;1,"كود حساب مكرر",IF($B217="","اسم الحساب ناقص",IF(AND($F217="نعم",$G217=""),"الطبيعة ناقصة",IF(AND($F217&lt;&gt;"نعم",OR($M217="",$N217="")),"الحساب الرئيسي يحتاج نطاقًا (من/إلى)",IF(AND($H217=1,$F217&lt;&gt;"نعم"),"حساب نقدية يجب أن يكون قابلًا للترحيل",IF(AND($F217="نعم",$D217=""),"النوع ناقص","")))))))</f>
        <v/>
      </c>
    </row>
    <row r="218">
      <c r="A218" s="39" t="n"/>
      <c r="B218" s="29" t="n"/>
      <c r="C218" s="29" t="n"/>
      <c r="D218" s="39" t="n"/>
      <c r="E218" s="39" t="n"/>
      <c r="F218" s="39" t="n"/>
      <c r="G218" s="39" t="n"/>
      <c r="H218" s="39" t="n"/>
      <c r="I218" s="29" t="n"/>
      <c r="J218" s="39" t="n"/>
      <c r="K218" s="39" t="n"/>
      <c r="L218" s="39" t="n"/>
      <c r="M218" s="29" t="n"/>
      <c r="N218" s="29" t="n"/>
      <c r="O218" s="29" t="n"/>
      <c r="P218" s="32">
        <f>IF($A218="","",IF($F218="نعم",$A218,$M218))</f>
        <v/>
      </c>
      <c r="Q218" s="32">
        <f>IF($A218="","",IF($F218="نعم",$A218,$N218))</f>
        <v/>
      </c>
      <c r="R218" s="32">
        <f>IF($A218="","",IF(AND($F218="نعم",$L218&lt;&gt;"لا"),1,0))</f>
        <v/>
      </c>
      <c r="S218" s="32">
        <f>IF($D218="","",IFERROR(INDEX(Lists!$AK$5:$AK$10,MATCH($D218,Lists!$AJ$5:$AJ$10,0)),"نوع غير معرف"))</f>
        <v/>
      </c>
      <c r="T218" s="32">
        <f>IF($A218="","",IF(COUNTIF($A:$A,$A218)&gt;1,"كود حساب مكرر",IF($B218="","اسم الحساب ناقص",IF(AND($F218="نعم",$G218=""),"الطبيعة ناقصة",IF(AND($F218&lt;&gt;"نعم",OR($M218="",$N218="")),"الحساب الرئيسي يحتاج نطاقًا (من/إلى)",IF(AND($H218=1,$F218&lt;&gt;"نعم"),"حساب نقدية يجب أن يكون قابلًا للترحيل",IF(AND($F218="نعم",$D218=""),"النوع ناقص","")))))))</f>
        <v/>
      </c>
    </row>
    <row r="219">
      <c r="A219" s="39" t="n"/>
      <c r="B219" s="29" t="n"/>
      <c r="C219" s="29" t="n"/>
      <c r="D219" s="39" t="n"/>
      <c r="E219" s="39" t="n"/>
      <c r="F219" s="39" t="n"/>
      <c r="G219" s="39" t="n"/>
      <c r="H219" s="39" t="n"/>
      <c r="I219" s="29" t="n"/>
      <c r="J219" s="39" t="n"/>
      <c r="K219" s="39" t="n"/>
      <c r="L219" s="39" t="n"/>
      <c r="M219" s="29" t="n"/>
      <c r="N219" s="29" t="n"/>
      <c r="O219" s="29" t="n"/>
      <c r="P219" s="32">
        <f>IF($A219="","",IF($F219="نعم",$A219,$M219))</f>
        <v/>
      </c>
      <c r="Q219" s="32">
        <f>IF($A219="","",IF($F219="نعم",$A219,$N219))</f>
        <v/>
      </c>
      <c r="R219" s="32">
        <f>IF($A219="","",IF(AND($F219="نعم",$L219&lt;&gt;"لا"),1,0))</f>
        <v/>
      </c>
      <c r="S219" s="32">
        <f>IF($D219="","",IFERROR(INDEX(Lists!$AK$5:$AK$10,MATCH($D219,Lists!$AJ$5:$AJ$10,0)),"نوع غير معرف"))</f>
        <v/>
      </c>
      <c r="T219" s="32">
        <f>IF($A219="","",IF(COUNTIF($A:$A,$A219)&gt;1,"كود حساب مكرر",IF($B219="","اسم الحساب ناقص",IF(AND($F219="نعم",$G219=""),"الطبيعة ناقصة",IF(AND($F219&lt;&gt;"نعم",OR($M219="",$N219="")),"الحساب الرئيسي يحتاج نطاقًا (من/إلى)",IF(AND($H219=1,$F219&lt;&gt;"نعم"),"حساب نقدية يجب أن يكون قابلًا للترحيل",IF(AND($F219="نعم",$D219=""),"النوع ناقص","")))))))</f>
        <v/>
      </c>
    </row>
    <row r="220">
      <c r="A220" s="39" t="n"/>
      <c r="B220" s="29" t="n"/>
      <c r="C220" s="29" t="n"/>
      <c r="D220" s="39" t="n"/>
      <c r="E220" s="39" t="n"/>
      <c r="F220" s="39" t="n"/>
      <c r="G220" s="39" t="n"/>
      <c r="H220" s="39" t="n"/>
      <c r="I220" s="29" t="n"/>
      <c r="J220" s="39" t="n"/>
      <c r="K220" s="39" t="n"/>
      <c r="L220" s="39" t="n"/>
      <c r="M220" s="29" t="n"/>
      <c r="N220" s="29" t="n"/>
      <c r="O220" s="29" t="n"/>
      <c r="P220" s="32">
        <f>IF($A220="","",IF($F220="نعم",$A220,$M220))</f>
        <v/>
      </c>
      <c r="Q220" s="32">
        <f>IF($A220="","",IF($F220="نعم",$A220,$N220))</f>
        <v/>
      </c>
      <c r="R220" s="32">
        <f>IF($A220="","",IF(AND($F220="نعم",$L220&lt;&gt;"لا"),1,0))</f>
        <v/>
      </c>
      <c r="S220" s="32">
        <f>IF($D220="","",IFERROR(INDEX(Lists!$AK$5:$AK$10,MATCH($D220,Lists!$AJ$5:$AJ$10,0)),"نوع غير معرف"))</f>
        <v/>
      </c>
      <c r="T220" s="32">
        <f>IF($A220="","",IF(COUNTIF($A:$A,$A220)&gt;1,"كود حساب مكرر",IF($B220="","اسم الحساب ناقص",IF(AND($F220="نعم",$G220=""),"الطبيعة ناقصة",IF(AND($F220&lt;&gt;"نعم",OR($M220="",$N220="")),"الحساب الرئيسي يحتاج نطاقًا (من/إلى)",IF(AND($H220=1,$F220&lt;&gt;"نعم"),"حساب نقدية يجب أن يكون قابلًا للترحيل",IF(AND($F220="نعم",$D220=""),"النوع ناقص","")))))))</f>
        <v/>
      </c>
    </row>
    <row r="221">
      <c r="A221" s="39" t="n"/>
      <c r="B221" s="29" t="n"/>
      <c r="C221" s="29" t="n"/>
      <c r="D221" s="39" t="n"/>
      <c r="E221" s="39" t="n"/>
      <c r="F221" s="39" t="n"/>
      <c r="G221" s="39" t="n"/>
      <c r="H221" s="39" t="n"/>
      <c r="I221" s="29" t="n"/>
      <c r="J221" s="39" t="n"/>
      <c r="K221" s="39" t="n"/>
      <c r="L221" s="39" t="n"/>
      <c r="M221" s="29" t="n"/>
      <c r="N221" s="29" t="n"/>
      <c r="O221" s="29" t="n"/>
      <c r="P221" s="32">
        <f>IF($A221="","",IF($F221="نعم",$A221,$M221))</f>
        <v/>
      </c>
      <c r="Q221" s="32">
        <f>IF($A221="","",IF($F221="نعم",$A221,$N221))</f>
        <v/>
      </c>
      <c r="R221" s="32">
        <f>IF($A221="","",IF(AND($F221="نعم",$L221&lt;&gt;"لا"),1,0))</f>
        <v/>
      </c>
      <c r="S221" s="32">
        <f>IF($D221="","",IFERROR(INDEX(Lists!$AK$5:$AK$10,MATCH($D221,Lists!$AJ$5:$AJ$10,0)),"نوع غير معرف"))</f>
        <v/>
      </c>
      <c r="T221" s="32">
        <f>IF($A221="","",IF(COUNTIF($A:$A,$A221)&gt;1,"كود حساب مكرر",IF($B221="","اسم الحساب ناقص",IF(AND($F221="نعم",$G221=""),"الطبيعة ناقصة",IF(AND($F221&lt;&gt;"نعم",OR($M221="",$N221="")),"الحساب الرئيسي يحتاج نطاقًا (من/إلى)",IF(AND($H221=1,$F221&lt;&gt;"نعم"),"حساب نقدية يجب أن يكون قابلًا للترحيل",IF(AND($F221="نعم",$D221=""),"النوع ناقص","")))))))</f>
        <v/>
      </c>
    </row>
    <row r="222">
      <c r="A222" s="39" t="n"/>
      <c r="B222" s="29" t="n"/>
      <c r="C222" s="29" t="n"/>
      <c r="D222" s="39" t="n"/>
      <c r="E222" s="39" t="n"/>
      <c r="F222" s="39" t="n"/>
      <c r="G222" s="39" t="n"/>
      <c r="H222" s="39" t="n"/>
      <c r="I222" s="29" t="n"/>
      <c r="J222" s="39" t="n"/>
      <c r="K222" s="39" t="n"/>
      <c r="L222" s="39" t="n"/>
      <c r="M222" s="29" t="n"/>
      <c r="N222" s="29" t="n"/>
      <c r="O222" s="29" t="n"/>
      <c r="P222" s="32">
        <f>IF($A222="","",IF($F222="نعم",$A222,$M222))</f>
        <v/>
      </c>
      <c r="Q222" s="32">
        <f>IF($A222="","",IF($F222="نعم",$A222,$N222))</f>
        <v/>
      </c>
      <c r="R222" s="32">
        <f>IF($A222="","",IF(AND($F222="نعم",$L222&lt;&gt;"لا"),1,0))</f>
        <v/>
      </c>
      <c r="S222" s="32">
        <f>IF($D222="","",IFERROR(INDEX(Lists!$AK$5:$AK$10,MATCH($D222,Lists!$AJ$5:$AJ$10,0)),"نوع غير معرف"))</f>
        <v/>
      </c>
      <c r="T222" s="32">
        <f>IF($A222="","",IF(COUNTIF($A:$A,$A222)&gt;1,"كود حساب مكرر",IF($B222="","اسم الحساب ناقص",IF(AND($F222="نعم",$G222=""),"الطبيعة ناقصة",IF(AND($F222&lt;&gt;"نعم",OR($M222="",$N222="")),"الحساب الرئيسي يحتاج نطاقًا (من/إلى)",IF(AND($H222=1,$F222&lt;&gt;"نعم"),"حساب نقدية يجب أن يكون قابلًا للترحيل",IF(AND($F222="نعم",$D222=""),"النوع ناقص","")))))))</f>
        <v/>
      </c>
    </row>
    <row r="223">
      <c r="A223" s="39" t="n"/>
      <c r="B223" s="29" t="n"/>
      <c r="C223" s="29" t="n"/>
      <c r="D223" s="39" t="n"/>
      <c r="E223" s="39" t="n"/>
      <c r="F223" s="39" t="n"/>
      <c r="G223" s="39" t="n"/>
      <c r="H223" s="39" t="n"/>
      <c r="I223" s="29" t="n"/>
      <c r="J223" s="39" t="n"/>
      <c r="K223" s="39" t="n"/>
      <c r="L223" s="39" t="n"/>
      <c r="M223" s="29" t="n"/>
      <c r="N223" s="29" t="n"/>
      <c r="O223" s="29" t="n"/>
      <c r="P223" s="32">
        <f>IF($A223="","",IF($F223="نعم",$A223,$M223))</f>
        <v/>
      </c>
      <c r="Q223" s="32">
        <f>IF($A223="","",IF($F223="نعم",$A223,$N223))</f>
        <v/>
      </c>
      <c r="R223" s="32">
        <f>IF($A223="","",IF(AND($F223="نعم",$L223&lt;&gt;"لا"),1,0))</f>
        <v/>
      </c>
      <c r="S223" s="32">
        <f>IF($D223="","",IFERROR(INDEX(Lists!$AK$5:$AK$10,MATCH($D223,Lists!$AJ$5:$AJ$10,0)),"نوع غير معرف"))</f>
        <v/>
      </c>
      <c r="T223" s="32">
        <f>IF($A223="","",IF(COUNTIF($A:$A,$A223)&gt;1,"كود حساب مكرر",IF($B223="","اسم الحساب ناقص",IF(AND($F223="نعم",$G223=""),"الطبيعة ناقصة",IF(AND($F223&lt;&gt;"نعم",OR($M223="",$N223="")),"الحساب الرئيسي يحتاج نطاقًا (من/إلى)",IF(AND($H223=1,$F223&lt;&gt;"نعم"),"حساب نقدية يجب أن يكون قابلًا للترحيل",IF(AND($F223="نعم",$D223=""),"النوع ناقص","")))))))</f>
        <v/>
      </c>
    </row>
    <row r="224">
      <c r="A224" s="39" t="n"/>
      <c r="B224" s="29" t="n"/>
      <c r="C224" s="29" t="n"/>
      <c r="D224" s="39" t="n"/>
      <c r="E224" s="39" t="n"/>
      <c r="F224" s="39" t="n"/>
      <c r="G224" s="39" t="n"/>
      <c r="H224" s="39" t="n"/>
      <c r="I224" s="29" t="n"/>
      <c r="J224" s="39" t="n"/>
      <c r="K224" s="39" t="n"/>
      <c r="L224" s="39" t="n"/>
      <c r="M224" s="29" t="n"/>
      <c r="N224" s="29" t="n"/>
      <c r="O224" s="29" t="n"/>
      <c r="P224" s="32">
        <f>IF($A224="","",IF($F224="نعم",$A224,$M224))</f>
        <v/>
      </c>
      <c r="Q224" s="32">
        <f>IF($A224="","",IF($F224="نعم",$A224,$N224))</f>
        <v/>
      </c>
      <c r="R224" s="32">
        <f>IF($A224="","",IF(AND($F224="نعم",$L224&lt;&gt;"لا"),1,0))</f>
        <v/>
      </c>
      <c r="S224" s="32">
        <f>IF($D224="","",IFERROR(INDEX(Lists!$AK$5:$AK$10,MATCH($D224,Lists!$AJ$5:$AJ$10,0)),"نوع غير معرف"))</f>
        <v/>
      </c>
      <c r="T224" s="32">
        <f>IF($A224="","",IF(COUNTIF($A:$A,$A224)&gt;1,"كود حساب مكرر",IF($B224="","اسم الحساب ناقص",IF(AND($F224="نعم",$G224=""),"الطبيعة ناقصة",IF(AND($F224&lt;&gt;"نعم",OR($M224="",$N224="")),"الحساب الرئيسي يحتاج نطاقًا (من/إلى)",IF(AND($H224=1,$F224&lt;&gt;"نعم"),"حساب نقدية يجب أن يكون قابلًا للترحيل",IF(AND($F224="نعم",$D224=""),"النوع ناقص","")))))))</f>
        <v/>
      </c>
    </row>
    <row r="225">
      <c r="A225" s="39" t="n"/>
      <c r="B225" s="29" t="n"/>
      <c r="C225" s="29" t="n"/>
      <c r="D225" s="39" t="n"/>
      <c r="E225" s="39" t="n"/>
      <c r="F225" s="39" t="n"/>
      <c r="G225" s="39" t="n"/>
      <c r="H225" s="39" t="n"/>
      <c r="I225" s="29" t="n"/>
      <c r="J225" s="39" t="n"/>
      <c r="K225" s="39" t="n"/>
      <c r="L225" s="39" t="n"/>
      <c r="M225" s="29" t="n"/>
      <c r="N225" s="29" t="n"/>
      <c r="O225" s="29" t="n"/>
      <c r="P225" s="32">
        <f>IF($A225="","",IF($F225="نعم",$A225,$M225))</f>
        <v/>
      </c>
      <c r="Q225" s="32">
        <f>IF($A225="","",IF($F225="نعم",$A225,$N225))</f>
        <v/>
      </c>
      <c r="R225" s="32">
        <f>IF($A225="","",IF(AND($F225="نعم",$L225&lt;&gt;"لا"),1,0))</f>
        <v/>
      </c>
      <c r="S225" s="32">
        <f>IF($D225="","",IFERROR(INDEX(Lists!$AK$5:$AK$10,MATCH($D225,Lists!$AJ$5:$AJ$10,0)),"نوع غير معرف"))</f>
        <v/>
      </c>
      <c r="T225" s="32">
        <f>IF($A225="","",IF(COUNTIF($A:$A,$A225)&gt;1,"كود حساب مكرر",IF($B225="","اسم الحساب ناقص",IF(AND($F225="نعم",$G225=""),"الطبيعة ناقصة",IF(AND($F225&lt;&gt;"نعم",OR($M225="",$N225="")),"الحساب الرئيسي يحتاج نطاقًا (من/إلى)",IF(AND($H225=1,$F225&lt;&gt;"نعم"),"حساب نقدية يجب أن يكون قابلًا للترحيل",IF(AND($F225="نعم",$D225=""),"النوع ناقص","")))))))</f>
        <v/>
      </c>
    </row>
    <row r="226">
      <c r="A226" s="39" t="n"/>
      <c r="B226" s="29" t="n"/>
      <c r="C226" s="29" t="n"/>
      <c r="D226" s="39" t="n"/>
      <c r="E226" s="39" t="n"/>
      <c r="F226" s="39" t="n"/>
      <c r="G226" s="39" t="n"/>
      <c r="H226" s="39" t="n"/>
      <c r="I226" s="29" t="n"/>
      <c r="J226" s="39" t="n"/>
      <c r="K226" s="39" t="n"/>
      <c r="L226" s="39" t="n"/>
      <c r="M226" s="29" t="n"/>
      <c r="N226" s="29" t="n"/>
      <c r="O226" s="29" t="n"/>
      <c r="P226" s="32">
        <f>IF($A226="","",IF($F226="نعم",$A226,$M226))</f>
        <v/>
      </c>
      <c r="Q226" s="32">
        <f>IF($A226="","",IF($F226="نعم",$A226,$N226))</f>
        <v/>
      </c>
      <c r="R226" s="32">
        <f>IF($A226="","",IF(AND($F226="نعم",$L226&lt;&gt;"لا"),1,0))</f>
        <v/>
      </c>
      <c r="S226" s="32">
        <f>IF($D226="","",IFERROR(INDEX(Lists!$AK$5:$AK$10,MATCH($D226,Lists!$AJ$5:$AJ$10,0)),"نوع غير معرف"))</f>
        <v/>
      </c>
      <c r="T226" s="32">
        <f>IF($A226="","",IF(COUNTIF($A:$A,$A226)&gt;1,"كود حساب مكرر",IF($B226="","اسم الحساب ناقص",IF(AND($F226="نعم",$G226=""),"الطبيعة ناقصة",IF(AND($F226&lt;&gt;"نعم",OR($M226="",$N226="")),"الحساب الرئيسي يحتاج نطاقًا (من/إلى)",IF(AND($H226=1,$F226&lt;&gt;"نعم"),"حساب نقدية يجب أن يكون قابلًا للترحيل",IF(AND($F226="نعم",$D226=""),"النوع ناقص","")))))))</f>
        <v/>
      </c>
    </row>
    <row r="227">
      <c r="A227" s="39" t="n"/>
      <c r="B227" s="29" t="n"/>
      <c r="C227" s="29" t="n"/>
      <c r="D227" s="39" t="n"/>
      <c r="E227" s="39" t="n"/>
      <c r="F227" s="39" t="n"/>
      <c r="G227" s="39" t="n"/>
      <c r="H227" s="39" t="n"/>
      <c r="I227" s="29" t="n"/>
      <c r="J227" s="39" t="n"/>
      <c r="K227" s="39" t="n"/>
      <c r="L227" s="39" t="n"/>
      <c r="M227" s="29" t="n"/>
      <c r="N227" s="29" t="n"/>
      <c r="O227" s="29" t="n"/>
      <c r="P227" s="32">
        <f>IF($A227="","",IF($F227="نعم",$A227,$M227))</f>
        <v/>
      </c>
      <c r="Q227" s="32">
        <f>IF($A227="","",IF($F227="نعم",$A227,$N227))</f>
        <v/>
      </c>
      <c r="R227" s="32">
        <f>IF($A227="","",IF(AND($F227="نعم",$L227&lt;&gt;"لا"),1,0))</f>
        <v/>
      </c>
      <c r="S227" s="32">
        <f>IF($D227="","",IFERROR(INDEX(Lists!$AK$5:$AK$10,MATCH($D227,Lists!$AJ$5:$AJ$10,0)),"نوع غير معرف"))</f>
        <v/>
      </c>
      <c r="T227" s="32">
        <f>IF($A227="","",IF(COUNTIF($A:$A,$A227)&gt;1,"كود حساب مكرر",IF($B227="","اسم الحساب ناقص",IF(AND($F227="نعم",$G227=""),"الطبيعة ناقصة",IF(AND($F227&lt;&gt;"نعم",OR($M227="",$N227="")),"الحساب الرئيسي يحتاج نطاقًا (من/إلى)",IF(AND($H227=1,$F227&lt;&gt;"نعم"),"حساب نقدية يجب أن يكون قابلًا للترحيل",IF(AND($F227="نعم",$D227=""),"النوع ناقص","")))))))</f>
        <v/>
      </c>
    </row>
    <row r="228">
      <c r="A228" s="39" t="n"/>
      <c r="B228" s="29" t="n"/>
      <c r="C228" s="29" t="n"/>
      <c r="D228" s="39" t="n"/>
      <c r="E228" s="39" t="n"/>
      <c r="F228" s="39" t="n"/>
      <c r="G228" s="39" t="n"/>
      <c r="H228" s="39" t="n"/>
      <c r="I228" s="29" t="n"/>
      <c r="J228" s="39" t="n"/>
      <c r="K228" s="39" t="n"/>
      <c r="L228" s="39" t="n"/>
      <c r="M228" s="29" t="n"/>
      <c r="N228" s="29" t="n"/>
      <c r="O228" s="29" t="n"/>
      <c r="P228" s="32">
        <f>IF($A228="","",IF($F228="نعم",$A228,$M228))</f>
        <v/>
      </c>
      <c r="Q228" s="32">
        <f>IF($A228="","",IF($F228="نعم",$A228,$N228))</f>
        <v/>
      </c>
      <c r="R228" s="32">
        <f>IF($A228="","",IF(AND($F228="نعم",$L228&lt;&gt;"لا"),1,0))</f>
        <v/>
      </c>
      <c r="S228" s="32">
        <f>IF($D228="","",IFERROR(INDEX(Lists!$AK$5:$AK$10,MATCH($D228,Lists!$AJ$5:$AJ$10,0)),"نوع غير معرف"))</f>
        <v/>
      </c>
      <c r="T228" s="32">
        <f>IF($A228="","",IF(COUNTIF($A:$A,$A228)&gt;1,"كود حساب مكرر",IF($B228="","اسم الحساب ناقص",IF(AND($F228="نعم",$G228=""),"الطبيعة ناقصة",IF(AND($F228&lt;&gt;"نعم",OR($M228="",$N228="")),"الحساب الرئيسي يحتاج نطاقًا (من/إلى)",IF(AND($H228=1,$F228&lt;&gt;"نعم"),"حساب نقدية يجب أن يكون قابلًا للترحيل",IF(AND($F228="نعم",$D228=""),"النوع ناقص","")))))))</f>
        <v/>
      </c>
    </row>
    <row r="229">
      <c r="A229" s="39" t="n"/>
      <c r="B229" s="29" t="n"/>
      <c r="C229" s="29" t="n"/>
      <c r="D229" s="39" t="n"/>
      <c r="E229" s="39" t="n"/>
      <c r="F229" s="39" t="n"/>
      <c r="G229" s="39" t="n"/>
      <c r="H229" s="39" t="n"/>
      <c r="I229" s="29" t="n"/>
      <c r="J229" s="39" t="n"/>
      <c r="K229" s="39" t="n"/>
      <c r="L229" s="39" t="n"/>
      <c r="M229" s="29" t="n"/>
      <c r="N229" s="29" t="n"/>
      <c r="O229" s="29" t="n"/>
      <c r="P229" s="32">
        <f>IF($A229="","",IF($F229="نعم",$A229,$M229))</f>
        <v/>
      </c>
      <c r="Q229" s="32">
        <f>IF($A229="","",IF($F229="نعم",$A229,$N229))</f>
        <v/>
      </c>
      <c r="R229" s="32">
        <f>IF($A229="","",IF(AND($F229="نعم",$L229&lt;&gt;"لا"),1,0))</f>
        <v/>
      </c>
      <c r="S229" s="32">
        <f>IF($D229="","",IFERROR(INDEX(Lists!$AK$5:$AK$10,MATCH($D229,Lists!$AJ$5:$AJ$10,0)),"نوع غير معرف"))</f>
        <v/>
      </c>
      <c r="T229" s="32">
        <f>IF($A229="","",IF(COUNTIF($A:$A,$A229)&gt;1,"كود حساب مكرر",IF($B229="","اسم الحساب ناقص",IF(AND($F229="نعم",$G229=""),"الطبيعة ناقصة",IF(AND($F229&lt;&gt;"نعم",OR($M229="",$N229="")),"الحساب الرئيسي يحتاج نطاقًا (من/إلى)",IF(AND($H229=1,$F229&lt;&gt;"نعم"),"حساب نقدية يجب أن يكون قابلًا للترحيل",IF(AND($F229="نعم",$D229=""),"النوع ناقص","")))))))</f>
        <v/>
      </c>
    </row>
    <row r="230">
      <c r="A230" s="39" t="n"/>
      <c r="B230" s="29" t="n"/>
      <c r="C230" s="29" t="n"/>
      <c r="D230" s="39" t="n"/>
      <c r="E230" s="39" t="n"/>
      <c r="F230" s="39" t="n"/>
      <c r="G230" s="39" t="n"/>
      <c r="H230" s="39" t="n"/>
      <c r="I230" s="29" t="n"/>
      <c r="J230" s="39" t="n"/>
      <c r="K230" s="39" t="n"/>
      <c r="L230" s="39" t="n"/>
      <c r="M230" s="29" t="n"/>
      <c r="N230" s="29" t="n"/>
      <c r="O230" s="29" t="n"/>
      <c r="P230" s="32">
        <f>IF($A230="","",IF($F230="نعم",$A230,$M230))</f>
        <v/>
      </c>
      <c r="Q230" s="32">
        <f>IF($A230="","",IF($F230="نعم",$A230,$N230))</f>
        <v/>
      </c>
      <c r="R230" s="32">
        <f>IF($A230="","",IF(AND($F230="نعم",$L230&lt;&gt;"لا"),1,0))</f>
        <v/>
      </c>
      <c r="S230" s="32">
        <f>IF($D230="","",IFERROR(INDEX(Lists!$AK$5:$AK$10,MATCH($D230,Lists!$AJ$5:$AJ$10,0)),"نوع غير معرف"))</f>
        <v/>
      </c>
      <c r="T230" s="32">
        <f>IF($A230="","",IF(COUNTIF($A:$A,$A230)&gt;1,"كود حساب مكرر",IF($B230="","اسم الحساب ناقص",IF(AND($F230="نعم",$G230=""),"الطبيعة ناقصة",IF(AND($F230&lt;&gt;"نعم",OR($M230="",$N230="")),"الحساب الرئيسي يحتاج نطاقًا (من/إلى)",IF(AND($H230=1,$F230&lt;&gt;"نعم"),"حساب نقدية يجب أن يكون قابلًا للترحيل",IF(AND($F230="نعم",$D230=""),"النوع ناقص","")))))))</f>
        <v/>
      </c>
    </row>
    <row r="231">
      <c r="A231" s="39" t="n"/>
      <c r="B231" s="29" t="n"/>
      <c r="C231" s="29" t="n"/>
      <c r="D231" s="39" t="n"/>
      <c r="E231" s="39" t="n"/>
      <c r="F231" s="39" t="n"/>
      <c r="G231" s="39" t="n"/>
      <c r="H231" s="39" t="n"/>
      <c r="I231" s="29" t="n"/>
      <c r="J231" s="39" t="n"/>
      <c r="K231" s="39" t="n"/>
      <c r="L231" s="39" t="n"/>
      <c r="M231" s="29" t="n"/>
      <c r="N231" s="29" t="n"/>
      <c r="O231" s="29" t="n"/>
      <c r="P231" s="32">
        <f>IF($A231="","",IF($F231="نعم",$A231,$M231))</f>
        <v/>
      </c>
      <c r="Q231" s="32">
        <f>IF($A231="","",IF($F231="نعم",$A231,$N231))</f>
        <v/>
      </c>
      <c r="R231" s="32">
        <f>IF($A231="","",IF(AND($F231="نعم",$L231&lt;&gt;"لا"),1,0))</f>
        <v/>
      </c>
      <c r="S231" s="32">
        <f>IF($D231="","",IFERROR(INDEX(Lists!$AK$5:$AK$10,MATCH($D231,Lists!$AJ$5:$AJ$10,0)),"نوع غير معرف"))</f>
        <v/>
      </c>
      <c r="T231" s="32">
        <f>IF($A231="","",IF(COUNTIF($A:$A,$A231)&gt;1,"كود حساب مكرر",IF($B231="","اسم الحساب ناقص",IF(AND($F231="نعم",$G231=""),"الطبيعة ناقصة",IF(AND($F231&lt;&gt;"نعم",OR($M231="",$N231="")),"الحساب الرئيسي يحتاج نطاقًا (من/إلى)",IF(AND($H231=1,$F231&lt;&gt;"نعم"),"حساب نقدية يجب أن يكون قابلًا للترحيل",IF(AND($F231="نعم",$D231=""),"النوع ناقص","")))))))</f>
        <v/>
      </c>
    </row>
    <row r="232">
      <c r="A232" s="39" t="n"/>
      <c r="B232" s="29" t="n"/>
      <c r="C232" s="29" t="n"/>
      <c r="D232" s="39" t="n"/>
      <c r="E232" s="39" t="n"/>
      <c r="F232" s="39" t="n"/>
      <c r="G232" s="39" t="n"/>
      <c r="H232" s="39" t="n"/>
      <c r="I232" s="29" t="n"/>
      <c r="J232" s="39" t="n"/>
      <c r="K232" s="39" t="n"/>
      <c r="L232" s="39" t="n"/>
      <c r="M232" s="29" t="n"/>
      <c r="N232" s="29" t="n"/>
      <c r="O232" s="29" t="n"/>
      <c r="P232" s="32">
        <f>IF($A232="","",IF($F232="نعم",$A232,$M232))</f>
        <v/>
      </c>
      <c r="Q232" s="32">
        <f>IF($A232="","",IF($F232="نعم",$A232,$N232))</f>
        <v/>
      </c>
      <c r="R232" s="32">
        <f>IF($A232="","",IF(AND($F232="نعم",$L232&lt;&gt;"لا"),1,0))</f>
        <v/>
      </c>
      <c r="S232" s="32">
        <f>IF($D232="","",IFERROR(INDEX(Lists!$AK$5:$AK$10,MATCH($D232,Lists!$AJ$5:$AJ$10,0)),"نوع غير معرف"))</f>
        <v/>
      </c>
      <c r="T232" s="32">
        <f>IF($A232="","",IF(COUNTIF($A:$A,$A232)&gt;1,"كود حساب مكرر",IF($B232="","اسم الحساب ناقص",IF(AND($F232="نعم",$G232=""),"الطبيعة ناقصة",IF(AND($F232&lt;&gt;"نعم",OR($M232="",$N232="")),"الحساب الرئيسي يحتاج نطاقًا (من/إلى)",IF(AND($H232=1,$F232&lt;&gt;"نعم"),"حساب نقدية يجب أن يكون قابلًا للترحيل",IF(AND($F232="نعم",$D232=""),"النوع ناقص","")))))))</f>
        <v/>
      </c>
    </row>
    <row r="233">
      <c r="A233" s="39" t="n"/>
      <c r="B233" s="29" t="n"/>
      <c r="C233" s="29" t="n"/>
      <c r="D233" s="39" t="n"/>
      <c r="E233" s="39" t="n"/>
      <c r="F233" s="39" t="n"/>
      <c r="G233" s="39" t="n"/>
      <c r="H233" s="39" t="n"/>
      <c r="I233" s="29" t="n"/>
      <c r="J233" s="39" t="n"/>
      <c r="K233" s="39" t="n"/>
      <c r="L233" s="39" t="n"/>
      <c r="M233" s="29" t="n"/>
      <c r="N233" s="29" t="n"/>
      <c r="O233" s="29" t="n"/>
      <c r="P233" s="32">
        <f>IF($A233="","",IF($F233="نعم",$A233,$M233))</f>
        <v/>
      </c>
      <c r="Q233" s="32">
        <f>IF($A233="","",IF($F233="نعم",$A233,$N233))</f>
        <v/>
      </c>
      <c r="R233" s="32">
        <f>IF($A233="","",IF(AND($F233="نعم",$L233&lt;&gt;"لا"),1,0))</f>
        <v/>
      </c>
      <c r="S233" s="32">
        <f>IF($D233="","",IFERROR(INDEX(Lists!$AK$5:$AK$10,MATCH($D233,Lists!$AJ$5:$AJ$10,0)),"نوع غير معرف"))</f>
        <v/>
      </c>
      <c r="T233" s="32">
        <f>IF($A233="","",IF(COUNTIF($A:$A,$A233)&gt;1,"كود حساب مكرر",IF($B233="","اسم الحساب ناقص",IF(AND($F233="نعم",$G233=""),"الطبيعة ناقصة",IF(AND($F233&lt;&gt;"نعم",OR($M233="",$N233="")),"الحساب الرئيسي يحتاج نطاقًا (من/إلى)",IF(AND($H233=1,$F233&lt;&gt;"نعم"),"حساب نقدية يجب أن يكون قابلًا للترحيل",IF(AND($F233="نعم",$D233=""),"النوع ناقص","")))))))</f>
        <v/>
      </c>
    </row>
    <row r="234">
      <c r="A234" s="39" t="n"/>
      <c r="B234" s="29" t="n"/>
      <c r="C234" s="29" t="n"/>
      <c r="D234" s="39" t="n"/>
      <c r="E234" s="39" t="n"/>
      <c r="F234" s="39" t="n"/>
      <c r="G234" s="39" t="n"/>
      <c r="H234" s="39" t="n"/>
      <c r="I234" s="29" t="n"/>
      <c r="J234" s="39" t="n"/>
      <c r="K234" s="39" t="n"/>
      <c r="L234" s="39" t="n"/>
      <c r="M234" s="29" t="n"/>
      <c r="N234" s="29" t="n"/>
      <c r="O234" s="29" t="n"/>
      <c r="P234" s="32">
        <f>IF($A234="","",IF($F234="نعم",$A234,$M234))</f>
        <v/>
      </c>
      <c r="Q234" s="32">
        <f>IF($A234="","",IF($F234="نعم",$A234,$N234))</f>
        <v/>
      </c>
      <c r="R234" s="32">
        <f>IF($A234="","",IF(AND($F234="نعم",$L234&lt;&gt;"لا"),1,0))</f>
        <v/>
      </c>
      <c r="S234" s="32">
        <f>IF($D234="","",IFERROR(INDEX(Lists!$AK$5:$AK$10,MATCH($D234,Lists!$AJ$5:$AJ$10,0)),"نوع غير معرف"))</f>
        <v/>
      </c>
      <c r="T234" s="32">
        <f>IF($A234="","",IF(COUNTIF($A:$A,$A234)&gt;1,"كود حساب مكرر",IF($B234="","اسم الحساب ناقص",IF(AND($F234="نعم",$G234=""),"الطبيعة ناقصة",IF(AND($F234&lt;&gt;"نعم",OR($M234="",$N234="")),"الحساب الرئيسي يحتاج نطاقًا (من/إلى)",IF(AND($H234=1,$F234&lt;&gt;"نعم"),"حساب نقدية يجب أن يكون قابلًا للترحيل",IF(AND($F234="نعم",$D234=""),"النوع ناقص","")))))))</f>
        <v/>
      </c>
    </row>
    <row r="235">
      <c r="A235" s="39" t="n"/>
      <c r="B235" s="29" t="n"/>
      <c r="C235" s="29" t="n"/>
      <c r="D235" s="39" t="n"/>
      <c r="E235" s="39" t="n"/>
      <c r="F235" s="39" t="n"/>
      <c r="G235" s="39" t="n"/>
      <c r="H235" s="39" t="n"/>
      <c r="I235" s="29" t="n"/>
      <c r="J235" s="39" t="n"/>
      <c r="K235" s="39" t="n"/>
      <c r="L235" s="39" t="n"/>
      <c r="M235" s="29" t="n"/>
      <c r="N235" s="29" t="n"/>
      <c r="O235" s="29" t="n"/>
      <c r="P235" s="32">
        <f>IF($A235="","",IF($F235="نعم",$A235,$M235))</f>
        <v/>
      </c>
      <c r="Q235" s="32">
        <f>IF($A235="","",IF($F235="نعم",$A235,$N235))</f>
        <v/>
      </c>
      <c r="R235" s="32">
        <f>IF($A235="","",IF(AND($F235="نعم",$L235&lt;&gt;"لا"),1,0))</f>
        <v/>
      </c>
      <c r="S235" s="32">
        <f>IF($D235="","",IFERROR(INDEX(Lists!$AK$5:$AK$10,MATCH($D235,Lists!$AJ$5:$AJ$10,0)),"نوع غير معرف"))</f>
        <v/>
      </c>
      <c r="T235" s="32">
        <f>IF($A235="","",IF(COUNTIF($A:$A,$A235)&gt;1,"كود حساب مكرر",IF($B235="","اسم الحساب ناقص",IF(AND($F235="نعم",$G235=""),"الطبيعة ناقصة",IF(AND($F235&lt;&gt;"نعم",OR($M235="",$N235="")),"الحساب الرئيسي يحتاج نطاقًا (من/إلى)",IF(AND($H235=1,$F235&lt;&gt;"نعم"),"حساب نقدية يجب أن يكون قابلًا للترحيل",IF(AND($F235="نعم",$D235=""),"النوع ناقص","")))))))</f>
        <v/>
      </c>
    </row>
    <row r="236">
      <c r="A236" s="39" t="n"/>
      <c r="B236" s="29" t="n"/>
      <c r="C236" s="29" t="n"/>
      <c r="D236" s="39" t="n"/>
      <c r="E236" s="39" t="n"/>
      <c r="F236" s="39" t="n"/>
      <c r="G236" s="39" t="n"/>
      <c r="H236" s="39" t="n"/>
      <c r="I236" s="29" t="n"/>
      <c r="J236" s="39" t="n"/>
      <c r="K236" s="39" t="n"/>
      <c r="L236" s="39" t="n"/>
      <c r="M236" s="29" t="n"/>
      <c r="N236" s="29" t="n"/>
      <c r="O236" s="29" t="n"/>
      <c r="P236" s="32">
        <f>IF($A236="","",IF($F236="نعم",$A236,$M236))</f>
        <v/>
      </c>
      <c r="Q236" s="32">
        <f>IF($A236="","",IF($F236="نعم",$A236,$N236))</f>
        <v/>
      </c>
      <c r="R236" s="32">
        <f>IF($A236="","",IF(AND($F236="نعم",$L236&lt;&gt;"لا"),1,0))</f>
        <v/>
      </c>
      <c r="S236" s="32">
        <f>IF($D236="","",IFERROR(INDEX(Lists!$AK$5:$AK$10,MATCH($D236,Lists!$AJ$5:$AJ$10,0)),"نوع غير معرف"))</f>
        <v/>
      </c>
      <c r="T236" s="32">
        <f>IF($A236="","",IF(COUNTIF($A:$A,$A236)&gt;1,"كود حساب مكرر",IF($B236="","اسم الحساب ناقص",IF(AND($F236="نعم",$G236=""),"الطبيعة ناقصة",IF(AND($F236&lt;&gt;"نعم",OR($M236="",$N236="")),"الحساب الرئيسي يحتاج نطاقًا (من/إلى)",IF(AND($H236=1,$F236&lt;&gt;"نعم"),"حساب نقدية يجب أن يكون قابلًا للترحيل",IF(AND($F236="نعم",$D236=""),"النوع ناقص","")))))))</f>
        <v/>
      </c>
    </row>
    <row r="237">
      <c r="A237" s="39" t="n"/>
      <c r="B237" s="29" t="n"/>
      <c r="C237" s="29" t="n"/>
      <c r="D237" s="39" t="n"/>
      <c r="E237" s="39" t="n"/>
      <c r="F237" s="39" t="n"/>
      <c r="G237" s="39" t="n"/>
      <c r="H237" s="39" t="n"/>
      <c r="I237" s="29" t="n"/>
      <c r="J237" s="39" t="n"/>
      <c r="K237" s="39" t="n"/>
      <c r="L237" s="39" t="n"/>
      <c r="M237" s="29" t="n"/>
      <c r="N237" s="29" t="n"/>
      <c r="O237" s="29" t="n"/>
      <c r="P237" s="32">
        <f>IF($A237="","",IF($F237="نعم",$A237,$M237))</f>
        <v/>
      </c>
      <c r="Q237" s="32">
        <f>IF($A237="","",IF($F237="نعم",$A237,$N237))</f>
        <v/>
      </c>
      <c r="R237" s="32">
        <f>IF($A237="","",IF(AND($F237="نعم",$L237&lt;&gt;"لا"),1,0))</f>
        <v/>
      </c>
      <c r="S237" s="32">
        <f>IF($D237="","",IFERROR(INDEX(Lists!$AK$5:$AK$10,MATCH($D237,Lists!$AJ$5:$AJ$10,0)),"نوع غير معرف"))</f>
        <v/>
      </c>
      <c r="T237" s="32">
        <f>IF($A237="","",IF(COUNTIF($A:$A,$A237)&gt;1,"كود حساب مكرر",IF($B237="","اسم الحساب ناقص",IF(AND($F237="نعم",$G237=""),"الطبيعة ناقصة",IF(AND($F237&lt;&gt;"نعم",OR($M237="",$N237="")),"الحساب الرئيسي يحتاج نطاقًا (من/إلى)",IF(AND($H237=1,$F237&lt;&gt;"نعم"),"حساب نقدية يجب أن يكون قابلًا للترحيل",IF(AND($F237="نعم",$D237=""),"النوع ناقص","")))))))</f>
        <v/>
      </c>
    </row>
    <row r="238">
      <c r="A238" s="39" t="n"/>
      <c r="B238" s="29" t="n"/>
      <c r="C238" s="29" t="n"/>
      <c r="D238" s="39" t="n"/>
      <c r="E238" s="39" t="n"/>
      <c r="F238" s="39" t="n"/>
      <c r="G238" s="39" t="n"/>
      <c r="H238" s="39" t="n"/>
      <c r="I238" s="29" t="n"/>
      <c r="J238" s="39" t="n"/>
      <c r="K238" s="39" t="n"/>
      <c r="L238" s="39" t="n"/>
      <c r="M238" s="29" t="n"/>
      <c r="N238" s="29" t="n"/>
      <c r="O238" s="29" t="n"/>
      <c r="P238" s="32">
        <f>IF($A238="","",IF($F238="نعم",$A238,$M238))</f>
        <v/>
      </c>
      <c r="Q238" s="32">
        <f>IF($A238="","",IF($F238="نعم",$A238,$N238))</f>
        <v/>
      </c>
      <c r="R238" s="32">
        <f>IF($A238="","",IF(AND($F238="نعم",$L238&lt;&gt;"لا"),1,0))</f>
        <v/>
      </c>
      <c r="S238" s="32">
        <f>IF($D238="","",IFERROR(INDEX(Lists!$AK$5:$AK$10,MATCH($D238,Lists!$AJ$5:$AJ$10,0)),"نوع غير معرف"))</f>
        <v/>
      </c>
      <c r="T238" s="32">
        <f>IF($A238="","",IF(COUNTIF($A:$A,$A238)&gt;1,"كود حساب مكرر",IF($B238="","اسم الحساب ناقص",IF(AND($F238="نعم",$G238=""),"الطبيعة ناقصة",IF(AND($F238&lt;&gt;"نعم",OR($M238="",$N238="")),"الحساب الرئيسي يحتاج نطاقًا (من/إلى)",IF(AND($H238=1,$F238&lt;&gt;"نعم"),"حساب نقدية يجب أن يكون قابلًا للترحيل",IF(AND($F238="نعم",$D238=""),"النوع ناقص","")))))))</f>
        <v/>
      </c>
    </row>
    <row r="239">
      <c r="A239" s="39" t="n"/>
      <c r="B239" s="29" t="n"/>
      <c r="C239" s="29" t="n"/>
      <c r="D239" s="39" t="n"/>
      <c r="E239" s="39" t="n"/>
      <c r="F239" s="39" t="n"/>
      <c r="G239" s="39" t="n"/>
      <c r="H239" s="39" t="n"/>
      <c r="I239" s="29" t="n"/>
      <c r="J239" s="39" t="n"/>
      <c r="K239" s="39" t="n"/>
      <c r="L239" s="39" t="n"/>
      <c r="M239" s="29" t="n"/>
      <c r="N239" s="29" t="n"/>
      <c r="O239" s="29" t="n"/>
      <c r="P239" s="32">
        <f>IF($A239="","",IF($F239="نعم",$A239,$M239))</f>
        <v/>
      </c>
      <c r="Q239" s="32">
        <f>IF($A239="","",IF($F239="نعم",$A239,$N239))</f>
        <v/>
      </c>
      <c r="R239" s="32">
        <f>IF($A239="","",IF(AND($F239="نعم",$L239&lt;&gt;"لا"),1,0))</f>
        <v/>
      </c>
      <c r="S239" s="32">
        <f>IF($D239="","",IFERROR(INDEX(Lists!$AK$5:$AK$10,MATCH($D239,Lists!$AJ$5:$AJ$10,0)),"نوع غير معرف"))</f>
        <v/>
      </c>
      <c r="T239" s="32">
        <f>IF($A239="","",IF(COUNTIF($A:$A,$A239)&gt;1,"كود حساب مكرر",IF($B239="","اسم الحساب ناقص",IF(AND($F239="نعم",$G239=""),"الطبيعة ناقصة",IF(AND($F239&lt;&gt;"نعم",OR($M239="",$N239="")),"الحساب الرئيسي يحتاج نطاقًا (من/إلى)",IF(AND($H239=1,$F239&lt;&gt;"نعم"),"حساب نقدية يجب أن يكون قابلًا للترحيل",IF(AND($F239="نعم",$D239=""),"النوع ناقص","")))))))</f>
        <v/>
      </c>
    </row>
    <row r="240">
      <c r="A240" s="39" t="n"/>
      <c r="B240" s="29" t="n"/>
      <c r="C240" s="29" t="n"/>
      <c r="D240" s="39" t="n"/>
      <c r="E240" s="39" t="n"/>
      <c r="F240" s="39" t="n"/>
      <c r="G240" s="39" t="n"/>
      <c r="H240" s="39" t="n"/>
      <c r="I240" s="29" t="n"/>
      <c r="J240" s="39" t="n"/>
      <c r="K240" s="39" t="n"/>
      <c r="L240" s="39" t="n"/>
      <c r="M240" s="29" t="n"/>
      <c r="N240" s="29" t="n"/>
      <c r="O240" s="29" t="n"/>
      <c r="P240" s="32">
        <f>IF($A240="","",IF($F240="نعم",$A240,$M240))</f>
        <v/>
      </c>
      <c r="Q240" s="32">
        <f>IF($A240="","",IF($F240="نعم",$A240,$N240))</f>
        <v/>
      </c>
      <c r="R240" s="32">
        <f>IF($A240="","",IF(AND($F240="نعم",$L240&lt;&gt;"لا"),1,0))</f>
        <v/>
      </c>
      <c r="S240" s="32">
        <f>IF($D240="","",IFERROR(INDEX(Lists!$AK$5:$AK$10,MATCH($D240,Lists!$AJ$5:$AJ$10,0)),"نوع غير معرف"))</f>
        <v/>
      </c>
      <c r="T240" s="32">
        <f>IF($A240="","",IF(COUNTIF($A:$A,$A240)&gt;1,"كود حساب مكرر",IF($B240="","اسم الحساب ناقص",IF(AND($F240="نعم",$G240=""),"الطبيعة ناقصة",IF(AND($F240&lt;&gt;"نعم",OR($M240="",$N240="")),"الحساب الرئيسي يحتاج نطاقًا (من/إلى)",IF(AND($H240=1,$F240&lt;&gt;"نعم"),"حساب نقدية يجب أن يكون قابلًا للترحيل",IF(AND($F240="نعم",$D240=""),"النوع ناقص","")))))))</f>
        <v/>
      </c>
    </row>
    <row r="241">
      <c r="A241" s="39" t="n"/>
      <c r="B241" s="29" t="n"/>
      <c r="C241" s="29" t="n"/>
      <c r="D241" s="39" t="n"/>
      <c r="E241" s="39" t="n"/>
      <c r="F241" s="39" t="n"/>
      <c r="G241" s="39" t="n"/>
      <c r="H241" s="39" t="n"/>
      <c r="I241" s="29" t="n"/>
      <c r="J241" s="39" t="n"/>
      <c r="K241" s="39" t="n"/>
      <c r="L241" s="39" t="n"/>
      <c r="M241" s="29" t="n"/>
      <c r="N241" s="29" t="n"/>
      <c r="O241" s="29" t="n"/>
      <c r="P241" s="32">
        <f>IF($A241="","",IF($F241="نعم",$A241,$M241))</f>
        <v/>
      </c>
      <c r="Q241" s="32">
        <f>IF($A241="","",IF($F241="نعم",$A241,$N241))</f>
        <v/>
      </c>
      <c r="R241" s="32">
        <f>IF($A241="","",IF(AND($F241="نعم",$L241&lt;&gt;"لا"),1,0))</f>
        <v/>
      </c>
      <c r="S241" s="32">
        <f>IF($D241="","",IFERROR(INDEX(Lists!$AK$5:$AK$10,MATCH($D241,Lists!$AJ$5:$AJ$10,0)),"نوع غير معرف"))</f>
        <v/>
      </c>
      <c r="T241" s="32">
        <f>IF($A241="","",IF(COUNTIF($A:$A,$A241)&gt;1,"كود حساب مكرر",IF($B241="","اسم الحساب ناقص",IF(AND($F241="نعم",$G241=""),"الطبيعة ناقصة",IF(AND($F241&lt;&gt;"نعم",OR($M241="",$N241="")),"الحساب الرئيسي يحتاج نطاقًا (من/إلى)",IF(AND($H241=1,$F241&lt;&gt;"نعم"),"حساب نقدية يجب أن يكون قابلًا للترحيل",IF(AND($F241="نعم",$D241=""),"النوع ناقص","")))))))</f>
        <v/>
      </c>
    </row>
    <row r="242">
      <c r="A242" s="39" t="n"/>
      <c r="B242" s="29" t="n"/>
      <c r="C242" s="29" t="n"/>
      <c r="D242" s="39" t="n"/>
      <c r="E242" s="39" t="n"/>
      <c r="F242" s="39" t="n"/>
      <c r="G242" s="39" t="n"/>
      <c r="H242" s="39" t="n"/>
      <c r="I242" s="29" t="n"/>
      <c r="J242" s="39" t="n"/>
      <c r="K242" s="39" t="n"/>
      <c r="L242" s="39" t="n"/>
      <c r="M242" s="29" t="n"/>
      <c r="N242" s="29" t="n"/>
      <c r="O242" s="29" t="n"/>
      <c r="P242" s="32">
        <f>IF($A242="","",IF($F242="نعم",$A242,$M242))</f>
        <v/>
      </c>
      <c r="Q242" s="32">
        <f>IF($A242="","",IF($F242="نعم",$A242,$N242))</f>
        <v/>
      </c>
      <c r="R242" s="32">
        <f>IF($A242="","",IF(AND($F242="نعم",$L242&lt;&gt;"لا"),1,0))</f>
        <v/>
      </c>
      <c r="S242" s="32">
        <f>IF($D242="","",IFERROR(INDEX(Lists!$AK$5:$AK$10,MATCH($D242,Lists!$AJ$5:$AJ$10,0)),"نوع غير معرف"))</f>
        <v/>
      </c>
      <c r="T242" s="32">
        <f>IF($A242="","",IF(COUNTIF($A:$A,$A242)&gt;1,"كود حساب مكرر",IF($B242="","اسم الحساب ناقص",IF(AND($F242="نعم",$G242=""),"الطبيعة ناقصة",IF(AND($F242&lt;&gt;"نعم",OR($M242="",$N242="")),"الحساب الرئيسي يحتاج نطاقًا (من/إلى)",IF(AND($H242=1,$F242&lt;&gt;"نعم"),"حساب نقدية يجب أن يكون قابلًا للترحيل",IF(AND($F242="نعم",$D242=""),"النوع ناقص","")))))))</f>
        <v/>
      </c>
    </row>
    <row r="243">
      <c r="A243" s="39" t="n"/>
      <c r="B243" s="29" t="n"/>
      <c r="C243" s="29" t="n"/>
      <c r="D243" s="39" t="n"/>
      <c r="E243" s="39" t="n"/>
      <c r="F243" s="39" t="n"/>
      <c r="G243" s="39" t="n"/>
      <c r="H243" s="39" t="n"/>
      <c r="I243" s="29" t="n"/>
      <c r="J243" s="39" t="n"/>
      <c r="K243" s="39" t="n"/>
      <c r="L243" s="39" t="n"/>
      <c r="M243" s="29" t="n"/>
      <c r="N243" s="29" t="n"/>
      <c r="O243" s="29" t="n"/>
      <c r="P243" s="32">
        <f>IF($A243="","",IF($F243="نعم",$A243,$M243))</f>
        <v/>
      </c>
      <c r="Q243" s="32">
        <f>IF($A243="","",IF($F243="نعم",$A243,$N243))</f>
        <v/>
      </c>
      <c r="R243" s="32">
        <f>IF($A243="","",IF(AND($F243="نعم",$L243&lt;&gt;"لا"),1,0))</f>
        <v/>
      </c>
      <c r="S243" s="32">
        <f>IF($D243="","",IFERROR(INDEX(Lists!$AK$5:$AK$10,MATCH($D243,Lists!$AJ$5:$AJ$10,0)),"نوع غير معرف"))</f>
        <v/>
      </c>
      <c r="T243" s="32">
        <f>IF($A243="","",IF(COUNTIF($A:$A,$A243)&gt;1,"كود حساب مكرر",IF($B243="","اسم الحساب ناقص",IF(AND($F243="نعم",$G243=""),"الطبيعة ناقصة",IF(AND($F243&lt;&gt;"نعم",OR($M243="",$N243="")),"الحساب الرئيسي يحتاج نطاقًا (من/إلى)",IF(AND($H243=1,$F243&lt;&gt;"نعم"),"حساب نقدية يجب أن يكون قابلًا للترحيل",IF(AND($F243="نعم",$D243=""),"النوع ناقص","")))))))</f>
        <v/>
      </c>
    </row>
    <row r="244">
      <c r="A244" s="39" t="n"/>
      <c r="B244" s="29" t="n"/>
      <c r="C244" s="29" t="n"/>
      <c r="D244" s="39" t="n"/>
      <c r="E244" s="39" t="n"/>
      <c r="F244" s="39" t="n"/>
      <c r="G244" s="39" t="n"/>
      <c r="H244" s="39" t="n"/>
      <c r="I244" s="29" t="n"/>
      <c r="J244" s="39" t="n"/>
      <c r="K244" s="39" t="n"/>
      <c r="L244" s="39" t="n"/>
      <c r="M244" s="29" t="n"/>
      <c r="N244" s="29" t="n"/>
      <c r="O244" s="29" t="n"/>
      <c r="P244" s="32">
        <f>IF($A244="","",IF($F244="نعم",$A244,$M244))</f>
        <v/>
      </c>
      <c r="Q244" s="32">
        <f>IF($A244="","",IF($F244="نعم",$A244,$N244))</f>
        <v/>
      </c>
      <c r="R244" s="32">
        <f>IF($A244="","",IF(AND($F244="نعم",$L244&lt;&gt;"لا"),1,0))</f>
        <v/>
      </c>
      <c r="S244" s="32">
        <f>IF($D244="","",IFERROR(INDEX(Lists!$AK$5:$AK$10,MATCH($D244,Lists!$AJ$5:$AJ$10,0)),"نوع غير معرف"))</f>
        <v/>
      </c>
      <c r="T244" s="32">
        <f>IF($A244="","",IF(COUNTIF($A:$A,$A244)&gt;1,"كود حساب مكرر",IF($B244="","اسم الحساب ناقص",IF(AND($F244="نعم",$G244=""),"الطبيعة ناقصة",IF(AND($F244&lt;&gt;"نعم",OR($M244="",$N244="")),"الحساب الرئيسي يحتاج نطاقًا (من/إلى)",IF(AND($H244=1,$F244&lt;&gt;"نعم"),"حساب نقدية يجب أن يكون قابلًا للترحيل",IF(AND($F244="نعم",$D244=""),"النوع ناقص","")))))))</f>
        <v/>
      </c>
    </row>
    <row r="245">
      <c r="A245" s="39" t="n"/>
      <c r="B245" s="29" t="n"/>
      <c r="C245" s="29" t="n"/>
      <c r="D245" s="39" t="n"/>
      <c r="E245" s="39" t="n"/>
      <c r="F245" s="39" t="n"/>
      <c r="G245" s="39" t="n"/>
      <c r="H245" s="39" t="n"/>
      <c r="I245" s="29" t="n"/>
      <c r="J245" s="39" t="n"/>
      <c r="K245" s="39" t="n"/>
      <c r="L245" s="39" t="n"/>
      <c r="M245" s="29" t="n"/>
      <c r="N245" s="29" t="n"/>
      <c r="O245" s="29" t="n"/>
      <c r="P245" s="32">
        <f>IF($A245="","",IF($F245="نعم",$A245,$M245))</f>
        <v/>
      </c>
      <c r="Q245" s="32">
        <f>IF($A245="","",IF($F245="نعم",$A245,$N245))</f>
        <v/>
      </c>
      <c r="R245" s="32">
        <f>IF($A245="","",IF(AND($F245="نعم",$L245&lt;&gt;"لا"),1,0))</f>
        <v/>
      </c>
      <c r="S245" s="32">
        <f>IF($D245="","",IFERROR(INDEX(Lists!$AK$5:$AK$10,MATCH($D245,Lists!$AJ$5:$AJ$10,0)),"نوع غير معرف"))</f>
        <v/>
      </c>
      <c r="T245" s="32">
        <f>IF($A245="","",IF(COUNTIF($A:$A,$A245)&gt;1,"كود حساب مكرر",IF($B245="","اسم الحساب ناقص",IF(AND($F245="نعم",$G245=""),"الطبيعة ناقصة",IF(AND($F245&lt;&gt;"نعم",OR($M245="",$N245="")),"الحساب الرئيسي يحتاج نطاقًا (من/إلى)",IF(AND($H245=1,$F245&lt;&gt;"نعم"),"حساب نقدية يجب أن يكون قابلًا للترحيل",IF(AND($F245="نعم",$D245=""),"النوع ناقص","")))))))</f>
        <v/>
      </c>
    </row>
    <row r="246">
      <c r="A246" s="39" t="n"/>
      <c r="B246" s="29" t="n"/>
      <c r="C246" s="29" t="n"/>
      <c r="D246" s="39" t="n"/>
      <c r="E246" s="39" t="n"/>
      <c r="F246" s="39" t="n"/>
      <c r="G246" s="39" t="n"/>
      <c r="H246" s="39" t="n"/>
      <c r="I246" s="29" t="n"/>
      <c r="J246" s="39" t="n"/>
      <c r="K246" s="39" t="n"/>
      <c r="L246" s="39" t="n"/>
      <c r="M246" s="29" t="n"/>
      <c r="N246" s="29" t="n"/>
      <c r="O246" s="29" t="n"/>
      <c r="P246" s="32">
        <f>IF($A246="","",IF($F246="نعم",$A246,$M246))</f>
        <v/>
      </c>
      <c r="Q246" s="32">
        <f>IF($A246="","",IF($F246="نعم",$A246,$N246))</f>
        <v/>
      </c>
      <c r="R246" s="32">
        <f>IF($A246="","",IF(AND($F246="نعم",$L246&lt;&gt;"لا"),1,0))</f>
        <v/>
      </c>
      <c r="S246" s="32">
        <f>IF($D246="","",IFERROR(INDEX(Lists!$AK$5:$AK$10,MATCH($D246,Lists!$AJ$5:$AJ$10,0)),"نوع غير معرف"))</f>
        <v/>
      </c>
      <c r="T246" s="32">
        <f>IF($A246="","",IF(COUNTIF($A:$A,$A246)&gt;1,"كود حساب مكرر",IF($B246="","اسم الحساب ناقص",IF(AND($F246="نعم",$G246=""),"الطبيعة ناقصة",IF(AND($F246&lt;&gt;"نعم",OR($M246="",$N246="")),"الحساب الرئيسي يحتاج نطاقًا (من/إلى)",IF(AND($H246=1,$F246&lt;&gt;"نعم"),"حساب نقدية يجب أن يكون قابلًا للترحيل",IF(AND($F246="نعم",$D246=""),"النوع ناقص","")))))))</f>
        <v/>
      </c>
    </row>
    <row r="247">
      <c r="A247" s="39" t="n"/>
      <c r="B247" s="29" t="n"/>
      <c r="C247" s="29" t="n"/>
      <c r="D247" s="39" t="n"/>
      <c r="E247" s="39" t="n"/>
      <c r="F247" s="39" t="n"/>
      <c r="G247" s="39" t="n"/>
      <c r="H247" s="39" t="n"/>
      <c r="I247" s="29" t="n"/>
      <c r="J247" s="39" t="n"/>
      <c r="K247" s="39" t="n"/>
      <c r="L247" s="39" t="n"/>
      <c r="M247" s="29" t="n"/>
      <c r="N247" s="29" t="n"/>
      <c r="O247" s="29" t="n"/>
      <c r="P247" s="32">
        <f>IF($A247="","",IF($F247="نعم",$A247,$M247))</f>
        <v/>
      </c>
      <c r="Q247" s="32">
        <f>IF($A247="","",IF($F247="نعم",$A247,$N247))</f>
        <v/>
      </c>
      <c r="R247" s="32">
        <f>IF($A247="","",IF(AND($F247="نعم",$L247&lt;&gt;"لا"),1,0))</f>
        <v/>
      </c>
      <c r="S247" s="32">
        <f>IF($D247="","",IFERROR(INDEX(Lists!$AK$5:$AK$10,MATCH($D247,Lists!$AJ$5:$AJ$10,0)),"نوع غير معرف"))</f>
        <v/>
      </c>
      <c r="T247" s="32">
        <f>IF($A247="","",IF(COUNTIF($A:$A,$A247)&gt;1,"كود حساب مكرر",IF($B247="","اسم الحساب ناقص",IF(AND($F247="نعم",$G247=""),"الطبيعة ناقصة",IF(AND($F247&lt;&gt;"نعم",OR($M247="",$N247="")),"الحساب الرئيسي يحتاج نطاقًا (من/إلى)",IF(AND($H247=1,$F247&lt;&gt;"نعم"),"حساب نقدية يجب أن يكون قابلًا للترحيل",IF(AND($F247="نعم",$D247=""),"النوع ناقص","")))))))</f>
        <v/>
      </c>
    </row>
    <row r="248">
      <c r="A248" s="39" t="n"/>
      <c r="B248" s="29" t="n"/>
      <c r="C248" s="29" t="n"/>
      <c r="D248" s="39" t="n"/>
      <c r="E248" s="39" t="n"/>
      <c r="F248" s="39" t="n"/>
      <c r="G248" s="39" t="n"/>
      <c r="H248" s="39" t="n"/>
      <c r="I248" s="29" t="n"/>
      <c r="J248" s="39" t="n"/>
      <c r="K248" s="39" t="n"/>
      <c r="L248" s="39" t="n"/>
      <c r="M248" s="29" t="n"/>
      <c r="N248" s="29" t="n"/>
      <c r="O248" s="29" t="n"/>
      <c r="P248" s="32">
        <f>IF($A248="","",IF($F248="نعم",$A248,$M248))</f>
        <v/>
      </c>
      <c r="Q248" s="32">
        <f>IF($A248="","",IF($F248="نعم",$A248,$N248))</f>
        <v/>
      </c>
      <c r="R248" s="32">
        <f>IF($A248="","",IF(AND($F248="نعم",$L248&lt;&gt;"لا"),1,0))</f>
        <v/>
      </c>
      <c r="S248" s="32">
        <f>IF($D248="","",IFERROR(INDEX(Lists!$AK$5:$AK$10,MATCH($D248,Lists!$AJ$5:$AJ$10,0)),"نوع غير معرف"))</f>
        <v/>
      </c>
      <c r="T248" s="32">
        <f>IF($A248="","",IF(COUNTIF($A:$A,$A248)&gt;1,"كود حساب مكرر",IF($B248="","اسم الحساب ناقص",IF(AND($F248="نعم",$G248=""),"الطبيعة ناقصة",IF(AND($F248&lt;&gt;"نعم",OR($M248="",$N248="")),"الحساب الرئيسي يحتاج نطاقًا (من/إلى)",IF(AND($H248=1,$F248&lt;&gt;"نعم"),"حساب نقدية يجب أن يكون قابلًا للترحيل",IF(AND($F248="نعم",$D248=""),"النوع ناقص","")))))))</f>
        <v/>
      </c>
    </row>
    <row r="249">
      <c r="A249" s="39" t="n"/>
      <c r="B249" s="29" t="n"/>
      <c r="C249" s="29" t="n"/>
      <c r="D249" s="39" t="n"/>
      <c r="E249" s="39" t="n"/>
      <c r="F249" s="39" t="n"/>
      <c r="G249" s="39" t="n"/>
      <c r="H249" s="39" t="n"/>
      <c r="I249" s="29" t="n"/>
      <c r="J249" s="39" t="n"/>
      <c r="K249" s="39" t="n"/>
      <c r="L249" s="39" t="n"/>
      <c r="M249" s="29" t="n"/>
      <c r="N249" s="29" t="n"/>
      <c r="O249" s="29" t="n"/>
      <c r="P249" s="32">
        <f>IF($A249="","",IF($F249="نعم",$A249,$M249))</f>
        <v/>
      </c>
      <c r="Q249" s="32">
        <f>IF($A249="","",IF($F249="نعم",$A249,$N249))</f>
        <v/>
      </c>
      <c r="R249" s="32">
        <f>IF($A249="","",IF(AND($F249="نعم",$L249&lt;&gt;"لا"),1,0))</f>
        <v/>
      </c>
      <c r="S249" s="32">
        <f>IF($D249="","",IFERROR(INDEX(Lists!$AK$5:$AK$10,MATCH($D249,Lists!$AJ$5:$AJ$10,0)),"نوع غير معرف"))</f>
        <v/>
      </c>
      <c r="T249" s="32">
        <f>IF($A249="","",IF(COUNTIF($A:$A,$A249)&gt;1,"كود حساب مكرر",IF($B249="","اسم الحساب ناقص",IF(AND($F249="نعم",$G249=""),"الطبيعة ناقصة",IF(AND($F249&lt;&gt;"نعم",OR($M249="",$N249="")),"الحساب الرئيسي يحتاج نطاقًا (من/إلى)",IF(AND($H249=1,$F249&lt;&gt;"نعم"),"حساب نقدية يجب أن يكون قابلًا للترحيل",IF(AND($F249="نعم",$D249=""),"النوع ناقص","")))))))</f>
        <v/>
      </c>
    </row>
    <row r="250">
      <c r="A250" s="39" t="n"/>
      <c r="B250" s="29" t="n"/>
      <c r="C250" s="29" t="n"/>
      <c r="D250" s="39" t="n"/>
      <c r="E250" s="39" t="n"/>
      <c r="F250" s="39" t="n"/>
      <c r="G250" s="39" t="n"/>
      <c r="H250" s="39" t="n"/>
      <c r="I250" s="29" t="n"/>
      <c r="J250" s="39" t="n"/>
      <c r="K250" s="39" t="n"/>
      <c r="L250" s="39" t="n"/>
      <c r="M250" s="29" t="n"/>
      <c r="N250" s="29" t="n"/>
      <c r="O250" s="29" t="n"/>
      <c r="P250" s="32">
        <f>IF($A250="","",IF($F250="نعم",$A250,$M250))</f>
        <v/>
      </c>
      <c r="Q250" s="32">
        <f>IF($A250="","",IF($F250="نعم",$A250,$N250))</f>
        <v/>
      </c>
      <c r="R250" s="32">
        <f>IF($A250="","",IF(AND($F250="نعم",$L250&lt;&gt;"لا"),1,0))</f>
        <v/>
      </c>
      <c r="S250" s="32">
        <f>IF($D250="","",IFERROR(INDEX(Lists!$AK$5:$AK$10,MATCH($D250,Lists!$AJ$5:$AJ$10,0)),"نوع غير معرف"))</f>
        <v/>
      </c>
      <c r="T250" s="32">
        <f>IF($A250="","",IF(COUNTIF($A:$A,$A250)&gt;1,"كود حساب مكرر",IF($B250="","اسم الحساب ناقص",IF(AND($F250="نعم",$G250=""),"الطبيعة ناقصة",IF(AND($F250&lt;&gt;"نعم",OR($M250="",$N250="")),"الحساب الرئيسي يحتاج نطاقًا (من/إلى)",IF(AND($H250=1,$F250&lt;&gt;"نعم"),"حساب نقدية يجب أن يكون قابلًا للترحيل",IF(AND($F250="نعم",$D250=""),"النوع ناقص","")))))))</f>
        <v/>
      </c>
    </row>
    <row r="251">
      <c r="A251" s="39" t="n"/>
      <c r="B251" s="29" t="n"/>
      <c r="C251" s="29" t="n"/>
      <c r="D251" s="39" t="n"/>
      <c r="E251" s="39" t="n"/>
      <c r="F251" s="39" t="n"/>
      <c r="G251" s="39" t="n"/>
      <c r="H251" s="39" t="n"/>
      <c r="I251" s="29" t="n"/>
      <c r="J251" s="39" t="n"/>
      <c r="K251" s="39" t="n"/>
      <c r="L251" s="39" t="n"/>
      <c r="M251" s="29" t="n"/>
      <c r="N251" s="29" t="n"/>
      <c r="O251" s="29" t="n"/>
      <c r="P251" s="32">
        <f>IF($A251="","",IF($F251="نعم",$A251,$M251))</f>
        <v/>
      </c>
      <c r="Q251" s="32">
        <f>IF($A251="","",IF($F251="نعم",$A251,$N251))</f>
        <v/>
      </c>
      <c r="R251" s="32">
        <f>IF($A251="","",IF(AND($F251="نعم",$L251&lt;&gt;"لا"),1,0))</f>
        <v/>
      </c>
      <c r="S251" s="32">
        <f>IF($D251="","",IFERROR(INDEX(Lists!$AK$5:$AK$10,MATCH($D251,Lists!$AJ$5:$AJ$10,0)),"نوع غير معرف"))</f>
        <v/>
      </c>
      <c r="T251" s="32">
        <f>IF($A251="","",IF(COUNTIF($A:$A,$A251)&gt;1,"كود حساب مكرر",IF($B251="","اسم الحساب ناقص",IF(AND($F251="نعم",$G251=""),"الطبيعة ناقصة",IF(AND($F251&lt;&gt;"نعم",OR($M251="",$N251="")),"الحساب الرئيسي يحتاج نطاقًا (من/إلى)",IF(AND($H251=1,$F251&lt;&gt;"نعم"),"حساب نقدية يجب أن يكون قابلًا للترحيل",IF(AND($F251="نعم",$D251=""),"النوع ناقص","")))))))</f>
        <v/>
      </c>
    </row>
    <row r="252">
      <c r="A252" s="39" t="n"/>
      <c r="B252" s="29" t="n"/>
      <c r="C252" s="29" t="n"/>
      <c r="D252" s="39" t="n"/>
      <c r="E252" s="39" t="n"/>
      <c r="F252" s="39" t="n"/>
      <c r="G252" s="39" t="n"/>
      <c r="H252" s="39" t="n"/>
      <c r="I252" s="29" t="n"/>
      <c r="J252" s="39" t="n"/>
      <c r="K252" s="39" t="n"/>
      <c r="L252" s="39" t="n"/>
      <c r="M252" s="29" t="n"/>
      <c r="N252" s="29" t="n"/>
      <c r="O252" s="29" t="n"/>
      <c r="P252" s="32">
        <f>IF($A252="","",IF($F252="نعم",$A252,$M252))</f>
        <v/>
      </c>
      <c r="Q252" s="32">
        <f>IF($A252="","",IF($F252="نعم",$A252,$N252))</f>
        <v/>
      </c>
      <c r="R252" s="32">
        <f>IF($A252="","",IF(AND($F252="نعم",$L252&lt;&gt;"لا"),1,0))</f>
        <v/>
      </c>
      <c r="S252" s="32">
        <f>IF($D252="","",IFERROR(INDEX(Lists!$AK$5:$AK$10,MATCH($D252,Lists!$AJ$5:$AJ$10,0)),"نوع غير معرف"))</f>
        <v/>
      </c>
      <c r="T252" s="32">
        <f>IF($A252="","",IF(COUNTIF($A:$A,$A252)&gt;1,"كود حساب مكرر",IF($B252="","اسم الحساب ناقص",IF(AND($F252="نعم",$G252=""),"الطبيعة ناقصة",IF(AND($F252&lt;&gt;"نعم",OR($M252="",$N252="")),"الحساب الرئيسي يحتاج نطاقًا (من/إلى)",IF(AND($H252=1,$F252&lt;&gt;"نعم"),"حساب نقدية يجب أن يكون قابلًا للترحيل",IF(AND($F252="نعم",$D252=""),"النوع ناقص","")))))))</f>
        <v/>
      </c>
    </row>
    <row r="253">
      <c r="A253" s="39" t="n"/>
      <c r="B253" s="29" t="n"/>
      <c r="C253" s="29" t="n"/>
      <c r="D253" s="39" t="n"/>
      <c r="E253" s="39" t="n"/>
      <c r="F253" s="39" t="n"/>
      <c r="G253" s="39" t="n"/>
      <c r="H253" s="39" t="n"/>
      <c r="I253" s="29" t="n"/>
      <c r="J253" s="39" t="n"/>
      <c r="K253" s="39" t="n"/>
      <c r="L253" s="39" t="n"/>
      <c r="M253" s="29" t="n"/>
      <c r="N253" s="29" t="n"/>
      <c r="O253" s="29" t="n"/>
      <c r="P253" s="32">
        <f>IF($A253="","",IF($F253="نعم",$A253,$M253))</f>
        <v/>
      </c>
      <c r="Q253" s="32">
        <f>IF($A253="","",IF($F253="نعم",$A253,$N253))</f>
        <v/>
      </c>
      <c r="R253" s="32">
        <f>IF($A253="","",IF(AND($F253="نعم",$L253&lt;&gt;"لا"),1,0))</f>
        <v/>
      </c>
      <c r="S253" s="32">
        <f>IF($D253="","",IFERROR(INDEX(Lists!$AK$5:$AK$10,MATCH($D253,Lists!$AJ$5:$AJ$10,0)),"نوع غير معرف"))</f>
        <v/>
      </c>
      <c r="T253" s="32">
        <f>IF($A253="","",IF(COUNTIF($A:$A,$A253)&gt;1,"كود حساب مكرر",IF($B253="","اسم الحساب ناقص",IF(AND($F253="نعم",$G253=""),"الطبيعة ناقصة",IF(AND($F253&lt;&gt;"نعم",OR($M253="",$N253="")),"الحساب الرئيسي يحتاج نطاقًا (من/إلى)",IF(AND($H253=1,$F253&lt;&gt;"نعم"),"حساب نقدية يجب أن يكون قابلًا للترحيل",IF(AND($F253="نعم",$D253=""),"النوع ناقص","")))))))</f>
        <v/>
      </c>
    </row>
    <row r="254">
      <c r="A254" s="39" t="n"/>
      <c r="B254" s="29" t="n"/>
      <c r="C254" s="29" t="n"/>
      <c r="D254" s="39" t="n"/>
      <c r="E254" s="39" t="n"/>
      <c r="F254" s="39" t="n"/>
      <c r="G254" s="39" t="n"/>
      <c r="H254" s="39" t="n"/>
      <c r="I254" s="29" t="n"/>
      <c r="J254" s="39" t="n"/>
      <c r="K254" s="39" t="n"/>
      <c r="L254" s="39" t="n"/>
      <c r="M254" s="29" t="n"/>
      <c r="N254" s="29" t="n"/>
      <c r="O254" s="29" t="n"/>
      <c r="P254" s="32">
        <f>IF($A254="","",IF($F254="نعم",$A254,$M254))</f>
        <v/>
      </c>
      <c r="Q254" s="32">
        <f>IF($A254="","",IF($F254="نعم",$A254,$N254))</f>
        <v/>
      </c>
      <c r="R254" s="32">
        <f>IF($A254="","",IF(AND($F254="نعم",$L254&lt;&gt;"لا"),1,0))</f>
        <v/>
      </c>
      <c r="S254" s="32">
        <f>IF($D254="","",IFERROR(INDEX(Lists!$AK$5:$AK$10,MATCH($D254,Lists!$AJ$5:$AJ$10,0)),"نوع غير معرف"))</f>
        <v/>
      </c>
      <c r="T254" s="32">
        <f>IF($A254="","",IF(COUNTIF($A:$A,$A254)&gt;1,"كود حساب مكرر",IF($B254="","اسم الحساب ناقص",IF(AND($F254="نعم",$G254=""),"الطبيعة ناقصة",IF(AND($F254&lt;&gt;"نعم",OR($M254="",$N254="")),"الحساب الرئيسي يحتاج نطاقًا (من/إلى)",IF(AND($H254=1,$F254&lt;&gt;"نعم"),"حساب نقدية يجب أن يكون قابلًا للترحيل",IF(AND($F254="نعم",$D254=""),"النوع ناقص","")))))))</f>
        <v/>
      </c>
    </row>
  </sheetData>
  <sheetProtection selectLockedCells="0" selectUnlockedCells="0" sheet="1" objects="0" insertRows="1" insertHyperlinks="1" autoFilter="0" scenarios="0" formatColumns="0" deleteColumns="1" insertColumns="1" pivotTables="1" deleteRows="1" formatCells="0" formatRows="0" sort="1"/>
  <autoFilter ref="A4:T254"/>
  <conditionalFormatting sqref="T5:T254">
    <cfRule type="expression" priority="1" dxfId="3">
      <formula>LEN(T5)&gt;0</formula>
    </cfRule>
  </conditionalFormatting>
  <dataValidations count="12">
    <dataValidation sqref="A5:A254" showDropDown="0" showInputMessage="0" showErrorMessage="1" allowBlank="1" error="أدخل عددًا صحيحًا موجبًا." type="whole" operator="greaterThanOrEqual">
      <formula1>0</formula1>
    </dataValidation>
    <dataValidation sqref="D5:D254" showDropDown="0" showInputMessage="0" showErrorMessage="1" allowBlank="1" errorTitle="قيمة غير مسموحة" error="اختر قيمة من القائمة المنسدلة." type="list">
      <formula1>=Lists!$AJ$5:$AJ$10</formula1>
    </dataValidation>
    <dataValidation sqref="E5:E254" showDropDown="0" showInputMessage="0" showErrorMessage="1" allowBlank="1" errorTitle="قيمة غير مسموحة" error="اختر قيمة من القائمة المنسدلة." type="list">
      <formula1>"1,2,3"</formula1>
    </dataValidation>
    <dataValidation sqref="F5:F254" showDropDown="0" showInputMessage="0" showErrorMessage="1" allowBlank="1" errorTitle="قيمة غير مسموحة" error="اختر قيمة من القائمة المنسدلة." type="list">
      <formula1>=Lists!$R$5:$R$6</formula1>
    </dataValidation>
    <dataValidation sqref="G5:G254" showDropDown="0" showInputMessage="0" showErrorMessage="1" allowBlank="1" errorTitle="قيمة غير مسموحة" error="اختر قيمة من القائمة المنسدلة." type="list">
      <formula1>"مدين,دائن"</formula1>
    </dataValidation>
    <dataValidation sqref="H5:H254" showDropDown="0" showInputMessage="0" showErrorMessage="1" allowBlank="1" errorTitle="قيمة غير مسموحة" error="اختر قيمة من القائمة المنسدلة." type="list">
      <formula1>"0,1"</formula1>
    </dataValidation>
    <dataValidation sqref="I5:I254" showDropDown="0" showInputMessage="0" showErrorMessage="1" allowBlank="1" errorTitle="قيمة غير مسموحة" error="اختر قيمة من القائمة المنسدلة." type="list">
      <formula1>=Lists!$AC$5:$AC$9</formula1>
    </dataValidation>
    <dataValidation sqref="J5:J254" showDropDown="0" showInputMessage="0" showErrorMessage="1" allowBlank="1" errorTitle="قيمة غير مسموحة" error="اختر قيمة من القائمة المنسدلة." type="list">
      <formula1>=Lists!$R$5:$R$6</formula1>
    </dataValidation>
    <dataValidation sqref="K5:K254" showDropDown="0" showInputMessage="0" showErrorMessage="1" allowBlank="1" errorTitle="قيمة غير مسموحة" error="اختر قيمة من القائمة المنسدلة." type="list">
      <formula1>=Lists!$R$5:$R$6</formula1>
    </dataValidation>
    <dataValidation sqref="L5:L254" showDropDown="0" showInputMessage="0" showErrorMessage="1" allowBlank="1" errorTitle="قيمة غير مسموحة" error="اختر قيمة من القائمة المنسدلة." type="list">
      <formula1>=Lists!$R$5:$R$6</formula1>
    </dataValidation>
    <dataValidation sqref="M5:M254" showDropDown="0" showInputMessage="0" showErrorMessage="1" allowBlank="1" error="أدخل عددًا صحيحًا موجبًا." type="whole" operator="greaterThanOrEqual">
      <formula1>0</formula1>
    </dataValidation>
    <dataValidation sqref="N5:N254" showDropDown="0" showInputMessage="0" showErrorMessage="1" allowBlank="1" error="أدخل عددًا صحيحًا موجبًا." type="whole" operator="greaterThanOrEqual">
      <formula1>0</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2E75B6"/>
    <outlinePr summaryBelow="1" summaryRight="1"/>
    <pageSetUpPr fitToPage="1"/>
  </sheetPr>
  <dimension ref="A1:K3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14" customWidth="1" min="3" max="3"/>
    <col width="22" customWidth="1" min="4" max="4"/>
    <col width="18" customWidth="1" min="5" max="5"/>
    <col width="7" customWidth="1" min="6" max="6"/>
    <col width="14" customWidth="1" min="7" max="7"/>
    <col width="12" customWidth="1" min="8" max="8"/>
    <col width="30" customWidth="1" min="9" max="9"/>
    <col width="9" customWidth="1" min="10" max="10"/>
    <col width="36" customWidth="1" min="11" max="11"/>
  </cols>
  <sheetData>
    <row r="1" ht="26" customHeight="1">
      <c r="A1" s="22" t="inlineStr">
        <is>
          <t>الفروع والمواقع (Branches &amp; Locations)</t>
        </is>
      </c>
      <c r="B1" s="1" t="n"/>
      <c r="C1" s="1" t="n"/>
      <c r="D1" s="1" t="n"/>
      <c r="E1" s="1" t="n"/>
      <c r="F1" s="1" t="n"/>
      <c r="G1" s="1" t="n"/>
      <c r="H1" s="1" t="n"/>
      <c r="I1" s="1" t="n"/>
      <c r="J1" s="1" t="n"/>
      <c r="K1" s="1" t="n"/>
    </row>
    <row r="2">
      <c r="A2" s="35" t="inlineStr">
        <is>
          <t>كل فرع/مخزن/مطبخ له كود ثابت. لإضافة فرع جديد: أضف صفًا هنا، ثم خزينة له في Treasuries وحسابًا في COA - وتظهر بياناته آليًا في التقارير.</t>
        </is>
      </c>
    </row>
    <row r="3">
      <c r="A3" s="36" t="inlineStr">
        <is>
          <t>خلايا الإدخال</t>
        </is>
      </c>
      <c r="B3" s="37" t="inlineStr">
        <is>
          <t>معادلات (لا تعدّل)</t>
        </is>
      </c>
    </row>
    <row r="4" ht="34" customHeight="1">
      <c r="A4" s="24" t="inlineStr">
        <is>
          <t>كود الموقع
Code</t>
        </is>
      </c>
      <c r="B4" s="24" t="inlineStr">
        <is>
          <t>اسم الموقع</t>
        </is>
      </c>
      <c r="C4" s="24" t="inlineStr">
        <is>
          <t>النوع</t>
        </is>
      </c>
      <c r="D4" s="24" t="inlineStr">
        <is>
          <t>Name (EN)</t>
        </is>
      </c>
      <c r="E4" s="24" t="inlineStr">
        <is>
          <t>المسؤول</t>
        </is>
      </c>
      <c r="F4" s="24" t="inlineStr">
        <is>
          <t>نشط</t>
        </is>
      </c>
      <c r="G4" s="24" t="inlineStr">
        <is>
          <t>خزينة النقدية الافتراضية</t>
        </is>
      </c>
      <c r="H4" s="24" t="inlineStr">
        <is>
          <t>تاريخ الافتتاح</t>
        </is>
      </c>
      <c r="I4" s="24" t="inlineStr">
        <is>
          <t>ملاحظات</t>
        </is>
      </c>
      <c r="J4" s="38" t="inlineStr">
        <is>
          <t>ترتيب فرع البيع</t>
        </is>
      </c>
      <c r="K4" s="38" t="inlineStr">
        <is>
          <t>فحص</t>
        </is>
      </c>
    </row>
    <row r="5">
      <c r="A5" s="39" t="inlineStr">
        <is>
          <t>BR01</t>
        </is>
      </c>
      <c r="B5" s="29" t="inlineStr">
        <is>
          <t>فرع ستاموني 1 (تجريبي)</t>
        </is>
      </c>
      <c r="C5" s="29" t="inlineStr">
        <is>
          <t>فرع</t>
        </is>
      </c>
      <c r="D5" s="29" t="inlineStr">
        <is>
          <t>Branch 1</t>
        </is>
      </c>
      <c r="E5" s="29" t="inlineStr">
        <is>
          <t>مدير الفرع 1</t>
        </is>
      </c>
      <c r="F5" s="39" t="inlineStr">
        <is>
          <t>نعم</t>
        </is>
      </c>
      <c r="G5" s="29" t="inlineStr">
        <is>
          <t>CSH-BR01</t>
        </is>
      </c>
      <c r="H5" s="31" t="n">
        <v>46023</v>
      </c>
      <c r="I5" s="29" t="n"/>
      <c r="J5" s="32">
        <f>IF(AND($C5="فرع",$F5&lt;&gt;"لا",$A5&lt;&gt;""),MAX($J$4:$J4)+1,"")</f>
        <v/>
      </c>
      <c r="K5" s="32">
        <f>IF($A5="","",IF(COUNTIF($A:$A,$A5)&gt;1,"كود موقع مكرر",IF($B5="","اسم الموقع ناقص",IF($C5="","نوع الموقع ناقص",IF(AND($G5&lt;&gt;"",COUNTIF(Treasuries!$A:$A,$G5)=0),"الخزينة الافتراضية غير معرفة",IF(AND($C5="فرع",$G5=""),"الفرع يحتاج خزينة افتراضية",""))))))</f>
        <v/>
      </c>
    </row>
    <row r="6">
      <c r="A6" s="39" t="inlineStr">
        <is>
          <t>BR02</t>
        </is>
      </c>
      <c r="B6" s="29" t="inlineStr">
        <is>
          <t>فرع ستاموني 2 (تجريبي)</t>
        </is>
      </c>
      <c r="C6" s="29" t="inlineStr">
        <is>
          <t>فرع</t>
        </is>
      </c>
      <c r="D6" s="29" t="inlineStr">
        <is>
          <t>Branch 2</t>
        </is>
      </c>
      <c r="E6" s="29" t="inlineStr">
        <is>
          <t>مدير الفرع 2</t>
        </is>
      </c>
      <c r="F6" s="39" t="inlineStr">
        <is>
          <t>نعم</t>
        </is>
      </c>
      <c r="G6" s="29" t="inlineStr">
        <is>
          <t>CSH-BR02</t>
        </is>
      </c>
      <c r="H6" s="31" t="n">
        <v>46023</v>
      </c>
      <c r="I6" s="29" t="n"/>
      <c r="J6" s="32">
        <f>IF(AND($C6="فرع",$F6&lt;&gt;"لا",$A6&lt;&gt;""),MAX($J$4:$J5)+1,"")</f>
        <v/>
      </c>
      <c r="K6" s="32">
        <f>IF($A6="","",IF(COUNTIF($A:$A,$A6)&gt;1,"كود موقع مكرر",IF($B6="","اسم الموقع ناقص",IF($C6="","نوع الموقع ناقص",IF(AND($G6&lt;&gt;"",COUNTIF(Treasuries!$A:$A,$G6)=0),"الخزينة الافتراضية غير معرفة",IF(AND($C6="فرع",$G6=""),"الفرع يحتاج خزينة افتراضية",""))))))</f>
        <v/>
      </c>
    </row>
    <row r="7">
      <c r="A7" s="39" t="inlineStr">
        <is>
          <t>BR03</t>
        </is>
      </c>
      <c r="B7" s="29" t="inlineStr">
        <is>
          <t>فرع ستاموني 3 (تجريبي)</t>
        </is>
      </c>
      <c r="C7" s="29" t="inlineStr">
        <is>
          <t>فرع</t>
        </is>
      </c>
      <c r="D7" s="29" t="inlineStr">
        <is>
          <t>Branch 3</t>
        </is>
      </c>
      <c r="E7" s="29" t="inlineStr">
        <is>
          <t>مدير الفرع 3</t>
        </is>
      </c>
      <c r="F7" s="39" t="inlineStr">
        <is>
          <t>نعم</t>
        </is>
      </c>
      <c r="G7" s="29" t="inlineStr">
        <is>
          <t>CSH-BR03</t>
        </is>
      </c>
      <c r="H7" s="31" t="n">
        <v>46023</v>
      </c>
      <c r="I7" s="29" t="n"/>
      <c r="J7" s="32">
        <f>IF(AND($C7="فرع",$F7&lt;&gt;"لا",$A7&lt;&gt;""),MAX($J$4:$J6)+1,"")</f>
        <v/>
      </c>
      <c r="K7" s="32">
        <f>IF($A7="","",IF(COUNTIF($A:$A,$A7)&gt;1,"كود موقع مكرر",IF($B7="","اسم الموقع ناقص",IF($C7="","نوع الموقع ناقص",IF(AND($G7&lt;&gt;"",COUNTIF(Treasuries!$A:$A,$G7)=0),"الخزينة الافتراضية غير معرفة",IF(AND($C7="فرع",$G7=""),"الفرع يحتاج خزينة افتراضية",""))))))</f>
        <v/>
      </c>
    </row>
    <row r="8">
      <c r="A8" s="39" t="inlineStr">
        <is>
          <t>WH01</t>
        </is>
      </c>
      <c r="B8" s="29" t="inlineStr">
        <is>
          <t>المخزن الرئيسي</t>
        </is>
      </c>
      <c r="C8" s="29" t="inlineStr">
        <is>
          <t>مخزن رئيسي</t>
        </is>
      </c>
      <c r="D8" s="29" t="inlineStr">
        <is>
          <t>Main Warehouse</t>
        </is>
      </c>
      <c r="E8" s="29" t="inlineStr">
        <is>
          <t>أمين المخزن</t>
        </is>
      </c>
      <c r="F8" s="39" t="inlineStr">
        <is>
          <t>نعم</t>
        </is>
      </c>
      <c r="G8" s="29" t="n"/>
      <c r="H8" s="31" t="n">
        <v>46023</v>
      </c>
      <c r="I8" s="29" t="n"/>
      <c r="J8" s="32">
        <f>IF(AND($C8="فرع",$F8&lt;&gt;"لا",$A8&lt;&gt;""),MAX($J$4:$J7)+1,"")</f>
        <v/>
      </c>
      <c r="K8" s="32">
        <f>IF($A8="","",IF(COUNTIF($A:$A,$A8)&gt;1,"كود موقع مكرر",IF($B8="","اسم الموقع ناقص",IF($C8="","نوع الموقع ناقص",IF(AND($G8&lt;&gt;"",COUNTIF(Treasuries!$A:$A,$G8)=0),"الخزينة الافتراضية غير معرفة",IF(AND($C8="فرع",$G8=""),"الفرع يحتاج خزينة افتراضية",""))))))</f>
        <v/>
      </c>
    </row>
    <row r="9">
      <c r="A9" s="39" t="inlineStr">
        <is>
          <t>CK01</t>
        </is>
      </c>
      <c r="B9" s="29" t="inlineStr">
        <is>
          <t>السنتر كيتشن (المطبخ المركزي)</t>
        </is>
      </c>
      <c r="C9" s="29" t="inlineStr">
        <is>
          <t>سنتر كيتشن</t>
        </is>
      </c>
      <c r="D9" s="29" t="inlineStr">
        <is>
          <t>Central Kitchen</t>
        </is>
      </c>
      <c r="E9" s="29" t="inlineStr">
        <is>
          <t>مدير الإنتاج</t>
        </is>
      </c>
      <c r="F9" s="39" t="inlineStr">
        <is>
          <t>نعم</t>
        </is>
      </c>
      <c r="G9" s="29" t="n"/>
      <c r="H9" s="31" t="n">
        <v>46023</v>
      </c>
      <c r="I9" s="29" t="n"/>
      <c r="J9" s="32">
        <f>IF(AND($C9="فرع",$F9&lt;&gt;"لا",$A9&lt;&gt;""),MAX($J$4:$J8)+1,"")</f>
        <v/>
      </c>
      <c r="K9" s="32">
        <f>IF($A9="","",IF(COUNTIF($A:$A,$A9)&gt;1,"كود موقع مكرر",IF($B9="","اسم الموقع ناقص",IF($C9="","نوع الموقع ناقص",IF(AND($G9&lt;&gt;"",COUNTIF(Treasuries!$A:$A,$G9)=0),"الخزينة الافتراضية غير معرفة",IF(AND($C9="فرع",$G9=""),"الفرع يحتاج خزينة افتراضية",""))))))</f>
        <v/>
      </c>
    </row>
    <row r="10">
      <c r="A10" s="39" t="inlineStr">
        <is>
          <t>HQ01</t>
        </is>
      </c>
      <c r="B10" s="29" t="inlineStr">
        <is>
          <t>الإدارة الرئيسية</t>
        </is>
      </c>
      <c r="C10" s="29" t="inlineStr">
        <is>
          <t>إدارة</t>
        </is>
      </c>
      <c r="D10" s="29" t="inlineStr">
        <is>
          <t>Head Office</t>
        </is>
      </c>
      <c r="E10" s="29" t="inlineStr">
        <is>
          <t>المدير المالي</t>
        </is>
      </c>
      <c r="F10" s="39" t="inlineStr">
        <is>
          <t>نعم</t>
        </is>
      </c>
      <c r="G10" s="29" t="inlineStr">
        <is>
          <t>CSH-HQ01</t>
        </is>
      </c>
      <c r="H10" s="31" t="n">
        <v>46023</v>
      </c>
      <c r="I10" s="29" t="n"/>
      <c r="J10" s="32">
        <f>IF(AND($C10="فرع",$F10&lt;&gt;"لا",$A10&lt;&gt;""),MAX($J$4:$J9)+1,"")</f>
        <v/>
      </c>
      <c r="K10" s="32">
        <f>IF($A10="","",IF(COUNTIF($A:$A,$A10)&gt;1,"كود موقع مكرر",IF($B10="","اسم الموقع ناقص",IF($C10="","نوع الموقع ناقص",IF(AND($G10&lt;&gt;"",COUNTIF(Treasuries!$A:$A,$G10)=0),"الخزينة الافتراضية غير معرفة",IF(AND($C10="فرع",$G10=""),"الفرع يحتاج خزينة افتراضية",""))))))</f>
        <v/>
      </c>
    </row>
    <row r="11">
      <c r="A11" s="39" t="n"/>
      <c r="B11" s="29" t="n"/>
      <c r="C11" s="29" t="n"/>
      <c r="D11" s="29" t="n"/>
      <c r="E11" s="29" t="n"/>
      <c r="F11" s="39" t="n"/>
      <c r="G11" s="29" t="n"/>
      <c r="H11" s="31" t="n"/>
      <c r="I11" s="29" t="n"/>
      <c r="J11" s="32">
        <f>IF(AND($C11="فرع",$F11&lt;&gt;"لا",$A11&lt;&gt;""),MAX($J$4:$J10)+1,"")</f>
        <v/>
      </c>
      <c r="K11" s="32">
        <f>IF($A11="","",IF(COUNTIF($A:$A,$A11)&gt;1,"كود موقع مكرر",IF($B11="","اسم الموقع ناقص",IF($C11="","نوع الموقع ناقص",IF(AND($G11&lt;&gt;"",COUNTIF(Treasuries!$A:$A,$G11)=0),"الخزينة الافتراضية غير معرفة",IF(AND($C11="فرع",$G11=""),"الفرع يحتاج خزينة افتراضية",""))))))</f>
        <v/>
      </c>
    </row>
    <row r="12">
      <c r="A12" s="39" t="n"/>
      <c r="B12" s="29" t="n"/>
      <c r="C12" s="29" t="n"/>
      <c r="D12" s="29" t="n"/>
      <c r="E12" s="29" t="n"/>
      <c r="F12" s="39" t="n"/>
      <c r="G12" s="29" t="n"/>
      <c r="H12" s="31" t="n"/>
      <c r="I12" s="29" t="n"/>
      <c r="J12" s="32">
        <f>IF(AND($C12="فرع",$F12&lt;&gt;"لا",$A12&lt;&gt;""),MAX($J$4:$J11)+1,"")</f>
        <v/>
      </c>
      <c r="K12" s="32">
        <f>IF($A12="","",IF(COUNTIF($A:$A,$A12)&gt;1,"كود موقع مكرر",IF($B12="","اسم الموقع ناقص",IF($C12="","نوع الموقع ناقص",IF(AND($G12&lt;&gt;"",COUNTIF(Treasuries!$A:$A,$G12)=0),"الخزينة الافتراضية غير معرفة",IF(AND($C12="فرع",$G12=""),"الفرع يحتاج خزينة افتراضية",""))))))</f>
        <v/>
      </c>
    </row>
    <row r="13">
      <c r="A13" s="39" t="n"/>
      <c r="B13" s="29" t="n"/>
      <c r="C13" s="29" t="n"/>
      <c r="D13" s="29" t="n"/>
      <c r="E13" s="29" t="n"/>
      <c r="F13" s="39" t="n"/>
      <c r="G13" s="29" t="n"/>
      <c r="H13" s="31" t="n"/>
      <c r="I13" s="29" t="n"/>
      <c r="J13" s="32">
        <f>IF(AND($C13="فرع",$F13&lt;&gt;"لا",$A13&lt;&gt;""),MAX($J$4:$J12)+1,"")</f>
        <v/>
      </c>
      <c r="K13" s="32">
        <f>IF($A13="","",IF(COUNTIF($A:$A,$A13)&gt;1,"كود موقع مكرر",IF($B13="","اسم الموقع ناقص",IF($C13="","نوع الموقع ناقص",IF(AND($G13&lt;&gt;"",COUNTIF(Treasuries!$A:$A,$G13)=0),"الخزينة الافتراضية غير معرفة",IF(AND($C13="فرع",$G13=""),"الفرع يحتاج خزينة افتراضية",""))))))</f>
        <v/>
      </c>
    </row>
    <row r="14">
      <c r="A14" s="39" t="n"/>
      <c r="B14" s="29" t="n"/>
      <c r="C14" s="29" t="n"/>
      <c r="D14" s="29" t="n"/>
      <c r="E14" s="29" t="n"/>
      <c r="F14" s="39" t="n"/>
      <c r="G14" s="29" t="n"/>
      <c r="H14" s="31" t="n"/>
      <c r="I14" s="29" t="n"/>
      <c r="J14" s="32">
        <f>IF(AND($C14="فرع",$F14&lt;&gt;"لا",$A14&lt;&gt;""),MAX($J$4:$J13)+1,"")</f>
        <v/>
      </c>
      <c r="K14" s="32">
        <f>IF($A14="","",IF(COUNTIF($A:$A,$A14)&gt;1,"كود موقع مكرر",IF($B14="","اسم الموقع ناقص",IF($C14="","نوع الموقع ناقص",IF(AND($G14&lt;&gt;"",COUNTIF(Treasuries!$A:$A,$G14)=0),"الخزينة الافتراضية غير معرفة",IF(AND($C14="فرع",$G14=""),"الفرع يحتاج خزينة افتراضية",""))))))</f>
        <v/>
      </c>
    </row>
    <row r="15">
      <c r="A15" s="39" t="n"/>
      <c r="B15" s="29" t="n"/>
      <c r="C15" s="29" t="n"/>
      <c r="D15" s="29" t="n"/>
      <c r="E15" s="29" t="n"/>
      <c r="F15" s="39" t="n"/>
      <c r="G15" s="29" t="n"/>
      <c r="H15" s="31" t="n"/>
      <c r="I15" s="29" t="n"/>
      <c r="J15" s="32">
        <f>IF(AND($C15="فرع",$F15&lt;&gt;"لا",$A15&lt;&gt;""),MAX($J$4:$J14)+1,"")</f>
        <v/>
      </c>
      <c r="K15" s="32">
        <f>IF($A15="","",IF(COUNTIF($A:$A,$A15)&gt;1,"كود موقع مكرر",IF($B15="","اسم الموقع ناقص",IF($C15="","نوع الموقع ناقص",IF(AND($G15&lt;&gt;"",COUNTIF(Treasuries!$A:$A,$G15)=0),"الخزينة الافتراضية غير معرفة",IF(AND($C15="فرع",$G15=""),"الفرع يحتاج خزينة افتراضية",""))))))</f>
        <v/>
      </c>
    </row>
    <row r="16">
      <c r="A16" s="39" t="n"/>
      <c r="B16" s="29" t="n"/>
      <c r="C16" s="29" t="n"/>
      <c r="D16" s="29" t="n"/>
      <c r="E16" s="29" t="n"/>
      <c r="F16" s="39" t="n"/>
      <c r="G16" s="29" t="n"/>
      <c r="H16" s="31" t="n"/>
      <c r="I16" s="29" t="n"/>
      <c r="J16" s="32">
        <f>IF(AND($C16="فرع",$F16&lt;&gt;"لا",$A16&lt;&gt;""),MAX($J$4:$J15)+1,"")</f>
        <v/>
      </c>
      <c r="K16" s="32">
        <f>IF($A16="","",IF(COUNTIF($A:$A,$A16)&gt;1,"كود موقع مكرر",IF($B16="","اسم الموقع ناقص",IF($C16="","نوع الموقع ناقص",IF(AND($G16&lt;&gt;"",COUNTIF(Treasuries!$A:$A,$G16)=0),"الخزينة الافتراضية غير معرفة",IF(AND($C16="فرع",$G16=""),"الفرع يحتاج خزينة افتراضية",""))))))</f>
        <v/>
      </c>
    </row>
    <row r="17">
      <c r="A17" s="39" t="n"/>
      <c r="B17" s="29" t="n"/>
      <c r="C17" s="29" t="n"/>
      <c r="D17" s="29" t="n"/>
      <c r="E17" s="29" t="n"/>
      <c r="F17" s="39" t="n"/>
      <c r="G17" s="29" t="n"/>
      <c r="H17" s="31" t="n"/>
      <c r="I17" s="29" t="n"/>
      <c r="J17" s="32">
        <f>IF(AND($C17="فرع",$F17&lt;&gt;"لا",$A17&lt;&gt;""),MAX($J$4:$J16)+1,"")</f>
        <v/>
      </c>
      <c r="K17" s="32">
        <f>IF($A17="","",IF(COUNTIF($A:$A,$A17)&gt;1,"كود موقع مكرر",IF($B17="","اسم الموقع ناقص",IF($C17="","نوع الموقع ناقص",IF(AND($G17&lt;&gt;"",COUNTIF(Treasuries!$A:$A,$G17)=0),"الخزينة الافتراضية غير معرفة",IF(AND($C17="فرع",$G17=""),"الفرع يحتاج خزينة افتراضية",""))))))</f>
        <v/>
      </c>
    </row>
    <row r="18">
      <c r="A18" s="39" t="n"/>
      <c r="B18" s="29" t="n"/>
      <c r="C18" s="29" t="n"/>
      <c r="D18" s="29" t="n"/>
      <c r="E18" s="29" t="n"/>
      <c r="F18" s="39" t="n"/>
      <c r="G18" s="29" t="n"/>
      <c r="H18" s="31" t="n"/>
      <c r="I18" s="29" t="n"/>
      <c r="J18" s="32">
        <f>IF(AND($C18="فرع",$F18&lt;&gt;"لا",$A18&lt;&gt;""),MAX($J$4:$J17)+1,"")</f>
        <v/>
      </c>
      <c r="K18" s="32">
        <f>IF($A18="","",IF(COUNTIF($A:$A,$A18)&gt;1,"كود موقع مكرر",IF($B18="","اسم الموقع ناقص",IF($C18="","نوع الموقع ناقص",IF(AND($G18&lt;&gt;"",COUNTIF(Treasuries!$A:$A,$G18)=0),"الخزينة الافتراضية غير معرفة",IF(AND($C18="فرع",$G18=""),"الفرع يحتاج خزينة افتراضية",""))))))</f>
        <v/>
      </c>
    </row>
    <row r="19">
      <c r="A19" s="39" t="n"/>
      <c r="B19" s="29" t="n"/>
      <c r="C19" s="29" t="n"/>
      <c r="D19" s="29" t="n"/>
      <c r="E19" s="29" t="n"/>
      <c r="F19" s="39" t="n"/>
      <c r="G19" s="29" t="n"/>
      <c r="H19" s="31" t="n"/>
      <c r="I19" s="29" t="n"/>
      <c r="J19" s="32">
        <f>IF(AND($C19="فرع",$F19&lt;&gt;"لا",$A19&lt;&gt;""),MAX($J$4:$J18)+1,"")</f>
        <v/>
      </c>
      <c r="K19" s="32">
        <f>IF($A19="","",IF(COUNTIF($A:$A,$A19)&gt;1,"كود موقع مكرر",IF($B19="","اسم الموقع ناقص",IF($C19="","نوع الموقع ناقص",IF(AND($G19&lt;&gt;"",COUNTIF(Treasuries!$A:$A,$G19)=0),"الخزينة الافتراضية غير معرفة",IF(AND($C19="فرع",$G19=""),"الفرع يحتاج خزينة افتراضية",""))))))</f>
        <v/>
      </c>
    </row>
    <row r="20">
      <c r="A20" s="39" t="n"/>
      <c r="B20" s="29" t="n"/>
      <c r="C20" s="29" t="n"/>
      <c r="D20" s="29" t="n"/>
      <c r="E20" s="29" t="n"/>
      <c r="F20" s="39" t="n"/>
      <c r="G20" s="29" t="n"/>
      <c r="H20" s="31" t="n"/>
      <c r="I20" s="29" t="n"/>
      <c r="J20" s="32">
        <f>IF(AND($C20="فرع",$F20&lt;&gt;"لا",$A20&lt;&gt;""),MAX($J$4:$J19)+1,"")</f>
        <v/>
      </c>
      <c r="K20" s="32">
        <f>IF($A20="","",IF(COUNTIF($A:$A,$A20)&gt;1,"كود موقع مكرر",IF($B20="","اسم الموقع ناقص",IF($C20="","نوع الموقع ناقص",IF(AND($G20&lt;&gt;"",COUNTIF(Treasuries!$A:$A,$G20)=0),"الخزينة الافتراضية غير معرفة",IF(AND($C20="فرع",$G20=""),"الفرع يحتاج خزينة افتراضية",""))))))</f>
        <v/>
      </c>
    </row>
    <row r="21">
      <c r="A21" s="39" t="n"/>
      <c r="B21" s="29" t="n"/>
      <c r="C21" s="29" t="n"/>
      <c r="D21" s="29" t="n"/>
      <c r="E21" s="29" t="n"/>
      <c r="F21" s="39" t="n"/>
      <c r="G21" s="29" t="n"/>
      <c r="H21" s="31" t="n"/>
      <c r="I21" s="29" t="n"/>
      <c r="J21" s="32">
        <f>IF(AND($C21="فرع",$F21&lt;&gt;"لا",$A21&lt;&gt;""),MAX($J$4:$J20)+1,"")</f>
        <v/>
      </c>
      <c r="K21" s="32">
        <f>IF($A21="","",IF(COUNTIF($A:$A,$A21)&gt;1,"كود موقع مكرر",IF($B21="","اسم الموقع ناقص",IF($C21="","نوع الموقع ناقص",IF(AND($G21&lt;&gt;"",COUNTIF(Treasuries!$A:$A,$G21)=0),"الخزينة الافتراضية غير معرفة",IF(AND($C21="فرع",$G21=""),"الفرع يحتاج خزينة افتراضية",""))))))</f>
        <v/>
      </c>
    </row>
    <row r="22">
      <c r="A22" s="39" t="n"/>
      <c r="B22" s="29" t="n"/>
      <c r="C22" s="29" t="n"/>
      <c r="D22" s="29" t="n"/>
      <c r="E22" s="29" t="n"/>
      <c r="F22" s="39" t="n"/>
      <c r="G22" s="29" t="n"/>
      <c r="H22" s="31" t="n"/>
      <c r="I22" s="29" t="n"/>
      <c r="J22" s="32">
        <f>IF(AND($C22="فرع",$F22&lt;&gt;"لا",$A22&lt;&gt;""),MAX($J$4:$J21)+1,"")</f>
        <v/>
      </c>
      <c r="K22" s="32">
        <f>IF($A22="","",IF(COUNTIF($A:$A,$A22)&gt;1,"كود موقع مكرر",IF($B22="","اسم الموقع ناقص",IF($C22="","نوع الموقع ناقص",IF(AND($G22&lt;&gt;"",COUNTIF(Treasuries!$A:$A,$G22)=0),"الخزينة الافتراضية غير معرفة",IF(AND($C22="فرع",$G22=""),"الفرع يحتاج خزينة افتراضية",""))))))</f>
        <v/>
      </c>
    </row>
    <row r="23">
      <c r="A23" s="39" t="n"/>
      <c r="B23" s="29" t="n"/>
      <c r="C23" s="29" t="n"/>
      <c r="D23" s="29" t="n"/>
      <c r="E23" s="29" t="n"/>
      <c r="F23" s="39" t="n"/>
      <c r="G23" s="29" t="n"/>
      <c r="H23" s="31" t="n"/>
      <c r="I23" s="29" t="n"/>
      <c r="J23" s="32">
        <f>IF(AND($C23="فرع",$F23&lt;&gt;"لا",$A23&lt;&gt;""),MAX($J$4:$J22)+1,"")</f>
        <v/>
      </c>
      <c r="K23" s="32">
        <f>IF($A23="","",IF(COUNTIF($A:$A,$A23)&gt;1,"كود موقع مكرر",IF($B23="","اسم الموقع ناقص",IF($C23="","نوع الموقع ناقص",IF(AND($G23&lt;&gt;"",COUNTIF(Treasuries!$A:$A,$G23)=0),"الخزينة الافتراضية غير معرفة",IF(AND($C23="فرع",$G23=""),"الفرع يحتاج خزينة افتراضية",""))))))</f>
        <v/>
      </c>
    </row>
    <row r="24">
      <c r="A24" s="39" t="n"/>
      <c r="B24" s="29" t="n"/>
      <c r="C24" s="29" t="n"/>
      <c r="D24" s="29" t="n"/>
      <c r="E24" s="29" t="n"/>
      <c r="F24" s="39" t="n"/>
      <c r="G24" s="29" t="n"/>
      <c r="H24" s="31" t="n"/>
      <c r="I24" s="29" t="n"/>
      <c r="J24" s="32">
        <f>IF(AND($C24="فرع",$F24&lt;&gt;"لا",$A24&lt;&gt;""),MAX($J$4:$J23)+1,"")</f>
        <v/>
      </c>
      <c r="K24" s="32">
        <f>IF($A24="","",IF(COUNTIF($A:$A,$A24)&gt;1,"كود موقع مكرر",IF($B24="","اسم الموقع ناقص",IF($C24="","نوع الموقع ناقص",IF(AND($G24&lt;&gt;"",COUNTIF(Treasuries!$A:$A,$G24)=0),"الخزينة الافتراضية غير معرفة",IF(AND($C24="فرع",$G24=""),"الفرع يحتاج خزينة افتراضية",""))))))</f>
        <v/>
      </c>
    </row>
    <row r="25">
      <c r="A25" s="39" t="n"/>
      <c r="B25" s="29" t="n"/>
      <c r="C25" s="29" t="n"/>
      <c r="D25" s="29" t="n"/>
      <c r="E25" s="29" t="n"/>
      <c r="F25" s="39" t="n"/>
      <c r="G25" s="29" t="n"/>
      <c r="H25" s="31" t="n"/>
      <c r="I25" s="29" t="n"/>
      <c r="J25" s="32">
        <f>IF(AND($C25="فرع",$F25&lt;&gt;"لا",$A25&lt;&gt;""),MAX($J$4:$J24)+1,"")</f>
        <v/>
      </c>
      <c r="K25" s="32">
        <f>IF($A25="","",IF(COUNTIF($A:$A,$A25)&gt;1,"كود موقع مكرر",IF($B25="","اسم الموقع ناقص",IF($C25="","نوع الموقع ناقص",IF(AND($G25&lt;&gt;"",COUNTIF(Treasuries!$A:$A,$G25)=0),"الخزينة الافتراضية غير معرفة",IF(AND($C25="فرع",$G25=""),"الفرع يحتاج خزينة افتراضية",""))))))</f>
        <v/>
      </c>
    </row>
    <row r="26">
      <c r="A26" s="39" t="n"/>
      <c r="B26" s="29" t="n"/>
      <c r="C26" s="29" t="n"/>
      <c r="D26" s="29" t="n"/>
      <c r="E26" s="29" t="n"/>
      <c r="F26" s="39" t="n"/>
      <c r="G26" s="29" t="n"/>
      <c r="H26" s="31" t="n"/>
      <c r="I26" s="29" t="n"/>
      <c r="J26" s="32">
        <f>IF(AND($C26="فرع",$F26&lt;&gt;"لا",$A26&lt;&gt;""),MAX($J$4:$J25)+1,"")</f>
        <v/>
      </c>
      <c r="K26" s="32">
        <f>IF($A26="","",IF(COUNTIF($A:$A,$A26)&gt;1,"كود موقع مكرر",IF($B26="","اسم الموقع ناقص",IF($C26="","نوع الموقع ناقص",IF(AND($G26&lt;&gt;"",COUNTIF(Treasuries!$A:$A,$G26)=0),"الخزينة الافتراضية غير معرفة",IF(AND($C26="فرع",$G26=""),"الفرع يحتاج خزينة افتراضية",""))))))</f>
        <v/>
      </c>
    </row>
    <row r="27">
      <c r="A27" s="39" t="n"/>
      <c r="B27" s="29" t="n"/>
      <c r="C27" s="29" t="n"/>
      <c r="D27" s="29" t="n"/>
      <c r="E27" s="29" t="n"/>
      <c r="F27" s="39" t="n"/>
      <c r="G27" s="29" t="n"/>
      <c r="H27" s="31" t="n"/>
      <c r="I27" s="29" t="n"/>
      <c r="J27" s="32">
        <f>IF(AND($C27="فرع",$F27&lt;&gt;"لا",$A27&lt;&gt;""),MAX($J$4:$J26)+1,"")</f>
        <v/>
      </c>
      <c r="K27" s="32">
        <f>IF($A27="","",IF(COUNTIF($A:$A,$A27)&gt;1,"كود موقع مكرر",IF($B27="","اسم الموقع ناقص",IF($C27="","نوع الموقع ناقص",IF(AND($G27&lt;&gt;"",COUNTIF(Treasuries!$A:$A,$G27)=0),"الخزينة الافتراضية غير معرفة",IF(AND($C27="فرع",$G27=""),"الفرع يحتاج خزينة افتراضية",""))))))</f>
        <v/>
      </c>
    </row>
    <row r="28">
      <c r="A28" s="39" t="n"/>
      <c r="B28" s="29" t="n"/>
      <c r="C28" s="29" t="n"/>
      <c r="D28" s="29" t="n"/>
      <c r="E28" s="29" t="n"/>
      <c r="F28" s="39" t="n"/>
      <c r="G28" s="29" t="n"/>
      <c r="H28" s="31" t="n"/>
      <c r="I28" s="29" t="n"/>
      <c r="J28" s="32">
        <f>IF(AND($C28="فرع",$F28&lt;&gt;"لا",$A28&lt;&gt;""),MAX($J$4:$J27)+1,"")</f>
        <v/>
      </c>
      <c r="K28" s="32">
        <f>IF($A28="","",IF(COUNTIF($A:$A,$A28)&gt;1,"كود موقع مكرر",IF($B28="","اسم الموقع ناقص",IF($C28="","نوع الموقع ناقص",IF(AND($G28&lt;&gt;"",COUNTIF(Treasuries!$A:$A,$G28)=0),"الخزينة الافتراضية غير معرفة",IF(AND($C28="فرع",$G28=""),"الفرع يحتاج خزينة افتراضية",""))))))</f>
        <v/>
      </c>
    </row>
    <row r="29">
      <c r="A29" s="39" t="n"/>
      <c r="B29" s="29" t="n"/>
      <c r="C29" s="29" t="n"/>
      <c r="D29" s="29" t="n"/>
      <c r="E29" s="29" t="n"/>
      <c r="F29" s="39" t="n"/>
      <c r="G29" s="29" t="n"/>
      <c r="H29" s="31" t="n"/>
      <c r="I29" s="29" t="n"/>
      <c r="J29" s="32">
        <f>IF(AND($C29="فرع",$F29&lt;&gt;"لا",$A29&lt;&gt;""),MAX($J$4:$J28)+1,"")</f>
        <v/>
      </c>
      <c r="K29" s="32">
        <f>IF($A29="","",IF(COUNTIF($A:$A,$A29)&gt;1,"كود موقع مكرر",IF($B29="","اسم الموقع ناقص",IF($C29="","نوع الموقع ناقص",IF(AND($G29&lt;&gt;"",COUNTIF(Treasuries!$A:$A,$G29)=0),"الخزينة الافتراضية غير معرفة",IF(AND($C29="فرع",$G29=""),"الفرع يحتاج خزينة افتراضية",""))))))</f>
        <v/>
      </c>
    </row>
    <row r="30">
      <c r="A30" s="39" t="n"/>
      <c r="B30" s="29" t="n"/>
      <c r="C30" s="29" t="n"/>
      <c r="D30" s="29" t="n"/>
      <c r="E30" s="29" t="n"/>
      <c r="F30" s="39" t="n"/>
      <c r="G30" s="29" t="n"/>
      <c r="H30" s="31" t="n"/>
      <c r="I30" s="29" t="n"/>
      <c r="J30" s="32">
        <f>IF(AND($C30="فرع",$F30&lt;&gt;"لا",$A30&lt;&gt;""),MAX($J$4:$J29)+1,"")</f>
        <v/>
      </c>
      <c r="K30" s="32">
        <f>IF($A30="","",IF(COUNTIF($A:$A,$A30)&gt;1,"كود موقع مكرر",IF($B30="","اسم الموقع ناقص",IF($C30="","نوع الموقع ناقص",IF(AND($G30&lt;&gt;"",COUNTIF(Treasuries!$A:$A,$G30)=0),"الخزينة الافتراضية غير معرفة",IF(AND($C30="فرع",$G30=""),"الفرع يحتاج خزينة افتراضية",""))))))</f>
        <v/>
      </c>
    </row>
    <row r="31">
      <c r="A31" s="39" t="n"/>
      <c r="B31" s="29" t="n"/>
      <c r="C31" s="29" t="n"/>
      <c r="D31" s="29" t="n"/>
      <c r="E31" s="29" t="n"/>
      <c r="F31" s="39" t="n"/>
      <c r="G31" s="29" t="n"/>
      <c r="H31" s="31" t="n"/>
      <c r="I31" s="29" t="n"/>
      <c r="J31" s="32">
        <f>IF(AND($C31="فرع",$F31&lt;&gt;"لا",$A31&lt;&gt;""),MAX($J$4:$J30)+1,"")</f>
        <v/>
      </c>
      <c r="K31" s="32">
        <f>IF($A31="","",IF(COUNTIF($A:$A,$A31)&gt;1,"كود موقع مكرر",IF($B31="","اسم الموقع ناقص",IF($C31="","نوع الموقع ناقص",IF(AND($G31&lt;&gt;"",COUNTIF(Treasuries!$A:$A,$G31)=0),"الخزينة الافتراضية غير معرفة",IF(AND($C31="فرع",$G31=""),"الفرع يحتاج خزينة افتراضية",""))))))</f>
        <v/>
      </c>
    </row>
    <row r="32">
      <c r="A32" s="39" t="n"/>
      <c r="B32" s="29" t="n"/>
      <c r="C32" s="29" t="n"/>
      <c r="D32" s="29" t="n"/>
      <c r="E32" s="29" t="n"/>
      <c r="F32" s="39" t="n"/>
      <c r="G32" s="29" t="n"/>
      <c r="H32" s="31" t="n"/>
      <c r="I32" s="29" t="n"/>
      <c r="J32" s="32">
        <f>IF(AND($C32="فرع",$F32&lt;&gt;"لا",$A32&lt;&gt;""),MAX($J$4:$J31)+1,"")</f>
        <v/>
      </c>
      <c r="K32" s="32">
        <f>IF($A32="","",IF(COUNTIF($A:$A,$A32)&gt;1,"كود موقع مكرر",IF($B32="","اسم الموقع ناقص",IF($C32="","نوع الموقع ناقص",IF(AND($G32&lt;&gt;"",COUNTIF(Treasuries!$A:$A,$G32)=0),"الخزينة الافتراضية غير معرفة",IF(AND($C32="فرع",$G32=""),"الفرع يحتاج خزينة افتراضية",""))))))</f>
        <v/>
      </c>
    </row>
    <row r="33">
      <c r="A33" s="39" t="n"/>
      <c r="B33" s="29" t="n"/>
      <c r="C33" s="29" t="n"/>
      <c r="D33" s="29" t="n"/>
      <c r="E33" s="29" t="n"/>
      <c r="F33" s="39" t="n"/>
      <c r="G33" s="29" t="n"/>
      <c r="H33" s="31" t="n"/>
      <c r="I33" s="29" t="n"/>
      <c r="J33" s="32">
        <f>IF(AND($C33="فرع",$F33&lt;&gt;"لا",$A33&lt;&gt;""),MAX($J$4:$J32)+1,"")</f>
        <v/>
      </c>
      <c r="K33" s="32">
        <f>IF($A33="","",IF(COUNTIF($A:$A,$A33)&gt;1,"كود موقع مكرر",IF($B33="","اسم الموقع ناقص",IF($C33="","نوع الموقع ناقص",IF(AND($G33&lt;&gt;"",COUNTIF(Treasuries!$A:$A,$G33)=0),"الخزينة الافتراضية غير معرفة",IF(AND($C33="فرع",$G33=""),"الفرع يحتاج خزينة افتراضية",""))))))</f>
        <v/>
      </c>
    </row>
    <row r="34">
      <c r="A34" s="39" t="n"/>
      <c r="B34" s="29" t="n"/>
      <c r="C34" s="29" t="n"/>
      <c r="D34" s="29" t="n"/>
      <c r="E34" s="29" t="n"/>
      <c r="F34" s="39" t="n"/>
      <c r="G34" s="29" t="n"/>
      <c r="H34" s="31" t="n"/>
      <c r="I34" s="29" t="n"/>
      <c r="J34" s="32">
        <f>IF(AND($C34="فرع",$F34&lt;&gt;"لا",$A34&lt;&gt;""),MAX($J$4:$J33)+1,"")</f>
        <v/>
      </c>
      <c r="K34" s="32">
        <f>IF($A34="","",IF(COUNTIF($A:$A,$A34)&gt;1,"كود موقع مكرر",IF($B34="","اسم الموقع ناقص",IF($C34="","نوع الموقع ناقص",IF(AND($G34&lt;&gt;"",COUNTIF(Treasuries!$A:$A,$G34)=0),"الخزينة الافتراضية غير معرفة",IF(AND($C34="فرع",$G34=""),"الفرع يحتاج خزينة افتراضية",""))))))</f>
        <v/>
      </c>
    </row>
  </sheetData>
  <sheetProtection selectLockedCells="0" selectUnlockedCells="0" sheet="1" objects="0" insertRows="1" insertHyperlinks="1" autoFilter="0" scenarios="0" formatColumns="0" deleteColumns="1" insertColumns="1" pivotTables="1" deleteRows="1" formatCells="0" formatRows="0" sort="1"/>
  <autoFilter ref="A4:K34"/>
  <conditionalFormatting sqref="K5:K34">
    <cfRule type="expression" priority="1" dxfId="3">
      <formula>LEN(K5)&gt;0</formula>
    </cfRule>
  </conditionalFormatting>
  <dataValidations count="4">
    <dataValidation sqref="C5:C34" showDropDown="0" showInputMessage="0" showErrorMessage="1" allowBlank="1" errorTitle="قيمة غير مسموحة" error="اختر قيمة من القائمة المنسدلة." type="list">
      <formula1>=Lists!$AH$5:$AH$8</formula1>
    </dataValidation>
    <dataValidation sqref="F5:F34" showDropDown="0" showInputMessage="0" showErrorMessage="1" allowBlank="1" errorTitle="قيمة غير مسموحة" error="اختر قيمة من القائمة المنسدلة." type="list">
      <formula1>=Lists!$R$5:$R$6</formula1>
    </dataValidation>
    <dataValidation sqref="G5:G34" showDropDown="0" showInputMessage="0" showErrorMessage="1" allowBlank="1" errorTitle="قيمة غير مسموحة" error="اختر قيمة من القائمة المنسدلة." type="list">
      <formula1>=Treasuries!$A$5:$A$34</formula1>
    </dataValidation>
    <dataValidation sqref="H5:H34" showDropDown="0" showInputMessage="0" showErrorMessage="1" allowBlank="1" errorTitle="تاريخ غير صحيح" error="أدخل تاريخًا صحيحًا." type="date" operator="greaterThan">
      <formula1>36526</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2E75B6"/>
    <outlinePr summaryBelow="1" summaryRight="1"/>
    <pageSetUpPr fitToPage="1"/>
  </sheetPr>
  <dimension ref="A1:J3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2" customWidth="1" min="3" max="3"/>
    <col width="10" customWidth="1" min="4" max="4"/>
    <col width="11" customWidth="1" min="5" max="5"/>
    <col width="22" customWidth="1" min="6" max="6"/>
    <col width="7" customWidth="1" min="7" max="7"/>
    <col width="26" customWidth="1" min="8" max="8"/>
    <col width="34" customWidth="1" min="9" max="9"/>
    <col width="40" customWidth="1" min="10" max="10"/>
  </cols>
  <sheetData>
    <row r="1" ht="26" customHeight="1">
      <c r="A1" s="22" t="inlineStr">
        <is>
          <t>الخزائن والبنوك (Treasuries &amp; Banks)</t>
        </is>
      </c>
      <c r="B1" s="1" t="n"/>
      <c r="C1" s="1" t="n"/>
      <c r="D1" s="1" t="n"/>
      <c r="E1" s="1" t="n"/>
      <c r="F1" s="1" t="n"/>
      <c r="G1" s="1" t="n"/>
      <c r="H1" s="1" t="n"/>
      <c r="I1" s="1" t="n"/>
      <c r="J1" s="1" t="n"/>
    </row>
    <row r="2">
      <c r="A2" s="35" t="inlineStr">
        <is>
          <t>كل خزينة/بنك مرتبط بحساب مستقل في دليل الحسابات (حساب واحد لكل خزينة). الأرصدة الافتتاحية تُسجَّل بقيد افتتاحي في Manual_JE وليس هنا.</t>
        </is>
      </c>
    </row>
    <row r="3">
      <c r="A3" s="36" t="inlineStr">
        <is>
          <t>خلايا الإدخال</t>
        </is>
      </c>
      <c r="B3" s="37" t="inlineStr">
        <is>
          <t>معادلات (لا تعدّل)</t>
        </is>
      </c>
    </row>
    <row r="4" ht="34" customHeight="1">
      <c r="A4" s="24" t="inlineStr">
        <is>
          <t>كود الخزينة/البنك</t>
        </is>
      </c>
      <c r="B4" s="24" t="inlineStr">
        <is>
          <t>الاسم</t>
        </is>
      </c>
      <c r="C4" s="24" t="inlineStr">
        <is>
          <t>النوع</t>
        </is>
      </c>
      <c r="D4" s="24" t="inlineStr">
        <is>
          <t>الموقع</t>
        </is>
      </c>
      <c r="E4" s="24" t="inlineStr">
        <is>
          <t>حساب الأستاذ</t>
        </is>
      </c>
      <c r="F4" s="24" t="inlineStr">
        <is>
          <t>أمين الخزينة/المسؤول</t>
        </is>
      </c>
      <c r="G4" s="24" t="inlineStr">
        <is>
          <t>نشط</t>
        </is>
      </c>
      <c r="H4" s="24" t="inlineStr">
        <is>
          <t>ملاحظات</t>
        </is>
      </c>
      <c r="I4" s="38" t="inlineStr">
        <is>
          <t>اسم الحساب</t>
        </is>
      </c>
      <c r="J4" s="38" t="inlineStr">
        <is>
          <t>فحص</t>
        </is>
      </c>
    </row>
    <row r="5">
      <c r="A5" s="39" t="inlineStr">
        <is>
          <t>CSH-BR01</t>
        </is>
      </c>
      <c r="B5" s="29" t="inlineStr">
        <is>
          <t>خزينة الفرع BR01</t>
        </is>
      </c>
      <c r="C5" s="29" t="inlineStr">
        <is>
          <t>خزينة</t>
        </is>
      </c>
      <c r="D5" s="39" t="inlineStr">
        <is>
          <t>BR01</t>
        </is>
      </c>
      <c r="E5" s="39" t="n">
        <v>1101</v>
      </c>
      <c r="F5" s="29" t="inlineStr">
        <is>
          <t>أمين صندوق الفرع 1</t>
        </is>
      </c>
      <c r="G5" s="39" t="inlineStr">
        <is>
          <t>نعم</t>
        </is>
      </c>
      <c r="H5" s="29" t="n"/>
      <c r="I5" s="32">
        <f>IF($E5="","",IFERROR(INDEX(COA!$B:$B,MATCH($E5,COA!$A:$A,0)),"حساب غير موجود"))</f>
        <v/>
      </c>
      <c r="J5" s="32">
        <f>IF($A5="","",IF(COUNTIF($A:$A,$A5)&gt;1,"كود مكرر",IF(COUNTIF($E:$E,$E5)&gt;1,"حساب الأستاذ مستخدم لخزينة أخرى",IF(COUNTIFS(COA!$A:$A,$E5,COA!$R:$R,1,COA!$H:$H,1)&lt;&gt;1,"الحساب غير موجود أو غير نقدي أو غير قابل للترحيل",IF(COUNTIF(Locations!$A:$A,$D5)=0,"الموقع غير معرف","")))))</f>
        <v/>
      </c>
    </row>
    <row r="6">
      <c r="A6" s="39" t="inlineStr">
        <is>
          <t>CSH-BR02</t>
        </is>
      </c>
      <c r="B6" s="29" t="inlineStr">
        <is>
          <t>خزينة الفرع BR02</t>
        </is>
      </c>
      <c r="C6" s="29" t="inlineStr">
        <is>
          <t>خزينة</t>
        </is>
      </c>
      <c r="D6" s="39" t="inlineStr">
        <is>
          <t>BR02</t>
        </is>
      </c>
      <c r="E6" s="39" t="n">
        <v>1102</v>
      </c>
      <c r="F6" s="29" t="inlineStr">
        <is>
          <t>أمين صندوق الفرع 2</t>
        </is>
      </c>
      <c r="G6" s="39" t="inlineStr">
        <is>
          <t>نعم</t>
        </is>
      </c>
      <c r="H6" s="29" t="n"/>
      <c r="I6" s="32">
        <f>IF($E6="","",IFERROR(INDEX(COA!$B:$B,MATCH($E6,COA!$A:$A,0)),"حساب غير موجود"))</f>
        <v/>
      </c>
      <c r="J6" s="32">
        <f>IF($A6="","",IF(COUNTIF($A:$A,$A6)&gt;1,"كود مكرر",IF(COUNTIF($E:$E,$E6)&gt;1,"حساب الأستاذ مستخدم لخزينة أخرى",IF(COUNTIFS(COA!$A:$A,$E6,COA!$R:$R,1,COA!$H:$H,1)&lt;&gt;1,"الحساب غير موجود أو غير نقدي أو غير قابل للترحيل",IF(COUNTIF(Locations!$A:$A,$D6)=0,"الموقع غير معرف","")))))</f>
        <v/>
      </c>
    </row>
    <row r="7">
      <c r="A7" s="39" t="inlineStr">
        <is>
          <t>CSH-BR03</t>
        </is>
      </c>
      <c r="B7" s="29" t="inlineStr">
        <is>
          <t>خزينة الفرع BR03</t>
        </is>
      </c>
      <c r="C7" s="29" t="inlineStr">
        <is>
          <t>خزينة</t>
        </is>
      </c>
      <c r="D7" s="39" t="inlineStr">
        <is>
          <t>BR03</t>
        </is>
      </c>
      <c r="E7" s="39" t="n">
        <v>1103</v>
      </c>
      <c r="F7" s="29" t="inlineStr">
        <is>
          <t>أمين صندوق الفرع 3</t>
        </is>
      </c>
      <c r="G7" s="39" t="inlineStr">
        <is>
          <t>نعم</t>
        </is>
      </c>
      <c r="H7" s="29" t="n"/>
      <c r="I7" s="32">
        <f>IF($E7="","",IFERROR(INDEX(COA!$B:$B,MATCH($E7,COA!$A:$A,0)),"حساب غير موجود"))</f>
        <v/>
      </c>
      <c r="J7" s="32">
        <f>IF($A7="","",IF(COUNTIF($A:$A,$A7)&gt;1,"كود مكرر",IF(COUNTIF($E:$E,$E7)&gt;1,"حساب الأستاذ مستخدم لخزينة أخرى",IF(COUNTIFS(COA!$A:$A,$E7,COA!$R:$R,1,COA!$H:$H,1)&lt;&gt;1,"الحساب غير موجود أو غير نقدي أو غير قابل للترحيل",IF(COUNTIF(Locations!$A:$A,$D7)=0,"الموقع غير معرف","")))))</f>
        <v/>
      </c>
    </row>
    <row r="8">
      <c r="A8" s="39" t="inlineStr">
        <is>
          <t>CSH-HQ01</t>
        </is>
      </c>
      <c r="B8" s="29" t="inlineStr">
        <is>
          <t>خزينة الإدارة الرئيسية</t>
        </is>
      </c>
      <c r="C8" s="29" t="inlineStr">
        <is>
          <t>خزينة</t>
        </is>
      </c>
      <c r="D8" s="39" t="inlineStr">
        <is>
          <t>HQ01</t>
        </is>
      </c>
      <c r="E8" s="39" t="n">
        <v>1104</v>
      </c>
      <c r="F8" s="29" t="inlineStr">
        <is>
          <t>أمين خزينة الإدارة</t>
        </is>
      </c>
      <c r="G8" s="39" t="inlineStr">
        <is>
          <t>نعم</t>
        </is>
      </c>
      <c r="H8" s="29" t="n"/>
      <c r="I8" s="32">
        <f>IF($E8="","",IFERROR(INDEX(COA!$B:$B,MATCH($E8,COA!$A:$A,0)),"حساب غير موجود"))</f>
        <v/>
      </c>
      <c r="J8" s="32">
        <f>IF($A8="","",IF(COUNTIF($A:$A,$A8)&gt;1,"كود مكرر",IF(COUNTIF($E:$E,$E8)&gt;1,"حساب الأستاذ مستخدم لخزينة أخرى",IF(COUNTIFS(COA!$A:$A,$E8,COA!$R:$R,1,COA!$H:$H,1)&lt;&gt;1,"الحساب غير موجود أو غير نقدي أو غير قابل للترحيل",IF(COUNTIF(Locations!$A:$A,$D8)=0,"الموقع غير معرف","")))))</f>
        <v/>
      </c>
    </row>
    <row r="9">
      <c r="A9" s="39" t="inlineStr">
        <is>
          <t>PTY-HQ01</t>
        </is>
      </c>
      <c r="B9" s="29" t="inlineStr">
        <is>
          <t>عهدة المصروفات النثرية</t>
        </is>
      </c>
      <c r="C9" s="29" t="inlineStr">
        <is>
          <t>عهدة نثرية</t>
        </is>
      </c>
      <c r="D9" s="39" t="inlineStr">
        <is>
          <t>HQ01</t>
        </is>
      </c>
      <c r="E9" s="39" t="n">
        <v>1105</v>
      </c>
      <c r="F9" s="29" t="inlineStr">
        <is>
          <t>أمين العهدة</t>
        </is>
      </c>
      <c r="G9" s="39" t="inlineStr">
        <is>
          <t>نعم</t>
        </is>
      </c>
      <c r="H9" s="29" t="n"/>
      <c r="I9" s="32">
        <f>IF($E9="","",IFERROR(INDEX(COA!$B:$B,MATCH($E9,COA!$A:$A,0)),"حساب غير موجود"))</f>
        <v/>
      </c>
      <c r="J9" s="32">
        <f>IF($A9="","",IF(COUNTIF($A:$A,$A9)&gt;1,"كود مكرر",IF(COUNTIF($E:$E,$E9)&gt;1,"حساب الأستاذ مستخدم لخزينة أخرى",IF(COUNTIFS(COA!$A:$A,$E9,COA!$R:$R,1,COA!$H:$H,1)&lt;&gt;1,"الحساب غير موجود أو غير نقدي أو غير قابل للترحيل",IF(COUNTIF(Locations!$A:$A,$D9)=0,"الموقع غير معرف","")))))</f>
        <v/>
      </c>
    </row>
    <row r="10">
      <c r="A10" s="39" t="inlineStr">
        <is>
          <t>BNK-01</t>
        </is>
      </c>
      <c r="B10" s="29" t="inlineStr">
        <is>
          <t>البنك الأول - جاري (تجريبي)</t>
        </is>
      </c>
      <c r="C10" s="29" t="inlineStr">
        <is>
          <t>بنك</t>
        </is>
      </c>
      <c r="D10" s="39" t="inlineStr">
        <is>
          <t>HQ01</t>
        </is>
      </c>
      <c r="E10" s="39" t="n">
        <v>1201</v>
      </c>
      <c r="F10" s="29" t="inlineStr">
        <is>
          <t>المدير المالي</t>
        </is>
      </c>
      <c r="G10" s="39" t="inlineStr">
        <is>
          <t>نعم</t>
        </is>
      </c>
      <c r="H10" s="29" t="n"/>
      <c r="I10" s="32">
        <f>IF($E10="","",IFERROR(INDEX(COA!$B:$B,MATCH($E10,COA!$A:$A,0)),"حساب غير موجود"))</f>
        <v/>
      </c>
      <c r="J10" s="32">
        <f>IF($A10="","",IF(COUNTIF($A:$A,$A10)&gt;1,"كود مكرر",IF(COUNTIF($E:$E,$E10)&gt;1,"حساب الأستاذ مستخدم لخزينة أخرى",IF(COUNTIFS(COA!$A:$A,$E10,COA!$R:$R,1,COA!$H:$H,1)&lt;&gt;1,"الحساب غير موجود أو غير نقدي أو غير قابل للترحيل",IF(COUNTIF(Locations!$A:$A,$D10)=0,"الموقع غير معرف","")))))</f>
        <v/>
      </c>
    </row>
    <row r="11">
      <c r="A11" s="39" t="inlineStr">
        <is>
          <t>BNK-02</t>
        </is>
      </c>
      <c r="B11" s="29" t="inlineStr">
        <is>
          <t>البنك الثاني - جاري (تجريبي)</t>
        </is>
      </c>
      <c r="C11" s="29" t="inlineStr">
        <is>
          <t>بنك</t>
        </is>
      </c>
      <c r="D11" s="39" t="inlineStr">
        <is>
          <t>HQ01</t>
        </is>
      </c>
      <c r="E11" s="39" t="n">
        <v>1202</v>
      </c>
      <c r="F11" s="29" t="inlineStr">
        <is>
          <t>المدير المالي</t>
        </is>
      </c>
      <c r="G11" s="39" t="inlineStr">
        <is>
          <t>نعم</t>
        </is>
      </c>
      <c r="H11" s="29" t="n"/>
      <c r="I11" s="32">
        <f>IF($E11="","",IFERROR(INDEX(COA!$B:$B,MATCH($E11,COA!$A:$A,0)),"حساب غير موجود"))</f>
        <v/>
      </c>
      <c r="J11" s="32">
        <f>IF($A11="","",IF(COUNTIF($A:$A,$A11)&gt;1,"كود مكرر",IF(COUNTIF($E:$E,$E11)&gt;1,"حساب الأستاذ مستخدم لخزينة أخرى",IF(COUNTIFS(COA!$A:$A,$E11,COA!$R:$R,1,COA!$H:$H,1)&lt;&gt;1,"الحساب غير موجود أو غير نقدي أو غير قابل للترحيل",IF(COUNTIF(Locations!$A:$A,$D11)=0,"الموقع غير معرف","")))))</f>
        <v/>
      </c>
    </row>
    <row r="12">
      <c r="A12" s="39" t="inlineStr">
        <is>
          <t>WLT-01</t>
        </is>
      </c>
      <c r="B12" s="29" t="inlineStr">
        <is>
          <t>محفظة / تحويلات إلكترونية</t>
        </is>
      </c>
      <c r="C12" s="29" t="inlineStr">
        <is>
          <t>بنك</t>
        </is>
      </c>
      <c r="D12" s="39" t="inlineStr">
        <is>
          <t>HQ01</t>
        </is>
      </c>
      <c r="E12" s="39" t="n">
        <v>1203</v>
      </c>
      <c r="F12" s="29" t="inlineStr">
        <is>
          <t>المدير المالي</t>
        </is>
      </c>
      <c r="G12" s="39" t="inlineStr">
        <is>
          <t>نعم</t>
        </is>
      </c>
      <c r="H12" s="29" t="n"/>
      <c r="I12" s="32">
        <f>IF($E12="","",IFERROR(INDEX(COA!$B:$B,MATCH($E12,COA!$A:$A,0)),"حساب غير موجود"))</f>
        <v/>
      </c>
      <c r="J12" s="32">
        <f>IF($A12="","",IF(COUNTIF($A:$A,$A12)&gt;1,"كود مكرر",IF(COUNTIF($E:$E,$E12)&gt;1,"حساب الأستاذ مستخدم لخزينة أخرى",IF(COUNTIFS(COA!$A:$A,$E12,COA!$R:$R,1,COA!$H:$H,1)&lt;&gt;1,"الحساب غير موجود أو غير نقدي أو غير قابل للترحيل",IF(COUNTIF(Locations!$A:$A,$D12)=0,"الموقع غير معرف","")))))</f>
        <v/>
      </c>
    </row>
    <row r="13">
      <c r="A13" s="39" t="n"/>
      <c r="B13" s="29" t="n"/>
      <c r="C13" s="29" t="n"/>
      <c r="D13" s="39" t="n"/>
      <c r="E13" s="39" t="n"/>
      <c r="F13" s="29" t="n"/>
      <c r="G13" s="39" t="n"/>
      <c r="H13" s="29" t="n"/>
      <c r="I13" s="32">
        <f>IF($E13="","",IFERROR(INDEX(COA!$B:$B,MATCH($E13,COA!$A:$A,0)),"حساب غير موجود"))</f>
        <v/>
      </c>
      <c r="J13" s="32">
        <f>IF($A13="","",IF(COUNTIF($A:$A,$A13)&gt;1,"كود مكرر",IF(COUNTIF($E:$E,$E13)&gt;1,"حساب الأستاذ مستخدم لخزينة أخرى",IF(COUNTIFS(COA!$A:$A,$E13,COA!$R:$R,1,COA!$H:$H,1)&lt;&gt;1,"الحساب غير موجود أو غير نقدي أو غير قابل للترحيل",IF(COUNTIF(Locations!$A:$A,$D13)=0,"الموقع غير معرف","")))))</f>
        <v/>
      </c>
    </row>
    <row r="14">
      <c r="A14" s="39" t="n"/>
      <c r="B14" s="29" t="n"/>
      <c r="C14" s="29" t="n"/>
      <c r="D14" s="39" t="n"/>
      <c r="E14" s="39" t="n"/>
      <c r="F14" s="29" t="n"/>
      <c r="G14" s="39" t="n"/>
      <c r="H14" s="29" t="n"/>
      <c r="I14" s="32">
        <f>IF($E14="","",IFERROR(INDEX(COA!$B:$B,MATCH($E14,COA!$A:$A,0)),"حساب غير موجود"))</f>
        <v/>
      </c>
      <c r="J14" s="32">
        <f>IF($A14="","",IF(COUNTIF($A:$A,$A14)&gt;1,"كود مكرر",IF(COUNTIF($E:$E,$E14)&gt;1,"حساب الأستاذ مستخدم لخزينة أخرى",IF(COUNTIFS(COA!$A:$A,$E14,COA!$R:$R,1,COA!$H:$H,1)&lt;&gt;1,"الحساب غير موجود أو غير نقدي أو غير قابل للترحيل",IF(COUNTIF(Locations!$A:$A,$D14)=0,"الموقع غير معرف","")))))</f>
        <v/>
      </c>
    </row>
    <row r="15">
      <c r="A15" s="39" t="n"/>
      <c r="B15" s="29" t="n"/>
      <c r="C15" s="29" t="n"/>
      <c r="D15" s="39" t="n"/>
      <c r="E15" s="39" t="n"/>
      <c r="F15" s="29" t="n"/>
      <c r="G15" s="39" t="n"/>
      <c r="H15" s="29" t="n"/>
      <c r="I15" s="32">
        <f>IF($E15="","",IFERROR(INDEX(COA!$B:$B,MATCH($E15,COA!$A:$A,0)),"حساب غير موجود"))</f>
        <v/>
      </c>
      <c r="J15" s="32">
        <f>IF($A15="","",IF(COUNTIF($A:$A,$A15)&gt;1,"كود مكرر",IF(COUNTIF($E:$E,$E15)&gt;1,"حساب الأستاذ مستخدم لخزينة أخرى",IF(COUNTIFS(COA!$A:$A,$E15,COA!$R:$R,1,COA!$H:$H,1)&lt;&gt;1,"الحساب غير موجود أو غير نقدي أو غير قابل للترحيل",IF(COUNTIF(Locations!$A:$A,$D15)=0,"الموقع غير معرف","")))))</f>
        <v/>
      </c>
    </row>
    <row r="16">
      <c r="A16" s="39" t="n"/>
      <c r="B16" s="29" t="n"/>
      <c r="C16" s="29" t="n"/>
      <c r="D16" s="39" t="n"/>
      <c r="E16" s="39" t="n"/>
      <c r="F16" s="29" t="n"/>
      <c r="G16" s="39" t="n"/>
      <c r="H16" s="29" t="n"/>
      <c r="I16" s="32">
        <f>IF($E16="","",IFERROR(INDEX(COA!$B:$B,MATCH($E16,COA!$A:$A,0)),"حساب غير موجود"))</f>
        <v/>
      </c>
      <c r="J16" s="32">
        <f>IF($A16="","",IF(COUNTIF($A:$A,$A16)&gt;1,"كود مكرر",IF(COUNTIF($E:$E,$E16)&gt;1,"حساب الأستاذ مستخدم لخزينة أخرى",IF(COUNTIFS(COA!$A:$A,$E16,COA!$R:$R,1,COA!$H:$H,1)&lt;&gt;1,"الحساب غير موجود أو غير نقدي أو غير قابل للترحيل",IF(COUNTIF(Locations!$A:$A,$D16)=0,"الموقع غير معرف","")))))</f>
        <v/>
      </c>
    </row>
    <row r="17">
      <c r="A17" s="39" t="n"/>
      <c r="B17" s="29" t="n"/>
      <c r="C17" s="29" t="n"/>
      <c r="D17" s="39" t="n"/>
      <c r="E17" s="39" t="n"/>
      <c r="F17" s="29" t="n"/>
      <c r="G17" s="39" t="n"/>
      <c r="H17" s="29" t="n"/>
      <c r="I17" s="32">
        <f>IF($E17="","",IFERROR(INDEX(COA!$B:$B,MATCH($E17,COA!$A:$A,0)),"حساب غير موجود"))</f>
        <v/>
      </c>
      <c r="J17" s="32">
        <f>IF($A17="","",IF(COUNTIF($A:$A,$A17)&gt;1,"كود مكرر",IF(COUNTIF($E:$E,$E17)&gt;1,"حساب الأستاذ مستخدم لخزينة أخرى",IF(COUNTIFS(COA!$A:$A,$E17,COA!$R:$R,1,COA!$H:$H,1)&lt;&gt;1,"الحساب غير موجود أو غير نقدي أو غير قابل للترحيل",IF(COUNTIF(Locations!$A:$A,$D17)=0,"الموقع غير معرف","")))))</f>
        <v/>
      </c>
    </row>
    <row r="18">
      <c r="A18" s="39" t="n"/>
      <c r="B18" s="29" t="n"/>
      <c r="C18" s="29" t="n"/>
      <c r="D18" s="39" t="n"/>
      <c r="E18" s="39" t="n"/>
      <c r="F18" s="29" t="n"/>
      <c r="G18" s="39" t="n"/>
      <c r="H18" s="29" t="n"/>
      <c r="I18" s="32">
        <f>IF($E18="","",IFERROR(INDEX(COA!$B:$B,MATCH($E18,COA!$A:$A,0)),"حساب غير موجود"))</f>
        <v/>
      </c>
      <c r="J18" s="32">
        <f>IF($A18="","",IF(COUNTIF($A:$A,$A18)&gt;1,"كود مكرر",IF(COUNTIF($E:$E,$E18)&gt;1,"حساب الأستاذ مستخدم لخزينة أخرى",IF(COUNTIFS(COA!$A:$A,$E18,COA!$R:$R,1,COA!$H:$H,1)&lt;&gt;1,"الحساب غير موجود أو غير نقدي أو غير قابل للترحيل",IF(COUNTIF(Locations!$A:$A,$D18)=0,"الموقع غير معرف","")))))</f>
        <v/>
      </c>
    </row>
    <row r="19">
      <c r="A19" s="39" t="n"/>
      <c r="B19" s="29" t="n"/>
      <c r="C19" s="29" t="n"/>
      <c r="D19" s="39" t="n"/>
      <c r="E19" s="39" t="n"/>
      <c r="F19" s="29" t="n"/>
      <c r="G19" s="39" t="n"/>
      <c r="H19" s="29" t="n"/>
      <c r="I19" s="32">
        <f>IF($E19="","",IFERROR(INDEX(COA!$B:$B,MATCH($E19,COA!$A:$A,0)),"حساب غير موجود"))</f>
        <v/>
      </c>
      <c r="J19" s="32">
        <f>IF($A19="","",IF(COUNTIF($A:$A,$A19)&gt;1,"كود مكرر",IF(COUNTIF($E:$E,$E19)&gt;1,"حساب الأستاذ مستخدم لخزينة أخرى",IF(COUNTIFS(COA!$A:$A,$E19,COA!$R:$R,1,COA!$H:$H,1)&lt;&gt;1,"الحساب غير موجود أو غير نقدي أو غير قابل للترحيل",IF(COUNTIF(Locations!$A:$A,$D19)=0,"الموقع غير معرف","")))))</f>
        <v/>
      </c>
    </row>
    <row r="20">
      <c r="A20" s="39" t="n"/>
      <c r="B20" s="29" t="n"/>
      <c r="C20" s="29" t="n"/>
      <c r="D20" s="39" t="n"/>
      <c r="E20" s="39" t="n"/>
      <c r="F20" s="29" t="n"/>
      <c r="G20" s="39" t="n"/>
      <c r="H20" s="29" t="n"/>
      <c r="I20" s="32">
        <f>IF($E20="","",IFERROR(INDEX(COA!$B:$B,MATCH($E20,COA!$A:$A,0)),"حساب غير موجود"))</f>
        <v/>
      </c>
      <c r="J20" s="32">
        <f>IF($A20="","",IF(COUNTIF($A:$A,$A20)&gt;1,"كود مكرر",IF(COUNTIF($E:$E,$E20)&gt;1,"حساب الأستاذ مستخدم لخزينة أخرى",IF(COUNTIFS(COA!$A:$A,$E20,COA!$R:$R,1,COA!$H:$H,1)&lt;&gt;1,"الحساب غير موجود أو غير نقدي أو غير قابل للترحيل",IF(COUNTIF(Locations!$A:$A,$D20)=0,"الموقع غير معرف","")))))</f>
        <v/>
      </c>
    </row>
    <row r="21">
      <c r="A21" s="39" t="n"/>
      <c r="B21" s="29" t="n"/>
      <c r="C21" s="29" t="n"/>
      <c r="D21" s="39" t="n"/>
      <c r="E21" s="39" t="n"/>
      <c r="F21" s="29" t="n"/>
      <c r="G21" s="39" t="n"/>
      <c r="H21" s="29" t="n"/>
      <c r="I21" s="32">
        <f>IF($E21="","",IFERROR(INDEX(COA!$B:$B,MATCH($E21,COA!$A:$A,0)),"حساب غير موجود"))</f>
        <v/>
      </c>
      <c r="J21" s="32">
        <f>IF($A21="","",IF(COUNTIF($A:$A,$A21)&gt;1,"كود مكرر",IF(COUNTIF($E:$E,$E21)&gt;1,"حساب الأستاذ مستخدم لخزينة أخرى",IF(COUNTIFS(COA!$A:$A,$E21,COA!$R:$R,1,COA!$H:$H,1)&lt;&gt;1,"الحساب غير موجود أو غير نقدي أو غير قابل للترحيل",IF(COUNTIF(Locations!$A:$A,$D21)=0,"الموقع غير معرف","")))))</f>
        <v/>
      </c>
    </row>
    <row r="22">
      <c r="A22" s="39" t="n"/>
      <c r="B22" s="29" t="n"/>
      <c r="C22" s="29" t="n"/>
      <c r="D22" s="39" t="n"/>
      <c r="E22" s="39" t="n"/>
      <c r="F22" s="29" t="n"/>
      <c r="G22" s="39" t="n"/>
      <c r="H22" s="29" t="n"/>
      <c r="I22" s="32">
        <f>IF($E22="","",IFERROR(INDEX(COA!$B:$B,MATCH($E22,COA!$A:$A,0)),"حساب غير موجود"))</f>
        <v/>
      </c>
      <c r="J22" s="32">
        <f>IF($A22="","",IF(COUNTIF($A:$A,$A22)&gt;1,"كود مكرر",IF(COUNTIF($E:$E,$E22)&gt;1,"حساب الأستاذ مستخدم لخزينة أخرى",IF(COUNTIFS(COA!$A:$A,$E22,COA!$R:$R,1,COA!$H:$H,1)&lt;&gt;1,"الحساب غير موجود أو غير نقدي أو غير قابل للترحيل",IF(COUNTIF(Locations!$A:$A,$D22)=0,"الموقع غير معرف","")))))</f>
        <v/>
      </c>
    </row>
    <row r="23">
      <c r="A23" s="39" t="n"/>
      <c r="B23" s="29" t="n"/>
      <c r="C23" s="29" t="n"/>
      <c r="D23" s="39" t="n"/>
      <c r="E23" s="39" t="n"/>
      <c r="F23" s="29" t="n"/>
      <c r="G23" s="39" t="n"/>
      <c r="H23" s="29" t="n"/>
      <c r="I23" s="32">
        <f>IF($E23="","",IFERROR(INDEX(COA!$B:$B,MATCH($E23,COA!$A:$A,0)),"حساب غير موجود"))</f>
        <v/>
      </c>
      <c r="J23" s="32">
        <f>IF($A23="","",IF(COUNTIF($A:$A,$A23)&gt;1,"كود مكرر",IF(COUNTIF($E:$E,$E23)&gt;1,"حساب الأستاذ مستخدم لخزينة أخرى",IF(COUNTIFS(COA!$A:$A,$E23,COA!$R:$R,1,COA!$H:$H,1)&lt;&gt;1,"الحساب غير موجود أو غير نقدي أو غير قابل للترحيل",IF(COUNTIF(Locations!$A:$A,$D23)=0,"الموقع غير معرف","")))))</f>
        <v/>
      </c>
    </row>
    <row r="24">
      <c r="A24" s="39" t="n"/>
      <c r="B24" s="29" t="n"/>
      <c r="C24" s="29" t="n"/>
      <c r="D24" s="39" t="n"/>
      <c r="E24" s="39" t="n"/>
      <c r="F24" s="29" t="n"/>
      <c r="G24" s="39" t="n"/>
      <c r="H24" s="29" t="n"/>
      <c r="I24" s="32">
        <f>IF($E24="","",IFERROR(INDEX(COA!$B:$B,MATCH($E24,COA!$A:$A,0)),"حساب غير موجود"))</f>
        <v/>
      </c>
      <c r="J24" s="32">
        <f>IF($A24="","",IF(COUNTIF($A:$A,$A24)&gt;1,"كود مكرر",IF(COUNTIF($E:$E,$E24)&gt;1,"حساب الأستاذ مستخدم لخزينة أخرى",IF(COUNTIFS(COA!$A:$A,$E24,COA!$R:$R,1,COA!$H:$H,1)&lt;&gt;1,"الحساب غير موجود أو غير نقدي أو غير قابل للترحيل",IF(COUNTIF(Locations!$A:$A,$D24)=0,"الموقع غير معرف","")))))</f>
        <v/>
      </c>
    </row>
    <row r="25">
      <c r="A25" s="39" t="n"/>
      <c r="B25" s="29" t="n"/>
      <c r="C25" s="29" t="n"/>
      <c r="D25" s="39" t="n"/>
      <c r="E25" s="39" t="n"/>
      <c r="F25" s="29" t="n"/>
      <c r="G25" s="39" t="n"/>
      <c r="H25" s="29" t="n"/>
      <c r="I25" s="32">
        <f>IF($E25="","",IFERROR(INDEX(COA!$B:$B,MATCH($E25,COA!$A:$A,0)),"حساب غير موجود"))</f>
        <v/>
      </c>
      <c r="J25" s="32">
        <f>IF($A25="","",IF(COUNTIF($A:$A,$A25)&gt;1,"كود مكرر",IF(COUNTIF($E:$E,$E25)&gt;1,"حساب الأستاذ مستخدم لخزينة أخرى",IF(COUNTIFS(COA!$A:$A,$E25,COA!$R:$R,1,COA!$H:$H,1)&lt;&gt;1,"الحساب غير موجود أو غير نقدي أو غير قابل للترحيل",IF(COUNTIF(Locations!$A:$A,$D25)=0,"الموقع غير معرف","")))))</f>
        <v/>
      </c>
    </row>
    <row r="26">
      <c r="A26" s="39" t="n"/>
      <c r="B26" s="29" t="n"/>
      <c r="C26" s="29" t="n"/>
      <c r="D26" s="39" t="n"/>
      <c r="E26" s="39" t="n"/>
      <c r="F26" s="29" t="n"/>
      <c r="G26" s="39" t="n"/>
      <c r="H26" s="29" t="n"/>
      <c r="I26" s="32">
        <f>IF($E26="","",IFERROR(INDEX(COA!$B:$B,MATCH($E26,COA!$A:$A,0)),"حساب غير موجود"))</f>
        <v/>
      </c>
      <c r="J26" s="32">
        <f>IF($A26="","",IF(COUNTIF($A:$A,$A26)&gt;1,"كود مكرر",IF(COUNTIF($E:$E,$E26)&gt;1,"حساب الأستاذ مستخدم لخزينة أخرى",IF(COUNTIFS(COA!$A:$A,$E26,COA!$R:$R,1,COA!$H:$H,1)&lt;&gt;1,"الحساب غير موجود أو غير نقدي أو غير قابل للترحيل",IF(COUNTIF(Locations!$A:$A,$D26)=0,"الموقع غير معرف","")))))</f>
        <v/>
      </c>
    </row>
    <row r="27">
      <c r="A27" s="39" t="n"/>
      <c r="B27" s="29" t="n"/>
      <c r="C27" s="29" t="n"/>
      <c r="D27" s="39" t="n"/>
      <c r="E27" s="39" t="n"/>
      <c r="F27" s="29" t="n"/>
      <c r="G27" s="39" t="n"/>
      <c r="H27" s="29" t="n"/>
      <c r="I27" s="32">
        <f>IF($E27="","",IFERROR(INDEX(COA!$B:$B,MATCH($E27,COA!$A:$A,0)),"حساب غير موجود"))</f>
        <v/>
      </c>
      <c r="J27" s="32">
        <f>IF($A27="","",IF(COUNTIF($A:$A,$A27)&gt;1,"كود مكرر",IF(COUNTIF($E:$E,$E27)&gt;1,"حساب الأستاذ مستخدم لخزينة أخرى",IF(COUNTIFS(COA!$A:$A,$E27,COA!$R:$R,1,COA!$H:$H,1)&lt;&gt;1,"الحساب غير موجود أو غير نقدي أو غير قابل للترحيل",IF(COUNTIF(Locations!$A:$A,$D27)=0,"الموقع غير معرف","")))))</f>
        <v/>
      </c>
    </row>
    <row r="28">
      <c r="A28" s="39" t="n"/>
      <c r="B28" s="29" t="n"/>
      <c r="C28" s="29" t="n"/>
      <c r="D28" s="39" t="n"/>
      <c r="E28" s="39" t="n"/>
      <c r="F28" s="29" t="n"/>
      <c r="G28" s="39" t="n"/>
      <c r="H28" s="29" t="n"/>
      <c r="I28" s="32">
        <f>IF($E28="","",IFERROR(INDEX(COA!$B:$B,MATCH($E28,COA!$A:$A,0)),"حساب غير موجود"))</f>
        <v/>
      </c>
      <c r="J28" s="32">
        <f>IF($A28="","",IF(COUNTIF($A:$A,$A28)&gt;1,"كود مكرر",IF(COUNTIF($E:$E,$E28)&gt;1,"حساب الأستاذ مستخدم لخزينة أخرى",IF(COUNTIFS(COA!$A:$A,$E28,COA!$R:$R,1,COA!$H:$H,1)&lt;&gt;1,"الحساب غير موجود أو غير نقدي أو غير قابل للترحيل",IF(COUNTIF(Locations!$A:$A,$D28)=0,"الموقع غير معرف","")))))</f>
        <v/>
      </c>
    </row>
    <row r="29">
      <c r="A29" s="39" t="n"/>
      <c r="B29" s="29" t="n"/>
      <c r="C29" s="29" t="n"/>
      <c r="D29" s="39" t="n"/>
      <c r="E29" s="39" t="n"/>
      <c r="F29" s="29" t="n"/>
      <c r="G29" s="39" t="n"/>
      <c r="H29" s="29" t="n"/>
      <c r="I29" s="32">
        <f>IF($E29="","",IFERROR(INDEX(COA!$B:$B,MATCH($E29,COA!$A:$A,0)),"حساب غير موجود"))</f>
        <v/>
      </c>
      <c r="J29" s="32">
        <f>IF($A29="","",IF(COUNTIF($A:$A,$A29)&gt;1,"كود مكرر",IF(COUNTIF($E:$E,$E29)&gt;1,"حساب الأستاذ مستخدم لخزينة أخرى",IF(COUNTIFS(COA!$A:$A,$E29,COA!$R:$R,1,COA!$H:$H,1)&lt;&gt;1,"الحساب غير موجود أو غير نقدي أو غير قابل للترحيل",IF(COUNTIF(Locations!$A:$A,$D29)=0,"الموقع غير معرف","")))))</f>
        <v/>
      </c>
    </row>
    <row r="30">
      <c r="A30" s="39" t="n"/>
      <c r="B30" s="29" t="n"/>
      <c r="C30" s="29" t="n"/>
      <c r="D30" s="39" t="n"/>
      <c r="E30" s="39" t="n"/>
      <c r="F30" s="29" t="n"/>
      <c r="G30" s="39" t="n"/>
      <c r="H30" s="29" t="n"/>
      <c r="I30" s="32">
        <f>IF($E30="","",IFERROR(INDEX(COA!$B:$B,MATCH($E30,COA!$A:$A,0)),"حساب غير موجود"))</f>
        <v/>
      </c>
      <c r="J30" s="32">
        <f>IF($A30="","",IF(COUNTIF($A:$A,$A30)&gt;1,"كود مكرر",IF(COUNTIF($E:$E,$E30)&gt;1,"حساب الأستاذ مستخدم لخزينة أخرى",IF(COUNTIFS(COA!$A:$A,$E30,COA!$R:$R,1,COA!$H:$H,1)&lt;&gt;1,"الحساب غير موجود أو غير نقدي أو غير قابل للترحيل",IF(COUNTIF(Locations!$A:$A,$D30)=0,"الموقع غير معرف","")))))</f>
        <v/>
      </c>
    </row>
    <row r="31">
      <c r="A31" s="39" t="n"/>
      <c r="B31" s="29" t="n"/>
      <c r="C31" s="29" t="n"/>
      <c r="D31" s="39" t="n"/>
      <c r="E31" s="39" t="n"/>
      <c r="F31" s="29" t="n"/>
      <c r="G31" s="39" t="n"/>
      <c r="H31" s="29" t="n"/>
      <c r="I31" s="32">
        <f>IF($E31="","",IFERROR(INDEX(COA!$B:$B,MATCH($E31,COA!$A:$A,0)),"حساب غير موجود"))</f>
        <v/>
      </c>
      <c r="J31" s="32">
        <f>IF($A31="","",IF(COUNTIF($A:$A,$A31)&gt;1,"كود مكرر",IF(COUNTIF($E:$E,$E31)&gt;1,"حساب الأستاذ مستخدم لخزينة أخرى",IF(COUNTIFS(COA!$A:$A,$E31,COA!$R:$R,1,COA!$H:$H,1)&lt;&gt;1,"الحساب غير موجود أو غير نقدي أو غير قابل للترحيل",IF(COUNTIF(Locations!$A:$A,$D31)=0,"الموقع غير معرف","")))))</f>
        <v/>
      </c>
    </row>
    <row r="32">
      <c r="A32" s="39" t="n"/>
      <c r="B32" s="29" t="n"/>
      <c r="C32" s="29" t="n"/>
      <c r="D32" s="39" t="n"/>
      <c r="E32" s="39" t="n"/>
      <c r="F32" s="29" t="n"/>
      <c r="G32" s="39" t="n"/>
      <c r="H32" s="29" t="n"/>
      <c r="I32" s="32">
        <f>IF($E32="","",IFERROR(INDEX(COA!$B:$B,MATCH($E32,COA!$A:$A,0)),"حساب غير موجود"))</f>
        <v/>
      </c>
      <c r="J32" s="32">
        <f>IF($A32="","",IF(COUNTIF($A:$A,$A32)&gt;1,"كود مكرر",IF(COUNTIF($E:$E,$E32)&gt;1,"حساب الأستاذ مستخدم لخزينة أخرى",IF(COUNTIFS(COA!$A:$A,$E32,COA!$R:$R,1,COA!$H:$H,1)&lt;&gt;1,"الحساب غير موجود أو غير نقدي أو غير قابل للترحيل",IF(COUNTIF(Locations!$A:$A,$D32)=0,"الموقع غير معرف","")))))</f>
        <v/>
      </c>
    </row>
    <row r="33">
      <c r="A33" s="39" t="n"/>
      <c r="B33" s="29" t="n"/>
      <c r="C33" s="29" t="n"/>
      <c r="D33" s="39" t="n"/>
      <c r="E33" s="39" t="n"/>
      <c r="F33" s="29" t="n"/>
      <c r="G33" s="39" t="n"/>
      <c r="H33" s="29" t="n"/>
      <c r="I33" s="32">
        <f>IF($E33="","",IFERROR(INDEX(COA!$B:$B,MATCH($E33,COA!$A:$A,0)),"حساب غير موجود"))</f>
        <v/>
      </c>
      <c r="J33" s="32">
        <f>IF($A33="","",IF(COUNTIF($A:$A,$A33)&gt;1,"كود مكرر",IF(COUNTIF($E:$E,$E33)&gt;1,"حساب الأستاذ مستخدم لخزينة أخرى",IF(COUNTIFS(COA!$A:$A,$E33,COA!$R:$R,1,COA!$H:$H,1)&lt;&gt;1,"الحساب غير موجود أو غير نقدي أو غير قابل للترحيل",IF(COUNTIF(Locations!$A:$A,$D33)=0,"الموقع غير معرف","")))))</f>
        <v/>
      </c>
    </row>
    <row r="34">
      <c r="A34" s="39" t="n"/>
      <c r="B34" s="29" t="n"/>
      <c r="C34" s="29" t="n"/>
      <c r="D34" s="39" t="n"/>
      <c r="E34" s="39" t="n"/>
      <c r="F34" s="29" t="n"/>
      <c r="G34" s="39" t="n"/>
      <c r="H34" s="29" t="n"/>
      <c r="I34" s="32">
        <f>IF($E34="","",IFERROR(INDEX(COA!$B:$B,MATCH($E34,COA!$A:$A,0)),"حساب غير موجود"))</f>
        <v/>
      </c>
      <c r="J34" s="32">
        <f>IF($A34="","",IF(COUNTIF($A:$A,$A34)&gt;1,"كود مكرر",IF(COUNTIF($E:$E,$E34)&gt;1,"حساب الأستاذ مستخدم لخزينة أخرى",IF(COUNTIFS(COA!$A:$A,$E34,COA!$R:$R,1,COA!$H:$H,1)&lt;&gt;1,"الحساب غير موجود أو غير نقدي أو غير قابل للترحيل",IF(COUNTIF(Locations!$A:$A,$D34)=0,"الموقع غير معرف","")))))</f>
        <v/>
      </c>
    </row>
  </sheetData>
  <sheetProtection selectLockedCells="0" selectUnlockedCells="0" sheet="1" objects="0" insertRows="1" insertHyperlinks="1" autoFilter="0" scenarios="0" formatColumns="0" deleteColumns="1" insertColumns="1" pivotTables="1" deleteRows="1" formatCells="0" formatRows="0" sort="1"/>
  <autoFilter ref="A4:J34"/>
  <conditionalFormatting sqref="J5:J34">
    <cfRule type="expression" priority="1" dxfId="3">
      <formula>LEN(J5)&gt;0</formula>
    </cfRule>
  </conditionalFormatting>
  <dataValidations count="4">
    <dataValidation sqref="C5:C34" showDropDown="0" showInputMessage="0" showErrorMessage="1" allowBlank="1" errorTitle="قيمة غير مسموحة" error="اختر قيمة من القائمة المنسدلة." type="list">
      <formula1>=Lists!$AF$5:$AF$7</formula1>
    </dataValidation>
    <dataValidation sqref="D5:D34" showDropDown="0" showInputMessage="0" showErrorMessage="1" allowBlank="1" errorTitle="قيمة غير مسموحة" error="اختر قيمة من القائمة المنسدلة." type="list">
      <formula1>=Locations!$A$5:$A$34</formula1>
    </dataValidation>
    <dataValidation sqref="E5:E34" showDropDown="0" showInputMessage="0" showErrorMessage="1" allowBlank="1" errorTitle="قيمة غير مسموحة" error="اختر قيمة من القائمة المنسدلة." type="list">
      <formula1>=COA!$A$5:$A$254</formula1>
    </dataValidation>
    <dataValidation sqref="G5:G34" showDropDown="0" showInputMessage="0" showErrorMessage="1" allowBlank="1" errorTitle="قيمة غير مسموحة" error="اختر قيمة من القائمة المنسدلة." type="list">
      <formula1>=Lists!$R$5:$R$6</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tabColor rgb="002E75B6"/>
    <outlinePr summaryBelow="1" summaryRight="1"/>
    <pageSetUpPr fitToPage="1"/>
  </sheetPr>
  <dimension ref="A1:H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28" customWidth="1" min="3" max="3"/>
    <col width="18" customWidth="1" min="4" max="4"/>
    <col width="12" customWidth="1" min="5" max="5"/>
    <col width="7" customWidth="1" min="6" max="6"/>
    <col width="26" customWidth="1" min="7" max="7"/>
    <col width="30" customWidth="1" min="8" max="8"/>
  </cols>
  <sheetData>
    <row r="1" ht="26" customHeight="1">
      <c r="A1" s="22" t="inlineStr">
        <is>
          <t>المستخدمون والصلاحيات (Users)</t>
        </is>
      </c>
      <c r="B1" s="1" t="n"/>
      <c r="C1" s="1" t="n"/>
      <c r="D1" s="1" t="n"/>
      <c r="E1" s="1" t="n"/>
      <c r="F1" s="1" t="n"/>
      <c r="G1" s="1" t="n"/>
      <c r="H1" s="1" t="n"/>
    </row>
    <row r="2">
      <c r="A2" s="35" t="inlineStr">
        <is>
          <t>تُستخدم أسماؤهم في خانات المُعِد والمعتمد. الصلاحيات الفعلية تُضبط في مشاركة Google Sheets وحماية الأوراق.</t>
        </is>
      </c>
    </row>
    <row r="3">
      <c r="A3" s="36" t="inlineStr">
        <is>
          <t>خلايا الإدخال</t>
        </is>
      </c>
      <c r="B3" s="37" t="inlineStr">
        <is>
          <t>معادلات (لا تعدّل)</t>
        </is>
      </c>
    </row>
    <row r="4" ht="34" customHeight="1">
      <c r="A4" s="24" t="inlineStr">
        <is>
          <t>كود المستخدم</t>
        </is>
      </c>
      <c r="B4" s="24" t="inlineStr">
        <is>
          <t>الاسم (يُستخدم في الخانات)</t>
        </is>
      </c>
      <c r="C4" s="24" t="inlineStr">
        <is>
          <t>بريد جوجل</t>
        </is>
      </c>
      <c r="D4" s="24" t="inlineStr">
        <is>
          <t>الدور</t>
        </is>
      </c>
      <c r="E4" s="24" t="inlineStr">
        <is>
          <t>نطاق الموقع</t>
        </is>
      </c>
      <c r="F4" s="24" t="inlineStr">
        <is>
          <t>نشط</t>
        </is>
      </c>
      <c r="G4" s="24" t="inlineStr">
        <is>
          <t>ملاحظات</t>
        </is>
      </c>
      <c r="H4" s="38" t="inlineStr">
        <is>
          <t>فحص</t>
        </is>
      </c>
    </row>
    <row r="5">
      <c r="A5" s="39" t="n"/>
      <c r="B5" s="29" t="n"/>
      <c r="C5" s="29" t="n"/>
      <c r="D5" s="29" t="n"/>
      <c r="E5" s="29" t="n"/>
      <c r="F5" s="39" t="n"/>
      <c r="G5" s="29" t="n"/>
      <c r="H5" s="32">
        <f>IF($A5="","",IF(COUNTIF($B:$B,$B5)&gt;1,"اسم مكرر",IF($D5="","الدور ناقص","")))</f>
        <v/>
      </c>
    </row>
    <row r="6">
      <c r="A6" s="39" t="n"/>
      <c r="B6" s="29" t="n"/>
      <c r="C6" s="29" t="n"/>
      <c r="D6" s="29" t="n"/>
      <c r="E6" s="29" t="n"/>
      <c r="F6" s="39" t="n"/>
      <c r="G6" s="29" t="n"/>
      <c r="H6" s="32">
        <f>IF($A6="","",IF(COUNTIF($B:$B,$B6)&gt;1,"اسم مكرر",IF($D6="","الدور ناقص","")))</f>
        <v/>
      </c>
    </row>
    <row r="7">
      <c r="A7" s="39" t="n"/>
      <c r="B7" s="29" t="n"/>
      <c r="C7" s="29" t="n"/>
      <c r="D7" s="29" t="n"/>
      <c r="E7" s="29" t="n"/>
      <c r="F7" s="39" t="n"/>
      <c r="G7" s="29" t="n"/>
      <c r="H7" s="32">
        <f>IF($A7="","",IF(COUNTIF($B:$B,$B7)&gt;1,"اسم مكرر",IF($D7="","الدور ناقص","")))</f>
        <v/>
      </c>
    </row>
    <row r="8">
      <c r="A8" s="39" t="n"/>
      <c r="B8" s="29" t="n"/>
      <c r="C8" s="29" t="n"/>
      <c r="D8" s="29" t="n"/>
      <c r="E8" s="29" t="n"/>
      <c r="F8" s="39" t="n"/>
      <c r="G8" s="29" t="n"/>
      <c r="H8" s="32">
        <f>IF($A8="","",IF(COUNTIF($B:$B,$B8)&gt;1,"اسم مكرر",IF($D8="","الدور ناقص","")))</f>
        <v/>
      </c>
    </row>
    <row r="9">
      <c r="A9" s="39" t="n"/>
      <c r="B9" s="29" t="n"/>
      <c r="C9" s="29" t="n"/>
      <c r="D9" s="29" t="n"/>
      <c r="E9" s="29" t="n"/>
      <c r="F9" s="39" t="n"/>
      <c r="G9" s="29" t="n"/>
      <c r="H9" s="32">
        <f>IF($A9="","",IF(COUNTIF($B:$B,$B9)&gt;1,"اسم مكرر",IF($D9="","الدور ناقص","")))</f>
        <v/>
      </c>
    </row>
    <row r="10">
      <c r="A10" s="39" t="n"/>
      <c r="B10" s="29" t="n"/>
      <c r="C10" s="29" t="n"/>
      <c r="D10" s="29" t="n"/>
      <c r="E10" s="29" t="n"/>
      <c r="F10" s="39" t="n"/>
      <c r="G10" s="29" t="n"/>
      <c r="H10" s="32">
        <f>IF($A10="","",IF(COUNTIF($B:$B,$B10)&gt;1,"اسم مكرر",IF($D10="","الدور ناقص","")))</f>
        <v/>
      </c>
    </row>
    <row r="11">
      <c r="A11" s="39" t="n"/>
      <c r="B11" s="29" t="n"/>
      <c r="C11" s="29" t="n"/>
      <c r="D11" s="29" t="n"/>
      <c r="E11" s="29" t="n"/>
      <c r="F11" s="39" t="n"/>
      <c r="G11" s="29" t="n"/>
      <c r="H11" s="32">
        <f>IF($A11="","",IF(COUNTIF($B:$B,$B11)&gt;1,"اسم مكرر",IF($D11="","الدور ناقص","")))</f>
        <v/>
      </c>
    </row>
    <row r="12">
      <c r="A12" s="39" t="n"/>
      <c r="B12" s="29" t="n"/>
      <c r="C12" s="29" t="n"/>
      <c r="D12" s="29" t="n"/>
      <c r="E12" s="29" t="n"/>
      <c r="F12" s="39" t="n"/>
      <c r="G12" s="29" t="n"/>
      <c r="H12" s="32">
        <f>IF($A12="","",IF(COUNTIF($B:$B,$B12)&gt;1,"اسم مكرر",IF($D12="","الدور ناقص","")))</f>
        <v/>
      </c>
    </row>
    <row r="13">
      <c r="A13" s="39" t="n"/>
      <c r="B13" s="29" t="n"/>
      <c r="C13" s="29" t="n"/>
      <c r="D13" s="29" t="n"/>
      <c r="E13" s="29" t="n"/>
      <c r="F13" s="39" t="n"/>
      <c r="G13" s="29" t="n"/>
      <c r="H13" s="32">
        <f>IF($A13="","",IF(COUNTIF($B:$B,$B13)&gt;1,"اسم مكرر",IF($D13="","الدور ناقص","")))</f>
        <v/>
      </c>
    </row>
    <row r="14">
      <c r="A14" s="39" t="n"/>
      <c r="B14" s="29" t="n"/>
      <c r="C14" s="29" t="n"/>
      <c r="D14" s="29" t="n"/>
      <c r="E14" s="29" t="n"/>
      <c r="F14" s="39" t="n"/>
      <c r="G14" s="29" t="n"/>
      <c r="H14" s="32">
        <f>IF($A14="","",IF(COUNTIF($B:$B,$B14)&gt;1,"اسم مكرر",IF($D14="","الدور ناقص","")))</f>
        <v/>
      </c>
    </row>
    <row r="15">
      <c r="A15" s="39" t="n"/>
      <c r="B15" s="29" t="n"/>
      <c r="C15" s="29" t="n"/>
      <c r="D15" s="29" t="n"/>
      <c r="E15" s="29" t="n"/>
      <c r="F15" s="39" t="n"/>
      <c r="G15" s="29" t="n"/>
      <c r="H15" s="32">
        <f>IF($A15="","",IF(COUNTIF($B:$B,$B15)&gt;1,"اسم مكرر",IF($D15="","الدور ناقص","")))</f>
        <v/>
      </c>
    </row>
    <row r="16">
      <c r="A16" s="39" t="n"/>
      <c r="B16" s="29" t="n"/>
      <c r="C16" s="29" t="n"/>
      <c r="D16" s="29" t="n"/>
      <c r="E16" s="29" t="n"/>
      <c r="F16" s="39" t="n"/>
      <c r="G16" s="29" t="n"/>
      <c r="H16" s="32">
        <f>IF($A16="","",IF(COUNTIF($B:$B,$B16)&gt;1,"اسم مكرر",IF($D16="","الدور ناقص","")))</f>
        <v/>
      </c>
    </row>
    <row r="17">
      <c r="A17" s="39" t="n"/>
      <c r="B17" s="29" t="n"/>
      <c r="C17" s="29" t="n"/>
      <c r="D17" s="29" t="n"/>
      <c r="E17" s="29" t="n"/>
      <c r="F17" s="39" t="n"/>
      <c r="G17" s="29" t="n"/>
      <c r="H17" s="32">
        <f>IF($A17="","",IF(COUNTIF($B:$B,$B17)&gt;1,"اسم مكرر",IF($D17="","الدور ناقص","")))</f>
        <v/>
      </c>
    </row>
    <row r="18">
      <c r="A18" s="39" t="n"/>
      <c r="B18" s="29" t="n"/>
      <c r="C18" s="29" t="n"/>
      <c r="D18" s="29" t="n"/>
      <c r="E18" s="29" t="n"/>
      <c r="F18" s="39" t="n"/>
      <c r="G18" s="29" t="n"/>
      <c r="H18" s="32">
        <f>IF($A18="","",IF(COUNTIF($B:$B,$B18)&gt;1,"اسم مكرر",IF($D18="","الدور ناقص","")))</f>
        <v/>
      </c>
    </row>
    <row r="19">
      <c r="A19" s="39" t="n"/>
      <c r="B19" s="29" t="n"/>
      <c r="C19" s="29" t="n"/>
      <c r="D19" s="29" t="n"/>
      <c r="E19" s="29" t="n"/>
      <c r="F19" s="39" t="n"/>
      <c r="G19" s="29" t="n"/>
      <c r="H19" s="32">
        <f>IF($A19="","",IF(COUNTIF($B:$B,$B19)&gt;1,"اسم مكرر",IF($D19="","الدور ناقص","")))</f>
        <v/>
      </c>
    </row>
    <row r="20">
      <c r="A20" s="39" t="n"/>
      <c r="B20" s="29" t="n"/>
      <c r="C20" s="29" t="n"/>
      <c r="D20" s="29" t="n"/>
      <c r="E20" s="29" t="n"/>
      <c r="F20" s="39" t="n"/>
      <c r="G20" s="29" t="n"/>
      <c r="H20" s="32">
        <f>IF($A20="","",IF(COUNTIF($B:$B,$B20)&gt;1,"اسم مكرر",IF($D20="","الدور ناقص","")))</f>
        <v/>
      </c>
    </row>
    <row r="21">
      <c r="A21" s="39" t="n"/>
      <c r="B21" s="29" t="n"/>
      <c r="C21" s="29" t="n"/>
      <c r="D21" s="29" t="n"/>
      <c r="E21" s="29" t="n"/>
      <c r="F21" s="39" t="n"/>
      <c r="G21" s="29" t="n"/>
      <c r="H21" s="32">
        <f>IF($A21="","",IF(COUNTIF($B:$B,$B21)&gt;1,"اسم مكرر",IF($D21="","الدور ناقص","")))</f>
        <v/>
      </c>
    </row>
    <row r="22">
      <c r="A22" s="39" t="n"/>
      <c r="B22" s="29" t="n"/>
      <c r="C22" s="29" t="n"/>
      <c r="D22" s="29" t="n"/>
      <c r="E22" s="29" t="n"/>
      <c r="F22" s="39" t="n"/>
      <c r="G22" s="29" t="n"/>
      <c r="H22" s="32">
        <f>IF($A22="","",IF(COUNTIF($B:$B,$B22)&gt;1,"اسم مكرر",IF($D22="","الدور ناقص","")))</f>
        <v/>
      </c>
    </row>
    <row r="23">
      <c r="A23" s="39" t="n"/>
      <c r="B23" s="29" t="n"/>
      <c r="C23" s="29" t="n"/>
      <c r="D23" s="29" t="n"/>
      <c r="E23" s="29" t="n"/>
      <c r="F23" s="39" t="n"/>
      <c r="G23" s="29" t="n"/>
      <c r="H23" s="32">
        <f>IF($A23="","",IF(COUNTIF($B:$B,$B23)&gt;1,"اسم مكرر",IF($D23="","الدور ناقص","")))</f>
        <v/>
      </c>
    </row>
    <row r="24">
      <c r="A24" s="39" t="n"/>
      <c r="B24" s="29" t="n"/>
      <c r="C24" s="29" t="n"/>
      <c r="D24" s="29" t="n"/>
      <c r="E24" s="29" t="n"/>
      <c r="F24" s="39" t="n"/>
      <c r="G24" s="29" t="n"/>
      <c r="H24" s="32">
        <f>IF($A24="","",IF(COUNTIF($B:$B,$B24)&gt;1,"اسم مكرر",IF($D24="","الدور ناقص","")))</f>
        <v/>
      </c>
    </row>
    <row r="25">
      <c r="A25" s="39" t="n"/>
      <c r="B25" s="29" t="n"/>
      <c r="C25" s="29" t="n"/>
      <c r="D25" s="29" t="n"/>
      <c r="E25" s="29" t="n"/>
      <c r="F25" s="39" t="n"/>
      <c r="G25" s="29" t="n"/>
      <c r="H25" s="32">
        <f>IF($A25="","",IF(COUNTIF($B:$B,$B25)&gt;1,"اسم مكرر",IF($D25="","الدور ناقص","")))</f>
        <v/>
      </c>
    </row>
    <row r="26">
      <c r="A26" s="39" t="n"/>
      <c r="B26" s="29" t="n"/>
      <c r="C26" s="29" t="n"/>
      <c r="D26" s="29" t="n"/>
      <c r="E26" s="29" t="n"/>
      <c r="F26" s="39" t="n"/>
      <c r="G26" s="29" t="n"/>
      <c r="H26" s="32">
        <f>IF($A26="","",IF(COUNTIF($B:$B,$B26)&gt;1,"اسم مكرر",IF($D26="","الدور ناقص","")))</f>
        <v/>
      </c>
    </row>
    <row r="27">
      <c r="A27" s="39" t="n"/>
      <c r="B27" s="29" t="n"/>
      <c r="C27" s="29" t="n"/>
      <c r="D27" s="29" t="n"/>
      <c r="E27" s="29" t="n"/>
      <c r="F27" s="39" t="n"/>
      <c r="G27" s="29" t="n"/>
      <c r="H27" s="32">
        <f>IF($A27="","",IF(COUNTIF($B:$B,$B27)&gt;1,"اسم مكرر",IF($D27="","الدور ناقص","")))</f>
        <v/>
      </c>
    </row>
    <row r="28">
      <c r="A28" s="39" t="n"/>
      <c r="B28" s="29" t="n"/>
      <c r="C28" s="29" t="n"/>
      <c r="D28" s="29" t="n"/>
      <c r="E28" s="29" t="n"/>
      <c r="F28" s="39" t="n"/>
      <c r="G28" s="29" t="n"/>
      <c r="H28" s="32">
        <f>IF($A28="","",IF(COUNTIF($B:$B,$B28)&gt;1,"اسم مكرر",IF($D28="","الدور ناقص","")))</f>
        <v/>
      </c>
    </row>
    <row r="29">
      <c r="A29" s="39" t="n"/>
      <c r="B29" s="29" t="n"/>
      <c r="C29" s="29" t="n"/>
      <c r="D29" s="29" t="n"/>
      <c r="E29" s="29" t="n"/>
      <c r="F29" s="39" t="n"/>
      <c r="G29" s="29" t="n"/>
      <c r="H29" s="32">
        <f>IF($A29="","",IF(COUNTIF($B:$B,$B29)&gt;1,"اسم مكرر",IF($D29="","الدور ناقص","")))</f>
        <v/>
      </c>
    </row>
    <row r="30">
      <c r="A30" s="39" t="n"/>
      <c r="B30" s="29" t="n"/>
      <c r="C30" s="29" t="n"/>
      <c r="D30" s="29" t="n"/>
      <c r="E30" s="29" t="n"/>
      <c r="F30" s="39" t="n"/>
      <c r="G30" s="29" t="n"/>
      <c r="H30" s="32">
        <f>IF($A30="","",IF(COUNTIF($B:$B,$B30)&gt;1,"اسم مكرر",IF($D30="","الدور ناقص","")))</f>
        <v/>
      </c>
    </row>
    <row r="31">
      <c r="A31" s="39" t="n"/>
      <c r="B31" s="29" t="n"/>
      <c r="C31" s="29" t="n"/>
      <c r="D31" s="29" t="n"/>
      <c r="E31" s="29" t="n"/>
      <c r="F31" s="39" t="n"/>
      <c r="G31" s="29" t="n"/>
      <c r="H31" s="32">
        <f>IF($A31="","",IF(COUNTIF($B:$B,$B31)&gt;1,"اسم مكرر",IF($D31="","الدور ناقص","")))</f>
        <v/>
      </c>
    </row>
    <row r="32">
      <c r="A32" s="39" t="n"/>
      <c r="B32" s="29" t="n"/>
      <c r="C32" s="29" t="n"/>
      <c r="D32" s="29" t="n"/>
      <c r="E32" s="29" t="n"/>
      <c r="F32" s="39" t="n"/>
      <c r="G32" s="29" t="n"/>
      <c r="H32" s="32">
        <f>IF($A32="","",IF(COUNTIF($B:$B,$B32)&gt;1,"اسم مكرر",IF($D32="","الدور ناقص","")))</f>
        <v/>
      </c>
    </row>
    <row r="33">
      <c r="A33" s="39" t="n"/>
      <c r="B33" s="29" t="n"/>
      <c r="C33" s="29" t="n"/>
      <c r="D33" s="29" t="n"/>
      <c r="E33" s="29" t="n"/>
      <c r="F33" s="39" t="n"/>
      <c r="G33" s="29" t="n"/>
      <c r="H33" s="32">
        <f>IF($A33="","",IF(COUNTIF($B:$B,$B33)&gt;1,"اسم مكرر",IF($D33="","الدور ناقص","")))</f>
        <v/>
      </c>
    </row>
    <row r="34">
      <c r="A34" s="39" t="n"/>
      <c r="B34" s="29" t="n"/>
      <c r="C34" s="29" t="n"/>
      <c r="D34" s="29" t="n"/>
      <c r="E34" s="29" t="n"/>
      <c r="F34" s="39" t="n"/>
      <c r="G34" s="29" t="n"/>
      <c r="H34" s="32">
        <f>IF($A34="","",IF(COUNTIF($B:$B,$B34)&gt;1,"اسم مكرر",IF($D34="","الدور ناقص","")))</f>
        <v/>
      </c>
    </row>
    <row r="35">
      <c r="A35" s="39" t="n"/>
      <c r="B35" s="29" t="n"/>
      <c r="C35" s="29" t="n"/>
      <c r="D35" s="29" t="n"/>
      <c r="E35" s="29" t="n"/>
      <c r="F35" s="39" t="n"/>
      <c r="G35" s="29" t="n"/>
      <c r="H35" s="32">
        <f>IF($A35="","",IF(COUNTIF($B:$B,$B35)&gt;1,"اسم مكرر",IF($D35="","الدور ناقص","")))</f>
        <v/>
      </c>
    </row>
    <row r="36">
      <c r="A36" s="39" t="n"/>
      <c r="B36" s="29" t="n"/>
      <c r="C36" s="29" t="n"/>
      <c r="D36" s="29" t="n"/>
      <c r="E36" s="29" t="n"/>
      <c r="F36" s="39" t="n"/>
      <c r="G36" s="29" t="n"/>
      <c r="H36" s="32">
        <f>IF($A36="","",IF(COUNTIF($B:$B,$B36)&gt;1,"اسم مكرر",IF($D36="","الدور ناقص","")))</f>
        <v/>
      </c>
    </row>
    <row r="37">
      <c r="A37" s="39" t="n"/>
      <c r="B37" s="29" t="n"/>
      <c r="C37" s="29" t="n"/>
      <c r="D37" s="29" t="n"/>
      <c r="E37" s="29" t="n"/>
      <c r="F37" s="39" t="n"/>
      <c r="G37" s="29" t="n"/>
      <c r="H37" s="32">
        <f>IF($A37="","",IF(COUNTIF($B:$B,$B37)&gt;1,"اسم مكرر",IF($D37="","الدور ناقص","")))</f>
        <v/>
      </c>
    </row>
    <row r="38">
      <c r="A38" s="39" t="n"/>
      <c r="B38" s="29" t="n"/>
      <c r="C38" s="29" t="n"/>
      <c r="D38" s="29" t="n"/>
      <c r="E38" s="29" t="n"/>
      <c r="F38" s="39" t="n"/>
      <c r="G38" s="29" t="n"/>
      <c r="H38" s="32">
        <f>IF($A38="","",IF(COUNTIF($B:$B,$B38)&gt;1,"اسم مكرر",IF($D38="","الدور ناقص","")))</f>
        <v/>
      </c>
    </row>
    <row r="39">
      <c r="A39" s="39" t="n"/>
      <c r="B39" s="29" t="n"/>
      <c r="C39" s="29" t="n"/>
      <c r="D39" s="29" t="n"/>
      <c r="E39" s="29" t="n"/>
      <c r="F39" s="39" t="n"/>
      <c r="G39" s="29" t="n"/>
      <c r="H39" s="32">
        <f>IF($A39="","",IF(COUNTIF($B:$B,$B39)&gt;1,"اسم مكرر",IF($D39="","الدور ناقص","")))</f>
        <v/>
      </c>
    </row>
    <row r="40">
      <c r="A40" s="39" t="n"/>
      <c r="B40" s="29" t="n"/>
      <c r="C40" s="29" t="n"/>
      <c r="D40" s="29" t="n"/>
      <c r="E40" s="29" t="n"/>
      <c r="F40" s="39" t="n"/>
      <c r="G40" s="29" t="n"/>
      <c r="H40" s="32">
        <f>IF($A40="","",IF(COUNTIF($B:$B,$B40)&gt;1,"اسم مكرر",IF($D40="","الدور ناقص","")))</f>
        <v/>
      </c>
    </row>
    <row r="41">
      <c r="A41" s="39" t="n"/>
      <c r="B41" s="29" t="n"/>
      <c r="C41" s="29" t="n"/>
      <c r="D41" s="29" t="n"/>
      <c r="E41" s="29" t="n"/>
      <c r="F41" s="39" t="n"/>
      <c r="G41" s="29" t="n"/>
      <c r="H41" s="32">
        <f>IF($A41="","",IF(COUNTIF($B:$B,$B41)&gt;1,"اسم مكرر",IF($D41="","الدور ناقص","")))</f>
        <v/>
      </c>
    </row>
    <row r="42">
      <c r="A42" s="39" t="n"/>
      <c r="B42" s="29" t="n"/>
      <c r="C42" s="29" t="n"/>
      <c r="D42" s="29" t="n"/>
      <c r="E42" s="29" t="n"/>
      <c r="F42" s="39" t="n"/>
      <c r="G42" s="29" t="n"/>
      <c r="H42" s="32">
        <f>IF($A42="","",IF(COUNTIF($B:$B,$B42)&gt;1,"اسم مكرر",IF($D42="","الدور ناقص","")))</f>
        <v/>
      </c>
    </row>
    <row r="43">
      <c r="A43" s="39" t="n"/>
      <c r="B43" s="29" t="n"/>
      <c r="C43" s="29" t="n"/>
      <c r="D43" s="29" t="n"/>
      <c r="E43" s="29" t="n"/>
      <c r="F43" s="39" t="n"/>
      <c r="G43" s="29" t="n"/>
      <c r="H43" s="32">
        <f>IF($A43="","",IF(COUNTIF($B:$B,$B43)&gt;1,"اسم مكرر",IF($D43="","الدور ناقص","")))</f>
        <v/>
      </c>
    </row>
    <row r="44">
      <c r="A44" s="39" t="n"/>
      <c r="B44" s="29" t="n"/>
      <c r="C44" s="29" t="n"/>
      <c r="D44" s="29" t="n"/>
      <c r="E44" s="29" t="n"/>
      <c r="F44" s="39" t="n"/>
      <c r="G44" s="29" t="n"/>
      <c r="H44" s="32">
        <f>IF($A44="","",IF(COUNTIF($B:$B,$B44)&gt;1,"اسم مكرر",IF($D44="","الدور ناقص","")))</f>
        <v/>
      </c>
    </row>
  </sheetData>
  <sheetProtection selectLockedCells="0" selectUnlockedCells="0" sheet="1" objects="0" insertRows="1" insertHyperlinks="1" autoFilter="0" scenarios="0" formatColumns="0" deleteColumns="1" insertColumns="1" pivotTables="1" deleteRows="1" formatCells="0" formatRows="0" sort="1"/>
  <autoFilter ref="A4:H44"/>
  <conditionalFormatting sqref="H5:H44">
    <cfRule type="expression" priority="1" dxfId="3">
      <formula>LEN(H5)&gt;0</formula>
    </cfRule>
  </conditionalFormatting>
  <dataValidations count="3">
    <dataValidation sqref="D5:D44" showDropDown="0" showInputMessage="0" showErrorMessage="1" allowBlank="1" errorTitle="قيمة غير مسموحة" error="اختر قيمة من القائمة المنسدلة." type="list">
      <formula1>=Lists!$AO$5:$AO$14</formula1>
    </dataValidation>
    <dataValidation sqref="E5:E44" showDropDown="0" showInputMessage="0" showErrorMessage="1" allowBlank="1" errorTitle="قيمة غير مسموحة" error="اختر قيمة من القائمة المنسدلة." type="list">
      <formula1>=Locations!$A$5:$A$34</formula1>
    </dataValidation>
    <dataValidation sqref="F5:F44" showDropDown="0" showInputMessage="0" showErrorMessage="1" allowBlank="1" errorTitle="قيمة غير مسموحة" error="اختر قيمة من القائمة المنسدلة." type="list">
      <formula1>=Lists!$R$5:$R$6</formula1>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tabColor rgb="002E75B6"/>
    <outlinePr summaryBelow="1" summaryRight="1"/>
    <pageSetUpPr/>
  </sheetPr>
  <dimension ref="A1:I30"/>
  <sheetViews>
    <sheetView rightToLeft="1" zoomScale="90" workbookViewId="0">
      <pane ySplit="4" topLeftCell="A5"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ht="26" customHeight="1">
      <c r="A1" s="22" t="inlineStr">
        <is>
          <t>مصفوفة الصلاحيات والفصل بين المسؤوليات</t>
        </is>
      </c>
      <c r="B1" s="1" t="n"/>
      <c r="C1" s="1" t="n"/>
      <c r="D1" s="1" t="n"/>
      <c r="E1" s="1" t="n"/>
      <c r="F1" s="1" t="n"/>
      <c r="G1" s="1" t="n"/>
      <c r="H1" s="1" t="n"/>
      <c r="I1" s="1" t="n"/>
    </row>
    <row r="2">
      <c r="A2" s="23" t="inlineStr">
        <is>
          <t>تطبيق فعلي: Google Sheets sharing + حماية الأوراق + مراجعة مستقلة. (✔ مسموح، ✖ غير مسموح)</t>
        </is>
      </c>
    </row>
    <row r="4">
      <c r="A4" s="24" t="inlineStr">
        <is>
          <t>الدور</t>
        </is>
      </c>
      <c r="B4" s="24" t="inlineStr">
        <is>
          <t>إضافة مستند</t>
        </is>
      </c>
      <c r="C4" s="24" t="inlineStr">
        <is>
          <t>تعديل قبل الاعتماد</t>
        </is>
      </c>
      <c r="D4" s="24" t="inlineStr">
        <is>
          <t>اعتماد</t>
        </is>
      </c>
      <c r="E4" s="24" t="inlineStr">
        <is>
          <t>ترحيل</t>
        </is>
      </c>
      <c r="F4" s="24" t="inlineStr">
        <is>
          <t>إلغاء / عكس</t>
        </is>
      </c>
      <c r="G4" s="24" t="inlineStr">
        <is>
          <t>إقفال فترة</t>
        </is>
      </c>
      <c r="H4" s="24" t="inlineStr">
        <is>
          <t>مراجعة التقارير</t>
        </is>
      </c>
      <c r="I4" s="24" t="inlineStr">
        <is>
          <t>تعديل البيانات الأساسية</t>
        </is>
      </c>
    </row>
    <row r="5">
      <c r="A5" s="25" t="inlineStr">
        <is>
          <t>الإدارة العليا</t>
        </is>
      </c>
      <c r="B5" s="25" t="inlineStr">
        <is>
          <t>✖</t>
        </is>
      </c>
      <c r="C5" s="25" t="inlineStr">
        <is>
          <t>✖</t>
        </is>
      </c>
      <c r="D5" s="25" t="inlineStr">
        <is>
          <t>✔ (نهائي للمبالغ الكبيرة)</t>
        </is>
      </c>
      <c r="E5" s="25" t="inlineStr">
        <is>
          <t>✖</t>
        </is>
      </c>
      <c r="F5" s="25" t="inlineStr">
        <is>
          <t>✖</t>
        </is>
      </c>
      <c r="G5" s="25" t="inlineStr">
        <is>
          <t>✔ (اعتماد نهائي)</t>
        </is>
      </c>
      <c r="H5" s="25" t="inlineStr">
        <is>
          <t>✔</t>
        </is>
      </c>
      <c r="I5" s="25" t="inlineStr">
        <is>
          <t>✔ (اعتماد التغيير)</t>
        </is>
      </c>
    </row>
    <row r="6">
      <c r="A6" s="25" t="inlineStr">
        <is>
          <t>المدير المالي</t>
        </is>
      </c>
      <c r="B6" s="25" t="inlineStr">
        <is>
          <t>✔</t>
        </is>
      </c>
      <c r="C6" s="25" t="inlineStr">
        <is>
          <t>✔</t>
        </is>
      </c>
      <c r="D6" s="25" t="inlineStr">
        <is>
          <t>✔</t>
        </is>
      </c>
      <c r="E6" s="25" t="inlineStr">
        <is>
          <t>✖ (لا يرحّل ما اعتمده)</t>
        </is>
      </c>
      <c r="F6" s="25" t="inlineStr">
        <is>
          <t>✔ (اعتماد)</t>
        </is>
      </c>
      <c r="G6" s="25" t="inlineStr">
        <is>
          <t>✔</t>
        </is>
      </c>
      <c r="H6" s="25" t="inlineStr">
        <is>
          <t>✔</t>
        </is>
      </c>
      <c r="I6" s="25" t="inlineStr">
        <is>
          <t>✔</t>
        </is>
      </c>
    </row>
    <row r="7">
      <c r="A7" s="25" t="inlineStr">
        <is>
          <t>المحاسب</t>
        </is>
      </c>
      <c r="B7" s="25" t="inlineStr">
        <is>
          <t>✔</t>
        </is>
      </c>
      <c r="C7" s="25" t="inlineStr">
        <is>
          <t>✔</t>
        </is>
      </c>
      <c r="D7" s="25" t="inlineStr">
        <is>
          <t>✖ (لا يعتمد ما أعدّه)</t>
        </is>
      </c>
      <c r="E7" s="25" t="inlineStr">
        <is>
          <t>✔</t>
        </is>
      </c>
      <c r="F7" s="25" t="inlineStr">
        <is>
          <t>✔ (بعد اعتماد المدير المالي)</t>
        </is>
      </c>
      <c r="G7" s="25" t="inlineStr">
        <is>
          <t>✖</t>
        </is>
      </c>
      <c r="H7" s="25" t="inlineStr">
        <is>
          <t>✔</t>
        </is>
      </c>
      <c r="I7" s="25" t="inlineStr">
        <is>
          <t>✖ (اقتراح فقط)</t>
        </is>
      </c>
    </row>
    <row r="8">
      <c r="A8" s="25" t="inlineStr">
        <is>
          <t>مراجع الحسابات</t>
        </is>
      </c>
      <c r="B8" s="25" t="inlineStr">
        <is>
          <t>✖</t>
        </is>
      </c>
      <c r="C8" s="25" t="inlineStr">
        <is>
          <t>✖</t>
        </is>
      </c>
      <c r="D8" s="25" t="inlineStr">
        <is>
          <t>✖</t>
        </is>
      </c>
      <c r="E8" s="25" t="inlineStr">
        <is>
          <t>✖</t>
        </is>
      </c>
      <c r="F8" s="25" t="inlineStr">
        <is>
          <t>✖</t>
        </is>
      </c>
      <c r="G8" s="25" t="inlineStr">
        <is>
          <t>✔ (توقيع المراجعة)</t>
        </is>
      </c>
      <c r="H8" s="25" t="inlineStr">
        <is>
          <t>✔</t>
        </is>
      </c>
      <c r="I8" s="25" t="inlineStr">
        <is>
          <t>✖</t>
        </is>
      </c>
    </row>
    <row r="9">
      <c r="A9" s="25" t="inlineStr">
        <is>
          <t>مدير فرع</t>
        </is>
      </c>
      <c r="B9" s="25" t="inlineStr">
        <is>
          <t>✔ (فرعه)</t>
        </is>
      </c>
      <c r="C9" s="25" t="inlineStr">
        <is>
          <t>✔ (فرعه)</t>
        </is>
      </c>
      <c r="D9" s="25" t="inlineStr">
        <is>
          <t>✔ (مبيعات ومصروفات فرعه)</t>
        </is>
      </c>
      <c r="E9" s="25" t="inlineStr">
        <is>
          <t>✖</t>
        </is>
      </c>
      <c r="F9" s="25" t="inlineStr">
        <is>
          <t>✖</t>
        </is>
      </c>
      <c r="G9" s="25" t="inlineStr">
        <is>
          <t>✖</t>
        </is>
      </c>
      <c r="H9" s="25" t="inlineStr">
        <is>
          <t>✔ (فرعه)</t>
        </is>
      </c>
      <c r="I9" s="25" t="inlineStr">
        <is>
          <t>✖</t>
        </is>
      </c>
    </row>
    <row r="10">
      <c r="A10" s="25" t="inlineStr">
        <is>
          <t>أمين صندوق</t>
        </is>
      </c>
      <c r="B10" s="25" t="inlineStr">
        <is>
          <t>✔ (خزينته)</t>
        </is>
      </c>
      <c r="C10" s="25" t="inlineStr">
        <is>
          <t>✔ (خزينته)</t>
        </is>
      </c>
      <c r="D10" s="25" t="inlineStr">
        <is>
          <t>✖</t>
        </is>
      </c>
      <c r="E10" s="25" t="inlineStr">
        <is>
          <t>✖</t>
        </is>
      </c>
      <c r="F10" s="25" t="inlineStr">
        <is>
          <t>✖</t>
        </is>
      </c>
      <c r="G10" s="25" t="inlineStr">
        <is>
          <t>✖</t>
        </is>
      </c>
      <c r="H10" s="25" t="inlineStr">
        <is>
          <t>✖</t>
        </is>
      </c>
      <c r="I10" s="25" t="inlineStr">
        <is>
          <t>✖</t>
        </is>
      </c>
    </row>
    <row r="11">
      <c r="A11" s="25" t="inlineStr">
        <is>
          <t>أمين مخزن</t>
        </is>
      </c>
      <c r="B11" s="25" t="inlineStr">
        <is>
          <t>✔ (مخزنه)</t>
        </is>
      </c>
      <c r="C11" s="25" t="inlineStr">
        <is>
          <t>✔ (مخزنه)</t>
        </is>
      </c>
      <c r="D11" s="25" t="inlineStr">
        <is>
          <t>✖</t>
        </is>
      </c>
      <c r="E11" s="25" t="inlineStr">
        <is>
          <t>✖</t>
        </is>
      </c>
      <c r="F11" s="25" t="inlineStr">
        <is>
          <t>✖</t>
        </is>
      </c>
      <c r="G11" s="25" t="inlineStr">
        <is>
          <t>✖</t>
        </is>
      </c>
      <c r="H11" s="25" t="inlineStr">
        <is>
          <t>✔ (مخزنه)</t>
        </is>
      </c>
      <c r="I11" s="25" t="inlineStr">
        <is>
          <t>✖</t>
        </is>
      </c>
    </row>
    <row r="12">
      <c r="A12" s="25" t="inlineStr">
        <is>
          <t>مشرف مشتريات</t>
        </is>
      </c>
      <c r="B12" s="25" t="inlineStr">
        <is>
          <t>✔ (طلبات وأوامر)</t>
        </is>
      </c>
      <c r="C12" s="25" t="inlineStr">
        <is>
          <t>✔</t>
        </is>
      </c>
      <c r="D12" s="25" t="inlineStr">
        <is>
          <t>✔ (حد صلاحية)</t>
        </is>
      </c>
      <c r="E12" s="25" t="inlineStr">
        <is>
          <t>✖</t>
        </is>
      </c>
      <c r="F12" s="25" t="inlineStr">
        <is>
          <t>✖</t>
        </is>
      </c>
      <c r="G12" s="25" t="inlineStr">
        <is>
          <t>✖</t>
        </is>
      </c>
      <c r="H12" s="25" t="inlineStr">
        <is>
          <t>✔ (المشتريات)</t>
        </is>
      </c>
      <c r="I12" s="25" t="inlineStr">
        <is>
          <t>✖</t>
        </is>
      </c>
    </row>
    <row r="13">
      <c r="A13" s="25" t="inlineStr">
        <is>
          <t>مدير إنتاج</t>
        </is>
      </c>
      <c r="B13" s="25" t="inlineStr">
        <is>
          <t>✔ (إنتاج)</t>
        </is>
      </c>
      <c r="C13" s="25" t="inlineStr">
        <is>
          <t>✔</t>
        </is>
      </c>
      <c r="D13" s="25" t="inlineStr">
        <is>
          <t>✔ (إنتاج وهالك)</t>
        </is>
      </c>
      <c r="E13" s="25" t="inlineStr">
        <is>
          <t>✖</t>
        </is>
      </c>
      <c r="F13" s="25" t="inlineStr">
        <is>
          <t>✖</t>
        </is>
      </c>
      <c r="G13" s="25" t="inlineStr">
        <is>
          <t>✖</t>
        </is>
      </c>
      <c r="H13" s="25" t="inlineStr">
        <is>
          <t>✔ (السنتر كيتشن)</t>
        </is>
      </c>
      <c r="I13" s="25" t="inlineStr">
        <is>
          <t>✖</t>
        </is>
      </c>
    </row>
    <row r="14">
      <c r="A14" s="25" t="inlineStr">
        <is>
          <t>مستخدم قراءة</t>
        </is>
      </c>
      <c r="B14" s="25" t="inlineStr">
        <is>
          <t>✖</t>
        </is>
      </c>
      <c r="C14" s="25" t="inlineStr">
        <is>
          <t>✖</t>
        </is>
      </c>
      <c r="D14" s="25" t="inlineStr">
        <is>
          <t>✖</t>
        </is>
      </c>
      <c r="E14" s="25" t="inlineStr">
        <is>
          <t>✖</t>
        </is>
      </c>
      <c r="F14" s="25" t="inlineStr">
        <is>
          <t>✖</t>
        </is>
      </c>
      <c r="G14" s="25" t="inlineStr">
        <is>
          <t>✖</t>
        </is>
      </c>
      <c r="H14" s="25" t="inlineStr">
        <is>
          <t>✔</t>
        </is>
      </c>
      <c r="I14" s="25" t="inlineStr">
        <is>
          <t>✖</t>
        </is>
      </c>
    </row>
    <row r="17">
      <c r="A17" s="40" t="inlineStr">
        <is>
          <t>قواعد الفصل بين المسؤوليات</t>
        </is>
      </c>
    </row>
    <row r="18">
      <c r="A18" s="41" t="inlineStr">
        <is>
          <t>طالب الشراء ≠ معتمد الشراء ≠ مستلم البضاعة ≠ أمين المخزن ≠ معتمد الدفع</t>
        </is>
      </c>
      <c r="B18" t="inlineStr">
        <is>
          <t>لا يجتمع طلب البضاعة واستلامها واعتماد دفعها في شخص واحد.</t>
        </is>
      </c>
    </row>
    <row r="19">
      <c r="A19" s="41" t="inlineStr">
        <is>
          <t>مُعِد المستند ≠ المعتمد ≠ المرحِّل</t>
        </is>
      </c>
      <c r="B19" t="inlineStr">
        <is>
          <t>النظام يفحص آليًا: المُعِد والمعتمد والمرحِّل أسماء مختلفة؛ وإلا يظهر خطأ ولا يُرحَّل المستند.</t>
        </is>
      </c>
    </row>
    <row r="20">
      <c r="A20" s="41" t="inlineStr">
        <is>
          <t>أمين الصندوق ≠ مسجل الحسابات</t>
        </is>
      </c>
      <c r="B20" t="inlineStr">
        <is>
          <t>من يستلم النقدية لا يسجلها في دفاتر الحسابات.</t>
        </is>
      </c>
    </row>
    <row r="21">
      <c r="A21" s="41" t="inlineStr">
        <is>
          <t>المحاسب ≠ مراجع الحسابات</t>
        </is>
      </c>
      <c r="B21" t="inlineStr">
        <is>
          <t>المراجعة مستقلة عن التسجيل.</t>
        </is>
      </c>
    </row>
    <row r="22">
      <c r="A22" s="41" t="inlineStr">
        <is>
          <t>محاسب الأصول/المخزون ≠ أمين المخزن</t>
        </is>
      </c>
      <c r="B22" t="inlineStr">
        <is>
          <t>من يجرد ليس من يحفظ.</t>
        </is>
      </c>
    </row>
    <row r="24">
      <c r="A24" s="40" t="inlineStr">
        <is>
          <t>ضوابط تعويضية عند محدودية الموظفين</t>
        </is>
      </c>
    </row>
    <row r="25">
      <c r="A25" t="inlineStr">
        <is>
          <t>إذا كان فريق الفرع محدودًا: يوقّع مديرُ الفرع كمعتمد، ويكون الكاشير هو المُعِد، ويرحّل المحاسب المركزي (لا أحد من الفرع).</t>
        </is>
      </c>
    </row>
    <row r="26">
      <c r="A26" t="inlineStr">
        <is>
          <t>مراجعة مستقلة شهرية من المدير المالي أو المراجع الخارجي للخزائن والمخزون والمستندات المرحلة (عينة 10% على الأقل + كل المستندات فوق حد الصلاحية).</t>
        </is>
      </c>
    </row>
    <row r="27">
      <c r="A27" t="inlineStr">
        <is>
          <t>توقيع مزدوج (اثنان) على أي صرف نقدي أو تحويل أو عجز/زيادة فوق الحد المحدد في الإدارة.</t>
        </is>
      </c>
    </row>
    <row r="28">
      <c r="A28" t="inlineStr">
        <is>
          <t>جرد مفاجئ للخزائن والمخزون مرة شهريًا على الأقل بواسطة شخص من خارج الموقع.</t>
        </is>
      </c>
    </row>
    <row r="29">
      <c r="A29" t="inlineStr">
        <is>
          <t>حفظ نسخ احتياطية أسبوعية لملف Google Sheets، وتفعيل سجل الإصدارات (Version history)، وعدم مشاركة الملف مع صلاحية (محرر) لغير الأسماء الموجودة في Users.</t>
        </is>
      </c>
    </row>
    <row r="30">
      <c r="A30" t="inlineStr">
        <is>
          <t>تنبيه: Google Sheets وحده ليس نظام صلاحيات مالي غير قابل للتلاعب. حماية الأوراق تمنع الأخطاء العارضة، لكن من لديه صلاحية (مالك/محرر كامل) يستطيع تجاوزها. اعتمد على صلاحيات حسابات جوجل، وسجل الإصدارات، والنسخ الاحتياطية، والمراجعة المستقلة.</t>
        </is>
      </c>
    </row>
  </sheetData>
  <autoFilter ref="A4:I14"/>
  <pageMargins left="0.75" right="0.75" top="1" bottom="1" header="0.5" footer="0.5"/>
</worksheet>
</file>

<file path=xl/worksheets/sheet12.xml><?xml version="1.0" encoding="utf-8"?>
<worksheet xmlns="http://schemas.openxmlformats.org/spreadsheetml/2006/main">
  <sheetPr>
    <tabColor rgb="002E75B6"/>
    <outlinePr summaryBelow="1" summaryRight="1"/>
    <pageSetUpPr fitToPage="1"/>
  </sheetPr>
  <dimension ref="A1:J15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16" customWidth="1" min="3" max="3"/>
    <col width="10" customWidth="1" min="4" max="4"/>
    <col width="14" customWidth="1" min="5" max="5"/>
    <col width="14" customWidth="1" min="6" max="6"/>
    <col width="11" customWidth="1" min="7" max="7"/>
    <col width="7" customWidth="1" min="8" max="8"/>
    <col width="26" customWidth="1" min="9" max="9"/>
    <col width="34" customWidth="1" min="10" max="10"/>
  </cols>
  <sheetData>
    <row r="1" ht="26" customHeight="1">
      <c r="A1" s="22" t="inlineStr">
        <is>
          <t>الموردون (Suppliers)</t>
        </is>
      </c>
      <c r="B1" s="1" t="n"/>
      <c r="C1" s="1" t="n"/>
      <c r="D1" s="1" t="n"/>
      <c r="E1" s="1" t="n"/>
      <c r="F1" s="1" t="n"/>
      <c r="G1" s="1" t="n"/>
      <c r="H1" s="1" t="n"/>
      <c r="I1" s="1" t="n"/>
      <c r="J1" s="1" t="n"/>
    </row>
    <row r="2">
      <c r="A2" s="35" t="inlineStr">
        <is>
          <t>كود المورد ثابت ولا يتكرر. شروط السداد (أيام) تحدد تاريخ الاستحقاق في فواتير الموردين.</t>
        </is>
      </c>
    </row>
    <row r="3">
      <c r="A3" s="36" t="inlineStr">
        <is>
          <t>خلايا الإدخال</t>
        </is>
      </c>
      <c r="B3" s="37" t="inlineStr">
        <is>
          <t>معادلات (لا تعدّل)</t>
        </is>
      </c>
    </row>
    <row r="4" ht="34" customHeight="1">
      <c r="A4" s="24" t="inlineStr">
        <is>
          <t>كود المورد</t>
        </is>
      </c>
      <c r="B4" s="24" t="inlineStr">
        <is>
          <t>اسم المورد</t>
        </is>
      </c>
      <c r="C4" s="24" t="inlineStr">
        <is>
          <t>التصنيف</t>
        </is>
      </c>
      <c r="D4" s="24" t="inlineStr">
        <is>
          <t>شروط السداد (أيام)</t>
        </is>
      </c>
      <c r="E4" s="24" t="inlineStr">
        <is>
          <t>الهاتف</t>
        </is>
      </c>
      <c r="F4" s="24" t="inlineStr">
        <is>
          <t>الرقم الضريبي</t>
        </is>
      </c>
      <c r="G4" s="24" t="inlineStr">
        <is>
          <t>حساب المدين الافتراضي</t>
        </is>
      </c>
      <c r="H4" s="24" t="inlineStr">
        <is>
          <t>نشط</t>
        </is>
      </c>
      <c r="I4" s="24" t="inlineStr">
        <is>
          <t>ملاحظات</t>
        </is>
      </c>
      <c r="J4" s="38" t="inlineStr">
        <is>
          <t>فحص</t>
        </is>
      </c>
    </row>
    <row r="5">
      <c r="A5" s="39" t="n"/>
      <c r="B5" s="29" t="n"/>
      <c r="C5" s="29" t="n"/>
      <c r="D5" s="29" t="n"/>
      <c r="E5" s="29" t="n"/>
      <c r="F5" s="29" t="n"/>
      <c r="G5" s="39" t="n"/>
      <c r="H5" s="39" t="n"/>
      <c r="I5" s="29" t="n"/>
      <c r="J5" s="32">
        <f>IF($A5="","",IF(COUNTIF($A:$A,$A5)&gt;1,"كود مورد مكرر",IF($B5="","اسم المورد ناقص",IF($D5="","شروط السداد ناقصة",""))))</f>
        <v/>
      </c>
    </row>
    <row r="6">
      <c r="A6" s="39" t="n"/>
      <c r="B6" s="29" t="n"/>
      <c r="C6" s="29" t="n"/>
      <c r="D6" s="29" t="n"/>
      <c r="E6" s="29" t="n"/>
      <c r="F6" s="29" t="n"/>
      <c r="G6" s="39" t="n"/>
      <c r="H6" s="39" t="n"/>
      <c r="I6" s="29" t="n"/>
      <c r="J6" s="32">
        <f>IF($A6="","",IF(COUNTIF($A:$A,$A6)&gt;1,"كود مورد مكرر",IF($B6="","اسم المورد ناقص",IF($D6="","شروط السداد ناقصة",""))))</f>
        <v/>
      </c>
    </row>
    <row r="7">
      <c r="A7" s="39" t="n"/>
      <c r="B7" s="29" t="n"/>
      <c r="C7" s="29" t="n"/>
      <c r="D7" s="29" t="n"/>
      <c r="E7" s="29" t="n"/>
      <c r="F7" s="29" t="n"/>
      <c r="G7" s="39" t="n"/>
      <c r="H7" s="39" t="n"/>
      <c r="I7" s="29" t="n"/>
      <c r="J7" s="32">
        <f>IF($A7="","",IF(COUNTIF($A:$A,$A7)&gt;1,"كود مورد مكرر",IF($B7="","اسم المورد ناقص",IF($D7="","شروط السداد ناقصة",""))))</f>
        <v/>
      </c>
    </row>
    <row r="8">
      <c r="A8" s="39" t="n"/>
      <c r="B8" s="29" t="n"/>
      <c r="C8" s="29" t="n"/>
      <c r="D8" s="29" t="n"/>
      <c r="E8" s="29" t="n"/>
      <c r="F8" s="29" t="n"/>
      <c r="G8" s="39" t="n"/>
      <c r="H8" s="39" t="n"/>
      <c r="I8" s="29" t="n"/>
      <c r="J8" s="32">
        <f>IF($A8="","",IF(COUNTIF($A:$A,$A8)&gt;1,"كود مورد مكرر",IF($B8="","اسم المورد ناقص",IF($D8="","شروط السداد ناقصة",""))))</f>
        <v/>
      </c>
    </row>
    <row r="9">
      <c r="A9" s="39" t="n"/>
      <c r="B9" s="29" t="n"/>
      <c r="C9" s="29" t="n"/>
      <c r="D9" s="29" t="n"/>
      <c r="E9" s="29" t="n"/>
      <c r="F9" s="29" t="n"/>
      <c r="G9" s="39" t="n"/>
      <c r="H9" s="39" t="n"/>
      <c r="I9" s="29" t="n"/>
      <c r="J9" s="32">
        <f>IF($A9="","",IF(COUNTIF($A:$A,$A9)&gt;1,"كود مورد مكرر",IF($B9="","اسم المورد ناقص",IF($D9="","شروط السداد ناقصة",""))))</f>
        <v/>
      </c>
    </row>
    <row r="10">
      <c r="A10" s="39" t="n"/>
      <c r="B10" s="29" t="n"/>
      <c r="C10" s="29" t="n"/>
      <c r="D10" s="29" t="n"/>
      <c r="E10" s="29" t="n"/>
      <c r="F10" s="29" t="n"/>
      <c r="G10" s="39" t="n"/>
      <c r="H10" s="39" t="n"/>
      <c r="I10" s="29" t="n"/>
      <c r="J10" s="32">
        <f>IF($A10="","",IF(COUNTIF($A:$A,$A10)&gt;1,"كود مورد مكرر",IF($B10="","اسم المورد ناقص",IF($D10="","شروط السداد ناقصة",""))))</f>
        <v/>
      </c>
    </row>
    <row r="11">
      <c r="A11" s="39" t="n"/>
      <c r="B11" s="29" t="n"/>
      <c r="C11" s="29" t="n"/>
      <c r="D11" s="29" t="n"/>
      <c r="E11" s="29" t="n"/>
      <c r="F11" s="29" t="n"/>
      <c r="G11" s="39" t="n"/>
      <c r="H11" s="39" t="n"/>
      <c r="I11" s="29" t="n"/>
      <c r="J11" s="32">
        <f>IF($A11="","",IF(COUNTIF($A:$A,$A11)&gt;1,"كود مورد مكرر",IF($B11="","اسم المورد ناقص",IF($D11="","شروط السداد ناقصة",""))))</f>
        <v/>
      </c>
    </row>
    <row r="12">
      <c r="A12" s="39" t="n"/>
      <c r="B12" s="29" t="n"/>
      <c r="C12" s="29" t="n"/>
      <c r="D12" s="29" t="n"/>
      <c r="E12" s="29" t="n"/>
      <c r="F12" s="29" t="n"/>
      <c r="G12" s="39" t="n"/>
      <c r="H12" s="39" t="n"/>
      <c r="I12" s="29" t="n"/>
      <c r="J12" s="32">
        <f>IF($A12="","",IF(COUNTIF($A:$A,$A12)&gt;1,"كود مورد مكرر",IF($B12="","اسم المورد ناقص",IF($D12="","شروط السداد ناقصة",""))))</f>
        <v/>
      </c>
    </row>
    <row r="13">
      <c r="A13" s="39" t="n"/>
      <c r="B13" s="29" t="n"/>
      <c r="C13" s="29" t="n"/>
      <c r="D13" s="29" t="n"/>
      <c r="E13" s="29" t="n"/>
      <c r="F13" s="29" t="n"/>
      <c r="G13" s="39" t="n"/>
      <c r="H13" s="39" t="n"/>
      <c r="I13" s="29" t="n"/>
      <c r="J13" s="32">
        <f>IF($A13="","",IF(COUNTIF($A:$A,$A13)&gt;1,"كود مورد مكرر",IF($B13="","اسم المورد ناقص",IF($D13="","شروط السداد ناقصة",""))))</f>
        <v/>
      </c>
    </row>
    <row r="14">
      <c r="A14" s="39" t="n"/>
      <c r="B14" s="29" t="n"/>
      <c r="C14" s="29" t="n"/>
      <c r="D14" s="29" t="n"/>
      <c r="E14" s="29" t="n"/>
      <c r="F14" s="29" t="n"/>
      <c r="G14" s="39" t="n"/>
      <c r="H14" s="39" t="n"/>
      <c r="I14" s="29" t="n"/>
      <c r="J14" s="32">
        <f>IF($A14="","",IF(COUNTIF($A:$A,$A14)&gt;1,"كود مورد مكرر",IF($B14="","اسم المورد ناقص",IF($D14="","شروط السداد ناقصة",""))))</f>
        <v/>
      </c>
    </row>
    <row r="15">
      <c r="A15" s="39" t="n"/>
      <c r="B15" s="29" t="n"/>
      <c r="C15" s="29" t="n"/>
      <c r="D15" s="29" t="n"/>
      <c r="E15" s="29" t="n"/>
      <c r="F15" s="29" t="n"/>
      <c r="G15" s="39" t="n"/>
      <c r="H15" s="39" t="n"/>
      <c r="I15" s="29" t="n"/>
      <c r="J15" s="32">
        <f>IF($A15="","",IF(COUNTIF($A:$A,$A15)&gt;1,"كود مورد مكرر",IF($B15="","اسم المورد ناقص",IF($D15="","شروط السداد ناقصة",""))))</f>
        <v/>
      </c>
    </row>
    <row r="16">
      <c r="A16" s="39" t="n"/>
      <c r="B16" s="29" t="n"/>
      <c r="C16" s="29" t="n"/>
      <c r="D16" s="29" t="n"/>
      <c r="E16" s="29" t="n"/>
      <c r="F16" s="29" t="n"/>
      <c r="G16" s="39" t="n"/>
      <c r="H16" s="39" t="n"/>
      <c r="I16" s="29" t="n"/>
      <c r="J16" s="32">
        <f>IF($A16="","",IF(COUNTIF($A:$A,$A16)&gt;1,"كود مورد مكرر",IF($B16="","اسم المورد ناقص",IF($D16="","شروط السداد ناقصة",""))))</f>
        <v/>
      </c>
    </row>
    <row r="17">
      <c r="A17" s="39" t="n"/>
      <c r="B17" s="29" t="n"/>
      <c r="C17" s="29" t="n"/>
      <c r="D17" s="29" t="n"/>
      <c r="E17" s="29" t="n"/>
      <c r="F17" s="29" t="n"/>
      <c r="G17" s="39" t="n"/>
      <c r="H17" s="39" t="n"/>
      <c r="I17" s="29" t="n"/>
      <c r="J17" s="32">
        <f>IF($A17="","",IF(COUNTIF($A:$A,$A17)&gt;1,"كود مورد مكرر",IF($B17="","اسم المورد ناقص",IF($D17="","شروط السداد ناقصة",""))))</f>
        <v/>
      </c>
    </row>
    <row r="18">
      <c r="A18" s="39" t="n"/>
      <c r="B18" s="29" t="n"/>
      <c r="C18" s="29" t="n"/>
      <c r="D18" s="29" t="n"/>
      <c r="E18" s="29" t="n"/>
      <c r="F18" s="29" t="n"/>
      <c r="G18" s="39" t="n"/>
      <c r="H18" s="39" t="n"/>
      <c r="I18" s="29" t="n"/>
      <c r="J18" s="32">
        <f>IF($A18="","",IF(COUNTIF($A:$A,$A18)&gt;1,"كود مورد مكرر",IF($B18="","اسم المورد ناقص",IF($D18="","شروط السداد ناقصة",""))))</f>
        <v/>
      </c>
    </row>
    <row r="19">
      <c r="A19" s="39" t="n"/>
      <c r="B19" s="29" t="n"/>
      <c r="C19" s="29" t="n"/>
      <c r="D19" s="29" t="n"/>
      <c r="E19" s="29" t="n"/>
      <c r="F19" s="29" t="n"/>
      <c r="G19" s="39" t="n"/>
      <c r="H19" s="39" t="n"/>
      <c r="I19" s="29" t="n"/>
      <c r="J19" s="32">
        <f>IF($A19="","",IF(COUNTIF($A:$A,$A19)&gt;1,"كود مورد مكرر",IF($B19="","اسم المورد ناقص",IF($D19="","شروط السداد ناقصة",""))))</f>
        <v/>
      </c>
    </row>
    <row r="20">
      <c r="A20" s="39" t="n"/>
      <c r="B20" s="29" t="n"/>
      <c r="C20" s="29" t="n"/>
      <c r="D20" s="29" t="n"/>
      <c r="E20" s="29" t="n"/>
      <c r="F20" s="29" t="n"/>
      <c r="G20" s="39" t="n"/>
      <c r="H20" s="39" t="n"/>
      <c r="I20" s="29" t="n"/>
      <c r="J20" s="32">
        <f>IF($A20="","",IF(COUNTIF($A:$A,$A20)&gt;1,"كود مورد مكرر",IF($B20="","اسم المورد ناقص",IF($D20="","شروط السداد ناقصة",""))))</f>
        <v/>
      </c>
    </row>
    <row r="21">
      <c r="A21" s="39" t="n"/>
      <c r="B21" s="29" t="n"/>
      <c r="C21" s="29" t="n"/>
      <c r="D21" s="29" t="n"/>
      <c r="E21" s="29" t="n"/>
      <c r="F21" s="29" t="n"/>
      <c r="G21" s="39" t="n"/>
      <c r="H21" s="39" t="n"/>
      <c r="I21" s="29" t="n"/>
      <c r="J21" s="32">
        <f>IF($A21="","",IF(COUNTIF($A:$A,$A21)&gt;1,"كود مورد مكرر",IF($B21="","اسم المورد ناقص",IF($D21="","شروط السداد ناقصة",""))))</f>
        <v/>
      </c>
    </row>
    <row r="22">
      <c r="A22" s="39" t="n"/>
      <c r="B22" s="29" t="n"/>
      <c r="C22" s="29" t="n"/>
      <c r="D22" s="29" t="n"/>
      <c r="E22" s="29" t="n"/>
      <c r="F22" s="29" t="n"/>
      <c r="G22" s="39" t="n"/>
      <c r="H22" s="39" t="n"/>
      <c r="I22" s="29" t="n"/>
      <c r="J22" s="32">
        <f>IF($A22="","",IF(COUNTIF($A:$A,$A22)&gt;1,"كود مورد مكرر",IF($B22="","اسم المورد ناقص",IF($D22="","شروط السداد ناقصة",""))))</f>
        <v/>
      </c>
    </row>
    <row r="23">
      <c r="A23" s="39" t="n"/>
      <c r="B23" s="29" t="n"/>
      <c r="C23" s="29" t="n"/>
      <c r="D23" s="29" t="n"/>
      <c r="E23" s="29" t="n"/>
      <c r="F23" s="29" t="n"/>
      <c r="G23" s="39" t="n"/>
      <c r="H23" s="39" t="n"/>
      <c r="I23" s="29" t="n"/>
      <c r="J23" s="32">
        <f>IF($A23="","",IF(COUNTIF($A:$A,$A23)&gt;1,"كود مورد مكرر",IF($B23="","اسم المورد ناقص",IF($D23="","شروط السداد ناقصة",""))))</f>
        <v/>
      </c>
    </row>
    <row r="24">
      <c r="A24" s="39" t="n"/>
      <c r="B24" s="29" t="n"/>
      <c r="C24" s="29" t="n"/>
      <c r="D24" s="29" t="n"/>
      <c r="E24" s="29" t="n"/>
      <c r="F24" s="29" t="n"/>
      <c r="G24" s="39" t="n"/>
      <c r="H24" s="39" t="n"/>
      <c r="I24" s="29" t="n"/>
      <c r="J24" s="32">
        <f>IF($A24="","",IF(COUNTIF($A:$A,$A24)&gt;1,"كود مورد مكرر",IF($B24="","اسم المورد ناقص",IF($D24="","شروط السداد ناقصة",""))))</f>
        <v/>
      </c>
    </row>
    <row r="25">
      <c r="A25" s="39" t="n"/>
      <c r="B25" s="29" t="n"/>
      <c r="C25" s="29" t="n"/>
      <c r="D25" s="29" t="n"/>
      <c r="E25" s="29" t="n"/>
      <c r="F25" s="29" t="n"/>
      <c r="G25" s="39" t="n"/>
      <c r="H25" s="39" t="n"/>
      <c r="I25" s="29" t="n"/>
      <c r="J25" s="32">
        <f>IF($A25="","",IF(COUNTIF($A:$A,$A25)&gt;1,"كود مورد مكرر",IF($B25="","اسم المورد ناقص",IF($D25="","شروط السداد ناقصة",""))))</f>
        <v/>
      </c>
    </row>
    <row r="26">
      <c r="A26" s="39" t="n"/>
      <c r="B26" s="29" t="n"/>
      <c r="C26" s="29" t="n"/>
      <c r="D26" s="29" t="n"/>
      <c r="E26" s="29" t="n"/>
      <c r="F26" s="29" t="n"/>
      <c r="G26" s="39" t="n"/>
      <c r="H26" s="39" t="n"/>
      <c r="I26" s="29" t="n"/>
      <c r="J26" s="32">
        <f>IF($A26="","",IF(COUNTIF($A:$A,$A26)&gt;1,"كود مورد مكرر",IF($B26="","اسم المورد ناقص",IF($D26="","شروط السداد ناقصة",""))))</f>
        <v/>
      </c>
    </row>
    <row r="27">
      <c r="A27" s="39" t="n"/>
      <c r="B27" s="29" t="n"/>
      <c r="C27" s="29" t="n"/>
      <c r="D27" s="29" t="n"/>
      <c r="E27" s="29" t="n"/>
      <c r="F27" s="29" t="n"/>
      <c r="G27" s="39" t="n"/>
      <c r="H27" s="39" t="n"/>
      <c r="I27" s="29" t="n"/>
      <c r="J27" s="32">
        <f>IF($A27="","",IF(COUNTIF($A:$A,$A27)&gt;1,"كود مورد مكرر",IF($B27="","اسم المورد ناقص",IF($D27="","شروط السداد ناقصة",""))))</f>
        <v/>
      </c>
    </row>
    <row r="28">
      <c r="A28" s="39" t="n"/>
      <c r="B28" s="29" t="n"/>
      <c r="C28" s="29" t="n"/>
      <c r="D28" s="29" t="n"/>
      <c r="E28" s="29" t="n"/>
      <c r="F28" s="29" t="n"/>
      <c r="G28" s="39" t="n"/>
      <c r="H28" s="39" t="n"/>
      <c r="I28" s="29" t="n"/>
      <c r="J28" s="32">
        <f>IF($A28="","",IF(COUNTIF($A:$A,$A28)&gt;1,"كود مورد مكرر",IF($B28="","اسم المورد ناقص",IF($D28="","شروط السداد ناقصة",""))))</f>
        <v/>
      </c>
    </row>
    <row r="29">
      <c r="A29" s="39" t="n"/>
      <c r="B29" s="29" t="n"/>
      <c r="C29" s="29" t="n"/>
      <c r="D29" s="29" t="n"/>
      <c r="E29" s="29" t="n"/>
      <c r="F29" s="29" t="n"/>
      <c r="G29" s="39" t="n"/>
      <c r="H29" s="39" t="n"/>
      <c r="I29" s="29" t="n"/>
      <c r="J29" s="32">
        <f>IF($A29="","",IF(COUNTIF($A:$A,$A29)&gt;1,"كود مورد مكرر",IF($B29="","اسم المورد ناقص",IF($D29="","شروط السداد ناقصة",""))))</f>
        <v/>
      </c>
    </row>
    <row r="30">
      <c r="A30" s="39" t="n"/>
      <c r="B30" s="29" t="n"/>
      <c r="C30" s="29" t="n"/>
      <c r="D30" s="29" t="n"/>
      <c r="E30" s="29" t="n"/>
      <c r="F30" s="29" t="n"/>
      <c r="G30" s="39" t="n"/>
      <c r="H30" s="39" t="n"/>
      <c r="I30" s="29" t="n"/>
      <c r="J30" s="32">
        <f>IF($A30="","",IF(COUNTIF($A:$A,$A30)&gt;1,"كود مورد مكرر",IF($B30="","اسم المورد ناقص",IF($D30="","شروط السداد ناقصة",""))))</f>
        <v/>
      </c>
    </row>
    <row r="31">
      <c r="A31" s="39" t="n"/>
      <c r="B31" s="29" t="n"/>
      <c r="C31" s="29" t="n"/>
      <c r="D31" s="29" t="n"/>
      <c r="E31" s="29" t="n"/>
      <c r="F31" s="29" t="n"/>
      <c r="G31" s="39" t="n"/>
      <c r="H31" s="39" t="n"/>
      <c r="I31" s="29" t="n"/>
      <c r="J31" s="32">
        <f>IF($A31="","",IF(COUNTIF($A:$A,$A31)&gt;1,"كود مورد مكرر",IF($B31="","اسم المورد ناقص",IF($D31="","شروط السداد ناقصة",""))))</f>
        <v/>
      </c>
    </row>
    <row r="32">
      <c r="A32" s="39" t="n"/>
      <c r="B32" s="29" t="n"/>
      <c r="C32" s="29" t="n"/>
      <c r="D32" s="29" t="n"/>
      <c r="E32" s="29" t="n"/>
      <c r="F32" s="29" t="n"/>
      <c r="G32" s="39" t="n"/>
      <c r="H32" s="39" t="n"/>
      <c r="I32" s="29" t="n"/>
      <c r="J32" s="32">
        <f>IF($A32="","",IF(COUNTIF($A:$A,$A32)&gt;1,"كود مورد مكرر",IF($B32="","اسم المورد ناقص",IF($D32="","شروط السداد ناقصة",""))))</f>
        <v/>
      </c>
    </row>
    <row r="33">
      <c r="A33" s="39" t="n"/>
      <c r="B33" s="29" t="n"/>
      <c r="C33" s="29" t="n"/>
      <c r="D33" s="29" t="n"/>
      <c r="E33" s="29" t="n"/>
      <c r="F33" s="29" t="n"/>
      <c r="G33" s="39" t="n"/>
      <c r="H33" s="39" t="n"/>
      <c r="I33" s="29" t="n"/>
      <c r="J33" s="32">
        <f>IF($A33="","",IF(COUNTIF($A:$A,$A33)&gt;1,"كود مورد مكرر",IF($B33="","اسم المورد ناقص",IF($D33="","شروط السداد ناقصة",""))))</f>
        <v/>
      </c>
    </row>
    <row r="34">
      <c r="A34" s="39" t="n"/>
      <c r="B34" s="29" t="n"/>
      <c r="C34" s="29" t="n"/>
      <c r="D34" s="29" t="n"/>
      <c r="E34" s="29" t="n"/>
      <c r="F34" s="29" t="n"/>
      <c r="G34" s="39" t="n"/>
      <c r="H34" s="39" t="n"/>
      <c r="I34" s="29" t="n"/>
      <c r="J34" s="32">
        <f>IF($A34="","",IF(COUNTIF($A:$A,$A34)&gt;1,"كود مورد مكرر",IF($B34="","اسم المورد ناقص",IF($D34="","شروط السداد ناقصة",""))))</f>
        <v/>
      </c>
    </row>
    <row r="35">
      <c r="A35" s="39" t="n"/>
      <c r="B35" s="29" t="n"/>
      <c r="C35" s="29" t="n"/>
      <c r="D35" s="29" t="n"/>
      <c r="E35" s="29" t="n"/>
      <c r="F35" s="29" t="n"/>
      <c r="G35" s="39" t="n"/>
      <c r="H35" s="39" t="n"/>
      <c r="I35" s="29" t="n"/>
      <c r="J35" s="32">
        <f>IF($A35="","",IF(COUNTIF($A:$A,$A35)&gt;1,"كود مورد مكرر",IF($B35="","اسم المورد ناقص",IF($D35="","شروط السداد ناقصة",""))))</f>
        <v/>
      </c>
    </row>
    <row r="36">
      <c r="A36" s="39" t="n"/>
      <c r="B36" s="29" t="n"/>
      <c r="C36" s="29" t="n"/>
      <c r="D36" s="29" t="n"/>
      <c r="E36" s="29" t="n"/>
      <c r="F36" s="29" t="n"/>
      <c r="G36" s="39" t="n"/>
      <c r="H36" s="39" t="n"/>
      <c r="I36" s="29" t="n"/>
      <c r="J36" s="32">
        <f>IF($A36="","",IF(COUNTIF($A:$A,$A36)&gt;1,"كود مورد مكرر",IF($B36="","اسم المورد ناقص",IF($D36="","شروط السداد ناقصة",""))))</f>
        <v/>
      </c>
    </row>
    <row r="37">
      <c r="A37" s="39" t="n"/>
      <c r="B37" s="29" t="n"/>
      <c r="C37" s="29" t="n"/>
      <c r="D37" s="29" t="n"/>
      <c r="E37" s="29" t="n"/>
      <c r="F37" s="29" t="n"/>
      <c r="G37" s="39" t="n"/>
      <c r="H37" s="39" t="n"/>
      <c r="I37" s="29" t="n"/>
      <c r="J37" s="32">
        <f>IF($A37="","",IF(COUNTIF($A:$A,$A37)&gt;1,"كود مورد مكرر",IF($B37="","اسم المورد ناقص",IF($D37="","شروط السداد ناقصة",""))))</f>
        <v/>
      </c>
    </row>
    <row r="38">
      <c r="A38" s="39" t="n"/>
      <c r="B38" s="29" t="n"/>
      <c r="C38" s="29" t="n"/>
      <c r="D38" s="29" t="n"/>
      <c r="E38" s="29" t="n"/>
      <c r="F38" s="29" t="n"/>
      <c r="G38" s="39" t="n"/>
      <c r="H38" s="39" t="n"/>
      <c r="I38" s="29" t="n"/>
      <c r="J38" s="32">
        <f>IF($A38="","",IF(COUNTIF($A:$A,$A38)&gt;1,"كود مورد مكرر",IF($B38="","اسم المورد ناقص",IF($D38="","شروط السداد ناقصة",""))))</f>
        <v/>
      </c>
    </row>
    <row r="39">
      <c r="A39" s="39" t="n"/>
      <c r="B39" s="29" t="n"/>
      <c r="C39" s="29" t="n"/>
      <c r="D39" s="29" t="n"/>
      <c r="E39" s="29" t="n"/>
      <c r="F39" s="29" t="n"/>
      <c r="G39" s="39" t="n"/>
      <c r="H39" s="39" t="n"/>
      <c r="I39" s="29" t="n"/>
      <c r="J39" s="32">
        <f>IF($A39="","",IF(COUNTIF($A:$A,$A39)&gt;1,"كود مورد مكرر",IF($B39="","اسم المورد ناقص",IF($D39="","شروط السداد ناقصة",""))))</f>
        <v/>
      </c>
    </row>
    <row r="40">
      <c r="A40" s="39" t="n"/>
      <c r="B40" s="29" t="n"/>
      <c r="C40" s="29" t="n"/>
      <c r="D40" s="29" t="n"/>
      <c r="E40" s="29" t="n"/>
      <c r="F40" s="29" t="n"/>
      <c r="G40" s="39" t="n"/>
      <c r="H40" s="39" t="n"/>
      <c r="I40" s="29" t="n"/>
      <c r="J40" s="32">
        <f>IF($A40="","",IF(COUNTIF($A:$A,$A40)&gt;1,"كود مورد مكرر",IF($B40="","اسم المورد ناقص",IF($D40="","شروط السداد ناقصة",""))))</f>
        <v/>
      </c>
    </row>
    <row r="41">
      <c r="A41" s="39" t="n"/>
      <c r="B41" s="29" t="n"/>
      <c r="C41" s="29" t="n"/>
      <c r="D41" s="29" t="n"/>
      <c r="E41" s="29" t="n"/>
      <c r="F41" s="29" t="n"/>
      <c r="G41" s="39" t="n"/>
      <c r="H41" s="39" t="n"/>
      <c r="I41" s="29" t="n"/>
      <c r="J41" s="32">
        <f>IF($A41="","",IF(COUNTIF($A:$A,$A41)&gt;1,"كود مورد مكرر",IF($B41="","اسم المورد ناقص",IF($D41="","شروط السداد ناقصة",""))))</f>
        <v/>
      </c>
    </row>
    <row r="42">
      <c r="A42" s="39" t="n"/>
      <c r="B42" s="29" t="n"/>
      <c r="C42" s="29" t="n"/>
      <c r="D42" s="29" t="n"/>
      <c r="E42" s="29" t="n"/>
      <c r="F42" s="29" t="n"/>
      <c r="G42" s="39" t="n"/>
      <c r="H42" s="39" t="n"/>
      <c r="I42" s="29" t="n"/>
      <c r="J42" s="32">
        <f>IF($A42="","",IF(COUNTIF($A:$A,$A42)&gt;1,"كود مورد مكرر",IF($B42="","اسم المورد ناقص",IF($D42="","شروط السداد ناقصة",""))))</f>
        <v/>
      </c>
    </row>
    <row r="43">
      <c r="A43" s="39" t="n"/>
      <c r="B43" s="29" t="n"/>
      <c r="C43" s="29" t="n"/>
      <c r="D43" s="29" t="n"/>
      <c r="E43" s="29" t="n"/>
      <c r="F43" s="29" t="n"/>
      <c r="G43" s="39" t="n"/>
      <c r="H43" s="39" t="n"/>
      <c r="I43" s="29" t="n"/>
      <c r="J43" s="32">
        <f>IF($A43="","",IF(COUNTIF($A:$A,$A43)&gt;1,"كود مورد مكرر",IF($B43="","اسم المورد ناقص",IF($D43="","شروط السداد ناقصة",""))))</f>
        <v/>
      </c>
    </row>
    <row r="44">
      <c r="A44" s="39" t="n"/>
      <c r="B44" s="29" t="n"/>
      <c r="C44" s="29" t="n"/>
      <c r="D44" s="29" t="n"/>
      <c r="E44" s="29" t="n"/>
      <c r="F44" s="29" t="n"/>
      <c r="G44" s="39" t="n"/>
      <c r="H44" s="39" t="n"/>
      <c r="I44" s="29" t="n"/>
      <c r="J44" s="32">
        <f>IF($A44="","",IF(COUNTIF($A:$A,$A44)&gt;1,"كود مورد مكرر",IF($B44="","اسم المورد ناقص",IF($D44="","شروط السداد ناقصة",""))))</f>
        <v/>
      </c>
    </row>
    <row r="45">
      <c r="A45" s="39" t="n"/>
      <c r="B45" s="29" t="n"/>
      <c r="C45" s="29" t="n"/>
      <c r="D45" s="29" t="n"/>
      <c r="E45" s="29" t="n"/>
      <c r="F45" s="29" t="n"/>
      <c r="G45" s="39" t="n"/>
      <c r="H45" s="39" t="n"/>
      <c r="I45" s="29" t="n"/>
      <c r="J45" s="32">
        <f>IF($A45="","",IF(COUNTIF($A:$A,$A45)&gt;1,"كود مورد مكرر",IF($B45="","اسم المورد ناقص",IF($D45="","شروط السداد ناقصة",""))))</f>
        <v/>
      </c>
    </row>
    <row r="46">
      <c r="A46" s="39" t="n"/>
      <c r="B46" s="29" t="n"/>
      <c r="C46" s="29" t="n"/>
      <c r="D46" s="29" t="n"/>
      <c r="E46" s="29" t="n"/>
      <c r="F46" s="29" t="n"/>
      <c r="G46" s="39" t="n"/>
      <c r="H46" s="39" t="n"/>
      <c r="I46" s="29" t="n"/>
      <c r="J46" s="32">
        <f>IF($A46="","",IF(COUNTIF($A:$A,$A46)&gt;1,"كود مورد مكرر",IF($B46="","اسم المورد ناقص",IF($D46="","شروط السداد ناقصة",""))))</f>
        <v/>
      </c>
    </row>
    <row r="47">
      <c r="A47" s="39" t="n"/>
      <c r="B47" s="29" t="n"/>
      <c r="C47" s="29" t="n"/>
      <c r="D47" s="29" t="n"/>
      <c r="E47" s="29" t="n"/>
      <c r="F47" s="29" t="n"/>
      <c r="G47" s="39" t="n"/>
      <c r="H47" s="39" t="n"/>
      <c r="I47" s="29" t="n"/>
      <c r="J47" s="32">
        <f>IF($A47="","",IF(COUNTIF($A:$A,$A47)&gt;1,"كود مورد مكرر",IF($B47="","اسم المورد ناقص",IF($D47="","شروط السداد ناقصة",""))))</f>
        <v/>
      </c>
    </row>
    <row r="48">
      <c r="A48" s="39" t="n"/>
      <c r="B48" s="29" t="n"/>
      <c r="C48" s="29" t="n"/>
      <c r="D48" s="29" t="n"/>
      <c r="E48" s="29" t="n"/>
      <c r="F48" s="29" t="n"/>
      <c r="G48" s="39" t="n"/>
      <c r="H48" s="39" t="n"/>
      <c r="I48" s="29" t="n"/>
      <c r="J48" s="32">
        <f>IF($A48="","",IF(COUNTIF($A:$A,$A48)&gt;1,"كود مورد مكرر",IF($B48="","اسم المورد ناقص",IF($D48="","شروط السداد ناقصة",""))))</f>
        <v/>
      </c>
    </row>
    <row r="49">
      <c r="A49" s="39" t="n"/>
      <c r="B49" s="29" t="n"/>
      <c r="C49" s="29" t="n"/>
      <c r="D49" s="29" t="n"/>
      <c r="E49" s="29" t="n"/>
      <c r="F49" s="29" t="n"/>
      <c r="G49" s="39" t="n"/>
      <c r="H49" s="39" t="n"/>
      <c r="I49" s="29" t="n"/>
      <c r="J49" s="32">
        <f>IF($A49="","",IF(COUNTIF($A:$A,$A49)&gt;1,"كود مورد مكرر",IF($B49="","اسم المورد ناقص",IF($D49="","شروط السداد ناقصة",""))))</f>
        <v/>
      </c>
    </row>
    <row r="50">
      <c r="A50" s="39" t="n"/>
      <c r="B50" s="29" t="n"/>
      <c r="C50" s="29" t="n"/>
      <c r="D50" s="29" t="n"/>
      <c r="E50" s="29" t="n"/>
      <c r="F50" s="29" t="n"/>
      <c r="G50" s="39" t="n"/>
      <c r="H50" s="39" t="n"/>
      <c r="I50" s="29" t="n"/>
      <c r="J50" s="32">
        <f>IF($A50="","",IF(COUNTIF($A:$A,$A50)&gt;1,"كود مورد مكرر",IF($B50="","اسم المورد ناقص",IF($D50="","شروط السداد ناقصة",""))))</f>
        <v/>
      </c>
    </row>
    <row r="51">
      <c r="A51" s="39" t="n"/>
      <c r="B51" s="29" t="n"/>
      <c r="C51" s="29" t="n"/>
      <c r="D51" s="29" t="n"/>
      <c r="E51" s="29" t="n"/>
      <c r="F51" s="29" t="n"/>
      <c r="G51" s="39" t="n"/>
      <c r="H51" s="39" t="n"/>
      <c r="I51" s="29" t="n"/>
      <c r="J51" s="32">
        <f>IF($A51="","",IF(COUNTIF($A:$A,$A51)&gt;1,"كود مورد مكرر",IF($B51="","اسم المورد ناقص",IF($D51="","شروط السداد ناقصة",""))))</f>
        <v/>
      </c>
    </row>
    <row r="52">
      <c r="A52" s="39" t="n"/>
      <c r="B52" s="29" t="n"/>
      <c r="C52" s="29" t="n"/>
      <c r="D52" s="29" t="n"/>
      <c r="E52" s="29" t="n"/>
      <c r="F52" s="29" t="n"/>
      <c r="G52" s="39" t="n"/>
      <c r="H52" s="39" t="n"/>
      <c r="I52" s="29" t="n"/>
      <c r="J52" s="32">
        <f>IF($A52="","",IF(COUNTIF($A:$A,$A52)&gt;1,"كود مورد مكرر",IF($B52="","اسم المورد ناقص",IF($D52="","شروط السداد ناقصة",""))))</f>
        <v/>
      </c>
    </row>
    <row r="53">
      <c r="A53" s="39" t="n"/>
      <c r="B53" s="29" t="n"/>
      <c r="C53" s="29" t="n"/>
      <c r="D53" s="29" t="n"/>
      <c r="E53" s="29" t="n"/>
      <c r="F53" s="29" t="n"/>
      <c r="G53" s="39" t="n"/>
      <c r="H53" s="39" t="n"/>
      <c r="I53" s="29" t="n"/>
      <c r="J53" s="32">
        <f>IF($A53="","",IF(COUNTIF($A:$A,$A53)&gt;1,"كود مورد مكرر",IF($B53="","اسم المورد ناقص",IF($D53="","شروط السداد ناقصة",""))))</f>
        <v/>
      </c>
    </row>
    <row r="54">
      <c r="A54" s="39" t="n"/>
      <c r="B54" s="29" t="n"/>
      <c r="C54" s="29" t="n"/>
      <c r="D54" s="29" t="n"/>
      <c r="E54" s="29" t="n"/>
      <c r="F54" s="29" t="n"/>
      <c r="G54" s="39" t="n"/>
      <c r="H54" s="39" t="n"/>
      <c r="I54" s="29" t="n"/>
      <c r="J54" s="32">
        <f>IF($A54="","",IF(COUNTIF($A:$A,$A54)&gt;1,"كود مورد مكرر",IF($B54="","اسم المورد ناقص",IF($D54="","شروط السداد ناقصة",""))))</f>
        <v/>
      </c>
    </row>
    <row r="55">
      <c r="A55" s="39" t="n"/>
      <c r="B55" s="29" t="n"/>
      <c r="C55" s="29" t="n"/>
      <c r="D55" s="29" t="n"/>
      <c r="E55" s="29" t="n"/>
      <c r="F55" s="29" t="n"/>
      <c r="G55" s="39" t="n"/>
      <c r="H55" s="39" t="n"/>
      <c r="I55" s="29" t="n"/>
      <c r="J55" s="32">
        <f>IF($A55="","",IF(COUNTIF($A:$A,$A55)&gt;1,"كود مورد مكرر",IF($B55="","اسم المورد ناقص",IF($D55="","شروط السداد ناقصة",""))))</f>
        <v/>
      </c>
    </row>
    <row r="56">
      <c r="A56" s="39" t="n"/>
      <c r="B56" s="29" t="n"/>
      <c r="C56" s="29" t="n"/>
      <c r="D56" s="29" t="n"/>
      <c r="E56" s="29" t="n"/>
      <c r="F56" s="29" t="n"/>
      <c r="G56" s="39" t="n"/>
      <c r="H56" s="39" t="n"/>
      <c r="I56" s="29" t="n"/>
      <c r="J56" s="32">
        <f>IF($A56="","",IF(COUNTIF($A:$A,$A56)&gt;1,"كود مورد مكرر",IF($B56="","اسم المورد ناقص",IF($D56="","شروط السداد ناقصة",""))))</f>
        <v/>
      </c>
    </row>
    <row r="57">
      <c r="A57" s="39" t="n"/>
      <c r="B57" s="29" t="n"/>
      <c r="C57" s="29" t="n"/>
      <c r="D57" s="29" t="n"/>
      <c r="E57" s="29" t="n"/>
      <c r="F57" s="29" t="n"/>
      <c r="G57" s="39" t="n"/>
      <c r="H57" s="39" t="n"/>
      <c r="I57" s="29" t="n"/>
      <c r="J57" s="32">
        <f>IF($A57="","",IF(COUNTIF($A:$A,$A57)&gt;1,"كود مورد مكرر",IF($B57="","اسم المورد ناقص",IF($D57="","شروط السداد ناقصة",""))))</f>
        <v/>
      </c>
    </row>
    <row r="58">
      <c r="A58" s="39" t="n"/>
      <c r="B58" s="29" t="n"/>
      <c r="C58" s="29" t="n"/>
      <c r="D58" s="29" t="n"/>
      <c r="E58" s="29" t="n"/>
      <c r="F58" s="29" t="n"/>
      <c r="G58" s="39" t="n"/>
      <c r="H58" s="39" t="n"/>
      <c r="I58" s="29" t="n"/>
      <c r="J58" s="32">
        <f>IF($A58="","",IF(COUNTIF($A:$A,$A58)&gt;1,"كود مورد مكرر",IF($B58="","اسم المورد ناقص",IF($D58="","شروط السداد ناقصة",""))))</f>
        <v/>
      </c>
    </row>
    <row r="59">
      <c r="A59" s="39" t="n"/>
      <c r="B59" s="29" t="n"/>
      <c r="C59" s="29" t="n"/>
      <c r="D59" s="29" t="n"/>
      <c r="E59" s="29" t="n"/>
      <c r="F59" s="29" t="n"/>
      <c r="G59" s="39" t="n"/>
      <c r="H59" s="39" t="n"/>
      <c r="I59" s="29" t="n"/>
      <c r="J59" s="32">
        <f>IF($A59="","",IF(COUNTIF($A:$A,$A59)&gt;1,"كود مورد مكرر",IF($B59="","اسم المورد ناقص",IF($D59="","شروط السداد ناقصة",""))))</f>
        <v/>
      </c>
    </row>
    <row r="60">
      <c r="A60" s="39" t="n"/>
      <c r="B60" s="29" t="n"/>
      <c r="C60" s="29" t="n"/>
      <c r="D60" s="29" t="n"/>
      <c r="E60" s="29" t="n"/>
      <c r="F60" s="29" t="n"/>
      <c r="G60" s="39" t="n"/>
      <c r="H60" s="39" t="n"/>
      <c r="I60" s="29" t="n"/>
      <c r="J60" s="32">
        <f>IF($A60="","",IF(COUNTIF($A:$A,$A60)&gt;1,"كود مورد مكرر",IF($B60="","اسم المورد ناقص",IF($D60="","شروط السداد ناقصة",""))))</f>
        <v/>
      </c>
    </row>
    <row r="61">
      <c r="A61" s="39" t="n"/>
      <c r="B61" s="29" t="n"/>
      <c r="C61" s="29" t="n"/>
      <c r="D61" s="29" t="n"/>
      <c r="E61" s="29" t="n"/>
      <c r="F61" s="29" t="n"/>
      <c r="G61" s="39" t="n"/>
      <c r="H61" s="39" t="n"/>
      <c r="I61" s="29" t="n"/>
      <c r="J61" s="32">
        <f>IF($A61="","",IF(COUNTIF($A:$A,$A61)&gt;1,"كود مورد مكرر",IF($B61="","اسم المورد ناقص",IF($D61="","شروط السداد ناقصة",""))))</f>
        <v/>
      </c>
    </row>
    <row r="62">
      <c r="A62" s="39" t="n"/>
      <c r="B62" s="29" t="n"/>
      <c r="C62" s="29" t="n"/>
      <c r="D62" s="29" t="n"/>
      <c r="E62" s="29" t="n"/>
      <c r="F62" s="29" t="n"/>
      <c r="G62" s="39" t="n"/>
      <c r="H62" s="39" t="n"/>
      <c r="I62" s="29" t="n"/>
      <c r="J62" s="32">
        <f>IF($A62="","",IF(COUNTIF($A:$A,$A62)&gt;1,"كود مورد مكرر",IF($B62="","اسم المورد ناقص",IF($D62="","شروط السداد ناقصة",""))))</f>
        <v/>
      </c>
    </row>
    <row r="63">
      <c r="A63" s="39" t="n"/>
      <c r="B63" s="29" t="n"/>
      <c r="C63" s="29" t="n"/>
      <c r="D63" s="29" t="n"/>
      <c r="E63" s="29" t="n"/>
      <c r="F63" s="29" t="n"/>
      <c r="G63" s="39" t="n"/>
      <c r="H63" s="39" t="n"/>
      <c r="I63" s="29" t="n"/>
      <c r="J63" s="32">
        <f>IF($A63="","",IF(COUNTIF($A:$A,$A63)&gt;1,"كود مورد مكرر",IF($B63="","اسم المورد ناقص",IF($D63="","شروط السداد ناقصة",""))))</f>
        <v/>
      </c>
    </row>
    <row r="64">
      <c r="A64" s="39" t="n"/>
      <c r="B64" s="29" t="n"/>
      <c r="C64" s="29" t="n"/>
      <c r="D64" s="29" t="n"/>
      <c r="E64" s="29" t="n"/>
      <c r="F64" s="29" t="n"/>
      <c r="G64" s="39" t="n"/>
      <c r="H64" s="39" t="n"/>
      <c r="I64" s="29" t="n"/>
      <c r="J64" s="32">
        <f>IF($A64="","",IF(COUNTIF($A:$A,$A64)&gt;1,"كود مورد مكرر",IF($B64="","اسم المورد ناقص",IF($D64="","شروط السداد ناقصة",""))))</f>
        <v/>
      </c>
    </row>
    <row r="65">
      <c r="A65" s="39" t="n"/>
      <c r="B65" s="29" t="n"/>
      <c r="C65" s="29" t="n"/>
      <c r="D65" s="29" t="n"/>
      <c r="E65" s="29" t="n"/>
      <c r="F65" s="29" t="n"/>
      <c r="G65" s="39" t="n"/>
      <c r="H65" s="39" t="n"/>
      <c r="I65" s="29" t="n"/>
      <c r="J65" s="32">
        <f>IF($A65="","",IF(COUNTIF($A:$A,$A65)&gt;1,"كود مورد مكرر",IF($B65="","اسم المورد ناقص",IF($D65="","شروط السداد ناقصة",""))))</f>
        <v/>
      </c>
    </row>
    <row r="66">
      <c r="A66" s="39" t="n"/>
      <c r="B66" s="29" t="n"/>
      <c r="C66" s="29" t="n"/>
      <c r="D66" s="29" t="n"/>
      <c r="E66" s="29" t="n"/>
      <c r="F66" s="29" t="n"/>
      <c r="G66" s="39" t="n"/>
      <c r="H66" s="39" t="n"/>
      <c r="I66" s="29" t="n"/>
      <c r="J66" s="32">
        <f>IF($A66="","",IF(COUNTIF($A:$A,$A66)&gt;1,"كود مورد مكرر",IF($B66="","اسم المورد ناقص",IF($D66="","شروط السداد ناقصة",""))))</f>
        <v/>
      </c>
    </row>
    <row r="67">
      <c r="A67" s="39" t="n"/>
      <c r="B67" s="29" t="n"/>
      <c r="C67" s="29" t="n"/>
      <c r="D67" s="29" t="n"/>
      <c r="E67" s="29" t="n"/>
      <c r="F67" s="29" t="n"/>
      <c r="G67" s="39" t="n"/>
      <c r="H67" s="39" t="n"/>
      <c r="I67" s="29" t="n"/>
      <c r="J67" s="32">
        <f>IF($A67="","",IF(COUNTIF($A:$A,$A67)&gt;1,"كود مورد مكرر",IF($B67="","اسم المورد ناقص",IF($D67="","شروط السداد ناقصة",""))))</f>
        <v/>
      </c>
    </row>
    <row r="68">
      <c r="A68" s="39" t="n"/>
      <c r="B68" s="29" t="n"/>
      <c r="C68" s="29" t="n"/>
      <c r="D68" s="29" t="n"/>
      <c r="E68" s="29" t="n"/>
      <c r="F68" s="29" t="n"/>
      <c r="G68" s="39" t="n"/>
      <c r="H68" s="39" t="n"/>
      <c r="I68" s="29" t="n"/>
      <c r="J68" s="32">
        <f>IF($A68="","",IF(COUNTIF($A:$A,$A68)&gt;1,"كود مورد مكرر",IF($B68="","اسم المورد ناقص",IF($D68="","شروط السداد ناقصة",""))))</f>
        <v/>
      </c>
    </row>
    <row r="69">
      <c r="A69" s="39" t="n"/>
      <c r="B69" s="29" t="n"/>
      <c r="C69" s="29" t="n"/>
      <c r="D69" s="29" t="n"/>
      <c r="E69" s="29" t="n"/>
      <c r="F69" s="29" t="n"/>
      <c r="G69" s="39" t="n"/>
      <c r="H69" s="39" t="n"/>
      <c r="I69" s="29" t="n"/>
      <c r="J69" s="32">
        <f>IF($A69="","",IF(COUNTIF($A:$A,$A69)&gt;1,"كود مورد مكرر",IF($B69="","اسم المورد ناقص",IF($D69="","شروط السداد ناقصة",""))))</f>
        <v/>
      </c>
    </row>
    <row r="70">
      <c r="A70" s="39" t="n"/>
      <c r="B70" s="29" t="n"/>
      <c r="C70" s="29" t="n"/>
      <c r="D70" s="29" t="n"/>
      <c r="E70" s="29" t="n"/>
      <c r="F70" s="29" t="n"/>
      <c r="G70" s="39" t="n"/>
      <c r="H70" s="39" t="n"/>
      <c r="I70" s="29" t="n"/>
      <c r="J70" s="32">
        <f>IF($A70="","",IF(COUNTIF($A:$A,$A70)&gt;1,"كود مورد مكرر",IF($B70="","اسم المورد ناقص",IF($D70="","شروط السداد ناقصة",""))))</f>
        <v/>
      </c>
    </row>
    <row r="71">
      <c r="A71" s="39" t="n"/>
      <c r="B71" s="29" t="n"/>
      <c r="C71" s="29" t="n"/>
      <c r="D71" s="29" t="n"/>
      <c r="E71" s="29" t="n"/>
      <c r="F71" s="29" t="n"/>
      <c r="G71" s="39" t="n"/>
      <c r="H71" s="39" t="n"/>
      <c r="I71" s="29" t="n"/>
      <c r="J71" s="32">
        <f>IF($A71="","",IF(COUNTIF($A:$A,$A71)&gt;1,"كود مورد مكرر",IF($B71="","اسم المورد ناقص",IF($D71="","شروط السداد ناقصة",""))))</f>
        <v/>
      </c>
    </row>
    <row r="72">
      <c r="A72" s="39" t="n"/>
      <c r="B72" s="29" t="n"/>
      <c r="C72" s="29" t="n"/>
      <c r="D72" s="29" t="n"/>
      <c r="E72" s="29" t="n"/>
      <c r="F72" s="29" t="n"/>
      <c r="G72" s="39" t="n"/>
      <c r="H72" s="39" t="n"/>
      <c r="I72" s="29" t="n"/>
      <c r="J72" s="32">
        <f>IF($A72="","",IF(COUNTIF($A:$A,$A72)&gt;1,"كود مورد مكرر",IF($B72="","اسم المورد ناقص",IF($D72="","شروط السداد ناقصة",""))))</f>
        <v/>
      </c>
    </row>
    <row r="73">
      <c r="A73" s="39" t="n"/>
      <c r="B73" s="29" t="n"/>
      <c r="C73" s="29" t="n"/>
      <c r="D73" s="29" t="n"/>
      <c r="E73" s="29" t="n"/>
      <c r="F73" s="29" t="n"/>
      <c r="G73" s="39" t="n"/>
      <c r="H73" s="39" t="n"/>
      <c r="I73" s="29" t="n"/>
      <c r="J73" s="32">
        <f>IF($A73="","",IF(COUNTIF($A:$A,$A73)&gt;1,"كود مورد مكرر",IF($B73="","اسم المورد ناقص",IF($D73="","شروط السداد ناقصة",""))))</f>
        <v/>
      </c>
    </row>
    <row r="74">
      <c r="A74" s="39" t="n"/>
      <c r="B74" s="29" t="n"/>
      <c r="C74" s="29" t="n"/>
      <c r="D74" s="29" t="n"/>
      <c r="E74" s="29" t="n"/>
      <c r="F74" s="29" t="n"/>
      <c r="G74" s="39" t="n"/>
      <c r="H74" s="39" t="n"/>
      <c r="I74" s="29" t="n"/>
      <c r="J74" s="32">
        <f>IF($A74="","",IF(COUNTIF($A:$A,$A74)&gt;1,"كود مورد مكرر",IF($B74="","اسم المورد ناقص",IF($D74="","شروط السداد ناقصة",""))))</f>
        <v/>
      </c>
    </row>
    <row r="75">
      <c r="A75" s="39" t="n"/>
      <c r="B75" s="29" t="n"/>
      <c r="C75" s="29" t="n"/>
      <c r="D75" s="29" t="n"/>
      <c r="E75" s="29" t="n"/>
      <c r="F75" s="29" t="n"/>
      <c r="G75" s="39" t="n"/>
      <c r="H75" s="39" t="n"/>
      <c r="I75" s="29" t="n"/>
      <c r="J75" s="32">
        <f>IF($A75="","",IF(COUNTIF($A:$A,$A75)&gt;1,"كود مورد مكرر",IF($B75="","اسم المورد ناقص",IF($D75="","شروط السداد ناقصة",""))))</f>
        <v/>
      </c>
    </row>
    <row r="76">
      <c r="A76" s="39" t="n"/>
      <c r="B76" s="29" t="n"/>
      <c r="C76" s="29" t="n"/>
      <c r="D76" s="29" t="n"/>
      <c r="E76" s="29" t="n"/>
      <c r="F76" s="29" t="n"/>
      <c r="G76" s="39" t="n"/>
      <c r="H76" s="39" t="n"/>
      <c r="I76" s="29" t="n"/>
      <c r="J76" s="32">
        <f>IF($A76="","",IF(COUNTIF($A:$A,$A76)&gt;1,"كود مورد مكرر",IF($B76="","اسم المورد ناقص",IF($D76="","شروط السداد ناقصة",""))))</f>
        <v/>
      </c>
    </row>
    <row r="77">
      <c r="A77" s="39" t="n"/>
      <c r="B77" s="29" t="n"/>
      <c r="C77" s="29" t="n"/>
      <c r="D77" s="29" t="n"/>
      <c r="E77" s="29" t="n"/>
      <c r="F77" s="29" t="n"/>
      <c r="G77" s="39" t="n"/>
      <c r="H77" s="39" t="n"/>
      <c r="I77" s="29" t="n"/>
      <c r="J77" s="32">
        <f>IF($A77="","",IF(COUNTIF($A:$A,$A77)&gt;1,"كود مورد مكرر",IF($B77="","اسم المورد ناقص",IF($D77="","شروط السداد ناقصة",""))))</f>
        <v/>
      </c>
    </row>
    <row r="78">
      <c r="A78" s="39" t="n"/>
      <c r="B78" s="29" t="n"/>
      <c r="C78" s="29" t="n"/>
      <c r="D78" s="29" t="n"/>
      <c r="E78" s="29" t="n"/>
      <c r="F78" s="29" t="n"/>
      <c r="G78" s="39" t="n"/>
      <c r="H78" s="39" t="n"/>
      <c r="I78" s="29" t="n"/>
      <c r="J78" s="32">
        <f>IF($A78="","",IF(COUNTIF($A:$A,$A78)&gt;1,"كود مورد مكرر",IF($B78="","اسم المورد ناقص",IF($D78="","شروط السداد ناقصة",""))))</f>
        <v/>
      </c>
    </row>
    <row r="79">
      <c r="A79" s="39" t="n"/>
      <c r="B79" s="29" t="n"/>
      <c r="C79" s="29" t="n"/>
      <c r="D79" s="29" t="n"/>
      <c r="E79" s="29" t="n"/>
      <c r="F79" s="29" t="n"/>
      <c r="G79" s="39" t="n"/>
      <c r="H79" s="39" t="n"/>
      <c r="I79" s="29" t="n"/>
      <c r="J79" s="32">
        <f>IF($A79="","",IF(COUNTIF($A:$A,$A79)&gt;1,"كود مورد مكرر",IF($B79="","اسم المورد ناقص",IF($D79="","شروط السداد ناقصة",""))))</f>
        <v/>
      </c>
    </row>
    <row r="80">
      <c r="A80" s="39" t="n"/>
      <c r="B80" s="29" t="n"/>
      <c r="C80" s="29" t="n"/>
      <c r="D80" s="29" t="n"/>
      <c r="E80" s="29" t="n"/>
      <c r="F80" s="29" t="n"/>
      <c r="G80" s="39" t="n"/>
      <c r="H80" s="39" t="n"/>
      <c r="I80" s="29" t="n"/>
      <c r="J80" s="32">
        <f>IF($A80="","",IF(COUNTIF($A:$A,$A80)&gt;1,"كود مورد مكرر",IF($B80="","اسم المورد ناقص",IF($D80="","شروط السداد ناقصة",""))))</f>
        <v/>
      </c>
    </row>
    <row r="81">
      <c r="A81" s="39" t="n"/>
      <c r="B81" s="29" t="n"/>
      <c r="C81" s="29" t="n"/>
      <c r="D81" s="29" t="n"/>
      <c r="E81" s="29" t="n"/>
      <c r="F81" s="29" t="n"/>
      <c r="G81" s="39" t="n"/>
      <c r="H81" s="39" t="n"/>
      <c r="I81" s="29" t="n"/>
      <c r="J81" s="32">
        <f>IF($A81="","",IF(COUNTIF($A:$A,$A81)&gt;1,"كود مورد مكرر",IF($B81="","اسم المورد ناقص",IF($D81="","شروط السداد ناقصة",""))))</f>
        <v/>
      </c>
    </row>
    <row r="82">
      <c r="A82" s="39" t="n"/>
      <c r="B82" s="29" t="n"/>
      <c r="C82" s="29" t="n"/>
      <c r="D82" s="29" t="n"/>
      <c r="E82" s="29" t="n"/>
      <c r="F82" s="29" t="n"/>
      <c r="G82" s="39" t="n"/>
      <c r="H82" s="39" t="n"/>
      <c r="I82" s="29" t="n"/>
      <c r="J82" s="32">
        <f>IF($A82="","",IF(COUNTIF($A:$A,$A82)&gt;1,"كود مورد مكرر",IF($B82="","اسم المورد ناقص",IF($D82="","شروط السداد ناقصة",""))))</f>
        <v/>
      </c>
    </row>
    <row r="83">
      <c r="A83" s="39" t="n"/>
      <c r="B83" s="29" t="n"/>
      <c r="C83" s="29" t="n"/>
      <c r="D83" s="29" t="n"/>
      <c r="E83" s="29" t="n"/>
      <c r="F83" s="29" t="n"/>
      <c r="G83" s="39" t="n"/>
      <c r="H83" s="39" t="n"/>
      <c r="I83" s="29" t="n"/>
      <c r="J83" s="32">
        <f>IF($A83="","",IF(COUNTIF($A:$A,$A83)&gt;1,"كود مورد مكرر",IF($B83="","اسم المورد ناقص",IF($D83="","شروط السداد ناقصة",""))))</f>
        <v/>
      </c>
    </row>
    <row r="84">
      <c r="A84" s="39" t="n"/>
      <c r="B84" s="29" t="n"/>
      <c r="C84" s="29" t="n"/>
      <c r="D84" s="29" t="n"/>
      <c r="E84" s="29" t="n"/>
      <c r="F84" s="29" t="n"/>
      <c r="G84" s="39" t="n"/>
      <c r="H84" s="39" t="n"/>
      <c r="I84" s="29" t="n"/>
      <c r="J84" s="32">
        <f>IF($A84="","",IF(COUNTIF($A:$A,$A84)&gt;1,"كود مورد مكرر",IF($B84="","اسم المورد ناقص",IF($D84="","شروط السداد ناقصة",""))))</f>
        <v/>
      </c>
    </row>
    <row r="85">
      <c r="A85" s="39" t="n"/>
      <c r="B85" s="29" t="n"/>
      <c r="C85" s="29" t="n"/>
      <c r="D85" s="29" t="n"/>
      <c r="E85" s="29" t="n"/>
      <c r="F85" s="29" t="n"/>
      <c r="G85" s="39" t="n"/>
      <c r="H85" s="39" t="n"/>
      <c r="I85" s="29" t="n"/>
      <c r="J85" s="32">
        <f>IF($A85="","",IF(COUNTIF($A:$A,$A85)&gt;1,"كود مورد مكرر",IF($B85="","اسم المورد ناقص",IF($D85="","شروط السداد ناقصة",""))))</f>
        <v/>
      </c>
    </row>
    <row r="86">
      <c r="A86" s="39" t="n"/>
      <c r="B86" s="29" t="n"/>
      <c r="C86" s="29" t="n"/>
      <c r="D86" s="29" t="n"/>
      <c r="E86" s="29" t="n"/>
      <c r="F86" s="29" t="n"/>
      <c r="G86" s="39" t="n"/>
      <c r="H86" s="39" t="n"/>
      <c r="I86" s="29" t="n"/>
      <c r="J86" s="32">
        <f>IF($A86="","",IF(COUNTIF($A:$A,$A86)&gt;1,"كود مورد مكرر",IF($B86="","اسم المورد ناقص",IF($D86="","شروط السداد ناقصة",""))))</f>
        <v/>
      </c>
    </row>
    <row r="87">
      <c r="A87" s="39" t="n"/>
      <c r="B87" s="29" t="n"/>
      <c r="C87" s="29" t="n"/>
      <c r="D87" s="29" t="n"/>
      <c r="E87" s="29" t="n"/>
      <c r="F87" s="29" t="n"/>
      <c r="G87" s="39" t="n"/>
      <c r="H87" s="39" t="n"/>
      <c r="I87" s="29" t="n"/>
      <c r="J87" s="32">
        <f>IF($A87="","",IF(COUNTIF($A:$A,$A87)&gt;1,"كود مورد مكرر",IF($B87="","اسم المورد ناقص",IF($D87="","شروط السداد ناقصة",""))))</f>
        <v/>
      </c>
    </row>
    <row r="88">
      <c r="A88" s="39" t="n"/>
      <c r="B88" s="29" t="n"/>
      <c r="C88" s="29" t="n"/>
      <c r="D88" s="29" t="n"/>
      <c r="E88" s="29" t="n"/>
      <c r="F88" s="29" t="n"/>
      <c r="G88" s="39" t="n"/>
      <c r="H88" s="39" t="n"/>
      <c r="I88" s="29" t="n"/>
      <c r="J88" s="32">
        <f>IF($A88="","",IF(COUNTIF($A:$A,$A88)&gt;1,"كود مورد مكرر",IF($B88="","اسم المورد ناقص",IF($D88="","شروط السداد ناقصة",""))))</f>
        <v/>
      </c>
    </row>
    <row r="89">
      <c r="A89" s="39" t="n"/>
      <c r="B89" s="29" t="n"/>
      <c r="C89" s="29" t="n"/>
      <c r="D89" s="29" t="n"/>
      <c r="E89" s="29" t="n"/>
      <c r="F89" s="29" t="n"/>
      <c r="G89" s="39" t="n"/>
      <c r="H89" s="39" t="n"/>
      <c r="I89" s="29" t="n"/>
      <c r="J89" s="32">
        <f>IF($A89="","",IF(COUNTIF($A:$A,$A89)&gt;1,"كود مورد مكرر",IF($B89="","اسم المورد ناقص",IF($D89="","شروط السداد ناقصة",""))))</f>
        <v/>
      </c>
    </row>
    <row r="90">
      <c r="A90" s="39" t="n"/>
      <c r="B90" s="29" t="n"/>
      <c r="C90" s="29" t="n"/>
      <c r="D90" s="29" t="n"/>
      <c r="E90" s="29" t="n"/>
      <c r="F90" s="29" t="n"/>
      <c r="G90" s="39" t="n"/>
      <c r="H90" s="39" t="n"/>
      <c r="I90" s="29" t="n"/>
      <c r="J90" s="32">
        <f>IF($A90="","",IF(COUNTIF($A:$A,$A90)&gt;1,"كود مورد مكرر",IF($B90="","اسم المورد ناقص",IF($D90="","شروط السداد ناقصة",""))))</f>
        <v/>
      </c>
    </row>
    <row r="91">
      <c r="A91" s="39" t="n"/>
      <c r="B91" s="29" t="n"/>
      <c r="C91" s="29" t="n"/>
      <c r="D91" s="29" t="n"/>
      <c r="E91" s="29" t="n"/>
      <c r="F91" s="29" t="n"/>
      <c r="G91" s="39" t="n"/>
      <c r="H91" s="39" t="n"/>
      <c r="I91" s="29" t="n"/>
      <c r="J91" s="32">
        <f>IF($A91="","",IF(COUNTIF($A:$A,$A91)&gt;1,"كود مورد مكرر",IF($B91="","اسم المورد ناقص",IF($D91="","شروط السداد ناقصة",""))))</f>
        <v/>
      </c>
    </row>
    <row r="92">
      <c r="A92" s="39" t="n"/>
      <c r="B92" s="29" t="n"/>
      <c r="C92" s="29" t="n"/>
      <c r="D92" s="29" t="n"/>
      <c r="E92" s="29" t="n"/>
      <c r="F92" s="29" t="n"/>
      <c r="G92" s="39" t="n"/>
      <c r="H92" s="39" t="n"/>
      <c r="I92" s="29" t="n"/>
      <c r="J92" s="32">
        <f>IF($A92="","",IF(COUNTIF($A:$A,$A92)&gt;1,"كود مورد مكرر",IF($B92="","اسم المورد ناقص",IF($D92="","شروط السداد ناقصة",""))))</f>
        <v/>
      </c>
    </row>
    <row r="93">
      <c r="A93" s="39" t="n"/>
      <c r="B93" s="29" t="n"/>
      <c r="C93" s="29" t="n"/>
      <c r="D93" s="29" t="n"/>
      <c r="E93" s="29" t="n"/>
      <c r="F93" s="29" t="n"/>
      <c r="G93" s="39" t="n"/>
      <c r="H93" s="39" t="n"/>
      <c r="I93" s="29" t="n"/>
      <c r="J93" s="32">
        <f>IF($A93="","",IF(COUNTIF($A:$A,$A93)&gt;1,"كود مورد مكرر",IF($B93="","اسم المورد ناقص",IF($D93="","شروط السداد ناقصة",""))))</f>
        <v/>
      </c>
    </row>
    <row r="94">
      <c r="A94" s="39" t="n"/>
      <c r="B94" s="29" t="n"/>
      <c r="C94" s="29" t="n"/>
      <c r="D94" s="29" t="n"/>
      <c r="E94" s="29" t="n"/>
      <c r="F94" s="29" t="n"/>
      <c r="G94" s="39" t="n"/>
      <c r="H94" s="39" t="n"/>
      <c r="I94" s="29" t="n"/>
      <c r="J94" s="32">
        <f>IF($A94="","",IF(COUNTIF($A:$A,$A94)&gt;1,"كود مورد مكرر",IF($B94="","اسم المورد ناقص",IF($D94="","شروط السداد ناقصة",""))))</f>
        <v/>
      </c>
    </row>
    <row r="95">
      <c r="A95" s="39" t="n"/>
      <c r="B95" s="29" t="n"/>
      <c r="C95" s="29" t="n"/>
      <c r="D95" s="29" t="n"/>
      <c r="E95" s="29" t="n"/>
      <c r="F95" s="29" t="n"/>
      <c r="G95" s="39" t="n"/>
      <c r="H95" s="39" t="n"/>
      <c r="I95" s="29" t="n"/>
      <c r="J95" s="32">
        <f>IF($A95="","",IF(COUNTIF($A:$A,$A95)&gt;1,"كود مورد مكرر",IF($B95="","اسم المورد ناقص",IF($D95="","شروط السداد ناقصة",""))))</f>
        <v/>
      </c>
    </row>
    <row r="96">
      <c r="A96" s="39" t="n"/>
      <c r="B96" s="29" t="n"/>
      <c r="C96" s="29" t="n"/>
      <c r="D96" s="29" t="n"/>
      <c r="E96" s="29" t="n"/>
      <c r="F96" s="29" t="n"/>
      <c r="G96" s="39" t="n"/>
      <c r="H96" s="39" t="n"/>
      <c r="I96" s="29" t="n"/>
      <c r="J96" s="32">
        <f>IF($A96="","",IF(COUNTIF($A:$A,$A96)&gt;1,"كود مورد مكرر",IF($B96="","اسم المورد ناقص",IF($D96="","شروط السداد ناقصة",""))))</f>
        <v/>
      </c>
    </row>
    <row r="97">
      <c r="A97" s="39" t="n"/>
      <c r="B97" s="29" t="n"/>
      <c r="C97" s="29" t="n"/>
      <c r="D97" s="29" t="n"/>
      <c r="E97" s="29" t="n"/>
      <c r="F97" s="29" t="n"/>
      <c r="G97" s="39" t="n"/>
      <c r="H97" s="39" t="n"/>
      <c r="I97" s="29" t="n"/>
      <c r="J97" s="32">
        <f>IF($A97="","",IF(COUNTIF($A:$A,$A97)&gt;1,"كود مورد مكرر",IF($B97="","اسم المورد ناقص",IF($D97="","شروط السداد ناقصة",""))))</f>
        <v/>
      </c>
    </row>
    <row r="98">
      <c r="A98" s="39" t="n"/>
      <c r="B98" s="29" t="n"/>
      <c r="C98" s="29" t="n"/>
      <c r="D98" s="29" t="n"/>
      <c r="E98" s="29" t="n"/>
      <c r="F98" s="29" t="n"/>
      <c r="G98" s="39" t="n"/>
      <c r="H98" s="39" t="n"/>
      <c r="I98" s="29" t="n"/>
      <c r="J98" s="32">
        <f>IF($A98="","",IF(COUNTIF($A:$A,$A98)&gt;1,"كود مورد مكرر",IF($B98="","اسم المورد ناقص",IF($D98="","شروط السداد ناقصة",""))))</f>
        <v/>
      </c>
    </row>
    <row r="99">
      <c r="A99" s="39" t="n"/>
      <c r="B99" s="29" t="n"/>
      <c r="C99" s="29" t="n"/>
      <c r="D99" s="29" t="n"/>
      <c r="E99" s="29" t="n"/>
      <c r="F99" s="29" t="n"/>
      <c r="G99" s="39" t="n"/>
      <c r="H99" s="39" t="n"/>
      <c r="I99" s="29" t="n"/>
      <c r="J99" s="32">
        <f>IF($A99="","",IF(COUNTIF($A:$A,$A99)&gt;1,"كود مورد مكرر",IF($B99="","اسم المورد ناقص",IF($D99="","شروط السداد ناقصة",""))))</f>
        <v/>
      </c>
    </row>
    <row r="100">
      <c r="A100" s="39" t="n"/>
      <c r="B100" s="29" t="n"/>
      <c r="C100" s="29" t="n"/>
      <c r="D100" s="29" t="n"/>
      <c r="E100" s="29" t="n"/>
      <c r="F100" s="29" t="n"/>
      <c r="G100" s="39" t="n"/>
      <c r="H100" s="39" t="n"/>
      <c r="I100" s="29" t="n"/>
      <c r="J100" s="32">
        <f>IF($A100="","",IF(COUNTIF($A:$A,$A100)&gt;1,"كود مورد مكرر",IF($B100="","اسم المورد ناقص",IF($D100="","شروط السداد ناقصة",""))))</f>
        <v/>
      </c>
    </row>
    <row r="101">
      <c r="A101" s="39" t="n"/>
      <c r="B101" s="29" t="n"/>
      <c r="C101" s="29" t="n"/>
      <c r="D101" s="29" t="n"/>
      <c r="E101" s="29" t="n"/>
      <c r="F101" s="29" t="n"/>
      <c r="G101" s="39" t="n"/>
      <c r="H101" s="39" t="n"/>
      <c r="I101" s="29" t="n"/>
      <c r="J101" s="32">
        <f>IF($A101="","",IF(COUNTIF($A:$A,$A101)&gt;1,"كود مورد مكرر",IF($B101="","اسم المورد ناقص",IF($D101="","شروط السداد ناقصة",""))))</f>
        <v/>
      </c>
    </row>
    <row r="102">
      <c r="A102" s="39" t="n"/>
      <c r="B102" s="29" t="n"/>
      <c r="C102" s="29" t="n"/>
      <c r="D102" s="29" t="n"/>
      <c r="E102" s="29" t="n"/>
      <c r="F102" s="29" t="n"/>
      <c r="G102" s="39" t="n"/>
      <c r="H102" s="39" t="n"/>
      <c r="I102" s="29" t="n"/>
      <c r="J102" s="32">
        <f>IF($A102="","",IF(COUNTIF($A:$A,$A102)&gt;1,"كود مورد مكرر",IF($B102="","اسم المورد ناقص",IF($D102="","شروط السداد ناقصة",""))))</f>
        <v/>
      </c>
    </row>
    <row r="103">
      <c r="A103" s="39" t="n"/>
      <c r="B103" s="29" t="n"/>
      <c r="C103" s="29" t="n"/>
      <c r="D103" s="29" t="n"/>
      <c r="E103" s="29" t="n"/>
      <c r="F103" s="29" t="n"/>
      <c r="G103" s="39" t="n"/>
      <c r="H103" s="39" t="n"/>
      <c r="I103" s="29" t="n"/>
      <c r="J103" s="32">
        <f>IF($A103="","",IF(COUNTIF($A:$A,$A103)&gt;1,"كود مورد مكرر",IF($B103="","اسم المورد ناقص",IF($D103="","شروط السداد ناقصة",""))))</f>
        <v/>
      </c>
    </row>
    <row r="104">
      <c r="A104" s="39" t="n"/>
      <c r="B104" s="29" t="n"/>
      <c r="C104" s="29" t="n"/>
      <c r="D104" s="29" t="n"/>
      <c r="E104" s="29" t="n"/>
      <c r="F104" s="29" t="n"/>
      <c r="G104" s="39" t="n"/>
      <c r="H104" s="39" t="n"/>
      <c r="I104" s="29" t="n"/>
      <c r="J104" s="32">
        <f>IF($A104="","",IF(COUNTIF($A:$A,$A104)&gt;1,"كود مورد مكرر",IF($B104="","اسم المورد ناقص",IF($D104="","شروط السداد ناقصة",""))))</f>
        <v/>
      </c>
    </row>
    <row r="105">
      <c r="A105" s="39" t="n"/>
      <c r="B105" s="29" t="n"/>
      <c r="C105" s="29" t="n"/>
      <c r="D105" s="29" t="n"/>
      <c r="E105" s="29" t="n"/>
      <c r="F105" s="29" t="n"/>
      <c r="G105" s="39" t="n"/>
      <c r="H105" s="39" t="n"/>
      <c r="I105" s="29" t="n"/>
      <c r="J105" s="32">
        <f>IF($A105="","",IF(COUNTIF($A:$A,$A105)&gt;1,"كود مورد مكرر",IF($B105="","اسم المورد ناقص",IF($D105="","شروط السداد ناقصة",""))))</f>
        <v/>
      </c>
    </row>
    <row r="106">
      <c r="A106" s="39" t="n"/>
      <c r="B106" s="29" t="n"/>
      <c r="C106" s="29" t="n"/>
      <c r="D106" s="29" t="n"/>
      <c r="E106" s="29" t="n"/>
      <c r="F106" s="29" t="n"/>
      <c r="G106" s="39" t="n"/>
      <c r="H106" s="39" t="n"/>
      <c r="I106" s="29" t="n"/>
      <c r="J106" s="32">
        <f>IF($A106="","",IF(COUNTIF($A:$A,$A106)&gt;1,"كود مورد مكرر",IF($B106="","اسم المورد ناقص",IF($D106="","شروط السداد ناقصة",""))))</f>
        <v/>
      </c>
    </row>
    <row r="107">
      <c r="A107" s="39" t="n"/>
      <c r="B107" s="29" t="n"/>
      <c r="C107" s="29" t="n"/>
      <c r="D107" s="29" t="n"/>
      <c r="E107" s="29" t="n"/>
      <c r="F107" s="29" t="n"/>
      <c r="G107" s="39" t="n"/>
      <c r="H107" s="39" t="n"/>
      <c r="I107" s="29" t="n"/>
      <c r="J107" s="32">
        <f>IF($A107="","",IF(COUNTIF($A:$A,$A107)&gt;1,"كود مورد مكرر",IF($B107="","اسم المورد ناقص",IF($D107="","شروط السداد ناقصة",""))))</f>
        <v/>
      </c>
    </row>
    <row r="108">
      <c r="A108" s="39" t="n"/>
      <c r="B108" s="29" t="n"/>
      <c r="C108" s="29" t="n"/>
      <c r="D108" s="29" t="n"/>
      <c r="E108" s="29" t="n"/>
      <c r="F108" s="29" t="n"/>
      <c r="G108" s="39" t="n"/>
      <c r="H108" s="39" t="n"/>
      <c r="I108" s="29" t="n"/>
      <c r="J108" s="32">
        <f>IF($A108="","",IF(COUNTIF($A:$A,$A108)&gt;1,"كود مورد مكرر",IF($B108="","اسم المورد ناقص",IF($D108="","شروط السداد ناقصة",""))))</f>
        <v/>
      </c>
    </row>
    <row r="109">
      <c r="A109" s="39" t="n"/>
      <c r="B109" s="29" t="n"/>
      <c r="C109" s="29" t="n"/>
      <c r="D109" s="29" t="n"/>
      <c r="E109" s="29" t="n"/>
      <c r="F109" s="29" t="n"/>
      <c r="G109" s="39" t="n"/>
      <c r="H109" s="39" t="n"/>
      <c r="I109" s="29" t="n"/>
      <c r="J109" s="32">
        <f>IF($A109="","",IF(COUNTIF($A:$A,$A109)&gt;1,"كود مورد مكرر",IF($B109="","اسم المورد ناقص",IF($D109="","شروط السداد ناقصة",""))))</f>
        <v/>
      </c>
    </row>
    <row r="110">
      <c r="A110" s="39" t="n"/>
      <c r="B110" s="29" t="n"/>
      <c r="C110" s="29" t="n"/>
      <c r="D110" s="29" t="n"/>
      <c r="E110" s="29" t="n"/>
      <c r="F110" s="29" t="n"/>
      <c r="G110" s="39" t="n"/>
      <c r="H110" s="39" t="n"/>
      <c r="I110" s="29" t="n"/>
      <c r="J110" s="32">
        <f>IF($A110="","",IF(COUNTIF($A:$A,$A110)&gt;1,"كود مورد مكرر",IF($B110="","اسم المورد ناقص",IF($D110="","شروط السداد ناقصة",""))))</f>
        <v/>
      </c>
    </row>
    <row r="111">
      <c r="A111" s="39" t="n"/>
      <c r="B111" s="29" t="n"/>
      <c r="C111" s="29" t="n"/>
      <c r="D111" s="29" t="n"/>
      <c r="E111" s="29" t="n"/>
      <c r="F111" s="29" t="n"/>
      <c r="G111" s="39" t="n"/>
      <c r="H111" s="39" t="n"/>
      <c r="I111" s="29" t="n"/>
      <c r="J111" s="32">
        <f>IF($A111="","",IF(COUNTIF($A:$A,$A111)&gt;1,"كود مورد مكرر",IF($B111="","اسم المورد ناقص",IF($D111="","شروط السداد ناقصة",""))))</f>
        <v/>
      </c>
    </row>
    <row r="112">
      <c r="A112" s="39" t="n"/>
      <c r="B112" s="29" t="n"/>
      <c r="C112" s="29" t="n"/>
      <c r="D112" s="29" t="n"/>
      <c r="E112" s="29" t="n"/>
      <c r="F112" s="29" t="n"/>
      <c r="G112" s="39" t="n"/>
      <c r="H112" s="39" t="n"/>
      <c r="I112" s="29" t="n"/>
      <c r="J112" s="32">
        <f>IF($A112="","",IF(COUNTIF($A:$A,$A112)&gt;1,"كود مورد مكرر",IF($B112="","اسم المورد ناقص",IF($D112="","شروط السداد ناقصة",""))))</f>
        <v/>
      </c>
    </row>
    <row r="113">
      <c r="A113" s="39" t="n"/>
      <c r="B113" s="29" t="n"/>
      <c r="C113" s="29" t="n"/>
      <c r="D113" s="29" t="n"/>
      <c r="E113" s="29" t="n"/>
      <c r="F113" s="29" t="n"/>
      <c r="G113" s="39" t="n"/>
      <c r="H113" s="39" t="n"/>
      <c r="I113" s="29" t="n"/>
      <c r="J113" s="32">
        <f>IF($A113="","",IF(COUNTIF($A:$A,$A113)&gt;1,"كود مورد مكرر",IF($B113="","اسم المورد ناقص",IF($D113="","شروط السداد ناقصة",""))))</f>
        <v/>
      </c>
    </row>
    <row r="114">
      <c r="A114" s="39" t="n"/>
      <c r="B114" s="29" t="n"/>
      <c r="C114" s="29" t="n"/>
      <c r="D114" s="29" t="n"/>
      <c r="E114" s="29" t="n"/>
      <c r="F114" s="29" t="n"/>
      <c r="G114" s="39" t="n"/>
      <c r="H114" s="39" t="n"/>
      <c r="I114" s="29" t="n"/>
      <c r="J114" s="32">
        <f>IF($A114="","",IF(COUNTIF($A:$A,$A114)&gt;1,"كود مورد مكرر",IF($B114="","اسم المورد ناقص",IF($D114="","شروط السداد ناقصة",""))))</f>
        <v/>
      </c>
    </row>
    <row r="115">
      <c r="A115" s="39" t="n"/>
      <c r="B115" s="29" t="n"/>
      <c r="C115" s="29" t="n"/>
      <c r="D115" s="29" t="n"/>
      <c r="E115" s="29" t="n"/>
      <c r="F115" s="29" t="n"/>
      <c r="G115" s="39" t="n"/>
      <c r="H115" s="39" t="n"/>
      <c r="I115" s="29" t="n"/>
      <c r="J115" s="32">
        <f>IF($A115="","",IF(COUNTIF($A:$A,$A115)&gt;1,"كود مورد مكرر",IF($B115="","اسم المورد ناقص",IF($D115="","شروط السداد ناقصة",""))))</f>
        <v/>
      </c>
    </row>
    <row r="116">
      <c r="A116" s="39" t="n"/>
      <c r="B116" s="29" t="n"/>
      <c r="C116" s="29" t="n"/>
      <c r="D116" s="29" t="n"/>
      <c r="E116" s="29" t="n"/>
      <c r="F116" s="29" t="n"/>
      <c r="G116" s="39" t="n"/>
      <c r="H116" s="39" t="n"/>
      <c r="I116" s="29" t="n"/>
      <c r="J116" s="32">
        <f>IF($A116="","",IF(COUNTIF($A:$A,$A116)&gt;1,"كود مورد مكرر",IF($B116="","اسم المورد ناقص",IF($D116="","شروط السداد ناقصة",""))))</f>
        <v/>
      </c>
    </row>
    <row r="117">
      <c r="A117" s="39" t="n"/>
      <c r="B117" s="29" t="n"/>
      <c r="C117" s="29" t="n"/>
      <c r="D117" s="29" t="n"/>
      <c r="E117" s="29" t="n"/>
      <c r="F117" s="29" t="n"/>
      <c r="G117" s="39" t="n"/>
      <c r="H117" s="39" t="n"/>
      <c r="I117" s="29" t="n"/>
      <c r="J117" s="32">
        <f>IF($A117="","",IF(COUNTIF($A:$A,$A117)&gt;1,"كود مورد مكرر",IF($B117="","اسم المورد ناقص",IF($D117="","شروط السداد ناقصة",""))))</f>
        <v/>
      </c>
    </row>
    <row r="118">
      <c r="A118" s="39" t="n"/>
      <c r="B118" s="29" t="n"/>
      <c r="C118" s="29" t="n"/>
      <c r="D118" s="29" t="n"/>
      <c r="E118" s="29" t="n"/>
      <c r="F118" s="29" t="n"/>
      <c r="G118" s="39" t="n"/>
      <c r="H118" s="39" t="n"/>
      <c r="I118" s="29" t="n"/>
      <c r="J118" s="32">
        <f>IF($A118="","",IF(COUNTIF($A:$A,$A118)&gt;1,"كود مورد مكرر",IF($B118="","اسم المورد ناقص",IF($D118="","شروط السداد ناقصة",""))))</f>
        <v/>
      </c>
    </row>
    <row r="119">
      <c r="A119" s="39" t="n"/>
      <c r="B119" s="29" t="n"/>
      <c r="C119" s="29" t="n"/>
      <c r="D119" s="29" t="n"/>
      <c r="E119" s="29" t="n"/>
      <c r="F119" s="29" t="n"/>
      <c r="G119" s="39" t="n"/>
      <c r="H119" s="39" t="n"/>
      <c r="I119" s="29" t="n"/>
      <c r="J119" s="32">
        <f>IF($A119="","",IF(COUNTIF($A:$A,$A119)&gt;1,"كود مورد مكرر",IF($B119="","اسم المورد ناقص",IF($D119="","شروط السداد ناقصة",""))))</f>
        <v/>
      </c>
    </row>
    <row r="120">
      <c r="A120" s="39" t="n"/>
      <c r="B120" s="29" t="n"/>
      <c r="C120" s="29" t="n"/>
      <c r="D120" s="29" t="n"/>
      <c r="E120" s="29" t="n"/>
      <c r="F120" s="29" t="n"/>
      <c r="G120" s="39" t="n"/>
      <c r="H120" s="39" t="n"/>
      <c r="I120" s="29" t="n"/>
      <c r="J120" s="32">
        <f>IF($A120="","",IF(COUNTIF($A:$A,$A120)&gt;1,"كود مورد مكرر",IF($B120="","اسم المورد ناقص",IF($D120="","شروط السداد ناقصة",""))))</f>
        <v/>
      </c>
    </row>
    <row r="121">
      <c r="A121" s="39" t="n"/>
      <c r="B121" s="29" t="n"/>
      <c r="C121" s="29" t="n"/>
      <c r="D121" s="29" t="n"/>
      <c r="E121" s="29" t="n"/>
      <c r="F121" s="29" t="n"/>
      <c r="G121" s="39" t="n"/>
      <c r="H121" s="39" t="n"/>
      <c r="I121" s="29" t="n"/>
      <c r="J121" s="32">
        <f>IF($A121="","",IF(COUNTIF($A:$A,$A121)&gt;1,"كود مورد مكرر",IF($B121="","اسم المورد ناقص",IF($D121="","شروط السداد ناقصة",""))))</f>
        <v/>
      </c>
    </row>
    <row r="122">
      <c r="A122" s="39" t="n"/>
      <c r="B122" s="29" t="n"/>
      <c r="C122" s="29" t="n"/>
      <c r="D122" s="29" t="n"/>
      <c r="E122" s="29" t="n"/>
      <c r="F122" s="29" t="n"/>
      <c r="G122" s="39" t="n"/>
      <c r="H122" s="39" t="n"/>
      <c r="I122" s="29" t="n"/>
      <c r="J122" s="32">
        <f>IF($A122="","",IF(COUNTIF($A:$A,$A122)&gt;1,"كود مورد مكرر",IF($B122="","اسم المورد ناقص",IF($D122="","شروط السداد ناقصة",""))))</f>
        <v/>
      </c>
    </row>
    <row r="123">
      <c r="A123" s="39" t="n"/>
      <c r="B123" s="29" t="n"/>
      <c r="C123" s="29" t="n"/>
      <c r="D123" s="29" t="n"/>
      <c r="E123" s="29" t="n"/>
      <c r="F123" s="29" t="n"/>
      <c r="G123" s="39" t="n"/>
      <c r="H123" s="39" t="n"/>
      <c r="I123" s="29" t="n"/>
      <c r="J123" s="32">
        <f>IF($A123="","",IF(COUNTIF($A:$A,$A123)&gt;1,"كود مورد مكرر",IF($B123="","اسم المورد ناقص",IF($D123="","شروط السداد ناقصة",""))))</f>
        <v/>
      </c>
    </row>
    <row r="124">
      <c r="A124" s="39" t="n"/>
      <c r="B124" s="29" t="n"/>
      <c r="C124" s="29" t="n"/>
      <c r="D124" s="29" t="n"/>
      <c r="E124" s="29" t="n"/>
      <c r="F124" s="29" t="n"/>
      <c r="G124" s="39" t="n"/>
      <c r="H124" s="39" t="n"/>
      <c r="I124" s="29" t="n"/>
      <c r="J124" s="32">
        <f>IF($A124="","",IF(COUNTIF($A:$A,$A124)&gt;1,"كود مورد مكرر",IF($B124="","اسم المورد ناقص",IF($D124="","شروط السداد ناقصة",""))))</f>
        <v/>
      </c>
    </row>
    <row r="125">
      <c r="A125" s="39" t="n"/>
      <c r="B125" s="29" t="n"/>
      <c r="C125" s="29" t="n"/>
      <c r="D125" s="29" t="n"/>
      <c r="E125" s="29" t="n"/>
      <c r="F125" s="29" t="n"/>
      <c r="G125" s="39" t="n"/>
      <c r="H125" s="39" t="n"/>
      <c r="I125" s="29" t="n"/>
      <c r="J125" s="32">
        <f>IF($A125="","",IF(COUNTIF($A:$A,$A125)&gt;1,"كود مورد مكرر",IF($B125="","اسم المورد ناقص",IF($D125="","شروط السداد ناقصة",""))))</f>
        <v/>
      </c>
    </row>
    <row r="126">
      <c r="A126" s="39" t="n"/>
      <c r="B126" s="29" t="n"/>
      <c r="C126" s="29" t="n"/>
      <c r="D126" s="29" t="n"/>
      <c r="E126" s="29" t="n"/>
      <c r="F126" s="29" t="n"/>
      <c r="G126" s="39" t="n"/>
      <c r="H126" s="39" t="n"/>
      <c r="I126" s="29" t="n"/>
      <c r="J126" s="32">
        <f>IF($A126="","",IF(COUNTIF($A:$A,$A126)&gt;1,"كود مورد مكرر",IF($B126="","اسم المورد ناقص",IF($D126="","شروط السداد ناقصة",""))))</f>
        <v/>
      </c>
    </row>
    <row r="127">
      <c r="A127" s="39" t="n"/>
      <c r="B127" s="29" t="n"/>
      <c r="C127" s="29" t="n"/>
      <c r="D127" s="29" t="n"/>
      <c r="E127" s="29" t="n"/>
      <c r="F127" s="29" t="n"/>
      <c r="G127" s="39" t="n"/>
      <c r="H127" s="39" t="n"/>
      <c r="I127" s="29" t="n"/>
      <c r="J127" s="32">
        <f>IF($A127="","",IF(COUNTIF($A:$A,$A127)&gt;1,"كود مورد مكرر",IF($B127="","اسم المورد ناقص",IF($D127="","شروط السداد ناقصة",""))))</f>
        <v/>
      </c>
    </row>
    <row r="128">
      <c r="A128" s="39" t="n"/>
      <c r="B128" s="29" t="n"/>
      <c r="C128" s="29" t="n"/>
      <c r="D128" s="29" t="n"/>
      <c r="E128" s="29" t="n"/>
      <c r="F128" s="29" t="n"/>
      <c r="G128" s="39" t="n"/>
      <c r="H128" s="39" t="n"/>
      <c r="I128" s="29" t="n"/>
      <c r="J128" s="32">
        <f>IF($A128="","",IF(COUNTIF($A:$A,$A128)&gt;1,"كود مورد مكرر",IF($B128="","اسم المورد ناقص",IF($D128="","شروط السداد ناقصة",""))))</f>
        <v/>
      </c>
    </row>
    <row r="129">
      <c r="A129" s="39" t="n"/>
      <c r="B129" s="29" t="n"/>
      <c r="C129" s="29" t="n"/>
      <c r="D129" s="29" t="n"/>
      <c r="E129" s="29" t="n"/>
      <c r="F129" s="29" t="n"/>
      <c r="G129" s="39" t="n"/>
      <c r="H129" s="39" t="n"/>
      <c r="I129" s="29" t="n"/>
      <c r="J129" s="32">
        <f>IF($A129="","",IF(COUNTIF($A:$A,$A129)&gt;1,"كود مورد مكرر",IF($B129="","اسم المورد ناقص",IF($D129="","شروط السداد ناقصة",""))))</f>
        <v/>
      </c>
    </row>
    <row r="130">
      <c r="A130" s="39" t="n"/>
      <c r="B130" s="29" t="n"/>
      <c r="C130" s="29" t="n"/>
      <c r="D130" s="29" t="n"/>
      <c r="E130" s="29" t="n"/>
      <c r="F130" s="29" t="n"/>
      <c r="G130" s="39" t="n"/>
      <c r="H130" s="39" t="n"/>
      <c r="I130" s="29" t="n"/>
      <c r="J130" s="32">
        <f>IF($A130="","",IF(COUNTIF($A:$A,$A130)&gt;1,"كود مورد مكرر",IF($B130="","اسم المورد ناقص",IF($D130="","شروط السداد ناقصة",""))))</f>
        <v/>
      </c>
    </row>
    <row r="131">
      <c r="A131" s="39" t="n"/>
      <c r="B131" s="29" t="n"/>
      <c r="C131" s="29" t="n"/>
      <c r="D131" s="29" t="n"/>
      <c r="E131" s="29" t="n"/>
      <c r="F131" s="29" t="n"/>
      <c r="G131" s="39" t="n"/>
      <c r="H131" s="39" t="n"/>
      <c r="I131" s="29" t="n"/>
      <c r="J131" s="32">
        <f>IF($A131="","",IF(COUNTIF($A:$A,$A131)&gt;1,"كود مورد مكرر",IF($B131="","اسم المورد ناقص",IF($D131="","شروط السداد ناقصة",""))))</f>
        <v/>
      </c>
    </row>
    <row r="132">
      <c r="A132" s="39" t="n"/>
      <c r="B132" s="29" t="n"/>
      <c r="C132" s="29" t="n"/>
      <c r="D132" s="29" t="n"/>
      <c r="E132" s="29" t="n"/>
      <c r="F132" s="29" t="n"/>
      <c r="G132" s="39" t="n"/>
      <c r="H132" s="39" t="n"/>
      <c r="I132" s="29" t="n"/>
      <c r="J132" s="32">
        <f>IF($A132="","",IF(COUNTIF($A:$A,$A132)&gt;1,"كود مورد مكرر",IF($B132="","اسم المورد ناقص",IF($D132="","شروط السداد ناقصة",""))))</f>
        <v/>
      </c>
    </row>
    <row r="133">
      <c r="A133" s="39" t="n"/>
      <c r="B133" s="29" t="n"/>
      <c r="C133" s="29" t="n"/>
      <c r="D133" s="29" t="n"/>
      <c r="E133" s="29" t="n"/>
      <c r="F133" s="29" t="n"/>
      <c r="G133" s="39" t="n"/>
      <c r="H133" s="39" t="n"/>
      <c r="I133" s="29" t="n"/>
      <c r="J133" s="32">
        <f>IF($A133="","",IF(COUNTIF($A:$A,$A133)&gt;1,"كود مورد مكرر",IF($B133="","اسم المورد ناقص",IF($D133="","شروط السداد ناقصة",""))))</f>
        <v/>
      </c>
    </row>
    <row r="134">
      <c r="A134" s="39" t="n"/>
      <c r="B134" s="29" t="n"/>
      <c r="C134" s="29" t="n"/>
      <c r="D134" s="29" t="n"/>
      <c r="E134" s="29" t="n"/>
      <c r="F134" s="29" t="n"/>
      <c r="G134" s="39" t="n"/>
      <c r="H134" s="39" t="n"/>
      <c r="I134" s="29" t="n"/>
      <c r="J134" s="32">
        <f>IF($A134="","",IF(COUNTIF($A:$A,$A134)&gt;1,"كود مورد مكرر",IF($B134="","اسم المورد ناقص",IF($D134="","شروط السداد ناقصة",""))))</f>
        <v/>
      </c>
    </row>
    <row r="135">
      <c r="A135" s="39" t="n"/>
      <c r="B135" s="29" t="n"/>
      <c r="C135" s="29" t="n"/>
      <c r="D135" s="29" t="n"/>
      <c r="E135" s="29" t="n"/>
      <c r="F135" s="29" t="n"/>
      <c r="G135" s="39" t="n"/>
      <c r="H135" s="39" t="n"/>
      <c r="I135" s="29" t="n"/>
      <c r="J135" s="32">
        <f>IF($A135="","",IF(COUNTIF($A:$A,$A135)&gt;1,"كود مورد مكرر",IF($B135="","اسم المورد ناقص",IF($D135="","شروط السداد ناقصة",""))))</f>
        <v/>
      </c>
    </row>
    <row r="136">
      <c r="A136" s="39" t="n"/>
      <c r="B136" s="29" t="n"/>
      <c r="C136" s="29" t="n"/>
      <c r="D136" s="29" t="n"/>
      <c r="E136" s="29" t="n"/>
      <c r="F136" s="29" t="n"/>
      <c r="G136" s="39" t="n"/>
      <c r="H136" s="39" t="n"/>
      <c r="I136" s="29" t="n"/>
      <c r="J136" s="32">
        <f>IF($A136="","",IF(COUNTIF($A:$A,$A136)&gt;1,"كود مورد مكرر",IF($B136="","اسم المورد ناقص",IF($D136="","شروط السداد ناقصة",""))))</f>
        <v/>
      </c>
    </row>
    <row r="137">
      <c r="A137" s="39" t="n"/>
      <c r="B137" s="29" t="n"/>
      <c r="C137" s="29" t="n"/>
      <c r="D137" s="29" t="n"/>
      <c r="E137" s="29" t="n"/>
      <c r="F137" s="29" t="n"/>
      <c r="G137" s="39" t="n"/>
      <c r="H137" s="39" t="n"/>
      <c r="I137" s="29" t="n"/>
      <c r="J137" s="32">
        <f>IF($A137="","",IF(COUNTIF($A:$A,$A137)&gt;1,"كود مورد مكرر",IF($B137="","اسم المورد ناقص",IF($D137="","شروط السداد ناقصة",""))))</f>
        <v/>
      </c>
    </row>
    <row r="138">
      <c r="A138" s="39" t="n"/>
      <c r="B138" s="29" t="n"/>
      <c r="C138" s="29" t="n"/>
      <c r="D138" s="29" t="n"/>
      <c r="E138" s="29" t="n"/>
      <c r="F138" s="29" t="n"/>
      <c r="G138" s="39" t="n"/>
      <c r="H138" s="39" t="n"/>
      <c r="I138" s="29" t="n"/>
      <c r="J138" s="32">
        <f>IF($A138="","",IF(COUNTIF($A:$A,$A138)&gt;1,"كود مورد مكرر",IF($B138="","اسم المورد ناقص",IF($D138="","شروط السداد ناقصة",""))))</f>
        <v/>
      </c>
    </row>
    <row r="139">
      <c r="A139" s="39" t="n"/>
      <c r="B139" s="29" t="n"/>
      <c r="C139" s="29" t="n"/>
      <c r="D139" s="29" t="n"/>
      <c r="E139" s="29" t="n"/>
      <c r="F139" s="29" t="n"/>
      <c r="G139" s="39" t="n"/>
      <c r="H139" s="39" t="n"/>
      <c r="I139" s="29" t="n"/>
      <c r="J139" s="32">
        <f>IF($A139="","",IF(COUNTIF($A:$A,$A139)&gt;1,"كود مورد مكرر",IF($B139="","اسم المورد ناقص",IF($D139="","شروط السداد ناقصة",""))))</f>
        <v/>
      </c>
    </row>
    <row r="140">
      <c r="A140" s="39" t="n"/>
      <c r="B140" s="29" t="n"/>
      <c r="C140" s="29" t="n"/>
      <c r="D140" s="29" t="n"/>
      <c r="E140" s="29" t="n"/>
      <c r="F140" s="29" t="n"/>
      <c r="G140" s="39" t="n"/>
      <c r="H140" s="39" t="n"/>
      <c r="I140" s="29" t="n"/>
      <c r="J140" s="32">
        <f>IF($A140="","",IF(COUNTIF($A:$A,$A140)&gt;1,"كود مورد مكرر",IF($B140="","اسم المورد ناقص",IF($D140="","شروط السداد ناقصة",""))))</f>
        <v/>
      </c>
    </row>
    <row r="141">
      <c r="A141" s="39" t="n"/>
      <c r="B141" s="29" t="n"/>
      <c r="C141" s="29" t="n"/>
      <c r="D141" s="29" t="n"/>
      <c r="E141" s="29" t="n"/>
      <c r="F141" s="29" t="n"/>
      <c r="G141" s="39" t="n"/>
      <c r="H141" s="39" t="n"/>
      <c r="I141" s="29" t="n"/>
      <c r="J141" s="32">
        <f>IF($A141="","",IF(COUNTIF($A:$A,$A141)&gt;1,"كود مورد مكرر",IF($B141="","اسم المورد ناقص",IF($D141="","شروط السداد ناقصة",""))))</f>
        <v/>
      </c>
    </row>
    <row r="142">
      <c r="A142" s="39" t="n"/>
      <c r="B142" s="29" t="n"/>
      <c r="C142" s="29" t="n"/>
      <c r="D142" s="29" t="n"/>
      <c r="E142" s="29" t="n"/>
      <c r="F142" s="29" t="n"/>
      <c r="G142" s="39" t="n"/>
      <c r="H142" s="39" t="n"/>
      <c r="I142" s="29" t="n"/>
      <c r="J142" s="32">
        <f>IF($A142="","",IF(COUNTIF($A:$A,$A142)&gt;1,"كود مورد مكرر",IF($B142="","اسم المورد ناقص",IF($D142="","شروط السداد ناقصة",""))))</f>
        <v/>
      </c>
    </row>
    <row r="143">
      <c r="A143" s="39" t="n"/>
      <c r="B143" s="29" t="n"/>
      <c r="C143" s="29" t="n"/>
      <c r="D143" s="29" t="n"/>
      <c r="E143" s="29" t="n"/>
      <c r="F143" s="29" t="n"/>
      <c r="G143" s="39" t="n"/>
      <c r="H143" s="39" t="n"/>
      <c r="I143" s="29" t="n"/>
      <c r="J143" s="32">
        <f>IF($A143="","",IF(COUNTIF($A:$A,$A143)&gt;1,"كود مورد مكرر",IF($B143="","اسم المورد ناقص",IF($D143="","شروط السداد ناقصة",""))))</f>
        <v/>
      </c>
    </row>
    <row r="144">
      <c r="A144" s="39" t="n"/>
      <c r="B144" s="29" t="n"/>
      <c r="C144" s="29" t="n"/>
      <c r="D144" s="29" t="n"/>
      <c r="E144" s="29" t="n"/>
      <c r="F144" s="29" t="n"/>
      <c r="G144" s="39" t="n"/>
      <c r="H144" s="39" t="n"/>
      <c r="I144" s="29" t="n"/>
      <c r="J144" s="32">
        <f>IF($A144="","",IF(COUNTIF($A:$A,$A144)&gt;1,"كود مورد مكرر",IF($B144="","اسم المورد ناقص",IF($D144="","شروط السداد ناقصة",""))))</f>
        <v/>
      </c>
    </row>
    <row r="145">
      <c r="A145" s="39" t="n"/>
      <c r="B145" s="29" t="n"/>
      <c r="C145" s="29" t="n"/>
      <c r="D145" s="29" t="n"/>
      <c r="E145" s="29" t="n"/>
      <c r="F145" s="29" t="n"/>
      <c r="G145" s="39" t="n"/>
      <c r="H145" s="39" t="n"/>
      <c r="I145" s="29" t="n"/>
      <c r="J145" s="32">
        <f>IF($A145="","",IF(COUNTIF($A:$A,$A145)&gt;1,"كود مورد مكرر",IF($B145="","اسم المورد ناقص",IF($D145="","شروط السداد ناقصة",""))))</f>
        <v/>
      </c>
    </row>
    <row r="146">
      <c r="A146" s="39" t="n"/>
      <c r="B146" s="29" t="n"/>
      <c r="C146" s="29" t="n"/>
      <c r="D146" s="29" t="n"/>
      <c r="E146" s="29" t="n"/>
      <c r="F146" s="29" t="n"/>
      <c r="G146" s="39" t="n"/>
      <c r="H146" s="39" t="n"/>
      <c r="I146" s="29" t="n"/>
      <c r="J146" s="32">
        <f>IF($A146="","",IF(COUNTIF($A:$A,$A146)&gt;1,"كود مورد مكرر",IF($B146="","اسم المورد ناقص",IF($D146="","شروط السداد ناقصة",""))))</f>
        <v/>
      </c>
    </row>
    <row r="147">
      <c r="A147" s="39" t="n"/>
      <c r="B147" s="29" t="n"/>
      <c r="C147" s="29" t="n"/>
      <c r="D147" s="29" t="n"/>
      <c r="E147" s="29" t="n"/>
      <c r="F147" s="29" t="n"/>
      <c r="G147" s="39" t="n"/>
      <c r="H147" s="39" t="n"/>
      <c r="I147" s="29" t="n"/>
      <c r="J147" s="32">
        <f>IF($A147="","",IF(COUNTIF($A:$A,$A147)&gt;1,"كود مورد مكرر",IF($B147="","اسم المورد ناقص",IF($D147="","شروط السداد ناقصة",""))))</f>
        <v/>
      </c>
    </row>
    <row r="148">
      <c r="A148" s="39" t="n"/>
      <c r="B148" s="29" t="n"/>
      <c r="C148" s="29" t="n"/>
      <c r="D148" s="29" t="n"/>
      <c r="E148" s="29" t="n"/>
      <c r="F148" s="29" t="n"/>
      <c r="G148" s="39" t="n"/>
      <c r="H148" s="39" t="n"/>
      <c r="I148" s="29" t="n"/>
      <c r="J148" s="32">
        <f>IF($A148="","",IF(COUNTIF($A:$A,$A148)&gt;1,"كود مورد مكرر",IF($B148="","اسم المورد ناقص",IF($D148="","شروط السداد ناقصة",""))))</f>
        <v/>
      </c>
    </row>
    <row r="149">
      <c r="A149" s="39" t="n"/>
      <c r="B149" s="29" t="n"/>
      <c r="C149" s="29" t="n"/>
      <c r="D149" s="29" t="n"/>
      <c r="E149" s="29" t="n"/>
      <c r="F149" s="29" t="n"/>
      <c r="G149" s="39" t="n"/>
      <c r="H149" s="39" t="n"/>
      <c r="I149" s="29" t="n"/>
      <c r="J149" s="32">
        <f>IF($A149="","",IF(COUNTIF($A:$A,$A149)&gt;1,"كود مورد مكرر",IF($B149="","اسم المورد ناقص",IF($D149="","شروط السداد ناقصة",""))))</f>
        <v/>
      </c>
    </row>
    <row r="150">
      <c r="A150" s="39" t="n"/>
      <c r="B150" s="29" t="n"/>
      <c r="C150" s="29" t="n"/>
      <c r="D150" s="29" t="n"/>
      <c r="E150" s="29" t="n"/>
      <c r="F150" s="29" t="n"/>
      <c r="G150" s="39" t="n"/>
      <c r="H150" s="39" t="n"/>
      <c r="I150" s="29" t="n"/>
      <c r="J150" s="32">
        <f>IF($A150="","",IF(COUNTIF($A:$A,$A150)&gt;1,"كود مورد مكرر",IF($B150="","اسم المورد ناقص",IF($D150="","شروط السداد ناقصة",""))))</f>
        <v/>
      </c>
    </row>
    <row r="151">
      <c r="A151" s="39" t="n"/>
      <c r="B151" s="29" t="n"/>
      <c r="C151" s="29" t="n"/>
      <c r="D151" s="29" t="n"/>
      <c r="E151" s="29" t="n"/>
      <c r="F151" s="29" t="n"/>
      <c r="G151" s="39" t="n"/>
      <c r="H151" s="39" t="n"/>
      <c r="I151" s="29" t="n"/>
      <c r="J151" s="32">
        <f>IF($A151="","",IF(COUNTIF($A:$A,$A151)&gt;1,"كود مورد مكرر",IF($B151="","اسم المورد ناقص",IF($D151="","شروط السداد ناقصة",""))))</f>
        <v/>
      </c>
    </row>
    <row r="152">
      <c r="A152" s="39" t="n"/>
      <c r="B152" s="29" t="n"/>
      <c r="C152" s="29" t="n"/>
      <c r="D152" s="29" t="n"/>
      <c r="E152" s="29" t="n"/>
      <c r="F152" s="29" t="n"/>
      <c r="G152" s="39" t="n"/>
      <c r="H152" s="39" t="n"/>
      <c r="I152" s="29" t="n"/>
      <c r="J152" s="32">
        <f>IF($A152="","",IF(COUNTIF($A:$A,$A152)&gt;1,"كود مورد مكرر",IF($B152="","اسم المورد ناقص",IF($D152="","شروط السداد ناقصة",""))))</f>
        <v/>
      </c>
    </row>
    <row r="153">
      <c r="A153" s="39" t="n"/>
      <c r="B153" s="29" t="n"/>
      <c r="C153" s="29" t="n"/>
      <c r="D153" s="29" t="n"/>
      <c r="E153" s="29" t="n"/>
      <c r="F153" s="29" t="n"/>
      <c r="G153" s="39" t="n"/>
      <c r="H153" s="39" t="n"/>
      <c r="I153" s="29" t="n"/>
      <c r="J153" s="32">
        <f>IF($A153="","",IF(COUNTIF($A:$A,$A153)&gt;1,"كود مورد مكرر",IF($B153="","اسم المورد ناقص",IF($D153="","شروط السداد ناقصة",""))))</f>
        <v/>
      </c>
    </row>
    <row r="154">
      <c r="A154" s="39" t="n"/>
      <c r="B154" s="29" t="n"/>
      <c r="C154" s="29" t="n"/>
      <c r="D154" s="29" t="n"/>
      <c r="E154" s="29" t="n"/>
      <c r="F154" s="29" t="n"/>
      <c r="G154" s="39" t="n"/>
      <c r="H154" s="39" t="n"/>
      <c r="I154" s="29" t="n"/>
      <c r="J154" s="32">
        <f>IF($A154="","",IF(COUNTIF($A:$A,$A154)&gt;1,"كود مورد مكرر",IF($B154="","اسم المورد ناقص",IF($D154="","شروط السداد ناقصة",""))))</f>
        <v/>
      </c>
    </row>
  </sheetData>
  <sheetProtection selectLockedCells="0" selectUnlockedCells="0" sheet="1" objects="0" insertRows="1" insertHyperlinks="1" autoFilter="0" scenarios="0" formatColumns="0" deleteColumns="1" insertColumns="1" pivotTables="1" deleteRows="1" formatCells="0" formatRows="0" sort="1"/>
  <autoFilter ref="A4:J154"/>
  <conditionalFormatting sqref="J5:J154">
    <cfRule type="expression" priority="1" dxfId="3">
      <formula>LEN(J5)&gt;0</formula>
    </cfRule>
  </conditionalFormatting>
  <dataValidations count="3">
    <dataValidation sqref="D5:D154" showDropDown="0" showInputMessage="0" showErrorMessage="1" allowBlank="1" error="أدخل عددًا صحيحًا موجبًا." type="whole" operator="greaterThanOrEqual">
      <formula1>0</formula1>
    </dataValidation>
    <dataValidation sqref="G5:G154" showDropDown="0" showInputMessage="0" showErrorMessage="1" allowBlank="1" errorTitle="قيمة غير مسموحة" error="اختر قيمة من القائمة المنسدلة." type="list">
      <formula1>=COA!$A$5:$A$254</formula1>
    </dataValidation>
    <dataValidation sqref="H5:H154" showDropDown="0" showInputMessage="0" showErrorMessage="1" allowBlank="1" errorTitle="قيمة غير مسموحة" error="اختر قيمة من القائمة المنسدلة." type="list">
      <formula1>=Lists!$R$5:$R$6</formula1>
    </dataValidation>
  </dataValidations>
  <pageMargins left="0.75" right="0.75" top="1" bottom="1" header="0.5" footer="0.5"/>
  <pageSetup orientation="landscape" fitToHeight="0" fitToWidth="1"/>
</worksheet>
</file>

<file path=xl/worksheets/sheet13.xml><?xml version="1.0" encoding="utf-8"?>
<worksheet xmlns="http://schemas.openxmlformats.org/spreadsheetml/2006/main">
  <sheetPr>
    <tabColor rgb="002E75B6"/>
    <outlinePr summaryBelow="1" summaryRight="1"/>
    <pageSetUpPr fitToPage="1"/>
  </sheetPr>
  <dimension ref="A1:H10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10" customWidth="1" min="3" max="3"/>
    <col width="12" customWidth="1" min="4" max="4"/>
    <col width="14" customWidth="1" min="5" max="5"/>
    <col width="7" customWidth="1" min="6" max="6"/>
    <col width="26" customWidth="1" min="7" max="7"/>
    <col width="30" customWidth="1" min="8" max="8"/>
  </cols>
  <sheetData>
    <row r="1" ht="26" customHeight="1">
      <c r="A1" s="22" t="inlineStr">
        <is>
          <t>العملاء والمدينون (Customers)</t>
        </is>
      </c>
      <c r="B1" s="1" t="n"/>
      <c r="C1" s="1" t="n"/>
      <c r="D1" s="1" t="n"/>
      <c r="E1" s="1" t="n"/>
      <c r="F1" s="1" t="n"/>
      <c r="G1" s="1" t="n"/>
      <c r="H1" s="1" t="n"/>
    </row>
    <row r="2">
      <c r="A2" s="35" t="inlineStr">
        <is>
          <t>للعملاء الآجلين فقط (شركات/تموين). مبيعات الفروع والمنصات لا تحتاج عميلًا.</t>
        </is>
      </c>
    </row>
    <row r="3">
      <c r="A3" s="36" t="inlineStr">
        <is>
          <t>خلايا الإدخال</t>
        </is>
      </c>
      <c r="B3" s="37" t="inlineStr">
        <is>
          <t>معادلات (لا تعدّل)</t>
        </is>
      </c>
    </row>
    <row r="4" ht="34" customHeight="1">
      <c r="A4" s="24" t="inlineStr">
        <is>
          <t>كود العميل</t>
        </is>
      </c>
      <c r="B4" s="24" t="inlineStr">
        <is>
          <t>اسم العميل</t>
        </is>
      </c>
      <c r="C4" s="24" t="inlineStr">
        <is>
          <t>شروط السداد (أيام)</t>
        </is>
      </c>
      <c r="D4" s="24" t="inlineStr">
        <is>
          <t>حد الائتمان</t>
        </is>
      </c>
      <c r="E4" s="24" t="inlineStr">
        <is>
          <t>الهاتف</t>
        </is>
      </c>
      <c r="F4" s="24" t="inlineStr">
        <is>
          <t>نشط</t>
        </is>
      </c>
      <c r="G4" s="24" t="inlineStr">
        <is>
          <t>ملاحظات</t>
        </is>
      </c>
      <c r="H4" s="38" t="inlineStr">
        <is>
          <t>فحص</t>
        </is>
      </c>
    </row>
    <row r="5">
      <c r="A5" s="39" t="n"/>
      <c r="B5" s="29" t="n"/>
      <c r="C5" s="29" t="n"/>
      <c r="D5" s="42" t="n"/>
      <c r="E5" s="29" t="n"/>
      <c r="F5" s="39" t="n"/>
      <c r="G5" s="29" t="n"/>
      <c r="H5" s="32">
        <f>IF($A5="","",IF(COUNTIF($A:$A,$A5)&gt;1,"كود مكرر",IF($B5="","الاسم ناقص","")))</f>
        <v/>
      </c>
    </row>
    <row r="6">
      <c r="A6" s="39" t="n"/>
      <c r="B6" s="29" t="n"/>
      <c r="C6" s="29" t="n"/>
      <c r="D6" s="42" t="n"/>
      <c r="E6" s="29" t="n"/>
      <c r="F6" s="39" t="n"/>
      <c r="G6" s="29" t="n"/>
      <c r="H6" s="32">
        <f>IF($A6="","",IF(COUNTIF($A:$A,$A6)&gt;1,"كود مكرر",IF($B6="","الاسم ناقص","")))</f>
        <v/>
      </c>
    </row>
    <row r="7">
      <c r="A7" s="39" t="n"/>
      <c r="B7" s="29" t="n"/>
      <c r="C7" s="29" t="n"/>
      <c r="D7" s="42" t="n"/>
      <c r="E7" s="29" t="n"/>
      <c r="F7" s="39" t="n"/>
      <c r="G7" s="29" t="n"/>
      <c r="H7" s="32">
        <f>IF($A7="","",IF(COUNTIF($A:$A,$A7)&gt;1,"كود مكرر",IF($B7="","الاسم ناقص","")))</f>
        <v/>
      </c>
    </row>
    <row r="8">
      <c r="A8" s="39" t="n"/>
      <c r="B8" s="29" t="n"/>
      <c r="C8" s="29" t="n"/>
      <c r="D8" s="42" t="n"/>
      <c r="E8" s="29" t="n"/>
      <c r="F8" s="39" t="n"/>
      <c r="G8" s="29" t="n"/>
      <c r="H8" s="32">
        <f>IF($A8="","",IF(COUNTIF($A:$A,$A8)&gt;1,"كود مكرر",IF($B8="","الاسم ناقص","")))</f>
        <v/>
      </c>
    </row>
    <row r="9">
      <c r="A9" s="39" t="n"/>
      <c r="B9" s="29" t="n"/>
      <c r="C9" s="29" t="n"/>
      <c r="D9" s="42" t="n"/>
      <c r="E9" s="29" t="n"/>
      <c r="F9" s="39" t="n"/>
      <c r="G9" s="29" t="n"/>
      <c r="H9" s="32">
        <f>IF($A9="","",IF(COUNTIF($A:$A,$A9)&gt;1,"كود مكرر",IF($B9="","الاسم ناقص","")))</f>
        <v/>
      </c>
    </row>
    <row r="10">
      <c r="A10" s="39" t="n"/>
      <c r="B10" s="29" t="n"/>
      <c r="C10" s="29" t="n"/>
      <c r="D10" s="42" t="n"/>
      <c r="E10" s="29" t="n"/>
      <c r="F10" s="39" t="n"/>
      <c r="G10" s="29" t="n"/>
      <c r="H10" s="32">
        <f>IF($A10="","",IF(COUNTIF($A:$A,$A10)&gt;1,"كود مكرر",IF($B10="","الاسم ناقص","")))</f>
        <v/>
      </c>
    </row>
    <row r="11">
      <c r="A11" s="39" t="n"/>
      <c r="B11" s="29" t="n"/>
      <c r="C11" s="29" t="n"/>
      <c r="D11" s="42" t="n"/>
      <c r="E11" s="29" t="n"/>
      <c r="F11" s="39" t="n"/>
      <c r="G11" s="29" t="n"/>
      <c r="H11" s="32">
        <f>IF($A11="","",IF(COUNTIF($A:$A,$A11)&gt;1,"كود مكرر",IF($B11="","الاسم ناقص","")))</f>
        <v/>
      </c>
    </row>
    <row r="12">
      <c r="A12" s="39" t="n"/>
      <c r="B12" s="29" t="n"/>
      <c r="C12" s="29" t="n"/>
      <c r="D12" s="42" t="n"/>
      <c r="E12" s="29" t="n"/>
      <c r="F12" s="39" t="n"/>
      <c r="G12" s="29" t="n"/>
      <c r="H12" s="32">
        <f>IF($A12="","",IF(COUNTIF($A:$A,$A12)&gt;1,"كود مكرر",IF($B12="","الاسم ناقص","")))</f>
        <v/>
      </c>
    </row>
    <row r="13">
      <c r="A13" s="39" t="n"/>
      <c r="B13" s="29" t="n"/>
      <c r="C13" s="29" t="n"/>
      <c r="D13" s="42" t="n"/>
      <c r="E13" s="29" t="n"/>
      <c r="F13" s="39" t="n"/>
      <c r="G13" s="29" t="n"/>
      <c r="H13" s="32">
        <f>IF($A13="","",IF(COUNTIF($A:$A,$A13)&gt;1,"كود مكرر",IF($B13="","الاسم ناقص","")))</f>
        <v/>
      </c>
    </row>
    <row r="14">
      <c r="A14" s="39" t="n"/>
      <c r="B14" s="29" t="n"/>
      <c r="C14" s="29" t="n"/>
      <c r="D14" s="42" t="n"/>
      <c r="E14" s="29" t="n"/>
      <c r="F14" s="39" t="n"/>
      <c r="G14" s="29" t="n"/>
      <c r="H14" s="32">
        <f>IF($A14="","",IF(COUNTIF($A:$A,$A14)&gt;1,"كود مكرر",IF($B14="","الاسم ناقص","")))</f>
        <v/>
      </c>
    </row>
    <row r="15">
      <c r="A15" s="39" t="n"/>
      <c r="B15" s="29" t="n"/>
      <c r="C15" s="29" t="n"/>
      <c r="D15" s="42" t="n"/>
      <c r="E15" s="29" t="n"/>
      <c r="F15" s="39" t="n"/>
      <c r="G15" s="29" t="n"/>
      <c r="H15" s="32">
        <f>IF($A15="","",IF(COUNTIF($A:$A,$A15)&gt;1,"كود مكرر",IF($B15="","الاسم ناقص","")))</f>
        <v/>
      </c>
    </row>
    <row r="16">
      <c r="A16" s="39" t="n"/>
      <c r="B16" s="29" t="n"/>
      <c r="C16" s="29" t="n"/>
      <c r="D16" s="42" t="n"/>
      <c r="E16" s="29" t="n"/>
      <c r="F16" s="39" t="n"/>
      <c r="G16" s="29" t="n"/>
      <c r="H16" s="32">
        <f>IF($A16="","",IF(COUNTIF($A:$A,$A16)&gt;1,"كود مكرر",IF($B16="","الاسم ناقص","")))</f>
        <v/>
      </c>
    </row>
    <row r="17">
      <c r="A17" s="39" t="n"/>
      <c r="B17" s="29" t="n"/>
      <c r="C17" s="29" t="n"/>
      <c r="D17" s="42" t="n"/>
      <c r="E17" s="29" t="n"/>
      <c r="F17" s="39" t="n"/>
      <c r="G17" s="29" t="n"/>
      <c r="H17" s="32">
        <f>IF($A17="","",IF(COUNTIF($A:$A,$A17)&gt;1,"كود مكرر",IF($B17="","الاسم ناقص","")))</f>
        <v/>
      </c>
    </row>
    <row r="18">
      <c r="A18" s="39" t="n"/>
      <c r="B18" s="29" t="n"/>
      <c r="C18" s="29" t="n"/>
      <c r="D18" s="42" t="n"/>
      <c r="E18" s="29" t="n"/>
      <c r="F18" s="39" t="n"/>
      <c r="G18" s="29" t="n"/>
      <c r="H18" s="32">
        <f>IF($A18="","",IF(COUNTIF($A:$A,$A18)&gt;1,"كود مكرر",IF($B18="","الاسم ناقص","")))</f>
        <v/>
      </c>
    </row>
    <row r="19">
      <c r="A19" s="39" t="n"/>
      <c r="B19" s="29" t="n"/>
      <c r="C19" s="29" t="n"/>
      <c r="D19" s="42" t="n"/>
      <c r="E19" s="29" t="n"/>
      <c r="F19" s="39" t="n"/>
      <c r="G19" s="29" t="n"/>
      <c r="H19" s="32">
        <f>IF($A19="","",IF(COUNTIF($A:$A,$A19)&gt;1,"كود مكرر",IF($B19="","الاسم ناقص","")))</f>
        <v/>
      </c>
    </row>
    <row r="20">
      <c r="A20" s="39" t="n"/>
      <c r="B20" s="29" t="n"/>
      <c r="C20" s="29" t="n"/>
      <c r="D20" s="42" t="n"/>
      <c r="E20" s="29" t="n"/>
      <c r="F20" s="39" t="n"/>
      <c r="G20" s="29" t="n"/>
      <c r="H20" s="32">
        <f>IF($A20="","",IF(COUNTIF($A:$A,$A20)&gt;1,"كود مكرر",IF($B20="","الاسم ناقص","")))</f>
        <v/>
      </c>
    </row>
    <row r="21">
      <c r="A21" s="39" t="n"/>
      <c r="B21" s="29" t="n"/>
      <c r="C21" s="29" t="n"/>
      <c r="D21" s="42" t="n"/>
      <c r="E21" s="29" t="n"/>
      <c r="F21" s="39" t="n"/>
      <c r="G21" s="29" t="n"/>
      <c r="H21" s="32">
        <f>IF($A21="","",IF(COUNTIF($A:$A,$A21)&gt;1,"كود مكرر",IF($B21="","الاسم ناقص","")))</f>
        <v/>
      </c>
    </row>
    <row r="22">
      <c r="A22" s="39" t="n"/>
      <c r="B22" s="29" t="n"/>
      <c r="C22" s="29" t="n"/>
      <c r="D22" s="42" t="n"/>
      <c r="E22" s="29" t="n"/>
      <c r="F22" s="39" t="n"/>
      <c r="G22" s="29" t="n"/>
      <c r="H22" s="32">
        <f>IF($A22="","",IF(COUNTIF($A:$A,$A22)&gt;1,"كود مكرر",IF($B22="","الاسم ناقص","")))</f>
        <v/>
      </c>
    </row>
    <row r="23">
      <c r="A23" s="39" t="n"/>
      <c r="B23" s="29" t="n"/>
      <c r="C23" s="29" t="n"/>
      <c r="D23" s="42" t="n"/>
      <c r="E23" s="29" t="n"/>
      <c r="F23" s="39" t="n"/>
      <c r="G23" s="29" t="n"/>
      <c r="H23" s="32">
        <f>IF($A23="","",IF(COUNTIF($A:$A,$A23)&gt;1,"كود مكرر",IF($B23="","الاسم ناقص","")))</f>
        <v/>
      </c>
    </row>
    <row r="24">
      <c r="A24" s="39" t="n"/>
      <c r="B24" s="29" t="n"/>
      <c r="C24" s="29" t="n"/>
      <c r="D24" s="42" t="n"/>
      <c r="E24" s="29" t="n"/>
      <c r="F24" s="39" t="n"/>
      <c r="G24" s="29" t="n"/>
      <c r="H24" s="32">
        <f>IF($A24="","",IF(COUNTIF($A:$A,$A24)&gt;1,"كود مكرر",IF($B24="","الاسم ناقص","")))</f>
        <v/>
      </c>
    </row>
    <row r="25">
      <c r="A25" s="39" t="n"/>
      <c r="B25" s="29" t="n"/>
      <c r="C25" s="29" t="n"/>
      <c r="D25" s="42" t="n"/>
      <c r="E25" s="29" t="n"/>
      <c r="F25" s="39" t="n"/>
      <c r="G25" s="29" t="n"/>
      <c r="H25" s="32">
        <f>IF($A25="","",IF(COUNTIF($A:$A,$A25)&gt;1,"كود مكرر",IF($B25="","الاسم ناقص","")))</f>
        <v/>
      </c>
    </row>
    <row r="26">
      <c r="A26" s="39" t="n"/>
      <c r="B26" s="29" t="n"/>
      <c r="C26" s="29" t="n"/>
      <c r="D26" s="42" t="n"/>
      <c r="E26" s="29" t="n"/>
      <c r="F26" s="39" t="n"/>
      <c r="G26" s="29" t="n"/>
      <c r="H26" s="32">
        <f>IF($A26="","",IF(COUNTIF($A:$A,$A26)&gt;1,"كود مكرر",IF($B26="","الاسم ناقص","")))</f>
        <v/>
      </c>
    </row>
    <row r="27">
      <c r="A27" s="39" t="n"/>
      <c r="B27" s="29" t="n"/>
      <c r="C27" s="29" t="n"/>
      <c r="D27" s="42" t="n"/>
      <c r="E27" s="29" t="n"/>
      <c r="F27" s="39" t="n"/>
      <c r="G27" s="29" t="n"/>
      <c r="H27" s="32">
        <f>IF($A27="","",IF(COUNTIF($A:$A,$A27)&gt;1,"كود مكرر",IF($B27="","الاسم ناقص","")))</f>
        <v/>
      </c>
    </row>
    <row r="28">
      <c r="A28" s="39" t="n"/>
      <c r="B28" s="29" t="n"/>
      <c r="C28" s="29" t="n"/>
      <c r="D28" s="42" t="n"/>
      <c r="E28" s="29" t="n"/>
      <c r="F28" s="39" t="n"/>
      <c r="G28" s="29" t="n"/>
      <c r="H28" s="32">
        <f>IF($A28="","",IF(COUNTIF($A:$A,$A28)&gt;1,"كود مكرر",IF($B28="","الاسم ناقص","")))</f>
        <v/>
      </c>
    </row>
    <row r="29">
      <c r="A29" s="39" t="n"/>
      <c r="B29" s="29" t="n"/>
      <c r="C29" s="29" t="n"/>
      <c r="D29" s="42" t="n"/>
      <c r="E29" s="29" t="n"/>
      <c r="F29" s="39" t="n"/>
      <c r="G29" s="29" t="n"/>
      <c r="H29" s="32">
        <f>IF($A29="","",IF(COUNTIF($A:$A,$A29)&gt;1,"كود مكرر",IF($B29="","الاسم ناقص","")))</f>
        <v/>
      </c>
    </row>
    <row r="30">
      <c r="A30" s="39" t="n"/>
      <c r="B30" s="29" t="n"/>
      <c r="C30" s="29" t="n"/>
      <c r="D30" s="42" t="n"/>
      <c r="E30" s="29" t="n"/>
      <c r="F30" s="39" t="n"/>
      <c r="G30" s="29" t="n"/>
      <c r="H30" s="32">
        <f>IF($A30="","",IF(COUNTIF($A:$A,$A30)&gt;1,"كود مكرر",IF($B30="","الاسم ناقص","")))</f>
        <v/>
      </c>
    </row>
    <row r="31">
      <c r="A31" s="39" t="n"/>
      <c r="B31" s="29" t="n"/>
      <c r="C31" s="29" t="n"/>
      <c r="D31" s="42" t="n"/>
      <c r="E31" s="29" t="n"/>
      <c r="F31" s="39" t="n"/>
      <c r="G31" s="29" t="n"/>
      <c r="H31" s="32">
        <f>IF($A31="","",IF(COUNTIF($A:$A,$A31)&gt;1,"كود مكرر",IF($B31="","الاسم ناقص","")))</f>
        <v/>
      </c>
    </row>
    <row r="32">
      <c r="A32" s="39" t="n"/>
      <c r="B32" s="29" t="n"/>
      <c r="C32" s="29" t="n"/>
      <c r="D32" s="42" t="n"/>
      <c r="E32" s="29" t="n"/>
      <c r="F32" s="39" t="n"/>
      <c r="G32" s="29" t="n"/>
      <c r="H32" s="32">
        <f>IF($A32="","",IF(COUNTIF($A:$A,$A32)&gt;1,"كود مكرر",IF($B32="","الاسم ناقص","")))</f>
        <v/>
      </c>
    </row>
    <row r="33">
      <c r="A33" s="39" t="n"/>
      <c r="B33" s="29" t="n"/>
      <c r="C33" s="29" t="n"/>
      <c r="D33" s="42" t="n"/>
      <c r="E33" s="29" t="n"/>
      <c r="F33" s="39" t="n"/>
      <c r="G33" s="29" t="n"/>
      <c r="H33" s="32">
        <f>IF($A33="","",IF(COUNTIF($A:$A,$A33)&gt;1,"كود مكرر",IF($B33="","الاسم ناقص","")))</f>
        <v/>
      </c>
    </row>
    <row r="34">
      <c r="A34" s="39" t="n"/>
      <c r="B34" s="29" t="n"/>
      <c r="C34" s="29" t="n"/>
      <c r="D34" s="42" t="n"/>
      <c r="E34" s="29" t="n"/>
      <c r="F34" s="39" t="n"/>
      <c r="G34" s="29" t="n"/>
      <c r="H34" s="32">
        <f>IF($A34="","",IF(COUNTIF($A:$A,$A34)&gt;1,"كود مكرر",IF($B34="","الاسم ناقص","")))</f>
        <v/>
      </c>
    </row>
    <row r="35">
      <c r="A35" s="39" t="n"/>
      <c r="B35" s="29" t="n"/>
      <c r="C35" s="29" t="n"/>
      <c r="D35" s="42" t="n"/>
      <c r="E35" s="29" t="n"/>
      <c r="F35" s="39" t="n"/>
      <c r="G35" s="29" t="n"/>
      <c r="H35" s="32">
        <f>IF($A35="","",IF(COUNTIF($A:$A,$A35)&gt;1,"كود مكرر",IF($B35="","الاسم ناقص","")))</f>
        <v/>
      </c>
    </row>
    <row r="36">
      <c r="A36" s="39" t="n"/>
      <c r="B36" s="29" t="n"/>
      <c r="C36" s="29" t="n"/>
      <c r="D36" s="42" t="n"/>
      <c r="E36" s="29" t="n"/>
      <c r="F36" s="39" t="n"/>
      <c r="G36" s="29" t="n"/>
      <c r="H36" s="32">
        <f>IF($A36="","",IF(COUNTIF($A:$A,$A36)&gt;1,"كود مكرر",IF($B36="","الاسم ناقص","")))</f>
        <v/>
      </c>
    </row>
    <row r="37">
      <c r="A37" s="39" t="n"/>
      <c r="B37" s="29" t="n"/>
      <c r="C37" s="29" t="n"/>
      <c r="D37" s="42" t="n"/>
      <c r="E37" s="29" t="n"/>
      <c r="F37" s="39" t="n"/>
      <c r="G37" s="29" t="n"/>
      <c r="H37" s="32">
        <f>IF($A37="","",IF(COUNTIF($A:$A,$A37)&gt;1,"كود مكرر",IF($B37="","الاسم ناقص","")))</f>
        <v/>
      </c>
    </row>
    <row r="38">
      <c r="A38" s="39" t="n"/>
      <c r="B38" s="29" t="n"/>
      <c r="C38" s="29" t="n"/>
      <c r="D38" s="42" t="n"/>
      <c r="E38" s="29" t="n"/>
      <c r="F38" s="39" t="n"/>
      <c r="G38" s="29" t="n"/>
      <c r="H38" s="32">
        <f>IF($A38="","",IF(COUNTIF($A:$A,$A38)&gt;1,"كود مكرر",IF($B38="","الاسم ناقص","")))</f>
        <v/>
      </c>
    </row>
    <row r="39">
      <c r="A39" s="39" t="n"/>
      <c r="B39" s="29" t="n"/>
      <c r="C39" s="29" t="n"/>
      <c r="D39" s="42" t="n"/>
      <c r="E39" s="29" t="n"/>
      <c r="F39" s="39" t="n"/>
      <c r="G39" s="29" t="n"/>
      <c r="H39" s="32">
        <f>IF($A39="","",IF(COUNTIF($A:$A,$A39)&gt;1,"كود مكرر",IF($B39="","الاسم ناقص","")))</f>
        <v/>
      </c>
    </row>
    <row r="40">
      <c r="A40" s="39" t="n"/>
      <c r="B40" s="29" t="n"/>
      <c r="C40" s="29" t="n"/>
      <c r="D40" s="42" t="n"/>
      <c r="E40" s="29" t="n"/>
      <c r="F40" s="39" t="n"/>
      <c r="G40" s="29" t="n"/>
      <c r="H40" s="32">
        <f>IF($A40="","",IF(COUNTIF($A:$A,$A40)&gt;1,"كود مكرر",IF($B40="","الاسم ناقص","")))</f>
        <v/>
      </c>
    </row>
    <row r="41">
      <c r="A41" s="39" t="n"/>
      <c r="B41" s="29" t="n"/>
      <c r="C41" s="29" t="n"/>
      <c r="D41" s="42" t="n"/>
      <c r="E41" s="29" t="n"/>
      <c r="F41" s="39" t="n"/>
      <c r="G41" s="29" t="n"/>
      <c r="H41" s="32">
        <f>IF($A41="","",IF(COUNTIF($A:$A,$A41)&gt;1,"كود مكرر",IF($B41="","الاسم ناقص","")))</f>
        <v/>
      </c>
    </row>
    <row r="42">
      <c r="A42" s="39" t="n"/>
      <c r="B42" s="29" t="n"/>
      <c r="C42" s="29" t="n"/>
      <c r="D42" s="42" t="n"/>
      <c r="E42" s="29" t="n"/>
      <c r="F42" s="39" t="n"/>
      <c r="G42" s="29" t="n"/>
      <c r="H42" s="32">
        <f>IF($A42="","",IF(COUNTIF($A:$A,$A42)&gt;1,"كود مكرر",IF($B42="","الاسم ناقص","")))</f>
        <v/>
      </c>
    </row>
    <row r="43">
      <c r="A43" s="39" t="n"/>
      <c r="B43" s="29" t="n"/>
      <c r="C43" s="29" t="n"/>
      <c r="D43" s="42" t="n"/>
      <c r="E43" s="29" t="n"/>
      <c r="F43" s="39" t="n"/>
      <c r="G43" s="29" t="n"/>
      <c r="H43" s="32">
        <f>IF($A43="","",IF(COUNTIF($A:$A,$A43)&gt;1,"كود مكرر",IF($B43="","الاسم ناقص","")))</f>
        <v/>
      </c>
    </row>
    <row r="44">
      <c r="A44" s="39" t="n"/>
      <c r="B44" s="29" t="n"/>
      <c r="C44" s="29" t="n"/>
      <c r="D44" s="42" t="n"/>
      <c r="E44" s="29" t="n"/>
      <c r="F44" s="39" t="n"/>
      <c r="G44" s="29" t="n"/>
      <c r="H44" s="32">
        <f>IF($A44="","",IF(COUNTIF($A:$A,$A44)&gt;1,"كود مكرر",IF($B44="","الاسم ناقص","")))</f>
        <v/>
      </c>
    </row>
    <row r="45">
      <c r="A45" s="39" t="n"/>
      <c r="B45" s="29" t="n"/>
      <c r="C45" s="29" t="n"/>
      <c r="D45" s="42" t="n"/>
      <c r="E45" s="29" t="n"/>
      <c r="F45" s="39" t="n"/>
      <c r="G45" s="29" t="n"/>
      <c r="H45" s="32">
        <f>IF($A45="","",IF(COUNTIF($A:$A,$A45)&gt;1,"كود مكرر",IF($B45="","الاسم ناقص","")))</f>
        <v/>
      </c>
    </row>
    <row r="46">
      <c r="A46" s="39" t="n"/>
      <c r="B46" s="29" t="n"/>
      <c r="C46" s="29" t="n"/>
      <c r="D46" s="42" t="n"/>
      <c r="E46" s="29" t="n"/>
      <c r="F46" s="39" t="n"/>
      <c r="G46" s="29" t="n"/>
      <c r="H46" s="32">
        <f>IF($A46="","",IF(COUNTIF($A:$A,$A46)&gt;1,"كود مكرر",IF($B46="","الاسم ناقص","")))</f>
        <v/>
      </c>
    </row>
    <row r="47">
      <c r="A47" s="39" t="n"/>
      <c r="B47" s="29" t="n"/>
      <c r="C47" s="29" t="n"/>
      <c r="D47" s="42" t="n"/>
      <c r="E47" s="29" t="n"/>
      <c r="F47" s="39" t="n"/>
      <c r="G47" s="29" t="n"/>
      <c r="H47" s="32">
        <f>IF($A47="","",IF(COUNTIF($A:$A,$A47)&gt;1,"كود مكرر",IF($B47="","الاسم ناقص","")))</f>
        <v/>
      </c>
    </row>
    <row r="48">
      <c r="A48" s="39" t="n"/>
      <c r="B48" s="29" t="n"/>
      <c r="C48" s="29" t="n"/>
      <c r="D48" s="42" t="n"/>
      <c r="E48" s="29" t="n"/>
      <c r="F48" s="39" t="n"/>
      <c r="G48" s="29" t="n"/>
      <c r="H48" s="32">
        <f>IF($A48="","",IF(COUNTIF($A:$A,$A48)&gt;1,"كود مكرر",IF($B48="","الاسم ناقص","")))</f>
        <v/>
      </c>
    </row>
    <row r="49">
      <c r="A49" s="39" t="n"/>
      <c r="B49" s="29" t="n"/>
      <c r="C49" s="29" t="n"/>
      <c r="D49" s="42" t="n"/>
      <c r="E49" s="29" t="n"/>
      <c r="F49" s="39" t="n"/>
      <c r="G49" s="29" t="n"/>
      <c r="H49" s="32">
        <f>IF($A49="","",IF(COUNTIF($A:$A,$A49)&gt;1,"كود مكرر",IF($B49="","الاسم ناقص","")))</f>
        <v/>
      </c>
    </row>
    <row r="50">
      <c r="A50" s="39" t="n"/>
      <c r="B50" s="29" t="n"/>
      <c r="C50" s="29" t="n"/>
      <c r="D50" s="42" t="n"/>
      <c r="E50" s="29" t="n"/>
      <c r="F50" s="39" t="n"/>
      <c r="G50" s="29" t="n"/>
      <c r="H50" s="32">
        <f>IF($A50="","",IF(COUNTIF($A:$A,$A50)&gt;1,"كود مكرر",IF($B50="","الاسم ناقص","")))</f>
        <v/>
      </c>
    </row>
    <row r="51">
      <c r="A51" s="39" t="n"/>
      <c r="B51" s="29" t="n"/>
      <c r="C51" s="29" t="n"/>
      <c r="D51" s="42" t="n"/>
      <c r="E51" s="29" t="n"/>
      <c r="F51" s="39" t="n"/>
      <c r="G51" s="29" t="n"/>
      <c r="H51" s="32">
        <f>IF($A51="","",IF(COUNTIF($A:$A,$A51)&gt;1,"كود مكرر",IF($B51="","الاسم ناقص","")))</f>
        <v/>
      </c>
    </row>
    <row r="52">
      <c r="A52" s="39" t="n"/>
      <c r="B52" s="29" t="n"/>
      <c r="C52" s="29" t="n"/>
      <c r="D52" s="42" t="n"/>
      <c r="E52" s="29" t="n"/>
      <c r="F52" s="39" t="n"/>
      <c r="G52" s="29" t="n"/>
      <c r="H52" s="32">
        <f>IF($A52="","",IF(COUNTIF($A:$A,$A52)&gt;1,"كود مكرر",IF($B52="","الاسم ناقص","")))</f>
        <v/>
      </c>
    </row>
    <row r="53">
      <c r="A53" s="39" t="n"/>
      <c r="B53" s="29" t="n"/>
      <c r="C53" s="29" t="n"/>
      <c r="D53" s="42" t="n"/>
      <c r="E53" s="29" t="n"/>
      <c r="F53" s="39" t="n"/>
      <c r="G53" s="29" t="n"/>
      <c r="H53" s="32">
        <f>IF($A53="","",IF(COUNTIF($A:$A,$A53)&gt;1,"كود مكرر",IF($B53="","الاسم ناقص","")))</f>
        <v/>
      </c>
    </row>
    <row r="54">
      <c r="A54" s="39" t="n"/>
      <c r="B54" s="29" t="n"/>
      <c r="C54" s="29" t="n"/>
      <c r="D54" s="42" t="n"/>
      <c r="E54" s="29" t="n"/>
      <c r="F54" s="39" t="n"/>
      <c r="G54" s="29" t="n"/>
      <c r="H54" s="32">
        <f>IF($A54="","",IF(COUNTIF($A:$A,$A54)&gt;1,"كود مكرر",IF($B54="","الاسم ناقص","")))</f>
        <v/>
      </c>
    </row>
    <row r="55">
      <c r="A55" s="39" t="n"/>
      <c r="B55" s="29" t="n"/>
      <c r="C55" s="29" t="n"/>
      <c r="D55" s="42" t="n"/>
      <c r="E55" s="29" t="n"/>
      <c r="F55" s="39" t="n"/>
      <c r="G55" s="29" t="n"/>
      <c r="H55" s="32">
        <f>IF($A55="","",IF(COUNTIF($A:$A,$A55)&gt;1,"كود مكرر",IF($B55="","الاسم ناقص","")))</f>
        <v/>
      </c>
    </row>
    <row r="56">
      <c r="A56" s="39" t="n"/>
      <c r="B56" s="29" t="n"/>
      <c r="C56" s="29" t="n"/>
      <c r="D56" s="42" t="n"/>
      <c r="E56" s="29" t="n"/>
      <c r="F56" s="39" t="n"/>
      <c r="G56" s="29" t="n"/>
      <c r="H56" s="32">
        <f>IF($A56="","",IF(COUNTIF($A:$A,$A56)&gt;1,"كود مكرر",IF($B56="","الاسم ناقص","")))</f>
        <v/>
      </c>
    </row>
    <row r="57">
      <c r="A57" s="39" t="n"/>
      <c r="B57" s="29" t="n"/>
      <c r="C57" s="29" t="n"/>
      <c r="D57" s="42" t="n"/>
      <c r="E57" s="29" t="n"/>
      <c r="F57" s="39" t="n"/>
      <c r="G57" s="29" t="n"/>
      <c r="H57" s="32">
        <f>IF($A57="","",IF(COUNTIF($A:$A,$A57)&gt;1,"كود مكرر",IF($B57="","الاسم ناقص","")))</f>
        <v/>
      </c>
    </row>
    <row r="58">
      <c r="A58" s="39" t="n"/>
      <c r="B58" s="29" t="n"/>
      <c r="C58" s="29" t="n"/>
      <c r="D58" s="42" t="n"/>
      <c r="E58" s="29" t="n"/>
      <c r="F58" s="39" t="n"/>
      <c r="G58" s="29" t="n"/>
      <c r="H58" s="32">
        <f>IF($A58="","",IF(COUNTIF($A:$A,$A58)&gt;1,"كود مكرر",IF($B58="","الاسم ناقص","")))</f>
        <v/>
      </c>
    </row>
    <row r="59">
      <c r="A59" s="39" t="n"/>
      <c r="B59" s="29" t="n"/>
      <c r="C59" s="29" t="n"/>
      <c r="D59" s="42" t="n"/>
      <c r="E59" s="29" t="n"/>
      <c r="F59" s="39" t="n"/>
      <c r="G59" s="29" t="n"/>
      <c r="H59" s="32">
        <f>IF($A59="","",IF(COUNTIF($A:$A,$A59)&gt;1,"كود مكرر",IF($B59="","الاسم ناقص","")))</f>
        <v/>
      </c>
    </row>
    <row r="60">
      <c r="A60" s="39" t="n"/>
      <c r="B60" s="29" t="n"/>
      <c r="C60" s="29" t="n"/>
      <c r="D60" s="42" t="n"/>
      <c r="E60" s="29" t="n"/>
      <c r="F60" s="39" t="n"/>
      <c r="G60" s="29" t="n"/>
      <c r="H60" s="32">
        <f>IF($A60="","",IF(COUNTIF($A:$A,$A60)&gt;1,"كود مكرر",IF($B60="","الاسم ناقص","")))</f>
        <v/>
      </c>
    </row>
    <row r="61">
      <c r="A61" s="39" t="n"/>
      <c r="B61" s="29" t="n"/>
      <c r="C61" s="29" t="n"/>
      <c r="D61" s="42" t="n"/>
      <c r="E61" s="29" t="n"/>
      <c r="F61" s="39" t="n"/>
      <c r="G61" s="29" t="n"/>
      <c r="H61" s="32">
        <f>IF($A61="","",IF(COUNTIF($A:$A,$A61)&gt;1,"كود مكرر",IF($B61="","الاسم ناقص","")))</f>
        <v/>
      </c>
    </row>
    <row r="62">
      <c r="A62" s="39" t="n"/>
      <c r="B62" s="29" t="n"/>
      <c r="C62" s="29" t="n"/>
      <c r="D62" s="42" t="n"/>
      <c r="E62" s="29" t="n"/>
      <c r="F62" s="39" t="n"/>
      <c r="G62" s="29" t="n"/>
      <c r="H62" s="32">
        <f>IF($A62="","",IF(COUNTIF($A:$A,$A62)&gt;1,"كود مكرر",IF($B62="","الاسم ناقص","")))</f>
        <v/>
      </c>
    </row>
    <row r="63">
      <c r="A63" s="39" t="n"/>
      <c r="B63" s="29" t="n"/>
      <c r="C63" s="29" t="n"/>
      <c r="D63" s="42" t="n"/>
      <c r="E63" s="29" t="n"/>
      <c r="F63" s="39" t="n"/>
      <c r="G63" s="29" t="n"/>
      <c r="H63" s="32">
        <f>IF($A63="","",IF(COUNTIF($A:$A,$A63)&gt;1,"كود مكرر",IF($B63="","الاسم ناقص","")))</f>
        <v/>
      </c>
    </row>
    <row r="64">
      <c r="A64" s="39" t="n"/>
      <c r="B64" s="29" t="n"/>
      <c r="C64" s="29" t="n"/>
      <c r="D64" s="42" t="n"/>
      <c r="E64" s="29" t="n"/>
      <c r="F64" s="39" t="n"/>
      <c r="G64" s="29" t="n"/>
      <c r="H64" s="32">
        <f>IF($A64="","",IF(COUNTIF($A:$A,$A64)&gt;1,"كود مكرر",IF($B64="","الاسم ناقص","")))</f>
        <v/>
      </c>
    </row>
    <row r="65">
      <c r="A65" s="39" t="n"/>
      <c r="B65" s="29" t="n"/>
      <c r="C65" s="29" t="n"/>
      <c r="D65" s="42" t="n"/>
      <c r="E65" s="29" t="n"/>
      <c r="F65" s="39" t="n"/>
      <c r="G65" s="29" t="n"/>
      <c r="H65" s="32">
        <f>IF($A65="","",IF(COUNTIF($A:$A,$A65)&gt;1,"كود مكرر",IF($B65="","الاسم ناقص","")))</f>
        <v/>
      </c>
    </row>
    <row r="66">
      <c r="A66" s="39" t="n"/>
      <c r="B66" s="29" t="n"/>
      <c r="C66" s="29" t="n"/>
      <c r="D66" s="42" t="n"/>
      <c r="E66" s="29" t="n"/>
      <c r="F66" s="39" t="n"/>
      <c r="G66" s="29" t="n"/>
      <c r="H66" s="32">
        <f>IF($A66="","",IF(COUNTIF($A:$A,$A66)&gt;1,"كود مكرر",IF($B66="","الاسم ناقص","")))</f>
        <v/>
      </c>
    </row>
    <row r="67">
      <c r="A67" s="39" t="n"/>
      <c r="B67" s="29" t="n"/>
      <c r="C67" s="29" t="n"/>
      <c r="D67" s="42" t="n"/>
      <c r="E67" s="29" t="n"/>
      <c r="F67" s="39" t="n"/>
      <c r="G67" s="29" t="n"/>
      <c r="H67" s="32">
        <f>IF($A67="","",IF(COUNTIF($A:$A,$A67)&gt;1,"كود مكرر",IF($B67="","الاسم ناقص","")))</f>
        <v/>
      </c>
    </row>
    <row r="68">
      <c r="A68" s="39" t="n"/>
      <c r="B68" s="29" t="n"/>
      <c r="C68" s="29" t="n"/>
      <c r="D68" s="42" t="n"/>
      <c r="E68" s="29" t="n"/>
      <c r="F68" s="39" t="n"/>
      <c r="G68" s="29" t="n"/>
      <c r="H68" s="32">
        <f>IF($A68="","",IF(COUNTIF($A:$A,$A68)&gt;1,"كود مكرر",IF($B68="","الاسم ناقص","")))</f>
        <v/>
      </c>
    </row>
    <row r="69">
      <c r="A69" s="39" t="n"/>
      <c r="B69" s="29" t="n"/>
      <c r="C69" s="29" t="n"/>
      <c r="D69" s="42" t="n"/>
      <c r="E69" s="29" t="n"/>
      <c r="F69" s="39" t="n"/>
      <c r="G69" s="29" t="n"/>
      <c r="H69" s="32">
        <f>IF($A69="","",IF(COUNTIF($A:$A,$A69)&gt;1,"كود مكرر",IF($B69="","الاسم ناقص","")))</f>
        <v/>
      </c>
    </row>
    <row r="70">
      <c r="A70" s="39" t="n"/>
      <c r="B70" s="29" t="n"/>
      <c r="C70" s="29" t="n"/>
      <c r="D70" s="42" t="n"/>
      <c r="E70" s="29" t="n"/>
      <c r="F70" s="39" t="n"/>
      <c r="G70" s="29" t="n"/>
      <c r="H70" s="32">
        <f>IF($A70="","",IF(COUNTIF($A:$A,$A70)&gt;1,"كود مكرر",IF($B70="","الاسم ناقص","")))</f>
        <v/>
      </c>
    </row>
    <row r="71">
      <c r="A71" s="39" t="n"/>
      <c r="B71" s="29" t="n"/>
      <c r="C71" s="29" t="n"/>
      <c r="D71" s="42" t="n"/>
      <c r="E71" s="29" t="n"/>
      <c r="F71" s="39" t="n"/>
      <c r="G71" s="29" t="n"/>
      <c r="H71" s="32">
        <f>IF($A71="","",IF(COUNTIF($A:$A,$A71)&gt;1,"كود مكرر",IF($B71="","الاسم ناقص","")))</f>
        <v/>
      </c>
    </row>
    <row r="72">
      <c r="A72" s="39" t="n"/>
      <c r="B72" s="29" t="n"/>
      <c r="C72" s="29" t="n"/>
      <c r="D72" s="42" t="n"/>
      <c r="E72" s="29" t="n"/>
      <c r="F72" s="39" t="n"/>
      <c r="G72" s="29" t="n"/>
      <c r="H72" s="32">
        <f>IF($A72="","",IF(COUNTIF($A:$A,$A72)&gt;1,"كود مكرر",IF($B72="","الاسم ناقص","")))</f>
        <v/>
      </c>
    </row>
    <row r="73">
      <c r="A73" s="39" t="n"/>
      <c r="B73" s="29" t="n"/>
      <c r="C73" s="29" t="n"/>
      <c r="D73" s="42" t="n"/>
      <c r="E73" s="29" t="n"/>
      <c r="F73" s="39" t="n"/>
      <c r="G73" s="29" t="n"/>
      <c r="H73" s="32">
        <f>IF($A73="","",IF(COUNTIF($A:$A,$A73)&gt;1,"كود مكرر",IF($B73="","الاسم ناقص","")))</f>
        <v/>
      </c>
    </row>
    <row r="74">
      <c r="A74" s="39" t="n"/>
      <c r="B74" s="29" t="n"/>
      <c r="C74" s="29" t="n"/>
      <c r="D74" s="42" t="n"/>
      <c r="E74" s="29" t="n"/>
      <c r="F74" s="39" t="n"/>
      <c r="G74" s="29" t="n"/>
      <c r="H74" s="32">
        <f>IF($A74="","",IF(COUNTIF($A:$A,$A74)&gt;1,"كود مكرر",IF($B74="","الاسم ناقص","")))</f>
        <v/>
      </c>
    </row>
    <row r="75">
      <c r="A75" s="39" t="n"/>
      <c r="B75" s="29" t="n"/>
      <c r="C75" s="29" t="n"/>
      <c r="D75" s="42" t="n"/>
      <c r="E75" s="29" t="n"/>
      <c r="F75" s="39" t="n"/>
      <c r="G75" s="29" t="n"/>
      <c r="H75" s="32">
        <f>IF($A75="","",IF(COUNTIF($A:$A,$A75)&gt;1,"كود مكرر",IF($B75="","الاسم ناقص","")))</f>
        <v/>
      </c>
    </row>
    <row r="76">
      <c r="A76" s="39" t="n"/>
      <c r="B76" s="29" t="n"/>
      <c r="C76" s="29" t="n"/>
      <c r="D76" s="42" t="n"/>
      <c r="E76" s="29" t="n"/>
      <c r="F76" s="39" t="n"/>
      <c r="G76" s="29" t="n"/>
      <c r="H76" s="32">
        <f>IF($A76="","",IF(COUNTIF($A:$A,$A76)&gt;1,"كود مكرر",IF($B76="","الاسم ناقص","")))</f>
        <v/>
      </c>
    </row>
    <row r="77">
      <c r="A77" s="39" t="n"/>
      <c r="B77" s="29" t="n"/>
      <c r="C77" s="29" t="n"/>
      <c r="D77" s="42" t="n"/>
      <c r="E77" s="29" t="n"/>
      <c r="F77" s="39" t="n"/>
      <c r="G77" s="29" t="n"/>
      <c r="H77" s="32">
        <f>IF($A77="","",IF(COUNTIF($A:$A,$A77)&gt;1,"كود مكرر",IF($B77="","الاسم ناقص","")))</f>
        <v/>
      </c>
    </row>
    <row r="78">
      <c r="A78" s="39" t="n"/>
      <c r="B78" s="29" t="n"/>
      <c r="C78" s="29" t="n"/>
      <c r="D78" s="42" t="n"/>
      <c r="E78" s="29" t="n"/>
      <c r="F78" s="39" t="n"/>
      <c r="G78" s="29" t="n"/>
      <c r="H78" s="32">
        <f>IF($A78="","",IF(COUNTIF($A:$A,$A78)&gt;1,"كود مكرر",IF($B78="","الاسم ناقص","")))</f>
        <v/>
      </c>
    </row>
    <row r="79">
      <c r="A79" s="39" t="n"/>
      <c r="B79" s="29" t="n"/>
      <c r="C79" s="29" t="n"/>
      <c r="D79" s="42" t="n"/>
      <c r="E79" s="29" t="n"/>
      <c r="F79" s="39" t="n"/>
      <c r="G79" s="29" t="n"/>
      <c r="H79" s="32">
        <f>IF($A79="","",IF(COUNTIF($A:$A,$A79)&gt;1,"كود مكرر",IF($B79="","الاسم ناقص","")))</f>
        <v/>
      </c>
    </row>
    <row r="80">
      <c r="A80" s="39" t="n"/>
      <c r="B80" s="29" t="n"/>
      <c r="C80" s="29" t="n"/>
      <c r="D80" s="42" t="n"/>
      <c r="E80" s="29" t="n"/>
      <c r="F80" s="39" t="n"/>
      <c r="G80" s="29" t="n"/>
      <c r="H80" s="32">
        <f>IF($A80="","",IF(COUNTIF($A:$A,$A80)&gt;1,"كود مكرر",IF($B80="","الاسم ناقص","")))</f>
        <v/>
      </c>
    </row>
    <row r="81">
      <c r="A81" s="39" t="n"/>
      <c r="B81" s="29" t="n"/>
      <c r="C81" s="29" t="n"/>
      <c r="D81" s="42" t="n"/>
      <c r="E81" s="29" t="n"/>
      <c r="F81" s="39" t="n"/>
      <c r="G81" s="29" t="n"/>
      <c r="H81" s="32">
        <f>IF($A81="","",IF(COUNTIF($A:$A,$A81)&gt;1,"كود مكرر",IF($B81="","الاسم ناقص","")))</f>
        <v/>
      </c>
    </row>
    <row r="82">
      <c r="A82" s="39" t="n"/>
      <c r="B82" s="29" t="n"/>
      <c r="C82" s="29" t="n"/>
      <c r="D82" s="42" t="n"/>
      <c r="E82" s="29" t="n"/>
      <c r="F82" s="39" t="n"/>
      <c r="G82" s="29" t="n"/>
      <c r="H82" s="32">
        <f>IF($A82="","",IF(COUNTIF($A:$A,$A82)&gt;1,"كود مكرر",IF($B82="","الاسم ناقص","")))</f>
        <v/>
      </c>
    </row>
    <row r="83">
      <c r="A83" s="39" t="n"/>
      <c r="B83" s="29" t="n"/>
      <c r="C83" s="29" t="n"/>
      <c r="D83" s="42" t="n"/>
      <c r="E83" s="29" t="n"/>
      <c r="F83" s="39" t="n"/>
      <c r="G83" s="29" t="n"/>
      <c r="H83" s="32">
        <f>IF($A83="","",IF(COUNTIF($A:$A,$A83)&gt;1,"كود مكرر",IF($B83="","الاسم ناقص","")))</f>
        <v/>
      </c>
    </row>
    <row r="84">
      <c r="A84" s="39" t="n"/>
      <c r="B84" s="29" t="n"/>
      <c r="C84" s="29" t="n"/>
      <c r="D84" s="42" t="n"/>
      <c r="E84" s="29" t="n"/>
      <c r="F84" s="39" t="n"/>
      <c r="G84" s="29" t="n"/>
      <c r="H84" s="32">
        <f>IF($A84="","",IF(COUNTIF($A:$A,$A84)&gt;1,"كود مكرر",IF($B84="","الاسم ناقص","")))</f>
        <v/>
      </c>
    </row>
    <row r="85">
      <c r="A85" s="39" t="n"/>
      <c r="B85" s="29" t="n"/>
      <c r="C85" s="29" t="n"/>
      <c r="D85" s="42" t="n"/>
      <c r="E85" s="29" t="n"/>
      <c r="F85" s="39" t="n"/>
      <c r="G85" s="29" t="n"/>
      <c r="H85" s="32">
        <f>IF($A85="","",IF(COUNTIF($A:$A,$A85)&gt;1,"كود مكرر",IF($B85="","الاسم ناقص","")))</f>
        <v/>
      </c>
    </row>
    <row r="86">
      <c r="A86" s="39" t="n"/>
      <c r="B86" s="29" t="n"/>
      <c r="C86" s="29" t="n"/>
      <c r="D86" s="42" t="n"/>
      <c r="E86" s="29" t="n"/>
      <c r="F86" s="39" t="n"/>
      <c r="G86" s="29" t="n"/>
      <c r="H86" s="32">
        <f>IF($A86="","",IF(COUNTIF($A:$A,$A86)&gt;1,"كود مكرر",IF($B86="","الاسم ناقص","")))</f>
        <v/>
      </c>
    </row>
    <row r="87">
      <c r="A87" s="39" t="n"/>
      <c r="B87" s="29" t="n"/>
      <c r="C87" s="29" t="n"/>
      <c r="D87" s="42" t="n"/>
      <c r="E87" s="29" t="n"/>
      <c r="F87" s="39" t="n"/>
      <c r="G87" s="29" t="n"/>
      <c r="H87" s="32">
        <f>IF($A87="","",IF(COUNTIF($A:$A,$A87)&gt;1,"كود مكرر",IF($B87="","الاسم ناقص","")))</f>
        <v/>
      </c>
    </row>
    <row r="88">
      <c r="A88" s="39" t="n"/>
      <c r="B88" s="29" t="n"/>
      <c r="C88" s="29" t="n"/>
      <c r="D88" s="42" t="n"/>
      <c r="E88" s="29" t="n"/>
      <c r="F88" s="39" t="n"/>
      <c r="G88" s="29" t="n"/>
      <c r="H88" s="32">
        <f>IF($A88="","",IF(COUNTIF($A:$A,$A88)&gt;1,"كود مكرر",IF($B88="","الاسم ناقص","")))</f>
        <v/>
      </c>
    </row>
    <row r="89">
      <c r="A89" s="39" t="n"/>
      <c r="B89" s="29" t="n"/>
      <c r="C89" s="29" t="n"/>
      <c r="D89" s="42" t="n"/>
      <c r="E89" s="29" t="n"/>
      <c r="F89" s="39" t="n"/>
      <c r="G89" s="29" t="n"/>
      <c r="H89" s="32">
        <f>IF($A89="","",IF(COUNTIF($A:$A,$A89)&gt;1,"كود مكرر",IF($B89="","الاسم ناقص","")))</f>
        <v/>
      </c>
    </row>
    <row r="90">
      <c r="A90" s="39" t="n"/>
      <c r="B90" s="29" t="n"/>
      <c r="C90" s="29" t="n"/>
      <c r="D90" s="42" t="n"/>
      <c r="E90" s="29" t="n"/>
      <c r="F90" s="39" t="n"/>
      <c r="G90" s="29" t="n"/>
      <c r="H90" s="32">
        <f>IF($A90="","",IF(COUNTIF($A:$A,$A90)&gt;1,"كود مكرر",IF($B90="","الاسم ناقص","")))</f>
        <v/>
      </c>
    </row>
    <row r="91">
      <c r="A91" s="39" t="n"/>
      <c r="B91" s="29" t="n"/>
      <c r="C91" s="29" t="n"/>
      <c r="D91" s="42" t="n"/>
      <c r="E91" s="29" t="n"/>
      <c r="F91" s="39" t="n"/>
      <c r="G91" s="29" t="n"/>
      <c r="H91" s="32">
        <f>IF($A91="","",IF(COUNTIF($A:$A,$A91)&gt;1,"كود مكرر",IF($B91="","الاسم ناقص","")))</f>
        <v/>
      </c>
    </row>
    <row r="92">
      <c r="A92" s="39" t="n"/>
      <c r="B92" s="29" t="n"/>
      <c r="C92" s="29" t="n"/>
      <c r="D92" s="42" t="n"/>
      <c r="E92" s="29" t="n"/>
      <c r="F92" s="39" t="n"/>
      <c r="G92" s="29" t="n"/>
      <c r="H92" s="32">
        <f>IF($A92="","",IF(COUNTIF($A:$A,$A92)&gt;1,"كود مكرر",IF($B92="","الاسم ناقص","")))</f>
        <v/>
      </c>
    </row>
    <row r="93">
      <c r="A93" s="39" t="n"/>
      <c r="B93" s="29" t="n"/>
      <c r="C93" s="29" t="n"/>
      <c r="D93" s="42" t="n"/>
      <c r="E93" s="29" t="n"/>
      <c r="F93" s="39" t="n"/>
      <c r="G93" s="29" t="n"/>
      <c r="H93" s="32">
        <f>IF($A93="","",IF(COUNTIF($A:$A,$A93)&gt;1,"كود مكرر",IF($B93="","الاسم ناقص","")))</f>
        <v/>
      </c>
    </row>
    <row r="94">
      <c r="A94" s="39" t="n"/>
      <c r="B94" s="29" t="n"/>
      <c r="C94" s="29" t="n"/>
      <c r="D94" s="42" t="n"/>
      <c r="E94" s="29" t="n"/>
      <c r="F94" s="39" t="n"/>
      <c r="G94" s="29" t="n"/>
      <c r="H94" s="32">
        <f>IF($A94="","",IF(COUNTIF($A:$A,$A94)&gt;1,"كود مكرر",IF($B94="","الاسم ناقص","")))</f>
        <v/>
      </c>
    </row>
    <row r="95">
      <c r="A95" s="39" t="n"/>
      <c r="B95" s="29" t="n"/>
      <c r="C95" s="29" t="n"/>
      <c r="D95" s="42" t="n"/>
      <c r="E95" s="29" t="n"/>
      <c r="F95" s="39" t="n"/>
      <c r="G95" s="29" t="n"/>
      <c r="H95" s="32">
        <f>IF($A95="","",IF(COUNTIF($A:$A,$A95)&gt;1,"كود مكرر",IF($B95="","الاسم ناقص","")))</f>
        <v/>
      </c>
    </row>
    <row r="96">
      <c r="A96" s="39" t="n"/>
      <c r="B96" s="29" t="n"/>
      <c r="C96" s="29" t="n"/>
      <c r="D96" s="42" t="n"/>
      <c r="E96" s="29" t="n"/>
      <c r="F96" s="39" t="n"/>
      <c r="G96" s="29" t="n"/>
      <c r="H96" s="32">
        <f>IF($A96="","",IF(COUNTIF($A:$A,$A96)&gt;1,"كود مكرر",IF($B96="","الاسم ناقص","")))</f>
        <v/>
      </c>
    </row>
    <row r="97">
      <c r="A97" s="39" t="n"/>
      <c r="B97" s="29" t="n"/>
      <c r="C97" s="29" t="n"/>
      <c r="D97" s="42" t="n"/>
      <c r="E97" s="29" t="n"/>
      <c r="F97" s="39" t="n"/>
      <c r="G97" s="29" t="n"/>
      <c r="H97" s="32">
        <f>IF($A97="","",IF(COUNTIF($A:$A,$A97)&gt;1,"كود مكرر",IF($B97="","الاسم ناقص","")))</f>
        <v/>
      </c>
    </row>
    <row r="98">
      <c r="A98" s="39" t="n"/>
      <c r="B98" s="29" t="n"/>
      <c r="C98" s="29" t="n"/>
      <c r="D98" s="42" t="n"/>
      <c r="E98" s="29" t="n"/>
      <c r="F98" s="39" t="n"/>
      <c r="G98" s="29" t="n"/>
      <c r="H98" s="32">
        <f>IF($A98="","",IF(COUNTIF($A:$A,$A98)&gt;1,"كود مكرر",IF($B98="","الاسم ناقص","")))</f>
        <v/>
      </c>
    </row>
    <row r="99">
      <c r="A99" s="39" t="n"/>
      <c r="B99" s="29" t="n"/>
      <c r="C99" s="29" t="n"/>
      <c r="D99" s="42" t="n"/>
      <c r="E99" s="29" t="n"/>
      <c r="F99" s="39" t="n"/>
      <c r="G99" s="29" t="n"/>
      <c r="H99" s="32">
        <f>IF($A99="","",IF(COUNTIF($A:$A,$A99)&gt;1,"كود مكرر",IF($B99="","الاسم ناقص","")))</f>
        <v/>
      </c>
    </row>
    <row r="100">
      <c r="A100" s="39" t="n"/>
      <c r="B100" s="29" t="n"/>
      <c r="C100" s="29" t="n"/>
      <c r="D100" s="42" t="n"/>
      <c r="E100" s="29" t="n"/>
      <c r="F100" s="39" t="n"/>
      <c r="G100" s="29" t="n"/>
      <c r="H100" s="32">
        <f>IF($A100="","",IF(COUNTIF($A:$A,$A100)&gt;1,"كود مكرر",IF($B100="","الاسم ناقص","")))</f>
        <v/>
      </c>
    </row>
    <row r="101">
      <c r="A101" s="39" t="n"/>
      <c r="B101" s="29" t="n"/>
      <c r="C101" s="29" t="n"/>
      <c r="D101" s="42" t="n"/>
      <c r="E101" s="29" t="n"/>
      <c r="F101" s="39" t="n"/>
      <c r="G101" s="29" t="n"/>
      <c r="H101" s="32">
        <f>IF($A101="","",IF(COUNTIF($A:$A,$A101)&gt;1,"كود مكرر",IF($B101="","الاسم ناقص","")))</f>
        <v/>
      </c>
    </row>
    <row r="102">
      <c r="A102" s="39" t="n"/>
      <c r="B102" s="29" t="n"/>
      <c r="C102" s="29" t="n"/>
      <c r="D102" s="42" t="n"/>
      <c r="E102" s="29" t="n"/>
      <c r="F102" s="39" t="n"/>
      <c r="G102" s="29" t="n"/>
      <c r="H102" s="32">
        <f>IF($A102="","",IF(COUNTIF($A:$A,$A102)&gt;1,"كود مكرر",IF($B102="","الاسم ناقص","")))</f>
        <v/>
      </c>
    </row>
    <row r="103">
      <c r="A103" s="39" t="n"/>
      <c r="B103" s="29" t="n"/>
      <c r="C103" s="29" t="n"/>
      <c r="D103" s="42" t="n"/>
      <c r="E103" s="29" t="n"/>
      <c r="F103" s="39" t="n"/>
      <c r="G103" s="29" t="n"/>
      <c r="H103" s="32">
        <f>IF($A103="","",IF(COUNTIF($A:$A,$A103)&gt;1,"كود مكرر",IF($B103="","الاسم ناقص","")))</f>
        <v/>
      </c>
    </row>
    <row r="104">
      <c r="A104" s="39" t="n"/>
      <c r="B104" s="29" t="n"/>
      <c r="C104" s="29" t="n"/>
      <c r="D104" s="42" t="n"/>
      <c r="E104" s="29" t="n"/>
      <c r="F104" s="39" t="n"/>
      <c r="G104" s="29" t="n"/>
      <c r="H104" s="32">
        <f>IF($A104="","",IF(COUNTIF($A:$A,$A104)&gt;1,"كود مكرر",IF($B104="","الاسم ناقص","")))</f>
        <v/>
      </c>
    </row>
  </sheetData>
  <sheetProtection selectLockedCells="0" selectUnlockedCells="0" sheet="1" objects="0" insertRows="1" insertHyperlinks="1" autoFilter="0" scenarios="0" formatColumns="0" deleteColumns="1" insertColumns="1" pivotTables="1" deleteRows="1" formatCells="0" formatRows="0" sort="1"/>
  <autoFilter ref="A4:H104"/>
  <conditionalFormatting sqref="H5:H104">
    <cfRule type="expression" priority="1" dxfId="3">
      <formula>LEN(H5)&gt;0</formula>
    </cfRule>
  </conditionalFormatting>
  <dataValidations count="3">
    <dataValidation sqref="C5:C104" showDropDown="0" showInputMessage="0" showErrorMessage="1" allowBlank="1" error="أدخل عددًا صحيحًا موجبًا." type="whole" operator="greaterThanOrEqual">
      <formula1>0</formula1>
    </dataValidation>
    <dataValidation sqref="D5:D10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F5:F104" showDropDown="0" showInputMessage="0" showErrorMessage="1" allowBlank="1" errorTitle="قيمة غير مسموحة" error="اختر قيمة من القائمة المنسدلة." type="list">
      <formula1>=Lists!$R$5:$R$6</formula1>
    </dataValidation>
  </dataValidations>
  <pageMargins left="0.75" right="0.75" top="1" bottom="1" header="0.5" footer="0.5"/>
  <pageSetup orientation="landscape" fitToHeight="0" fitToWidth="1"/>
</worksheet>
</file>

<file path=xl/worksheets/sheet14.xml><?xml version="1.0" encoding="utf-8"?>
<worksheet xmlns="http://schemas.openxmlformats.org/spreadsheetml/2006/main">
  <sheetPr>
    <tabColor rgb="002E75B6"/>
    <outlinePr summaryBelow="1" summaryRight="1"/>
    <pageSetUpPr fitToPage="1"/>
  </sheetPr>
  <dimension ref="A1:K10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10" customWidth="1" min="3" max="3"/>
    <col width="16" customWidth="1" min="4" max="4"/>
    <col width="12" customWidth="1" min="5" max="5"/>
    <col width="12" customWidth="1" min="6" max="6"/>
    <col width="7" customWidth="1" min="7" max="7"/>
    <col width="22" customWidth="1" min="8" max="8"/>
    <col width="12" customWidth="1" min="9" max="9"/>
    <col width="12" customWidth="1" min="10" max="10"/>
    <col width="30" customWidth="1" min="11" max="11"/>
  </cols>
  <sheetData>
    <row r="1" ht="26" customHeight="1">
      <c r="A1" s="22" t="inlineStr">
        <is>
          <t>الموظفون والسلف والعهد (Employees)</t>
        </is>
      </c>
      <c r="B1" s="1" t="n"/>
      <c r="C1" s="1" t="n"/>
      <c r="D1" s="1" t="n"/>
      <c r="E1" s="1" t="n"/>
      <c r="F1" s="1" t="n"/>
      <c r="G1" s="1" t="n"/>
      <c r="H1" s="1" t="n"/>
      <c r="I1" s="1" t="n"/>
      <c r="J1" s="1" t="n"/>
      <c r="K1" s="1" t="n"/>
    </row>
    <row r="2">
      <c r="A2" s="35" t="inlineStr">
        <is>
          <t>أرصدة السلف والعهد تُحسب من الأستاذ العام (حسابا 1501 و1502) وفق كود الموظف.</t>
        </is>
      </c>
    </row>
    <row r="3">
      <c r="A3" s="36" t="inlineStr">
        <is>
          <t>خلايا الإدخال</t>
        </is>
      </c>
      <c r="B3" s="37" t="inlineStr">
        <is>
          <t>معادلات (لا تعدّل)</t>
        </is>
      </c>
    </row>
    <row r="4" ht="34" customHeight="1">
      <c r="A4" s="24" t="inlineStr">
        <is>
          <t>كود الموظف</t>
        </is>
      </c>
      <c r="B4" s="24" t="inlineStr">
        <is>
          <t>الاسم</t>
        </is>
      </c>
      <c r="C4" s="24" t="inlineStr">
        <is>
          <t>الموقع</t>
        </is>
      </c>
      <c r="D4" s="24" t="inlineStr">
        <is>
          <t>الوظيفة</t>
        </is>
      </c>
      <c r="E4" s="24" t="inlineStr">
        <is>
          <t>تاريخ التعيين</t>
        </is>
      </c>
      <c r="F4" s="24" t="inlineStr">
        <is>
          <t>الراتب الأساسي</t>
        </is>
      </c>
      <c r="G4" s="24" t="inlineStr">
        <is>
          <t>نشط</t>
        </is>
      </c>
      <c r="H4" s="24" t="inlineStr">
        <is>
          <t>ملاحظات</t>
        </is>
      </c>
      <c r="I4" s="38" t="inlineStr">
        <is>
          <t>رصيد السلف</t>
        </is>
      </c>
      <c r="J4" s="38" t="inlineStr">
        <is>
          <t>رصيد العهدة</t>
        </is>
      </c>
      <c r="K4" s="38" t="inlineStr">
        <is>
          <t>فحص</t>
        </is>
      </c>
    </row>
    <row r="5">
      <c r="A5" s="39" t="n"/>
      <c r="B5" s="29" t="n"/>
      <c r="C5" s="39" t="n"/>
      <c r="D5" s="29" t="n"/>
      <c r="E5" s="31" t="n"/>
      <c r="F5" s="42" t="n"/>
      <c r="G5" s="39" t="n"/>
      <c r="H5" s="29" t="n"/>
      <c r="I5" s="43">
        <f>IF($A5="","",SUMIFS(GL_Journal!$S:$S,GL_Journal!$G:$G,1501,GL_Journal!$K:$K,$A5)-SUMIFS(GL_Journal!$T:$T,GL_Journal!$G:$G,1501,GL_Journal!$K:$K,$A5))</f>
        <v/>
      </c>
      <c r="J5" s="43">
        <f>IF($A5="","",SUMIFS(GL_Journal!$S:$S,GL_Journal!$G:$G,1502,GL_Journal!$K:$K,$A5)-SUMIFS(GL_Journal!$T:$T,GL_Journal!$G:$G,1502,GL_Journal!$K:$K,$A5))</f>
        <v/>
      </c>
      <c r="K5" s="32">
        <f>IF($A5="","",IF(COUNTIF($A:$A,$A5)&gt;1,"كود مكرر",IF($B5="","الاسم ناقص","")))</f>
        <v/>
      </c>
    </row>
    <row r="6">
      <c r="A6" s="39" t="n"/>
      <c r="B6" s="29" t="n"/>
      <c r="C6" s="39" t="n"/>
      <c r="D6" s="29" t="n"/>
      <c r="E6" s="31" t="n"/>
      <c r="F6" s="42" t="n"/>
      <c r="G6" s="39" t="n"/>
      <c r="H6" s="29" t="n"/>
      <c r="I6" s="43">
        <f>IF($A6="","",SUMIFS(GL_Journal!$S:$S,GL_Journal!$G:$G,1501,GL_Journal!$K:$K,$A6)-SUMIFS(GL_Journal!$T:$T,GL_Journal!$G:$G,1501,GL_Journal!$K:$K,$A6))</f>
        <v/>
      </c>
      <c r="J6" s="43">
        <f>IF($A6="","",SUMIFS(GL_Journal!$S:$S,GL_Journal!$G:$G,1502,GL_Journal!$K:$K,$A6)-SUMIFS(GL_Journal!$T:$T,GL_Journal!$G:$G,1502,GL_Journal!$K:$K,$A6))</f>
        <v/>
      </c>
      <c r="K6" s="32">
        <f>IF($A6="","",IF(COUNTIF($A:$A,$A6)&gt;1,"كود مكرر",IF($B6="","الاسم ناقص","")))</f>
        <v/>
      </c>
    </row>
    <row r="7">
      <c r="A7" s="39" t="n"/>
      <c r="B7" s="29" t="n"/>
      <c r="C7" s="39" t="n"/>
      <c r="D7" s="29" t="n"/>
      <c r="E7" s="31" t="n"/>
      <c r="F7" s="42" t="n"/>
      <c r="G7" s="39" t="n"/>
      <c r="H7" s="29" t="n"/>
      <c r="I7" s="43">
        <f>IF($A7="","",SUMIFS(GL_Journal!$S:$S,GL_Journal!$G:$G,1501,GL_Journal!$K:$K,$A7)-SUMIFS(GL_Journal!$T:$T,GL_Journal!$G:$G,1501,GL_Journal!$K:$K,$A7))</f>
        <v/>
      </c>
      <c r="J7" s="43">
        <f>IF($A7="","",SUMIFS(GL_Journal!$S:$S,GL_Journal!$G:$G,1502,GL_Journal!$K:$K,$A7)-SUMIFS(GL_Journal!$T:$T,GL_Journal!$G:$G,1502,GL_Journal!$K:$K,$A7))</f>
        <v/>
      </c>
      <c r="K7" s="32">
        <f>IF($A7="","",IF(COUNTIF($A:$A,$A7)&gt;1,"كود مكرر",IF($B7="","الاسم ناقص","")))</f>
        <v/>
      </c>
    </row>
    <row r="8">
      <c r="A8" s="39" t="n"/>
      <c r="B8" s="29" t="n"/>
      <c r="C8" s="39" t="n"/>
      <c r="D8" s="29" t="n"/>
      <c r="E8" s="31" t="n"/>
      <c r="F8" s="42" t="n"/>
      <c r="G8" s="39" t="n"/>
      <c r="H8" s="29" t="n"/>
      <c r="I8" s="43">
        <f>IF($A8="","",SUMIFS(GL_Journal!$S:$S,GL_Journal!$G:$G,1501,GL_Journal!$K:$K,$A8)-SUMIFS(GL_Journal!$T:$T,GL_Journal!$G:$G,1501,GL_Journal!$K:$K,$A8))</f>
        <v/>
      </c>
      <c r="J8" s="43">
        <f>IF($A8="","",SUMIFS(GL_Journal!$S:$S,GL_Journal!$G:$G,1502,GL_Journal!$K:$K,$A8)-SUMIFS(GL_Journal!$T:$T,GL_Journal!$G:$G,1502,GL_Journal!$K:$K,$A8))</f>
        <v/>
      </c>
      <c r="K8" s="32">
        <f>IF($A8="","",IF(COUNTIF($A:$A,$A8)&gt;1,"كود مكرر",IF($B8="","الاسم ناقص","")))</f>
        <v/>
      </c>
    </row>
    <row r="9">
      <c r="A9" s="39" t="n"/>
      <c r="B9" s="29" t="n"/>
      <c r="C9" s="39" t="n"/>
      <c r="D9" s="29" t="n"/>
      <c r="E9" s="31" t="n"/>
      <c r="F9" s="42" t="n"/>
      <c r="G9" s="39" t="n"/>
      <c r="H9" s="29" t="n"/>
      <c r="I9" s="43">
        <f>IF($A9="","",SUMIFS(GL_Journal!$S:$S,GL_Journal!$G:$G,1501,GL_Journal!$K:$K,$A9)-SUMIFS(GL_Journal!$T:$T,GL_Journal!$G:$G,1501,GL_Journal!$K:$K,$A9))</f>
        <v/>
      </c>
      <c r="J9" s="43">
        <f>IF($A9="","",SUMIFS(GL_Journal!$S:$S,GL_Journal!$G:$G,1502,GL_Journal!$K:$K,$A9)-SUMIFS(GL_Journal!$T:$T,GL_Journal!$G:$G,1502,GL_Journal!$K:$K,$A9))</f>
        <v/>
      </c>
      <c r="K9" s="32">
        <f>IF($A9="","",IF(COUNTIF($A:$A,$A9)&gt;1,"كود مكرر",IF($B9="","الاسم ناقص","")))</f>
        <v/>
      </c>
    </row>
    <row r="10">
      <c r="A10" s="39" t="n"/>
      <c r="B10" s="29" t="n"/>
      <c r="C10" s="39" t="n"/>
      <c r="D10" s="29" t="n"/>
      <c r="E10" s="31" t="n"/>
      <c r="F10" s="42" t="n"/>
      <c r="G10" s="39" t="n"/>
      <c r="H10" s="29" t="n"/>
      <c r="I10" s="43">
        <f>IF($A10="","",SUMIFS(GL_Journal!$S:$S,GL_Journal!$G:$G,1501,GL_Journal!$K:$K,$A10)-SUMIFS(GL_Journal!$T:$T,GL_Journal!$G:$G,1501,GL_Journal!$K:$K,$A10))</f>
        <v/>
      </c>
      <c r="J10" s="43">
        <f>IF($A10="","",SUMIFS(GL_Journal!$S:$S,GL_Journal!$G:$G,1502,GL_Journal!$K:$K,$A10)-SUMIFS(GL_Journal!$T:$T,GL_Journal!$G:$G,1502,GL_Journal!$K:$K,$A10))</f>
        <v/>
      </c>
      <c r="K10" s="32">
        <f>IF($A10="","",IF(COUNTIF($A:$A,$A10)&gt;1,"كود مكرر",IF($B10="","الاسم ناقص","")))</f>
        <v/>
      </c>
    </row>
    <row r="11">
      <c r="A11" s="39" t="n"/>
      <c r="B11" s="29" t="n"/>
      <c r="C11" s="39" t="n"/>
      <c r="D11" s="29" t="n"/>
      <c r="E11" s="31" t="n"/>
      <c r="F11" s="42" t="n"/>
      <c r="G11" s="39" t="n"/>
      <c r="H11" s="29" t="n"/>
      <c r="I11" s="43">
        <f>IF($A11="","",SUMIFS(GL_Journal!$S:$S,GL_Journal!$G:$G,1501,GL_Journal!$K:$K,$A11)-SUMIFS(GL_Journal!$T:$T,GL_Journal!$G:$G,1501,GL_Journal!$K:$K,$A11))</f>
        <v/>
      </c>
      <c r="J11" s="43">
        <f>IF($A11="","",SUMIFS(GL_Journal!$S:$S,GL_Journal!$G:$G,1502,GL_Journal!$K:$K,$A11)-SUMIFS(GL_Journal!$T:$T,GL_Journal!$G:$G,1502,GL_Journal!$K:$K,$A11))</f>
        <v/>
      </c>
      <c r="K11" s="32">
        <f>IF($A11="","",IF(COUNTIF($A:$A,$A11)&gt;1,"كود مكرر",IF($B11="","الاسم ناقص","")))</f>
        <v/>
      </c>
    </row>
    <row r="12">
      <c r="A12" s="39" t="n"/>
      <c r="B12" s="29" t="n"/>
      <c r="C12" s="39" t="n"/>
      <c r="D12" s="29" t="n"/>
      <c r="E12" s="31" t="n"/>
      <c r="F12" s="42" t="n"/>
      <c r="G12" s="39" t="n"/>
      <c r="H12" s="29" t="n"/>
      <c r="I12" s="43">
        <f>IF($A12="","",SUMIFS(GL_Journal!$S:$S,GL_Journal!$G:$G,1501,GL_Journal!$K:$K,$A12)-SUMIFS(GL_Journal!$T:$T,GL_Journal!$G:$G,1501,GL_Journal!$K:$K,$A12))</f>
        <v/>
      </c>
      <c r="J12" s="43">
        <f>IF($A12="","",SUMIFS(GL_Journal!$S:$S,GL_Journal!$G:$G,1502,GL_Journal!$K:$K,$A12)-SUMIFS(GL_Journal!$T:$T,GL_Journal!$G:$G,1502,GL_Journal!$K:$K,$A12))</f>
        <v/>
      </c>
      <c r="K12" s="32">
        <f>IF($A12="","",IF(COUNTIF($A:$A,$A12)&gt;1,"كود مكرر",IF($B12="","الاسم ناقص","")))</f>
        <v/>
      </c>
    </row>
    <row r="13">
      <c r="A13" s="39" t="n"/>
      <c r="B13" s="29" t="n"/>
      <c r="C13" s="39" t="n"/>
      <c r="D13" s="29" t="n"/>
      <c r="E13" s="31" t="n"/>
      <c r="F13" s="42" t="n"/>
      <c r="G13" s="39" t="n"/>
      <c r="H13" s="29" t="n"/>
      <c r="I13" s="43">
        <f>IF($A13="","",SUMIFS(GL_Journal!$S:$S,GL_Journal!$G:$G,1501,GL_Journal!$K:$K,$A13)-SUMIFS(GL_Journal!$T:$T,GL_Journal!$G:$G,1501,GL_Journal!$K:$K,$A13))</f>
        <v/>
      </c>
      <c r="J13" s="43">
        <f>IF($A13="","",SUMIFS(GL_Journal!$S:$S,GL_Journal!$G:$G,1502,GL_Journal!$K:$K,$A13)-SUMIFS(GL_Journal!$T:$T,GL_Journal!$G:$G,1502,GL_Journal!$K:$K,$A13))</f>
        <v/>
      </c>
      <c r="K13" s="32">
        <f>IF($A13="","",IF(COUNTIF($A:$A,$A13)&gt;1,"كود مكرر",IF($B13="","الاسم ناقص","")))</f>
        <v/>
      </c>
    </row>
    <row r="14">
      <c r="A14" s="39" t="n"/>
      <c r="B14" s="29" t="n"/>
      <c r="C14" s="39" t="n"/>
      <c r="D14" s="29" t="n"/>
      <c r="E14" s="31" t="n"/>
      <c r="F14" s="42" t="n"/>
      <c r="G14" s="39" t="n"/>
      <c r="H14" s="29" t="n"/>
      <c r="I14" s="43">
        <f>IF($A14="","",SUMIFS(GL_Journal!$S:$S,GL_Journal!$G:$G,1501,GL_Journal!$K:$K,$A14)-SUMIFS(GL_Journal!$T:$T,GL_Journal!$G:$G,1501,GL_Journal!$K:$K,$A14))</f>
        <v/>
      </c>
      <c r="J14" s="43">
        <f>IF($A14="","",SUMIFS(GL_Journal!$S:$S,GL_Journal!$G:$G,1502,GL_Journal!$K:$K,$A14)-SUMIFS(GL_Journal!$T:$T,GL_Journal!$G:$G,1502,GL_Journal!$K:$K,$A14))</f>
        <v/>
      </c>
      <c r="K14" s="32">
        <f>IF($A14="","",IF(COUNTIF($A:$A,$A14)&gt;1,"كود مكرر",IF($B14="","الاسم ناقص","")))</f>
        <v/>
      </c>
    </row>
    <row r="15">
      <c r="A15" s="39" t="n"/>
      <c r="B15" s="29" t="n"/>
      <c r="C15" s="39" t="n"/>
      <c r="D15" s="29" t="n"/>
      <c r="E15" s="31" t="n"/>
      <c r="F15" s="42" t="n"/>
      <c r="G15" s="39" t="n"/>
      <c r="H15" s="29" t="n"/>
      <c r="I15" s="43">
        <f>IF($A15="","",SUMIFS(GL_Journal!$S:$S,GL_Journal!$G:$G,1501,GL_Journal!$K:$K,$A15)-SUMIFS(GL_Journal!$T:$T,GL_Journal!$G:$G,1501,GL_Journal!$K:$K,$A15))</f>
        <v/>
      </c>
      <c r="J15" s="43">
        <f>IF($A15="","",SUMIFS(GL_Journal!$S:$S,GL_Journal!$G:$G,1502,GL_Journal!$K:$K,$A15)-SUMIFS(GL_Journal!$T:$T,GL_Journal!$G:$G,1502,GL_Journal!$K:$K,$A15))</f>
        <v/>
      </c>
      <c r="K15" s="32">
        <f>IF($A15="","",IF(COUNTIF($A:$A,$A15)&gt;1,"كود مكرر",IF($B15="","الاسم ناقص","")))</f>
        <v/>
      </c>
    </row>
    <row r="16">
      <c r="A16" s="39" t="n"/>
      <c r="B16" s="29" t="n"/>
      <c r="C16" s="39" t="n"/>
      <c r="D16" s="29" t="n"/>
      <c r="E16" s="31" t="n"/>
      <c r="F16" s="42" t="n"/>
      <c r="G16" s="39" t="n"/>
      <c r="H16" s="29" t="n"/>
      <c r="I16" s="43">
        <f>IF($A16="","",SUMIFS(GL_Journal!$S:$S,GL_Journal!$G:$G,1501,GL_Journal!$K:$K,$A16)-SUMIFS(GL_Journal!$T:$T,GL_Journal!$G:$G,1501,GL_Journal!$K:$K,$A16))</f>
        <v/>
      </c>
      <c r="J16" s="43">
        <f>IF($A16="","",SUMIFS(GL_Journal!$S:$S,GL_Journal!$G:$G,1502,GL_Journal!$K:$K,$A16)-SUMIFS(GL_Journal!$T:$T,GL_Journal!$G:$G,1502,GL_Journal!$K:$K,$A16))</f>
        <v/>
      </c>
      <c r="K16" s="32">
        <f>IF($A16="","",IF(COUNTIF($A:$A,$A16)&gt;1,"كود مكرر",IF($B16="","الاسم ناقص","")))</f>
        <v/>
      </c>
    </row>
    <row r="17">
      <c r="A17" s="39" t="n"/>
      <c r="B17" s="29" t="n"/>
      <c r="C17" s="39" t="n"/>
      <c r="D17" s="29" t="n"/>
      <c r="E17" s="31" t="n"/>
      <c r="F17" s="42" t="n"/>
      <c r="G17" s="39" t="n"/>
      <c r="H17" s="29" t="n"/>
      <c r="I17" s="43">
        <f>IF($A17="","",SUMIFS(GL_Journal!$S:$S,GL_Journal!$G:$G,1501,GL_Journal!$K:$K,$A17)-SUMIFS(GL_Journal!$T:$T,GL_Journal!$G:$G,1501,GL_Journal!$K:$K,$A17))</f>
        <v/>
      </c>
      <c r="J17" s="43">
        <f>IF($A17="","",SUMIFS(GL_Journal!$S:$S,GL_Journal!$G:$G,1502,GL_Journal!$K:$K,$A17)-SUMIFS(GL_Journal!$T:$T,GL_Journal!$G:$G,1502,GL_Journal!$K:$K,$A17))</f>
        <v/>
      </c>
      <c r="K17" s="32">
        <f>IF($A17="","",IF(COUNTIF($A:$A,$A17)&gt;1,"كود مكرر",IF($B17="","الاسم ناقص","")))</f>
        <v/>
      </c>
    </row>
    <row r="18">
      <c r="A18" s="39" t="n"/>
      <c r="B18" s="29" t="n"/>
      <c r="C18" s="39" t="n"/>
      <c r="D18" s="29" t="n"/>
      <c r="E18" s="31" t="n"/>
      <c r="F18" s="42" t="n"/>
      <c r="G18" s="39" t="n"/>
      <c r="H18" s="29" t="n"/>
      <c r="I18" s="43">
        <f>IF($A18="","",SUMIFS(GL_Journal!$S:$S,GL_Journal!$G:$G,1501,GL_Journal!$K:$K,$A18)-SUMIFS(GL_Journal!$T:$T,GL_Journal!$G:$G,1501,GL_Journal!$K:$K,$A18))</f>
        <v/>
      </c>
      <c r="J18" s="43">
        <f>IF($A18="","",SUMIFS(GL_Journal!$S:$S,GL_Journal!$G:$G,1502,GL_Journal!$K:$K,$A18)-SUMIFS(GL_Journal!$T:$T,GL_Journal!$G:$G,1502,GL_Journal!$K:$K,$A18))</f>
        <v/>
      </c>
      <c r="K18" s="32">
        <f>IF($A18="","",IF(COUNTIF($A:$A,$A18)&gt;1,"كود مكرر",IF($B18="","الاسم ناقص","")))</f>
        <v/>
      </c>
    </row>
    <row r="19">
      <c r="A19" s="39" t="n"/>
      <c r="B19" s="29" t="n"/>
      <c r="C19" s="39" t="n"/>
      <c r="D19" s="29" t="n"/>
      <c r="E19" s="31" t="n"/>
      <c r="F19" s="42" t="n"/>
      <c r="G19" s="39" t="n"/>
      <c r="H19" s="29" t="n"/>
      <c r="I19" s="43">
        <f>IF($A19="","",SUMIFS(GL_Journal!$S:$S,GL_Journal!$G:$G,1501,GL_Journal!$K:$K,$A19)-SUMIFS(GL_Journal!$T:$T,GL_Journal!$G:$G,1501,GL_Journal!$K:$K,$A19))</f>
        <v/>
      </c>
      <c r="J19" s="43">
        <f>IF($A19="","",SUMIFS(GL_Journal!$S:$S,GL_Journal!$G:$G,1502,GL_Journal!$K:$K,$A19)-SUMIFS(GL_Journal!$T:$T,GL_Journal!$G:$G,1502,GL_Journal!$K:$K,$A19))</f>
        <v/>
      </c>
      <c r="K19" s="32">
        <f>IF($A19="","",IF(COUNTIF($A:$A,$A19)&gt;1,"كود مكرر",IF($B19="","الاسم ناقص","")))</f>
        <v/>
      </c>
    </row>
    <row r="20">
      <c r="A20" s="39" t="n"/>
      <c r="B20" s="29" t="n"/>
      <c r="C20" s="39" t="n"/>
      <c r="D20" s="29" t="n"/>
      <c r="E20" s="31" t="n"/>
      <c r="F20" s="42" t="n"/>
      <c r="G20" s="39" t="n"/>
      <c r="H20" s="29" t="n"/>
      <c r="I20" s="43">
        <f>IF($A20="","",SUMIFS(GL_Journal!$S:$S,GL_Journal!$G:$G,1501,GL_Journal!$K:$K,$A20)-SUMIFS(GL_Journal!$T:$T,GL_Journal!$G:$G,1501,GL_Journal!$K:$K,$A20))</f>
        <v/>
      </c>
      <c r="J20" s="43">
        <f>IF($A20="","",SUMIFS(GL_Journal!$S:$S,GL_Journal!$G:$G,1502,GL_Journal!$K:$K,$A20)-SUMIFS(GL_Journal!$T:$T,GL_Journal!$G:$G,1502,GL_Journal!$K:$K,$A20))</f>
        <v/>
      </c>
      <c r="K20" s="32">
        <f>IF($A20="","",IF(COUNTIF($A:$A,$A20)&gt;1,"كود مكرر",IF($B20="","الاسم ناقص","")))</f>
        <v/>
      </c>
    </row>
    <row r="21">
      <c r="A21" s="39" t="n"/>
      <c r="B21" s="29" t="n"/>
      <c r="C21" s="39" t="n"/>
      <c r="D21" s="29" t="n"/>
      <c r="E21" s="31" t="n"/>
      <c r="F21" s="42" t="n"/>
      <c r="G21" s="39" t="n"/>
      <c r="H21" s="29" t="n"/>
      <c r="I21" s="43">
        <f>IF($A21="","",SUMIFS(GL_Journal!$S:$S,GL_Journal!$G:$G,1501,GL_Journal!$K:$K,$A21)-SUMIFS(GL_Journal!$T:$T,GL_Journal!$G:$G,1501,GL_Journal!$K:$K,$A21))</f>
        <v/>
      </c>
      <c r="J21" s="43">
        <f>IF($A21="","",SUMIFS(GL_Journal!$S:$S,GL_Journal!$G:$G,1502,GL_Journal!$K:$K,$A21)-SUMIFS(GL_Journal!$T:$T,GL_Journal!$G:$G,1502,GL_Journal!$K:$K,$A21))</f>
        <v/>
      </c>
      <c r="K21" s="32">
        <f>IF($A21="","",IF(COUNTIF($A:$A,$A21)&gt;1,"كود مكرر",IF($B21="","الاسم ناقص","")))</f>
        <v/>
      </c>
    </row>
    <row r="22">
      <c r="A22" s="39" t="n"/>
      <c r="B22" s="29" t="n"/>
      <c r="C22" s="39" t="n"/>
      <c r="D22" s="29" t="n"/>
      <c r="E22" s="31" t="n"/>
      <c r="F22" s="42" t="n"/>
      <c r="G22" s="39" t="n"/>
      <c r="H22" s="29" t="n"/>
      <c r="I22" s="43">
        <f>IF($A22="","",SUMIFS(GL_Journal!$S:$S,GL_Journal!$G:$G,1501,GL_Journal!$K:$K,$A22)-SUMIFS(GL_Journal!$T:$T,GL_Journal!$G:$G,1501,GL_Journal!$K:$K,$A22))</f>
        <v/>
      </c>
      <c r="J22" s="43">
        <f>IF($A22="","",SUMIFS(GL_Journal!$S:$S,GL_Journal!$G:$G,1502,GL_Journal!$K:$K,$A22)-SUMIFS(GL_Journal!$T:$T,GL_Journal!$G:$G,1502,GL_Journal!$K:$K,$A22))</f>
        <v/>
      </c>
      <c r="K22" s="32">
        <f>IF($A22="","",IF(COUNTIF($A:$A,$A22)&gt;1,"كود مكرر",IF($B22="","الاسم ناقص","")))</f>
        <v/>
      </c>
    </row>
    <row r="23">
      <c r="A23" s="39" t="n"/>
      <c r="B23" s="29" t="n"/>
      <c r="C23" s="39" t="n"/>
      <c r="D23" s="29" t="n"/>
      <c r="E23" s="31" t="n"/>
      <c r="F23" s="42" t="n"/>
      <c r="G23" s="39" t="n"/>
      <c r="H23" s="29" t="n"/>
      <c r="I23" s="43">
        <f>IF($A23="","",SUMIFS(GL_Journal!$S:$S,GL_Journal!$G:$G,1501,GL_Journal!$K:$K,$A23)-SUMIFS(GL_Journal!$T:$T,GL_Journal!$G:$G,1501,GL_Journal!$K:$K,$A23))</f>
        <v/>
      </c>
      <c r="J23" s="43">
        <f>IF($A23="","",SUMIFS(GL_Journal!$S:$S,GL_Journal!$G:$G,1502,GL_Journal!$K:$K,$A23)-SUMIFS(GL_Journal!$T:$T,GL_Journal!$G:$G,1502,GL_Journal!$K:$K,$A23))</f>
        <v/>
      </c>
      <c r="K23" s="32">
        <f>IF($A23="","",IF(COUNTIF($A:$A,$A23)&gt;1,"كود مكرر",IF($B23="","الاسم ناقص","")))</f>
        <v/>
      </c>
    </row>
    <row r="24">
      <c r="A24" s="39" t="n"/>
      <c r="B24" s="29" t="n"/>
      <c r="C24" s="39" t="n"/>
      <c r="D24" s="29" t="n"/>
      <c r="E24" s="31" t="n"/>
      <c r="F24" s="42" t="n"/>
      <c r="G24" s="39" t="n"/>
      <c r="H24" s="29" t="n"/>
      <c r="I24" s="43">
        <f>IF($A24="","",SUMIFS(GL_Journal!$S:$S,GL_Journal!$G:$G,1501,GL_Journal!$K:$K,$A24)-SUMIFS(GL_Journal!$T:$T,GL_Journal!$G:$G,1501,GL_Journal!$K:$K,$A24))</f>
        <v/>
      </c>
      <c r="J24" s="43">
        <f>IF($A24="","",SUMIFS(GL_Journal!$S:$S,GL_Journal!$G:$G,1502,GL_Journal!$K:$K,$A24)-SUMIFS(GL_Journal!$T:$T,GL_Journal!$G:$G,1502,GL_Journal!$K:$K,$A24))</f>
        <v/>
      </c>
      <c r="K24" s="32">
        <f>IF($A24="","",IF(COUNTIF($A:$A,$A24)&gt;1,"كود مكرر",IF($B24="","الاسم ناقص","")))</f>
        <v/>
      </c>
    </row>
    <row r="25">
      <c r="A25" s="39" t="n"/>
      <c r="B25" s="29" t="n"/>
      <c r="C25" s="39" t="n"/>
      <c r="D25" s="29" t="n"/>
      <c r="E25" s="31" t="n"/>
      <c r="F25" s="42" t="n"/>
      <c r="G25" s="39" t="n"/>
      <c r="H25" s="29" t="n"/>
      <c r="I25" s="43">
        <f>IF($A25="","",SUMIFS(GL_Journal!$S:$S,GL_Journal!$G:$G,1501,GL_Journal!$K:$K,$A25)-SUMIFS(GL_Journal!$T:$T,GL_Journal!$G:$G,1501,GL_Journal!$K:$K,$A25))</f>
        <v/>
      </c>
      <c r="J25" s="43">
        <f>IF($A25="","",SUMIFS(GL_Journal!$S:$S,GL_Journal!$G:$G,1502,GL_Journal!$K:$K,$A25)-SUMIFS(GL_Journal!$T:$T,GL_Journal!$G:$G,1502,GL_Journal!$K:$K,$A25))</f>
        <v/>
      </c>
      <c r="K25" s="32">
        <f>IF($A25="","",IF(COUNTIF($A:$A,$A25)&gt;1,"كود مكرر",IF($B25="","الاسم ناقص","")))</f>
        <v/>
      </c>
    </row>
    <row r="26">
      <c r="A26" s="39" t="n"/>
      <c r="B26" s="29" t="n"/>
      <c r="C26" s="39" t="n"/>
      <c r="D26" s="29" t="n"/>
      <c r="E26" s="31" t="n"/>
      <c r="F26" s="42" t="n"/>
      <c r="G26" s="39" t="n"/>
      <c r="H26" s="29" t="n"/>
      <c r="I26" s="43">
        <f>IF($A26="","",SUMIFS(GL_Journal!$S:$S,GL_Journal!$G:$G,1501,GL_Journal!$K:$K,$A26)-SUMIFS(GL_Journal!$T:$T,GL_Journal!$G:$G,1501,GL_Journal!$K:$K,$A26))</f>
        <v/>
      </c>
      <c r="J26" s="43">
        <f>IF($A26="","",SUMIFS(GL_Journal!$S:$S,GL_Journal!$G:$G,1502,GL_Journal!$K:$K,$A26)-SUMIFS(GL_Journal!$T:$T,GL_Journal!$G:$G,1502,GL_Journal!$K:$K,$A26))</f>
        <v/>
      </c>
      <c r="K26" s="32">
        <f>IF($A26="","",IF(COUNTIF($A:$A,$A26)&gt;1,"كود مكرر",IF($B26="","الاسم ناقص","")))</f>
        <v/>
      </c>
    </row>
    <row r="27">
      <c r="A27" s="39" t="n"/>
      <c r="B27" s="29" t="n"/>
      <c r="C27" s="39" t="n"/>
      <c r="D27" s="29" t="n"/>
      <c r="E27" s="31" t="n"/>
      <c r="F27" s="42" t="n"/>
      <c r="G27" s="39" t="n"/>
      <c r="H27" s="29" t="n"/>
      <c r="I27" s="43">
        <f>IF($A27="","",SUMIFS(GL_Journal!$S:$S,GL_Journal!$G:$G,1501,GL_Journal!$K:$K,$A27)-SUMIFS(GL_Journal!$T:$T,GL_Journal!$G:$G,1501,GL_Journal!$K:$K,$A27))</f>
        <v/>
      </c>
      <c r="J27" s="43">
        <f>IF($A27="","",SUMIFS(GL_Journal!$S:$S,GL_Journal!$G:$G,1502,GL_Journal!$K:$K,$A27)-SUMIFS(GL_Journal!$T:$T,GL_Journal!$G:$G,1502,GL_Journal!$K:$K,$A27))</f>
        <v/>
      </c>
      <c r="K27" s="32">
        <f>IF($A27="","",IF(COUNTIF($A:$A,$A27)&gt;1,"كود مكرر",IF($B27="","الاسم ناقص","")))</f>
        <v/>
      </c>
    </row>
    <row r="28">
      <c r="A28" s="39" t="n"/>
      <c r="B28" s="29" t="n"/>
      <c r="C28" s="39" t="n"/>
      <c r="D28" s="29" t="n"/>
      <c r="E28" s="31" t="n"/>
      <c r="F28" s="42" t="n"/>
      <c r="G28" s="39" t="n"/>
      <c r="H28" s="29" t="n"/>
      <c r="I28" s="43">
        <f>IF($A28="","",SUMIFS(GL_Journal!$S:$S,GL_Journal!$G:$G,1501,GL_Journal!$K:$K,$A28)-SUMIFS(GL_Journal!$T:$T,GL_Journal!$G:$G,1501,GL_Journal!$K:$K,$A28))</f>
        <v/>
      </c>
      <c r="J28" s="43">
        <f>IF($A28="","",SUMIFS(GL_Journal!$S:$S,GL_Journal!$G:$G,1502,GL_Journal!$K:$K,$A28)-SUMIFS(GL_Journal!$T:$T,GL_Journal!$G:$G,1502,GL_Journal!$K:$K,$A28))</f>
        <v/>
      </c>
      <c r="K28" s="32">
        <f>IF($A28="","",IF(COUNTIF($A:$A,$A28)&gt;1,"كود مكرر",IF($B28="","الاسم ناقص","")))</f>
        <v/>
      </c>
    </row>
    <row r="29">
      <c r="A29" s="39" t="n"/>
      <c r="B29" s="29" t="n"/>
      <c r="C29" s="39" t="n"/>
      <c r="D29" s="29" t="n"/>
      <c r="E29" s="31" t="n"/>
      <c r="F29" s="42" t="n"/>
      <c r="G29" s="39" t="n"/>
      <c r="H29" s="29" t="n"/>
      <c r="I29" s="43">
        <f>IF($A29="","",SUMIFS(GL_Journal!$S:$S,GL_Journal!$G:$G,1501,GL_Journal!$K:$K,$A29)-SUMIFS(GL_Journal!$T:$T,GL_Journal!$G:$G,1501,GL_Journal!$K:$K,$A29))</f>
        <v/>
      </c>
      <c r="J29" s="43">
        <f>IF($A29="","",SUMIFS(GL_Journal!$S:$S,GL_Journal!$G:$G,1502,GL_Journal!$K:$K,$A29)-SUMIFS(GL_Journal!$T:$T,GL_Journal!$G:$G,1502,GL_Journal!$K:$K,$A29))</f>
        <v/>
      </c>
      <c r="K29" s="32">
        <f>IF($A29="","",IF(COUNTIF($A:$A,$A29)&gt;1,"كود مكرر",IF($B29="","الاسم ناقص","")))</f>
        <v/>
      </c>
    </row>
    <row r="30">
      <c r="A30" s="39" t="n"/>
      <c r="B30" s="29" t="n"/>
      <c r="C30" s="39" t="n"/>
      <c r="D30" s="29" t="n"/>
      <c r="E30" s="31" t="n"/>
      <c r="F30" s="42" t="n"/>
      <c r="G30" s="39" t="n"/>
      <c r="H30" s="29" t="n"/>
      <c r="I30" s="43">
        <f>IF($A30="","",SUMIFS(GL_Journal!$S:$S,GL_Journal!$G:$G,1501,GL_Journal!$K:$K,$A30)-SUMIFS(GL_Journal!$T:$T,GL_Journal!$G:$G,1501,GL_Journal!$K:$K,$A30))</f>
        <v/>
      </c>
      <c r="J30" s="43">
        <f>IF($A30="","",SUMIFS(GL_Journal!$S:$S,GL_Journal!$G:$G,1502,GL_Journal!$K:$K,$A30)-SUMIFS(GL_Journal!$T:$T,GL_Journal!$G:$G,1502,GL_Journal!$K:$K,$A30))</f>
        <v/>
      </c>
      <c r="K30" s="32">
        <f>IF($A30="","",IF(COUNTIF($A:$A,$A30)&gt;1,"كود مكرر",IF($B30="","الاسم ناقص","")))</f>
        <v/>
      </c>
    </row>
    <row r="31">
      <c r="A31" s="39" t="n"/>
      <c r="B31" s="29" t="n"/>
      <c r="C31" s="39" t="n"/>
      <c r="D31" s="29" t="n"/>
      <c r="E31" s="31" t="n"/>
      <c r="F31" s="42" t="n"/>
      <c r="G31" s="39" t="n"/>
      <c r="H31" s="29" t="n"/>
      <c r="I31" s="43">
        <f>IF($A31="","",SUMIFS(GL_Journal!$S:$S,GL_Journal!$G:$G,1501,GL_Journal!$K:$K,$A31)-SUMIFS(GL_Journal!$T:$T,GL_Journal!$G:$G,1501,GL_Journal!$K:$K,$A31))</f>
        <v/>
      </c>
      <c r="J31" s="43">
        <f>IF($A31="","",SUMIFS(GL_Journal!$S:$S,GL_Journal!$G:$G,1502,GL_Journal!$K:$K,$A31)-SUMIFS(GL_Journal!$T:$T,GL_Journal!$G:$G,1502,GL_Journal!$K:$K,$A31))</f>
        <v/>
      </c>
      <c r="K31" s="32">
        <f>IF($A31="","",IF(COUNTIF($A:$A,$A31)&gt;1,"كود مكرر",IF($B31="","الاسم ناقص","")))</f>
        <v/>
      </c>
    </row>
    <row r="32">
      <c r="A32" s="39" t="n"/>
      <c r="B32" s="29" t="n"/>
      <c r="C32" s="39" t="n"/>
      <c r="D32" s="29" t="n"/>
      <c r="E32" s="31" t="n"/>
      <c r="F32" s="42" t="n"/>
      <c r="G32" s="39" t="n"/>
      <c r="H32" s="29" t="n"/>
      <c r="I32" s="43">
        <f>IF($A32="","",SUMIFS(GL_Journal!$S:$S,GL_Journal!$G:$G,1501,GL_Journal!$K:$K,$A32)-SUMIFS(GL_Journal!$T:$T,GL_Journal!$G:$G,1501,GL_Journal!$K:$K,$A32))</f>
        <v/>
      </c>
      <c r="J32" s="43">
        <f>IF($A32="","",SUMIFS(GL_Journal!$S:$S,GL_Journal!$G:$G,1502,GL_Journal!$K:$K,$A32)-SUMIFS(GL_Journal!$T:$T,GL_Journal!$G:$G,1502,GL_Journal!$K:$K,$A32))</f>
        <v/>
      </c>
      <c r="K32" s="32">
        <f>IF($A32="","",IF(COUNTIF($A:$A,$A32)&gt;1,"كود مكرر",IF($B32="","الاسم ناقص","")))</f>
        <v/>
      </c>
    </row>
    <row r="33">
      <c r="A33" s="39" t="n"/>
      <c r="B33" s="29" t="n"/>
      <c r="C33" s="39" t="n"/>
      <c r="D33" s="29" t="n"/>
      <c r="E33" s="31" t="n"/>
      <c r="F33" s="42" t="n"/>
      <c r="G33" s="39" t="n"/>
      <c r="H33" s="29" t="n"/>
      <c r="I33" s="43">
        <f>IF($A33="","",SUMIFS(GL_Journal!$S:$S,GL_Journal!$G:$G,1501,GL_Journal!$K:$K,$A33)-SUMIFS(GL_Journal!$T:$T,GL_Journal!$G:$G,1501,GL_Journal!$K:$K,$A33))</f>
        <v/>
      </c>
      <c r="J33" s="43">
        <f>IF($A33="","",SUMIFS(GL_Journal!$S:$S,GL_Journal!$G:$G,1502,GL_Journal!$K:$K,$A33)-SUMIFS(GL_Journal!$T:$T,GL_Journal!$G:$G,1502,GL_Journal!$K:$K,$A33))</f>
        <v/>
      </c>
      <c r="K33" s="32">
        <f>IF($A33="","",IF(COUNTIF($A:$A,$A33)&gt;1,"كود مكرر",IF($B33="","الاسم ناقص","")))</f>
        <v/>
      </c>
    </row>
    <row r="34">
      <c r="A34" s="39" t="n"/>
      <c r="B34" s="29" t="n"/>
      <c r="C34" s="39" t="n"/>
      <c r="D34" s="29" t="n"/>
      <c r="E34" s="31" t="n"/>
      <c r="F34" s="42" t="n"/>
      <c r="G34" s="39" t="n"/>
      <c r="H34" s="29" t="n"/>
      <c r="I34" s="43">
        <f>IF($A34="","",SUMIFS(GL_Journal!$S:$S,GL_Journal!$G:$G,1501,GL_Journal!$K:$K,$A34)-SUMIFS(GL_Journal!$T:$T,GL_Journal!$G:$G,1501,GL_Journal!$K:$K,$A34))</f>
        <v/>
      </c>
      <c r="J34" s="43">
        <f>IF($A34="","",SUMIFS(GL_Journal!$S:$S,GL_Journal!$G:$G,1502,GL_Journal!$K:$K,$A34)-SUMIFS(GL_Journal!$T:$T,GL_Journal!$G:$G,1502,GL_Journal!$K:$K,$A34))</f>
        <v/>
      </c>
      <c r="K34" s="32">
        <f>IF($A34="","",IF(COUNTIF($A:$A,$A34)&gt;1,"كود مكرر",IF($B34="","الاسم ناقص","")))</f>
        <v/>
      </c>
    </row>
    <row r="35">
      <c r="A35" s="39" t="n"/>
      <c r="B35" s="29" t="n"/>
      <c r="C35" s="39" t="n"/>
      <c r="D35" s="29" t="n"/>
      <c r="E35" s="31" t="n"/>
      <c r="F35" s="42" t="n"/>
      <c r="G35" s="39" t="n"/>
      <c r="H35" s="29" t="n"/>
      <c r="I35" s="43">
        <f>IF($A35="","",SUMIFS(GL_Journal!$S:$S,GL_Journal!$G:$G,1501,GL_Journal!$K:$K,$A35)-SUMIFS(GL_Journal!$T:$T,GL_Journal!$G:$G,1501,GL_Journal!$K:$K,$A35))</f>
        <v/>
      </c>
      <c r="J35" s="43">
        <f>IF($A35="","",SUMIFS(GL_Journal!$S:$S,GL_Journal!$G:$G,1502,GL_Journal!$K:$K,$A35)-SUMIFS(GL_Journal!$T:$T,GL_Journal!$G:$G,1502,GL_Journal!$K:$K,$A35))</f>
        <v/>
      </c>
      <c r="K35" s="32">
        <f>IF($A35="","",IF(COUNTIF($A:$A,$A35)&gt;1,"كود مكرر",IF($B35="","الاسم ناقص","")))</f>
        <v/>
      </c>
    </row>
    <row r="36">
      <c r="A36" s="39" t="n"/>
      <c r="B36" s="29" t="n"/>
      <c r="C36" s="39" t="n"/>
      <c r="D36" s="29" t="n"/>
      <c r="E36" s="31" t="n"/>
      <c r="F36" s="42" t="n"/>
      <c r="G36" s="39" t="n"/>
      <c r="H36" s="29" t="n"/>
      <c r="I36" s="43">
        <f>IF($A36="","",SUMIFS(GL_Journal!$S:$S,GL_Journal!$G:$G,1501,GL_Journal!$K:$K,$A36)-SUMIFS(GL_Journal!$T:$T,GL_Journal!$G:$G,1501,GL_Journal!$K:$K,$A36))</f>
        <v/>
      </c>
      <c r="J36" s="43">
        <f>IF($A36="","",SUMIFS(GL_Journal!$S:$S,GL_Journal!$G:$G,1502,GL_Journal!$K:$K,$A36)-SUMIFS(GL_Journal!$T:$T,GL_Journal!$G:$G,1502,GL_Journal!$K:$K,$A36))</f>
        <v/>
      </c>
      <c r="K36" s="32">
        <f>IF($A36="","",IF(COUNTIF($A:$A,$A36)&gt;1,"كود مكرر",IF($B36="","الاسم ناقص","")))</f>
        <v/>
      </c>
    </row>
    <row r="37">
      <c r="A37" s="39" t="n"/>
      <c r="B37" s="29" t="n"/>
      <c r="C37" s="39" t="n"/>
      <c r="D37" s="29" t="n"/>
      <c r="E37" s="31" t="n"/>
      <c r="F37" s="42" t="n"/>
      <c r="G37" s="39" t="n"/>
      <c r="H37" s="29" t="n"/>
      <c r="I37" s="43">
        <f>IF($A37="","",SUMIFS(GL_Journal!$S:$S,GL_Journal!$G:$G,1501,GL_Journal!$K:$K,$A37)-SUMIFS(GL_Journal!$T:$T,GL_Journal!$G:$G,1501,GL_Journal!$K:$K,$A37))</f>
        <v/>
      </c>
      <c r="J37" s="43">
        <f>IF($A37="","",SUMIFS(GL_Journal!$S:$S,GL_Journal!$G:$G,1502,GL_Journal!$K:$K,$A37)-SUMIFS(GL_Journal!$T:$T,GL_Journal!$G:$G,1502,GL_Journal!$K:$K,$A37))</f>
        <v/>
      </c>
      <c r="K37" s="32">
        <f>IF($A37="","",IF(COUNTIF($A:$A,$A37)&gt;1,"كود مكرر",IF($B37="","الاسم ناقص","")))</f>
        <v/>
      </c>
    </row>
    <row r="38">
      <c r="A38" s="39" t="n"/>
      <c r="B38" s="29" t="n"/>
      <c r="C38" s="39" t="n"/>
      <c r="D38" s="29" t="n"/>
      <c r="E38" s="31" t="n"/>
      <c r="F38" s="42" t="n"/>
      <c r="G38" s="39" t="n"/>
      <c r="H38" s="29" t="n"/>
      <c r="I38" s="43">
        <f>IF($A38="","",SUMIFS(GL_Journal!$S:$S,GL_Journal!$G:$G,1501,GL_Journal!$K:$K,$A38)-SUMIFS(GL_Journal!$T:$T,GL_Journal!$G:$G,1501,GL_Journal!$K:$K,$A38))</f>
        <v/>
      </c>
      <c r="J38" s="43">
        <f>IF($A38="","",SUMIFS(GL_Journal!$S:$S,GL_Journal!$G:$G,1502,GL_Journal!$K:$K,$A38)-SUMIFS(GL_Journal!$T:$T,GL_Journal!$G:$G,1502,GL_Journal!$K:$K,$A38))</f>
        <v/>
      </c>
      <c r="K38" s="32">
        <f>IF($A38="","",IF(COUNTIF($A:$A,$A38)&gt;1,"كود مكرر",IF($B38="","الاسم ناقص","")))</f>
        <v/>
      </c>
    </row>
    <row r="39">
      <c r="A39" s="39" t="n"/>
      <c r="B39" s="29" t="n"/>
      <c r="C39" s="39" t="n"/>
      <c r="D39" s="29" t="n"/>
      <c r="E39" s="31" t="n"/>
      <c r="F39" s="42" t="n"/>
      <c r="G39" s="39" t="n"/>
      <c r="H39" s="29" t="n"/>
      <c r="I39" s="43">
        <f>IF($A39="","",SUMIFS(GL_Journal!$S:$S,GL_Journal!$G:$G,1501,GL_Journal!$K:$K,$A39)-SUMIFS(GL_Journal!$T:$T,GL_Journal!$G:$G,1501,GL_Journal!$K:$K,$A39))</f>
        <v/>
      </c>
      <c r="J39" s="43">
        <f>IF($A39="","",SUMIFS(GL_Journal!$S:$S,GL_Journal!$G:$G,1502,GL_Journal!$K:$K,$A39)-SUMIFS(GL_Journal!$T:$T,GL_Journal!$G:$G,1502,GL_Journal!$K:$K,$A39))</f>
        <v/>
      </c>
      <c r="K39" s="32">
        <f>IF($A39="","",IF(COUNTIF($A:$A,$A39)&gt;1,"كود مكرر",IF($B39="","الاسم ناقص","")))</f>
        <v/>
      </c>
    </row>
    <row r="40">
      <c r="A40" s="39" t="n"/>
      <c r="B40" s="29" t="n"/>
      <c r="C40" s="39" t="n"/>
      <c r="D40" s="29" t="n"/>
      <c r="E40" s="31" t="n"/>
      <c r="F40" s="42" t="n"/>
      <c r="G40" s="39" t="n"/>
      <c r="H40" s="29" t="n"/>
      <c r="I40" s="43">
        <f>IF($A40="","",SUMIFS(GL_Journal!$S:$S,GL_Journal!$G:$G,1501,GL_Journal!$K:$K,$A40)-SUMIFS(GL_Journal!$T:$T,GL_Journal!$G:$G,1501,GL_Journal!$K:$K,$A40))</f>
        <v/>
      </c>
      <c r="J40" s="43">
        <f>IF($A40="","",SUMIFS(GL_Journal!$S:$S,GL_Journal!$G:$G,1502,GL_Journal!$K:$K,$A40)-SUMIFS(GL_Journal!$T:$T,GL_Journal!$G:$G,1502,GL_Journal!$K:$K,$A40))</f>
        <v/>
      </c>
      <c r="K40" s="32">
        <f>IF($A40="","",IF(COUNTIF($A:$A,$A40)&gt;1,"كود مكرر",IF($B40="","الاسم ناقص","")))</f>
        <v/>
      </c>
    </row>
    <row r="41">
      <c r="A41" s="39" t="n"/>
      <c r="B41" s="29" t="n"/>
      <c r="C41" s="39" t="n"/>
      <c r="D41" s="29" t="n"/>
      <c r="E41" s="31" t="n"/>
      <c r="F41" s="42" t="n"/>
      <c r="G41" s="39" t="n"/>
      <c r="H41" s="29" t="n"/>
      <c r="I41" s="43">
        <f>IF($A41="","",SUMIFS(GL_Journal!$S:$S,GL_Journal!$G:$G,1501,GL_Journal!$K:$K,$A41)-SUMIFS(GL_Journal!$T:$T,GL_Journal!$G:$G,1501,GL_Journal!$K:$K,$A41))</f>
        <v/>
      </c>
      <c r="J41" s="43">
        <f>IF($A41="","",SUMIFS(GL_Journal!$S:$S,GL_Journal!$G:$G,1502,GL_Journal!$K:$K,$A41)-SUMIFS(GL_Journal!$T:$T,GL_Journal!$G:$G,1502,GL_Journal!$K:$K,$A41))</f>
        <v/>
      </c>
      <c r="K41" s="32">
        <f>IF($A41="","",IF(COUNTIF($A:$A,$A41)&gt;1,"كود مكرر",IF($B41="","الاسم ناقص","")))</f>
        <v/>
      </c>
    </row>
    <row r="42">
      <c r="A42" s="39" t="n"/>
      <c r="B42" s="29" t="n"/>
      <c r="C42" s="39" t="n"/>
      <c r="D42" s="29" t="n"/>
      <c r="E42" s="31" t="n"/>
      <c r="F42" s="42" t="n"/>
      <c r="G42" s="39" t="n"/>
      <c r="H42" s="29" t="n"/>
      <c r="I42" s="43">
        <f>IF($A42="","",SUMIFS(GL_Journal!$S:$S,GL_Journal!$G:$G,1501,GL_Journal!$K:$K,$A42)-SUMIFS(GL_Journal!$T:$T,GL_Journal!$G:$G,1501,GL_Journal!$K:$K,$A42))</f>
        <v/>
      </c>
      <c r="J42" s="43">
        <f>IF($A42="","",SUMIFS(GL_Journal!$S:$S,GL_Journal!$G:$G,1502,GL_Journal!$K:$K,$A42)-SUMIFS(GL_Journal!$T:$T,GL_Journal!$G:$G,1502,GL_Journal!$K:$K,$A42))</f>
        <v/>
      </c>
      <c r="K42" s="32">
        <f>IF($A42="","",IF(COUNTIF($A:$A,$A42)&gt;1,"كود مكرر",IF($B42="","الاسم ناقص","")))</f>
        <v/>
      </c>
    </row>
    <row r="43">
      <c r="A43" s="39" t="n"/>
      <c r="B43" s="29" t="n"/>
      <c r="C43" s="39" t="n"/>
      <c r="D43" s="29" t="n"/>
      <c r="E43" s="31" t="n"/>
      <c r="F43" s="42" t="n"/>
      <c r="G43" s="39" t="n"/>
      <c r="H43" s="29" t="n"/>
      <c r="I43" s="43">
        <f>IF($A43="","",SUMIFS(GL_Journal!$S:$S,GL_Journal!$G:$G,1501,GL_Journal!$K:$K,$A43)-SUMIFS(GL_Journal!$T:$T,GL_Journal!$G:$G,1501,GL_Journal!$K:$K,$A43))</f>
        <v/>
      </c>
      <c r="J43" s="43">
        <f>IF($A43="","",SUMIFS(GL_Journal!$S:$S,GL_Journal!$G:$G,1502,GL_Journal!$K:$K,$A43)-SUMIFS(GL_Journal!$T:$T,GL_Journal!$G:$G,1502,GL_Journal!$K:$K,$A43))</f>
        <v/>
      </c>
      <c r="K43" s="32">
        <f>IF($A43="","",IF(COUNTIF($A:$A,$A43)&gt;1,"كود مكرر",IF($B43="","الاسم ناقص","")))</f>
        <v/>
      </c>
    </row>
    <row r="44">
      <c r="A44" s="39" t="n"/>
      <c r="B44" s="29" t="n"/>
      <c r="C44" s="39" t="n"/>
      <c r="D44" s="29" t="n"/>
      <c r="E44" s="31" t="n"/>
      <c r="F44" s="42" t="n"/>
      <c r="G44" s="39" t="n"/>
      <c r="H44" s="29" t="n"/>
      <c r="I44" s="43">
        <f>IF($A44="","",SUMIFS(GL_Journal!$S:$S,GL_Journal!$G:$G,1501,GL_Journal!$K:$K,$A44)-SUMIFS(GL_Journal!$T:$T,GL_Journal!$G:$G,1501,GL_Journal!$K:$K,$A44))</f>
        <v/>
      </c>
      <c r="J44" s="43">
        <f>IF($A44="","",SUMIFS(GL_Journal!$S:$S,GL_Journal!$G:$G,1502,GL_Journal!$K:$K,$A44)-SUMIFS(GL_Journal!$T:$T,GL_Journal!$G:$G,1502,GL_Journal!$K:$K,$A44))</f>
        <v/>
      </c>
      <c r="K44" s="32">
        <f>IF($A44="","",IF(COUNTIF($A:$A,$A44)&gt;1,"كود مكرر",IF($B44="","الاسم ناقص","")))</f>
        <v/>
      </c>
    </row>
    <row r="45">
      <c r="A45" s="39" t="n"/>
      <c r="B45" s="29" t="n"/>
      <c r="C45" s="39" t="n"/>
      <c r="D45" s="29" t="n"/>
      <c r="E45" s="31" t="n"/>
      <c r="F45" s="42" t="n"/>
      <c r="G45" s="39" t="n"/>
      <c r="H45" s="29" t="n"/>
      <c r="I45" s="43">
        <f>IF($A45="","",SUMIFS(GL_Journal!$S:$S,GL_Journal!$G:$G,1501,GL_Journal!$K:$K,$A45)-SUMIFS(GL_Journal!$T:$T,GL_Journal!$G:$G,1501,GL_Journal!$K:$K,$A45))</f>
        <v/>
      </c>
      <c r="J45" s="43">
        <f>IF($A45="","",SUMIFS(GL_Journal!$S:$S,GL_Journal!$G:$G,1502,GL_Journal!$K:$K,$A45)-SUMIFS(GL_Journal!$T:$T,GL_Journal!$G:$G,1502,GL_Journal!$K:$K,$A45))</f>
        <v/>
      </c>
      <c r="K45" s="32">
        <f>IF($A45="","",IF(COUNTIF($A:$A,$A45)&gt;1,"كود مكرر",IF($B45="","الاسم ناقص","")))</f>
        <v/>
      </c>
    </row>
    <row r="46">
      <c r="A46" s="39" t="n"/>
      <c r="B46" s="29" t="n"/>
      <c r="C46" s="39" t="n"/>
      <c r="D46" s="29" t="n"/>
      <c r="E46" s="31" t="n"/>
      <c r="F46" s="42" t="n"/>
      <c r="G46" s="39" t="n"/>
      <c r="H46" s="29" t="n"/>
      <c r="I46" s="43">
        <f>IF($A46="","",SUMIFS(GL_Journal!$S:$S,GL_Journal!$G:$G,1501,GL_Journal!$K:$K,$A46)-SUMIFS(GL_Journal!$T:$T,GL_Journal!$G:$G,1501,GL_Journal!$K:$K,$A46))</f>
        <v/>
      </c>
      <c r="J46" s="43">
        <f>IF($A46="","",SUMIFS(GL_Journal!$S:$S,GL_Journal!$G:$G,1502,GL_Journal!$K:$K,$A46)-SUMIFS(GL_Journal!$T:$T,GL_Journal!$G:$G,1502,GL_Journal!$K:$K,$A46))</f>
        <v/>
      </c>
      <c r="K46" s="32">
        <f>IF($A46="","",IF(COUNTIF($A:$A,$A46)&gt;1,"كود مكرر",IF($B46="","الاسم ناقص","")))</f>
        <v/>
      </c>
    </row>
    <row r="47">
      <c r="A47" s="39" t="n"/>
      <c r="B47" s="29" t="n"/>
      <c r="C47" s="39" t="n"/>
      <c r="D47" s="29" t="n"/>
      <c r="E47" s="31" t="n"/>
      <c r="F47" s="42" t="n"/>
      <c r="G47" s="39" t="n"/>
      <c r="H47" s="29" t="n"/>
      <c r="I47" s="43">
        <f>IF($A47="","",SUMIFS(GL_Journal!$S:$S,GL_Journal!$G:$G,1501,GL_Journal!$K:$K,$A47)-SUMIFS(GL_Journal!$T:$T,GL_Journal!$G:$G,1501,GL_Journal!$K:$K,$A47))</f>
        <v/>
      </c>
      <c r="J47" s="43">
        <f>IF($A47="","",SUMIFS(GL_Journal!$S:$S,GL_Journal!$G:$G,1502,GL_Journal!$K:$K,$A47)-SUMIFS(GL_Journal!$T:$T,GL_Journal!$G:$G,1502,GL_Journal!$K:$K,$A47))</f>
        <v/>
      </c>
      <c r="K47" s="32">
        <f>IF($A47="","",IF(COUNTIF($A:$A,$A47)&gt;1,"كود مكرر",IF($B47="","الاسم ناقص","")))</f>
        <v/>
      </c>
    </row>
    <row r="48">
      <c r="A48" s="39" t="n"/>
      <c r="B48" s="29" t="n"/>
      <c r="C48" s="39" t="n"/>
      <c r="D48" s="29" t="n"/>
      <c r="E48" s="31" t="n"/>
      <c r="F48" s="42" t="n"/>
      <c r="G48" s="39" t="n"/>
      <c r="H48" s="29" t="n"/>
      <c r="I48" s="43">
        <f>IF($A48="","",SUMIFS(GL_Journal!$S:$S,GL_Journal!$G:$G,1501,GL_Journal!$K:$K,$A48)-SUMIFS(GL_Journal!$T:$T,GL_Journal!$G:$G,1501,GL_Journal!$K:$K,$A48))</f>
        <v/>
      </c>
      <c r="J48" s="43">
        <f>IF($A48="","",SUMIFS(GL_Journal!$S:$S,GL_Journal!$G:$G,1502,GL_Journal!$K:$K,$A48)-SUMIFS(GL_Journal!$T:$T,GL_Journal!$G:$G,1502,GL_Journal!$K:$K,$A48))</f>
        <v/>
      </c>
      <c r="K48" s="32">
        <f>IF($A48="","",IF(COUNTIF($A:$A,$A48)&gt;1,"كود مكرر",IF($B48="","الاسم ناقص","")))</f>
        <v/>
      </c>
    </row>
    <row r="49">
      <c r="A49" s="39" t="n"/>
      <c r="B49" s="29" t="n"/>
      <c r="C49" s="39" t="n"/>
      <c r="D49" s="29" t="n"/>
      <c r="E49" s="31" t="n"/>
      <c r="F49" s="42" t="n"/>
      <c r="G49" s="39" t="n"/>
      <c r="H49" s="29" t="n"/>
      <c r="I49" s="43">
        <f>IF($A49="","",SUMIFS(GL_Journal!$S:$S,GL_Journal!$G:$G,1501,GL_Journal!$K:$K,$A49)-SUMIFS(GL_Journal!$T:$T,GL_Journal!$G:$G,1501,GL_Journal!$K:$K,$A49))</f>
        <v/>
      </c>
      <c r="J49" s="43">
        <f>IF($A49="","",SUMIFS(GL_Journal!$S:$S,GL_Journal!$G:$G,1502,GL_Journal!$K:$K,$A49)-SUMIFS(GL_Journal!$T:$T,GL_Journal!$G:$G,1502,GL_Journal!$K:$K,$A49))</f>
        <v/>
      </c>
      <c r="K49" s="32">
        <f>IF($A49="","",IF(COUNTIF($A:$A,$A49)&gt;1,"كود مكرر",IF($B49="","الاسم ناقص","")))</f>
        <v/>
      </c>
    </row>
    <row r="50">
      <c r="A50" s="39" t="n"/>
      <c r="B50" s="29" t="n"/>
      <c r="C50" s="39" t="n"/>
      <c r="D50" s="29" t="n"/>
      <c r="E50" s="31" t="n"/>
      <c r="F50" s="42" t="n"/>
      <c r="G50" s="39" t="n"/>
      <c r="H50" s="29" t="n"/>
      <c r="I50" s="43">
        <f>IF($A50="","",SUMIFS(GL_Journal!$S:$S,GL_Journal!$G:$G,1501,GL_Journal!$K:$K,$A50)-SUMIFS(GL_Journal!$T:$T,GL_Journal!$G:$G,1501,GL_Journal!$K:$K,$A50))</f>
        <v/>
      </c>
      <c r="J50" s="43">
        <f>IF($A50="","",SUMIFS(GL_Journal!$S:$S,GL_Journal!$G:$G,1502,GL_Journal!$K:$K,$A50)-SUMIFS(GL_Journal!$T:$T,GL_Journal!$G:$G,1502,GL_Journal!$K:$K,$A50))</f>
        <v/>
      </c>
      <c r="K50" s="32">
        <f>IF($A50="","",IF(COUNTIF($A:$A,$A50)&gt;1,"كود مكرر",IF($B50="","الاسم ناقص","")))</f>
        <v/>
      </c>
    </row>
    <row r="51">
      <c r="A51" s="39" t="n"/>
      <c r="B51" s="29" t="n"/>
      <c r="C51" s="39" t="n"/>
      <c r="D51" s="29" t="n"/>
      <c r="E51" s="31" t="n"/>
      <c r="F51" s="42" t="n"/>
      <c r="G51" s="39" t="n"/>
      <c r="H51" s="29" t="n"/>
      <c r="I51" s="43">
        <f>IF($A51="","",SUMIFS(GL_Journal!$S:$S,GL_Journal!$G:$G,1501,GL_Journal!$K:$K,$A51)-SUMIFS(GL_Journal!$T:$T,GL_Journal!$G:$G,1501,GL_Journal!$K:$K,$A51))</f>
        <v/>
      </c>
      <c r="J51" s="43">
        <f>IF($A51="","",SUMIFS(GL_Journal!$S:$S,GL_Journal!$G:$G,1502,GL_Journal!$K:$K,$A51)-SUMIFS(GL_Journal!$T:$T,GL_Journal!$G:$G,1502,GL_Journal!$K:$K,$A51))</f>
        <v/>
      </c>
      <c r="K51" s="32">
        <f>IF($A51="","",IF(COUNTIF($A:$A,$A51)&gt;1,"كود مكرر",IF($B51="","الاسم ناقص","")))</f>
        <v/>
      </c>
    </row>
    <row r="52">
      <c r="A52" s="39" t="n"/>
      <c r="B52" s="29" t="n"/>
      <c r="C52" s="39" t="n"/>
      <c r="D52" s="29" t="n"/>
      <c r="E52" s="31" t="n"/>
      <c r="F52" s="42" t="n"/>
      <c r="G52" s="39" t="n"/>
      <c r="H52" s="29" t="n"/>
      <c r="I52" s="43">
        <f>IF($A52="","",SUMIFS(GL_Journal!$S:$S,GL_Journal!$G:$G,1501,GL_Journal!$K:$K,$A52)-SUMIFS(GL_Journal!$T:$T,GL_Journal!$G:$G,1501,GL_Journal!$K:$K,$A52))</f>
        <v/>
      </c>
      <c r="J52" s="43">
        <f>IF($A52="","",SUMIFS(GL_Journal!$S:$S,GL_Journal!$G:$G,1502,GL_Journal!$K:$K,$A52)-SUMIFS(GL_Journal!$T:$T,GL_Journal!$G:$G,1502,GL_Journal!$K:$K,$A52))</f>
        <v/>
      </c>
      <c r="K52" s="32">
        <f>IF($A52="","",IF(COUNTIF($A:$A,$A52)&gt;1,"كود مكرر",IF($B52="","الاسم ناقص","")))</f>
        <v/>
      </c>
    </row>
    <row r="53">
      <c r="A53" s="39" t="n"/>
      <c r="B53" s="29" t="n"/>
      <c r="C53" s="39" t="n"/>
      <c r="D53" s="29" t="n"/>
      <c r="E53" s="31" t="n"/>
      <c r="F53" s="42" t="n"/>
      <c r="G53" s="39" t="n"/>
      <c r="H53" s="29" t="n"/>
      <c r="I53" s="43">
        <f>IF($A53="","",SUMIFS(GL_Journal!$S:$S,GL_Journal!$G:$G,1501,GL_Journal!$K:$K,$A53)-SUMIFS(GL_Journal!$T:$T,GL_Journal!$G:$G,1501,GL_Journal!$K:$K,$A53))</f>
        <v/>
      </c>
      <c r="J53" s="43">
        <f>IF($A53="","",SUMIFS(GL_Journal!$S:$S,GL_Journal!$G:$G,1502,GL_Journal!$K:$K,$A53)-SUMIFS(GL_Journal!$T:$T,GL_Journal!$G:$G,1502,GL_Journal!$K:$K,$A53))</f>
        <v/>
      </c>
      <c r="K53" s="32">
        <f>IF($A53="","",IF(COUNTIF($A:$A,$A53)&gt;1,"كود مكرر",IF($B53="","الاسم ناقص","")))</f>
        <v/>
      </c>
    </row>
    <row r="54">
      <c r="A54" s="39" t="n"/>
      <c r="B54" s="29" t="n"/>
      <c r="C54" s="39" t="n"/>
      <c r="D54" s="29" t="n"/>
      <c r="E54" s="31" t="n"/>
      <c r="F54" s="42" t="n"/>
      <c r="G54" s="39" t="n"/>
      <c r="H54" s="29" t="n"/>
      <c r="I54" s="43">
        <f>IF($A54="","",SUMIFS(GL_Journal!$S:$S,GL_Journal!$G:$G,1501,GL_Journal!$K:$K,$A54)-SUMIFS(GL_Journal!$T:$T,GL_Journal!$G:$G,1501,GL_Journal!$K:$K,$A54))</f>
        <v/>
      </c>
      <c r="J54" s="43">
        <f>IF($A54="","",SUMIFS(GL_Journal!$S:$S,GL_Journal!$G:$G,1502,GL_Journal!$K:$K,$A54)-SUMIFS(GL_Journal!$T:$T,GL_Journal!$G:$G,1502,GL_Journal!$K:$K,$A54))</f>
        <v/>
      </c>
      <c r="K54" s="32">
        <f>IF($A54="","",IF(COUNTIF($A:$A,$A54)&gt;1,"كود مكرر",IF($B54="","الاسم ناقص","")))</f>
        <v/>
      </c>
    </row>
    <row r="55">
      <c r="A55" s="39" t="n"/>
      <c r="B55" s="29" t="n"/>
      <c r="C55" s="39" t="n"/>
      <c r="D55" s="29" t="n"/>
      <c r="E55" s="31" t="n"/>
      <c r="F55" s="42" t="n"/>
      <c r="G55" s="39" t="n"/>
      <c r="H55" s="29" t="n"/>
      <c r="I55" s="43">
        <f>IF($A55="","",SUMIFS(GL_Journal!$S:$S,GL_Journal!$G:$G,1501,GL_Journal!$K:$K,$A55)-SUMIFS(GL_Journal!$T:$T,GL_Journal!$G:$G,1501,GL_Journal!$K:$K,$A55))</f>
        <v/>
      </c>
      <c r="J55" s="43">
        <f>IF($A55="","",SUMIFS(GL_Journal!$S:$S,GL_Journal!$G:$G,1502,GL_Journal!$K:$K,$A55)-SUMIFS(GL_Journal!$T:$T,GL_Journal!$G:$G,1502,GL_Journal!$K:$K,$A55))</f>
        <v/>
      </c>
      <c r="K55" s="32">
        <f>IF($A55="","",IF(COUNTIF($A:$A,$A55)&gt;1,"كود مكرر",IF($B55="","الاسم ناقص","")))</f>
        <v/>
      </c>
    </row>
    <row r="56">
      <c r="A56" s="39" t="n"/>
      <c r="B56" s="29" t="n"/>
      <c r="C56" s="39" t="n"/>
      <c r="D56" s="29" t="n"/>
      <c r="E56" s="31" t="n"/>
      <c r="F56" s="42" t="n"/>
      <c r="G56" s="39" t="n"/>
      <c r="H56" s="29" t="n"/>
      <c r="I56" s="43">
        <f>IF($A56="","",SUMIFS(GL_Journal!$S:$S,GL_Journal!$G:$G,1501,GL_Journal!$K:$K,$A56)-SUMIFS(GL_Journal!$T:$T,GL_Journal!$G:$G,1501,GL_Journal!$K:$K,$A56))</f>
        <v/>
      </c>
      <c r="J56" s="43">
        <f>IF($A56="","",SUMIFS(GL_Journal!$S:$S,GL_Journal!$G:$G,1502,GL_Journal!$K:$K,$A56)-SUMIFS(GL_Journal!$T:$T,GL_Journal!$G:$G,1502,GL_Journal!$K:$K,$A56))</f>
        <v/>
      </c>
      <c r="K56" s="32">
        <f>IF($A56="","",IF(COUNTIF($A:$A,$A56)&gt;1,"كود مكرر",IF($B56="","الاسم ناقص","")))</f>
        <v/>
      </c>
    </row>
    <row r="57">
      <c r="A57" s="39" t="n"/>
      <c r="B57" s="29" t="n"/>
      <c r="C57" s="39" t="n"/>
      <c r="D57" s="29" t="n"/>
      <c r="E57" s="31" t="n"/>
      <c r="F57" s="42" t="n"/>
      <c r="G57" s="39" t="n"/>
      <c r="H57" s="29" t="n"/>
      <c r="I57" s="43">
        <f>IF($A57="","",SUMIFS(GL_Journal!$S:$S,GL_Journal!$G:$G,1501,GL_Journal!$K:$K,$A57)-SUMIFS(GL_Journal!$T:$T,GL_Journal!$G:$G,1501,GL_Journal!$K:$K,$A57))</f>
        <v/>
      </c>
      <c r="J57" s="43">
        <f>IF($A57="","",SUMIFS(GL_Journal!$S:$S,GL_Journal!$G:$G,1502,GL_Journal!$K:$K,$A57)-SUMIFS(GL_Journal!$T:$T,GL_Journal!$G:$G,1502,GL_Journal!$K:$K,$A57))</f>
        <v/>
      </c>
      <c r="K57" s="32">
        <f>IF($A57="","",IF(COUNTIF($A:$A,$A57)&gt;1,"كود مكرر",IF($B57="","الاسم ناقص","")))</f>
        <v/>
      </c>
    </row>
    <row r="58">
      <c r="A58" s="39" t="n"/>
      <c r="B58" s="29" t="n"/>
      <c r="C58" s="39" t="n"/>
      <c r="D58" s="29" t="n"/>
      <c r="E58" s="31" t="n"/>
      <c r="F58" s="42" t="n"/>
      <c r="G58" s="39" t="n"/>
      <c r="H58" s="29" t="n"/>
      <c r="I58" s="43">
        <f>IF($A58="","",SUMIFS(GL_Journal!$S:$S,GL_Journal!$G:$G,1501,GL_Journal!$K:$K,$A58)-SUMIFS(GL_Journal!$T:$T,GL_Journal!$G:$G,1501,GL_Journal!$K:$K,$A58))</f>
        <v/>
      </c>
      <c r="J58" s="43">
        <f>IF($A58="","",SUMIFS(GL_Journal!$S:$S,GL_Journal!$G:$G,1502,GL_Journal!$K:$K,$A58)-SUMIFS(GL_Journal!$T:$T,GL_Journal!$G:$G,1502,GL_Journal!$K:$K,$A58))</f>
        <v/>
      </c>
      <c r="K58" s="32">
        <f>IF($A58="","",IF(COUNTIF($A:$A,$A58)&gt;1,"كود مكرر",IF($B58="","الاسم ناقص","")))</f>
        <v/>
      </c>
    </row>
    <row r="59">
      <c r="A59" s="39" t="n"/>
      <c r="B59" s="29" t="n"/>
      <c r="C59" s="39" t="n"/>
      <c r="D59" s="29" t="n"/>
      <c r="E59" s="31" t="n"/>
      <c r="F59" s="42" t="n"/>
      <c r="G59" s="39" t="n"/>
      <c r="H59" s="29" t="n"/>
      <c r="I59" s="43">
        <f>IF($A59="","",SUMIFS(GL_Journal!$S:$S,GL_Journal!$G:$G,1501,GL_Journal!$K:$K,$A59)-SUMIFS(GL_Journal!$T:$T,GL_Journal!$G:$G,1501,GL_Journal!$K:$K,$A59))</f>
        <v/>
      </c>
      <c r="J59" s="43">
        <f>IF($A59="","",SUMIFS(GL_Journal!$S:$S,GL_Journal!$G:$G,1502,GL_Journal!$K:$K,$A59)-SUMIFS(GL_Journal!$T:$T,GL_Journal!$G:$G,1502,GL_Journal!$K:$K,$A59))</f>
        <v/>
      </c>
      <c r="K59" s="32">
        <f>IF($A59="","",IF(COUNTIF($A:$A,$A59)&gt;1,"كود مكرر",IF($B59="","الاسم ناقص","")))</f>
        <v/>
      </c>
    </row>
    <row r="60">
      <c r="A60" s="39" t="n"/>
      <c r="B60" s="29" t="n"/>
      <c r="C60" s="39" t="n"/>
      <c r="D60" s="29" t="n"/>
      <c r="E60" s="31" t="n"/>
      <c r="F60" s="42" t="n"/>
      <c r="G60" s="39" t="n"/>
      <c r="H60" s="29" t="n"/>
      <c r="I60" s="43">
        <f>IF($A60="","",SUMIFS(GL_Journal!$S:$S,GL_Journal!$G:$G,1501,GL_Journal!$K:$K,$A60)-SUMIFS(GL_Journal!$T:$T,GL_Journal!$G:$G,1501,GL_Journal!$K:$K,$A60))</f>
        <v/>
      </c>
      <c r="J60" s="43">
        <f>IF($A60="","",SUMIFS(GL_Journal!$S:$S,GL_Journal!$G:$G,1502,GL_Journal!$K:$K,$A60)-SUMIFS(GL_Journal!$T:$T,GL_Journal!$G:$G,1502,GL_Journal!$K:$K,$A60))</f>
        <v/>
      </c>
      <c r="K60" s="32">
        <f>IF($A60="","",IF(COUNTIF($A:$A,$A60)&gt;1,"كود مكرر",IF($B60="","الاسم ناقص","")))</f>
        <v/>
      </c>
    </row>
    <row r="61">
      <c r="A61" s="39" t="n"/>
      <c r="B61" s="29" t="n"/>
      <c r="C61" s="39" t="n"/>
      <c r="D61" s="29" t="n"/>
      <c r="E61" s="31" t="n"/>
      <c r="F61" s="42" t="n"/>
      <c r="G61" s="39" t="n"/>
      <c r="H61" s="29" t="n"/>
      <c r="I61" s="43">
        <f>IF($A61="","",SUMIFS(GL_Journal!$S:$S,GL_Journal!$G:$G,1501,GL_Journal!$K:$K,$A61)-SUMIFS(GL_Journal!$T:$T,GL_Journal!$G:$G,1501,GL_Journal!$K:$K,$A61))</f>
        <v/>
      </c>
      <c r="J61" s="43">
        <f>IF($A61="","",SUMIFS(GL_Journal!$S:$S,GL_Journal!$G:$G,1502,GL_Journal!$K:$K,$A61)-SUMIFS(GL_Journal!$T:$T,GL_Journal!$G:$G,1502,GL_Journal!$K:$K,$A61))</f>
        <v/>
      </c>
      <c r="K61" s="32">
        <f>IF($A61="","",IF(COUNTIF($A:$A,$A61)&gt;1,"كود مكرر",IF($B61="","الاسم ناقص","")))</f>
        <v/>
      </c>
    </row>
    <row r="62">
      <c r="A62" s="39" t="n"/>
      <c r="B62" s="29" t="n"/>
      <c r="C62" s="39" t="n"/>
      <c r="D62" s="29" t="n"/>
      <c r="E62" s="31" t="n"/>
      <c r="F62" s="42" t="n"/>
      <c r="G62" s="39" t="n"/>
      <c r="H62" s="29" t="n"/>
      <c r="I62" s="43">
        <f>IF($A62="","",SUMIFS(GL_Journal!$S:$S,GL_Journal!$G:$G,1501,GL_Journal!$K:$K,$A62)-SUMIFS(GL_Journal!$T:$T,GL_Journal!$G:$G,1501,GL_Journal!$K:$K,$A62))</f>
        <v/>
      </c>
      <c r="J62" s="43">
        <f>IF($A62="","",SUMIFS(GL_Journal!$S:$S,GL_Journal!$G:$G,1502,GL_Journal!$K:$K,$A62)-SUMIFS(GL_Journal!$T:$T,GL_Journal!$G:$G,1502,GL_Journal!$K:$K,$A62))</f>
        <v/>
      </c>
      <c r="K62" s="32">
        <f>IF($A62="","",IF(COUNTIF($A:$A,$A62)&gt;1,"كود مكرر",IF($B62="","الاسم ناقص","")))</f>
        <v/>
      </c>
    </row>
    <row r="63">
      <c r="A63" s="39" t="n"/>
      <c r="B63" s="29" t="n"/>
      <c r="C63" s="39" t="n"/>
      <c r="D63" s="29" t="n"/>
      <c r="E63" s="31" t="n"/>
      <c r="F63" s="42" t="n"/>
      <c r="G63" s="39" t="n"/>
      <c r="H63" s="29" t="n"/>
      <c r="I63" s="43">
        <f>IF($A63="","",SUMIFS(GL_Journal!$S:$S,GL_Journal!$G:$G,1501,GL_Journal!$K:$K,$A63)-SUMIFS(GL_Journal!$T:$T,GL_Journal!$G:$G,1501,GL_Journal!$K:$K,$A63))</f>
        <v/>
      </c>
      <c r="J63" s="43">
        <f>IF($A63="","",SUMIFS(GL_Journal!$S:$S,GL_Journal!$G:$G,1502,GL_Journal!$K:$K,$A63)-SUMIFS(GL_Journal!$T:$T,GL_Journal!$G:$G,1502,GL_Journal!$K:$K,$A63))</f>
        <v/>
      </c>
      <c r="K63" s="32">
        <f>IF($A63="","",IF(COUNTIF($A:$A,$A63)&gt;1,"كود مكرر",IF($B63="","الاسم ناقص","")))</f>
        <v/>
      </c>
    </row>
    <row r="64">
      <c r="A64" s="39" t="n"/>
      <c r="B64" s="29" t="n"/>
      <c r="C64" s="39" t="n"/>
      <c r="D64" s="29" t="n"/>
      <c r="E64" s="31" t="n"/>
      <c r="F64" s="42" t="n"/>
      <c r="G64" s="39" t="n"/>
      <c r="H64" s="29" t="n"/>
      <c r="I64" s="43">
        <f>IF($A64="","",SUMIFS(GL_Journal!$S:$S,GL_Journal!$G:$G,1501,GL_Journal!$K:$K,$A64)-SUMIFS(GL_Journal!$T:$T,GL_Journal!$G:$G,1501,GL_Journal!$K:$K,$A64))</f>
        <v/>
      </c>
      <c r="J64" s="43">
        <f>IF($A64="","",SUMIFS(GL_Journal!$S:$S,GL_Journal!$G:$G,1502,GL_Journal!$K:$K,$A64)-SUMIFS(GL_Journal!$T:$T,GL_Journal!$G:$G,1502,GL_Journal!$K:$K,$A64))</f>
        <v/>
      </c>
      <c r="K64" s="32">
        <f>IF($A64="","",IF(COUNTIF($A:$A,$A64)&gt;1,"كود مكرر",IF($B64="","الاسم ناقص","")))</f>
        <v/>
      </c>
    </row>
    <row r="65">
      <c r="A65" s="39" t="n"/>
      <c r="B65" s="29" t="n"/>
      <c r="C65" s="39" t="n"/>
      <c r="D65" s="29" t="n"/>
      <c r="E65" s="31" t="n"/>
      <c r="F65" s="42" t="n"/>
      <c r="G65" s="39" t="n"/>
      <c r="H65" s="29" t="n"/>
      <c r="I65" s="43">
        <f>IF($A65="","",SUMIFS(GL_Journal!$S:$S,GL_Journal!$G:$G,1501,GL_Journal!$K:$K,$A65)-SUMIFS(GL_Journal!$T:$T,GL_Journal!$G:$G,1501,GL_Journal!$K:$K,$A65))</f>
        <v/>
      </c>
      <c r="J65" s="43">
        <f>IF($A65="","",SUMIFS(GL_Journal!$S:$S,GL_Journal!$G:$G,1502,GL_Journal!$K:$K,$A65)-SUMIFS(GL_Journal!$T:$T,GL_Journal!$G:$G,1502,GL_Journal!$K:$K,$A65))</f>
        <v/>
      </c>
      <c r="K65" s="32">
        <f>IF($A65="","",IF(COUNTIF($A:$A,$A65)&gt;1,"كود مكرر",IF($B65="","الاسم ناقص","")))</f>
        <v/>
      </c>
    </row>
    <row r="66">
      <c r="A66" s="39" t="n"/>
      <c r="B66" s="29" t="n"/>
      <c r="C66" s="39" t="n"/>
      <c r="D66" s="29" t="n"/>
      <c r="E66" s="31" t="n"/>
      <c r="F66" s="42" t="n"/>
      <c r="G66" s="39" t="n"/>
      <c r="H66" s="29" t="n"/>
      <c r="I66" s="43">
        <f>IF($A66="","",SUMIFS(GL_Journal!$S:$S,GL_Journal!$G:$G,1501,GL_Journal!$K:$K,$A66)-SUMIFS(GL_Journal!$T:$T,GL_Journal!$G:$G,1501,GL_Journal!$K:$K,$A66))</f>
        <v/>
      </c>
      <c r="J66" s="43">
        <f>IF($A66="","",SUMIFS(GL_Journal!$S:$S,GL_Journal!$G:$G,1502,GL_Journal!$K:$K,$A66)-SUMIFS(GL_Journal!$T:$T,GL_Journal!$G:$G,1502,GL_Journal!$K:$K,$A66))</f>
        <v/>
      </c>
      <c r="K66" s="32">
        <f>IF($A66="","",IF(COUNTIF($A:$A,$A66)&gt;1,"كود مكرر",IF($B66="","الاسم ناقص","")))</f>
        <v/>
      </c>
    </row>
    <row r="67">
      <c r="A67" s="39" t="n"/>
      <c r="B67" s="29" t="n"/>
      <c r="C67" s="39" t="n"/>
      <c r="D67" s="29" t="n"/>
      <c r="E67" s="31" t="n"/>
      <c r="F67" s="42" t="n"/>
      <c r="G67" s="39" t="n"/>
      <c r="H67" s="29" t="n"/>
      <c r="I67" s="43">
        <f>IF($A67="","",SUMIFS(GL_Journal!$S:$S,GL_Journal!$G:$G,1501,GL_Journal!$K:$K,$A67)-SUMIFS(GL_Journal!$T:$T,GL_Journal!$G:$G,1501,GL_Journal!$K:$K,$A67))</f>
        <v/>
      </c>
      <c r="J67" s="43">
        <f>IF($A67="","",SUMIFS(GL_Journal!$S:$S,GL_Journal!$G:$G,1502,GL_Journal!$K:$K,$A67)-SUMIFS(GL_Journal!$T:$T,GL_Journal!$G:$G,1502,GL_Journal!$K:$K,$A67))</f>
        <v/>
      </c>
      <c r="K67" s="32">
        <f>IF($A67="","",IF(COUNTIF($A:$A,$A67)&gt;1,"كود مكرر",IF($B67="","الاسم ناقص","")))</f>
        <v/>
      </c>
    </row>
    <row r="68">
      <c r="A68" s="39" t="n"/>
      <c r="B68" s="29" t="n"/>
      <c r="C68" s="39" t="n"/>
      <c r="D68" s="29" t="n"/>
      <c r="E68" s="31" t="n"/>
      <c r="F68" s="42" t="n"/>
      <c r="G68" s="39" t="n"/>
      <c r="H68" s="29" t="n"/>
      <c r="I68" s="43">
        <f>IF($A68="","",SUMIFS(GL_Journal!$S:$S,GL_Journal!$G:$G,1501,GL_Journal!$K:$K,$A68)-SUMIFS(GL_Journal!$T:$T,GL_Journal!$G:$G,1501,GL_Journal!$K:$K,$A68))</f>
        <v/>
      </c>
      <c r="J68" s="43">
        <f>IF($A68="","",SUMIFS(GL_Journal!$S:$S,GL_Journal!$G:$G,1502,GL_Journal!$K:$K,$A68)-SUMIFS(GL_Journal!$T:$T,GL_Journal!$G:$G,1502,GL_Journal!$K:$K,$A68))</f>
        <v/>
      </c>
      <c r="K68" s="32">
        <f>IF($A68="","",IF(COUNTIF($A:$A,$A68)&gt;1,"كود مكرر",IF($B68="","الاسم ناقص","")))</f>
        <v/>
      </c>
    </row>
    <row r="69">
      <c r="A69" s="39" t="n"/>
      <c r="B69" s="29" t="n"/>
      <c r="C69" s="39" t="n"/>
      <c r="D69" s="29" t="n"/>
      <c r="E69" s="31" t="n"/>
      <c r="F69" s="42" t="n"/>
      <c r="G69" s="39" t="n"/>
      <c r="H69" s="29" t="n"/>
      <c r="I69" s="43">
        <f>IF($A69="","",SUMIFS(GL_Journal!$S:$S,GL_Journal!$G:$G,1501,GL_Journal!$K:$K,$A69)-SUMIFS(GL_Journal!$T:$T,GL_Journal!$G:$G,1501,GL_Journal!$K:$K,$A69))</f>
        <v/>
      </c>
      <c r="J69" s="43">
        <f>IF($A69="","",SUMIFS(GL_Journal!$S:$S,GL_Journal!$G:$G,1502,GL_Journal!$K:$K,$A69)-SUMIFS(GL_Journal!$T:$T,GL_Journal!$G:$G,1502,GL_Journal!$K:$K,$A69))</f>
        <v/>
      </c>
      <c r="K69" s="32">
        <f>IF($A69="","",IF(COUNTIF($A:$A,$A69)&gt;1,"كود مكرر",IF($B69="","الاسم ناقص","")))</f>
        <v/>
      </c>
    </row>
    <row r="70">
      <c r="A70" s="39" t="n"/>
      <c r="B70" s="29" t="n"/>
      <c r="C70" s="39" t="n"/>
      <c r="D70" s="29" t="n"/>
      <c r="E70" s="31" t="n"/>
      <c r="F70" s="42" t="n"/>
      <c r="G70" s="39" t="n"/>
      <c r="H70" s="29" t="n"/>
      <c r="I70" s="43">
        <f>IF($A70="","",SUMIFS(GL_Journal!$S:$S,GL_Journal!$G:$G,1501,GL_Journal!$K:$K,$A70)-SUMIFS(GL_Journal!$T:$T,GL_Journal!$G:$G,1501,GL_Journal!$K:$K,$A70))</f>
        <v/>
      </c>
      <c r="J70" s="43">
        <f>IF($A70="","",SUMIFS(GL_Journal!$S:$S,GL_Journal!$G:$G,1502,GL_Journal!$K:$K,$A70)-SUMIFS(GL_Journal!$T:$T,GL_Journal!$G:$G,1502,GL_Journal!$K:$K,$A70))</f>
        <v/>
      </c>
      <c r="K70" s="32">
        <f>IF($A70="","",IF(COUNTIF($A:$A,$A70)&gt;1,"كود مكرر",IF($B70="","الاسم ناقص","")))</f>
        <v/>
      </c>
    </row>
    <row r="71">
      <c r="A71" s="39" t="n"/>
      <c r="B71" s="29" t="n"/>
      <c r="C71" s="39" t="n"/>
      <c r="D71" s="29" t="n"/>
      <c r="E71" s="31" t="n"/>
      <c r="F71" s="42" t="n"/>
      <c r="G71" s="39" t="n"/>
      <c r="H71" s="29" t="n"/>
      <c r="I71" s="43">
        <f>IF($A71="","",SUMIFS(GL_Journal!$S:$S,GL_Journal!$G:$G,1501,GL_Journal!$K:$K,$A71)-SUMIFS(GL_Journal!$T:$T,GL_Journal!$G:$G,1501,GL_Journal!$K:$K,$A71))</f>
        <v/>
      </c>
      <c r="J71" s="43">
        <f>IF($A71="","",SUMIFS(GL_Journal!$S:$S,GL_Journal!$G:$G,1502,GL_Journal!$K:$K,$A71)-SUMIFS(GL_Journal!$T:$T,GL_Journal!$G:$G,1502,GL_Journal!$K:$K,$A71))</f>
        <v/>
      </c>
      <c r="K71" s="32">
        <f>IF($A71="","",IF(COUNTIF($A:$A,$A71)&gt;1,"كود مكرر",IF($B71="","الاسم ناقص","")))</f>
        <v/>
      </c>
    </row>
    <row r="72">
      <c r="A72" s="39" t="n"/>
      <c r="B72" s="29" t="n"/>
      <c r="C72" s="39" t="n"/>
      <c r="D72" s="29" t="n"/>
      <c r="E72" s="31" t="n"/>
      <c r="F72" s="42" t="n"/>
      <c r="G72" s="39" t="n"/>
      <c r="H72" s="29" t="n"/>
      <c r="I72" s="43">
        <f>IF($A72="","",SUMIFS(GL_Journal!$S:$S,GL_Journal!$G:$G,1501,GL_Journal!$K:$K,$A72)-SUMIFS(GL_Journal!$T:$T,GL_Journal!$G:$G,1501,GL_Journal!$K:$K,$A72))</f>
        <v/>
      </c>
      <c r="J72" s="43">
        <f>IF($A72="","",SUMIFS(GL_Journal!$S:$S,GL_Journal!$G:$G,1502,GL_Journal!$K:$K,$A72)-SUMIFS(GL_Journal!$T:$T,GL_Journal!$G:$G,1502,GL_Journal!$K:$K,$A72))</f>
        <v/>
      </c>
      <c r="K72" s="32">
        <f>IF($A72="","",IF(COUNTIF($A:$A,$A72)&gt;1,"كود مكرر",IF($B72="","الاسم ناقص","")))</f>
        <v/>
      </c>
    </row>
    <row r="73">
      <c r="A73" s="39" t="n"/>
      <c r="B73" s="29" t="n"/>
      <c r="C73" s="39" t="n"/>
      <c r="D73" s="29" t="n"/>
      <c r="E73" s="31" t="n"/>
      <c r="F73" s="42" t="n"/>
      <c r="G73" s="39" t="n"/>
      <c r="H73" s="29" t="n"/>
      <c r="I73" s="43">
        <f>IF($A73="","",SUMIFS(GL_Journal!$S:$S,GL_Journal!$G:$G,1501,GL_Journal!$K:$K,$A73)-SUMIFS(GL_Journal!$T:$T,GL_Journal!$G:$G,1501,GL_Journal!$K:$K,$A73))</f>
        <v/>
      </c>
      <c r="J73" s="43">
        <f>IF($A73="","",SUMIFS(GL_Journal!$S:$S,GL_Journal!$G:$G,1502,GL_Journal!$K:$K,$A73)-SUMIFS(GL_Journal!$T:$T,GL_Journal!$G:$G,1502,GL_Journal!$K:$K,$A73))</f>
        <v/>
      </c>
      <c r="K73" s="32">
        <f>IF($A73="","",IF(COUNTIF($A:$A,$A73)&gt;1,"كود مكرر",IF($B73="","الاسم ناقص","")))</f>
        <v/>
      </c>
    </row>
    <row r="74">
      <c r="A74" s="39" t="n"/>
      <c r="B74" s="29" t="n"/>
      <c r="C74" s="39" t="n"/>
      <c r="D74" s="29" t="n"/>
      <c r="E74" s="31" t="n"/>
      <c r="F74" s="42" t="n"/>
      <c r="G74" s="39" t="n"/>
      <c r="H74" s="29" t="n"/>
      <c r="I74" s="43">
        <f>IF($A74="","",SUMIFS(GL_Journal!$S:$S,GL_Journal!$G:$G,1501,GL_Journal!$K:$K,$A74)-SUMIFS(GL_Journal!$T:$T,GL_Journal!$G:$G,1501,GL_Journal!$K:$K,$A74))</f>
        <v/>
      </c>
      <c r="J74" s="43">
        <f>IF($A74="","",SUMIFS(GL_Journal!$S:$S,GL_Journal!$G:$G,1502,GL_Journal!$K:$K,$A74)-SUMIFS(GL_Journal!$T:$T,GL_Journal!$G:$G,1502,GL_Journal!$K:$K,$A74))</f>
        <v/>
      </c>
      <c r="K74" s="32">
        <f>IF($A74="","",IF(COUNTIF($A:$A,$A74)&gt;1,"كود مكرر",IF($B74="","الاسم ناقص","")))</f>
        <v/>
      </c>
    </row>
    <row r="75">
      <c r="A75" s="39" t="n"/>
      <c r="B75" s="29" t="n"/>
      <c r="C75" s="39" t="n"/>
      <c r="D75" s="29" t="n"/>
      <c r="E75" s="31" t="n"/>
      <c r="F75" s="42" t="n"/>
      <c r="G75" s="39" t="n"/>
      <c r="H75" s="29" t="n"/>
      <c r="I75" s="43">
        <f>IF($A75="","",SUMIFS(GL_Journal!$S:$S,GL_Journal!$G:$G,1501,GL_Journal!$K:$K,$A75)-SUMIFS(GL_Journal!$T:$T,GL_Journal!$G:$G,1501,GL_Journal!$K:$K,$A75))</f>
        <v/>
      </c>
      <c r="J75" s="43">
        <f>IF($A75="","",SUMIFS(GL_Journal!$S:$S,GL_Journal!$G:$G,1502,GL_Journal!$K:$K,$A75)-SUMIFS(GL_Journal!$T:$T,GL_Journal!$G:$G,1502,GL_Journal!$K:$K,$A75))</f>
        <v/>
      </c>
      <c r="K75" s="32">
        <f>IF($A75="","",IF(COUNTIF($A:$A,$A75)&gt;1,"كود مكرر",IF($B75="","الاسم ناقص","")))</f>
        <v/>
      </c>
    </row>
    <row r="76">
      <c r="A76" s="39" t="n"/>
      <c r="B76" s="29" t="n"/>
      <c r="C76" s="39" t="n"/>
      <c r="D76" s="29" t="n"/>
      <c r="E76" s="31" t="n"/>
      <c r="F76" s="42" t="n"/>
      <c r="G76" s="39" t="n"/>
      <c r="H76" s="29" t="n"/>
      <c r="I76" s="43">
        <f>IF($A76="","",SUMIFS(GL_Journal!$S:$S,GL_Journal!$G:$G,1501,GL_Journal!$K:$K,$A76)-SUMIFS(GL_Journal!$T:$T,GL_Journal!$G:$G,1501,GL_Journal!$K:$K,$A76))</f>
        <v/>
      </c>
      <c r="J76" s="43">
        <f>IF($A76="","",SUMIFS(GL_Journal!$S:$S,GL_Journal!$G:$G,1502,GL_Journal!$K:$K,$A76)-SUMIFS(GL_Journal!$T:$T,GL_Journal!$G:$G,1502,GL_Journal!$K:$K,$A76))</f>
        <v/>
      </c>
      <c r="K76" s="32">
        <f>IF($A76="","",IF(COUNTIF($A:$A,$A76)&gt;1,"كود مكرر",IF($B76="","الاسم ناقص","")))</f>
        <v/>
      </c>
    </row>
    <row r="77">
      <c r="A77" s="39" t="n"/>
      <c r="B77" s="29" t="n"/>
      <c r="C77" s="39" t="n"/>
      <c r="D77" s="29" t="n"/>
      <c r="E77" s="31" t="n"/>
      <c r="F77" s="42" t="n"/>
      <c r="G77" s="39" t="n"/>
      <c r="H77" s="29" t="n"/>
      <c r="I77" s="43">
        <f>IF($A77="","",SUMIFS(GL_Journal!$S:$S,GL_Journal!$G:$G,1501,GL_Journal!$K:$K,$A77)-SUMIFS(GL_Journal!$T:$T,GL_Journal!$G:$G,1501,GL_Journal!$K:$K,$A77))</f>
        <v/>
      </c>
      <c r="J77" s="43">
        <f>IF($A77="","",SUMIFS(GL_Journal!$S:$S,GL_Journal!$G:$G,1502,GL_Journal!$K:$K,$A77)-SUMIFS(GL_Journal!$T:$T,GL_Journal!$G:$G,1502,GL_Journal!$K:$K,$A77))</f>
        <v/>
      </c>
      <c r="K77" s="32">
        <f>IF($A77="","",IF(COUNTIF($A:$A,$A77)&gt;1,"كود مكرر",IF($B77="","الاسم ناقص","")))</f>
        <v/>
      </c>
    </row>
    <row r="78">
      <c r="A78" s="39" t="n"/>
      <c r="B78" s="29" t="n"/>
      <c r="C78" s="39" t="n"/>
      <c r="D78" s="29" t="n"/>
      <c r="E78" s="31" t="n"/>
      <c r="F78" s="42" t="n"/>
      <c r="G78" s="39" t="n"/>
      <c r="H78" s="29" t="n"/>
      <c r="I78" s="43">
        <f>IF($A78="","",SUMIFS(GL_Journal!$S:$S,GL_Journal!$G:$G,1501,GL_Journal!$K:$K,$A78)-SUMIFS(GL_Journal!$T:$T,GL_Journal!$G:$G,1501,GL_Journal!$K:$K,$A78))</f>
        <v/>
      </c>
      <c r="J78" s="43">
        <f>IF($A78="","",SUMIFS(GL_Journal!$S:$S,GL_Journal!$G:$G,1502,GL_Journal!$K:$K,$A78)-SUMIFS(GL_Journal!$T:$T,GL_Journal!$G:$G,1502,GL_Journal!$K:$K,$A78))</f>
        <v/>
      </c>
      <c r="K78" s="32">
        <f>IF($A78="","",IF(COUNTIF($A:$A,$A78)&gt;1,"كود مكرر",IF($B78="","الاسم ناقص","")))</f>
        <v/>
      </c>
    </row>
    <row r="79">
      <c r="A79" s="39" t="n"/>
      <c r="B79" s="29" t="n"/>
      <c r="C79" s="39" t="n"/>
      <c r="D79" s="29" t="n"/>
      <c r="E79" s="31" t="n"/>
      <c r="F79" s="42" t="n"/>
      <c r="G79" s="39" t="n"/>
      <c r="H79" s="29" t="n"/>
      <c r="I79" s="43">
        <f>IF($A79="","",SUMIFS(GL_Journal!$S:$S,GL_Journal!$G:$G,1501,GL_Journal!$K:$K,$A79)-SUMIFS(GL_Journal!$T:$T,GL_Journal!$G:$G,1501,GL_Journal!$K:$K,$A79))</f>
        <v/>
      </c>
      <c r="J79" s="43">
        <f>IF($A79="","",SUMIFS(GL_Journal!$S:$S,GL_Journal!$G:$G,1502,GL_Journal!$K:$K,$A79)-SUMIFS(GL_Journal!$T:$T,GL_Journal!$G:$G,1502,GL_Journal!$K:$K,$A79))</f>
        <v/>
      </c>
      <c r="K79" s="32">
        <f>IF($A79="","",IF(COUNTIF($A:$A,$A79)&gt;1,"كود مكرر",IF($B79="","الاسم ناقص","")))</f>
        <v/>
      </c>
    </row>
    <row r="80">
      <c r="A80" s="39" t="n"/>
      <c r="B80" s="29" t="n"/>
      <c r="C80" s="39" t="n"/>
      <c r="D80" s="29" t="n"/>
      <c r="E80" s="31" t="n"/>
      <c r="F80" s="42" t="n"/>
      <c r="G80" s="39" t="n"/>
      <c r="H80" s="29" t="n"/>
      <c r="I80" s="43">
        <f>IF($A80="","",SUMIFS(GL_Journal!$S:$S,GL_Journal!$G:$G,1501,GL_Journal!$K:$K,$A80)-SUMIFS(GL_Journal!$T:$T,GL_Journal!$G:$G,1501,GL_Journal!$K:$K,$A80))</f>
        <v/>
      </c>
      <c r="J80" s="43">
        <f>IF($A80="","",SUMIFS(GL_Journal!$S:$S,GL_Journal!$G:$G,1502,GL_Journal!$K:$K,$A80)-SUMIFS(GL_Journal!$T:$T,GL_Journal!$G:$G,1502,GL_Journal!$K:$K,$A80))</f>
        <v/>
      </c>
      <c r="K80" s="32">
        <f>IF($A80="","",IF(COUNTIF($A:$A,$A80)&gt;1,"كود مكرر",IF($B80="","الاسم ناقص","")))</f>
        <v/>
      </c>
    </row>
    <row r="81">
      <c r="A81" s="39" t="n"/>
      <c r="B81" s="29" t="n"/>
      <c r="C81" s="39" t="n"/>
      <c r="D81" s="29" t="n"/>
      <c r="E81" s="31" t="n"/>
      <c r="F81" s="42" t="n"/>
      <c r="G81" s="39" t="n"/>
      <c r="H81" s="29" t="n"/>
      <c r="I81" s="43">
        <f>IF($A81="","",SUMIFS(GL_Journal!$S:$S,GL_Journal!$G:$G,1501,GL_Journal!$K:$K,$A81)-SUMIFS(GL_Journal!$T:$T,GL_Journal!$G:$G,1501,GL_Journal!$K:$K,$A81))</f>
        <v/>
      </c>
      <c r="J81" s="43">
        <f>IF($A81="","",SUMIFS(GL_Journal!$S:$S,GL_Journal!$G:$G,1502,GL_Journal!$K:$K,$A81)-SUMIFS(GL_Journal!$T:$T,GL_Journal!$G:$G,1502,GL_Journal!$K:$K,$A81))</f>
        <v/>
      </c>
      <c r="K81" s="32">
        <f>IF($A81="","",IF(COUNTIF($A:$A,$A81)&gt;1,"كود مكرر",IF($B81="","الاسم ناقص","")))</f>
        <v/>
      </c>
    </row>
    <row r="82">
      <c r="A82" s="39" t="n"/>
      <c r="B82" s="29" t="n"/>
      <c r="C82" s="39" t="n"/>
      <c r="D82" s="29" t="n"/>
      <c r="E82" s="31" t="n"/>
      <c r="F82" s="42" t="n"/>
      <c r="G82" s="39" t="n"/>
      <c r="H82" s="29" t="n"/>
      <c r="I82" s="43">
        <f>IF($A82="","",SUMIFS(GL_Journal!$S:$S,GL_Journal!$G:$G,1501,GL_Journal!$K:$K,$A82)-SUMIFS(GL_Journal!$T:$T,GL_Journal!$G:$G,1501,GL_Journal!$K:$K,$A82))</f>
        <v/>
      </c>
      <c r="J82" s="43">
        <f>IF($A82="","",SUMIFS(GL_Journal!$S:$S,GL_Journal!$G:$G,1502,GL_Journal!$K:$K,$A82)-SUMIFS(GL_Journal!$T:$T,GL_Journal!$G:$G,1502,GL_Journal!$K:$K,$A82))</f>
        <v/>
      </c>
      <c r="K82" s="32">
        <f>IF($A82="","",IF(COUNTIF($A:$A,$A82)&gt;1,"كود مكرر",IF($B82="","الاسم ناقص","")))</f>
        <v/>
      </c>
    </row>
    <row r="83">
      <c r="A83" s="39" t="n"/>
      <c r="B83" s="29" t="n"/>
      <c r="C83" s="39" t="n"/>
      <c r="D83" s="29" t="n"/>
      <c r="E83" s="31" t="n"/>
      <c r="F83" s="42" t="n"/>
      <c r="G83" s="39" t="n"/>
      <c r="H83" s="29" t="n"/>
      <c r="I83" s="43">
        <f>IF($A83="","",SUMIFS(GL_Journal!$S:$S,GL_Journal!$G:$G,1501,GL_Journal!$K:$K,$A83)-SUMIFS(GL_Journal!$T:$T,GL_Journal!$G:$G,1501,GL_Journal!$K:$K,$A83))</f>
        <v/>
      </c>
      <c r="J83" s="43">
        <f>IF($A83="","",SUMIFS(GL_Journal!$S:$S,GL_Journal!$G:$G,1502,GL_Journal!$K:$K,$A83)-SUMIFS(GL_Journal!$T:$T,GL_Journal!$G:$G,1502,GL_Journal!$K:$K,$A83))</f>
        <v/>
      </c>
      <c r="K83" s="32">
        <f>IF($A83="","",IF(COUNTIF($A:$A,$A83)&gt;1,"كود مكرر",IF($B83="","الاسم ناقص","")))</f>
        <v/>
      </c>
    </row>
    <row r="84">
      <c r="A84" s="39" t="n"/>
      <c r="B84" s="29" t="n"/>
      <c r="C84" s="39" t="n"/>
      <c r="D84" s="29" t="n"/>
      <c r="E84" s="31" t="n"/>
      <c r="F84" s="42" t="n"/>
      <c r="G84" s="39" t="n"/>
      <c r="H84" s="29" t="n"/>
      <c r="I84" s="43">
        <f>IF($A84="","",SUMIFS(GL_Journal!$S:$S,GL_Journal!$G:$G,1501,GL_Journal!$K:$K,$A84)-SUMIFS(GL_Journal!$T:$T,GL_Journal!$G:$G,1501,GL_Journal!$K:$K,$A84))</f>
        <v/>
      </c>
      <c r="J84" s="43">
        <f>IF($A84="","",SUMIFS(GL_Journal!$S:$S,GL_Journal!$G:$G,1502,GL_Journal!$K:$K,$A84)-SUMIFS(GL_Journal!$T:$T,GL_Journal!$G:$G,1502,GL_Journal!$K:$K,$A84))</f>
        <v/>
      </c>
      <c r="K84" s="32">
        <f>IF($A84="","",IF(COUNTIF($A:$A,$A84)&gt;1,"كود مكرر",IF($B84="","الاسم ناقص","")))</f>
        <v/>
      </c>
    </row>
    <row r="85">
      <c r="A85" s="39" t="n"/>
      <c r="B85" s="29" t="n"/>
      <c r="C85" s="39" t="n"/>
      <c r="D85" s="29" t="n"/>
      <c r="E85" s="31" t="n"/>
      <c r="F85" s="42" t="n"/>
      <c r="G85" s="39" t="n"/>
      <c r="H85" s="29" t="n"/>
      <c r="I85" s="43">
        <f>IF($A85="","",SUMIFS(GL_Journal!$S:$S,GL_Journal!$G:$G,1501,GL_Journal!$K:$K,$A85)-SUMIFS(GL_Journal!$T:$T,GL_Journal!$G:$G,1501,GL_Journal!$K:$K,$A85))</f>
        <v/>
      </c>
      <c r="J85" s="43">
        <f>IF($A85="","",SUMIFS(GL_Journal!$S:$S,GL_Journal!$G:$G,1502,GL_Journal!$K:$K,$A85)-SUMIFS(GL_Journal!$T:$T,GL_Journal!$G:$G,1502,GL_Journal!$K:$K,$A85))</f>
        <v/>
      </c>
      <c r="K85" s="32">
        <f>IF($A85="","",IF(COUNTIF($A:$A,$A85)&gt;1,"كود مكرر",IF($B85="","الاسم ناقص","")))</f>
        <v/>
      </c>
    </row>
    <row r="86">
      <c r="A86" s="39" t="n"/>
      <c r="B86" s="29" t="n"/>
      <c r="C86" s="39" t="n"/>
      <c r="D86" s="29" t="n"/>
      <c r="E86" s="31" t="n"/>
      <c r="F86" s="42" t="n"/>
      <c r="G86" s="39" t="n"/>
      <c r="H86" s="29" t="n"/>
      <c r="I86" s="43">
        <f>IF($A86="","",SUMIFS(GL_Journal!$S:$S,GL_Journal!$G:$G,1501,GL_Journal!$K:$K,$A86)-SUMIFS(GL_Journal!$T:$T,GL_Journal!$G:$G,1501,GL_Journal!$K:$K,$A86))</f>
        <v/>
      </c>
      <c r="J86" s="43">
        <f>IF($A86="","",SUMIFS(GL_Journal!$S:$S,GL_Journal!$G:$G,1502,GL_Journal!$K:$K,$A86)-SUMIFS(GL_Journal!$T:$T,GL_Journal!$G:$G,1502,GL_Journal!$K:$K,$A86))</f>
        <v/>
      </c>
      <c r="K86" s="32">
        <f>IF($A86="","",IF(COUNTIF($A:$A,$A86)&gt;1,"كود مكرر",IF($B86="","الاسم ناقص","")))</f>
        <v/>
      </c>
    </row>
    <row r="87">
      <c r="A87" s="39" t="n"/>
      <c r="B87" s="29" t="n"/>
      <c r="C87" s="39" t="n"/>
      <c r="D87" s="29" t="n"/>
      <c r="E87" s="31" t="n"/>
      <c r="F87" s="42" t="n"/>
      <c r="G87" s="39" t="n"/>
      <c r="H87" s="29" t="n"/>
      <c r="I87" s="43">
        <f>IF($A87="","",SUMIFS(GL_Journal!$S:$S,GL_Journal!$G:$G,1501,GL_Journal!$K:$K,$A87)-SUMIFS(GL_Journal!$T:$T,GL_Journal!$G:$G,1501,GL_Journal!$K:$K,$A87))</f>
        <v/>
      </c>
      <c r="J87" s="43">
        <f>IF($A87="","",SUMIFS(GL_Journal!$S:$S,GL_Journal!$G:$G,1502,GL_Journal!$K:$K,$A87)-SUMIFS(GL_Journal!$T:$T,GL_Journal!$G:$G,1502,GL_Journal!$K:$K,$A87))</f>
        <v/>
      </c>
      <c r="K87" s="32">
        <f>IF($A87="","",IF(COUNTIF($A:$A,$A87)&gt;1,"كود مكرر",IF($B87="","الاسم ناقص","")))</f>
        <v/>
      </c>
    </row>
    <row r="88">
      <c r="A88" s="39" t="n"/>
      <c r="B88" s="29" t="n"/>
      <c r="C88" s="39" t="n"/>
      <c r="D88" s="29" t="n"/>
      <c r="E88" s="31" t="n"/>
      <c r="F88" s="42" t="n"/>
      <c r="G88" s="39" t="n"/>
      <c r="H88" s="29" t="n"/>
      <c r="I88" s="43">
        <f>IF($A88="","",SUMIFS(GL_Journal!$S:$S,GL_Journal!$G:$G,1501,GL_Journal!$K:$K,$A88)-SUMIFS(GL_Journal!$T:$T,GL_Journal!$G:$G,1501,GL_Journal!$K:$K,$A88))</f>
        <v/>
      </c>
      <c r="J88" s="43">
        <f>IF($A88="","",SUMIFS(GL_Journal!$S:$S,GL_Journal!$G:$G,1502,GL_Journal!$K:$K,$A88)-SUMIFS(GL_Journal!$T:$T,GL_Journal!$G:$G,1502,GL_Journal!$K:$K,$A88))</f>
        <v/>
      </c>
      <c r="K88" s="32">
        <f>IF($A88="","",IF(COUNTIF($A:$A,$A88)&gt;1,"كود مكرر",IF($B88="","الاسم ناقص","")))</f>
        <v/>
      </c>
    </row>
    <row r="89">
      <c r="A89" s="39" t="n"/>
      <c r="B89" s="29" t="n"/>
      <c r="C89" s="39" t="n"/>
      <c r="D89" s="29" t="n"/>
      <c r="E89" s="31" t="n"/>
      <c r="F89" s="42" t="n"/>
      <c r="G89" s="39" t="n"/>
      <c r="H89" s="29" t="n"/>
      <c r="I89" s="43">
        <f>IF($A89="","",SUMIFS(GL_Journal!$S:$S,GL_Journal!$G:$G,1501,GL_Journal!$K:$K,$A89)-SUMIFS(GL_Journal!$T:$T,GL_Journal!$G:$G,1501,GL_Journal!$K:$K,$A89))</f>
        <v/>
      </c>
      <c r="J89" s="43">
        <f>IF($A89="","",SUMIFS(GL_Journal!$S:$S,GL_Journal!$G:$G,1502,GL_Journal!$K:$K,$A89)-SUMIFS(GL_Journal!$T:$T,GL_Journal!$G:$G,1502,GL_Journal!$K:$K,$A89))</f>
        <v/>
      </c>
      <c r="K89" s="32">
        <f>IF($A89="","",IF(COUNTIF($A:$A,$A89)&gt;1,"كود مكرر",IF($B89="","الاسم ناقص","")))</f>
        <v/>
      </c>
    </row>
    <row r="90">
      <c r="A90" s="39" t="n"/>
      <c r="B90" s="29" t="n"/>
      <c r="C90" s="39" t="n"/>
      <c r="D90" s="29" t="n"/>
      <c r="E90" s="31" t="n"/>
      <c r="F90" s="42" t="n"/>
      <c r="G90" s="39" t="n"/>
      <c r="H90" s="29" t="n"/>
      <c r="I90" s="43">
        <f>IF($A90="","",SUMIFS(GL_Journal!$S:$S,GL_Journal!$G:$G,1501,GL_Journal!$K:$K,$A90)-SUMIFS(GL_Journal!$T:$T,GL_Journal!$G:$G,1501,GL_Journal!$K:$K,$A90))</f>
        <v/>
      </c>
      <c r="J90" s="43">
        <f>IF($A90="","",SUMIFS(GL_Journal!$S:$S,GL_Journal!$G:$G,1502,GL_Journal!$K:$K,$A90)-SUMIFS(GL_Journal!$T:$T,GL_Journal!$G:$G,1502,GL_Journal!$K:$K,$A90))</f>
        <v/>
      </c>
      <c r="K90" s="32">
        <f>IF($A90="","",IF(COUNTIF($A:$A,$A90)&gt;1,"كود مكرر",IF($B90="","الاسم ناقص","")))</f>
        <v/>
      </c>
    </row>
    <row r="91">
      <c r="A91" s="39" t="n"/>
      <c r="B91" s="29" t="n"/>
      <c r="C91" s="39" t="n"/>
      <c r="D91" s="29" t="n"/>
      <c r="E91" s="31" t="n"/>
      <c r="F91" s="42" t="n"/>
      <c r="G91" s="39" t="n"/>
      <c r="H91" s="29" t="n"/>
      <c r="I91" s="43">
        <f>IF($A91="","",SUMIFS(GL_Journal!$S:$S,GL_Journal!$G:$G,1501,GL_Journal!$K:$K,$A91)-SUMIFS(GL_Journal!$T:$T,GL_Journal!$G:$G,1501,GL_Journal!$K:$K,$A91))</f>
        <v/>
      </c>
      <c r="J91" s="43">
        <f>IF($A91="","",SUMIFS(GL_Journal!$S:$S,GL_Journal!$G:$G,1502,GL_Journal!$K:$K,$A91)-SUMIFS(GL_Journal!$T:$T,GL_Journal!$G:$G,1502,GL_Journal!$K:$K,$A91))</f>
        <v/>
      </c>
      <c r="K91" s="32">
        <f>IF($A91="","",IF(COUNTIF($A:$A,$A91)&gt;1,"كود مكرر",IF($B91="","الاسم ناقص","")))</f>
        <v/>
      </c>
    </row>
    <row r="92">
      <c r="A92" s="39" t="n"/>
      <c r="B92" s="29" t="n"/>
      <c r="C92" s="39" t="n"/>
      <c r="D92" s="29" t="n"/>
      <c r="E92" s="31" t="n"/>
      <c r="F92" s="42" t="n"/>
      <c r="G92" s="39" t="n"/>
      <c r="H92" s="29" t="n"/>
      <c r="I92" s="43">
        <f>IF($A92="","",SUMIFS(GL_Journal!$S:$S,GL_Journal!$G:$G,1501,GL_Journal!$K:$K,$A92)-SUMIFS(GL_Journal!$T:$T,GL_Journal!$G:$G,1501,GL_Journal!$K:$K,$A92))</f>
        <v/>
      </c>
      <c r="J92" s="43">
        <f>IF($A92="","",SUMIFS(GL_Journal!$S:$S,GL_Journal!$G:$G,1502,GL_Journal!$K:$K,$A92)-SUMIFS(GL_Journal!$T:$T,GL_Journal!$G:$G,1502,GL_Journal!$K:$K,$A92))</f>
        <v/>
      </c>
      <c r="K92" s="32">
        <f>IF($A92="","",IF(COUNTIF($A:$A,$A92)&gt;1,"كود مكرر",IF($B92="","الاسم ناقص","")))</f>
        <v/>
      </c>
    </row>
    <row r="93">
      <c r="A93" s="39" t="n"/>
      <c r="B93" s="29" t="n"/>
      <c r="C93" s="39" t="n"/>
      <c r="D93" s="29" t="n"/>
      <c r="E93" s="31" t="n"/>
      <c r="F93" s="42" t="n"/>
      <c r="G93" s="39" t="n"/>
      <c r="H93" s="29" t="n"/>
      <c r="I93" s="43">
        <f>IF($A93="","",SUMIFS(GL_Journal!$S:$S,GL_Journal!$G:$G,1501,GL_Journal!$K:$K,$A93)-SUMIFS(GL_Journal!$T:$T,GL_Journal!$G:$G,1501,GL_Journal!$K:$K,$A93))</f>
        <v/>
      </c>
      <c r="J93" s="43">
        <f>IF($A93="","",SUMIFS(GL_Journal!$S:$S,GL_Journal!$G:$G,1502,GL_Journal!$K:$K,$A93)-SUMIFS(GL_Journal!$T:$T,GL_Journal!$G:$G,1502,GL_Journal!$K:$K,$A93))</f>
        <v/>
      </c>
      <c r="K93" s="32">
        <f>IF($A93="","",IF(COUNTIF($A:$A,$A93)&gt;1,"كود مكرر",IF($B93="","الاسم ناقص","")))</f>
        <v/>
      </c>
    </row>
    <row r="94">
      <c r="A94" s="39" t="n"/>
      <c r="B94" s="29" t="n"/>
      <c r="C94" s="39" t="n"/>
      <c r="D94" s="29" t="n"/>
      <c r="E94" s="31" t="n"/>
      <c r="F94" s="42" t="n"/>
      <c r="G94" s="39" t="n"/>
      <c r="H94" s="29" t="n"/>
      <c r="I94" s="43">
        <f>IF($A94="","",SUMIFS(GL_Journal!$S:$S,GL_Journal!$G:$G,1501,GL_Journal!$K:$K,$A94)-SUMIFS(GL_Journal!$T:$T,GL_Journal!$G:$G,1501,GL_Journal!$K:$K,$A94))</f>
        <v/>
      </c>
      <c r="J94" s="43">
        <f>IF($A94="","",SUMIFS(GL_Journal!$S:$S,GL_Journal!$G:$G,1502,GL_Journal!$K:$K,$A94)-SUMIFS(GL_Journal!$T:$T,GL_Journal!$G:$G,1502,GL_Journal!$K:$K,$A94))</f>
        <v/>
      </c>
      <c r="K94" s="32">
        <f>IF($A94="","",IF(COUNTIF($A:$A,$A94)&gt;1,"كود مكرر",IF($B94="","الاسم ناقص","")))</f>
        <v/>
      </c>
    </row>
    <row r="95">
      <c r="A95" s="39" t="n"/>
      <c r="B95" s="29" t="n"/>
      <c r="C95" s="39" t="n"/>
      <c r="D95" s="29" t="n"/>
      <c r="E95" s="31" t="n"/>
      <c r="F95" s="42" t="n"/>
      <c r="G95" s="39" t="n"/>
      <c r="H95" s="29" t="n"/>
      <c r="I95" s="43">
        <f>IF($A95="","",SUMIFS(GL_Journal!$S:$S,GL_Journal!$G:$G,1501,GL_Journal!$K:$K,$A95)-SUMIFS(GL_Journal!$T:$T,GL_Journal!$G:$G,1501,GL_Journal!$K:$K,$A95))</f>
        <v/>
      </c>
      <c r="J95" s="43">
        <f>IF($A95="","",SUMIFS(GL_Journal!$S:$S,GL_Journal!$G:$G,1502,GL_Journal!$K:$K,$A95)-SUMIFS(GL_Journal!$T:$T,GL_Journal!$G:$G,1502,GL_Journal!$K:$K,$A95))</f>
        <v/>
      </c>
      <c r="K95" s="32">
        <f>IF($A95="","",IF(COUNTIF($A:$A,$A95)&gt;1,"كود مكرر",IF($B95="","الاسم ناقص","")))</f>
        <v/>
      </c>
    </row>
    <row r="96">
      <c r="A96" s="39" t="n"/>
      <c r="B96" s="29" t="n"/>
      <c r="C96" s="39" t="n"/>
      <c r="D96" s="29" t="n"/>
      <c r="E96" s="31" t="n"/>
      <c r="F96" s="42" t="n"/>
      <c r="G96" s="39" t="n"/>
      <c r="H96" s="29" t="n"/>
      <c r="I96" s="43">
        <f>IF($A96="","",SUMIFS(GL_Journal!$S:$S,GL_Journal!$G:$G,1501,GL_Journal!$K:$K,$A96)-SUMIFS(GL_Journal!$T:$T,GL_Journal!$G:$G,1501,GL_Journal!$K:$K,$A96))</f>
        <v/>
      </c>
      <c r="J96" s="43">
        <f>IF($A96="","",SUMIFS(GL_Journal!$S:$S,GL_Journal!$G:$G,1502,GL_Journal!$K:$K,$A96)-SUMIFS(GL_Journal!$T:$T,GL_Journal!$G:$G,1502,GL_Journal!$K:$K,$A96))</f>
        <v/>
      </c>
      <c r="K96" s="32">
        <f>IF($A96="","",IF(COUNTIF($A:$A,$A96)&gt;1,"كود مكرر",IF($B96="","الاسم ناقص","")))</f>
        <v/>
      </c>
    </row>
    <row r="97">
      <c r="A97" s="39" t="n"/>
      <c r="B97" s="29" t="n"/>
      <c r="C97" s="39" t="n"/>
      <c r="D97" s="29" t="n"/>
      <c r="E97" s="31" t="n"/>
      <c r="F97" s="42" t="n"/>
      <c r="G97" s="39" t="n"/>
      <c r="H97" s="29" t="n"/>
      <c r="I97" s="43">
        <f>IF($A97="","",SUMIFS(GL_Journal!$S:$S,GL_Journal!$G:$G,1501,GL_Journal!$K:$K,$A97)-SUMIFS(GL_Journal!$T:$T,GL_Journal!$G:$G,1501,GL_Journal!$K:$K,$A97))</f>
        <v/>
      </c>
      <c r="J97" s="43">
        <f>IF($A97="","",SUMIFS(GL_Journal!$S:$S,GL_Journal!$G:$G,1502,GL_Journal!$K:$K,$A97)-SUMIFS(GL_Journal!$T:$T,GL_Journal!$G:$G,1502,GL_Journal!$K:$K,$A97))</f>
        <v/>
      </c>
      <c r="K97" s="32">
        <f>IF($A97="","",IF(COUNTIF($A:$A,$A97)&gt;1,"كود مكرر",IF($B97="","الاسم ناقص","")))</f>
        <v/>
      </c>
    </row>
    <row r="98">
      <c r="A98" s="39" t="n"/>
      <c r="B98" s="29" t="n"/>
      <c r="C98" s="39" t="n"/>
      <c r="D98" s="29" t="n"/>
      <c r="E98" s="31" t="n"/>
      <c r="F98" s="42" t="n"/>
      <c r="G98" s="39" t="n"/>
      <c r="H98" s="29" t="n"/>
      <c r="I98" s="43">
        <f>IF($A98="","",SUMIFS(GL_Journal!$S:$S,GL_Journal!$G:$G,1501,GL_Journal!$K:$K,$A98)-SUMIFS(GL_Journal!$T:$T,GL_Journal!$G:$G,1501,GL_Journal!$K:$K,$A98))</f>
        <v/>
      </c>
      <c r="J98" s="43">
        <f>IF($A98="","",SUMIFS(GL_Journal!$S:$S,GL_Journal!$G:$G,1502,GL_Journal!$K:$K,$A98)-SUMIFS(GL_Journal!$T:$T,GL_Journal!$G:$G,1502,GL_Journal!$K:$K,$A98))</f>
        <v/>
      </c>
      <c r="K98" s="32">
        <f>IF($A98="","",IF(COUNTIF($A:$A,$A98)&gt;1,"كود مكرر",IF($B98="","الاسم ناقص","")))</f>
        <v/>
      </c>
    </row>
    <row r="99">
      <c r="A99" s="39" t="n"/>
      <c r="B99" s="29" t="n"/>
      <c r="C99" s="39" t="n"/>
      <c r="D99" s="29" t="n"/>
      <c r="E99" s="31" t="n"/>
      <c r="F99" s="42" t="n"/>
      <c r="G99" s="39" t="n"/>
      <c r="H99" s="29" t="n"/>
      <c r="I99" s="43">
        <f>IF($A99="","",SUMIFS(GL_Journal!$S:$S,GL_Journal!$G:$G,1501,GL_Journal!$K:$K,$A99)-SUMIFS(GL_Journal!$T:$T,GL_Journal!$G:$G,1501,GL_Journal!$K:$K,$A99))</f>
        <v/>
      </c>
      <c r="J99" s="43">
        <f>IF($A99="","",SUMIFS(GL_Journal!$S:$S,GL_Journal!$G:$G,1502,GL_Journal!$K:$K,$A99)-SUMIFS(GL_Journal!$T:$T,GL_Journal!$G:$G,1502,GL_Journal!$K:$K,$A99))</f>
        <v/>
      </c>
      <c r="K99" s="32">
        <f>IF($A99="","",IF(COUNTIF($A:$A,$A99)&gt;1,"كود مكرر",IF($B99="","الاسم ناقص","")))</f>
        <v/>
      </c>
    </row>
    <row r="100">
      <c r="A100" s="39" t="n"/>
      <c r="B100" s="29" t="n"/>
      <c r="C100" s="39" t="n"/>
      <c r="D100" s="29" t="n"/>
      <c r="E100" s="31" t="n"/>
      <c r="F100" s="42" t="n"/>
      <c r="G100" s="39" t="n"/>
      <c r="H100" s="29" t="n"/>
      <c r="I100" s="43">
        <f>IF($A100="","",SUMIFS(GL_Journal!$S:$S,GL_Journal!$G:$G,1501,GL_Journal!$K:$K,$A100)-SUMIFS(GL_Journal!$T:$T,GL_Journal!$G:$G,1501,GL_Journal!$K:$K,$A100))</f>
        <v/>
      </c>
      <c r="J100" s="43">
        <f>IF($A100="","",SUMIFS(GL_Journal!$S:$S,GL_Journal!$G:$G,1502,GL_Journal!$K:$K,$A100)-SUMIFS(GL_Journal!$T:$T,GL_Journal!$G:$G,1502,GL_Journal!$K:$K,$A100))</f>
        <v/>
      </c>
      <c r="K100" s="32">
        <f>IF($A100="","",IF(COUNTIF($A:$A,$A100)&gt;1,"كود مكرر",IF($B100="","الاسم ناقص","")))</f>
        <v/>
      </c>
    </row>
    <row r="101">
      <c r="A101" s="39" t="n"/>
      <c r="B101" s="29" t="n"/>
      <c r="C101" s="39" t="n"/>
      <c r="D101" s="29" t="n"/>
      <c r="E101" s="31" t="n"/>
      <c r="F101" s="42" t="n"/>
      <c r="G101" s="39" t="n"/>
      <c r="H101" s="29" t="n"/>
      <c r="I101" s="43">
        <f>IF($A101="","",SUMIFS(GL_Journal!$S:$S,GL_Journal!$G:$G,1501,GL_Journal!$K:$K,$A101)-SUMIFS(GL_Journal!$T:$T,GL_Journal!$G:$G,1501,GL_Journal!$K:$K,$A101))</f>
        <v/>
      </c>
      <c r="J101" s="43">
        <f>IF($A101="","",SUMIFS(GL_Journal!$S:$S,GL_Journal!$G:$G,1502,GL_Journal!$K:$K,$A101)-SUMIFS(GL_Journal!$T:$T,GL_Journal!$G:$G,1502,GL_Journal!$K:$K,$A101))</f>
        <v/>
      </c>
      <c r="K101" s="32">
        <f>IF($A101="","",IF(COUNTIF($A:$A,$A101)&gt;1,"كود مكرر",IF($B101="","الاسم ناقص","")))</f>
        <v/>
      </c>
    </row>
    <row r="102">
      <c r="A102" s="39" t="n"/>
      <c r="B102" s="29" t="n"/>
      <c r="C102" s="39" t="n"/>
      <c r="D102" s="29" t="n"/>
      <c r="E102" s="31" t="n"/>
      <c r="F102" s="42" t="n"/>
      <c r="G102" s="39" t="n"/>
      <c r="H102" s="29" t="n"/>
      <c r="I102" s="43">
        <f>IF($A102="","",SUMIFS(GL_Journal!$S:$S,GL_Journal!$G:$G,1501,GL_Journal!$K:$K,$A102)-SUMIFS(GL_Journal!$T:$T,GL_Journal!$G:$G,1501,GL_Journal!$K:$K,$A102))</f>
        <v/>
      </c>
      <c r="J102" s="43">
        <f>IF($A102="","",SUMIFS(GL_Journal!$S:$S,GL_Journal!$G:$G,1502,GL_Journal!$K:$K,$A102)-SUMIFS(GL_Journal!$T:$T,GL_Journal!$G:$G,1502,GL_Journal!$K:$K,$A102))</f>
        <v/>
      </c>
      <c r="K102" s="32">
        <f>IF($A102="","",IF(COUNTIF($A:$A,$A102)&gt;1,"كود مكرر",IF($B102="","الاسم ناقص","")))</f>
        <v/>
      </c>
    </row>
    <row r="103">
      <c r="A103" s="39" t="n"/>
      <c r="B103" s="29" t="n"/>
      <c r="C103" s="39" t="n"/>
      <c r="D103" s="29" t="n"/>
      <c r="E103" s="31" t="n"/>
      <c r="F103" s="42" t="n"/>
      <c r="G103" s="39" t="n"/>
      <c r="H103" s="29" t="n"/>
      <c r="I103" s="43">
        <f>IF($A103="","",SUMIFS(GL_Journal!$S:$S,GL_Journal!$G:$G,1501,GL_Journal!$K:$K,$A103)-SUMIFS(GL_Journal!$T:$T,GL_Journal!$G:$G,1501,GL_Journal!$K:$K,$A103))</f>
        <v/>
      </c>
      <c r="J103" s="43">
        <f>IF($A103="","",SUMIFS(GL_Journal!$S:$S,GL_Journal!$G:$G,1502,GL_Journal!$K:$K,$A103)-SUMIFS(GL_Journal!$T:$T,GL_Journal!$G:$G,1502,GL_Journal!$K:$K,$A103))</f>
        <v/>
      </c>
      <c r="K103" s="32">
        <f>IF($A103="","",IF(COUNTIF($A:$A,$A103)&gt;1,"كود مكرر",IF($B103="","الاسم ناقص","")))</f>
        <v/>
      </c>
    </row>
    <row r="104">
      <c r="A104" s="39" t="n"/>
      <c r="B104" s="29" t="n"/>
      <c r="C104" s="39" t="n"/>
      <c r="D104" s="29" t="n"/>
      <c r="E104" s="31" t="n"/>
      <c r="F104" s="42" t="n"/>
      <c r="G104" s="39" t="n"/>
      <c r="H104" s="29" t="n"/>
      <c r="I104" s="43">
        <f>IF($A104="","",SUMIFS(GL_Journal!$S:$S,GL_Journal!$G:$G,1501,GL_Journal!$K:$K,$A104)-SUMIFS(GL_Journal!$T:$T,GL_Journal!$G:$G,1501,GL_Journal!$K:$K,$A104))</f>
        <v/>
      </c>
      <c r="J104" s="43">
        <f>IF($A104="","",SUMIFS(GL_Journal!$S:$S,GL_Journal!$G:$G,1502,GL_Journal!$K:$K,$A104)-SUMIFS(GL_Journal!$T:$T,GL_Journal!$G:$G,1502,GL_Journal!$K:$K,$A104))</f>
        <v/>
      </c>
      <c r="K104" s="32">
        <f>IF($A104="","",IF(COUNTIF($A:$A,$A104)&gt;1,"كود مكرر",IF($B104="","الاسم ناقص","")))</f>
        <v/>
      </c>
    </row>
  </sheetData>
  <sheetProtection selectLockedCells="0" selectUnlockedCells="0" sheet="1" objects="0" insertRows="1" insertHyperlinks="1" autoFilter="0" scenarios="0" formatColumns="0" deleteColumns="1" insertColumns="1" pivotTables="1" deleteRows="1" formatCells="0" formatRows="0" sort="1"/>
  <autoFilter ref="A4:K104"/>
  <conditionalFormatting sqref="K5:K104">
    <cfRule type="expression" priority="1" dxfId="3">
      <formula>LEN(K5)&gt;0</formula>
    </cfRule>
  </conditionalFormatting>
  <dataValidations count="4">
    <dataValidation sqref="C5:C104" showDropDown="0" showInputMessage="0" showErrorMessage="1" allowBlank="1" errorTitle="قيمة غير مسموحة" error="اختر قيمة من القائمة المنسدلة." type="list">
      <formula1>=Locations!$A$5:$A$34</formula1>
    </dataValidation>
    <dataValidation sqref="E5:E104" showDropDown="0" showInputMessage="0" showErrorMessage="1" allowBlank="1" errorTitle="تاريخ غير صحيح" error="أدخل تاريخًا صحيحًا." type="date" operator="greaterThan">
      <formula1>36526</formula1>
    </dataValidation>
    <dataValidation sqref="F5:F10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G5:G104" showDropDown="0" showInputMessage="0" showErrorMessage="1" allowBlank="1" errorTitle="قيمة غير مسموحة" error="اختر قيمة من القائمة المنسدلة." type="list">
      <formula1>=Lists!$R$5:$R$6</formula1>
    </dataValidation>
  </dataValidations>
  <pageMargins left="0.75" right="0.75" top="1" bottom="1" header="0.5" footer="0.5"/>
  <pageSetup orientation="landscape" fitToHeight="0" fitToWidth="1"/>
</worksheet>
</file>

<file path=xl/worksheets/sheet15.xml><?xml version="1.0" encoding="utf-8"?>
<worksheet xmlns="http://schemas.openxmlformats.org/spreadsheetml/2006/main">
  <sheetPr>
    <tabColor rgb="002E75B6"/>
    <outlinePr summaryBelow="1" summaryRight="1"/>
    <pageSetUpPr fitToPage="1"/>
  </sheetPr>
  <dimension ref="A1:L30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16" customWidth="1" min="3" max="3"/>
    <col width="10" customWidth="1" min="4" max="4"/>
    <col width="16" customWidth="1" min="5" max="5"/>
    <col width="10" customWidth="1" min="6" max="6"/>
    <col width="10" customWidth="1" min="7" max="7"/>
    <col width="10" customWidth="1" min="8" max="8"/>
    <col width="12" customWidth="1" min="9" max="9"/>
    <col width="10" customWidth="1" min="10" max="10"/>
    <col width="7" customWidth="1" min="11" max="11"/>
    <col width="36" customWidth="1" min="12" max="12"/>
  </cols>
  <sheetData>
    <row r="1" ht="26" customHeight="1">
      <c r="A1" s="22" t="inlineStr">
        <is>
          <t>بطاقات الأصناف (Item Master)</t>
        </is>
      </c>
      <c r="B1" s="1" t="n"/>
      <c r="C1" s="1" t="n"/>
      <c r="D1" s="1" t="n"/>
      <c r="E1" s="1" t="n"/>
      <c r="F1" s="1" t="n"/>
      <c r="G1" s="1" t="n"/>
      <c r="H1" s="1" t="n"/>
      <c r="I1" s="1" t="n"/>
      <c r="J1" s="1" t="n"/>
      <c r="K1" s="1" t="n"/>
      <c r="L1" s="1" t="n"/>
    </row>
    <row r="2">
      <c r="A2" s="35" t="inlineStr">
        <is>
          <t>لكل صنف وحدة أساسية واحدة لا تتغير. الأرصدة تُحسب من حركات المخزون (المرحلة 2) وليس من هنا.</t>
        </is>
      </c>
    </row>
    <row r="3">
      <c r="A3" s="36" t="inlineStr">
        <is>
          <t>خلايا الإدخال</t>
        </is>
      </c>
      <c r="B3" s="37" t="inlineStr">
        <is>
          <t>معادلات (لا تعدّل)</t>
        </is>
      </c>
    </row>
    <row r="4" ht="34" customHeight="1">
      <c r="A4" s="24" t="inlineStr">
        <is>
          <t>كود الصنف</t>
        </is>
      </c>
      <c r="B4" s="24" t="inlineStr">
        <is>
          <t>اسم الصنف</t>
        </is>
      </c>
      <c r="C4" s="24" t="inlineStr">
        <is>
          <t>التصنيف</t>
        </is>
      </c>
      <c r="D4" s="24" t="inlineStr">
        <is>
          <t>الوحدة الأساسية</t>
        </is>
      </c>
      <c r="E4" s="24" t="inlineStr">
        <is>
          <t>النوع</t>
        </is>
      </c>
      <c r="F4" s="24" t="inlineStr">
        <is>
          <t>حد إعادة الطلب</t>
        </is>
      </c>
      <c r="G4" s="24" t="inlineStr">
        <is>
          <t>مدة الصلاحية (يوم)</t>
        </is>
      </c>
      <c r="H4" s="24" t="inlineStr">
        <is>
          <t>المورد الافتراضي</t>
        </is>
      </c>
      <c r="I4" s="24" t="inlineStr">
        <is>
          <t>تكلفة قياسية (اختياري)</t>
        </is>
      </c>
      <c r="J4" s="24" t="inlineStr">
        <is>
          <t>حساب المخزون</t>
        </is>
      </c>
      <c r="K4" s="24" t="inlineStr">
        <is>
          <t>نشط</t>
        </is>
      </c>
      <c r="L4" s="38" t="inlineStr">
        <is>
          <t>فحص</t>
        </is>
      </c>
    </row>
    <row r="5">
      <c r="A5" s="39" t="n"/>
      <c r="B5" s="29" t="n"/>
      <c r="C5" s="29" t="n"/>
      <c r="D5" s="39" t="n"/>
      <c r="E5" s="29" t="n"/>
      <c r="F5" s="29" t="n"/>
      <c r="G5" s="29" t="n"/>
      <c r="H5" s="39" t="n"/>
      <c r="I5" s="42" t="n"/>
      <c r="J5" s="39" t="n"/>
      <c r="K5" s="39" t="n"/>
      <c r="L5" s="32">
        <f>IF($A5="","",IF(COUNTIF($A:$A,$A5)&gt;1,"كود صنف مكرر",IF($D5="","الوحدة الأساسية ناقصة",IF(COUNTIF(Units!$A:$A,$D5)=0,"وحدة غير معرفة",""))))</f>
        <v/>
      </c>
    </row>
    <row r="6">
      <c r="A6" s="39" t="n"/>
      <c r="B6" s="29" t="n"/>
      <c r="C6" s="29" t="n"/>
      <c r="D6" s="39" t="n"/>
      <c r="E6" s="29" t="n"/>
      <c r="F6" s="29" t="n"/>
      <c r="G6" s="29" t="n"/>
      <c r="H6" s="39" t="n"/>
      <c r="I6" s="42" t="n"/>
      <c r="J6" s="39" t="n"/>
      <c r="K6" s="39" t="n"/>
      <c r="L6" s="32">
        <f>IF($A6="","",IF(COUNTIF($A:$A,$A6)&gt;1,"كود صنف مكرر",IF($D6="","الوحدة الأساسية ناقصة",IF(COUNTIF(Units!$A:$A,$D6)=0,"وحدة غير معرفة",""))))</f>
        <v/>
      </c>
    </row>
    <row r="7">
      <c r="A7" s="39" t="n"/>
      <c r="B7" s="29" t="n"/>
      <c r="C7" s="29" t="n"/>
      <c r="D7" s="39" t="n"/>
      <c r="E7" s="29" t="n"/>
      <c r="F7" s="29" t="n"/>
      <c r="G7" s="29" t="n"/>
      <c r="H7" s="39" t="n"/>
      <c r="I7" s="42" t="n"/>
      <c r="J7" s="39" t="n"/>
      <c r="K7" s="39" t="n"/>
      <c r="L7" s="32">
        <f>IF($A7="","",IF(COUNTIF($A:$A,$A7)&gt;1,"كود صنف مكرر",IF($D7="","الوحدة الأساسية ناقصة",IF(COUNTIF(Units!$A:$A,$D7)=0,"وحدة غير معرفة",""))))</f>
        <v/>
      </c>
    </row>
    <row r="8">
      <c r="A8" s="39" t="n"/>
      <c r="B8" s="29" t="n"/>
      <c r="C8" s="29" t="n"/>
      <c r="D8" s="39" t="n"/>
      <c r="E8" s="29" t="n"/>
      <c r="F8" s="29" t="n"/>
      <c r="G8" s="29" t="n"/>
      <c r="H8" s="39" t="n"/>
      <c r="I8" s="42" t="n"/>
      <c r="J8" s="39" t="n"/>
      <c r="K8" s="39" t="n"/>
      <c r="L8" s="32">
        <f>IF($A8="","",IF(COUNTIF($A:$A,$A8)&gt;1,"كود صنف مكرر",IF($D8="","الوحدة الأساسية ناقصة",IF(COUNTIF(Units!$A:$A,$D8)=0,"وحدة غير معرفة",""))))</f>
        <v/>
      </c>
    </row>
    <row r="9">
      <c r="A9" s="39" t="n"/>
      <c r="B9" s="29" t="n"/>
      <c r="C9" s="29" t="n"/>
      <c r="D9" s="39" t="n"/>
      <c r="E9" s="29" t="n"/>
      <c r="F9" s="29" t="n"/>
      <c r="G9" s="29" t="n"/>
      <c r="H9" s="39" t="n"/>
      <c r="I9" s="42" t="n"/>
      <c r="J9" s="39" t="n"/>
      <c r="K9" s="39" t="n"/>
      <c r="L9" s="32">
        <f>IF($A9="","",IF(COUNTIF($A:$A,$A9)&gt;1,"كود صنف مكرر",IF($D9="","الوحدة الأساسية ناقصة",IF(COUNTIF(Units!$A:$A,$D9)=0,"وحدة غير معرفة",""))))</f>
        <v/>
      </c>
    </row>
    <row r="10">
      <c r="A10" s="39" t="n"/>
      <c r="B10" s="29" t="n"/>
      <c r="C10" s="29" t="n"/>
      <c r="D10" s="39" t="n"/>
      <c r="E10" s="29" t="n"/>
      <c r="F10" s="29" t="n"/>
      <c r="G10" s="29" t="n"/>
      <c r="H10" s="39" t="n"/>
      <c r="I10" s="42" t="n"/>
      <c r="J10" s="39" t="n"/>
      <c r="K10" s="39" t="n"/>
      <c r="L10" s="32">
        <f>IF($A10="","",IF(COUNTIF($A:$A,$A10)&gt;1,"كود صنف مكرر",IF($D10="","الوحدة الأساسية ناقصة",IF(COUNTIF(Units!$A:$A,$D10)=0,"وحدة غير معرفة",""))))</f>
        <v/>
      </c>
    </row>
    <row r="11">
      <c r="A11" s="39" t="n"/>
      <c r="B11" s="29" t="n"/>
      <c r="C11" s="29" t="n"/>
      <c r="D11" s="39" t="n"/>
      <c r="E11" s="29" t="n"/>
      <c r="F11" s="29" t="n"/>
      <c r="G11" s="29" t="n"/>
      <c r="H11" s="39" t="n"/>
      <c r="I11" s="42" t="n"/>
      <c r="J11" s="39" t="n"/>
      <c r="K11" s="39" t="n"/>
      <c r="L11" s="32">
        <f>IF($A11="","",IF(COUNTIF($A:$A,$A11)&gt;1,"كود صنف مكرر",IF($D11="","الوحدة الأساسية ناقصة",IF(COUNTIF(Units!$A:$A,$D11)=0,"وحدة غير معرفة",""))))</f>
        <v/>
      </c>
    </row>
    <row r="12">
      <c r="A12" s="39" t="n"/>
      <c r="B12" s="29" t="n"/>
      <c r="C12" s="29" t="n"/>
      <c r="D12" s="39" t="n"/>
      <c r="E12" s="29" t="n"/>
      <c r="F12" s="29" t="n"/>
      <c r="G12" s="29" t="n"/>
      <c r="H12" s="39" t="n"/>
      <c r="I12" s="42" t="n"/>
      <c r="J12" s="39" t="n"/>
      <c r="K12" s="39" t="n"/>
      <c r="L12" s="32">
        <f>IF($A12="","",IF(COUNTIF($A:$A,$A12)&gt;1,"كود صنف مكرر",IF($D12="","الوحدة الأساسية ناقصة",IF(COUNTIF(Units!$A:$A,$D12)=0,"وحدة غير معرفة",""))))</f>
        <v/>
      </c>
    </row>
    <row r="13">
      <c r="A13" s="39" t="n"/>
      <c r="B13" s="29" t="n"/>
      <c r="C13" s="29" t="n"/>
      <c r="D13" s="39" t="n"/>
      <c r="E13" s="29" t="n"/>
      <c r="F13" s="29" t="n"/>
      <c r="G13" s="29" t="n"/>
      <c r="H13" s="39" t="n"/>
      <c r="I13" s="42" t="n"/>
      <c r="J13" s="39" t="n"/>
      <c r="K13" s="39" t="n"/>
      <c r="L13" s="32">
        <f>IF($A13="","",IF(COUNTIF($A:$A,$A13)&gt;1,"كود صنف مكرر",IF($D13="","الوحدة الأساسية ناقصة",IF(COUNTIF(Units!$A:$A,$D13)=0,"وحدة غير معرفة",""))))</f>
        <v/>
      </c>
    </row>
    <row r="14">
      <c r="A14" s="39" t="n"/>
      <c r="B14" s="29" t="n"/>
      <c r="C14" s="29" t="n"/>
      <c r="D14" s="39" t="n"/>
      <c r="E14" s="29" t="n"/>
      <c r="F14" s="29" t="n"/>
      <c r="G14" s="29" t="n"/>
      <c r="H14" s="39" t="n"/>
      <c r="I14" s="42" t="n"/>
      <c r="J14" s="39" t="n"/>
      <c r="K14" s="39" t="n"/>
      <c r="L14" s="32">
        <f>IF($A14="","",IF(COUNTIF($A:$A,$A14)&gt;1,"كود صنف مكرر",IF($D14="","الوحدة الأساسية ناقصة",IF(COUNTIF(Units!$A:$A,$D14)=0,"وحدة غير معرفة",""))))</f>
        <v/>
      </c>
    </row>
    <row r="15">
      <c r="A15" s="39" t="n"/>
      <c r="B15" s="29" t="n"/>
      <c r="C15" s="29" t="n"/>
      <c r="D15" s="39" t="n"/>
      <c r="E15" s="29" t="n"/>
      <c r="F15" s="29" t="n"/>
      <c r="G15" s="29" t="n"/>
      <c r="H15" s="39" t="n"/>
      <c r="I15" s="42" t="n"/>
      <c r="J15" s="39" t="n"/>
      <c r="K15" s="39" t="n"/>
      <c r="L15" s="32">
        <f>IF($A15="","",IF(COUNTIF($A:$A,$A15)&gt;1,"كود صنف مكرر",IF($D15="","الوحدة الأساسية ناقصة",IF(COUNTIF(Units!$A:$A,$D15)=0,"وحدة غير معرفة",""))))</f>
        <v/>
      </c>
    </row>
    <row r="16">
      <c r="A16" s="39" t="n"/>
      <c r="B16" s="29" t="n"/>
      <c r="C16" s="29" t="n"/>
      <c r="D16" s="39" t="n"/>
      <c r="E16" s="29" t="n"/>
      <c r="F16" s="29" t="n"/>
      <c r="G16" s="29" t="n"/>
      <c r="H16" s="39" t="n"/>
      <c r="I16" s="42" t="n"/>
      <c r="J16" s="39" t="n"/>
      <c r="K16" s="39" t="n"/>
      <c r="L16" s="32">
        <f>IF($A16="","",IF(COUNTIF($A:$A,$A16)&gt;1,"كود صنف مكرر",IF($D16="","الوحدة الأساسية ناقصة",IF(COUNTIF(Units!$A:$A,$D16)=0,"وحدة غير معرفة",""))))</f>
        <v/>
      </c>
    </row>
    <row r="17">
      <c r="A17" s="39" t="n"/>
      <c r="B17" s="29" t="n"/>
      <c r="C17" s="29" t="n"/>
      <c r="D17" s="39" t="n"/>
      <c r="E17" s="29" t="n"/>
      <c r="F17" s="29" t="n"/>
      <c r="G17" s="29" t="n"/>
      <c r="H17" s="39" t="n"/>
      <c r="I17" s="42" t="n"/>
      <c r="J17" s="39" t="n"/>
      <c r="K17" s="39" t="n"/>
      <c r="L17" s="32">
        <f>IF($A17="","",IF(COUNTIF($A:$A,$A17)&gt;1,"كود صنف مكرر",IF($D17="","الوحدة الأساسية ناقصة",IF(COUNTIF(Units!$A:$A,$D17)=0,"وحدة غير معرفة",""))))</f>
        <v/>
      </c>
    </row>
    <row r="18">
      <c r="A18" s="39" t="n"/>
      <c r="B18" s="29" t="n"/>
      <c r="C18" s="29" t="n"/>
      <c r="D18" s="39" t="n"/>
      <c r="E18" s="29" t="n"/>
      <c r="F18" s="29" t="n"/>
      <c r="G18" s="29" t="n"/>
      <c r="H18" s="39" t="n"/>
      <c r="I18" s="42" t="n"/>
      <c r="J18" s="39" t="n"/>
      <c r="K18" s="39" t="n"/>
      <c r="L18" s="32">
        <f>IF($A18="","",IF(COUNTIF($A:$A,$A18)&gt;1,"كود صنف مكرر",IF($D18="","الوحدة الأساسية ناقصة",IF(COUNTIF(Units!$A:$A,$D18)=0,"وحدة غير معرفة",""))))</f>
        <v/>
      </c>
    </row>
    <row r="19">
      <c r="A19" s="39" t="n"/>
      <c r="B19" s="29" t="n"/>
      <c r="C19" s="29" t="n"/>
      <c r="D19" s="39" t="n"/>
      <c r="E19" s="29" t="n"/>
      <c r="F19" s="29" t="n"/>
      <c r="G19" s="29" t="n"/>
      <c r="H19" s="39" t="n"/>
      <c r="I19" s="42" t="n"/>
      <c r="J19" s="39" t="n"/>
      <c r="K19" s="39" t="n"/>
      <c r="L19" s="32">
        <f>IF($A19="","",IF(COUNTIF($A:$A,$A19)&gt;1,"كود صنف مكرر",IF($D19="","الوحدة الأساسية ناقصة",IF(COUNTIF(Units!$A:$A,$D19)=0,"وحدة غير معرفة",""))))</f>
        <v/>
      </c>
    </row>
    <row r="20">
      <c r="A20" s="39" t="n"/>
      <c r="B20" s="29" t="n"/>
      <c r="C20" s="29" t="n"/>
      <c r="D20" s="39" t="n"/>
      <c r="E20" s="29" t="n"/>
      <c r="F20" s="29" t="n"/>
      <c r="G20" s="29" t="n"/>
      <c r="H20" s="39" t="n"/>
      <c r="I20" s="42" t="n"/>
      <c r="J20" s="39" t="n"/>
      <c r="K20" s="39" t="n"/>
      <c r="L20" s="32">
        <f>IF($A20="","",IF(COUNTIF($A:$A,$A20)&gt;1,"كود صنف مكرر",IF($D20="","الوحدة الأساسية ناقصة",IF(COUNTIF(Units!$A:$A,$D20)=0,"وحدة غير معرفة",""))))</f>
        <v/>
      </c>
    </row>
    <row r="21">
      <c r="A21" s="39" t="n"/>
      <c r="B21" s="29" t="n"/>
      <c r="C21" s="29" t="n"/>
      <c r="D21" s="39" t="n"/>
      <c r="E21" s="29" t="n"/>
      <c r="F21" s="29" t="n"/>
      <c r="G21" s="29" t="n"/>
      <c r="H21" s="39" t="n"/>
      <c r="I21" s="42" t="n"/>
      <c r="J21" s="39" t="n"/>
      <c r="K21" s="39" t="n"/>
      <c r="L21" s="32">
        <f>IF($A21="","",IF(COUNTIF($A:$A,$A21)&gt;1,"كود صنف مكرر",IF($D21="","الوحدة الأساسية ناقصة",IF(COUNTIF(Units!$A:$A,$D21)=0,"وحدة غير معرفة",""))))</f>
        <v/>
      </c>
    </row>
    <row r="22">
      <c r="A22" s="39" t="n"/>
      <c r="B22" s="29" t="n"/>
      <c r="C22" s="29" t="n"/>
      <c r="D22" s="39" t="n"/>
      <c r="E22" s="29" t="n"/>
      <c r="F22" s="29" t="n"/>
      <c r="G22" s="29" t="n"/>
      <c r="H22" s="39" t="n"/>
      <c r="I22" s="42" t="n"/>
      <c r="J22" s="39" t="n"/>
      <c r="K22" s="39" t="n"/>
      <c r="L22" s="32">
        <f>IF($A22="","",IF(COUNTIF($A:$A,$A22)&gt;1,"كود صنف مكرر",IF($D22="","الوحدة الأساسية ناقصة",IF(COUNTIF(Units!$A:$A,$D22)=0,"وحدة غير معرفة",""))))</f>
        <v/>
      </c>
    </row>
    <row r="23">
      <c r="A23" s="39" t="n"/>
      <c r="B23" s="29" t="n"/>
      <c r="C23" s="29" t="n"/>
      <c r="D23" s="39" t="n"/>
      <c r="E23" s="29" t="n"/>
      <c r="F23" s="29" t="n"/>
      <c r="G23" s="29" t="n"/>
      <c r="H23" s="39" t="n"/>
      <c r="I23" s="42" t="n"/>
      <c r="J23" s="39" t="n"/>
      <c r="K23" s="39" t="n"/>
      <c r="L23" s="32">
        <f>IF($A23="","",IF(COUNTIF($A:$A,$A23)&gt;1,"كود صنف مكرر",IF($D23="","الوحدة الأساسية ناقصة",IF(COUNTIF(Units!$A:$A,$D23)=0,"وحدة غير معرفة",""))))</f>
        <v/>
      </c>
    </row>
    <row r="24">
      <c r="A24" s="39" t="n"/>
      <c r="B24" s="29" t="n"/>
      <c r="C24" s="29" t="n"/>
      <c r="D24" s="39" t="n"/>
      <c r="E24" s="29" t="n"/>
      <c r="F24" s="29" t="n"/>
      <c r="G24" s="29" t="n"/>
      <c r="H24" s="39" t="n"/>
      <c r="I24" s="42" t="n"/>
      <c r="J24" s="39" t="n"/>
      <c r="K24" s="39" t="n"/>
      <c r="L24" s="32">
        <f>IF($A24="","",IF(COUNTIF($A:$A,$A24)&gt;1,"كود صنف مكرر",IF($D24="","الوحدة الأساسية ناقصة",IF(COUNTIF(Units!$A:$A,$D24)=0,"وحدة غير معرفة",""))))</f>
        <v/>
      </c>
    </row>
    <row r="25">
      <c r="A25" s="39" t="n"/>
      <c r="B25" s="29" t="n"/>
      <c r="C25" s="29" t="n"/>
      <c r="D25" s="39" t="n"/>
      <c r="E25" s="29" t="n"/>
      <c r="F25" s="29" t="n"/>
      <c r="G25" s="29" t="n"/>
      <c r="H25" s="39" t="n"/>
      <c r="I25" s="42" t="n"/>
      <c r="J25" s="39" t="n"/>
      <c r="K25" s="39" t="n"/>
      <c r="L25" s="32">
        <f>IF($A25="","",IF(COUNTIF($A:$A,$A25)&gt;1,"كود صنف مكرر",IF($D25="","الوحدة الأساسية ناقصة",IF(COUNTIF(Units!$A:$A,$D25)=0,"وحدة غير معرفة",""))))</f>
        <v/>
      </c>
    </row>
    <row r="26">
      <c r="A26" s="39" t="n"/>
      <c r="B26" s="29" t="n"/>
      <c r="C26" s="29" t="n"/>
      <c r="D26" s="39" t="n"/>
      <c r="E26" s="29" t="n"/>
      <c r="F26" s="29" t="n"/>
      <c r="G26" s="29" t="n"/>
      <c r="H26" s="39" t="n"/>
      <c r="I26" s="42" t="n"/>
      <c r="J26" s="39" t="n"/>
      <c r="K26" s="39" t="n"/>
      <c r="L26" s="32">
        <f>IF($A26="","",IF(COUNTIF($A:$A,$A26)&gt;1,"كود صنف مكرر",IF($D26="","الوحدة الأساسية ناقصة",IF(COUNTIF(Units!$A:$A,$D26)=0,"وحدة غير معرفة",""))))</f>
        <v/>
      </c>
    </row>
    <row r="27">
      <c r="A27" s="39" t="n"/>
      <c r="B27" s="29" t="n"/>
      <c r="C27" s="29" t="n"/>
      <c r="D27" s="39" t="n"/>
      <c r="E27" s="29" t="n"/>
      <c r="F27" s="29" t="n"/>
      <c r="G27" s="29" t="n"/>
      <c r="H27" s="39" t="n"/>
      <c r="I27" s="42" t="n"/>
      <c r="J27" s="39" t="n"/>
      <c r="K27" s="39" t="n"/>
      <c r="L27" s="32">
        <f>IF($A27="","",IF(COUNTIF($A:$A,$A27)&gt;1,"كود صنف مكرر",IF($D27="","الوحدة الأساسية ناقصة",IF(COUNTIF(Units!$A:$A,$D27)=0,"وحدة غير معرفة",""))))</f>
        <v/>
      </c>
    </row>
    <row r="28">
      <c r="A28" s="39" t="n"/>
      <c r="B28" s="29" t="n"/>
      <c r="C28" s="29" t="n"/>
      <c r="D28" s="39" t="n"/>
      <c r="E28" s="29" t="n"/>
      <c r="F28" s="29" t="n"/>
      <c r="G28" s="29" t="n"/>
      <c r="H28" s="39" t="n"/>
      <c r="I28" s="42" t="n"/>
      <c r="J28" s="39" t="n"/>
      <c r="K28" s="39" t="n"/>
      <c r="L28" s="32">
        <f>IF($A28="","",IF(COUNTIF($A:$A,$A28)&gt;1,"كود صنف مكرر",IF($D28="","الوحدة الأساسية ناقصة",IF(COUNTIF(Units!$A:$A,$D28)=0,"وحدة غير معرفة",""))))</f>
        <v/>
      </c>
    </row>
    <row r="29">
      <c r="A29" s="39" t="n"/>
      <c r="B29" s="29" t="n"/>
      <c r="C29" s="29" t="n"/>
      <c r="D29" s="39" t="n"/>
      <c r="E29" s="29" t="n"/>
      <c r="F29" s="29" t="n"/>
      <c r="G29" s="29" t="n"/>
      <c r="H29" s="39" t="n"/>
      <c r="I29" s="42" t="n"/>
      <c r="J29" s="39" t="n"/>
      <c r="K29" s="39" t="n"/>
      <c r="L29" s="32">
        <f>IF($A29="","",IF(COUNTIF($A:$A,$A29)&gt;1,"كود صنف مكرر",IF($D29="","الوحدة الأساسية ناقصة",IF(COUNTIF(Units!$A:$A,$D29)=0,"وحدة غير معرفة",""))))</f>
        <v/>
      </c>
    </row>
    <row r="30">
      <c r="A30" s="39" t="n"/>
      <c r="B30" s="29" t="n"/>
      <c r="C30" s="29" t="n"/>
      <c r="D30" s="39" t="n"/>
      <c r="E30" s="29" t="n"/>
      <c r="F30" s="29" t="n"/>
      <c r="G30" s="29" t="n"/>
      <c r="H30" s="39" t="n"/>
      <c r="I30" s="42" t="n"/>
      <c r="J30" s="39" t="n"/>
      <c r="K30" s="39" t="n"/>
      <c r="L30" s="32">
        <f>IF($A30="","",IF(COUNTIF($A:$A,$A30)&gt;1,"كود صنف مكرر",IF($D30="","الوحدة الأساسية ناقصة",IF(COUNTIF(Units!$A:$A,$D30)=0,"وحدة غير معرفة",""))))</f>
        <v/>
      </c>
    </row>
    <row r="31">
      <c r="A31" s="39" t="n"/>
      <c r="B31" s="29" t="n"/>
      <c r="C31" s="29" t="n"/>
      <c r="D31" s="39" t="n"/>
      <c r="E31" s="29" t="n"/>
      <c r="F31" s="29" t="n"/>
      <c r="G31" s="29" t="n"/>
      <c r="H31" s="39" t="n"/>
      <c r="I31" s="42" t="n"/>
      <c r="J31" s="39" t="n"/>
      <c r="K31" s="39" t="n"/>
      <c r="L31" s="32">
        <f>IF($A31="","",IF(COUNTIF($A:$A,$A31)&gt;1,"كود صنف مكرر",IF($D31="","الوحدة الأساسية ناقصة",IF(COUNTIF(Units!$A:$A,$D31)=0,"وحدة غير معرفة",""))))</f>
        <v/>
      </c>
    </row>
    <row r="32">
      <c r="A32" s="39" t="n"/>
      <c r="B32" s="29" t="n"/>
      <c r="C32" s="29" t="n"/>
      <c r="D32" s="39" t="n"/>
      <c r="E32" s="29" t="n"/>
      <c r="F32" s="29" t="n"/>
      <c r="G32" s="29" t="n"/>
      <c r="H32" s="39" t="n"/>
      <c r="I32" s="42" t="n"/>
      <c r="J32" s="39" t="n"/>
      <c r="K32" s="39" t="n"/>
      <c r="L32" s="32">
        <f>IF($A32="","",IF(COUNTIF($A:$A,$A32)&gt;1,"كود صنف مكرر",IF($D32="","الوحدة الأساسية ناقصة",IF(COUNTIF(Units!$A:$A,$D32)=0,"وحدة غير معرفة",""))))</f>
        <v/>
      </c>
    </row>
    <row r="33">
      <c r="A33" s="39" t="n"/>
      <c r="B33" s="29" t="n"/>
      <c r="C33" s="29" t="n"/>
      <c r="D33" s="39" t="n"/>
      <c r="E33" s="29" t="n"/>
      <c r="F33" s="29" t="n"/>
      <c r="G33" s="29" t="n"/>
      <c r="H33" s="39" t="n"/>
      <c r="I33" s="42" t="n"/>
      <c r="J33" s="39" t="n"/>
      <c r="K33" s="39" t="n"/>
      <c r="L33" s="32">
        <f>IF($A33="","",IF(COUNTIF($A:$A,$A33)&gt;1,"كود صنف مكرر",IF($D33="","الوحدة الأساسية ناقصة",IF(COUNTIF(Units!$A:$A,$D33)=0,"وحدة غير معرفة",""))))</f>
        <v/>
      </c>
    </row>
    <row r="34">
      <c r="A34" s="39" t="n"/>
      <c r="B34" s="29" t="n"/>
      <c r="C34" s="29" t="n"/>
      <c r="D34" s="39" t="n"/>
      <c r="E34" s="29" t="n"/>
      <c r="F34" s="29" t="n"/>
      <c r="G34" s="29" t="n"/>
      <c r="H34" s="39" t="n"/>
      <c r="I34" s="42" t="n"/>
      <c r="J34" s="39" t="n"/>
      <c r="K34" s="39" t="n"/>
      <c r="L34" s="32">
        <f>IF($A34="","",IF(COUNTIF($A:$A,$A34)&gt;1,"كود صنف مكرر",IF($D34="","الوحدة الأساسية ناقصة",IF(COUNTIF(Units!$A:$A,$D34)=0,"وحدة غير معرفة",""))))</f>
        <v/>
      </c>
    </row>
    <row r="35">
      <c r="A35" s="39" t="n"/>
      <c r="B35" s="29" t="n"/>
      <c r="C35" s="29" t="n"/>
      <c r="D35" s="39" t="n"/>
      <c r="E35" s="29" t="n"/>
      <c r="F35" s="29" t="n"/>
      <c r="G35" s="29" t="n"/>
      <c r="H35" s="39" t="n"/>
      <c r="I35" s="42" t="n"/>
      <c r="J35" s="39" t="n"/>
      <c r="K35" s="39" t="n"/>
      <c r="L35" s="32">
        <f>IF($A35="","",IF(COUNTIF($A:$A,$A35)&gt;1,"كود صنف مكرر",IF($D35="","الوحدة الأساسية ناقصة",IF(COUNTIF(Units!$A:$A,$D35)=0,"وحدة غير معرفة",""))))</f>
        <v/>
      </c>
    </row>
    <row r="36">
      <c r="A36" s="39" t="n"/>
      <c r="B36" s="29" t="n"/>
      <c r="C36" s="29" t="n"/>
      <c r="D36" s="39" t="n"/>
      <c r="E36" s="29" t="n"/>
      <c r="F36" s="29" t="n"/>
      <c r="G36" s="29" t="n"/>
      <c r="H36" s="39" t="n"/>
      <c r="I36" s="42" t="n"/>
      <c r="J36" s="39" t="n"/>
      <c r="K36" s="39" t="n"/>
      <c r="L36" s="32">
        <f>IF($A36="","",IF(COUNTIF($A:$A,$A36)&gt;1,"كود صنف مكرر",IF($D36="","الوحدة الأساسية ناقصة",IF(COUNTIF(Units!$A:$A,$D36)=0,"وحدة غير معرفة",""))))</f>
        <v/>
      </c>
    </row>
    <row r="37">
      <c r="A37" s="39" t="n"/>
      <c r="B37" s="29" t="n"/>
      <c r="C37" s="29" t="n"/>
      <c r="D37" s="39" t="n"/>
      <c r="E37" s="29" t="n"/>
      <c r="F37" s="29" t="n"/>
      <c r="G37" s="29" t="n"/>
      <c r="H37" s="39" t="n"/>
      <c r="I37" s="42" t="n"/>
      <c r="J37" s="39" t="n"/>
      <c r="K37" s="39" t="n"/>
      <c r="L37" s="32">
        <f>IF($A37="","",IF(COUNTIF($A:$A,$A37)&gt;1,"كود صنف مكرر",IF($D37="","الوحدة الأساسية ناقصة",IF(COUNTIF(Units!$A:$A,$D37)=0,"وحدة غير معرفة",""))))</f>
        <v/>
      </c>
    </row>
    <row r="38">
      <c r="A38" s="39" t="n"/>
      <c r="B38" s="29" t="n"/>
      <c r="C38" s="29" t="n"/>
      <c r="D38" s="39" t="n"/>
      <c r="E38" s="29" t="n"/>
      <c r="F38" s="29" t="n"/>
      <c r="G38" s="29" t="n"/>
      <c r="H38" s="39" t="n"/>
      <c r="I38" s="42" t="n"/>
      <c r="J38" s="39" t="n"/>
      <c r="K38" s="39" t="n"/>
      <c r="L38" s="32">
        <f>IF($A38="","",IF(COUNTIF($A:$A,$A38)&gt;1,"كود صنف مكرر",IF($D38="","الوحدة الأساسية ناقصة",IF(COUNTIF(Units!$A:$A,$D38)=0,"وحدة غير معرفة",""))))</f>
        <v/>
      </c>
    </row>
    <row r="39">
      <c r="A39" s="39" t="n"/>
      <c r="B39" s="29" t="n"/>
      <c r="C39" s="29" t="n"/>
      <c r="D39" s="39" t="n"/>
      <c r="E39" s="29" t="n"/>
      <c r="F39" s="29" t="n"/>
      <c r="G39" s="29" t="n"/>
      <c r="H39" s="39" t="n"/>
      <c r="I39" s="42" t="n"/>
      <c r="J39" s="39" t="n"/>
      <c r="K39" s="39" t="n"/>
      <c r="L39" s="32">
        <f>IF($A39="","",IF(COUNTIF($A:$A,$A39)&gt;1,"كود صنف مكرر",IF($D39="","الوحدة الأساسية ناقصة",IF(COUNTIF(Units!$A:$A,$D39)=0,"وحدة غير معرفة",""))))</f>
        <v/>
      </c>
    </row>
    <row r="40">
      <c r="A40" s="39" t="n"/>
      <c r="B40" s="29" t="n"/>
      <c r="C40" s="29" t="n"/>
      <c r="D40" s="39" t="n"/>
      <c r="E40" s="29" t="n"/>
      <c r="F40" s="29" t="n"/>
      <c r="G40" s="29" t="n"/>
      <c r="H40" s="39" t="n"/>
      <c r="I40" s="42" t="n"/>
      <c r="J40" s="39" t="n"/>
      <c r="K40" s="39" t="n"/>
      <c r="L40" s="32">
        <f>IF($A40="","",IF(COUNTIF($A:$A,$A40)&gt;1,"كود صنف مكرر",IF($D40="","الوحدة الأساسية ناقصة",IF(COUNTIF(Units!$A:$A,$D40)=0,"وحدة غير معرفة",""))))</f>
        <v/>
      </c>
    </row>
    <row r="41">
      <c r="A41" s="39" t="n"/>
      <c r="B41" s="29" t="n"/>
      <c r="C41" s="29" t="n"/>
      <c r="D41" s="39" t="n"/>
      <c r="E41" s="29" t="n"/>
      <c r="F41" s="29" t="n"/>
      <c r="G41" s="29" t="n"/>
      <c r="H41" s="39" t="n"/>
      <c r="I41" s="42" t="n"/>
      <c r="J41" s="39" t="n"/>
      <c r="K41" s="39" t="n"/>
      <c r="L41" s="32">
        <f>IF($A41="","",IF(COUNTIF($A:$A,$A41)&gt;1,"كود صنف مكرر",IF($D41="","الوحدة الأساسية ناقصة",IF(COUNTIF(Units!$A:$A,$D41)=0,"وحدة غير معرفة",""))))</f>
        <v/>
      </c>
    </row>
    <row r="42">
      <c r="A42" s="39" t="n"/>
      <c r="B42" s="29" t="n"/>
      <c r="C42" s="29" t="n"/>
      <c r="D42" s="39" t="n"/>
      <c r="E42" s="29" t="n"/>
      <c r="F42" s="29" t="n"/>
      <c r="G42" s="29" t="n"/>
      <c r="H42" s="39" t="n"/>
      <c r="I42" s="42" t="n"/>
      <c r="J42" s="39" t="n"/>
      <c r="K42" s="39" t="n"/>
      <c r="L42" s="32">
        <f>IF($A42="","",IF(COUNTIF($A:$A,$A42)&gt;1,"كود صنف مكرر",IF($D42="","الوحدة الأساسية ناقصة",IF(COUNTIF(Units!$A:$A,$D42)=0,"وحدة غير معرفة",""))))</f>
        <v/>
      </c>
    </row>
    <row r="43">
      <c r="A43" s="39" t="n"/>
      <c r="B43" s="29" t="n"/>
      <c r="C43" s="29" t="n"/>
      <c r="D43" s="39" t="n"/>
      <c r="E43" s="29" t="n"/>
      <c r="F43" s="29" t="n"/>
      <c r="G43" s="29" t="n"/>
      <c r="H43" s="39" t="n"/>
      <c r="I43" s="42" t="n"/>
      <c r="J43" s="39" t="n"/>
      <c r="K43" s="39" t="n"/>
      <c r="L43" s="32">
        <f>IF($A43="","",IF(COUNTIF($A:$A,$A43)&gt;1,"كود صنف مكرر",IF($D43="","الوحدة الأساسية ناقصة",IF(COUNTIF(Units!$A:$A,$D43)=0,"وحدة غير معرفة",""))))</f>
        <v/>
      </c>
    </row>
    <row r="44">
      <c r="A44" s="39" t="n"/>
      <c r="B44" s="29" t="n"/>
      <c r="C44" s="29" t="n"/>
      <c r="D44" s="39" t="n"/>
      <c r="E44" s="29" t="n"/>
      <c r="F44" s="29" t="n"/>
      <c r="G44" s="29" t="n"/>
      <c r="H44" s="39" t="n"/>
      <c r="I44" s="42" t="n"/>
      <c r="J44" s="39" t="n"/>
      <c r="K44" s="39" t="n"/>
      <c r="L44" s="32">
        <f>IF($A44="","",IF(COUNTIF($A:$A,$A44)&gt;1,"كود صنف مكرر",IF($D44="","الوحدة الأساسية ناقصة",IF(COUNTIF(Units!$A:$A,$D44)=0,"وحدة غير معرفة",""))))</f>
        <v/>
      </c>
    </row>
    <row r="45">
      <c r="A45" s="39" t="n"/>
      <c r="B45" s="29" t="n"/>
      <c r="C45" s="29" t="n"/>
      <c r="D45" s="39" t="n"/>
      <c r="E45" s="29" t="n"/>
      <c r="F45" s="29" t="n"/>
      <c r="G45" s="29" t="n"/>
      <c r="H45" s="39" t="n"/>
      <c r="I45" s="42" t="n"/>
      <c r="J45" s="39" t="n"/>
      <c r="K45" s="39" t="n"/>
      <c r="L45" s="32">
        <f>IF($A45="","",IF(COUNTIF($A:$A,$A45)&gt;1,"كود صنف مكرر",IF($D45="","الوحدة الأساسية ناقصة",IF(COUNTIF(Units!$A:$A,$D45)=0,"وحدة غير معرفة",""))))</f>
        <v/>
      </c>
    </row>
    <row r="46">
      <c r="A46" s="39" t="n"/>
      <c r="B46" s="29" t="n"/>
      <c r="C46" s="29" t="n"/>
      <c r="D46" s="39" t="n"/>
      <c r="E46" s="29" t="n"/>
      <c r="F46" s="29" t="n"/>
      <c r="G46" s="29" t="n"/>
      <c r="H46" s="39" t="n"/>
      <c r="I46" s="42" t="n"/>
      <c r="J46" s="39" t="n"/>
      <c r="K46" s="39" t="n"/>
      <c r="L46" s="32">
        <f>IF($A46="","",IF(COUNTIF($A:$A,$A46)&gt;1,"كود صنف مكرر",IF($D46="","الوحدة الأساسية ناقصة",IF(COUNTIF(Units!$A:$A,$D46)=0,"وحدة غير معرفة",""))))</f>
        <v/>
      </c>
    </row>
    <row r="47">
      <c r="A47" s="39" t="n"/>
      <c r="B47" s="29" t="n"/>
      <c r="C47" s="29" t="n"/>
      <c r="D47" s="39" t="n"/>
      <c r="E47" s="29" t="n"/>
      <c r="F47" s="29" t="n"/>
      <c r="G47" s="29" t="n"/>
      <c r="H47" s="39" t="n"/>
      <c r="I47" s="42" t="n"/>
      <c r="J47" s="39" t="n"/>
      <c r="K47" s="39" t="n"/>
      <c r="L47" s="32">
        <f>IF($A47="","",IF(COUNTIF($A:$A,$A47)&gt;1,"كود صنف مكرر",IF($D47="","الوحدة الأساسية ناقصة",IF(COUNTIF(Units!$A:$A,$D47)=0,"وحدة غير معرفة",""))))</f>
        <v/>
      </c>
    </row>
    <row r="48">
      <c r="A48" s="39" t="n"/>
      <c r="B48" s="29" t="n"/>
      <c r="C48" s="29" t="n"/>
      <c r="D48" s="39" t="n"/>
      <c r="E48" s="29" t="n"/>
      <c r="F48" s="29" t="n"/>
      <c r="G48" s="29" t="n"/>
      <c r="H48" s="39" t="n"/>
      <c r="I48" s="42" t="n"/>
      <c r="J48" s="39" t="n"/>
      <c r="K48" s="39" t="n"/>
      <c r="L48" s="32">
        <f>IF($A48="","",IF(COUNTIF($A:$A,$A48)&gt;1,"كود صنف مكرر",IF($D48="","الوحدة الأساسية ناقصة",IF(COUNTIF(Units!$A:$A,$D48)=0,"وحدة غير معرفة",""))))</f>
        <v/>
      </c>
    </row>
    <row r="49">
      <c r="A49" s="39" t="n"/>
      <c r="B49" s="29" t="n"/>
      <c r="C49" s="29" t="n"/>
      <c r="D49" s="39" t="n"/>
      <c r="E49" s="29" t="n"/>
      <c r="F49" s="29" t="n"/>
      <c r="G49" s="29" t="n"/>
      <c r="H49" s="39" t="n"/>
      <c r="I49" s="42" t="n"/>
      <c r="J49" s="39" t="n"/>
      <c r="K49" s="39" t="n"/>
      <c r="L49" s="32">
        <f>IF($A49="","",IF(COUNTIF($A:$A,$A49)&gt;1,"كود صنف مكرر",IF($D49="","الوحدة الأساسية ناقصة",IF(COUNTIF(Units!$A:$A,$D49)=0,"وحدة غير معرفة",""))))</f>
        <v/>
      </c>
    </row>
    <row r="50">
      <c r="A50" s="39" t="n"/>
      <c r="B50" s="29" t="n"/>
      <c r="C50" s="29" t="n"/>
      <c r="D50" s="39" t="n"/>
      <c r="E50" s="29" t="n"/>
      <c r="F50" s="29" t="n"/>
      <c r="G50" s="29" t="n"/>
      <c r="H50" s="39" t="n"/>
      <c r="I50" s="42" t="n"/>
      <c r="J50" s="39" t="n"/>
      <c r="K50" s="39" t="n"/>
      <c r="L50" s="32">
        <f>IF($A50="","",IF(COUNTIF($A:$A,$A50)&gt;1,"كود صنف مكرر",IF($D50="","الوحدة الأساسية ناقصة",IF(COUNTIF(Units!$A:$A,$D50)=0,"وحدة غير معرفة",""))))</f>
        <v/>
      </c>
    </row>
    <row r="51">
      <c r="A51" s="39" t="n"/>
      <c r="B51" s="29" t="n"/>
      <c r="C51" s="29" t="n"/>
      <c r="D51" s="39" t="n"/>
      <c r="E51" s="29" t="n"/>
      <c r="F51" s="29" t="n"/>
      <c r="G51" s="29" t="n"/>
      <c r="H51" s="39" t="n"/>
      <c r="I51" s="42" t="n"/>
      <c r="J51" s="39" t="n"/>
      <c r="K51" s="39" t="n"/>
      <c r="L51" s="32">
        <f>IF($A51="","",IF(COUNTIF($A:$A,$A51)&gt;1,"كود صنف مكرر",IF($D51="","الوحدة الأساسية ناقصة",IF(COUNTIF(Units!$A:$A,$D51)=0,"وحدة غير معرفة",""))))</f>
        <v/>
      </c>
    </row>
    <row r="52">
      <c r="A52" s="39" t="n"/>
      <c r="B52" s="29" t="n"/>
      <c r="C52" s="29" t="n"/>
      <c r="D52" s="39" t="n"/>
      <c r="E52" s="29" t="n"/>
      <c r="F52" s="29" t="n"/>
      <c r="G52" s="29" t="n"/>
      <c r="H52" s="39" t="n"/>
      <c r="I52" s="42" t="n"/>
      <c r="J52" s="39" t="n"/>
      <c r="K52" s="39" t="n"/>
      <c r="L52" s="32">
        <f>IF($A52="","",IF(COUNTIF($A:$A,$A52)&gt;1,"كود صنف مكرر",IF($D52="","الوحدة الأساسية ناقصة",IF(COUNTIF(Units!$A:$A,$D52)=0,"وحدة غير معرفة",""))))</f>
        <v/>
      </c>
    </row>
    <row r="53">
      <c r="A53" s="39" t="n"/>
      <c r="B53" s="29" t="n"/>
      <c r="C53" s="29" t="n"/>
      <c r="D53" s="39" t="n"/>
      <c r="E53" s="29" t="n"/>
      <c r="F53" s="29" t="n"/>
      <c r="G53" s="29" t="n"/>
      <c r="H53" s="39" t="n"/>
      <c r="I53" s="42" t="n"/>
      <c r="J53" s="39" t="n"/>
      <c r="K53" s="39" t="n"/>
      <c r="L53" s="32">
        <f>IF($A53="","",IF(COUNTIF($A:$A,$A53)&gt;1,"كود صنف مكرر",IF($D53="","الوحدة الأساسية ناقصة",IF(COUNTIF(Units!$A:$A,$D53)=0,"وحدة غير معرفة",""))))</f>
        <v/>
      </c>
    </row>
    <row r="54">
      <c r="A54" s="39" t="n"/>
      <c r="B54" s="29" t="n"/>
      <c r="C54" s="29" t="n"/>
      <c r="D54" s="39" t="n"/>
      <c r="E54" s="29" t="n"/>
      <c r="F54" s="29" t="n"/>
      <c r="G54" s="29" t="n"/>
      <c r="H54" s="39" t="n"/>
      <c r="I54" s="42" t="n"/>
      <c r="J54" s="39" t="n"/>
      <c r="K54" s="39" t="n"/>
      <c r="L54" s="32">
        <f>IF($A54="","",IF(COUNTIF($A:$A,$A54)&gt;1,"كود صنف مكرر",IF($D54="","الوحدة الأساسية ناقصة",IF(COUNTIF(Units!$A:$A,$D54)=0,"وحدة غير معرفة",""))))</f>
        <v/>
      </c>
    </row>
    <row r="55">
      <c r="A55" s="39" t="n"/>
      <c r="B55" s="29" t="n"/>
      <c r="C55" s="29" t="n"/>
      <c r="D55" s="39" t="n"/>
      <c r="E55" s="29" t="n"/>
      <c r="F55" s="29" t="n"/>
      <c r="G55" s="29" t="n"/>
      <c r="H55" s="39" t="n"/>
      <c r="I55" s="42" t="n"/>
      <c r="J55" s="39" t="n"/>
      <c r="K55" s="39" t="n"/>
      <c r="L55" s="32">
        <f>IF($A55="","",IF(COUNTIF($A:$A,$A55)&gt;1,"كود صنف مكرر",IF($D55="","الوحدة الأساسية ناقصة",IF(COUNTIF(Units!$A:$A,$D55)=0,"وحدة غير معرفة",""))))</f>
        <v/>
      </c>
    </row>
    <row r="56">
      <c r="A56" s="39" t="n"/>
      <c r="B56" s="29" t="n"/>
      <c r="C56" s="29" t="n"/>
      <c r="D56" s="39" t="n"/>
      <c r="E56" s="29" t="n"/>
      <c r="F56" s="29" t="n"/>
      <c r="G56" s="29" t="n"/>
      <c r="H56" s="39" t="n"/>
      <c r="I56" s="42" t="n"/>
      <c r="J56" s="39" t="n"/>
      <c r="K56" s="39" t="n"/>
      <c r="L56" s="32">
        <f>IF($A56="","",IF(COUNTIF($A:$A,$A56)&gt;1,"كود صنف مكرر",IF($D56="","الوحدة الأساسية ناقصة",IF(COUNTIF(Units!$A:$A,$D56)=0,"وحدة غير معرفة",""))))</f>
        <v/>
      </c>
    </row>
    <row r="57">
      <c r="A57" s="39" t="n"/>
      <c r="B57" s="29" t="n"/>
      <c r="C57" s="29" t="n"/>
      <c r="D57" s="39" t="n"/>
      <c r="E57" s="29" t="n"/>
      <c r="F57" s="29" t="n"/>
      <c r="G57" s="29" t="n"/>
      <c r="H57" s="39" t="n"/>
      <c r="I57" s="42" t="n"/>
      <c r="J57" s="39" t="n"/>
      <c r="K57" s="39" t="n"/>
      <c r="L57" s="32">
        <f>IF($A57="","",IF(COUNTIF($A:$A,$A57)&gt;1,"كود صنف مكرر",IF($D57="","الوحدة الأساسية ناقصة",IF(COUNTIF(Units!$A:$A,$D57)=0,"وحدة غير معرفة",""))))</f>
        <v/>
      </c>
    </row>
    <row r="58">
      <c r="A58" s="39" t="n"/>
      <c r="B58" s="29" t="n"/>
      <c r="C58" s="29" t="n"/>
      <c r="D58" s="39" t="n"/>
      <c r="E58" s="29" t="n"/>
      <c r="F58" s="29" t="n"/>
      <c r="G58" s="29" t="n"/>
      <c r="H58" s="39" t="n"/>
      <c r="I58" s="42" t="n"/>
      <c r="J58" s="39" t="n"/>
      <c r="K58" s="39" t="n"/>
      <c r="L58" s="32">
        <f>IF($A58="","",IF(COUNTIF($A:$A,$A58)&gt;1,"كود صنف مكرر",IF($D58="","الوحدة الأساسية ناقصة",IF(COUNTIF(Units!$A:$A,$D58)=0,"وحدة غير معرفة",""))))</f>
        <v/>
      </c>
    </row>
    <row r="59">
      <c r="A59" s="39" t="n"/>
      <c r="B59" s="29" t="n"/>
      <c r="C59" s="29" t="n"/>
      <c r="D59" s="39" t="n"/>
      <c r="E59" s="29" t="n"/>
      <c r="F59" s="29" t="n"/>
      <c r="G59" s="29" t="n"/>
      <c r="H59" s="39" t="n"/>
      <c r="I59" s="42" t="n"/>
      <c r="J59" s="39" t="n"/>
      <c r="K59" s="39" t="n"/>
      <c r="L59" s="32">
        <f>IF($A59="","",IF(COUNTIF($A:$A,$A59)&gt;1,"كود صنف مكرر",IF($D59="","الوحدة الأساسية ناقصة",IF(COUNTIF(Units!$A:$A,$D59)=0,"وحدة غير معرفة",""))))</f>
        <v/>
      </c>
    </row>
    <row r="60">
      <c r="A60" s="39" t="n"/>
      <c r="B60" s="29" t="n"/>
      <c r="C60" s="29" t="n"/>
      <c r="D60" s="39" t="n"/>
      <c r="E60" s="29" t="n"/>
      <c r="F60" s="29" t="n"/>
      <c r="G60" s="29" t="n"/>
      <c r="H60" s="39" t="n"/>
      <c r="I60" s="42" t="n"/>
      <c r="J60" s="39" t="n"/>
      <c r="K60" s="39" t="n"/>
      <c r="L60" s="32">
        <f>IF($A60="","",IF(COUNTIF($A:$A,$A60)&gt;1,"كود صنف مكرر",IF($D60="","الوحدة الأساسية ناقصة",IF(COUNTIF(Units!$A:$A,$D60)=0,"وحدة غير معرفة",""))))</f>
        <v/>
      </c>
    </row>
    <row r="61">
      <c r="A61" s="39" t="n"/>
      <c r="B61" s="29" t="n"/>
      <c r="C61" s="29" t="n"/>
      <c r="D61" s="39" t="n"/>
      <c r="E61" s="29" t="n"/>
      <c r="F61" s="29" t="n"/>
      <c r="G61" s="29" t="n"/>
      <c r="H61" s="39" t="n"/>
      <c r="I61" s="42" t="n"/>
      <c r="J61" s="39" t="n"/>
      <c r="K61" s="39" t="n"/>
      <c r="L61" s="32">
        <f>IF($A61="","",IF(COUNTIF($A:$A,$A61)&gt;1,"كود صنف مكرر",IF($D61="","الوحدة الأساسية ناقصة",IF(COUNTIF(Units!$A:$A,$D61)=0,"وحدة غير معرفة",""))))</f>
        <v/>
      </c>
    </row>
    <row r="62">
      <c r="A62" s="39" t="n"/>
      <c r="B62" s="29" t="n"/>
      <c r="C62" s="29" t="n"/>
      <c r="D62" s="39" t="n"/>
      <c r="E62" s="29" t="n"/>
      <c r="F62" s="29" t="n"/>
      <c r="G62" s="29" t="n"/>
      <c r="H62" s="39" t="n"/>
      <c r="I62" s="42" t="n"/>
      <c r="J62" s="39" t="n"/>
      <c r="K62" s="39" t="n"/>
      <c r="L62" s="32">
        <f>IF($A62="","",IF(COUNTIF($A:$A,$A62)&gt;1,"كود صنف مكرر",IF($D62="","الوحدة الأساسية ناقصة",IF(COUNTIF(Units!$A:$A,$D62)=0,"وحدة غير معرفة",""))))</f>
        <v/>
      </c>
    </row>
    <row r="63">
      <c r="A63" s="39" t="n"/>
      <c r="B63" s="29" t="n"/>
      <c r="C63" s="29" t="n"/>
      <c r="D63" s="39" t="n"/>
      <c r="E63" s="29" t="n"/>
      <c r="F63" s="29" t="n"/>
      <c r="G63" s="29" t="n"/>
      <c r="H63" s="39" t="n"/>
      <c r="I63" s="42" t="n"/>
      <c r="J63" s="39" t="n"/>
      <c r="K63" s="39" t="n"/>
      <c r="L63" s="32">
        <f>IF($A63="","",IF(COUNTIF($A:$A,$A63)&gt;1,"كود صنف مكرر",IF($D63="","الوحدة الأساسية ناقصة",IF(COUNTIF(Units!$A:$A,$D63)=0,"وحدة غير معرفة",""))))</f>
        <v/>
      </c>
    </row>
    <row r="64">
      <c r="A64" s="39" t="n"/>
      <c r="B64" s="29" t="n"/>
      <c r="C64" s="29" t="n"/>
      <c r="D64" s="39" t="n"/>
      <c r="E64" s="29" t="n"/>
      <c r="F64" s="29" t="n"/>
      <c r="G64" s="29" t="n"/>
      <c r="H64" s="39" t="n"/>
      <c r="I64" s="42" t="n"/>
      <c r="J64" s="39" t="n"/>
      <c r="K64" s="39" t="n"/>
      <c r="L64" s="32">
        <f>IF($A64="","",IF(COUNTIF($A:$A,$A64)&gt;1,"كود صنف مكرر",IF($D64="","الوحدة الأساسية ناقصة",IF(COUNTIF(Units!$A:$A,$D64)=0,"وحدة غير معرفة",""))))</f>
        <v/>
      </c>
    </row>
    <row r="65">
      <c r="A65" s="39" t="n"/>
      <c r="B65" s="29" t="n"/>
      <c r="C65" s="29" t="n"/>
      <c r="D65" s="39" t="n"/>
      <c r="E65" s="29" t="n"/>
      <c r="F65" s="29" t="n"/>
      <c r="G65" s="29" t="n"/>
      <c r="H65" s="39" t="n"/>
      <c r="I65" s="42" t="n"/>
      <c r="J65" s="39" t="n"/>
      <c r="K65" s="39" t="n"/>
      <c r="L65" s="32">
        <f>IF($A65="","",IF(COUNTIF($A:$A,$A65)&gt;1,"كود صنف مكرر",IF($D65="","الوحدة الأساسية ناقصة",IF(COUNTIF(Units!$A:$A,$D65)=0,"وحدة غير معرفة",""))))</f>
        <v/>
      </c>
    </row>
    <row r="66">
      <c r="A66" s="39" t="n"/>
      <c r="B66" s="29" t="n"/>
      <c r="C66" s="29" t="n"/>
      <c r="D66" s="39" t="n"/>
      <c r="E66" s="29" t="n"/>
      <c r="F66" s="29" t="n"/>
      <c r="G66" s="29" t="n"/>
      <c r="H66" s="39" t="n"/>
      <c r="I66" s="42" t="n"/>
      <c r="J66" s="39" t="n"/>
      <c r="K66" s="39" t="n"/>
      <c r="L66" s="32">
        <f>IF($A66="","",IF(COUNTIF($A:$A,$A66)&gt;1,"كود صنف مكرر",IF($D66="","الوحدة الأساسية ناقصة",IF(COUNTIF(Units!$A:$A,$D66)=0,"وحدة غير معرفة",""))))</f>
        <v/>
      </c>
    </row>
    <row r="67">
      <c r="A67" s="39" t="n"/>
      <c r="B67" s="29" t="n"/>
      <c r="C67" s="29" t="n"/>
      <c r="D67" s="39" t="n"/>
      <c r="E67" s="29" t="n"/>
      <c r="F67" s="29" t="n"/>
      <c r="G67" s="29" t="n"/>
      <c r="H67" s="39" t="n"/>
      <c r="I67" s="42" t="n"/>
      <c r="J67" s="39" t="n"/>
      <c r="K67" s="39" t="n"/>
      <c r="L67" s="32">
        <f>IF($A67="","",IF(COUNTIF($A:$A,$A67)&gt;1,"كود صنف مكرر",IF($D67="","الوحدة الأساسية ناقصة",IF(COUNTIF(Units!$A:$A,$D67)=0,"وحدة غير معرفة",""))))</f>
        <v/>
      </c>
    </row>
    <row r="68">
      <c r="A68" s="39" t="n"/>
      <c r="B68" s="29" t="n"/>
      <c r="C68" s="29" t="n"/>
      <c r="D68" s="39" t="n"/>
      <c r="E68" s="29" t="n"/>
      <c r="F68" s="29" t="n"/>
      <c r="G68" s="29" t="n"/>
      <c r="H68" s="39" t="n"/>
      <c r="I68" s="42" t="n"/>
      <c r="J68" s="39" t="n"/>
      <c r="K68" s="39" t="n"/>
      <c r="L68" s="32">
        <f>IF($A68="","",IF(COUNTIF($A:$A,$A68)&gt;1,"كود صنف مكرر",IF($D68="","الوحدة الأساسية ناقصة",IF(COUNTIF(Units!$A:$A,$D68)=0,"وحدة غير معرفة",""))))</f>
        <v/>
      </c>
    </row>
    <row r="69">
      <c r="A69" s="39" t="n"/>
      <c r="B69" s="29" t="n"/>
      <c r="C69" s="29" t="n"/>
      <c r="D69" s="39" t="n"/>
      <c r="E69" s="29" t="n"/>
      <c r="F69" s="29" t="n"/>
      <c r="G69" s="29" t="n"/>
      <c r="H69" s="39" t="n"/>
      <c r="I69" s="42" t="n"/>
      <c r="J69" s="39" t="n"/>
      <c r="K69" s="39" t="n"/>
      <c r="L69" s="32">
        <f>IF($A69="","",IF(COUNTIF($A:$A,$A69)&gt;1,"كود صنف مكرر",IF($D69="","الوحدة الأساسية ناقصة",IF(COUNTIF(Units!$A:$A,$D69)=0,"وحدة غير معرفة",""))))</f>
        <v/>
      </c>
    </row>
    <row r="70">
      <c r="A70" s="39" t="n"/>
      <c r="B70" s="29" t="n"/>
      <c r="C70" s="29" t="n"/>
      <c r="D70" s="39" t="n"/>
      <c r="E70" s="29" t="n"/>
      <c r="F70" s="29" t="n"/>
      <c r="G70" s="29" t="n"/>
      <c r="H70" s="39" t="n"/>
      <c r="I70" s="42" t="n"/>
      <c r="J70" s="39" t="n"/>
      <c r="K70" s="39" t="n"/>
      <c r="L70" s="32">
        <f>IF($A70="","",IF(COUNTIF($A:$A,$A70)&gt;1,"كود صنف مكرر",IF($D70="","الوحدة الأساسية ناقصة",IF(COUNTIF(Units!$A:$A,$D70)=0,"وحدة غير معرفة",""))))</f>
        <v/>
      </c>
    </row>
    <row r="71">
      <c r="A71" s="39" t="n"/>
      <c r="B71" s="29" t="n"/>
      <c r="C71" s="29" t="n"/>
      <c r="D71" s="39" t="n"/>
      <c r="E71" s="29" t="n"/>
      <c r="F71" s="29" t="n"/>
      <c r="G71" s="29" t="n"/>
      <c r="H71" s="39" t="n"/>
      <c r="I71" s="42" t="n"/>
      <c r="J71" s="39" t="n"/>
      <c r="K71" s="39" t="n"/>
      <c r="L71" s="32">
        <f>IF($A71="","",IF(COUNTIF($A:$A,$A71)&gt;1,"كود صنف مكرر",IF($D71="","الوحدة الأساسية ناقصة",IF(COUNTIF(Units!$A:$A,$D71)=0,"وحدة غير معرفة",""))))</f>
        <v/>
      </c>
    </row>
    <row r="72">
      <c r="A72" s="39" t="n"/>
      <c r="B72" s="29" t="n"/>
      <c r="C72" s="29" t="n"/>
      <c r="D72" s="39" t="n"/>
      <c r="E72" s="29" t="n"/>
      <c r="F72" s="29" t="n"/>
      <c r="G72" s="29" t="n"/>
      <c r="H72" s="39" t="n"/>
      <c r="I72" s="42" t="n"/>
      <c r="J72" s="39" t="n"/>
      <c r="K72" s="39" t="n"/>
      <c r="L72" s="32">
        <f>IF($A72="","",IF(COUNTIF($A:$A,$A72)&gt;1,"كود صنف مكرر",IF($D72="","الوحدة الأساسية ناقصة",IF(COUNTIF(Units!$A:$A,$D72)=0,"وحدة غير معرفة",""))))</f>
        <v/>
      </c>
    </row>
    <row r="73">
      <c r="A73" s="39" t="n"/>
      <c r="B73" s="29" t="n"/>
      <c r="C73" s="29" t="n"/>
      <c r="D73" s="39" t="n"/>
      <c r="E73" s="29" t="n"/>
      <c r="F73" s="29" t="n"/>
      <c r="G73" s="29" t="n"/>
      <c r="H73" s="39" t="n"/>
      <c r="I73" s="42" t="n"/>
      <c r="J73" s="39" t="n"/>
      <c r="K73" s="39" t="n"/>
      <c r="L73" s="32">
        <f>IF($A73="","",IF(COUNTIF($A:$A,$A73)&gt;1,"كود صنف مكرر",IF($D73="","الوحدة الأساسية ناقصة",IF(COUNTIF(Units!$A:$A,$D73)=0,"وحدة غير معرفة",""))))</f>
        <v/>
      </c>
    </row>
    <row r="74">
      <c r="A74" s="39" t="n"/>
      <c r="B74" s="29" t="n"/>
      <c r="C74" s="29" t="n"/>
      <c r="D74" s="39" t="n"/>
      <c r="E74" s="29" t="n"/>
      <c r="F74" s="29" t="n"/>
      <c r="G74" s="29" t="n"/>
      <c r="H74" s="39" t="n"/>
      <c r="I74" s="42" t="n"/>
      <c r="J74" s="39" t="n"/>
      <c r="K74" s="39" t="n"/>
      <c r="L74" s="32">
        <f>IF($A74="","",IF(COUNTIF($A:$A,$A74)&gt;1,"كود صنف مكرر",IF($D74="","الوحدة الأساسية ناقصة",IF(COUNTIF(Units!$A:$A,$D74)=0,"وحدة غير معرفة",""))))</f>
        <v/>
      </c>
    </row>
    <row r="75">
      <c r="A75" s="39" t="n"/>
      <c r="B75" s="29" t="n"/>
      <c r="C75" s="29" t="n"/>
      <c r="D75" s="39" t="n"/>
      <c r="E75" s="29" t="n"/>
      <c r="F75" s="29" t="n"/>
      <c r="G75" s="29" t="n"/>
      <c r="H75" s="39" t="n"/>
      <c r="I75" s="42" t="n"/>
      <c r="J75" s="39" t="n"/>
      <c r="K75" s="39" t="n"/>
      <c r="L75" s="32">
        <f>IF($A75="","",IF(COUNTIF($A:$A,$A75)&gt;1,"كود صنف مكرر",IF($D75="","الوحدة الأساسية ناقصة",IF(COUNTIF(Units!$A:$A,$D75)=0,"وحدة غير معرفة",""))))</f>
        <v/>
      </c>
    </row>
    <row r="76">
      <c r="A76" s="39" t="n"/>
      <c r="B76" s="29" t="n"/>
      <c r="C76" s="29" t="n"/>
      <c r="D76" s="39" t="n"/>
      <c r="E76" s="29" t="n"/>
      <c r="F76" s="29" t="n"/>
      <c r="G76" s="29" t="n"/>
      <c r="H76" s="39" t="n"/>
      <c r="I76" s="42" t="n"/>
      <c r="J76" s="39" t="n"/>
      <c r="K76" s="39" t="n"/>
      <c r="L76" s="32">
        <f>IF($A76="","",IF(COUNTIF($A:$A,$A76)&gt;1,"كود صنف مكرر",IF($D76="","الوحدة الأساسية ناقصة",IF(COUNTIF(Units!$A:$A,$D76)=0,"وحدة غير معرفة",""))))</f>
        <v/>
      </c>
    </row>
    <row r="77">
      <c r="A77" s="39" t="n"/>
      <c r="B77" s="29" t="n"/>
      <c r="C77" s="29" t="n"/>
      <c r="D77" s="39" t="n"/>
      <c r="E77" s="29" t="n"/>
      <c r="F77" s="29" t="n"/>
      <c r="G77" s="29" t="n"/>
      <c r="H77" s="39" t="n"/>
      <c r="I77" s="42" t="n"/>
      <c r="J77" s="39" t="n"/>
      <c r="K77" s="39" t="n"/>
      <c r="L77" s="32">
        <f>IF($A77="","",IF(COUNTIF($A:$A,$A77)&gt;1,"كود صنف مكرر",IF($D77="","الوحدة الأساسية ناقصة",IF(COUNTIF(Units!$A:$A,$D77)=0,"وحدة غير معرفة",""))))</f>
        <v/>
      </c>
    </row>
    <row r="78">
      <c r="A78" s="39" t="n"/>
      <c r="B78" s="29" t="n"/>
      <c r="C78" s="29" t="n"/>
      <c r="D78" s="39" t="n"/>
      <c r="E78" s="29" t="n"/>
      <c r="F78" s="29" t="n"/>
      <c r="G78" s="29" t="n"/>
      <c r="H78" s="39" t="n"/>
      <c r="I78" s="42" t="n"/>
      <c r="J78" s="39" t="n"/>
      <c r="K78" s="39" t="n"/>
      <c r="L78" s="32">
        <f>IF($A78="","",IF(COUNTIF($A:$A,$A78)&gt;1,"كود صنف مكرر",IF($D78="","الوحدة الأساسية ناقصة",IF(COUNTIF(Units!$A:$A,$D78)=0,"وحدة غير معرفة",""))))</f>
        <v/>
      </c>
    </row>
    <row r="79">
      <c r="A79" s="39" t="n"/>
      <c r="B79" s="29" t="n"/>
      <c r="C79" s="29" t="n"/>
      <c r="D79" s="39" t="n"/>
      <c r="E79" s="29" t="n"/>
      <c r="F79" s="29" t="n"/>
      <c r="G79" s="29" t="n"/>
      <c r="H79" s="39" t="n"/>
      <c r="I79" s="42" t="n"/>
      <c r="J79" s="39" t="n"/>
      <c r="K79" s="39" t="n"/>
      <c r="L79" s="32">
        <f>IF($A79="","",IF(COUNTIF($A:$A,$A79)&gt;1,"كود صنف مكرر",IF($D79="","الوحدة الأساسية ناقصة",IF(COUNTIF(Units!$A:$A,$D79)=0,"وحدة غير معرفة",""))))</f>
        <v/>
      </c>
    </row>
    <row r="80">
      <c r="A80" s="39" t="n"/>
      <c r="B80" s="29" t="n"/>
      <c r="C80" s="29" t="n"/>
      <c r="D80" s="39" t="n"/>
      <c r="E80" s="29" t="n"/>
      <c r="F80" s="29" t="n"/>
      <c r="G80" s="29" t="n"/>
      <c r="H80" s="39" t="n"/>
      <c r="I80" s="42" t="n"/>
      <c r="J80" s="39" t="n"/>
      <c r="K80" s="39" t="n"/>
      <c r="L80" s="32">
        <f>IF($A80="","",IF(COUNTIF($A:$A,$A80)&gt;1,"كود صنف مكرر",IF($D80="","الوحدة الأساسية ناقصة",IF(COUNTIF(Units!$A:$A,$D80)=0,"وحدة غير معرفة",""))))</f>
        <v/>
      </c>
    </row>
    <row r="81">
      <c r="A81" s="39" t="n"/>
      <c r="B81" s="29" t="n"/>
      <c r="C81" s="29" t="n"/>
      <c r="D81" s="39" t="n"/>
      <c r="E81" s="29" t="n"/>
      <c r="F81" s="29" t="n"/>
      <c r="G81" s="29" t="n"/>
      <c r="H81" s="39" t="n"/>
      <c r="I81" s="42" t="n"/>
      <c r="J81" s="39" t="n"/>
      <c r="K81" s="39" t="n"/>
      <c r="L81" s="32">
        <f>IF($A81="","",IF(COUNTIF($A:$A,$A81)&gt;1,"كود صنف مكرر",IF($D81="","الوحدة الأساسية ناقصة",IF(COUNTIF(Units!$A:$A,$D81)=0,"وحدة غير معرفة",""))))</f>
        <v/>
      </c>
    </row>
    <row r="82">
      <c r="A82" s="39" t="n"/>
      <c r="B82" s="29" t="n"/>
      <c r="C82" s="29" t="n"/>
      <c r="D82" s="39" t="n"/>
      <c r="E82" s="29" t="n"/>
      <c r="F82" s="29" t="n"/>
      <c r="G82" s="29" t="n"/>
      <c r="H82" s="39" t="n"/>
      <c r="I82" s="42" t="n"/>
      <c r="J82" s="39" t="n"/>
      <c r="K82" s="39" t="n"/>
      <c r="L82" s="32">
        <f>IF($A82="","",IF(COUNTIF($A:$A,$A82)&gt;1,"كود صنف مكرر",IF($D82="","الوحدة الأساسية ناقصة",IF(COUNTIF(Units!$A:$A,$D82)=0,"وحدة غير معرفة",""))))</f>
        <v/>
      </c>
    </row>
    <row r="83">
      <c r="A83" s="39" t="n"/>
      <c r="B83" s="29" t="n"/>
      <c r="C83" s="29" t="n"/>
      <c r="D83" s="39" t="n"/>
      <c r="E83" s="29" t="n"/>
      <c r="F83" s="29" t="n"/>
      <c r="G83" s="29" t="n"/>
      <c r="H83" s="39" t="n"/>
      <c r="I83" s="42" t="n"/>
      <c r="J83" s="39" t="n"/>
      <c r="K83" s="39" t="n"/>
      <c r="L83" s="32">
        <f>IF($A83="","",IF(COUNTIF($A:$A,$A83)&gt;1,"كود صنف مكرر",IF($D83="","الوحدة الأساسية ناقصة",IF(COUNTIF(Units!$A:$A,$D83)=0,"وحدة غير معرفة",""))))</f>
        <v/>
      </c>
    </row>
    <row r="84">
      <c r="A84" s="39" t="n"/>
      <c r="B84" s="29" t="n"/>
      <c r="C84" s="29" t="n"/>
      <c r="D84" s="39" t="n"/>
      <c r="E84" s="29" t="n"/>
      <c r="F84" s="29" t="n"/>
      <c r="G84" s="29" t="n"/>
      <c r="H84" s="39" t="n"/>
      <c r="I84" s="42" t="n"/>
      <c r="J84" s="39" t="n"/>
      <c r="K84" s="39" t="n"/>
      <c r="L84" s="32">
        <f>IF($A84="","",IF(COUNTIF($A:$A,$A84)&gt;1,"كود صنف مكرر",IF($D84="","الوحدة الأساسية ناقصة",IF(COUNTIF(Units!$A:$A,$D84)=0,"وحدة غير معرفة",""))))</f>
        <v/>
      </c>
    </row>
    <row r="85">
      <c r="A85" s="39" t="n"/>
      <c r="B85" s="29" t="n"/>
      <c r="C85" s="29" t="n"/>
      <c r="D85" s="39" t="n"/>
      <c r="E85" s="29" t="n"/>
      <c r="F85" s="29" t="n"/>
      <c r="G85" s="29" t="n"/>
      <c r="H85" s="39" t="n"/>
      <c r="I85" s="42" t="n"/>
      <c r="J85" s="39" t="n"/>
      <c r="K85" s="39" t="n"/>
      <c r="L85" s="32">
        <f>IF($A85="","",IF(COUNTIF($A:$A,$A85)&gt;1,"كود صنف مكرر",IF($D85="","الوحدة الأساسية ناقصة",IF(COUNTIF(Units!$A:$A,$D85)=0,"وحدة غير معرفة",""))))</f>
        <v/>
      </c>
    </row>
    <row r="86">
      <c r="A86" s="39" t="n"/>
      <c r="B86" s="29" t="n"/>
      <c r="C86" s="29" t="n"/>
      <c r="D86" s="39" t="n"/>
      <c r="E86" s="29" t="n"/>
      <c r="F86" s="29" t="n"/>
      <c r="G86" s="29" t="n"/>
      <c r="H86" s="39" t="n"/>
      <c r="I86" s="42" t="n"/>
      <c r="J86" s="39" t="n"/>
      <c r="K86" s="39" t="n"/>
      <c r="L86" s="32">
        <f>IF($A86="","",IF(COUNTIF($A:$A,$A86)&gt;1,"كود صنف مكرر",IF($D86="","الوحدة الأساسية ناقصة",IF(COUNTIF(Units!$A:$A,$D86)=0,"وحدة غير معرفة",""))))</f>
        <v/>
      </c>
    </row>
    <row r="87">
      <c r="A87" s="39" t="n"/>
      <c r="B87" s="29" t="n"/>
      <c r="C87" s="29" t="n"/>
      <c r="D87" s="39" t="n"/>
      <c r="E87" s="29" t="n"/>
      <c r="F87" s="29" t="n"/>
      <c r="G87" s="29" t="n"/>
      <c r="H87" s="39" t="n"/>
      <c r="I87" s="42" t="n"/>
      <c r="J87" s="39" t="n"/>
      <c r="K87" s="39" t="n"/>
      <c r="L87" s="32">
        <f>IF($A87="","",IF(COUNTIF($A:$A,$A87)&gt;1,"كود صنف مكرر",IF($D87="","الوحدة الأساسية ناقصة",IF(COUNTIF(Units!$A:$A,$D87)=0,"وحدة غير معرفة",""))))</f>
        <v/>
      </c>
    </row>
    <row r="88">
      <c r="A88" s="39" t="n"/>
      <c r="B88" s="29" t="n"/>
      <c r="C88" s="29" t="n"/>
      <c r="D88" s="39" t="n"/>
      <c r="E88" s="29" t="n"/>
      <c r="F88" s="29" t="n"/>
      <c r="G88" s="29" t="n"/>
      <c r="H88" s="39" t="n"/>
      <c r="I88" s="42" t="n"/>
      <c r="J88" s="39" t="n"/>
      <c r="K88" s="39" t="n"/>
      <c r="L88" s="32">
        <f>IF($A88="","",IF(COUNTIF($A:$A,$A88)&gt;1,"كود صنف مكرر",IF($D88="","الوحدة الأساسية ناقصة",IF(COUNTIF(Units!$A:$A,$D88)=0,"وحدة غير معرفة",""))))</f>
        <v/>
      </c>
    </row>
    <row r="89">
      <c r="A89" s="39" t="n"/>
      <c r="B89" s="29" t="n"/>
      <c r="C89" s="29" t="n"/>
      <c r="D89" s="39" t="n"/>
      <c r="E89" s="29" t="n"/>
      <c r="F89" s="29" t="n"/>
      <c r="G89" s="29" t="n"/>
      <c r="H89" s="39" t="n"/>
      <c r="I89" s="42" t="n"/>
      <c r="J89" s="39" t="n"/>
      <c r="K89" s="39" t="n"/>
      <c r="L89" s="32">
        <f>IF($A89="","",IF(COUNTIF($A:$A,$A89)&gt;1,"كود صنف مكرر",IF($D89="","الوحدة الأساسية ناقصة",IF(COUNTIF(Units!$A:$A,$D89)=0,"وحدة غير معرفة",""))))</f>
        <v/>
      </c>
    </row>
    <row r="90">
      <c r="A90" s="39" t="n"/>
      <c r="B90" s="29" t="n"/>
      <c r="C90" s="29" t="n"/>
      <c r="D90" s="39" t="n"/>
      <c r="E90" s="29" t="n"/>
      <c r="F90" s="29" t="n"/>
      <c r="G90" s="29" t="n"/>
      <c r="H90" s="39" t="n"/>
      <c r="I90" s="42" t="n"/>
      <c r="J90" s="39" t="n"/>
      <c r="K90" s="39" t="n"/>
      <c r="L90" s="32">
        <f>IF($A90="","",IF(COUNTIF($A:$A,$A90)&gt;1,"كود صنف مكرر",IF($D90="","الوحدة الأساسية ناقصة",IF(COUNTIF(Units!$A:$A,$D90)=0,"وحدة غير معرفة",""))))</f>
        <v/>
      </c>
    </row>
    <row r="91">
      <c r="A91" s="39" t="n"/>
      <c r="B91" s="29" t="n"/>
      <c r="C91" s="29" t="n"/>
      <c r="D91" s="39" t="n"/>
      <c r="E91" s="29" t="n"/>
      <c r="F91" s="29" t="n"/>
      <c r="G91" s="29" t="n"/>
      <c r="H91" s="39" t="n"/>
      <c r="I91" s="42" t="n"/>
      <c r="J91" s="39" t="n"/>
      <c r="K91" s="39" t="n"/>
      <c r="L91" s="32">
        <f>IF($A91="","",IF(COUNTIF($A:$A,$A91)&gt;1,"كود صنف مكرر",IF($D91="","الوحدة الأساسية ناقصة",IF(COUNTIF(Units!$A:$A,$D91)=0,"وحدة غير معرفة",""))))</f>
        <v/>
      </c>
    </row>
    <row r="92">
      <c r="A92" s="39" t="n"/>
      <c r="B92" s="29" t="n"/>
      <c r="C92" s="29" t="n"/>
      <c r="D92" s="39" t="n"/>
      <c r="E92" s="29" t="n"/>
      <c r="F92" s="29" t="n"/>
      <c r="G92" s="29" t="n"/>
      <c r="H92" s="39" t="n"/>
      <c r="I92" s="42" t="n"/>
      <c r="J92" s="39" t="n"/>
      <c r="K92" s="39" t="n"/>
      <c r="L92" s="32">
        <f>IF($A92="","",IF(COUNTIF($A:$A,$A92)&gt;1,"كود صنف مكرر",IF($D92="","الوحدة الأساسية ناقصة",IF(COUNTIF(Units!$A:$A,$D92)=0,"وحدة غير معرفة",""))))</f>
        <v/>
      </c>
    </row>
    <row r="93">
      <c r="A93" s="39" t="n"/>
      <c r="B93" s="29" t="n"/>
      <c r="C93" s="29" t="n"/>
      <c r="D93" s="39" t="n"/>
      <c r="E93" s="29" t="n"/>
      <c r="F93" s="29" t="n"/>
      <c r="G93" s="29" t="n"/>
      <c r="H93" s="39" t="n"/>
      <c r="I93" s="42" t="n"/>
      <c r="J93" s="39" t="n"/>
      <c r="K93" s="39" t="n"/>
      <c r="L93" s="32">
        <f>IF($A93="","",IF(COUNTIF($A:$A,$A93)&gt;1,"كود صنف مكرر",IF($D93="","الوحدة الأساسية ناقصة",IF(COUNTIF(Units!$A:$A,$D93)=0,"وحدة غير معرفة",""))))</f>
        <v/>
      </c>
    </row>
    <row r="94">
      <c r="A94" s="39" t="n"/>
      <c r="B94" s="29" t="n"/>
      <c r="C94" s="29" t="n"/>
      <c r="D94" s="39" t="n"/>
      <c r="E94" s="29" t="n"/>
      <c r="F94" s="29" t="n"/>
      <c r="G94" s="29" t="n"/>
      <c r="H94" s="39" t="n"/>
      <c r="I94" s="42" t="n"/>
      <c r="J94" s="39" t="n"/>
      <c r="K94" s="39" t="n"/>
      <c r="L94" s="32">
        <f>IF($A94="","",IF(COUNTIF($A:$A,$A94)&gt;1,"كود صنف مكرر",IF($D94="","الوحدة الأساسية ناقصة",IF(COUNTIF(Units!$A:$A,$D94)=0,"وحدة غير معرفة",""))))</f>
        <v/>
      </c>
    </row>
    <row r="95">
      <c r="A95" s="39" t="n"/>
      <c r="B95" s="29" t="n"/>
      <c r="C95" s="29" t="n"/>
      <c r="D95" s="39" t="n"/>
      <c r="E95" s="29" t="n"/>
      <c r="F95" s="29" t="n"/>
      <c r="G95" s="29" t="n"/>
      <c r="H95" s="39" t="n"/>
      <c r="I95" s="42" t="n"/>
      <c r="J95" s="39" t="n"/>
      <c r="K95" s="39" t="n"/>
      <c r="L95" s="32">
        <f>IF($A95="","",IF(COUNTIF($A:$A,$A95)&gt;1,"كود صنف مكرر",IF($D95="","الوحدة الأساسية ناقصة",IF(COUNTIF(Units!$A:$A,$D95)=0,"وحدة غير معرفة",""))))</f>
        <v/>
      </c>
    </row>
    <row r="96">
      <c r="A96" s="39" t="n"/>
      <c r="B96" s="29" t="n"/>
      <c r="C96" s="29" t="n"/>
      <c r="D96" s="39" t="n"/>
      <c r="E96" s="29" t="n"/>
      <c r="F96" s="29" t="n"/>
      <c r="G96" s="29" t="n"/>
      <c r="H96" s="39" t="n"/>
      <c r="I96" s="42" t="n"/>
      <c r="J96" s="39" t="n"/>
      <c r="K96" s="39" t="n"/>
      <c r="L96" s="32">
        <f>IF($A96="","",IF(COUNTIF($A:$A,$A96)&gt;1,"كود صنف مكرر",IF($D96="","الوحدة الأساسية ناقصة",IF(COUNTIF(Units!$A:$A,$D96)=0,"وحدة غير معرفة",""))))</f>
        <v/>
      </c>
    </row>
    <row r="97">
      <c r="A97" s="39" t="n"/>
      <c r="B97" s="29" t="n"/>
      <c r="C97" s="29" t="n"/>
      <c r="D97" s="39" t="n"/>
      <c r="E97" s="29" t="n"/>
      <c r="F97" s="29" t="n"/>
      <c r="G97" s="29" t="n"/>
      <c r="H97" s="39" t="n"/>
      <c r="I97" s="42" t="n"/>
      <c r="J97" s="39" t="n"/>
      <c r="K97" s="39" t="n"/>
      <c r="L97" s="32">
        <f>IF($A97="","",IF(COUNTIF($A:$A,$A97)&gt;1,"كود صنف مكرر",IF($D97="","الوحدة الأساسية ناقصة",IF(COUNTIF(Units!$A:$A,$D97)=0,"وحدة غير معرفة",""))))</f>
        <v/>
      </c>
    </row>
    <row r="98">
      <c r="A98" s="39" t="n"/>
      <c r="B98" s="29" t="n"/>
      <c r="C98" s="29" t="n"/>
      <c r="D98" s="39" t="n"/>
      <c r="E98" s="29" t="n"/>
      <c r="F98" s="29" t="n"/>
      <c r="G98" s="29" t="n"/>
      <c r="H98" s="39" t="n"/>
      <c r="I98" s="42" t="n"/>
      <c r="J98" s="39" t="n"/>
      <c r="K98" s="39" t="n"/>
      <c r="L98" s="32">
        <f>IF($A98="","",IF(COUNTIF($A:$A,$A98)&gt;1,"كود صنف مكرر",IF($D98="","الوحدة الأساسية ناقصة",IF(COUNTIF(Units!$A:$A,$D98)=0,"وحدة غير معرفة",""))))</f>
        <v/>
      </c>
    </row>
    <row r="99">
      <c r="A99" s="39" t="n"/>
      <c r="B99" s="29" t="n"/>
      <c r="C99" s="29" t="n"/>
      <c r="D99" s="39" t="n"/>
      <c r="E99" s="29" t="n"/>
      <c r="F99" s="29" t="n"/>
      <c r="G99" s="29" t="n"/>
      <c r="H99" s="39" t="n"/>
      <c r="I99" s="42" t="n"/>
      <c r="J99" s="39" t="n"/>
      <c r="K99" s="39" t="n"/>
      <c r="L99" s="32">
        <f>IF($A99="","",IF(COUNTIF($A:$A,$A99)&gt;1,"كود صنف مكرر",IF($D99="","الوحدة الأساسية ناقصة",IF(COUNTIF(Units!$A:$A,$D99)=0,"وحدة غير معرفة",""))))</f>
        <v/>
      </c>
    </row>
    <row r="100">
      <c r="A100" s="39" t="n"/>
      <c r="B100" s="29" t="n"/>
      <c r="C100" s="29" t="n"/>
      <c r="D100" s="39" t="n"/>
      <c r="E100" s="29" t="n"/>
      <c r="F100" s="29" t="n"/>
      <c r="G100" s="29" t="n"/>
      <c r="H100" s="39" t="n"/>
      <c r="I100" s="42" t="n"/>
      <c r="J100" s="39" t="n"/>
      <c r="K100" s="39" t="n"/>
      <c r="L100" s="32">
        <f>IF($A100="","",IF(COUNTIF($A:$A,$A100)&gt;1,"كود صنف مكرر",IF($D100="","الوحدة الأساسية ناقصة",IF(COUNTIF(Units!$A:$A,$D100)=0,"وحدة غير معرفة",""))))</f>
        <v/>
      </c>
    </row>
    <row r="101">
      <c r="A101" s="39" t="n"/>
      <c r="B101" s="29" t="n"/>
      <c r="C101" s="29" t="n"/>
      <c r="D101" s="39" t="n"/>
      <c r="E101" s="29" t="n"/>
      <c r="F101" s="29" t="n"/>
      <c r="G101" s="29" t="n"/>
      <c r="H101" s="39" t="n"/>
      <c r="I101" s="42" t="n"/>
      <c r="J101" s="39" t="n"/>
      <c r="K101" s="39" t="n"/>
      <c r="L101" s="32">
        <f>IF($A101="","",IF(COUNTIF($A:$A,$A101)&gt;1,"كود صنف مكرر",IF($D101="","الوحدة الأساسية ناقصة",IF(COUNTIF(Units!$A:$A,$D101)=0,"وحدة غير معرفة",""))))</f>
        <v/>
      </c>
    </row>
    <row r="102">
      <c r="A102" s="39" t="n"/>
      <c r="B102" s="29" t="n"/>
      <c r="C102" s="29" t="n"/>
      <c r="D102" s="39" t="n"/>
      <c r="E102" s="29" t="n"/>
      <c r="F102" s="29" t="n"/>
      <c r="G102" s="29" t="n"/>
      <c r="H102" s="39" t="n"/>
      <c r="I102" s="42" t="n"/>
      <c r="J102" s="39" t="n"/>
      <c r="K102" s="39" t="n"/>
      <c r="L102" s="32">
        <f>IF($A102="","",IF(COUNTIF($A:$A,$A102)&gt;1,"كود صنف مكرر",IF($D102="","الوحدة الأساسية ناقصة",IF(COUNTIF(Units!$A:$A,$D102)=0,"وحدة غير معرفة",""))))</f>
        <v/>
      </c>
    </row>
    <row r="103">
      <c r="A103" s="39" t="n"/>
      <c r="B103" s="29" t="n"/>
      <c r="C103" s="29" t="n"/>
      <c r="D103" s="39" t="n"/>
      <c r="E103" s="29" t="n"/>
      <c r="F103" s="29" t="n"/>
      <c r="G103" s="29" t="n"/>
      <c r="H103" s="39" t="n"/>
      <c r="I103" s="42" t="n"/>
      <c r="J103" s="39" t="n"/>
      <c r="K103" s="39" t="n"/>
      <c r="L103" s="32">
        <f>IF($A103="","",IF(COUNTIF($A:$A,$A103)&gt;1,"كود صنف مكرر",IF($D103="","الوحدة الأساسية ناقصة",IF(COUNTIF(Units!$A:$A,$D103)=0,"وحدة غير معرفة",""))))</f>
        <v/>
      </c>
    </row>
    <row r="104">
      <c r="A104" s="39" t="n"/>
      <c r="B104" s="29" t="n"/>
      <c r="C104" s="29" t="n"/>
      <c r="D104" s="39" t="n"/>
      <c r="E104" s="29" t="n"/>
      <c r="F104" s="29" t="n"/>
      <c r="G104" s="29" t="n"/>
      <c r="H104" s="39" t="n"/>
      <c r="I104" s="42" t="n"/>
      <c r="J104" s="39" t="n"/>
      <c r="K104" s="39" t="n"/>
      <c r="L104" s="32">
        <f>IF($A104="","",IF(COUNTIF($A:$A,$A104)&gt;1,"كود صنف مكرر",IF($D104="","الوحدة الأساسية ناقصة",IF(COUNTIF(Units!$A:$A,$D104)=0,"وحدة غير معرفة",""))))</f>
        <v/>
      </c>
    </row>
    <row r="105">
      <c r="A105" s="39" t="n"/>
      <c r="B105" s="29" t="n"/>
      <c r="C105" s="29" t="n"/>
      <c r="D105" s="39" t="n"/>
      <c r="E105" s="29" t="n"/>
      <c r="F105" s="29" t="n"/>
      <c r="G105" s="29" t="n"/>
      <c r="H105" s="39" t="n"/>
      <c r="I105" s="42" t="n"/>
      <c r="J105" s="39" t="n"/>
      <c r="K105" s="39" t="n"/>
      <c r="L105" s="32">
        <f>IF($A105="","",IF(COUNTIF($A:$A,$A105)&gt;1,"كود صنف مكرر",IF($D105="","الوحدة الأساسية ناقصة",IF(COUNTIF(Units!$A:$A,$D105)=0,"وحدة غير معرفة",""))))</f>
        <v/>
      </c>
    </row>
    <row r="106">
      <c r="A106" s="39" t="n"/>
      <c r="B106" s="29" t="n"/>
      <c r="C106" s="29" t="n"/>
      <c r="D106" s="39" t="n"/>
      <c r="E106" s="29" t="n"/>
      <c r="F106" s="29" t="n"/>
      <c r="G106" s="29" t="n"/>
      <c r="H106" s="39" t="n"/>
      <c r="I106" s="42" t="n"/>
      <c r="J106" s="39" t="n"/>
      <c r="K106" s="39" t="n"/>
      <c r="L106" s="32">
        <f>IF($A106="","",IF(COUNTIF($A:$A,$A106)&gt;1,"كود صنف مكرر",IF($D106="","الوحدة الأساسية ناقصة",IF(COUNTIF(Units!$A:$A,$D106)=0,"وحدة غير معرفة",""))))</f>
        <v/>
      </c>
    </row>
    <row r="107">
      <c r="A107" s="39" t="n"/>
      <c r="B107" s="29" t="n"/>
      <c r="C107" s="29" t="n"/>
      <c r="D107" s="39" t="n"/>
      <c r="E107" s="29" t="n"/>
      <c r="F107" s="29" t="n"/>
      <c r="G107" s="29" t="n"/>
      <c r="H107" s="39" t="n"/>
      <c r="I107" s="42" t="n"/>
      <c r="J107" s="39" t="n"/>
      <c r="K107" s="39" t="n"/>
      <c r="L107" s="32">
        <f>IF($A107="","",IF(COUNTIF($A:$A,$A107)&gt;1,"كود صنف مكرر",IF($D107="","الوحدة الأساسية ناقصة",IF(COUNTIF(Units!$A:$A,$D107)=0,"وحدة غير معرفة",""))))</f>
        <v/>
      </c>
    </row>
    <row r="108">
      <c r="A108" s="39" t="n"/>
      <c r="B108" s="29" t="n"/>
      <c r="C108" s="29" t="n"/>
      <c r="D108" s="39" t="n"/>
      <c r="E108" s="29" t="n"/>
      <c r="F108" s="29" t="n"/>
      <c r="G108" s="29" t="n"/>
      <c r="H108" s="39" t="n"/>
      <c r="I108" s="42" t="n"/>
      <c r="J108" s="39" t="n"/>
      <c r="K108" s="39" t="n"/>
      <c r="L108" s="32">
        <f>IF($A108="","",IF(COUNTIF($A:$A,$A108)&gt;1,"كود صنف مكرر",IF($D108="","الوحدة الأساسية ناقصة",IF(COUNTIF(Units!$A:$A,$D108)=0,"وحدة غير معرفة",""))))</f>
        <v/>
      </c>
    </row>
    <row r="109">
      <c r="A109" s="39" t="n"/>
      <c r="B109" s="29" t="n"/>
      <c r="C109" s="29" t="n"/>
      <c r="D109" s="39" t="n"/>
      <c r="E109" s="29" t="n"/>
      <c r="F109" s="29" t="n"/>
      <c r="G109" s="29" t="n"/>
      <c r="H109" s="39" t="n"/>
      <c r="I109" s="42" t="n"/>
      <c r="J109" s="39" t="n"/>
      <c r="K109" s="39" t="n"/>
      <c r="L109" s="32">
        <f>IF($A109="","",IF(COUNTIF($A:$A,$A109)&gt;1,"كود صنف مكرر",IF($D109="","الوحدة الأساسية ناقصة",IF(COUNTIF(Units!$A:$A,$D109)=0,"وحدة غير معرفة",""))))</f>
        <v/>
      </c>
    </row>
    <row r="110">
      <c r="A110" s="39" t="n"/>
      <c r="B110" s="29" t="n"/>
      <c r="C110" s="29" t="n"/>
      <c r="D110" s="39" t="n"/>
      <c r="E110" s="29" t="n"/>
      <c r="F110" s="29" t="n"/>
      <c r="G110" s="29" t="n"/>
      <c r="H110" s="39" t="n"/>
      <c r="I110" s="42" t="n"/>
      <c r="J110" s="39" t="n"/>
      <c r="K110" s="39" t="n"/>
      <c r="L110" s="32">
        <f>IF($A110="","",IF(COUNTIF($A:$A,$A110)&gt;1,"كود صنف مكرر",IF($D110="","الوحدة الأساسية ناقصة",IF(COUNTIF(Units!$A:$A,$D110)=0,"وحدة غير معرفة",""))))</f>
        <v/>
      </c>
    </row>
    <row r="111">
      <c r="A111" s="39" t="n"/>
      <c r="B111" s="29" t="n"/>
      <c r="C111" s="29" t="n"/>
      <c r="D111" s="39" t="n"/>
      <c r="E111" s="29" t="n"/>
      <c r="F111" s="29" t="n"/>
      <c r="G111" s="29" t="n"/>
      <c r="H111" s="39" t="n"/>
      <c r="I111" s="42" t="n"/>
      <c r="J111" s="39" t="n"/>
      <c r="K111" s="39" t="n"/>
      <c r="L111" s="32">
        <f>IF($A111="","",IF(COUNTIF($A:$A,$A111)&gt;1,"كود صنف مكرر",IF($D111="","الوحدة الأساسية ناقصة",IF(COUNTIF(Units!$A:$A,$D111)=0,"وحدة غير معرفة",""))))</f>
        <v/>
      </c>
    </row>
    <row r="112">
      <c r="A112" s="39" t="n"/>
      <c r="B112" s="29" t="n"/>
      <c r="C112" s="29" t="n"/>
      <c r="D112" s="39" t="n"/>
      <c r="E112" s="29" t="n"/>
      <c r="F112" s="29" t="n"/>
      <c r="G112" s="29" t="n"/>
      <c r="H112" s="39" t="n"/>
      <c r="I112" s="42" t="n"/>
      <c r="J112" s="39" t="n"/>
      <c r="K112" s="39" t="n"/>
      <c r="L112" s="32">
        <f>IF($A112="","",IF(COUNTIF($A:$A,$A112)&gt;1,"كود صنف مكرر",IF($D112="","الوحدة الأساسية ناقصة",IF(COUNTIF(Units!$A:$A,$D112)=0,"وحدة غير معرفة",""))))</f>
        <v/>
      </c>
    </row>
    <row r="113">
      <c r="A113" s="39" t="n"/>
      <c r="B113" s="29" t="n"/>
      <c r="C113" s="29" t="n"/>
      <c r="D113" s="39" t="n"/>
      <c r="E113" s="29" t="n"/>
      <c r="F113" s="29" t="n"/>
      <c r="G113" s="29" t="n"/>
      <c r="H113" s="39" t="n"/>
      <c r="I113" s="42" t="n"/>
      <c r="J113" s="39" t="n"/>
      <c r="K113" s="39" t="n"/>
      <c r="L113" s="32">
        <f>IF($A113="","",IF(COUNTIF($A:$A,$A113)&gt;1,"كود صنف مكرر",IF($D113="","الوحدة الأساسية ناقصة",IF(COUNTIF(Units!$A:$A,$D113)=0,"وحدة غير معرفة",""))))</f>
        <v/>
      </c>
    </row>
    <row r="114">
      <c r="A114" s="39" t="n"/>
      <c r="B114" s="29" t="n"/>
      <c r="C114" s="29" t="n"/>
      <c r="D114" s="39" t="n"/>
      <c r="E114" s="29" t="n"/>
      <c r="F114" s="29" t="n"/>
      <c r="G114" s="29" t="n"/>
      <c r="H114" s="39" t="n"/>
      <c r="I114" s="42" t="n"/>
      <c r="J114" s="39" t="n"/>
      <c r="K114" s="39" t="n"/>
      <c r="L114" s="32">
        <f>IF($A114="","",IF(COUNTIF($A:$A,$A114)&gt;1,"كود صنف مكرر",IF($D114="","الوحدة الأساسية ناقصة",IF(COUNTIF(Units!$A:$A,$D114)=0,"وحدة غير معرفة",""))))</f>
        <v/>
      </c>
    </row>
    <row r="115">
      <c r="A115" s="39" t="n"/>
      <c r="B115" s="29" t="n"/>
      <c r="C115" s="29" t="n"/>
      <c r="D115" s="39" t="n"/>
      <c r="E115" s="29" t="n"/>
      <c r="F115" s="29" t="n"/>
      <c r="G115" s="29" t="n"/>
      <c r="H115" s="39" t="n"/>
      <c r="I115" s="42" t="n"/>
      <c r="J115" s="39" t="n"/>
      <c r="K115" s="39" t="n"/>
      <c r="L115" s="32">
        <f>IF($A115="","",IF(COUNTIF($A:$A,$A115)&gt;1,"كود صنف مكرر",IF($D115="","الوحدة الأساسية ناقصة",IF(COUNTIF(Units!$A:$A,$D115)=0,"وحدة غير معرفة",""))))</f>
        <v/>
      </c>
    </row>
    <row r="116">
      <c r="A116" s="39" t="n"/>
      <c r="B116" s="29" t="n"/>
      <c r="C116" s="29" t="n"/>
      <c r="D116" s="39" t="n"/>
      <c r="E116" s="29" t="n"/>
      <c r="F116" s="29" t="n"/>
      <c r="G116" s="29" t="n"/>
      <c r="H116" s="39" t="n"/>
      <c r="I116" s="42" t="n"/>
      <c r="J116" s="39" t="n"/>
      <c r="K116" s="39" t="n"/>
      <c r="L116" s="32">
        <f>IF($A116="","",IF(COUNTIF($A:$A,$A116)&gt;1,"كود صنف مكرر",IF($D116="","الوحدة الأساسية ناقصة",IF(COUNTIF(Units!$A:$A,$D116)=0,"وحدة غير معرفة",""))))</f>
        <v/>
      </c>
    </row>
    <row r="117">
      <c r="A117" s="39" t="n"/>
      <c r="B117" s="29" t="n"/>
      <c r="C117" s="29" t="n"/>
      <c r="D117" s="39" t="n"/>
      <c r="E117" s="29" t="n"/>
      <c r="F117" s="29" t="n"/>
      <c r="G117" s="29" t="n"/>
      <c r="H117" s="39" t="n"/>
      <c r="I117" s="42" t="n"/>
      <c r="J117" s="39" t="n"/>
      <c r="K117" s="39" t="n"/>
      <c r="L117" s="32">
        <f>IF($A117="","",IF(COUNTIF($A:$A,$A117)&gt;1,"كود صنف مكرر",IF($D117="","الوحدة الأساسية ناقصة",IF(COUNTIF(Units!$A:$A,$D117)=0,"وحدة غير معرفة",""))))</f>
        <v/>
      </c>
    </row>
    <row r="118">
      <c r="A118" s="39" t="n"/>
      <c r="B118" s="29" t="n"/>
      <c r="C118" s="29" t="n"/>
      <c r="D118" s="39" t="n"/>
      <c r="E118" s="29" t="n"/>
      <c r="F118" s="29" t="n"/>
      <c r="G118" s="29" t="n"/>
      <c r="H118" s="39" t="n"/>
      <c r="I118" s="42" t="n"/>
      <c r="J118" s="39" t="n"/>
      <c r="K118" s="39" t="n"/>
      <c r="L118" s="32">
        <f>IF($A118="","",IF(COUNTIF($A:$A,$A118)&gt;1,"كود صنف مكرر",IF($D118="","الوحدة الأساسية ناقصة",IF(COUNTIF(Units!$A:$A,$D118)=0,"وحدة غير معرفة",""))))</f>
        <v/>
      </c>
    </row>
    <row r="119">
      <c r="A119" s="39" t="n"/>
      <c r="B119" s="29" t="n"/>
      <c r="C119" s="29" t="n"/>
      <c r="D119" s="39" t="n"/>
      <c r="E119" s="29" t="n"/>
      <c r="F119" s="29" t="n"/>
      <c r="G119" s="29" t="n"/>
      <c r="H119" s="39" t="n"/>
      <c r="I119" s="42" t="n"/>
      <c r="J119" s="39" t="n"/>
      <c r="K119" s="39" t="n"/>
      <c r="L119" s="32">
        <f>IF($A119="","",IF(COUNTIF($A:$A,$A119)&gt;1,"كود صنف مكرر",IF($D119="","الوحدة الأساسية ناقصة",IF(COUNTIF(Units!$A:$A,$D119)=0,"وحدة غير معرفة",""))))</f>
        <v/>
      </c>
    </row>
    <row r="120">
      <c r="A120" s="39" t="n"/>
      <c r="B120" s="29" t="n"/>
      <c r="C120" s="29" t="n"/>
      <c r="D120" s="39" t="n"/>
      <c r="E120" s="29" t="n"/>
      <c r="F120" s="29" t="n"/>
      <c r="G120" s="29" t="n"/>
      <c r="H120" s="39" t="n"/>
      <c r="I120" s="42" t="n"/>
      <c r="J120" s="39" t="n"/>
      <c r="K120" s="39" t="n"/>
      <c r="L120" s="32">
        <f>IF($A120="","",IF(COUNTIF($A:$A,$A120)&gt;1,"كود صنف مكرر",IF($D120="","الوحدة الأساسية ناقصة",IF(COUNTIF(Units!$A:$A,$D120)=0,"وحدة غير معرفة",""))))</f>
        <v/>
      </c>
    </row>
    <row r="121">
      <c r="A121" s="39" t="n"/>
      <c r="B121" s="29" t="n"/>
      <c r="C121" s="29" t="n"/>
      <c r="D121" s="39" t="n"/>
      <c r="E121" s="29" t="n"/>
      <c r="F121" s="29" t="n"/>
      <c r="G121" s="29" t="n"/>
      <c r="H121" s="39" t="n"/>
      <c r="I121" s="42" t="n"/>
      <c r="J121" s="39" t="n"/>
      <c r="K121" s="39" t="n"/>
      <c r="L121" s="32">
        <f>IF($A121="","",IF(COUNTIF($A:$A,$A121)&gt;1,"كود صنف مكرر",IF($D121="","الوحدة الأساسية ناقصة",IF(COUNTIF(Units!$A:$A,$D121)=0,"وحدة غير معرفة",""))))</f>
        <v/>
      </c>
    </row>
    <row r="122">
      <c r="A122" s="39" t="n"/>
      <c r="B122" s="29" t="n"/>
      <c r="C122" s="29" t="n"/>
      <c r="D122" s="39" t="n"/>
      <c r="E122" s="29" t="n"/>
      <c r="F122" s="29" t="n"/>
      <c r="G122" s="29" t="n"/>
      <c r="H122" s="39" t="n"/>
      <c r="I122" s="42" t="n"/>
      <c r="J122" s="39" t="n"/>
      <c r="K122" s="39" t="n"/>
      <c r="L122" s="32">
        <f>IF($A122="","",IF(COUNTIF($A:$A,$A122)&gt;1,"كود صنف مكرر",IF($D122="","الوحدة الأساسية ناقصة",IF(COUNTIF(Units!$A:$A,$D122)=0,"وحدة غير معرفة",""))))</f>
        <v/>
      </c>
    </row>
    <row r="123">
      <c r="A123" s="39" t="n"/>
      <c r="B123" s="29" t="n"/>
      <c r="C123" s="29" t="n"/>
      <c r="D123" s="39" t="n"/>
      <c r="E123" s="29" t="n"/>
      <c r="F123" s="29" t="n"/>
      <c r="G123" s="29" t="n"/>
      <c r="H123" s="39" t="n"/>
      <c r="I123" s="42" t="n"/>
      <c r="J123" s="39" t="n"/>
      <c r="K123" s="39" t="n"/>
      <c r="L123" s="32">
        <f>IF($A123="","",IF(COUNTIF($A:$A,$A123)&gt;1,"كود صنف مكرر",IF($D123="","الوحدة الأساسية ناقصة",IF(COUNTIF(Units!$A:$A,$D123)=0,"وحدة غير معرفة",""))))</f>
        <v/>
      </c>
    </row>
    <row r="124">
      <c r="A124" s="39" t="n"/>
      <c r="B124" s="29" t="n"/>
      <c r="C124" s="29" t="n"/>
      <c r="D124" s="39" t="n"/>
      <c r="E124" s="29" t="n"/>
      <c r="F124" s="29" t="n"/>
      <c r="G124" s="29" t="n"/>
      <c r="H124" s="39" t="n"/>
      <c r="I124" s="42" t="n"/>
      <c r="J124" s="39" t="n"/>
      <c r="K124" s="39" t="n"/>
      <c r="L124" s="32">
        <f>IF($A124="","",IF(COUNTIF($A:$A,$A124)&gt;1,"كود صنف مكرر",IF($D124="","الوحدة الأساسية ناقصة",IF(COUNTIF(Units!$A:$A,$D124)=0,"وحدة غير معرفة",""))))</f>
        <v/>
      </c>
    </row>
    <row r="125">
      <c r="A125" s="39" t="n"/>
      <c r="B125" s="29" t="n"/>
      <c r="C125" s="29" t="n"/>
      <c r="D125" s="39" t="n"/>
      <c r="E125" s="29" t="n"/>
      <c r="F125" s="29" t="n"/>
      <c r="G125" s="29" t="n"/>
      <c r="H125" s="39" t="n"/>
      <c r="I125" s="42" t="n"/>
      <c r="J125" s="39" t="n"/>
      <c r="K125" s="39" t="n"/>
      <c r="L125" s="32">
        <f>IF($A125="","",IF(COUNTIF($A:$A,$A125)&gt;1,"كود صنف مكرر",IF($D125="","الوحدة الأساسية ناقصة",IF(COUNTIF(Units!$A:$A,$D125)=0,"وحدة غير معرفة",""))))</f>
        <v/>
      </c>
    </row>
    <row r="126">
      <c r="A126" s="39" t="n"/>
      <c r="B126" s="29" t="n"/>
      <c r="C126" s="29" t="n"/>
      <c r="D126" s="39" t="n"/>
      <c r="E126" s="29" t="n"/>
      <c r="F126" s="29" t="n"/>
      <c r="G126" s="29" t="n"/>
      <c r="H126" s="39" t="n"/>
      <c r="I126" s="42" t="n"/>
      <c r="J126" s="39" t="n"/>
      <c r="K126" s="39" t="n"/>
      <c r="L126" s="32">
        <f>IF($A126="","",IF(COUNTIF($A:$A,$A126)&gt;1,"كود صنف مكرر",IF($D126="","الوحدة الأساسية ناقصة",IF(COUNTIF(Units!$A:$A,$D126)=0,"وحدة غير معرفة",""))))</f>
        <v/>
      </c>
    </row>
    <row r="127">
      <c r="A127" s="39" t="n"/>
      <c r="B127" s="29" t="n"/>
      <c r="C127" s="29" t="n"/>
      <c r="D127" s="39" t="n"/>
      <c r="E127" s="29" t="n"/>
      <c r="F127" s="29" t="n"/>
      <c r="G127" s="29" t="n"/>
      <c r="H127" s="39" t="n"/>
      <c r="I127" s="42" t="n"/>
      <c r="J127" s="39" t="n"/>
      <c r="K127" s="39" t="n"/>
      <c r="L127" s="32">
        <f>IF($A127="","",IF(COUNTIF($A:$A,$A127)&gt;1,"كود صنف مكرر",IF($D127="","الوحدة الأساسية ناقصة",IF(COUNTIF(Units!$A:$A,$D127)=0,"وحدة غير معرفة",""))))</f>
        <v/>
      </c>
    </row>
    <row r="128">
      <c r="A128" s="39" t="n"/>
      <c r="B128" s="29" t="n"/>
      <c r="C128" s="29" t="n"/>
      <c r="D128" s="39" t="n"/>
      <c r="E128" s="29" t="n"/>
      <c r="F128" s="29" t="n"/>
      <c r="G128" s="29" t="n"/>
      <c r="H128" s="39" t="n"/>
      <c r="I128" s="42" t="n"/>
      <c r="J128" s="39" t="n"/>
      <c r="K128" s="39" t="n"/>
      <c r="L128" s="32">
        <f>IF($A128="","",IF(COUNTIF($A:$A,$A128)&gt;1,"كود صنف مكرر",IF($D128="","الوحدة الأساسية ناقصة",IF(COUNTIF(Units!$A:$A,$D128)=0,"وحدة غير معرفة",""))))</f>
        <v/>
      </c>
    </row>
    <row r="129">
      <c r="A129" s="39" t="n"/>
      <c r="B129" s="29" t="n"/>
      <c r="C129" s="29" t="n"/>
      <c r="D129" s="39" t="n"/>
      <c r="E129" s="29" t="n"/>
      <c r="F129" s="29" t="n"/>
      <c r="G129" s="29" t="n"/>
      <c r="H129" s="39" t="n"/>
      <c r="I129" s="42" t="n"/>
      <c r="J129" s="39" t="n"/>
      <c r="K129" s="39" t="n"/>
      <c r="L129" s="32">
        <f>IF($A129="","",IF(COUNTIF($A:$A,$A129)&gt;1,"كود صنف مكرر",IF($D129="","الوحدة الأساسية ناقصة",IF(COUNTIF(Units!$A:$A,$D129)=0,"وحدة غير معرفة",""))))</f>
        <v/>
      </c>
    </row>
    <row r="130">
      <c r="A130" s="39" t="n"/>
      <c r="B130" s="29" t="n"/>
      <c r="C130" s="29" t="n"/>
      <c r="D130" s="39" t="n"/>
      <c r="E130" s="29" t="n"/>
      <c r="F130" s="29" t="n"/>
      <c r="G130" s="29" t="n"/>
      <c r="H130" s="39" t="n"/>
      <c r="I130" s="42" t="n"/>
      <c r="J130" s="39" t="n"/>
      <c r="K130" s="39" t="n"/>
      <c r="L130" s="32">
        <f>IF($A130="","",IF(COUNTIF($A:$A,$A130)&gt;1,"كود صنف مكرر",IF($D130="","الوحدة الأساسية ناقصة",IF(COUNTIF(Units!$A:$A,$D130)=0,"وحدة غير معرفة",""))))</f>
        <v/>
      </c>
    </row>
    <row r="131">
      <c r="A131" s="39" t="n"/>
      <c r="B131" s="29" t="n"/>
      <c r="C131" s="29" t="n"/>
      <c r="D131" s="39" t="n"/>
      <c r="E131" s="29" t="n"/>
      <c r="F131" s="29" t="n"/>
      <c r="G131" s="29" t="n"/>
      <c r="H131" s="39" t="n"/>
      <c r="I131" s="42" t="n"/>
      <c r="J131" s="39" t="n"/>
      <c r="K131" s="39" t="n"/>
      <c r="L131" s="32">
        <f>IF($A131="","",IF(COUNTIF($A:$A,$A131)&gt;1,"كود صنف مكرر",IF($D131="","الوحدة الأساسية ناقصة",IF(COUNTIF(Units!$A:$A,$D131)=0,"وحدة غير معرفة",""))))</f>
        <v/>
      </c>
    </row>
    <row r="132">
      <c r="A132" s="39" t="n"/>
      <c r="B132" s="29" t="n"/>
      <c r="C132" s="29" t="n"/>
      <c r="D132" s="39" t="n"/>
      <c r="E132" s="29" t="n"/>
      <c r="F132" s="29" t="n"/>
      <c r="G132" s="29" t="n"/>
      <c r="H132" s="39" t="n"/>
      <c r="I132" s="42" t="n"/>
      <c r="J132" s="39" t="n"/>
      <c r="K132" s="39" t="n"/>
      <c r="L132" s="32">
        <f>IF($A132="","",IF(COUNTIF($A:$A,$A132)&gt;1,"كود صنف مكرر",IF($D132="","الوحدة الأساسية ناقصة",IF(COUNTIF(Units!$A:$A,$D132)=0,"وحدة غير معرفة",""))))</f>
        <v/>
      </c>
    </row>
    <row r="133">
      <c r="A133" s="39" t="n"/>
      <c r="B133" s="29" t="n"/>
      <c r="C133" s="29" t="n"/>
      <c r="D133" s="39" t="n"/>
      <c r="E133" s="29" t="n"/>
      <c r="F133" s="29" t="n"/>
      <c r="G133" s="29" t="n"/>
      <c r="H133" s="39" t="n"/>
      <c r="I133" s="42" t="n"/>
      <c r="J133" s="39" t="n"/>
      <c r="K133" s="39" t="n"/>
      <c r="L133" s="32">
        <f>IF($A133="","",IF(COUNTIF($A:$A,$A133)&gt;1,"كود صنف مكرر",IF($D133="","الوحدة الأساسية ناقصة",IF(COUNTIF(Units!$A:$A,$D133)=0,"وحدة غير معرفة",""))))</f>
        <v/>
      </c>
    </row>
    <row r="134">
      <c r="A134" s="39" t="n"/>
      <c r="B134" s="29" t="n"/>
      <c r="C134" s="29" t="n"/>
      <c r="D134" s="39" t="n"/>
      <c r="E134" s="29" t="n"/>
      <c r="F134" s="29" t="n"/>
      <c r="G134" s="29" t="n"/>
      <c r="H134" s="39" t="n"/>
      <c r="I134" s="42" t="n"/>
      <c r="J134" s="39" t="n"/>
      <c r="K134" s="39" t="n"/>
      <c r="L134" s="32">
        <f>IF($A134="","",IF(COUNTIF($A:$A,$A134)&gt;1,"كود صنف مكرر",IF($D134="","الوحدة الأساسية ناقصة",IF(COUNTIF(Units!$A:$A,$D134)=0,"وحدة غير معرفة",""))))</f>
        <v/>
      </c>
    </row>
    <row r="135">
      <c r="A135" s="39" t="n"/>
      <c r="B135" s="29" t="n"/>
      <c r="C135" s="29" t="n"/>
      <c r="D135" s="39" t="n"/>
      <c r="E135" s="29" t="n"/>
      <c r="F135" s="29" t="n"/>
      <c r="G135" s="29" t="n"/>
      <c r="H135" s="39" t="n"/>
      <c r="I135" s="42" t="n"/>
      <c r="J135" s="39" t="n"/>
      <c r="K135" s="39" t="n"/>
      <c r="L135" s="32">
        <f>IF($A135="","",IF(COUNTIF($A:$A,$A135)&gt;1,"كود صنف مكرر",IF($D135="","الوحدة الأساسية ناقصة",IF(COUNTIF(Units!$A:$A,$D135)=0,"وحدة غير معرفة",""))))</f>
        <v/>
      </c>
    </row>
    <row r="136">
      <c r="A136" s="39" t="n"/>
      <c r="B136" s="29" t="n"/>
      <c r="C136" s="29" t="n"/>
      <c r="D136" s="39" t="n"/>
      <c r="E136" s="29" t="n"/>
      <c r="F136" s="29" t="n"/>
      <c r="G136" s="29" t="n"/>
      <c r="H136" s="39" t="n"/>
      <c r="I136" s="42" t="n"/>
      <c r="J136" s="39" t="n"/>
      <c r="K136" s="39" t="n"/>
      <c r="L136" s="32">
        <f>IF($A136="","",IF(COUNTIF($A:$A,$A136)&gt;1,"كود صنف مكرر",IF($D136="","الوحدة الأساسية ناقصة",IF(COUNTIF(Units!$A:$A,$D136)=0,"وحدة غير معرفة",""))))</f>
        <v/>
      </c>
    </row>
    <row r="137">
      <c r="A137" s="39" t="n"/>
      <c r="B137" s="29" t="n"/>
      <c r="C137" s="29" t="n"/>
      <c r="D137" s="39" t="n"/>
      <c r="E137" s="29" t="n"/>
      <c r="F137" s="29" t="n"/>
      <c r="G137" s="29" t="n"/>
      <c r="H137" s="39" t="n"/>
      <c r="I137" s="42" t="n"/>
      <c r="J137" s="39" t="n"/>
      <c r="K137" s="39" t="n"/>
      <c r="L137" s="32">
        <f>IF($A137="","",IF(COUNTIF($A:$A,$A137)&gt;1,"كود صنف مكرر",IF($D137="","الوحدة الأساسية ناقصة",IF(COUNTIF(Units!$A:$A,$D137)=0,"وحدة غير معرفة",""))))</f>
        <v/>
      </c>
    </row>
    <row r="138">
      <c r="A138" s="39" t="n"/>
      <c r="B138" s="29" t="n"/>
      <c r="C138" s="29" t="n"/>
      <c r="D138" s="39" t="n"/>
      <c r="E138" s="29" t="n"/>
      <c r="F138" s="29" t="n"/>
      <c r="G138" s="29" t="n"/>
      <c r="H138" s="39" t="n"/>
      <c r="I138" s="42" t="n"/>
      <c r="J138" s="39" t="n"/>
      <c r="K138" s="39" t="n"/>
      <c r="L138" s="32">
        <f>IF($A138="","",IF(COUNTIF($A:$A,$A138)&gt;1,"كود صنف مكرر",IF($D138="","الوحدة الأساسية ناقصة",IF(COUNTIF(Units!$A:$A,$D138)=0,"وحدة غير معرفة",""))))</f>
        <v/>
      </c>
    </row>
    <row r="139">
      <c r="A139" s="39" t="n"/>
      <c r="B139" s="29" t="n"/>
      <c r="C139" s="29" t="n"/>
      <c r="D139" s="39" t="n"/>
      <c r="E139" s="29" t="n"/>
      <c r="F139" s="29" t="n"/>
      <c r="G139" s="29" t="n"/>
      <c r="H139" s="39" t="n"/>
      <c r="I139" s="42" t="n"/>
      <c r="J139" s="39" t="n"/>
      <c r="K139" s="39" t="n"/>
      <c r="L139" s="32">
        <f>IF($A139="","",IF(COUNTIF($A:$A,$A139)&gt;1,"كود صنف مكرر",IF($D139="","الوحدة الأساسية ناقصة",IF(COUNTIF(Units!$A:$A,$D139)=0,"وحدة غير معرفة",""))))</f>
        <v/>
      </c>
    </row>
    <row r="140">
      <c r="A140" s="39" t="n"/>
      <c r="B140" s="29" t="n"/>
      <c r="C140" s="29" t="n"/>
      <c r="D140" s="39" t="n"/>
      <c r="E140" s="29" t="n"/>
      <c r="F140" s="29" t="n"/>
      <c r="G140" s="29" t="n"/>
      <c r="H140" s="39" t="n"/>
      <c r="I140" s="42" t="n"/>
      <c r="J140" s="39" t="n"/>
      <c r="K140" s="39" t="n"/>
      <c r="L140" s="32">
        <f>IF($A140="","",IF(COUNTIF($A:$A,$A140)&gt;1,"كود صنف مكرر",IF($D140="","الوحدة الأساسية ناقصة",IF(COUNTIF(Units!$A:$A,$D140)=0,"وحدة غير معرفة",""))))</f>
        <v/>
      </c>
    </row>
    <row r="141">
      <c r="A141" s="39" t="n"/>
      <c r="B141" s="29" t="n"/>
      <c r="C141" s="29" t="n"/>
      <c r="D141" s="39" t="n"/>
      <c r="E141" s="29" t="n"/>
      <c r="F141" s="29" t="n"/>
      <c r="G141" s="29" t="n"/>
      <c r="H141" s="39" t="n"/>
      <c r="I141" s="42" t="n"/>
      <c r="J141" s="39" t="n"/>
      <c r="K141" s="39" t="n"/>
      <c r="L141" s="32">
        <f>IF($A141="","",IF(COUNTIF($A:$A,$A141)&gt;1,"كود صنف مكرر",IF($D141="","الوحدة الأساسية ناقصة",IF(COUNTIF(Units!$A:$A,$D141)=0,"وحدة غير معرفة",""))))</f>
        <v/>
      </c>
    </row>
    <row r="142">
      <c r="A142" s="39" t="n"/>
      <c r="B142" s="29" t="n"/>
      <c r="C142" s="29" t="n"/>
      <c r="D142" s="39" t="n"/>
      <c r="E142" s="29" t="n"/>
      <c r="F142" s="29" t="n"/>
      <c r="G142" s="29" t="n"/>
      <c r="H142" s="39" t="n"/>
      <c r="I142" s="42" t="n"/>
      <c r="J142" s="39" t="n"/>
      <c r="K142" s="39" t="n"/>
      <c r="L142" s="32">
        <f>IF($A142="","",IF(COUNTIF($A:$A,$A142)&gt;1,"كود صنف مكرر",IF($D142="","الوحدة الأساسية ناقصة",IF(COUNTIF(Units!$A:$A,$D142)=0,"وحدة غير معرفة",""))))</f>
        <v/>
      </c>
    </row>
    <row r="143">
      <c r="A143" s="39" t="n"/>
      <c r="B143" s="29" t="n"/>
      <c r="C143" s="29" t="n"/>
      <c r="D143" s="39" t="n"/>
      <c r="E143" s="29" t="n"/>
      <c r="F143" s="29" t="n"/>
      <c r="G143" s="29" t="n"/>
      <c r="H143" s="39" t="n"/>
      <c r="I143" s="42" t="n"/>
      <c r="J143" s="39" t="n"/>
      <c r="K143" s="39" t="n"/>
      <c r="L143" s="32">
        <f>IF($A143="","",IF(COUNTIF($A:$A,$A143)&gt;1,"كود صنف مكرر",IF($D143="","الوحدة الأساسية ناقصة",IF(COUNTIF(Units!$A:$A,$D143)=0,"وحدة غير معرفة",""))))</f>
        <v/>
      </c>
    </row>
    <row r="144">
      <c r="A144" s="39" t="n"/>
      <c r="B144" s="29" t="n"/>
      <c r="C144" s="29" t="n"/>
      <c r="D144" s="39" t="n"/>
      <c r="E144" s="29" t="n"/>
      <c r="F144" s="29" t="n"/>
      <c r="G144" s="29" t="n"/>
      <c r="H144" s="39" t="n"/>
      <c r="I144" s="42" t="n"/>
      <c r="J144" s="39" t="n"/>
      <c r="K144" s="39" t="n"/>
      <c r="L144" s="32">
        <f>IF($A144="","",IF(COUNTIF($A:$A,$A144)&gt;1,"كود صنف مكرر",IF($D144="","الوحدة الأساسية ناقصة",IF(COUNTIF(Units!$A:$A,$D144)=0,"وحدة غير معرفة",""))))</f>
        <v/>
      </c>
    </row>
    <row r="145">
      <c r="A145" s="39" t="n"/>
      <c r="B145" s="29" t="n"/>
      <c r="C145" s="29" t="n"/>
      <c r="D145" s="39" t="n"/>
      <c r="E145" s="29" t="n"/>
      <c r="F145" s="29" t="n"/>
      <c r="G145" s="29" t="n"/>
      <c r="H145" s="39" t="n"/>
      <c r="I145" s="42" t="n"/>
      <c r="J145" s="39" t="n"/>
      <c r="K145" s="39" t="n"/>
      <c r="L145" s="32">
        <f>IF($A145="","",IF(COUNTIF($A:$A,$A145)&gt;1,"كود صنف مكرر",IF($D145="","الوحدة الأساسية ناقصة",IF(COUNTIF(Units!$A:$A,$D145)=0,"وحدة غير معرفة",""))))</f>
        <v/>
      </c>
    </row>
    <row r="146">
      <c r="A146" s="39" t="n"/>
      <c r="B146" s="29" t="n"/>
      <c r="C146" s="29" t="n"/>
      <c r="D146" s="39" t="n"/>
      <c r="E146" s="29" t="n"/>
      <c r="F146" s="29" t="n"/>
      <c r="G146" s="29" t="n"/>
      <c r="H146" s="39" t="n"/>
      <c r="I146" s="42" t="n"/>
      <c r="J146" s="39" t="n"/>
      <c r="K146" s="39" t="n"/>
      <c r="L146" s="32">
        <f>IF($A146="","",IF(COUNTIF($A:$A,$A146)&gt;1,"كود صنف مكرر",IF($D146="","الوحدة الأساسية ناقصة",IF(COUNTIF(Units!$A:$A,$D146)=0,"وحدة غير معرفة",""))))</f>
        <v/>
      </c>
    </row>
    <row r="147">
      <c r="A147" s="39" t="n"/>
      <c r="B147" s="29" t="n"/>
      <c r="C147" s="29" t="n"/>
      <c r="D147" s="39" t="n"/>
      <c r="E147" s="29" t="n"/>
      <c r="F147" s="29" t="n"/>
      <c r="G147" s="29" t="n"/>
      <c r="H147" s="39" t="n"/>
      <c r="I147" s="42" t="n"/>
      <c r="J147" s="39" t="n"/>
      <c r="K147" s="39" t="n"/>
      <c r="L147" s="32">
        <f>IF($A147="","",IF(COUNTIF($A:$A,$A147)&gt;1,"كود صنف مكرر",IF($D147="","الوحدة الأساسية ناقصة",IF(COUNTIF(Units!$A:$A,$D147)=0,"وحدة غير معرفة",""))))</f>
        <v/>
      </c>
    </row>
    <row r="148">
      <c r="A148" s="39" t="n"/>
      <c r="B148" s="29" t="n"/>
      <c r="C148" s="29" t="n"/>
      <c r="D148" s="39" t="n"/>
      <c r="E148" s="29" t="n"/>
      <c r="F148" s="29" t="n"/>
      <c r="G148" s="29" t="n"/>
      <c r="H148" s="39" t="n"/>
      <c r="I148" s="42" t="n"/>
      <c r="J148" s="39" t="n"/>
      <c r="K148" s="39" t="n"/>
      <c r="L148" s="32">
        <f>IF($A148="","",IF(COUNTIF($A:$A,$A148)&gt;1,"كود صنف مكرر",IF($D148="","الوحدة الأساسية ناقصة",IF(COUNTIF(Units!$A:$A,$D148)=0,"وحدة غير معرفة",""))))</f>
        <v/>
      </c>
    </row>
    <row r="149">
      <c r="A149" s="39" t="n"/>
      <c r="B149" s="29" t="n"/>
      <c r="C149" s="29" t="n"/>
      <c r="D149" s="39" t="n"/>
      <c r="E149" s="29" t="n"/>
      <c r="F149" s="29" t="n"/>
      <c r="G149" s="29" t="n"/>
      <c r="H149" s="39" t="n"/>
      <c r="I149" s="42" t="n"/>
      <c r="J149" s="39" t="n"/>
      <c r="K149" s="39" t="n"/>
      <c r="L149" s="32">
        <f>IF($A149="","",IF(COUNTIF($A:$A,$A149)&gt;1,"كود صنف مكرر",IF($D149="","الوحدة الأساسية ناقصة",IF(COUNTIF(Units!$A:$A,$D149)=0,"وحدة غير معرفة",""))))</f>
        <v/>
      </c>
    </row>
    <row r="150">
      <c r="A150" s="39" t="n"/>
      <c r="B150" s="29" t="n"/>
      <c r="C150" s="29" t="n"/>
      <c r="D150" s="39" t="n"/>
      <c r="E150" s="29" t="n"/>
      <c r="F150" s="29" t="n"/>
      <c r="G150" s="29" t="n"/>
      <c r="H150" s="39" t="n"/>
      <c r="I150" s="42" t="n"/>
      <c r="J150" s="39" t="n"/>
      <c r="K150" s="39" t="n"/>
      <c r="L150" s="32">
        <f>IF($A150="","",IF(COUNTIF($A:$A,$A150)&gt;1,"كود صنف مكرر",IF($D150="","الوحدة الأساسية ناقصة",IF(COUNTIF(Units!$A:$A,$D150)=0,"وحدة غير معرفة",""))))</f>
        <v/>
      </c>
    </row>
    <row r="151">
      <c r="A151" s="39" t="n"/>
      <c r="B151" s="29" t="n"/>
      <c r="C151" s="29" t="n"/>
      <c r="D151" s="39" t="n"/>
      <c r="E151" s="29" t="n"/>
      <c r="F151" s="29" t="n"/>
      <c r="G151" s="29" t="n"/>
      <c r="H151" s="39" t="n"/>
      <c r="I151" s="42" t="n"/>
      <c r="J151" s="39" t="n"/>
      <c r="K151" s="39" t="n"/>
      <c r="L151" s="32">
        <f>IF($A151="","",IF(COUNTIF($A:$A,$A151)&gt;1,"كود صنف مكرر",IF($D151="","الوحدة الأساسية ناقصة",IF(COUNTIF(Units!$A:$A,$D151)=0,"وحدة غير معرفة",""))))</f>
        <v/>
      </c>
    </row>
    <row r="152">
      <c r="A152" s="39" t="n"/>
      <c r="B152" s="29" t="n"/>
      <c r="C152" s="29" t="n"/>
      <c r="D152" s="39" t="n"/>
      <c r="E152" s="29" t="n"/>
      <c r="F152" s="29" t="n"/>
      <c r="G152" s="29" t="n"/>
      <c r="H152" s="39" t="n"/>
      <c r="I152" s="42" t="n"/>
      <c r="J152" s="39" t="n"/>
      <c r="K152" s="39" t="n"/>
      <c r="L152" s="32">
        <f>IF($A152="","",IF(COUNTIF($A:$A,$A152)&gt;1,"كود صنف مكرر",IF($D152="","الوحدة الأساسية ناقصة",IF(COUNTIF(Units!$A:$A,$D152)=0,"وحدة غير معرفة",""))))</f>
        <v/>
      </c>
    </row>
    <row r="153">
      <c r="A153" s="39" t="n"/>
      <c r="B153" s="29" t="n"/>
      <c r="C153" s="29" t="n"/>
      <c r="D153" s="39" t="n"/>
      <c r="E153" s="29" t="n"/>
      <c r="F153" s="29" t="n"/>
      <c r="G153" s="29" t="n"/>
      <c r="H153" s="39" t="n"/>
      <c r="I153" s="42" t="n"/>
      <c r="J153" s="39" t="n"/>
      <c r="K153" s="39" t="n"/>
      <c r="L153" s="32">
        <f>IF($A153="","",IF(COUNTIF($A:$A,$A153)&gt;1,"كود صنف مكرر",IF($D153="","الوحدة الأساسية ناقصة",IF(COUNTIF(Units!$A:$A,$D153)=0,"وحدة غير معرفة",""))))</f>
        <v/>
      </c>
    </row>
    <row r="154">
      <c r="A154" s="39" t="n"/>
      <c r="B154" s="29" t="n"/>
      <c r="C154" s="29" t="n"/>
      <c r="D154" s="39" t="n"/>
      <c r="E154" s="29" t="n"/>
      <c r="F154" s="29" t="n"/>
      <c r="G154" s="29" t="n"/>
      <c r="H154" s="39" t="n"/>
      <c r="I154" s="42" t="n"/>
      <c r="J154" s="39" t="n"/>
      <c r="K154" s="39" t="n"/>
      <c r="L154" s="32">
        <f>IF($A154="","",IF(COUNTIF($A:$A,$A154)&gt;1,"كود صنف مكرر",IF($D154="","الوحدة الأساسية ناقصة",IF(COUNTIF(Units!$A:$A,$D154)=0,"وحدة غير معرفة",""))))</f>
        <v/>
      </c>
    </row>
    <row r="155">
      <c r="A155" s="39" t="n"/>
      <c r="B155" s="29" t="n"/>
      <c r="C155" s="29" t="n"/>
      <c r="D155" s="39" t="n"/>
      <c r="E155" s="29" t="n"/>
      <c r="F155" s="29" t="n"/>
      <c r="G155" s="29" t="n"/>
      <c r="H155" s="39" t="n"/>
      <c r="I155" s="42" t="n"/>
      <c r="J155" s="39" t="n"/>
      <c r="K155" s="39" t="n"/>
      <c r="L155" s="32">
        <f>IF($A155="","",IF(COUNTIF($A:$A,$A155)&gt;1,"كود صنف مكرر",IF($D155="","الوحدة الأساسية ناقصة",IF(COUNTIF(Units!$A:$A,$D155)=0,"وحدة غير معرفة",""))))</f>
        <v/>
      </c>
    </row>
    <row r="156">
      <c r="A156" s="39" t="n"/>
      <c r="B156" s="29" t="n"/>
      <c r="C156" s="29" t="n"/>
      <c r="D156" s="39" t="n"/>
      <c r="E156" s="29" t="n"/>
      <c r="F156" s="29" t="n"/>
      <c r="G156" s="29" t="n"/>
      <c r="H156" s="39" t="n"/>
      <c r="I156" s="42" t="n"/>
      <c r="J156" s="39" t="n"/>
      <c r="K156" s="39" t="n"/>
      <c r="L156" s="32">
        <f>IF($A156="","",IF(COUNTIF($A:$A,$A156)&gt;1,"كود صنف مكرر",IF($D156="","الوحدة الأساسية ناقصة",IF(COUNTIF(Units!$A:$A,$D156)=0,"وحدة غير معرفة",""))))</f>
        <v/>
      </c>
    </row>
    <row r="157">
      <c r="A157" s="39" t="n"/>
      <c r="B157" s="29" t="n"/>
      <c r="C157" s="29" t="n"/>
      <c r="D157" s="39" t="n"/>
      <c r="E157" s="29" t="n"/>
      <c r="F157" s="29" t="n"/>
      <c r="G157" s="29" t="n"/>
      <c r="H157" s="39" t="n"/>
      <c r="I157" s="42" t="n"/>
      <c r="J157" s="39" t="n"/>
      <c r="K157" s="39" t="n"/>
      <c r="L157" s="32">
        <f>IF($A157="","",IF(COUNTIF($A:$A,$A157)&gt;1,"كود صنف مكرر",IF($D157="","الوحدة الأساسية ناقصة",IF(COUNTIF(Units!$A:$A,$D157)=0,"وحدة غير معرفة",""))))</f>
        <v/>
      </c>
    </row>
    <row r="158">
      <c r="A158" s="39" t="n"/>
      <c r="B158" s="29" t="n"/>
      <c r="C158" s="29" t="n"/>
      <c r="D158" s="39" t="n"/>
      <c r="E158" s="29" t="n"/>
      <c r="F158" s="29" t="n"/>
      <c r="G158" s="29" t="n"/>
      <c r="H158" s="39" t="n"/>
      <c r="I158" s="42" t="n"/>
      <c r="J158" s="39" t="n"/>
      <c r="K158" s="39" t="n"/>
      <c r="L158" s="32">
        <f>IF($A158="","",IF(COUNTIF($A:$A,$A158)&gt;1,"كود صنف مكرر",IF($D158="","الوحدة الأساسية ناقصة",IF(COUNTIF(Units!$A:$A,$D158)=0,"وحدة غير معرفة",""))))</f>
        <v/>
      </c>
    </row>
    <row r="159">
      <c r="A159" s="39" t="n"/>
      <c r="B159" s="29" t="n"/>
      <c r="C159" s="29" t="n"/>
      <c r="D159" s="39" t="n"/>
      <c r="E159" s="29" t="n"/>
      <c r="F159" s="29" t="n"/>
      <c r="G159" s="29" t="n"/>
      <c r="H159" s="39" t="n"/>
      <c r="I159" s="42" t="n"/>
      <c r="J159" s="39" t="n"/>
      <c r="K159" s="39" t="n"/>
      <c r="L159" s="32">
        <f>IF($A159="","",IF(COUNTIF($A:$A,$A159)&gt;1,"كود صنف مكرر",IF($D159="","الوحدة الأساسية ناقصة",IF(COUNTIF(Units!$A:$A,$D159)=0,"وحدة غير معرفة",""))))</f>
        <v/>
      </c>
    </row>
    <row r="160">
      <c r="A160" s="39" t="n"/>
      <c r="B160" s="29" t="n"/>
      <c r="C160" s="29" t="n"/>
      <c r="D160" s="39" t="n"/>
      <c r="E160" s="29" t="n"/>
      <c r="F160" s="29" t="n"/>
      <c r="G160" s="29" t="n"/>
      <c r="H160" s="39" t="n"/>
      <c r="I160" s="42" t="n"/>
      <c r="J160" s="39" t="n"/>
      <c r="K160" s="39" t="n"/>
      <c r="L160" s="32">
        <f>IF($A160="","",IF(COUNTIF($A:$A,$A160)&gt;1,"كود صنف مكرر",IF($D160="","الوحدة الأساسية ناقصة",IF(COUNTIF(Units!$A:$A,$D160)=0,"وحدة غير معرفة",""))))</f>
        <v/>
      </c>
    </row>
    <row r="161">
      <c r="A161" s="39" t="n"/>
      <c r="B161" s="29" t="n"/>
      <c r="C161" s="29" t="n"/>
      <c r="D161" s="39" t="n"/>
      <c r="E161" s="29" t="n"/>
      <c r="F161" s="29" t="n"/>
      <c r="G161" s="29" t="n"/>
      <c r="H161" s="39" t="n"/>
      <c r="I161" s="42" t="n"/>
      <c r="J161" s="39" t="n"/>
      <c r="K161" s="39" t="n"/>
      <c r="L161" s="32">
        <f>IF($A161="","",IF(COUNTIF($A:$A,$A161)&gt;1,"كود صنف مكرر",IF($D161="","الوحدة الأساسية ناقصة",IF(COUNTIF(Units!$A:$A,$D161)=0,"وحدة غير معرفة",""))))</f>
        <v/>
      </c>
    </row>
    <row r="162">
      <c r="A162" s="39" t="n"/>
      <c r="B162" s="29" t="n"/>
      <c r="C162" s="29" t="n"/>
      <c r="D162" s="39" t="n"/>
      <c r="E162" s="29" t="n"/>
      <c r="F162" s="29" t="n"/>
      <c r="G162" s="29" t="n"/>
      <c r="H162" s="39" t="n"/>
      <c r="I162" s="42" t="n"/>
      <c r="J162" s="39" t="n"/>
      <c r="K162" s="39" t="n"/>
      <c r="L162" s="32">
        <f>IF($A162="","",IF(COUNTIF($A:$A,$A162)&gt;1,"كود صنف مكرر",IF($D162="","الوحدة الأساسية ناقصة",IF(COUNTIF(Units!$A:$A,$D162)=0,"وحدة غير معرفة",""))))</f>
        <v/>
      </c>
    </row>
    <row r="163">
      <c r="A163" s="39" t="n"/>
      <c r="B163" s="29" t="n"/>
      <c r="C163" s="29" t="n"/>
      <c r="D163" s="39" t="n"/>
      <c r="E163" s="29" t="n"/>
      <c r="F163" s="29" t="n"/>
      <c r="G163" s="29" t="n"/>
      <c r="H163" s="39" t="n"/>
      <c r="I163" s="42" t="n"/>
      <c r="J163" s="39" t="n"/>
      <c r="K163" s="39" t="n"/>
      <c r="L163" s="32">
        <f>IF($A163="","",IF(COUNTIF($A:$A,$A163)&gt;1,"كود صنف مكرر",IF($D163="","الوحدة الأساسية ناقصة",IF(COUNTIF(Units!$A:$A,$D163)=0,"وحدة غير معرفة",""))))</f>
        <v/>
      </c>
    </row>
    <row r="164">
      <c r="A164" s="39" t="n"/>
      <c r="B164" s="29" t="n"/>
      <c r="C164" s="29" t="n"/>
      <c r="D164" s="39" t="n"/>
      <c r="E164" s="29" t="n"/>
      <c r="F164" s="29" t="n"/>
      <c r="G164" s="29" t="n"/>
      <c r="H164" s="39" t="n"/>
      <c r="I164" s="42" t="n"/>
      <c r="J164" s="39" t="n"/>
      <c r="K164" s="39" t="n"/>
      <c r="L164" s="32">
        <f>IF($A164="","",IF(COUNTIF($A:$A,$A164)&gt;1,"كود صنف مكرر",IF($D164="","الوحدة الأساسية ناقصة",IF(COUNTIF(Units!$A:$A,$D164)=0,"وحدة غير معرفة",""))))</f>
        <v/>
      </c>
    </row>
    <row r="165">
      <c r="A165" s="39" t="n"/>
      <c r="B165" s="29" t="n"/>
      <c r="C165" s="29" t="n"/>
      <c r="D165" s="39" t="n"/>
      <c r="E165" s="29" t="n"/>
      <c r="F165" s="29" t="n"/>
      <c r="G165" s="29" t="n"/>
      <c r="H165" s="39" t="n"/>
      <c r="I165" s="42" t="n"/>
      <c r="J165" s="39" t="n"/>
      <c r="K165" s="39" t="n"/>
      <c r="L165" s="32">
        <f>IF($A165="","",IF(COUNTIF($A:$A,$A165)&gt;1,"كود صنف مكرر",IF($D165="","الوحدة الأساسية ناقصة",IF(COUNTIF(Units!$A:$A,$D165)=0,"وحدة غير معرفة",""))))</f>
        <v/>
      </c>
    </row>
    <row r="166">
      <c r="A166" s="39" t="n"/>
      <c r="B166" s="29" t="n"/>
      <c r="C166" s="29" t="n"/>
      <c r="D166" s="39" t="n"/>
      <c r="E166" s="29" t="n"/>
      <c r="F166" s="29" t="n"/>
      <c r="G166" s="29" t="n"/>
      <c r="H166" s="39" t="n"/>
      <c r="I166" s="42" t="n"/>
      <c r="J166" s="39" t="n"/>
      <c r="K166" s="39" t="n"/>
      <c r="L166" s="32">
        <f>IF($A166="","",IF(COUNTIF($A:$A,$A166)&gt;1,"كود صنف مكرر",IF($D166="","الوحدة الأساسية ناقصة",IF(COUNTIF(Units!$A:$A,$D166)=0,"وحدة غير معرفة",""))))</f>
        <v/>
      </c>
    </row>
    <row r="167">
      <c r="A167" s="39" t="n"/>
      <c r="B167" s="29" t="n"/>
      <c r="C167" s="29" t="n"/>
      <c r="D167" s="39" t="n"/>
      <c r="E167" s="29" t="n"/>
      <c r="F167" s="29" t="n"/>
      <c r="G167" s="29" t="n"/>
      <c r="H167" s="39" t="n"/>
      <c r="I167" s="42" t="n"/>
      <c r="J167" s="39" t="n"/>
      <c r="K167" s="39" t="n"/>
      <c r="L167" s="32">
        <f>IF($A167="","",IF(COUNTIF($A:$A,$A167)&gt;1,"كود صنف مكرر",IF($D167="","الوحدة الأساسية ناقصة",IF(COUNTIF(Units!$A:$A,$D167)=0,"وحدة غير معرفة",""))))</f>
        <v/>
      </c>
    </row>
    <row r="168">
      <c r="A168" s="39" t="n"/>
      <c r="B168" s="29" t="n"/>
      <c r="C168" s="29" t="n"/>
      <c r="D168" s="39" t="n"/>
      <c r="E168" s="29" t="n"/>
      <c r="F168" s="29" t="n"/>
      <c r="G168" s="29" t="n"/>
      <c r="H168" s="39" t="n"/>
      <c r="I168" s="42" t="n"/>
      <c r="J168" s="39" t="n"/>
      <c r="K168" s="39" t="n"/>
      <c r="L168" s="32">
        <f>IF($A168="","",IF(COUNTIF($A:$A,$A168)&gt;1,"كود صنف مكرر",IF($D168="","الوحدة الأساسية ناقصة",IF(COUNTIF(Units!$A:$A,$D168)=0,"وحدة غير معرفة",""))))</f>
        <v/>
      </c>
    </row>
    <row r="169">
      <c r="A169" s="39" t="n"/>
      <c r="B169" s="29" t="n"/>
      <c r="C169" s="29" t="n"/>
      <c r="D169" s="39" t="n"/>
      <c r="E169" s="29" t="n"/>
      <c r="F169" s="29" t="n"/>
      <c r="G169" s="29" t="n"/>
      <c r="H169" s="39" t="n"/>
      <c r="I169" s="42" t="n"/>
      <c r="J169" s="39" t="n"/>
      <c r="K169" s="39" t="n"/>
      <c r="L169" s="32">
        <f>IF($A169="","",IF(COUNTIF($A:$A,$A169)&gt;1,"كود صنف مكرر",IF($D169="","الوحدة الأساسية ناقصة",IF(COUNTIF(Units!$A:$A,$D169)=0,"وحدة غير معرفة",""))))</f>
        <v/>
      </c>
    </row>
    <row r="170">
      <c r="A170" s="39" t="n"/>
      <c r="B170" s="29" t="n"/>
      <c r="C170" s="29" t="n"/>
      <c r="D170" s="39" t="n"/>
      <c r="E170" s="29" t="n"/>
      <c r="F170" s="29" t="n"/>
      <c r="G170" s="29" t="n"/>
      <c r="H170" s="39" t="n"/>
      <c r="I170" s="42" t="n"/>
      <c r="J170" s="39" t="n"/>
      <c r="K170" s="39" t="n"/>
      <c r="L170" s="32">
        <f>IF($A170="","",IF(COUNTIF($A:$A,$A170)&gt;1,"كود صنف مكرر",IF($D170="","الوحدة الأساسية ناقصة",IF(COUNTIF(Units!$A:$A,$D170)=0,"وحدة غير معرفة",""))))</f>
        <v/>
      </c>
    </row>
    <row r="171">
      <c r="A171" s="39" t="n"/>
      <c r="B171" s="29" t="n"/>
      <c r="C171" s="29" t="n"/>
      <c r="D171" s="39" t="n"/>
      <c r="E171" s="29" t="n"/>
      <c r="F171" s="29" t="n"/>
      <c r="G171" s="29" t="n"/>
      <c r="H171" s="39" t="n"/>
      <c r="I171" s="42" t="n"/>
      <c r="J171" s="39" t="n"/>
      <c r="K171" s="39" t="n"/>
      <c r="L171" s="32">
        <f>IF($A171="","",IF(COUNTIF($A:$A,$A171)&gt;1,"كود صنف مكرر",IF($D171="","الوحدة الأساسية ناقصة",IF(COUNTIF(Units!$A:$A,$D171)=0,"وحدة غير معرفة",""))))</f>
        <v/>
      </c>
    </row>
    <row r="172">
      <c r="A172" s="39" t="n"/>
      <c r="B172" s="29" t="n"/>
      <c r="C172" s="29" t="n"/>
      <c r="D172" s="39" t="n"/>
      <c r="E172" s="29" t="n"/>
      <c r="F172" s="29" t="n"/>
      <c r="G172" s="29" t="n"/>
      <c r="H172" s="39" t="n"/>
      <c r="I172" s="42" t="n"/>
      <c r="J172" s="39" t="n"/>
      <c r="K172" s="39" t="n"/>
      <c r="L172" s="32">
        <f>IF($A172="","",IF(COUNTIF($A:$A,$A172)&gt;1,"كود صنف مكرر",IF($D172="","الوحدة الأساسية ناقصة",IF(COUNTIF(Units!$A:$A,$D172)=0,"وحدة غير معرفة",""))))</f>
        <v/>
      </c>
    </row>
    <row r="173">
      <c r="A173" s="39" t="n"/>
      <c r="B173" s="29" t="n"/>
      <c r="C173" s="29" t="n"/>
      <c r="D173" s="39" t="n"/>
      <c r="E173" s="29" t="n"/>
      <c r="F173" s="29" t="n"/>
      <c r="G173" s="29" t="n"/>
      <c r="H173" s="39" t="n"/>
      <c r="I173" s="42" t="n"/>
      <c r="J173" s="39" t="n"/>
      <c r="K173" s="39" t="n"/>
      <c r="L173" s="32">
        <f>IF($A173="","",IF(COUNTIF($A:$A,$A173)&gt;1,"كود صنف مكرر",IF($D173="","الوحدة الأساسية ناقصة",IF(COUNTIF(Units!$A:$A,$D173)=0,"وحدة غير معرفة",""))))</f>
        <v/>
      </c>
    </row>
    <row r="174">
      <c r="A174" s="39" t="n"/>
      <c r="B174" s="29" t="n"/>
      <c r="C174" s="29" t="n"/>
      <c r="D174" s="39" t="n"/>
      <c r="E174" s="29" t="n"/>
      <c r="F174" s="29" t="n"/>
      <c r="G174" s="29" t="n"/>
      <c r="H174" s="39" t="n"/>
      <c r="I174" s="42" t="n"/>
      <c r="J174" s="39" t="n"/>
      <c r="K174" s="39" t="n"/>
      <c r="L174" s="32">
        <f>IF($A174="","",IF(COUNTIF($A:$A,$A174)&gt;1,"كود صنف مكرر",IF($D174="","الوحدة الأساسية ناقصة",IF(COUNTIF(Units!$A:$A,$D174)=0,"وحدة غير معرفة",""))))</f>
        <v/>
      </c>
    </row>
    <row r="175">
      <c r="A175" s="39" t="n"/>
      <c r="B175" s="29" t="n"/>
      <c r="C175" s="29" t="n"/>
      <c r="D175" s="39" t="n"/>
      <c r="E175" s="29" t="n"/>
      <c r="F175" s="29" t="n"/>
      <c r="G175" s="29" t="n"/>
      <c r="H175" s="39" t="n"/>
      <c r="I175" s="42" t="n"/>
      <c r="J175" s="39" t="n"/>
      <c r="K175" s="39" t="n"/>
      <c r="L175" s="32">
        <f>IF($A175="","",IF(COUNTIF($A:$A,$A175)&gt;1,"كود صنف مكرر",IF($D175="","الوحدة الأساسية ناقصة",IF(COUNTIF(Units!$A:$A,$D175)=0,"وحدة غير معرفة",""))))</f>
        <v/>
      </c>
    </row>
    <row r="176">
      <c r="A176" s="39" t="n"/>
      <c r="B176" s="29" t="n"/>
      <c r="C176" s="29" t="n"/>
      <c r="D176" s="39" t="n"/>
      <c r="E176" s="29" t="n"/>
      <c r="F176" s="29" t="n"/>
      <c r="G176" s="29" t="n"/>
      <c r="H176" s="39" t="n"/>
      <c r="I176" s="42" t="n"/>
      <c r="J176" s="39" t="n"/>
      <c r="K176" s="39" t="n"/>
      <c r="L176" s="32">
        <f>IF($A176="","",IF(COUNTIF($A:$A,$A176)&gt;1,"كود صنف مكرر",IF($D176="","الوحدة الأساسية ناقصة",IF(COUNTIF(Units!$A:$A,$D176)=0,"وحدة غير معرفة",""))))</f>
        <v/>
      </c>
    </row>
    <row r="177">
      <c r="A177" s="39" t="n"/>
      <c r="B177" s="29" t="n"/>
      <c r="C177" s="29" t="n"/>
      <c r="D177" s="39" t="n"/>
      <c r="E177" s="29" t="n"/>
      <c r="F177" s="29" t="n"/>
      <c r="G177" s="29" t="n"/>
      <c r="H177" s="39" t="n"/>
      <c r="I177" s="42" t="n"/>
      <c r="J177" s="39" t="n"/>
      <c r="K177" s="39" t="n"/>
      <c r="L177" s="32">
        <f>IF($A177="","",IF(COUNTIF($A:$A,$A177)&gt;1,"كود صنف مكرر",IF($D177="","الوحدة الأساسية ناقصة",IF(COUNTIF(Units!$A:$A,$D177)=0,"وحدة غير معرفة",""))))</f>
        <v/>
      </c>
    </row>
    <row r="178">
      <c r="A178" s="39" t="n"/>
      <c r="B178" s="29" t="n"/>
      <c r="C178" s="29" t="n"/>
      <c r="D178" s="39" t="n"/>
      <c r="E178" s="29" t="n"/>
      <c r="F178" s="29" t="n"/>
      <c r="G178" s="29" t="n"/>
      <c r="H178" s="39" t="n"/>
      <c r="I178" s="42" t="n"/>
      <c r="J178" s="39" t="n"/>
      <c r="K178" s="39" t="n"/>
      <c r="L178" s="32">
        <f>IF($A178="","",IF(COUNTIF($A:$A,$A178)&gt;1,"كود صنف مكرر",IF($D178="","الوحدة الأساسية ناقصة",IF(COUNTIF(Units!$A:$A,$D178)=0,"وحدة غير معرفة",""))))</f>
        <v/>
      </c>
    </row>
    <row r="179">
      <c r="A179" s="39" t="n"/>
      <c r="B179" s="29" t="n"/>
      <c r="C179" s="29" t="n"/>
      <c r="D179" s="39" t="n"/>
      <c r="E179" s="29" t="n"/>
      <c r="F179" s="29" t="n"/>
      <c r="G179" s="29" t="n"/>
      <c r="H179" s="39" t="n"/>
      <c r="I179" s="42" t="n"/>
      <c r="J179" s="39" t="n"/>
      <c r="K179" s="39" t="n"/>
      <c r="L179" s="32">
        <f>IF($A179="","",IF(COUNTIF($A:$A,$A179)&gt;1,"كود صنف مكرر",IF($D179="","الوحدة الأساسية ناقصة",IF(COUNTIF(Units!$A:$A,$D179)=0,"وحدة غير معرفة",""))))</f>
        <v/>
      </c>
    </row>
    <row r="180">
      <c r="A180" s="39" t="n"/>
      <c r="B180" s="29" t="n"/>
      <c r="C180" s="29" t="n"/>
      <c r="D180" s="39" t="n"/>
      <c r="E180" s="29" t="n"/>
      <c r="F180" s="29" t="n"/>
      <c r="G180" s="29" t="n"/>
      <c r="H180" s="39" t="n"/>
      <c r="I180" s="42" t="n"/>
      <c r="J180" s="39" t="n"/>
      <c r="K180" s="39" t="n"/>
      <c r="L180" s="32">
        <f>IF($A180="","",IF(COUNTIF($A:$A,$A180)&gt;1,"كود صنف مكرر",IF($D180="","الوحدة الأساسية ناقصة",IF(COUNTIF(Units!$A:$A,$D180)=0,"وحدة غير معرفة",""))))</f>
        <v/>
      </c>
    </row>
    <row r="181">
      <c r="A181" s="39" t="n"/>
      <c r="B181" s="29" t="n"/>
      <c r="C181" s="29" t="n"/>
      <c r="D181" s="39" t="n"/>
      <c r="E181" s="29" t="n"/>
      <c r="F181" s="29" t="n"/>
      <c r="G181" s="29" t="n"/>
      <c r="H181" s="39" t="n"/>
      <c r="I181" s="42" t="n"/>
      <c r="J181" s="39" t="n"/>
      <c r="K181" s="39" t="n"/>
      <c r="L181" s="32">
        <f>IF($A181="","",IF(COUNTIF($A:$A,$A181)&gt;1,"كود صنف مكرر",IF($D181="","الوحدة الأساسية ناقصة",IF(COUNTIF(Units!$A:$A,$D181)=0,"وحدة غير معرفة",""))))</f>
        <v/>
      </c>
    </row>
    <row r="182">
      <c r="A182" s="39" t="n"/>
      <c r="B182" s="29" t="n"/>
      <c r="C182" s="29" t="n"/>
      <c r="D182" s="39" t="n"/>
      <c r="E182" s="29" t="n"/>
      <c r="F182" s="29" t="n"/>
      <c r="G182" s="29" t="n"/>
      <c r="H182" s="39" t="n"/>
      <c r="I182" s="42" t="n"/>
      <c r="J182" s="39" t="n"/>
      <c r="K182" s="39" t="n"/>
      <c r="L182" s="32">
        <f>IF($A182="","",IF(COUNTIF($A:$A,$A182)&gt;1,"كود صنف مكرر",IF($D182="","الوحدة الأساسية ناقصة",IF(COUNTIF(Units!$A:$A,$D182)=0,"وحدة غير معرفة",""))))</f>
        <v/>
      </c>
    </row>
    <row r="183">
      <c r="A183" s="39" t="n"/>
      <c r="B183" s="29" t="n"/>
      <c r="C183" s="29" t="n"/>
      <c r="D183" s="39" t="n"/>
      <c r="E183" s="29" t="n"/>
      <c r="F183" s="29" t="n"/>
      <c r="G183" s="29" t="n"/>
      <c r="H183" s="39" t="n"/>
      <c r="I183" s="42" t="n"/>
      <c r="J183" s="39" t="n"/>
      <c r="K183" s="39" t="n"/>
      <c r="L183" s="32">
        <f>IF($A183="","",IF(COUNTIF($A:$A,$A183)&gt;1,"كود صنف مكرر",IF($D183="","الوحدة الأساسية ناقصة",IF(COUNTIF(Units!$A:$A,$D183)=0,"وحدة غير معرفة",""))))</f>
        <v/>
      </c>
    </row>
    <row r="184">
      <c r="A184" s="39" t="n"/>
      <c r="B184" s="29" t="n"/>
      <c r="C184" s="29" t="n"/>
      <c r="D184" s="39" t="n"/>
      <c r="E184" s="29" t="n"/>
      <c r="F184" s="29" t="n"/>
      <c r="G184" s="29" t="n"/>
      <c r="H184" s="39" t="n"/>
      <c r="I184" s="42" t="n"/>
      <c r="J184" s="39" t="n"/>
      <c r="K184" s="39" t="n"/>
      <c r="L184" s="32">
        <f>IF($A184="","",IF(COUNTIF($A:$A,$A184)&gt;1,"كود صنف مكرر",IF($D184="","الوحدة الأساسية ناقصة",IF(COUNTIF(Units!$A:$A,$D184)=0,"وحدة غير معرفة",""))))</f>
        <v/>
      </c>
    </row>
    <row r="185">
      <c r="A185" s="39" t="n"/>
      <c r="B185" s="29" t="n"/>
      <c r="C185" s="29" t="n"/>
      <c r="D185" s="39" t="n"/>
      <c r="E185" s="29" t="n"/>
      <c r="F185" s="29" t="n"/>
      <c r="G185" s="29" t="n"/>
      <c r="H185" s="39" t="n"/>
      <c r="I185" s="42" t="n"/>
      <c r="J185" s="39" t="n"/>
      <c r="K185" s="39" t="n"/>
      <c r="L185" s="32">
        <f>IF($A185="","",IF(COUNTIF($A:$A,$A185)&gt;1,"كود صنف مكرر",IF($D185="","الوحدة الأساسية ناقصة",IF(COUNTIF(Units!$A:$A,$D185)=0,"وحدة غير معرفة",""))))</f>
        <v/>
      </c>
    </row>
    <row r="186">
      <c r="A186" s="39" t="n"/>
      <c r="B186" s="29" t="n"/>
      <c r="C186" s="29" t="n"/>
      <c r="D186" s="39" t="n"/>
      <c r="E186" s="29" t="n"/>
      <c r="F186" s="29" t="n"/>
      <c r="G186" s="29" t="n"/>
      <c r="H186" s="39" t="n"/>
      <c r="I186" s="42" t="n"/>
      <c r="J186" s="39" t="n"/>
      <c r="K186" s="39" t="n"/>
      <c r="L186" s="32">
        <f>IF($A186="","",IF(COUNTIF($A:$A,$A186)&gt;1,"كود صنف مكرر",IF($D186="","الوحدة الأساسية ناقصة",IF(COUNTIF(Units!$A:$A,$D186)=0,"وحدة غير معرفة",""))))</f>
        <v/>
      </c>
    </row>
    <row r="187">
      <c r="A187" s="39" t="n"/>
      <c r="B187" s="29" t="n"/>
      <c r="C187" s="29" t="n"/>
      <c r="D187" s="39" t="n"/>
      <c r="E187" s="29" t="n"/>
      <c r="F187" s="29" t="n"/>
      <c r="G187" s="29" t="n"/>
      <c r="H187" s="39" t="n"/>
      <c r="I187" s="42" t="n"/>
      <c r="J187" s="39" t="n"/>
      <c r="K187" s="39" t="n"/>
      <c r="L187" s="32">
        <f>IF($A187="","",IF(COUNTIF($A:$A,$A187)&gt;1,"كود صنف مكرر",IF($D187="","الوحدة الأساسية ناقصة",IF(COUNTIF(Units!$A:$A,$D187)=0,"وحدة غير معرفة",""))))</f>
        <v/>
      </c>
    </row>
    <row r="188">
      <c r="A188" s="39" t="n"/>
      <c r="B188" s="29" t="n"/>
      <c r="C188" s="29" t="n"/>
      <c r="D188" s="39" t="n"/>
      <c r="E188" s="29" t="n"/>
      <c r="F188" s="29" t="n"/>
      <c r="G188" s="29" t="n"/>
      <c r="H188" s="39" t="n"/>
      <c r="I188" s="42" t="n"/>
      <c r="J188" s="39" t="n"/>
      <c r="K188" s="39" t="n"/>
      <c r="L188" s="32">
        <f>IF($A188="","",IF(COUNTIF($A:$A,$A188)&gt;1,"كود صنف مكرر",IF($D188="","الوحدة الأساسية ناقصة",IF(COUNTIF(Units!$A:$A,$D188)=0,"وحدة غير معرفة",""))))</f>
        <v/>
      </c>
    </row>
    <row r="189">
      <c r="A189" s="39" t="n"/>
      <c r="B189" s="29" t="n"/>
      <c r="C189" s="29" t="n"/>
      <c r="D189" s="39" t="n"/>
      <c r="E189" s="29" t="n"/>
      <c r="F189" s="29" t="n"/>
      <c r="G189" s="29" t="n"/>
      <c r="H189" s="39" t="n"/>
      <c r="I189" s="42" t="n"/>
      <c r="J189" s="39" t="n"/>
      <c r="K189" s="39" t="n"/>
      <c r="L189" s="32">
        <f>IF($A189="","",IF(COUNTIF($A:$A,$A189)&gt;1,"كود صنف مكرر",IF($D189="","الوحدة الأساسية ناقصة",IF(COUNTIF(Units!$A:$A,$D189)=0,"وحدة غير معرفة",""))))</f>
        <v/>
      </c>
    </row>
    <row r="190">
      <c r="A190" s="39" t="n"/>
      <c r="B190" s="29" t="n"/>
      <c r="C190" s="29" t="n"/>
      <c r="D190" s="39" t="n"/>
      <c r="E190" s="29" t="n"/>
      <c r="F190" s="29" t="n"/>
      <c r="G190" s="29" t="n"/>
      <c r="H190" s="39" t="n"/>
      <c r="I190" s="42" t="n"/>
      <c r="J190" s="39" t="n"/>
      <c r="K190" s="39" t="n"/>
      <c r="L190" s="32">
        <f>IF($A190="","",IF(COUNTIF($A:$A,$A190)&gt;1,"كود صنف مكرر",IF($D190="","الوحدة الأساسية ناقصة",IF(COUNTIF(Units!$A:$A,$D190)=0,"وحدة غير معرفة",""))))</f>
        <v/>
      </c>
    </row>
    <row r="191">
      <c r="A191" s="39" t="n"/>
      <c r="B191" s="29" t="n"/>
      <c r="C191" s="29" t="n"/>
      <c r="D191" s="39" t="n"/>
      <c r="E191" s="29" t="n"/>
      <c r="F191" s="29" t="n"/>
      <c r="G191" s="29" t="n"/>
      <c r="H191" s="39" t="n"/>
      <c r="I191" s="42" t="n"/>
      <c r="J191" s="39" t="n"/>
      <c r="K191" s="39" t="n"/>
      <c r="L191" s="32">
        <f>IF($A191="","",IF(COUNTIF($A:$A,$A191)&gt;1,"كود صنف مكرر",IF($D191="","الوحدة الأساسية ناقصة",IF(COUNTIF(Units!$A:$A,$D191)=0,"وحدة غير معرفة",""))))</f>
        <v/>
      </c>
    </row>
    <row r="192">
      <c r="A192" s="39" t="n"/>
      <c r="B192" s="29" t="n"/>
      <c r="C192" s="29" t="n"/>
      <c r="D192" s="39" t="n"/>
      <c r="E192" s="29" t="n"/>
      <c r="F192" s="29" t="n"/>
      <c r="G192" s="29" t="n"/>
      <c r="H192" s="39" t="n"/>
      <c r="I192" s="42" t="n"/>
      <c r="J192" s="39" t="n"/>
      <c r="K192" s="39" t="n"/>
      <c r="L192" s="32">
        <f>IF($A192="","",IF(COUNTIF($A:$A,$A192)&gt;1,"كود صنف مكرر",IF($D192="","الوحدة الأساسية ناقصة",IF(COUNTIF(Units!$A:$A,$D192)=0,"وحدة غير معرفة",""))))</f>
        <v/>
      </c>
    </row>
    <row r="193">
      <c r="A193" s="39" t="n"/>
      <c r="B193" s="29" t="n"/>
      <c r="C193" s="29" t="n"/>
      <c r="D193" s="39" t="n"/>
      <c r="E193" s="29" t="n"/>
      <c r="F193" s="29" t="n"/>
      <c r="G193" s="29" t="n"/>
      <c r="H193" s="39" t="n"/>
      <c r="I193" s="42" t="n"/>
      <c r="J193" s="39" t="n"/>
      <c r="K193" s="39" t="n"/>
      <c r="L193" s="32">
        <f>IF($A193="","",IF(COUNTIF($A:$A,$A193)&gt;1,"كود صنف مكرر",IF($D193="","الوحدة الأساسية ناقصة",IF(COUNTIF(Units!$A:$A,$D193)=0,"وحدة غير معرفة",""))))</f>
        <v/>
      </c>
    </row>
    <row r="194">
      <c r="A194" s="39" t="n"/>
      <c r="B194" s="29" t="n"/>
      <c r="C194" s="29" t="n"/>
      <c r="D194" s="39" t="n"/>
      <c r="E194" s="29" t="n"/>
      <c r="F194" s="29" t="n"/>
      <c r="G194" s="29" t="n"/>
      <c r="H194" s="39" t="n"/>
      <c r="I194" s="42" t="n"/>
      <c r="J194" s="39" t="n"/>
      <c r="K194" s="39" t="n"/>
      <c r="L194" s="32">
        <f>IF($A194="","",IF(COUNTIF($A:$A,$A194)&gt;1,"كود صنف مكرر",IF($D194="","الوحدة الأساسية ناقصة",IF(COUNTIF(Units!$A:$A,$D194)=0,"وحدة غير معرفة",""))))</f>
        <v/>
      </c>
    </row>
    <row r="195">
      <c r="A195" s="39" t="n"/>
      <c r="B195" s="29" t="n"/>
      <c r="C195" s="29" t="n"/>
      <c r="D195" s="39" t="n"/>
      <c r="E195" s="29" t="n"/>
      <c r="F195" s="29" t="n"/>
      <c r="G195" s="29" t="n"/>
      <c r="H195" s="39" t="n"/>
      <c r="I195" s="42" t="n"/>
      <c r="J195" s="39" t="n"/>
      <c r="K195" s="39" t="n"/>
      <c r="L195" s="32">
        <f>IF($A195="","",IF(COUNTIF($A:$A,$A195)&gt;1,"كود صنف مكرر",IF($D195="","الوحدة الأساسية ناقصة",IF(COUNTIF(Units!$A:$A,$D195)=0,"وحدة غير معرفة",""))))</f>
        <v/>
      </c>
    </row>
    <row r="196">
      <c r="A196" s="39" t="n"/>
      <c r="B196" s="29" t="n"/>
      <c r="C196" s="29" t="n"/>
      <c r="D196" s="39" t="n"/>
      <c r="E196" s="29" t="n"/>
      <c r="F196" s="29" t="n"/>
      <c r="G196" s="29" t="n"/>
      <c r="H196" s="39" t="n"/>
      <c r="I196" s="42" t="n"/>
      <c r="J196" s="39" t="n"/>
      <c r="K196" s="39" t="n"/>
      <c r="L196" s="32">
        <f>IF($A196="","",IF(COUNTIF($A:$A,$A196)&gt;1,"كود صنف مكرر",IF($D196="","الوحدة الأساسية ناقصة",IF(COUNTIF(Units!$A:$A,$D196)=0,"وحدة غير معرفة",""))))</f>
        <v/>
      </c>
    </row>
    <row r="197">
      <c r="A197" s="39" t="n"/>
      <c r="B197" s="29" t="n"/>
      <c r="C197" s="29" t="n"/>
      <c r="D197" s="39" t="n"/>
      <c r="E197" s="29" t="n"/>
      <c r="F197" s="29" t="n"/>
      <c r="G197" s="29" t="n"/>
      <c r="H197" s="39" t="n"/>
      <c r="I197" s="42" t="n"/>
      <c r="J197" s="39" t="n"/>
      <c r="K197" s="39" t="n"/>
      <c r="L197" s="32">
        <f>IF($A197="","",IF(COUNTIF($A:$A,$A197)&gt;1,"كود صنف مكرر",IF($D197="","الوحدة الأساسية ناقصة",IF(COUNTIF(Units!$A:$A,$D197)=0,"وحدة غير معرفة",""))))</f>
        <v/>
      </c>
    </row>
    <row r="198">
      <c r="A198" s="39" t="n"/>
      <c r="B198" s="29" t="n"/>
      <c r="C198" s="29" t="n"/>
      <c r="D198" s="39" t="n"/>
      <c r="E198" s="29" t="n"/>
      <c r="F198" s="29" t="n"/>
      <c r="G198" s="29" t="n"/>
      <c r="H198" s="39" t="n"/>
      <c r="I198" s="42" t="n"/>
      <c r="J198" s="39" t="n"/>
      <c r="K198" s="39" t="n"/>
      <c r="L198" s="32">
        <f>IF($A198="","",IF(COUNTIF($A:$A,$A198)&gt;1,"كود صنف مكرر",IF($D198="","الوحدة الأساسية ناقصة",IF(COUNTIF(Units!$A:$A,$D198)=0,"وحدة غير معرفة",""))))</f>
        <v/>
      </c>
    </row>
    <row r="199">
      <c r="A199" s="39" t="n"/>
      <c r="B199" s="29" t="n"/>
      <c r="C199" s="29" t="n"/>
      <c r="D199" s="39" t="n"/>
      <c r="E199" s="29" t="n"/>
      <c r="F199" s="29" t="n"/>
      <c r="G199" s="29" t="n"/>
      <c r="H199" s="39" t="n"/>
      <c r="I199" s="42" t="n"/>
      <c r="J199" s="39" t="n"/>
      <c r="K199" s="39" t="n"/>
      <c r="L199" s="32">
        <f>IF($A199="","",IF(COUNTIF($A:$A,$A199)&gt;1,"كود صنف مكرر",IF($D199="","الوحدة الأساسية ناقصة",IF(COUNTIF(Units!$A:$A,$D199)=0,"وحدة غير معرفة",""))))</f>
        <v/>
      </c>
    </row>
    <row r="200">
      <c r="A200" s="39" t="n"/>
      <c r="B200" s="29" t="n"/>
      <c r="C200" s="29" t="n"/>
      <c r="D200" s="39" t="n"/>
      <c r="E200" s="29" t="n"/>
      <c r="F200" s="29" t="n"/>
      <c r="G200" s="29" t="n"/>
      <c r="H200" s="39" t="n"/>
      <c r="I200" s="42" t="n"/>
      <c r="J200" s="39" t="n"/>
      <c r="K200" s="39" t="n"/>
      <c r="L200" s="32">
        <f>IF($A200="","",IF(COUNTIF($A:$A,$A200)&gt;1,"كود صنف مكرر",IF($D200="","الوحدة الأساسية ناقصة",IF(COUNTIF(Units!$A:$A,$D200)=0,"وحدة غير معرفة",""))))</f>
        <v/>
      </c>
    </row>
    <row r="201">
      <c r="A201" s="39" t="n"/>
      <c r="B201" s="29" t="n"/>
      <c r="C201" s="29" t="n"/>
      <c r="D201" s="39" t="n"/>
      <c r="E201" s="29" t="n"/>
      <c r="F201" s="29" t="n"/>
      <c r="G201" s="29" t="n"/>
      <c r="H201" s="39" t="n"/>
      <c r="I201" s="42" t="n"/>
      <c r="J201" s="39" t="n"/>
      <c r="K201" s="39" t="n"/>
      <c r="L201" s="32">
        <f>IF($A201="","",IF(COUNTIF($A:$A,$A201)&gt;1,"كود صنف مكرر",IF($D201="","الوحدة الأساسية ناقصة",IF(COUNTIF(Units!$A:$A,$D201)=0,"وحدة غير معرفة",""))))</f>
        <v/>
      </c>
    </row>
    <row r="202">
      <c r="A202" s="39" t="n"/>
      <c r="B202" s="29" t="n"/>
      <c r="C202" s="29" t="n"/>
      <c r="D202" s="39" t="n"/>
      <c r="E202" s="29" t="n"/>
      <c r="F202" s="29" t="n"/>
      <c r="G202" s="29" t="n"/>
      <c r="H202" s="39" t="n"/>
      <c r="I202" s="42" t="n"/>
      <c r="J202" s="39" t="n"/>
      <c r="K202" s="39" t="n"/>
      <c r="L202" s="32">
        <f>IF($A202="","",IF(COUNTIF($A:$A,$A202)&gt;1,"كود صنف مكرر",IF($D202="","الوحدة الأساسية ناقصة",IF(COUNTIF(Units!$A:$A,$D202)=0,"وحدة غير معرفة",""))))</f>
        <v/>
      </c>
    </row>
    <row r="203">
      <c r="A203" s="39" t="n"/>
      <c r="B203" s="29" t="n"/>
      <c r="C203" s="29" t="n"/>
      <c r="D203" s="39" t="n"/>
      <c r="E203" s="29" t="n"/>
      <c r="F203" s="29" t="n"/>
      <c r="G203" s="29" t="n"/>
      <c r="H203" s="39" t="n"/>
      <c r="I203" s="42" t="n"/>
      <c r="J203" s="39" t="n"/>
      <c r="K203" s="39" t="n"/>
      <c r="L203" s="32">
        <f>IF($A203="","",IF(COUNTIF($A:$A,$A203)&gt;1,"كود صنف مكرر",IF($D203="","الوحدة الأساسية ناقصة",IF(COUNTIF(Units!$A:$A,$D203)=0,"وحدة غير معرفة",""))))</f>
        <v/>
      </c>
    </row>
    <row r="204">
      <c r="A204" s="39" t="n"/>
      <c r="B204" s="29" t="n"/>
      <c r="C204" s="29" t="n"/>
      <c r="D204" s="39" t="n"/>
      <c r="E204" s="29" t="n"/>
      <c r="F204" s="29" t="n"/>
      <c r="G204" s="29" t="n"/>
      <c r="H204" s="39" t="n"/>
      <c r="I204" s="42" t="n"/>
      <c r="J204" s="39" t="n"/>
      <c r="K204" s="39" t="n"/>
      <c r="L204" s="32">
        <f>IF($A204="","",IF(COUNTIF($A:$A,$A204)&gt;1,"كود صنف مكرر",IF($D204="","الوحدة الأساسية ناقصة",IF(COUNTIF(Units!$A:$A,$D204)=0,"وحدة غير معرفة",""))))</f>
        <v/>
      </c>
    </row>
    <row r="205">
      <c r="A205" s="39" t="n"/>
      <c r="B205" s="29" t="n"/>
      <c r="C205" s="29" t="n"/>
      <c r="D205" s="39" t="n"/>
      <c r="E205" s="29" t="n"/>
      <c r="F205" s="29" t="n"/>
      <c r="G205" s="29" t="n"/>
      <c r="H205" s="39" t="n"/>
      <c r="I205" s="42" t="n"/>
      <c r="J205" s="39" t="n"/>
      <c r="K205" s="39" t="n"/>
      <c r="L205" s="32">
        <f>IF($A205="","",IF(COUNTIF($A:$A,$A205)&gt;1,"كود صنف مكرر",IF($D205="","الوحدة الأساسية ناقصة",IF(COUNTIF(Units!$A:$A,$D205)=0,"وحدة غير معرفة",""))))</f>
        <v/>
      </c>
    </row>
    <row r="206">
      <c r="A206" s="39" t="n"/>
      <c r="B206" s="29" t="n"/>
      <c r="C206" s="29" t="n"/>
      <c r="D206" s="39" t="n"/>
      <c r="E206" s="29" t="n"/>
      <c r="F206" s="29" t="n"/>
      <c r="G206" s="29" t="n"/>
      <c r="H206" s="39" t="n"/>
      <c r="I206" s="42" t="n"/>
      <c r="J206" s="39" t="n"/>
      <c r="K206" s="39" t="n"/>
      <c r="L206" s="32">
        <f>IF($A206="","",IF(COUNTIF($A:$A,$A206)&gt;1,"كود صنف مكرر",IF($D206="","الوحدة الأساسية ناقصة",IF(COUNTIF(Units!$A:$A,$D206)=0,"وحدة غير معرفة",""))))</f>
        <v/>
      </c>
    </row>
    <row r="207">
      <c r="A207" s="39" t="n"/>
      <c r="B207" s="29" t="n"/>
      <c r="C207" s="29" t="n"/>
      <c r="D207" s="39" t="n"/>
      <c r="E207" s="29" t="n"/>
      <c r="F207" s="29" t="n"/>
      <c r="G207" s="29" t="n"/>
      <c r="H207" s="39" t="n"/>
      <c r="I207" s="42" t="n"/>
      <c r="J207" s="39" t="n"/>
      <c r="K207" s="39" t="n"/>
      <c r="L207" s="32">
        <f>IF($A207="","",IF(COUNTIF($A:$A,$A207)&gt;1,"كود صنف مكرر",IF($D207="","الوحدة الأساسية ناقصة",IF(COUNTIF(Units!$A:$A,$D207)=0,"وحدة غير معرفة",""))))</f>
        <v/>
      </c>
    </row>
    <row r="208">
      <c r="A208" s="39" t="n"/>
      <c r="B208" s="29" t="n"/>
      <c r="C208" s="29" t="n"/>
      <c r="D208" s="39" t="n"/>
      <c r="E208" s="29" t="n"/>
      <c r="F208" s="29" t="n"/>
      <c r="G208" s="29" t="n"/>
      <c r="H208" s="39" t="n"/>
      <c r="I208" s="42" t="n"/>
      <c r="J208" s="39" t="n"/>
      <c r="K208" s="39" t="n"/>
      <c r="L208" s="32">
        <f>IF($A208="","",IF(COUNTIF($A:$A,$A208)&gt;1,"كود صنف مكرر",IF($D208="","الوحدة الأساسية ناقصة",IF(COUNTIF(Units!$A:$A,$D208)=0,"وحدة غير معرفة",""))))</f>
        <v/>
      </c>
    </row>
    <row r="209">
      <c r="A209" s="39" t="n"/>
      <c r="B209" s="29" t="n"/>
      <c r="C209" s="29" t="n"/>
      <c r="D209" s="39" t="n"/>
      <c r="E209" s="29" t="n"/>
      <c r="F209" s="29" t="n"/>
      <c r="G209" s="29" t="n"/>
      <c r="H209" s="39" t="n"/>
      <c r="I209" s="42" t="n"/>
      <c r="J209" s="39" t="n"/>
      <c r="K209" s="39" t="n"/>
      <c r="L209" s="32">
        <f>IF($A209="","",IF(COUNTIF($A:$A,$A209)&gt;1,"كود صنف مكرر",IF($D209="","الوحدة الأساسية ناقصة",IF(COUNTIF(Units!$A:$A,$D209)=0,"وحدة غير معرفة",""))))</f>
        <v/>
      </c>
    </row>
    <row r="210">
      <c r="A210" s="39" t="n"/>
      <c r="B210" s="29" t="n"/>
      <c r="C210" s="29" t="n"/>
      <c r="D210" s="39" t="n"/>
      <c r="E210" s="29" t="n"/>
      <c r="F210" s="29" t="n"/>
      <c r="G210" s="29" t="n"/>
      <c r="H210" s="39" t="n"/>
      <c r="I210" s="42" t="n"/>
      <c r="J210" s="39" t="n"/>
      <c r="K210" s="39" t="n"/>
      <c r="L210" s="32">
        <f>IF($A210="","",IF(COUNTIF($A:$A,$A210)&gt;1,"كود صنف مكرر",IF($D210="","الوحدة الأساسية ناقصة",IF(COUNTIF(Units!$A:$A,$D210)=0,"وحدة غير معرفة",""))))</f>
        <v/>
      </c>
    </row>
    <row r="211">
      <c r="A211" s="39" t="n"/>
      <c r="B211" s="29" t="n"/>
      <c r="C211" s="29" t="n"/>
      <c r="D211" s="39" t="n"/>
      <c r="E211" s="29" t="n"/>
      <c r="F211" s="29" t="n"/>
      <c r="G211" s="29" t="n"/>
      <c r="H211" s="39" t="n"/>
      <c r="I211" s="42" t="n"/>
      <c r="J211" s="39" t="n"/>
      <c r="K211" s="39" t="n"/>
      <c r="L211" s="32">
        <f>IF($A211="","",IF(COUNTIF($A:$A,$A211)&gt;1,"كود صنف مكرر",IF($D211="","الوحدة الأساسية ناقصة",IF(COUNTIF(Units!$A:$A,$D211)=0,"وحدة غير معرفة",""))))</f>
        <v/>
      </c>
    </row>
    <row r="212">
      <c r="A212" s="39" t="n"/>
      <c r="B212" s="29" t="n"/>
      <c r="C212" s="29" t="n"/>
      <c r="D212" s="39" t="n"/>
      <c r="E212" s="29" t="n"/>
      <c r="F212" s="29" t="n"/>
      <c r="G212" s="29" t="n"/>
      <c r="H212" s="39" t="n"/>
      <c r="I212" s="42" t="n"/>
      <c r="J212" s="39" t="n"/>
      <c r="K212" s="39" t="n"/>
      <c r="L212" s="32">
        <f>IF($A212="","",IF(COUNTIF($A:$A,$A212)&gt;1,"كود صنف مكرر",IF($D212="","الوحدة الأساسية ناقصة",IF(COUNTIF(Units!$A:$A,$D212)=0,"وحدة غير معرفة",""))))</f>
        <v/>
      </c>
    </row>
    <row r="213">
      <c r="A213" s="39" t="n"/>
      <c r="B213" s="29" t="n"/>
      <c r="C213" s="29" t="n"/>
      <c r="D213" s="39" t="n"/>
      <c r="E213" s="29" t="n"/>
      <c r="F213" s="29" t="n"/>
      <c r="G213" s="29" t="n"/>
      <c r="H213" s="39" t="n"/>
      <c r="I213" s="42" t="n"/>
      <c r="J213" s="39" t="n"/>
      <c r="K213" s="39" t="n"/>
      <c r="L213" s="32">
        <f>IF($A213="","",IF(COUNTIF($A:$A,$A213)&gt;1,"كود صنف مكرر",IF($D213="","الوحدة الأساسية ناقصة",IF(COUNTIF(Units!$A:$A,$D213)=0,"وحدة غير معرفة",""))))</f>
        <v/>
      </c>
    </row>
    <row r="214">
      <c r="A214" s="39" t="n"/>
      <c r="B214" s="29" t="n"/>
      <c r="C214" s="29" t="n"/>
      <c r="D214" s="39" t="n"/>
      <c r="E214" s="29" t="n"/>
      <c r="F214" s="29" t="n"/>
      <c r="G214" s="29" t="n"/>
      <c r="H214" s="39" t="n"/>
      <c r="I214" s="42" t="n"/>
      <c r="J214" s="39" t="n"/>
      <c r="K214" s="39" t="n"/>
      <c r="L214" s="32">
        <f>IF($A214="","",IF(COUNTIF($A:$A,$A214)&gt;1,"كود صنف مكرر",IF($D214="","الوحدة الأساسية ناقصة",IF(COUNTIF(Units!$A:$A,$D214)=0,"وحدة غير معرفة",""))))</f>
        <v/>
      </c>
    </row>
    <row r="215">
      <c r="A215" s="39" t="n"/>
      <c r="B215" s="29" t="n"/>
      <c r="C215" s="29" t="n"/>
      <c r="D215" s="39" t="n"/>
      <c r="E215" s="29" t="n"/>
      <c r="F215" s="29" t="n"/>
      <c r="G215" s="29" t="n"/>
      <c r="H215" s="39" t="n"/>
      <c r="I215" s="42" t="n"/>
      <c r="J215" s="39" t="n"/>
      <c r="K215" s="39" t="n"/>
      <c r="L215" s="32">
        <f>IF($A215="","",IF(COUNTIF($A:$A,$A215)&gt;1,"كود صنف مكرر",IF($D215="","الوحدة الأساسية ناقصة",IF(COUNTIF(Units!$A:$A,$D215)=0,"وحدة غير معرفة",""))))</f>
        <v/>
      </c>
    </row>
    <row r="216">
      <c r="A216" s="39" t="n"/>
      <c r="B216" s="29" t="n"/>
      <c r="C216" s="29" t="n"/>
      <c r="D216" s="39" t="n"/>
      <c r="E216" s="29" t="n"/>
      <c r="F216" s="29" t="n"/>
      <c r="G216" s="29" t="n"/>
      <c r="H216" s="39" t="n"/>
      <c r="I216" s="42" t="n"/>
      <c r="J216" s="39" t="n"/>
      <c r="K216" s="39" t="n"/>
      <c r="L216" s="32">
        <f>IF($A216="","",IF(COUNTIF($A:$A,$A216)&gt;1,"كود صنف مكرر",IF($D216="","الوحدة الأساسية ناقصة",IF(COUNTIF(Units!$A:$A,$D216)=0,"وحدة غير معرفة",""))))</f>
        <v/>
      </c>
    </row>
    <row r="217">
      <c r="A217" s="39" t="n"/>
      <c r="B217" s="29" t="n"/>
      <c r="C217" s="29" t="n"/>
      <c r="D217" s="39" t="n"/>
      <c r="E217" s="29" t="n"/>
      <c r="F217" s="29" t="n"/>
      <c r="G217" s="29" t="n"/>
      <c r="H217" s="39" t="n"/>
      <c r="I217" s="42" t="n"/>
      <c r="J217" s="39" t="n"/>
      <c r="K217" s="39" t="n"/>
      <c r="L217" s="32">
        <f>IF($A217="","",IF(COUNTIF($A:$A,$A217)&gt;1,"كود صنف مكرر",IF($D217="","الوحدة الأساسية ناقصة",IF(COUNTIF(Units!$A:$A,$D217)=0,"وحدة غير معرفة",""))))</f>
        <v/>
      </c>
    </row>
    <row r="218">
      <c r="A218" s="39" t="n"/>
      <c r="B218" s="29" t="n"/>
      <c r="C218" s="29" t="n"/>
      <c r="D218" s="39" t="n"/>
      <c r="E218" s="29" t="n"/>
      <c r="F218" s="29" t="n"/>
      <c r="G218" s="29" t="n"/>
      <c r="H218" s="39" t="n"/>
      <c r="I218" s="42" t="n"/>
      <c r="J218" s="39" t="n"/>
      <c r="K218" s="39" t="n"/>
      <c r="L218" s="32">
        <f>IF($A218="","",IF(COUNTIF($A:$A,$A218)&gt;1,"كود صنف مكرر",IF($D218="","الوحدة الأساسية ناقصة",IF(COUNTIF(Units!$A:$A,$D218)=0,"وحدة غير معرفة",""))))</f>
        <v/>
      </c>
    </row>
    <row r="219">
      <c r="A219" s="39" t="n"/>
      <c r="B219" s="29" t="n"/>
      <c r="C219" s="29" t="n"/>
      <c r="D219" s="39" t="n"/>
      <c r="E219" s="29" t="n"/>
      <c r="F219" s="29" t="n"/>
      <c r="G219" s="29" t="n"/>
      <c r="H219" s="39" t="n"/>
      <c r="I219" s="42" t="n"/>
      <c r="J219" s="39" t="n"/>
      <c r="K219" s="39" t="n"/>
      <c r="L219" s="32">
        <f>IF($A219="","",IF(COUNTIF($A:$A,$A219)&gt;1,"كود صنف مكرر",IF($D219="","الوحدة الأساسية ناقصة",IF(COUNTIF(Units!$A:$A,$D219)=0,"وحدة غير معرفة",""))))</f>
        <v/>
      </c>
    </row>
    <row r="220">
      <c r="A220" s="39" t="n"/>
      <c r="B220" s="29" t="n"/>
      <c r="C220" s="29" t="n"/>
      <c r="D220" s="39" t="n"/>
      <c r="E220" s="29" t="n"/>
      <c r="F220" s="29" t="n"/>
      <c r="G220" s="29" t="n"/>
      <c r="H220" s="39" t="n"/>
      <c r="I220" s="42" t="n"/>
      <c r="J220" s="39" t="n"/>
      <c r="K220" s="39" t="n"/>
      <c r="L220" s="32">
        <f>IF($A220="","",IF(COUNTIF($A:$A,$A220)&gt;1,"كود صنف مكرر",IF($D220="","الوحدة الأساسية ناقصة",IF(COUNTIF(Units!$A:$A,$D220)=0,"وحدة غير معرفة",""))))</f>
        <v/>
      </c>
    </row>
    <row r="221">
      <c r="A221" s="39" t="n"/>
      <c r="B221" s="29" t="n"/>
      <c r="C221" s="29" t="n"/>
      <c r="D221" s="39" t="n"/>
      <c r="E221" s="29" t="n"/>
      <c r="F221" s="29" t="n"/>
      <c r="G221" s="29" t="n"/>
      <c r="H221" s="39" t="n"/>
      <c r="I221" s="42" t="n"/>
      <c r="J221" s="39" t="n"/>
      <c r="K221" s="39" t="n"/>
      <c r="L221" s="32">
        <f>IF($A221="","",IF(COUNTIF($A:$A,$A221)&gt;1,"كود صنف مكرر",IF($D221="","الوحدة الأساسية ناقصة",IF(COUNTIF(Units!$A:$A,$D221)=0,"وحدة غير معرفة",""))))</f>
        <v/>
      </c>
    </row>
    <row r="222">
      <c r="A222" s="39" t="n"/>
      <c r="B222" s="29" t="n"/>
      <c r="C222" s="29" t="n"/>
      <c r="D222" s="39" t="n"/>
      <c r="E222" s="29" t="n"/>
      <c r="F222" s="29" t="n"/>
      <c r="G222" s="29" t="n"/>
      <c r="H222" s="39" t="n"/>
      <c r="I222" s="42" t="n"/>
      <c r="J222" s="39" t="n"/>
      <c r="K222" s="39" t="n"/>
      <c r="L222" s="32">
        <f>IF($A222="","",IF(COUNTIF($A:$A,$A222)&gt;1,"كود صنف مكرر",IF($D222="","الوحدة الأساسية ناقصة",IF(COUNTIF(Units!$A:$A,$D222)=0,"وحدة غير معرفة",""))))</f>
        <v/>
      </c>
    </row>
    <row r="223">
      <c r="A223" s="39" t="n"/>
      <c r="B223" s="29" t="n"/>
      <c r="C223" s="29" t="n"/>
      <c r="D223" s="39" t="n"/>
      <c r="E223" s="29" t="n"/>
      <c r="F223" s="29" t="n"/>
      <c r="G223" s="29" t="n"/>
      <c r="H223" s="39" t="n"/>
      <c r="I223" s="42" t="n"/>
      <c r="J223" s="39" t="n"/>
      <c r="K223" s="39" t="n"/>
      <c r="L223" s="32">
        <f>IF($A223="","",IF(COUNTIF($A:$A,$A223)&gt;1,"كود صنف مكرر",IF($D223="","الوحدة الأساسية ناقصة",IF(COUNTIF(Units!$A:$A,$D223)=0,"وحدة غير معرفة",""))))</f>
        <v/>
      </c>
    </row>
    <row r="224">
      <c r="A224" s="39" t="n"/>
      <c r="B224" s="29" t="n"/>
      <c r="C224" s="29" t="n"/>
      <c r="D224" s="39" t="n"/>
      <c r="E224" s="29" t="n"/>
      <c r="F224" s="29" t="n"/>
      <c r="G224" s="29" t="n"/>
      <c r="H224" s="39" t="n"/>
      <c r="I224" s="42" t="n"/>
      <c r="J224" s="39" t="n"/>
      <c r="K224" s="39" t="n"/>
      <c r="L224" s="32">
        <f>IF($A224="","",IF(COUNTIF($A:$A,$A224)&gt;1,"كود صنف مكرر",IF($D224="","الوحدة الأساسية ناقصة",IF(COUNTIF(Units!$A:$A,$D224)=0,"وحدة غير معرفة",""))))</f>
        <v/>
      </c>
    </row>
    <row r="225">
      <c r="A225" s="39" t="n"/>
      <c r="B225" s="29" t="n"/>
      <c r="C225" s="29" t="n"/>
      <c r="D225" s="39" t="n"/>
      <c r="E225" s="29" t="n"/>
      <c r="F225" s="29" t="n"/>
      <c r="G225" s="29" t="n"/>
      <c r="H225" s="39" t="n"/>
      <c r="I225" s="42" t="n"/>
      <c r="J225" s="39" t="n"/>
      <c r="K225" s="39" t="n"/>
      <c r="L225" s="32">
        <f>IF($A225="","",IF(COUNTIF($A:$A,$A225)&gt;1,"كود صنف مكرر",IF($D225="","الوحدة الأساسية ناقصة",IF(COUNTIF(Units!$A:$A,$D225)=0,"وحدة غير معرفة",""))))</f>
        <v/>
      </c>
    </row>
    <row r="226">
      <c r="A226" s="39" t="n"/>
      <c r="B226" s="29" t="n"/>
      <c r="C226" s="29" t="n"/>
      <c r="D226" s="39" t="n"/>
      <c r="E226" s="29" t="n"/>
      <c r="F226" s="29" t="n"/>
      <c r="G226" s="29" t="n"/>
      <c r="H226" s="39" t="n"/>
      <c r="I226" s="42" t="n"/>
      <c r="J226" s="39" t="n"/>
      <c r="K226" s="39" t="n"/>
      <c r="L226" s="32">
        <f>IF($A226="","",IF(COUNTIF($A:$A,$A226)&gt;1,"كود صنف مكرر",IF($D226="","الوحدة الأساسية ناقصة",IF(COUNTIF(Units!$A:$A,$D226)=0,"وحدة غير معرفة",""))))</f>
        <v/>
      </c>
    </row>
    <row r="227">
      <c r="A227" s="39" t="n"/>
      <c r="B227" s="29" t="n"/>
      <c r="C227" s="29" t="n"/>
      <c r="D227" s="39" t="n"/>
      <c r="E227" s="29" t="n"/>
      <c r="F227" s="29" t="n"/>
      <c r="G227" s="29" t="n"/>
      <c r="H227" s="39" t="n"/>
      <c r="I227" s="42" t="n"/>
      <c r="J227" s="39" t="n"/>
      <c r="K227" s="39" t="n"/>
      <c r="L227" s="32">
        <f>IF($A227="","",IF(COUNTIF($A:$A,$A227)&gt;1,"كود صنف مكرر",IF($D227="","الوحدة الأساسية ناقصة",IF(COUNTIF(Units!$A:$A,$D227)=0,"وحدة غير معرفة",""))))</f>
        <v/>
      </c>
    </row>
    <row r="228">
      <c r="A228" s="39" t="n"/>
      <c r="B228" s="29" t="n"/>
      <c r="C228" s="29" t="n"/>
      <c r="D228" s="39" t="n"/>
      <c r="E228" s="29" t="n"/>
      <c r="F228" s="29" t="n"/>
      <c r="G228" s="29" t="n"/>
      <c r="H228" s="39" t="n"/>
      <c r="I228" s="42" t="n"/>
      <c r="J228" s="39" t="n"/>
      <c r="K228" s="39" t="n"/>
      <c r="L228" s="32">
        <f>IF($A228="","",IF(COUNTIF($A:$A,$A228)&gt;1,"كود صنف مكرر",IF($D228="","الوحدة الأساسية ناقصة",IF(COUNTIF(Units!$A:$A,$D228)=0,"وحدة غير معرفة",""))))</f>
        <v/>
      </c>
    </row>
    <row r="229">
      <c r="A229" s="39" t="n"/>
      <c r="B229" s="29" t="n"/>
      <c r="C229" s="29" t="n"/>
      <c r="D229" s="39" t="n"/>
      <c r="E229" s="29" t="n"/>
      <c r="F229" s="29" t="n"/>
      <c r="G229" s="29" t="n"/>
      <c r="H229" s="39" t="n"/>
      <c r="I229" s="42" t="n"/>
      <c r="J229" s="39" t="n"/>
      <c r="K229" s="39" t="n"/>
      <c r="L229" s="32">
        <f>IF($A229="","",IF(COUNTIF($A:$A,$A229)&gt;1,"كود صنف مكرر",IF($D229="","الوحدة الأساسية ناقصة",IF(COUNTIF(Units!$A:$A,$D229)=0,"وحدة غير معرفة",""))))</f>
        <v/>
      </c>
    </row>
    <row r="230">
      <c r="A230" s="39" t="n"/>
      <c r="B230" s="29" t="n"/>
      <c r="C230" s="29" t="n"/>
      <c r="D230" s="39" t="n"/>
      <c r="E230" s="29" t="n"/>
      <c r="F230" s="29" t="n"/>
      <c r="G230" s="29" t="n"/>
      <c r="H230" s="39" t="n"/>
      <c r="I230" s="42" t="n"/>
      <c r="J230" s="39" t="n"/>
      <c r="K230" s="39" t="n"/>
      <c r="L230" s="32">
        <f>IF($A230="","",IF(COUNTIF($A:$A,$A230)&gt;1,"كود صنف مكرر",IF($D230="","الوحدة الأساسية ناقصة",IF(COUNTIF(Units!$A:$A,$D230)=0,"وحدة غير معرفة",""))))</f>
        <v/>
      </c>
    </row>
    <row r="231">
      <c r="A231" s="39" t="n"/>
      <c r="B231" s="29" t="n"/>
      <c r="C231" s="29" t="n"/>
      <c r="D231" s="39" t="n"/>
      <c r="E231" s="29" t="n"/>
      <c r="F231" s="29" t="n"/>
      <c r="G231" s="29" t="n"/>
      <c r="H231" s="39" t="n"/>
      <c r="I231" s="42" t="n"/>
      <c r="J231" s="39" t="n"/>
      <c r="K231" s="39" t="n"/>
      <c r="L231" s="32">
        <f>IF($A231="","",IF(COUNTIF($A:$A,$A231)&gt;1,"كود صنف مكرر",IF($D231="","الوحدة الأساسية ناقصة",IF(COUNTIF(Units!$A:$A,$D231)=0,"وحدة غير معرفة",""))))</f>
        <v/>
      </c>
    </row>
    <row r="232">
      <c r="A232" s="39" t="n"/>
      <c r="B232" s="29" t="n"/>
      <c r="C232" s="29" t="n"/>
      <c r="D232" s="39" t="n"/>
      <c r="E232" s="29" t="n"/>
      <c r="F232" s="29" t="n"/>
      <c r="G232" s="29" t="n"/>
      <c r="H232" s="39" t="n"/>
      <c r="I232" s="42" t="n"/>
      <c r="J232" s="39" t="n"/>
      <c r="K232" s="39" t="n"/>
      <c r="L232" s="32">
        <f>IF($A232="","",IF(COUNTIF($A:$A,$A232)&gt;1,"كود صنف مكرر",IF($D232="","الوحدة الأساسية ناقصة",IF(COUNTIF(Units!$A:$A,$D232)=0,"وحدة غير معرفة",""))))</f>
        <v/>
      </c>
    </row>
    <row r="233">
      <c r="A233" s="39" t="n"/>
      <c r="B233" s="29" t="n"/>
      <c r="C233" s="29" t="n"/>
      <c r="D233" s="39" t="n"/>
      <c r="E233" s="29" t="n"/>
      <c r="F233" s="29" t="n"/>
      <c r="G233" s="29" t="n"/>
      <c r="H233" s="39" t="n"/>
      <c r="I233" s="42" t="n"/>
      <c r="J233" s="39" t="n"/>
      <c r="K233" s="39" t="n"/>
      <c r="L233" s="32">
        <f>IF($A233="","",IF(COUNTIF($A:$A,$A233)&gt;1,"كود صنف مكرر",IF($D233="","الوحدة الأساسية ناقصة",IF(COUNTIF(Units!$A:$A,$D233)=0,"وحدة غير معرفة",""))))</f>
        <v/>
      </c>
    </row>
    <row r="234">
      <c r="A234" s="39" t="n"/>
      <c r="B234" s="29" t="n"/>
      <c r="C234" s="29" t="n"/>
      <c r="D234" s="39" t="n"/>
      <c r="E234" s="29" t="n"/>
      <c r="F234" s="29" t="n"/>
      <c r="G234" s="29" t="n"/>
      <c r="H234" s="39" t="n"/>
      <c r="I234" s="42" t="n"/>
      <c r="J234" s="39" t="n"/>
      <c r="K234" s="39" t="n"/>
      <c r="L234" s="32">
        <f>IF($A234="","",IF(COUNTIF($A:$A,$A234)&gt;1,"كود صنف مكرر",IF($D234="","الوحدة الأساسية ناقصة",IF(COUNTIF(Units!$A:$A,$D234)=0,"وحدة غير معرفة",""))))</f>
        <v/>
      </c>
    </row>
    <row r="235">
      <c r="A235" s="39" t="n"/>
      <c r="B235" s="29" t="n"/>
      <c r="C235" s="29" t="n"/>
      <c r="D235" s="39" t="n"/>
      <c r="E235" s="29" t="n"/>
      <c r="F235" s="29" t="n"/>
      <c r="G235" s="29" t="n"/>
      <c r="H235" s="39" t="n"/>
      <c r="I235" s="42" t="n"/>
      <c r="J235" s="39" t="n"/>
      <c r="K235" s="39" t="n"/>
      <c r="L235" s="32">
        <f>IF($A235="","",IF(COUNTIF($A:$A,$A235)&gt;1,"كود صنف مكرر",IF($D235="","الوحدة الأساسية ناقصة",IF(COUNTIF(Units!$A:$A,$D235)=0,"وحدة غير معرفة",""))))</f>
        <v/>
      </c>
    </row>
    <row r="236">
      <c r="A236" s="39" t="n"/>
      <c r="B236" s="29" t="n"/>
      <c r="C236" s="29" t="n"/>
      <c r="D236" s="39" t="n"/>
      <c r="E236" s="29" t="n"/>
      <c r="F236" s="29" t="n"/>
      <c r="G236" s="29" t="n"/>
      <c r="H236" s="39" t="n"/>
      <c r="I236" s="42" t="n"/>
      <c r="J236" s="39" t="n"/>
      <c r="K236" s="39" t="n"/>
      <c r="L236" s="32">
        <f>IF($A236="","",IF(COUNTIF($A:$A,$A236)&gt;1,"كود صنف مكرر",IF($D236="","الوحدة الأساسية ناقصة",IF(COUNTIF(Units!$A:$A,$D236)=0,"وحدة غير معرفة",""))))</f>
        <v/>
      </c>
    </row>
    <row r="237">
      <c r="A237" s="39" t="n"/>
      <c r="B237" s="29" t="n"/>
      <c r="C237" s="29" t="n"/>
      <c r="D237" s="39" t="n"/>
      <c r="E237" s="29" t="n"/>
      <c r="F237" s="29" t="n"/>
      <c r="G237" s="29" t="n"/>
      <c r="H237" s="39" t="n"/>
      <c r="I237" s="42" t="n"/>
      <c r="J237" s="39" t="n"/>
      <c r="K237" s="39" t="n"/>
      <c r="L237" s="32">
        <f>IF($A237="","",IF(COUNTIF($A:$A,$A237)&gt;1,"كود صنف مكرر",IF($D237="","الوحدة الأساسية ناقصة",IF(COUNTIF(Units!$A:$A,$D237)=0,"وحدة غير معرفة",""))))</f>
        <v/>
      </c>
    </row>
    <row r="238">
      <c r="A238" s="39" t="n"/>
      <c r="B238" s="29" t="n"/>
      <c r="C238" s="29" t="n"/>
      <c r="D238" s="39" t="n"/>
      <c r="E238" s="29" t="n"/>
      <c r="F238" s="29" t="n"/>
      <c r="G238" s="29" t="n"/>
      <c r="H238" s="39" t="n"/>
      <c r="I238" s="42" t="n"/>
      <c r="J238" s="39" t="n"/>
      <c r="K238" s="39" t="n"/>
      <c r="L238" s="32">
        <f>IF($A238="","",IF(COUNTIF($A:$A,$A238)&gt;1,"كود صنف مكرر",IF($D238="","الوحدة الأساسية ناقصة",IF(COUNTIF(Units!$A:$A,$D238)=0,"وحدة غير معرفة",""))))</f>
        <v/>
      </c>
    </row>
    <row r="239">
      <c r="A239" s="39" t="n"/>
      <c r="B239" s="29" t="n"/>
      <c r="C239" s="29" t="n"/>
      <c r="D239" s="39" t="n"/>
      <c r="E239" s="29" t="n"/>
      <c r="F239" s="29" t="n"/>
      <c r="G239" s="29" t="n"/>
      <c r="H239" s="39" t="n"/>
      <c r="I239" s="42" t="n"/>
      <c r="J239" s="39" t="n"/>
      <c r="K239" s="39" t="n"/>
      <c r="L239" s="32">
        <f>IF($A239="","",IF(COUNTIF($A:$A,$A239)&gt;1,"كود صنف مكرر",IF($D239="","الوحدة الأساسية ناقصة",IF(COUNTIF(Units!$A:$A,$D239)=0,"وحدة غير معرفة",""))))</f>
        <v/>
      </c>
    </row>
    <row r="240">
      <c r="A240" s="39" t="n"/>
      <c r="B240" s="29" t="n"/>
      <c r="C240" s="29" t="n"/>
      <c r="D240" s="39" t="n"/>
      <c r="E240" s="29" t="n"/>
      <c r="F240" s="29" t="n"/>
      <c r="G240" s="29" t="n"/>
      <c r="H240" s="39" t="n"/>
      <c r="I240" s="42" t="n"/>
      <c r="J240" s="39" t="n"/>
      <c r="K240" s="39" t="n"/>
      <c r="L240" s="32">
        <f>IF($A240="","",IF(COUNTIF($A:$A,$A240)&gt;1,"كود صنف مكرر",IF($D240="","الوحدة الأساسية ناقصة",IF(COUNTIF(Units!$A:$A,$D240)=0,"وحدة غير معرفة",""))))</f>
        <v/>
      </c>
    </row>
    <row r="241">
      <c r="A241" s="39" t="n"/>
      <c r="B241" s="29" t="n"/>
      <c r="C241" s="29" t="n"/>
      <c r="D241" s="39" t="n"/>
      <c r="E241" s="29" t="n"/>
      <c r="F241" s="29" t="n"/>
      <c r="G241" s="29" t="n"/>
      <c r="H241" s="39" t="n"/>
      <c r="I241" s="42" t="n"/>
      <c r="J241" s="39" t="n"/>
      <c r="K241" s="39" t="n"/>
      <c r="L241" s="32">
        <f>IF($A241="","",IF(COUNTIF($A:$A,$A241)&gt;1,"كود صنف مكرر",IF($D241="","الوحدة الأساسية ناقصة",IF(COUNTIF(Units!$A:$A,$D241)=0,"وحدة غير معرفة",""))))</f>
        <v/>
      </c>
    </row>
    <row r="242">
      <c r="A242" s="39" t="n"/>
      <c r="B242" s="29" t="n"/>
      <c r="C242" s="29" t="n"/>
      <c r="D242" s="39" t="n"/>
      <c r="E242" s="29" t="n"/>
      <c r="F242" s="29" t="n"/>
      <c r="G242" s="29" t="n"/>
      <c r="H242" s="39" t="n"/>
      <c r="I242" s="42" t="n"/>
      <c r="J242" s="39" t="n"/>
      <c r="K242" s="39" t="n"/>
      <c r="L242" s="32">
        <f>IF($A242="","",IF(COUNTIF($A:$A,$A242)&gt;1,"كود صنف مكرر",IF($D242="","الوحدة الأساسية ناقصة",IF(COUNTIF(Units!$A:$A,$D242)=0,"وحدة غير معرفة",""))))</f>
        <v/>
      </c>
    </row>
    <row r="243">
      <c r="A243" s="39" t="n"/>
      <c r="B243" s="29" t="n"/>
      <c r="C243" s="29" t="n"/>
      <c r="D243" s="39" t="n"/>
      <c r="E243" s="29" t="n"/>
      <c r="F243" s="29" t="n"/>
      <c r="G243" s="29" t="n"/>
      <c r="H243" s="39" t="n"/>
      <c r="I243" s="42" t="n"/>
      <c r="J243" s="39" t="n"/>
      <c r="K243" s="39" t="n"/>
      <c r="L243" s="32">
        <f>IF($A243="","",IF(COUNTIF($A:$A,$A243)&gt;1,"كود صنف مكرر",IF($D243="","الوحدة الأساسية ناقصة",IF(COUNTIF(Units!$A:$A,$D243)=0,"وحدة غير معرفة",""))))</f>
        <v/>
      </c>
    </row>
    <row r="244">
      <c r="A244" s="39" t="n"/>
      <c r="B244" s="29" t="n"/>
      <c r="C244" s="29" t="n"/>
      <c r="D244" s="39" t="n"/>
      <c r="E244" s="29" t="n"/>
      <c r="F244" s="29" t="n"/>
      <c r="G244" s="29" t="n"/>
      <c r="H244" s="39" t="n"/>
      <c r="I244" s="42" t="n"/>
      <c r="J244" s="39" t="n"/>
      <c r="K244" s="39" t="n"/>
      <c r="L244" s="32">
        <f>IF($A244="","",IF(COUNTIF($A:$A,$A244)&gt;1,"كود صنف مكرر",IF($D244="","الوحدة الأساسية ناقصة",IF(COUNTIF(Units!$A:$A,$D244)=0,"وحدة غير معرفة",""))))</f>
        <v/>
      </c>
    </row>
    <row r="245">
      <c r="A245" s="39" t="n"/>
      <c r="B245" s="29" t="n"/>
      <c r="C245" s="29" t="n"/>
      <c r="D245" s="39" t="n"/>
      <c r="E245" s="29" t="n"/>
      <c r="F245" s="29" t="n"/>
      <c r="G245" s="29" t="n"/>
      <c r="H245" s="39" t="n"/>
      <c r="I245" s="42" t="n"/>
      <c r="J245" s="39" t="n"/>
      <c r="K245" s="39" t="n"/>
      <c r="L245" s="32">
        <f>IF($A245="","",IF(COUNTIF($A:$A,$A245)&gt;1,"كود صنف مكرر",IF($D245="","الوحدة الأساسية ناقصة",IF(COUNTIF(Units!$A:$A,$D245)=0,"وحدة غير معرفة",""))))</f>
        <v/>
      </c>
    </row>
    <row r="246">
      <c r="A246" s="39" t="n"/>
      <c r="B246" s="29" t="n"/>
      <c r="C246" s="29" t="n"/>
      <c r="D246" s="39" t="n"/>
      <c r="E246" s="29" t="n"/>
      <c r="F246" s="29" t="n"/>
      <c r="G246" s="29" t="n"/>
      <c r="H246" s="39" t="n"/>
      <c r="I246" s="42" t="n"/>
      <c r="J246" s="39" t="n"/>
      <c r="K246" s="39" t="n"/>
      <c r="L246" s="32">
        <f>IF($A246="","",IF(COUNTIF($A:$A,$A246)&gt;1,"كود صنف مكرر",IF($D246="","الوحدة الأساسية ناقصة",IF(COUNTIF(Units!$A:$A,$D246)=0,"وحدة غير معرفة",""))))</f>
        <v/>
      </c>
    </row>
    <row r="247">
      <c r="A247" s="39" t="n"/>
      <c r="B247" s="29" t="n"/>
      <c r="C247" s="29" t="n"/>
      <c r="D247" s="39" t="n"/>
      <c r="E247" s="29" t="n"/>
      <c r="F247" s="29" t="n"/>
      <c r="G247" s="29" t="n"/>
      <c r="H247" s="39" t="n"/>
      <c r="I247" s="42" t="n"/>
      <c r="J247" s="39" t="n"/>
      <c r="K247" s="39" t="n"/>
      <c r="L247" s="32">
        <f>IF($A247="","",IF(COUNTIF($A:$A,$A247)&gt;1,"كود صنف مكرر",IF($D247="","الوحدة الأساسية ناقصة",IF(COUNTIF(Units!$A:$A,$D247)=0,"وحدة غير معرفة",""))))</f>
        <v/>
      </c>
    </row>
    <row r="248">
      <c r="A248" s="39" t="n"/>
      <c r="B248" s="29" t="n"/>
      <c r="C248" s="29" t="n"/>
      <c r="D248" s="39" t="n"/>
      <c r="E248" s="29" t="n"/>
      <c r="F248" s="29" t="n"/>
      <c r="G248" s="29" t="n"/>
      <c r="H248" s="39" t="n"/>
      <c r="I248" s="42" t="n"/>
      <c r="J248" s="39" t="n"/>
      <c r="K248" s="39" t="n"/>
      <c r="L248" s="32">
        <f>IF($A248="","",IF(COUNTIF($A:$A,$A248)&gt;1,"كود صنف مكرر",IF($D248="","الوحدة الأساسية ناقصة",IF(COUNTIF(Units!$A:$A,$D248)=0,"وحدة غير معرفة",""))))</f>
        <v/>
      </c>
    </row>
    <row r="249">
      <c r="A249" s="39" t="n"/>
      <c r="B249" s="29" t="n"/>
      <c r="C249" s="29" t="n"/>
      <c r="D249" s="39" t="n"/>
      <c r="E249" s="29" t="n"/>
      <c r="F249" s="29" t="n"/>
      <c r="G249" s="29" t="n"/>
      <c r="H249" s="39" t="n"/>
      <c r="I249" s="42" t="n"/>
      <c r="J249" s="39" t="n"/>
      <c r="K249" s="39" t="n"/>
      <c r="L249" s="32">
        <f>IF($A249="","",IF(COUNTIF($A:$A,$A249)&gt;1,"كود صنف مكرر",IF($D249="","الوحدة الأساسية ناقصة",IF(COUNTIF(Units!$A:$A,$D249)=0,"وحدة غير معرفة",""))))</f>
        <v/>
      </c>
    </row>
    <row r="250">
      <c r="A250" s="39" t="n"/>
      <c r="B250" s="29" t="n"/>
      <c r="C250" s="29" t="n"/>
      <c r="D250" s="39" t="n"/>
      <c r="E250" s="29" t="n"/>
      <c r="F250" s="29" t="n"/>
      <c r="G250" s="29" t="n"/>
      <c r="H250" s="39" t="n"/>
      <c r="I250" s="42" t="n"/>
      <c r="J250" s="39" t="n"/>
      <c r="K250" s="39" t="n"/>
      <c r="L250" s="32">
        <f>IF($A250="","",IF(COUNTIF($A:$A,$A250)&gt;1,"كود صنف مكرر",IF($D250="","الوحدة الأساسية ناقصة",IF(COUNTIF(Units!$A:$A,$D250)=0,"وحدة غير معرفة",""))))</f>
        <v/>
      </c>
    </row>
    <row r="251">
      <c r="A251" s="39" t="n"/>
      <c r="B251" s="29" t="n"/>
      <c r="C251" s="29" t="n"/>
      <c r="D251" s="39" t="n"/>
      <c r="E251" s="29" t="n"/>
      <c r="F251" s="29" t="n"/>
      <c r="G251" s="29" t="n"/>
      <c r="H251" s="39" t="n"/>
      <c r="I251" s="42" t="n"/>
      <c r="J251" s="39" t="n"/>
      <c r="K251" s="39" t="n"/>
      <c r="L251" s="32">
        <f>IF($A251="","",IF(COUNTIF($A:$A,$A251)&gt;1,"كود صنف مكرر",IF($D251="","الوحدة الأساسية ناقصة",IF(COUNTIF(Units!$A:$A,$D251)=0,"وحدة غير معرفة",""))))</f>
        <v/>
      </c>
    </row>
    <row r="252">
      <c r="A252" s="39" t="n"/>
      <c r="B252" s="29" t="n"/>
      <c r="C252" s="29" t="n"/>
      <c r="D252" s="39" t="n"/>
      <c r="E252" s="29" t="n"/>
      <c r="F252" s="29" t="n"/>
      <c r="G252" s="29" t="n"/>
      <c r="H252" s="39" t="n"/>
      <c r="I252" s="42" t="n"/>
      <c r="J252" s="39" t="n"/>
      <c r="K252" s="39" t="n"/>
      <c r="L252" s="32">
        <f>IF($A252="","",IF(COUNTIF($A:$A,$A252)&gt;1,"كود صنف مكرر",IF($D252="","الوحدة الأساسية ناقصة",IF(COUNTIF(Units!$A:$A,$D252)=0,"وحدة غير معرفة",""))))</f>
        <v/>
      </c>
    </row>
    <row r="253">
      <c r="A253" s="39" t="n"/>
      <c r="B253" s="29" t="n"/>
      <c r="C253" s="29" t="n"/>
      <c r="D253" s="39" t="n"/>
      <c r="E253" s="29" t="n"/>
      <c r="F253" s="29" t="n"/>
      <c r="G253" s="29" t="n"/>
      <c r="H253" s="39" t="n"/>
      <c r="I253" s="42" t="n"/>
      <c r="J253" s="39" t="n"/>
      <c r="K253" s="39" t="n"/>
      <c r="L253" s="32">
        <f>IF($A253="","",IF(COUNTIF($A:$A,$A253)&gt;1,"كود صنف مكرر",IF($D253="","الوحدة الأساسية ناقصة",IF(COUNTIF(Units!$A:$A,$D253)=0,"وحدة غير معرفة",""))))</f>
        <v/>
      </c>
    </row>
    <row r="254">
      <c r="A254" s="39" t="n"/>
      <c r="B254" s="29" t="n"/>
      <c r="C254" s="29" t="n"/>
      <c r="D254" s="39" t="n"/>
      <c r="E254" s="29" t="n"/>
      <c r="F254" s="29" t="n"/>
      <c r="G254" s="29" t="n"/>
      <c r="H254" s="39" t="n"/>
      <c r="I254" s="42" t="n"/>
      <c r="J254" s="39" t="n"/>
      <c r="K254" s="39" t="n"/>
      <c r="L254" s="32">
        <f>IF($A254="","",IF(COUNTIF($A:$A,$A254)&gt;1,"كود صنف مكرر",IF($D254="","الوحدة الأساسية ناقصة",IF(COUNTIF(Units!$A:$A,$D254)=0,"وحدة غير معرفة",""))))</f>
        <v/>
      </c>
    </row>
    <row r="255">
      <c r="A255" s="39" t="n"/>
      <c r="B255" s="29" t="n"/>
      <c r="C255" s="29" t="n"/>
      <c r="D255" s="39" t="n"/>
      <c r="E255" s="29" t="n"/>
      <c r="F255" s="29" t="n"/>
      <c r="G255" s="29" t="n"/>
      <c r="H255" s="39" t="n"/>
      <c r="I255" s="42" t="n"/>
      <c r="J255" s="39" t="n"/>
      <c r="K255" s="39" t="n"/>
      <c r="L255" s="32">
        <f>IF($A255="","",IF(COUNTIF($A:$A,$A255)&gt;1,"كود صنف مكرر",IF($D255="","الوحدة الأساسية ناقصة",IF(COUNTIF(Units!$A:$A,$D255)=0,"وحدة غير معرفة",""))))</f>
        <v/>
      </c>
    </row>
    <row r="256">
      <c r="A256" s="39" t="n"/>
      <c r="B256" s="29" t="n"/>
      <c r="C256" s="29" t="n"/>
      <c r="D256" s="39" t="n"/>
      <c r="E256" s="29" t="n"/>
      <c r="F256" s="29" t="n"/>
      <c r="G256" s="29" t="n"/>
      <c r="H256" s="39" t="n"/>
      <c r="I256" s="42" t="n"/>
      <c r="J256" s="39" t="n"/>
      <c r="K256" s="39" t="n"/>
      <c r="L256" s="32">
        <f>IF($A256="","",IF(COUNTIF($A:$A,$A256)&gt;1,"كود صنف مكرر",IF($D256="","الوحدة الأساسية ناقصة",IF(COUNTIF(Units!$A:$A,$D256)=0,"وحدة غير معرفة",""))))</f>
        <v/>
      </c>
    </row>
    <row r="257">
      <c r="A257" s="39" t="n"/>
      <c r="B257" s="29" t="n"/>
      <c r="C257" s="29" t="n"/>
      <c r="D257" s="39" t="n"/>
      <c r="E257" s="29" t="n"/>
      <c r="F257" s="29" t="n"/>
      <c r="G257" s="29" t="n"/>
      <c r="H257" s="39" t="n"/>
      <c r="I257" s="42" t="n"/>
      <c r="J257" s="39" t="n"/>
      <c r="K257" s="39" t="n"/>
      <c r="L257" s="32">
        <f>IF($A257="","",IF(COUNTIF($A:$A,$A257)&gt;1,"كود صنف مكرر",IF($D257="","الوحدة الأساسية ناقصة",IF(COUNTIF(Units!$A:$A,$D257)=0,"وحدة غير معرفة",""))))</f>
        <v/>
      </c>
    </row>
    <row r="258">
      <c r="A258" s="39" t="n"/>
      <c r="B258" s="29" t="n"/>
      <c r="C258" s="29" t="n"/>
      <c r="D258" s="39" t="n"/>
      <c r="E258" s="29" t="n"/>
      <c r="F258" s="29" t="n"/>
      <c r="G258" s="29" t="n"/>
      <c r="H258" s="39" t="n"/>
      <c r="I258" s="42" t="n"/>
      <c r="J258" s="39" t="n"/>
      <c r="K258" s="39" t="n"/>
      <c r="L258" s="32">
        <f>IF($A258="","",IF(COUNTIF($A:$A,$A258)&gt;1,"كود صنف مكرر",IF($D258="","الوحدة الأساسية ناقصة",IF(COUNTIF(Units!$A:$A,$D258)=0,"وحدة غير معرفة",""))))</f>
        <v/>
      </c>
    </row>
    <row r="259">
      <c r="A259" s="39" t="n"/>
      <c r="B259" s="29" t="n"/>
      <c r="C259" s="29" t="n"/>
      <c r="D259" s="39" t="n"/>
      <c r="E259" s="29" t="n"/>
      <c r="F259" s="29" t="n"/>
      <c r="G259" s="29" t="n"/>
      <c r="H259" s="39" t="n"/>
      <c r="I259" s="42" t="n"/>
      <c r="J259" s="39" t="n"/>
      <c r="K259" s="39" t="n"/>
      <c r="L259" s="32">
        <f>IF($A259="","",IF(COUNTIF($A:$A,$A259)&gt;1,"كود صنف مكرر",IF($D259="","الوحدة الأساسية ناقصة",IF(COUNTIF(Units!$A:$A,$D259)=0,"وحدة غير معرفة",""))))</f>
        <v/>
      </c>
    </row>
    <row r="260">
      <c r="A260" s="39" t="n"/>
      <c r="B260" s="29" t="n"/>
      <c r="C260" s="29" t="n"/>
      <c r="D260" s="39" t="n"/>
      <c r="E260" s="29" t="n"/>
      <c r="F260" s="29" t="n"/>
      <c r="G260" s="29" t="n"/>
      <c r="H260" s="39" t="n"/>
      <c r="I260" s="42" t="n"/>
      <c r="J260" s="39" t="n"/>
      <c r="K260" s="39" t="n"/>
      <c r="L260" s="32">
        <f>IF($A260="","",IF(COUNTIF($A:$A,$A260)&gt;1,"كود صنف مكرر",IF($D260="","الوحدة الأساسية ناقصة",IF(COUNTIF(Units!$A:$A,$D260)=0,"وحدة غير معرفة",""))))</f>
        <v/>
      </c>
    </row>
    <row r="261">
      <c r="A261" s="39" t="n"/>
      <c r="B261" s="29" t="n"/>
      <c r="C261" s="29" t="n"/>
      <c r="D261" s="39" t="n"/>
      <c r="E261" s="29" t="n"/>
      <c r="F261" s="29" t="n"/>
      <c r="G261" s="29" t="n"/>
      <c r="H261" s="39" t="n"/>
      <c r="I261" s="42" t="n"/>
      <c r="J261" s="39" t="n"/>
      <c r="K261" s="39" t="n"/>
      <c r="L261" s="32">
        <f>IF($A261="","",IF(COUNTIF($A:$A,$A261)&gt;1,"كود صنف مكرر",IF($D261="","الوحدة الأساسية ناقصة",IF(COUNTIF(Units!$A:$A,$D261)=0,"وحدة غير معرفة",""))))</f>
        <v/>
      </c>
    </row>
    <row r="262">
      <c r="A262" s="39" t="n"/>
      <c r="B262" s="29" t="n"/>
      <c r="C262" s="29" t="n"/>
      <c r="D262" s="39" t="n"/>
      <c r="E262" s="29" t="n"/>
      <c r="F262" s="29" t="n"/>
      <c r="G262" s="29" t="n"/>
      <c r="H262" s="39" t="n"/>
      <c r="I262" s="42" t="n"/>
      <c r="J262" s="39" t="n"/>
      <c r="K262" s="39" t="n"/>
      <c r="L262" s="32">
        <f>IF($A262="","",IF(COUNTIF($A:$A,$A262)&gt;1,"كود صنف مكرر",IF($D262="","الوحدة الأساسية ناقصة",IF(COUNTIF(Units!$A:$A,$D262)=0,"وحدة غير معرفة",""))))</f>
        <v/>
      </c>
    </row>
    <row r="263">
      <c r="A263" s="39" t="n"/>
      <c r="B263" s="29" t="n"/>
      <c r="C263" s="29" t="n"/>
      <c r="D263" s="39" t="n"/>
      <c r="E263" s="29" t="n"/>
      <c r="F263" s="29" t="n"/>
      <c r="G263" s="29" t="n"/>
      <c r="H263" s="39" t="n"/>
      <c r="I263" s="42" t="n"/>
      <c r="J263" s="39" t="n"/>
      <c r="K263" s="39" t="n"/>
      <c r="L263" s="32">
        <f>IF($A263="","",IF(COUNTIF($A:$A,$A263)&gt;1,"كود صنف مكرر",IF($D263="","الوحدة الأساسية ناقصة",IF(COUNTIF(Units!$A:$A,$D263)=0,"وحدة غير معرفة",""))))</f>
        <v/>
      </c>
    </row>
    <row r="264">
      <c r="A264" s="39" t="n"/>
      <c r="B264" s="29" t="n"/>
      <c r="C264" s="29" t="n"/>
      <c r="D264" s="39" t="n"/>
      <c r="E264" s="29" t="n"/>
      <c r="F264" s="29" t="n"/>
      <c r="G264" s="29" t="n"/>
      <c r="H264" s="39" t="n"/>
      <c r="I264" s="42" t="n"/>
      <c r="J264" s="39" t="n"/>
      <c r="K264" s="39" t="n"/>
      <c r="L264" s="32">
        <f>IF($A264="","",IF(COUNTIF($A:$A,$A264)&gt;1,"كود صنف مكرر",IF($D264="","الوحدة الأساسية ناقصة",IF(COUNTIF(Units!$A:$A,$D264)=0,"وحدة غير معرفة",""))))</f>
        <v/>
      </c>
    </row>
    <row r="265">
      <c r="A265" s="39" t="n"/>
      <c r="B265" s="29" t="n"/>
      <c r="C265" s="29" t="n"/>
      <c r="D265" s="39" t="n"/>
      <c r="E265" s="29" t="n"/>
      <c r="F265" s="29" t="n"/>
      <c r="G265" s="29" t="n"/>
      <c r="H265" s="39" t="n"/>
      <c r="I265" s="42" t="n"/>
      <c r="J265" s="39" t="n"/>
      <c r="K265" s="39" t="n"/>
      <c r="L265" s="32">
        <f>IF($A265="","",IF(COUNTIF($A:$A,$A265)&gt;1,"كود صنف مكرر",IF($D265="","الوحدة الأساسية ناقصة",IF(COUNTIF(Units!$A:$A,$D265)=0,"وحدة غير معرفة",""))))</f>
        <v/>
      </c>
    </row>
    <row r="266">
      <c r="A266" s="39" t="n"/>
      <c r="B266" s="29" t="n"/>
      <c r="C266" s="29" t="n"/>
      <c r="D266" s="39" t="n"/>
      <c r="E266" s="29" t="n"/>
      <c r="F266" s="29" t="n"/>
      <c r="G266" s="29" t="n"/>
      <c r="H266" s="39" t="n"/>
      <c r="I266" s="42" t="n"/>
      <c r="J266" s="39" t="n"/>
      <c r="K266" s="39" t="n"/>
      <c r="L266" s="32">
        <f>IF($A266="","",IF(COUNTIF($A:$A,$A266)&gt;1,"كود صنف مكرر",IF($D266="","الوحدة الأساسية ناقصة",IF(COUNTIF(Units!$A:$A,$D266)=0,"وحدة غير معرفة",""))))</f>
        <v/>
      </c>
    </row>
    <row r="267">
      <c r="A267" s="39" t="n"/>
      <c r="B267" s="29" t="n"/>
      <c r="C267" s="29" t="n"/>
      <c r="D267" s="39" t="n"/>
      <c r="E267" s="29" t="n"/>
      <c r="F267" s="29" t="n"/>
      <c r="G267" s="29" t="n"/>
      <c r="H267" s="39" t="n"/>
      <c r="I267" s="42" t="n"/>
      <c r="J267" s="39" t="n"/>
      <c r="K267" s="39" t="n"/>
      <c r="L267" s="32">
        <f>IF($A267="","",IF(COUNTIF($A:$A,$A267)&gt;1,"كود صنف مكرر",IF($D267="","الوحدة الأساسية ناقصة",IF(COUNTIF(Units!$A:$A,$D267)=0,"وحدة غير معرفة",""))))</f>
        <v/>
      </c>
    </row>
    <row r="268">
      <c r="A268" s="39" t="n"/>
      <c r="B268" s="29" t="n"/>
      <c r="C268" s="29" t="n"/>
      <c r="D268" s="39" t="n"/>
      <c r="E268" s="29" t="n"/>
      <c r="F268" s="29" t="n"/>
      <c r="G268" s="29" t="n"/>
      <c r="H268" s="39" t="n"/>
      <c r="I268" s="42" t="n"/>
      <c r="J268" s="39" t="n"/>
      <c r="K268" s="39" t="n"/>
      <c r="L268" s="32">
        <f>IF($A268="","",IF(COUNTIF($A:$A,$A268)&gt;1,"كود صنف مكرر",IF($D268="","الوحدة الأساسية ناقصة",IF(COUNTIF(Units!$A:$A,$D268)=0,"وحدة غير معرفة",""))))</f>
        <v/>
      </c>
    </row>
    <row r="269">
      <c r="A269" s="39" t="n"/>
      <c r="B269" s="29" t="n"/>
      <c r="C269" s="29" t="n"/>
      <c r="D269" s="39" t="n"/>
      <c r="E269" s="29" t="n"/>
      <c r="F269" s="29" t="n"/>
      <c r="G269" s="29" t="n"/>
      <c r="H269" s="39" t="n"/>
      <c r="I269" s="42" t="n"/>
      <c r="J269" s="39" t="n"/>
      <c r="K269" s="39" t="n"/>
      <c r="L269" s="32">
        <f>IF($A269="","",IF(COUNTIF($A:$A,$A269)&gt;1,"كود صنف مكرر",IF($D269="","الوحدة الأساسية ناقصة",IF(COUNTIF(Units!$A:$A,$D269)=0,"وحدة غير معرفة",""))))</f>
        <v/>
      </c>
    </row>
    <row r="270">
      <c r="A270" s="39" t="n"/>
      <c r="B270" s="29" t="n"/>
      <c r="C270" s="29" t="n"/>
      <c r="D270" s="39" t="n"/>
      <c r="E270" s="29" t="n"/>
      <c r="F270" s="29" t="n"/>
      <c r="G270" s="29" t="n"/>
      <c r="H270" s="39" t="n"/>
      <c r="I270" s="42" t="n"/>
      <c r="J270" s="39" t="n"/>
      <c r="K270" s="39" t="n"/>
      <c r="L270" s="32">
        <f>IF($A270="","",IF(COUNTIF($A:$A,$A270)&gt;1,"كود صنف مكرر",IF($D270="","الوحدة الأساسية ناقصة",IF(COUNTIF(Units!$A:$A,$D270)=0,"وحدة غير معرفة",""))))</f>
        <v/>
      </c>
    </row>
    <row r="271">
      <c r="A271" s="39" t="n"/>
      <c r="B271" s="29" t="n"/>
      <c r="C271" s="29" t="n"/>
      <c r="D271" s="39" t="n"/>
      <c r="E271" s="29" t="n"/>
      <c r="F271" s="29" t="n"/>
      <c r="G271" s="29" t="n"/>
      <c r="H271" s="39" t="n"/>
      <c r="I271" s="42" t="n"/>
      <c r="J271" s="39" t="n"/>
      <c r="K271" s="39" t="n"/>
      <c r="L271" s="32">
        <f>IF($A271="","",IF(COUNTIF($A:$A,$A271)&gt;1,"كود صنف مكرر",IF($D271="","الوحدة الأساسية ناقصة",IF(COUNTIF(Units!$A:$A,$D271)=0,"وحدة غير معرفة",""))))</f>
        <v/>
      </c>
    </row>
    <row r="272">
      <c r="A272" s="39" t="n"/>
      <c r="B272" s="29" t="n"/>
      <c r="C272" s="29" t="n"/>
      <c r="D272" s="39" t="n"/>
      <c r="E272" s="29" t="n"/>
      <c r="F272" s="29" t="n"/>
      <c r="G272" s="29" t="n"/>
      <c r="H272" s="39" t="n"/>
      <c r="I272" s="42" t="n"/>
      <c r="J272" s="39" t="n"/>
      <c r="K272" s="39" t="n"/>
      <c r="L272" s="32">
        <f>IF($A272="","",IF(COUNTIF($A:$A,$A272)&gt;1,"كود صنف مكرر",IF($D272="","الوحدة الأساسية ناقصة",IF(COUNTIF(Units!$A:$A,$D272)=0,"وحدة غير معرفة",""))))</f>
        <v/>
      </c>
    </row>
    <row r="273">
      <c r="A273" s="39" t="n"/>
      <c r="B273" s="29" t="n"/>
      <c r="C273" s="29" t="n"/>
      <c r="D273" s="39" t="n"/>
      <c r="E273" s="29" t="n"/>
      <c r="F273" s="29" t="n"/>
      <c r="G273" s="29" t="n"/>
      <c r="H273" s="39" t="n"/>
      <c r="I273" s="42" t="n"/>
      <c r="J273" s="39" t="n"/>
      <c r="K273" s="39" t="n"/>
      <c r="L273" s="32">
        <f>IF($A273="","",IF(COUNTIF($A:$A,$A273)&gt;1,"كود صنف مكرر",IF($D273="","الوحدة الأساسية ناقصة",IF(COUNTIF(Units!$A:$A,$D273)=0,"وحدة غير معرفة",""))))</f>
        <v/>
      </c>
    </row>
    <row r="274">
      <c r="A274" s="39" t="n"/>
      <c r="B274" s="29" t="n"/>
      <c r="C274" s="29" t="n"/>
      <c r="D274" s="39" t="n"/>
      <c r="E274" s="29" t="n"/>
      <c r="F274" s="29" t="n"/>
      <c r="G274" s="29" t="n"/>
      <c r="H274" s="39" t="n"/>
      <c r="I274" s="42" t="n"/>
      <c r="J274" s="39" t="n"/>
      <c r="K274" s="39" t="n"/>
      <c r="L274" s="32">
        <f>IF($A274="","",IF(COUNTIF($A:$A,$A274)&gt;1,"كود صنف مكرر",IF($D274="","الوحدة الأساسية ناقصة",IF(COUNTIF(Units!$A:$A,$D274)=0,"وحدة غير معرفة",""))))</f>
        <v/>
      </c>
    </row>
    <row r="275">
      <c r="A275" s="39" t="n"/>
      <c r="B275" s="29" t="n"/>
      <c r="C275" s="29" t="n"/>
      <c r="D275" s="39" t="n"/>
      <c r="E275" s="29" t="n"/>
      <c r="F275" s="29" t="n"/>
      <c r="G275" s="29" t="n"/>
      <c r="H275" s="39" t="n"/>
      <c r="I275" s="42" t="n"/>
      <c r="J275" s="39" t="n"/>
      <c r="K275" s="39" t="n"/>
      <c r="L275" s="32">
        <f>IF($A275="","",IF(COUNTIF($A:$A,$A275)&gt;1,"كود صنف مكرر",IF($D275="","الوحدة الأساسية ناقصة",IF(COUNTIF(Units!$A:$A,$D275)=0,"وحدة غير معرفة",""))))</f>
        <v/>
      </c>
    </row>
    <row r="276">
      <c r="A276" s="39" t="n"/>
      <c r="B276" s="29" t="n"/>
      <c r="C276" s="29" t="n"/>
      <c r="D276" s="39" t="n"/>
      <c r="E276" s="29" t="n"/>
      <c r="F276" s="29" t="n"/>
      <c r="G276" s="29" t="n"/>
      <c r="H276" s="39" t="n"/>
      <c r="I276" s="42" t="n"/>
      <c r="J276" s="39" t="n"/>
      <c r="K276" s="39" t="n"/>
      <c r="L276" s="32">
        <f>IF($A276="","",IF(COUNTIF($A:$A,$A276)&gt;1,"كود صنف مكرر",IF($D276="","الوحدة الأساسية ناقصة",IF(COUNTIF(Units!$A:$A,$D276)=0,"وحدة غير معرفة",""))))</f>
        <v/>
      </c>
    </row>
    <row r="277">
      <c r="A277" s="39" t="n"/>
      <c r="B277" s="29" t="n"/>
      <c r="C277" s="29" t="n"/>
      <c r="D277" s="39" t="n"/>
      <c r="E277" s="29" t="n"/>
      <c r="F277" s="29" t="n"/>
      <c r="G277" s="29" t="n"/>
      <c r="H277" s="39" t="n"/>
      <c r="I277" s="42" t="n"/>
      <c r="J277" s="39" t="n"/>
      <c r="K277" s="39" t="n"/>
      <c r="L277" s="32">
        <f>IF($A277="","",IF(COUNTIF($A:$A,$A277)&gt;1,"كود صنف مكرر",IF($D277="","الوحدة الأساسية ناقصة",IF(COUNTIF(Units!$A:$A,$D277)=0,"وحدة غير معرفة",""))))</f>
        <v/>
      </c>
    </row>
    <row r="278">
      <c r="A278" s="39" t="n"/>
      <c r="B278" s="29" t="n"/>
      <c r="C278" s="29" t="n"/>
      <c r="D278" s="39" t="n"/>
      <c r="E278" s="29" t="n"/>
      <c r="F278" s="29" t="n"/>
      <c r="G278" s="29" t="n"/>
      <c r="H278" s="39" t="n"/>
      <c r="I278" s="42" t="n"/>
      <c r="J278" s="39" t="n"/>
      <c r="K278" s="39" t="n"/>
      <c r="L278" s="32">
        <f>IF($A278="","",IF(COUNTIF($A:$A,$A278)&gt;1,"كود صنف مكرر",IF($D278="","الوحدة الأساسية ناقصة",IF(COUNTIF(Units!$A:$A,$D278)=0,"وحدة غير معرفة",""))))</f>
        <v/>
      </c>
    </row>
    <row r="279">
      <c r="A279" s="39" t="n"/>
      <c r="B279" s="29" t="n"/>
      <c r="C279" s="29" t="n"/>
      <c r="D279" s="39" t="n"/>
      <c r="E279" s="29" t="n"/>
      <c r="F279" s="29" t="n"/>
      <c r="G279" s="29" t="n"/>
      <c r="H279" s="39" t="n"/>
      <c r="I279" s="42" t="n"/>
      <c r="J279" s="39" t="n"/>
      <c r="K279" s="39" t="n"/>
      <c r="L279" s="32">
        <f>IF($A279="","",IF(COUNTIF($A:$A,$A279)&gt;1,"كود صنف مكرر",IF($D279="","الوحدة الأساسية ناقصة",IF(COUNTIF(Units!$A:$A,$D279)=0,"وحدة غير معرفة",""))))</f>
        <v/>
      </c>
    </row>
    <row r="280">
      <c r="A280" s="39" t="n"/>
      <c r="B280" s="29" t="n"/>
      <c r="C280" s="29" t="n"/>
      <c r="D280" s="39" t="n"/>
      <c r="E280" s="29" t="n"/>
      <c r="F280" s="29" t="n"/>
      <c r="G280" s="29" t="n"/>
      <c r="H280" s="39" t="n"/>
      <c r="I280" s="42" t="n"/>
      <c r="J280" s="39" t="n"/>
      <c r="K280" s="39" t="n"/>
      <c r="L280" s="32">
        <f>IF($A280="","",IF(COUNTIF($A:$A,$A280)&gt;1,"كود صنف مكرر",IF($D280="","الوحدة الأساسية ناقصة",IF(COUNTIF(Units!$A:$A,$D280)=0,"وحدة غير معرفة",""))))</f>
        <v/>
      </c>
    </row>
    <row r="281">
      <c r="A281" s="39" t="n"/>
      <c r="B281" s="29" t="n"/>
      <c r="C281" s="29" t="n"/>
      <c r="D281" s="39" t="n"/>
      <c r="E281" s="29" t="n"/>
      <c r="F281" s="29" t="n"/>
      <c r="G281" s="29" t="n"/>
      <c r="H281" s="39" t="n"/>
      <c r="I281" s="42" t="n"/>
      <c r="J281" s="39" t="n"/>
      <c r="K281" s="39" t="n"/>
      <c r="L281" s="32">
        <f>IF($A281="","",IF(COUNTIF($A:$A,$A281)&gt;1,"كود صنف مكرر",IF($D281="","الوحدة الأساسية ناقصة",IF(COUNTIF(Units!$A:$A,$D281)=0,"وحدة غير معرفة",""))))</f>
        <v/>
      </c>
    </row>
    <row r="282">
      <c r="A282" s="39" t="n"/>
      <c r="B282" s="29" t="n"/>
      <c r="C282" s="29" t="n"/>
      <c r="D282" s="39" t="n"/>
      <c r="E282" s="29" t="n"/>
      <c r="F282" s="29" t="n"/>
      <c r="G282" s="29" t="n"/>
      <c r="H282" s="39" t="n"/>
      <c r="I282" s="42" t="n"/>
      <c r="J282" s="39" t="n"/>
      <c r="K282" s="39" t="n"/>
      <c r="L282" s="32">
        <f>IF($A282="","",IF(COUNTIF($A:$A,$A282)&gt;1,"كود صنف مكرر",IF($D282="","الوحدة الأساسية ناقصة",IF(COUNTIF(Units!$A:$A,$D282)=0,"وحدة غير معرفة",""))))</f>
        <v/>
      </c>
    </row>
    <row r="283">
      <c r="A283" s="39" t="n"/>
      <c r="B283" s="29" t="n"/>
      <c r="C283" s="29" t="n"/>
      <c r="D283" s="39" t="n"/>
      <c r="E283" s="29" t="n"/>
      <c r="F283" s="29" t="n"/>
      <c r="G283" s="29" t="n"/>
      <c r="H283" s="39" t="n"/>
      <c r="I283" s="42" t="n"/>
      <c r="J283" s="39" t="n"/>
      <c r="K283" s="39" t="n"/>
      <c r="L283" s="32">
        <f>IF($A283="","",IF(COUNTIF($A:$A,$A283)&gt;1,"كود صنف مكرر",IF($D283="","الوحدة الأساسية ناقصة",IF(COUNTIF(Units!$A:$A,$D283)=0,"وحدة غير معرفة",""))))</f>
        <v/>
      </c>
    </row>
    <row r="284">
      <c r="A284" s="39" t="n"/>
      <c r="B284" s="29" t="n"/>
      <c r="C284" s="29" t="n"/>
      <c r="D284" s="39" t="n"/>
      <c r="E284" s="29" t="n"/>
      <c r="F284" s="29" t="n"/>
      <c r="G284" s="29" t="n"/>
      <c r="H284" s="39" t="n"/>
      <c r="I284" s="42" t="n"/>
      <c r="J284" s="39" t="n"/>
      <c r="K284" s="39" t="n"/>
      <c r="L284" s="32">
        <f>IF($A284="","",IF(COUNTIF($A:$A,$A284)&gt;1,"كود صنف مكرر",IF($D284="","الوحدة الأساسية ناقصة",IF(COUNTIF(Units!$A:$A,$D284)=0,"وحدة غير معرفة",""))))</f>
        <v/>
      </c>
    </row>
    <row r="285">
      <c r="A285" s="39" t="n"/>
      <c r="B285" s="29" t="n"/>
      <c r="C285" s="29" t="n"/>
      <c r="D285" s="39" t="n"/>
      <c r="E285" s="29" t="n"/>
      <c r="F285" s="29" t="n"/>
      <c r="G285" s="29" t="n"/>
      <c r="H285" s="39" t="n"/>
      <c r="I285" s="42" t="n"/>
      <c r="J285" s="39" t="n"/>
      <c r="K285" s="39" t="n"/>
      <c r="L285" s="32">
        <f>IF($A285="","",IF(COUNTIF($A:$A,$A285)&gt;1,"كود صنف مكرر",IF($D285="","الوحدة الأساسية ناقصة",IF(COUNTIF(Units!$A:$A,$D285)=0,"وحدة غير معرفة",""))))</f>
        <v/>
      </c>
    </row>
    <row r="286">
      <c r="A286" s="39" t="n"/>
      <c r="B286" s="29" t="n"/>
      <c r="C286" s="29" t="n"/>
      <c r="D286" s="39" t="n"/>
      <c r="E286" s="29" t="n"/>
      <c r="F286" s="29" t="n"/>
      <c r="G286" s="29" t="n"/>
      <c r="H286" s="39" t="n"/>
      <c r="I286" s="42" t="n"/>
      <c r="J286" s="39" t="n"/>
      <c r="K286" s="39" t="n"/>
      <c r="L286" s="32">
        <f>IF($A286="","",IF(COUNTIF($A:$A,$A286)&gt;1,"كود صنف مكرر",IF($D286="","الوحدة الأساسية ناقصة",IF(COUNTIF(Units!$A:$A,$D286)=0,"وحدة غير معرفة",""))))</f>
        <v/>
      </c>
    </row>
    <row r="287">
      <c r="A287" s="39" t="n"/>
      <c r="B287" s="29" t="n"/>
      <c r="C287" s="29" t="n"/>
      <c r="D287" s="39" t="n"/>
      <c r="E287" s="29" t="n"/>
      <c r="F287" s="29" t="n"/>
      <c r="G287" s="29" t="n"/>
      <c r="H287" s="39" t="n"/>
      <c r="I287" s="42" t="n"/>
      <c r="J287" s="39" t="n"/>
      <c r="K287" s="39" t="n"/>
      <c r="L287" s="32">
        <f>IF($A287="","",IF(COUNTIF($A:$A,$A287)&gt;1,"كود صنف مكرر",IF($D287="","الوحدة الأساسية ناقصة",IF(COUNTIF(Units!$A:$A,$D287)=0,"وحدة غير معرفة",""))))</f>
        <v/>
      </c>
    </row>
    <row r="288">
      <c r="A288" s="39" t="n"/>
      <c r="B288" s="29" t="n"/>
      <c r="C288" s="29" t="n"/>
      <c r="D288" s="39" t="n"/>
      <c r="E288" s="29" t="n"/>
      <c r="F288" s="29" t="n"/>
      <c r="G288" s="29" t="n"/>
      <c r="H288" s="39" t="n"/>
      <c r="I288" s="42" t="n"/>
      <c r="J288" s="39" t="n"/>
      <c r="K288" s="39" t="n"/>
      <c r="L288" s="32">
        <f>IF($A288="","",IF(COUNTIF($A:$A,$A288)&gt;1,"كود صنف مكرر",IF($D288="","الوحدة الأساسية ناقصة",IF(COUNTIF(Units!$A:$A,$D288)=0,"وحدة غير معرفة",""))))</f>
        <v/>
      </c>
    </row>
    <row r="289">
      <c r="A289" s="39" t="n"/>
      <c r="B289" s="29" t="n"/>
      <c r="C289" s="29" t="n"/>
      <c r="D289" s="39" t="n"/>
      <c r="E289" s="29" t="n"/>
      <c r="F289" s="29" t="n"/>
      <c r="G289" s="29" t="n"/>
      <c r="H289" s="39" t="n"/>
      <c r="I289" s="42" t="n"/>
      <c r="J289" s="39" t="n"/>
      <c r="K289" s="39" t="n"/>
      <c r="L289" s="32">
        <f>IF($A289="","",IF(COUNTIF($A:$A,$A289)&gt;1,"كود صنف مكرر",IF($D289="","الوحدة الأساسية ناقصة",IF(COUNTIF(Units!$A:$A,$D289)=0,"وحدة غير معرفة",""))))</f>
        <v/>
      </c>
    </row>
    <row r="290">
      <c r="A290" s="39" t="n"/>
      <c r="B290" s="29" t="n"/>
      <c r="C290" s="29" t="n"/>
      <c r="D290" s="39" t="n"/>
      <c r="E290" s="29" t="n"/>
      <c r="F290" s="29" t="n"/>
      <c r="G290" s="29" t="n"/>
      <c r="H290" s="39" t="n"/>
      <c r="I290" s="42" t="n"/>
      <c r="J290" s="39" t="n"/>
      <c r="K290" s="39" t="n"/>
      <c r="L290" s="32">
        <f>IF($A290="","",IF(COUNTIF($A:$A,$A290)&gt;1,"كود صنف مكرر",IF($D290="","الوحدة الأساسية ناقصة",IF(COUNTIF(Units!$A:$A,$D290)=0,"وحدة غير معرفة",""))))</f>
        <v/>
      </c>
    </row>
    <row r="291">
      <c r="A291" s="39" t="n"/>
      <c r="B291" s="29" t="n"/>
      <c r="C291" s="29" t="n"/>
      <c r="D291" s="39" t="n"/>
      <c r="E291" s="29" t="n"/>
      <c r="F291" s="29" t="n"/>
      <c r="G291" s="29" t="n"/>
      <c r="H291" s="39" t="n"/>
      <c r="I291" s="42" t="n"/>
      <c r="J291" s="39" t="n"/>
      <c r="K291" s="39" t="n"/>
      <c r="L291" s="32">
        <f>IF($A291="","",IF(COUNTIF($A:$A,$A291)&gt;1,"كود صنف مكرر",IF($D291="","الوحدة الأساسية ناقصة",IF(COUNTIF(Units!$A:$A,$D291)=0,"وحدة غير معرفة",""))))</f>
        <v/>
      </c>
    </row>
    <row r="292">
      <c r="A292" s="39" t="n"/>
      <c r="B292" s="29" t="n"/>
      <c r="C292" s="29" t="n"/>
      <c r="D292" s="39" t="n"/>
      <c r="E292" s="29" t="n"/>
      <c r="F292" s="29" t="n"/>
      <c r="G292" s="29" t="n"/>
      <c r="H292" s="39" t="n"/>
      <c r="I292" s="42" t="n"/>
      <c r="J292" s="39" t="n"/>
      <c r="K292" s="39" t="n"/>
      <c r="L292" s="32">
        <f>IF($A292="","",IF(COUNTIF($A:$A,$A292)&gt;1,"كود صنف مكرر",IF($D292="","الوحدة الأساسية ناقصة",IF(COUNTIF(Units!$A:$A,$D292)=0,"وحدة غير معرفة",""))))</f>
        <v/>
      </c>
    </row>
    <row r="293">
      <c r="A293" s="39" t="n"/>
      <c r="B293" s="29" t="n"/>
      <c r="C293" s="29" t="n"/>
      <c r="D293" s="39" t="n"/>
      <c r="E293" s="29" t="n"/>
      <c r="F293" s="29" t="n"/>
      <c r="G293" s="29" t="n"/>
      <c r="H293" s="39" t="n"/>
      <c r="I293" s="42" t="n"/>
      <c r="J293" s="39" t="n"/>
      <c r="K293" s="39" t="n"/>
      <c r="L293" s="32">
        <f>IF($A293="","",IF(COUNTIF($A:$A,$A293)&gt;1,"كود صنف مكرر",IF($D293="","الوحدة الأساسية ناقصة",IF(COUNTIF(Units!$A:$A,$D293)=0,"وحدة غير معرفة",""))))</f>
        <v/>
      </c>
    </row>
    <row r="294">
      <c r="A294" s="39" t="n"/>
      <c r="B294" s="29" t="n"/>
      <c r="C294" s="29" t="n"/>
      <c r="D294" s="39" t="n"/>
      <c r="E294" s="29" t="n"/>
      <c r="F294" s="29" t="n"/>
      <c r="G294" s="29" t="n"/>
      <c r="H294" s="39" t="n"/>
      <c r="I294" s="42" t="n"/>
      <c r="J294" s="39" t="n"/>
      <c r="K294" s="39" t="n"/>
      <c r="L294" s="32">
        <f>IF($A294="","",IF(COUNTIF($A:$A,$A294)&gt;1,"كود صنف مكرر",IF($D294="","الوحدة الأساسية ناقصة",IF(COUNTIF(Units!$A:$A,$D294)=0,"وحدة غير معرفة",""))))</f>
        <v/>
      </c>
    </row>
    <row r="295">
      <c r="A295" s="39" t="n"/>
      <c r="B295" s="29" t="n"/>
      <c r="C295" s="29" t="n"/>
      <c r="D295" s="39" t="n"/>
      <c r="E295" s="29" t="n"/>
      <c r="F295" s="29" t="n"/>
      <c r="G295" s="29" t="n"/>
      <c r="H295" s="39" t="n"/>
      <c r="I295" s="42" t="n"/>
      <c r="J295" s="39" t="n"/>
      <c r="K295" s="39" t="n"/>
      <c r="L295" s="32">
        <f>IF($A295="","",IF(COUNTIF($A:$A,$A295)&gt;1,"كود صنف مكرر",IF($D295="","الوحدة الأساسية ناقصة",IF(COUNTIF(Units!$A:$A,$D295)=0,"وحدة غير معرفة",""))))</f>
        <v/>
      </c>
    </row>
    <row r="296">
      <c r="A296" s="39" t="n"/>
      <c r="B296" s="29" t="n"/>
      <c r="C296" s="29" t="n"/>
      <c r="D296" s="39" t="n"/>
      <c r="E296" s="29" t="n"/>
      <c r="F296" s="29" t="n"/>
      <c r="G296" s="29" t="n"/>
      <c r="H296" s="39" t="n"/>
      <c r="I296" s="42" t="n"/>
      <c r="J296" s="39" t="n"/>
      <c r="K296" s="39" t="n"/>
      <c r="L296" s="32">
        <f>IF($A296="","",IF(COUNTIF($A:$A,$A296)&gt;1,"كود صنف مكرر",IF($D296="","الوحدة الأساسية ناقصة",IF(COUNTIF(Units!$A:$A,$D296)=0,"وحدة غير معرفة",""))))</f>
        <v/>
      </c>
    </row>
    <row r="297">
      <c r="A297" s="39" t="n"/>
      <c r="B297" s="29" t="n"/>
      <c r="C297" s="29" t="n"/>
      <c r="D297" s="39" t="n"/>
      <c r="E297" s="29" t="n"/>
      <c r="F297" s="29" t="n"/>
      <c r="G297" s="29" t="n"/>
      <c r="H297" s="39" t="n"/>
      <c r="I297" s="42" t="n"/>
      <c r="J297" s="39" t="n"/>
      <c r="K297" s="39" t="n"/>
      <c r="L297" s="32">
        <f>IF($A297="","",IF(COUNTIF($A:$A,$A297)&gt;1,"كود صنف مكرر",IF($D297="","الوحدة الأساسية ناقصة",IF(COUNTIF(Units!$A:$A,$D297)=0,"وحدة غير معرفة",""))))</f>
        <v/>
      </c>
    </row>
    <row r="298">
      <c r="A298" s="39" t="n"/>
      <c r="B298" s="29" t="n"/>
      <c r="C298" s="29" t="n"/>
      <c r="D298" s="39" t="n"/>
      <c r="E298" s="29" t="n"/>
      <c r="F298" s="29" t="n"/>
      <c r="G298" s="29" t="n"/>
      <c r="H298" s="39" t="n"/>
      <c r="I298" s="42" t="n"/>
      <c r="J298" s="39" t="n"/>
      <c r="K298" s="39" t="n"/>
      <c r="L298" s="32">
        <f>IF($A298="","",IF(COUNTIF($A:$A,$A298)&gt;1,"كود صنف مكرر",IF($D298="","الوحدة الأساسية ناقصة",IF(COUNTIF(Units!$A:$A,$D298)=0,"وحدة غير معرفة",""))))</f>
        <v/>
      </c>
    </row>
    <row r="299">
      <c r="A299" s="39" t="n"/>
      <c r="B299" s="29" t="n"/>
      <c r="C299" s="29" t="n"/>
      <c r="D299" s="39" t="n"/>
      <c r="E299" s="29" t="n"/>
      <c r="F299" s="29" t="n"/>
      <c r="G299" s="29" t="n"/>
      <c r="H299" s="39" t="n"/>
      <c r="I299" s="42" t="n"/>
      <c r="J299" s="39" t="n"/>
      <c r="K299" s="39" t="n"/>
      <c r="L299" s="32">
        <f>IF($A299="","",IF(COUNTIF($A:$A,$A299)&gt;1,"كود صنف مكرر",IF($D299="","الوحدة الأساسية ناقصة",IF(COUNTIF(Units!$A:$A,$D299)=0,"وحدة غير معرفة",""))))</f>
        <v/>
      </c>
    </row>
    <row r="300">
      <c r="A300" s="39" t="n"/>
      <c r="B300" s="29" t="n"/>
      <c r="C300" s="29" t="n"/>
      <c r="D300" s="39" t="n"/>
      <c r="E300" s="29" t="n"/>
      <c r="F300" s="29" t="n"/>
      <c r="G300" s="29" t="n"/>
      <c r="H300" s="39" t="n"/>
      <c r="I300" s="42" t="n"/>
      <c r="J300" s="39" t="n"/>
      <c r="K300" s="39" t="n"/>
      <c r="L300" s="32">
        <f>IF($A300="","",IF(COUNTIF($A:$A,$A300)&gt;1,"كود صنف مكرر",IF($D300="","الوحدة الأساسية ناقصة",IF(COUNTIF(Units!$A:$A,$D300)=0,"وحدة غير معرفة",""))))</f>
        <v/>
      </c>
    </row>
    <row r="301">
      <c r="A301" s="39" t="n"/>
      <c r="B301" s="29" t="n"/>
      <c r="C301" s="29" t="n"/>
      <c r="D301" s="39" t="n"/>
      <c r="E301" s="29" t="n"/>
      <c r="F301" s="29" t="n"/>
      <c r="G301" s="29" t="n"/>
      <c r="H301" s="39" t="n"/>
      <c r="I301" s="42" t="n"/>
      <c r="J301" s="39" t="n"/>
      <c r="K301" s="39" t="n"/>
      <c r="L301" s="32">
        <f>IF($A301="","",IF(COUNTIF($A:$A,$A301)&gt;1,"كود صنف مكرر",IF($D301="","الوحدة الأساسية ناقصة",IF(COUNTIF(Units!$A:$A,$D301)=0,"وحدة غير معرفة",""))))</f>
        <v/>
      </c>
    </row>
    <row r="302">
      <c r="A302" s="39" t="n"/>
      <c r="B302" s="29" t="n"/>
      <c r="C302" s="29" t="n"/>
      <c r="D302" s="39" t="n"/>
      <c r="E302" s="29" t="n"/>
      <c r="F302" s="29" t="n"/>
      <c r="G302" s="29" t="n"/>
      <c r="H302" s="39" t="n"/>
      <c r="I302" s="42" t="n"/>
      <c r="J302" s="39" t="n"/>
      <c r="K302" s="39" t="n"/>
      <c r="L302" s="32">
        <f>IF($A302="","",IF(COUNTIF($A:$A,$A302)&gt;1,"كود صنف مكرر",IF($D302="","الوحدة الأساسية ناقصة",IF(COUNTIF(Units!$A:$A,$D302)=0,"وحدة غير معرفة",""))))</f>
        <v/>
      </c>
    </row>
    <row r="303">
      <c r="A303" s="39" t="n"/>
      <c r="B303" s="29" t="n"/>
      <c r="C303" s="29" t="n"/>
      <c r="D303" s="39" t="n"/>
      <c r="E303" s="29" t="n"/>
      <c r="F303" s="29" t="n"/>
      <c r="G303" s="29" t="n"/>
      <c r="H303" s="39" t="n"/>
      <c r="I303" s="42" t="n"/>
      <c r="J303" s="39" t="n"/>
      <c r="K303" s="39" t="n"/>
      <c r="L303" s="32">
        <f>IF($A303="","",IF(COUNTIF($A:$A,$A303)&gt;1,"كود صنف مكرر",IF($D303="","الوحدة الأساسية ناقصة",IF(COUNTIF(Units!$A:$A,$D303)=0,"وحدة غير معرفة",""))))</f>
        <v/>
      </c>
    </row>
    <row r="304">
      <c r="A304" s="39" t="n"/>
      <c r="B304" s="29" t="n"/>
      <c r="C304" s="29" t="n"/>
      <c r="D304" s="39" t="n"/>
      <c r="E304" s="29" t="n"/>
      <c r="F304" s="29" t="n"/>
      <c r="G304" s="29" t="n"/>
      <c r="H304" s="39" t="n"/>
      <c r="I304" s="42" t="n"/>
      <c r="J304" s="39" t="n"/>
      <c r="K304" s="39" t="n"/>
      <c r="L304" s="32">
        <f>IF($A304="","",IF(COUNTIF($A:$A,$A304)&gt;1,"كود صنف مكرر",IF($D304="","الوحدة الأساسية ناقصة",IF(COUNTIF(Units!$A:$A,$D304)=0,"وحدة غير معرفة",""))))</f>
        <v/>
      </c>
    </row>
  </sheetData>
  <sheetProtection selectLockedCells="0" selectUnlockedCells="0" sheet="1" objects="0" insertRows="1" insertHyperlinks="1" autoFilter="0" scenarios="0" formatColumns="0" deleteColumns="1" insertColumns="1" pivotTables="1" deleteRows="1" formatCells="0" formatRows="0" sort="1"/>
  <autoFilter ref="A4:L304"/>
  <conditionalFormatting sqref="L5:L304">
    <cfRule type="expression" priority="1" dxfId="3">
      <formula>LEN(L5)&gt;0</formula>
    </cfRule>
  </conditionalFormatting>
  <dataValidations count="8">
    <dataValidation sqref="D5:D304" showDropDown="0" showInputMessage="0" showErrorMessage="1" allowBlank="1" errorTitle="قيمة غير مسموحة" error="اختر قيمة من القائمة المنسدلة." type="list">
      <formula1>=Units!$A$5:$A$34</formula1>
    </dataValidation>
    <dataValidation sqref="E5:E304" showDropDown="0" showInputMessage="0" showErrorMessage="1" allowBlank="1" errorTitle="قيمة غير مسموحة" error="اختر قيمة من القائمة المنسدلة." type="list">
      <formula1>"مادة خام,نصف مصنع,منتج تام,عبوات,مستهلكات"</formula1>
    </dataValidation>
    <dataValidation sqref="F5:F30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G5:G304" showDropDown="0" showInputMessage="0" showErrorMessage="1" allowBlank="1" error="أدخل عددًا صحيحًا موجبًا." type="whole" operator="greaterThanOrEqual">
      <formula1>0</formula1>
    </dataValidation>
    <dataValidation sqref="H5:H304" showDropDown="0" showInputMessage="0" showErrorMessage="1" allowBlank="1" errorTitle="قيمة غير مسموحة" error="اختر قيمة من القائمة المنسدلة." type="list">
      <formula1>=Suppliers!$A$5:$A$154</formula1>
    </dataValidation>
    <dataValidation sqref="I5:I30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J5:J304" showDropDown="0" showInputMessage="0" showErrorMessage="1" allowBlank="1" errorTitle="قيمة غير مسموحة" error="اختر قيمة من القائمة المنسدلة." type="list">
      <formula1>=COA!$A$5:$A$254</formula1>
    </dataValidation>
    <dataValidation sqref="K5:K304" showDropDown="0" showInputMessage="0" showErrorMessage="1" allowBlank="1" errorTitle="قيمة غير مسموحة" error="اختر قيمة من القائمة المنسدلة." type="list">
      <formula1>=Lists!$R$5:$R$6</formula1>
    </dataValidation>
  </dataValidations>
  <pageMargins left="0.75" right="0.75" top="1" bottom="1" header="0.5" footer="0.5"/>
  <pageSetup orientation="landscape" fitToHeight="0" fitToWidth="1"/>
</worksheet>
</file>

<file path=xl/worksheets/sheet16.xml><?xml version="1.0" encoding="utf-8"?>
<worksheet xmlns="http://schemas.openxmlformats.org/spreadsheetml/2006/main">
  <sheetPr>
    <tabColor rgb="002E75B6"/>
    <outlinePr summaryBelow="1" summaryRight="1"/>
    <pageSetUpPr fitToPage="1"/>
  </sheetPr>
  <dimension ref="A1:H3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2" customWidth="1" min="3" max="3"/>
    <col width="30" customWidth="1" min="4" max="4"/>
    <col width="26" customWidth="1" min="5" max="5"/>
  </cols>
  <sheetData>
    <row r="1" ht="26" customHeight="1">
      <c r="A1" s="22" t="inlineStr">
        <is>
          <t>وحدات القياس (Units of Measure)</t>
        </is>
      </c>
      <c r="B1" s="1" t="n"/>
      <c r="C1" s="1" t="n"/>
      <c r="D1" s="1" t="n"/>
      <c r="E1" s="1" t="n"/>
      <c r="F1" s="1" t="n"/>
      <c r="G1" s="1" t="n"/>
      <c r="H1" s="1" t="n"/>
    </row>
    <row r="2">
      <c r="A2" s="35" t="inlineStr">
        <is>
          <t>الوحدة الأساسية لكل صنف تُحدد في بطاقة الصنف. التحويل بين الوحدات يتم فقط عبر Unit_Conversions المعتمد.</t>
        </is>
      </c>
    </row>
    <row r="3">
      <c r="A3" s="36" t="inlineStr">
        <is>
          <t>خلايا الإدخال</t>
        </is>
      </c>
      <c r="B3" s="37" t="inlineStr">
        <is>
          <t>معادلات (لا تعدّل)</t>
        </is>
      </c>
    </row>
    <row r="4" ht="34" customHeight="1">
      <c r="A4" s="24" t="inlineStr">
        <is>
          <t>كود الوحدة</t>
        </is>
      </c>
      <c r="B4" s="24" t="inlineStr">
        <is>
          <t>الاسم</t>
        </is>
      </c>
      <c r="C4" s="24" t="inlineStr">
        <is>
          <t>النوع</t>
        </is>
      </c>
      <c r="D4" s="24" t="inlineStr">
        <is>
          <t>ملاحظات</t>
        </is>
      </c>
      <c r="E4" s="38" t="inlineStr">
        <is>
          <t>فحص</t>
        </is>
      </c>
    </row>
    <row r="5">
      <c r="A5" s="39" t="inlineStr">
        <is>
          <t>KG</t>
        </is>
      </c>
      <c r="B5" s="29" t="inlineStr">
        <is>
          <t>كيلوجرام</t>
        </is>
      </c>
      <c r="C5" s="29" t="inlineStr">
        <is>
          <t>وزن</t>
        </is>
      </c>
      <c r="D5" s="29" t="n"/>
      <c r="E5" s="32">
        <f>IF($A5="","",IF(COUNTIF($A:$A,$A5)&gt;1,"كود مكرر",""))</f>
        <v/>
      </c>
    </row>
    <row r="6">
      <c r="A6" s="39" t="inlineStr">
        <is>
          <t>G</t>
        </is>
      </c>
      <c r="B6" s="29" t="inlineStr">
        <is>
          <t>جرام</t>
        </is>
      </c>
      <c r="C6" s="29" t="inlineStr">
        <is>
          <t>وزن</t>
        </is>
      </c>
      <c r="D6" s="29" t="n"/>
      <c r="E6" s="32">
        <f>IF($A6="","",IF(COUNTIF($A:$A,$A6)&gt;1,"كود مكرر",""))</f>
        <v/>
      </c>
    </row>
    <row r="7">
      <c r="A7" s="39" t="inlineStr">
        <is>
          <t>L</t>
        </is>
      </c>
      <c r="B7" s="29" t="inlineStr">
        <is>
          <t>لتر</t>
        </is>
      </c>
      <c r="C7" s="29" t="inlineStr">
        <is>
          <t>حجم</t>
        </is>
      </c>
      <c r="D7" s="29" t="n"/>
      <c r="E7" s="32">
        <f>IF($A7="","",IF(COUNTIF($A:$A,$A7)&gt;1,"كود مكرر",""))</f>
        <v/>
      </c>
    </row>
    <row r="8">
      <c r="A8" s="39" t="inlineStr">
        <is>
          <t>ML</t>
        </is>
      </c>
      <c r="B8" s="29" t="inlineStr">
        <is>
          <t>مللي لتر</t>
        </is>
      </c>
      <c r="C8" s="29" t="inlineStr">
        <is>
          <t>حجم</t>
        </is>
      </c>
      <c r="D8" s="29" t="n"/>
      <c r="E8" s="32">
        <f>IF($A8="","",IF(COUNTIF($A:$A,$A8)&gt;1,"كود مكرر",""))</f>
        <v/>
      </c>
    </row>
    <row r="9">
      <c r="A9" s="39" t="inlineStr">
        <is>
          <t>PC</t>
        </is>
      </c>
      <c r="B9" s="29" t="inlineStr">
        <is>
          <t>قطعة</t>
        </is>
      </c>
      <c r="C9" s="29" t="inlineStr">
        <is>
          <t>عدد</t>
        </is>
      </c>
      <c r="D9" s="29" t="n"/>
      <c r="E9" s="32">
        <f>IF($A9="","",IF(COUNTIF($A:$A,$A9)&gt;1,"كود مكرر",""))</f>
        <v/>
      </c>
    </row>
    <row r="10">
      <c r="A10" s="39" t="inlineStr">
        <is>
          <t>PACK</t>
        </is>
      </c>
      <c r="B10" s="29" t="inlineStr">
        <is>
          <t>عبوة</t>
        </is>
      </c>
      <c r="C10" s="29" t="inlineStr">
        <is>
          <t>عبوة</t>
        </is>
      </c>
      <c r="D10" s="29" t="n"/>
      <c r="E10" s="32">
        <f>IF($A10="","",IF(COUNTIF($A:$A,$A10)&gt;1,"كود مكرر",""))</f>
        <v/>
      </c>
    </row>
    <row r="11">
      <c r="A11" s="39" t="inlineStr">
        <is>
          <t>CTN</t>
        </is>
      </c>
      <c r="B11" s="29" t="inlineStr">
        <is>
          <t>كرتونة</t>
        </is>
      </c>
      <c r="C11" s="29" t="inlineStr">
        <is>
          <t>عبوة</t>
        </is>
      </c>
      <c r="D11" s="29" t="n"/>
      <c r="E11" s="32">
        <f>IF($A11="","",IF(COUNTIF($A:$A,$A11)&gt;1,"كود مكرر",""))</f>
        <v/>
      </c>
    </row>
    <row r="12">
      <c r="A12" s="39" t="inlineStr">
        <is>
          <t>BAG</t>
        </is>
      </c>
      <c r="B12" s="29" t="inlineStr">
        <is>
          <t>شكارة</t>
        </is>
      </c>
      <c r="C12" s="29" t="inlineStr">
        <is>
          <t>عبوة</t>
        </is>
      </c>
      <c r="D12" s="29" t="n"/>
      <c r="E12" s="32">
        <f>IF($A12="","",IF(COUNTIF($A:$A,$A12)&gt;1,"كود مكرر",""))</f>
        <v/>
      </c>
    </row>
    <row r="13">
      <c r="A13" s="39" t="n"/>
      <c r="B13" s="29" t="n"/>
      <c r="C13" s="29" t="n"/>
      <c r="D13" s="29" t="n"/>
      <c r="E13" s="32">
        <f>IF($A13="","",IF(COUNTIF($A:$A,$A13)&gt;1,"كود مكرر",""))</f>
        <v/>
      </c>
    </row>
    <row r="14">
      <c r="A14" s="39" t="n"/>
      <c r="B14" s="29" t="n"/>
      <c r="C14" s="29" t="n"/>
      <c r="D14" s="29" t="n"/>
      <c r="E14" s="32">
        <f>IF($A14="","",IF(COUNTIF($A:$A,$A14)&gt;1,"كود مكرر",""))</f>
        <v/>
      </c>
    </row>
    <row r="15">
      <c r="A15" s="39" t="n"/>
      <c r="B15" s="29" t="n"/>
      <c r="C15" s="29" t="n"/>
      <c r="D15" s="29" t="n"/>
      <c r="E15" s="32">
        <f>IF($A15="","",IF(COUNTIF($A:$A,$A15)&gt;1,"كود مكرر",""))</f>
        <v/>
      </c>
    </row>
    <row r="16">
      <c r="A16" s="39" t="n"/>
      <c r="B16" s="29" t="n"/>
      <c r="C16" s="29" t="n"/>
      <c r="D16" s="29" t="n"/>
      <c r="E16" s="32">
        <f>IF($A16="","",IF(COUNTIF($A:$A,$A16)&gt;1,"كود مكرر",""))</f>
        <v/>
      </c>
    </row>
    <row r="17">
      <c r="A17" s="39" t="n"/>
      <c r="B17" s="29" t="n"/>
      <c r="C17" s="29" t="n"/>
      <c r="D17" s="29" t="n"/>
      <c r="E17" s="32">
        <f>IF($A17="","",IF(COUNTIF($A:$A,$A17)&gt;1,"كود مكرر",""))</f>
        <v/>
      </c>
    </row>
    <row r="18">
      <c r="A18" s="39" t="n"/>
      <c r="B18" s="29" t="n"/>
      <c r="C18" s="29" t="n"/>
      <c r="D18" s="29" t="n"/>
      <c r="E18" s="32">
        <f>IF($A18="","",IF(COUNTIF($A:$A,$A18)&gt;1,"كود مكرر",""))</f>
        <v/>
      </c>
    </row>
    <row r="19">
      <c r="A19" s="39" t="n"/>
      <c r="B19" s="29" t="n"/>
      <c r="C19" s="29" t="n"/>
      <c r="D19" s="29" t="n"/>
      <c r="E19" s="32">
        <f>IF($A19="","",IF(COUNTIF($A:$A,$A19)&gt;1,"كود مكرر",""))</f>
        <v/>
      </c>
    </row>
    <row r="20">
      <c r="A20" s="39" t="n"/>
      <c r="B20" s="29" t="n"/>
      <c r="C20" s="29" t="n"/>
      <c r="D20" s="29" t="n"/>
      <c r="E20" s="32">
        <f>IF($A20="","",IF(COUNTIF($A:$A,$A20)&gt;1,"كود مكرر",""))</f>
        <v/>
      </c>
    </row>
    <row r="21">
      <c r="A21" s="39" t="n"/>
      <c r="B21" s="29" t="n"/>
      <c r="C21" s="29" t="n"/>
      <c r="D21" s="29" t="n"/>
      <c r="E21" s="32">
        <f>IF($A21="","",IF(COUNTIF($A:$A,$A21)&gt;1,"كود مكرر",""))</f>
        <v/>
      </c>
    </row>
    <row r="22">
      <c r="A22" s="39" t="n"/>
      <c r="B22" s="29" t="n"/>
      <c r="C22" s="29" t="n"/>
      <c r="D22" s="29" t="n"/>
      <c r="E22" s="32">
        <f>IF($A22="","",IF(COUNTIF($A:$A,$A22)&gt;1,"كود مكرر",""))</f>
        <v/>
      </c>
    </row>
    <row r="23">
      <c r="A23" s="39" t="n"/>
      <c r="B23" s="29" t="n"/>
      <c r="C23" s="29" t="n"/>
      <c r="D23" s="29" t="n"/>
      <c r="E23" s="32">
        <f>IF($A23="","",IF(COUNTIF($A:$A,$A23)&gt;1,"كود مكرر",""))</f>
        <v/>
      </c>
    </row>
    <row r="24">
      <c r="A24" s="39" t="n"/>
      <c r="B24" s="29" t="n"/>
      <c r="C24" s="29" t="n"/>
      <c r="D24" s="29" t="n"/>
      <c r="E24" s="32">
        <f>IF($A24="","",IF(COUNTIF($A:$A,$A24)&gt;1,"كود مكرر",""))</f>
        <v/>
      </c>
    </row>
    <row r="25">
      <c r="A25" s="39" t="n"/>
      <c r="B25" s="29" t="n"/>
      <c r="C25" s="29" t="n"/>
      <c r="D25" s="29" t="n"/>
      <c r="E25" s="32">
        <f>IF($A25="","",IF(COUNTIF($A:$A,$A25)&gt;1,"كود مكرر",""))</f>
        <v/>
      </c>
    </row>
    <row r="26">
      <c r="A26" s="39" t="n"/>
      <c r="B26" s="29" t="n"/>
      <c r="C26" s="29" t="n"/>
      <c r="D26" s="29" t="n"/>
      <c r="E26" s="32">
        <f>IF($A26="","",IF(COUNTIF($A:$A,$A26)&gt;1,"كود مكرر",""))</f>
        <v/>
      </c>
    </row>
    <row r="27">
      <c r="A27" s="39" t="n"/>
      <c r="B27" s="29" t="n"/>
      <c r="C27" s="29" t="n"/>
      <c r="D27" s="29" t="n"/>
      <c r="E27" s="32">
        <f>IF($A27="","",IF(COUNTIF($A:$A,$A27)&gt;1,"كود مكرر",""))</f>
        <v/>
      </c>
    </row>
    <row r="28">
      <c r="A28" s="39" t="n"/>
      <c r="B28" s="29" t="n"/>
      <c r="C28" s="29" t="n"/>
      <c r="D28" s="29" t="n"/>
      <c r="E28" s="32">
        <f>IF($A28="","",IF(COUNTIF($A:$A,$A28)&gt;1,"كود مكرر",""))</f>
        <v/>
      </c>
    </row>
    <row r="29">
      <c r="A29" s="39" t="n"/>
      <c r="B29" s="29" t="n"/>
      <c r="C29" s="29" t="n"/>
      <c r="D29" s="29" t="n"/>
      <c r="E29" s="32">
        <f>IF($A29="","",IF(COUNTIF($A:$A,$A29)&gt;1,"كود مكرر",""))</f>
        <v/>
      </c>
    </row>
    <row r="30">
      <c r="A30" s="39" t="n"/>
      <c r="B30" s="29" t="n"/>
      <c r="C30" s="29" t="n"/>
      <c r="D30" s="29" t="n"/>
      <c r="E30" s="32">
        <f>IF($A30="","",IF(COUNTIF($A:$A,$A30)&gt;1,"كود مكرر",""))</f>
        <v/>
      </c>
    </row>
    <row r="31">
      <c r="A31" s="39" t="n"/>
      <c r="B31" s="29" t="n"/>
      <c r="C31" s="29" t="n"/>
      <c r="D31" s="29" t="n"/>
      <c r="E31" s="32">
        <f>IF($A31="","",IF(COUNTIF($A:$A,$A31)&gt;1,"كود مكرر",""))</f>
        <v/>
      </c>
    </row>
    <row r="32">
      <c r="A32" s="39" t="n"/>
      <c r="B32" s="29" t="n"/>
      <c r="C32" s="29" t="n"/>
      <c r="D32" s="29" t="n"/>
      <c r="E32" s="32">
        <f>IF($A32="","",IF(COUNTIF($A:$A,$A32)&gt;1,"كود مكرر",""))</f>
        <v/>
      </c>
    </row>
    <row r="33">
      <c r="A33" s="39" t="n"/>
      <c r="B33" s="29" t="n"/>
      <c r="C33" s="29" t="n"/>
      <c r="D33" s="29" t="n"/>
      <c r="E33" s="32">
        <f>IF($A33="","",IF(COUNTIF($A:$A,$A33)&gt;1,"كود مكرر",""))</f>
        <v/>
      </c>
    </row>
    <row r="34">
      <c r="A34" s="39" t="n"/>
      <c r="B34" s="29" t="n"/>
      <c r="C34" s="29" t="n"/>
      <c r="D34" s="29" t="n"/>
      <c r="E34" s="32">
        <f>IF($A34="","",IF(COUNTIF($A:$A,$A34)&gt;1,"كود مكرر",""))</f>
        <v/>
      </c>
    </row>
  </sheetData>
  <sheetProtection selectLockedCells="0" selectUnlockedCells="0" sheet="1" objects="0" insertRows="1" insertHyperlinks="1" autoFilter="0" scenarios="0" formatColumns="0" deleteColumns="1" insertColumns="1" pivotTables="1" deleteRows="1" formatCells="0" formatRows="0" sort="1"/>
  <autoFilter ref="A4:E34"/>
  <conditionalFormatting sqref="E5:E34">
    <cfRule type="expression" priority="1" dxfId="3">
      <formula>LEN(E5)&gt;0</formula>
    </cfRule>
  </conditionalFormatting>
  <dataValidations count="1">
    <dataValidation sqref="C5:C34" showDropDown="0" showInputMessage="0" showErrorMessage="1" allowBlank="1" errorTitle="قيمة غير مسموحة" error="اختر قيمة من القائمة المنسدلة." type="list">
      <formula1>"وزن,حجم,عدد,عبوة"</formula1>
    </dataValidation>
  </dataValidations>
  <pageMargins left="0.75" right="0.75" top="1" bottom="1" header="0.5" footer="0.5"/>
  <pageSetup orientation="landscape" fitToHeight="0" fitToWidth="1"/>
</worksheet>
</file>

<file path=xl/worksheets/sheet17.xml><?xml version="1.0" encoding="utf-8"?>
<worksheet xmlns="http://schemas.openxmlformats.org/spreadsheetml/2006/main">
  <sheetPr>
    <tabColor rgb="002E75B6"/>
    <outlinePr summaryBelow="1" summaryRight="1"/>
    <pageSetUpPr fitToPage="1"/>
  </sheetPr>
  <dimension ref="A1:H6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4" customWidth="1" min="3" max="3"/>
    <col width="16" customWidth="1" min="4" max="4"/>
    <col width="9" customWidth="1" min="5" max="5"/>
    <col width="18" customWidth="1" min="6" max="6"/>
    <col width="26" customWidth="1" min="7" max="7"/>
    <col width="40" customWidth="1" min="8" max="8"/>
  </cols>
  <sheetData>
    <row r="1" ht="26" customHeight="1">
      <c r="A1" s="22" t="inlineStr">
        <is>
          <t>جدول تحويل الوحدات (Unit Conversions)</t>
        </is>
      </c>
      <c r="B1" s="1" t="n"/>
      <c r="C1" s="1" t="n"/>
      <c r="D1" s="1" t="n"/>
      <c r="E1" s="1" t="n"/>
      <c r="F1" s="1" t="n"/>
      <c r="G1" s="1" t="n"/>
      <c r="H1" s="1" t="n"/>
    </row>
    <row r="2">
      <c r="A2" s="35" t="inlineStr">
        <is>
          <t>التحويل لا يعمل آليًا إلا إذا كان المعامل معرّفًا ومعتمدًا (نعم). اكتب GENERAL في خانة الصنف للمعامل العام، أو كود الصنف للمعامل الخاص به (مثل: كرتونة البيض = 30 قطعة).</t>
        </is>
      </c>
    </row>
    <row r="3">
      <c r="A3" s="36" t="inlineStr">
        <is>
          <t>خلايا الإدخال</t>
        </is>
      </c>
      <c r="B3" s="37" t="inlineStr">
        <is>
          <t>معادلات (لا تعدّل)</t>
        </is>
      </c>
    </row>
    <row r="4" ht="34" customHeight="1">
      <c r="A4" s="24" t="inlineStr">
        <is>
          <t>من وحدة</t>
        </is>
      </c>
      <c r="B4" s="24" t="inlineStr">
        <is>
          <t>إلى وحدة</t>
        </is>
      </c>
      <c r="C4" s="24" t="inlineStr">
        <is>
          <t>المعامل (1 من = ؟ إلى)</t>
        </is>
      </c>
      <c r="D4" s="24" t="inlineStr">
        <is>
          <t>الصنف (GENERAL أو كود)</t>
        </is>
      </c>
      <c r="E4" s="24" t="inlineStr">
        <is>
          <t>معتمد؟</t>
        </is>
      </c>
      <c r="F4" s="24" t="inlineStr">
        <is>
          <t>المعتمد</t>
        </is>
      </c>
      <c r="G4" s="24" t="inlineStr">
        <is>
          <t>ملاحظات</t>
        </is>
      </c>
      <c r="H4" s="38" t="inlineStr">
        <is>
          <t>فحص</t>
        </is>
      </c>
    </row>
    <row r="5">
      <c r="A5" s="39" t="inlineStr">
        <is>
          <t>KG</t>
        </is>
      </c>
      <c r="B5" s="39" t="inlineStr">
        <is>
          <t>G</t>
        </is>
      </c>
      <c r="C5" s="29" t="n">
        <v>1000</v>
      </c>
      <c r="D5" s="29" t="inlineStr">
        <is>
          <t>GENERAL</t>
        </is>
      </c>
      <c r="E5" s="39" t="inlineStr">
        <is>
          <t>نعم</t>
        </is>
      </c>
      <c r="F5" s="29" t="inlineStr">
        <is>
          <t>المدير المالي (تجريبي)</t>
        </is>
      </c>
      <c r="G5" s="29" t="n"/>
      <c r="H5" s="32">
        <f>IF($A5&amp;$B5="","",IF(OR($A5="",$B5=""),"الوحدة ناقصة",IF($A5=$B5,"الوحدتان متطابقتان",IF(NOT(ISNUMBER($C5)),"المعامل غير معرف",IF($C5&lt;=0,"المعامل يجب أن يكون موجبًا",IF($D5="","الصنف ناقص (GENERAL أو كود)",IF(COUNTIFS($A:$A,$A5,$B:$B,$B5,$D:$D,$D5)&gt;1,"معامل مكرر لنفس الوحدتين والصنف",IF(AND($E5="نعم",$F5=""),"اسم المعتمد ناقص",""))))))))</f>
        <v/>
      </c>
    </row>
    <row r="6">
      <c r="A6" s="39" t="inlineStr">
        <is>
          <t>L</t>
        </is>
      </c>
      <c r="B6" s="39" t="inlineStr">
        <is>
          <t>ML</t>
        </is>
      </c>
      <c r="C6" s="29" t="n">
        <v>1000</v>
      </c>
      <c r="D6" s="29" t="inlineStr">
        <is>
          <t>GENERAL</t>
        </is>
      </c>
      <c r="E6" s="39" t="inlineStr">
        <is>
          <t>نعم</t>
        </is>
      </c>
      <c r="F6" s="29" t="inlineStr">
        <is>
          <t>المدير المالي (تجريبي)</t>
        </is>
      </c>
      <c r="G6" s="29" t="n"/>
      <c r="H6" s="32">
        <f>IF($A6&amp;$B6="","",IF(OR($A6="",$B6=""),"الوحدة ناقصة",IF($A6=$B6,"الوحدتان متطابقتان",IF(NOT(ISNUMBER($C6)),"المعامل غير معرف",IF($C6&lt;=0,"المعامل يجب أن يكون موجبًا",IF($D6="","الصنف ناقص (GENERAL أو كود)",IF(COUNTIFS($A:$A,$A6,$B:$B,$B6,$D:$D,$D6)&gt;1,"معامل مكرر لنفس الوحدتين والصنف",IF(AND($E6="نعم",$F6=""),"اسم المعتمد ناقص",""))))))))</f>
        <v/>
      </c>
    </row>
    <row r="7">
      <c r="A7" s="39" t="inlineStr">
        <is>
          <t>CTN</t>
        </is>
      </c>
      <c r="B7" s="39" t="inlineStr">
        <is>
          <t>PC</t>
        </is>
      </c>
      <c r="C7" s="29" t="n">
        <v>30</v>
      </c>
      <c r="D7" s="29" t="inlineStr">
        <is>
          <t>ITM010</t>
        </is>
      </c>
      <c r="E7" s="39" t="inlineStr">
        <is>
          <t>نعم</t>
        </is>
      </c>
      <c r="F7" s="29" t="inlineStr">
        <is>
          <t>المدير المالي (تجريبي)</t>
        </is>
      </c>
      <c r="G7" s="29" t="n"/>
      <c r="H7" s="32">
        <f>IF($A7&amp;$B7="","",IF(OR($A7="",$B7=""),"الوحدة ناقصة",IF($A7=$B7,"الوحدتان متطابقتان",IF(NOT(ISNUMBER($C7)),"المعامل غير معرف",IF($C7&lt;=0,"المعامل يجب أن يكون موجبًا",IF($D7="","الصنف ناقص (GENERAL أو كود)",IF(COUNTIFS($A:$A,$A7,$B:$B,$B7,$D:$D,$D7)&gt;1,"معامل مكرر لنفس الوحدتين والصنف",IF(AND($E7="نعم",$F7=""),"اسم المعتمد ناقص",""))))))))</f>
        <v/>
      </c>
    </row>
    <row r="8">
      <c r="A8" s="39" t="inlineStr">
        <is>
          <t>BAG</t>
        </is>
      </c>
      <c r="B8" s="39" t="inlineStr">
        <is>
          <t>KG</t>
        </is>
      </c>
      <c r="C8" s="29" t="n">
        <v>25</v>
      </c>
      <c r="D8" s="29" t="inlineStr">
        <is>
          <t>ITM002</t>
        </is>
      </c>
      <c r="E8" s="39" t="inlineStr">
        <is>
          <t>نعم</t>
        </is>
      </c>
      <c r="F8" s="29" t="inlineStr">
        <is>
          <t>المدير المالي (تجريبي)</t>
        </is>
      </c>
      <c r="G8" s="29" t="n"/>
      <c r="H8" s="32">
        <f>IF($A8&amp;$B8="","",IF(OR($A8="",$B8=""),"الوحدة ناقصة",IF($A8=$B8,"الوحدتان متطابقتان",IF(NOT(ISNUMBER($C8)),"المعامل غير معرف",IF($C8&lt;=0,"المعامل يجب أن يكون موجبًا",IF($D8="","الصنف ناقص (GENERAL أو كود)",IF(COUNTIFS($A:$A,$A8,$B:$B,$B8,$D:$D,$D8)&gt;1,"معامل مكرر لنفس الوحدتين والصنف",IF(AND($E8="نعم",$F8=""),"اسم المعتمد ناقص",""))))))))</f>
        <v/>
      </c>
    </row>
    <row r="9">
      <c r="A9" s="39" t="inlineStr">
        <is>
          <t>PACK</t>
        </is>
      </c>
      <c r="B9" s="39" t="inlineStr">
        <is>
          <t>KG</t>
        </is>
      </c>
      <c r="C9" s="29" t="n">
        <v>2.5</v>
      </c>
      <c r="D9" s="29" t="inlineStr">
        <is>
          <t>ITM001</t>
        </is>
      </c>
      <c r="E9" s="39" t="inlineStr">
        <is>
          <t>لا</t>
        </is>
      </c>
      <c r="F9" s="29" t="n"/>
      <c r="G9" s="29" t="inlineStr">
        <is>
          <t>غير معتمد: لن يعمل التحويل</t>
        </is>
      </c>
      <c r="H9" s="32">
        <f>IF($A9&amp;$B9="","",IF(OR($A9="",$B9=""),"الوحدة ناقصة",IF($A9=$B9,"الوحدتان متطابقتان",IF(NOT(ISNUMBER($C9)),"المعامل غير معرف",IF($C9&lt;=0,"المعامل يجب أن يكون موجبًا",IF($D9="","الصنف ناقص (GENERAL أو كود)",IF(COUNTIFS($A:$A,$A9,$B:$B,$B9,$D:$D,$D9)&gt;1,"معامل مكرر لنفس الوحدتين والصنف",IF(AND($E9="نعم",$F9=""),"اسم المعتمد ناقص",""))))))))</f>
        <v/>
      </c>
    </row>
    <row r="10">
      <c r="A10" s="39" t="n"/>
      <c r="B10" s="39" t="n"/>
      <c r="C10" s="29" t="n"/>
      <c r="D10" s="29" t="n"/>
      <c r="E10" s="39" t="n"/>
      <c r="F10" s="29" t="n"/>
      <c r="G10" s="29" t="n"/>
      <c r="H10" s="32">
        <f>IF($A10&amp;$B10="","",IF(OR($A10="",$B10=""),"الوحدة ناقصة",IF($A10=$B10,"الوحدتان متطابقتان",IF(NOT(ISNUMBER($C10)),"المعامل غير معرف",IF($C10&lt;=0,"المعامل يجب أن يكون موجبًا",IF($D10="","الصنف ناقص (GENERAL أو كود)",IF(COUNTIFS($A:$A,$A10,$B:$B,$B10,$D:$D,$D10)&gt;1,"معامل مكرر لنفس الوحدتين والصنف",IF(AND($E10="نعم",$F10=""),"اسم المعتمد ناقص",""))))))))</f>
        <v/>
      </c>
    </row>
    <row r="11">
      <c r="A11" s="39" t="n"/>
      <c r="B11" s="39" t="n"/>
      <c r="C11" s="29" t="n"/>
      <c r="D11" s="29" t="n"/>
      <c r="E11" s="39" t="n"/>
      <c r="F11" s="29" t="n"/>
      <c r="G11" s="29" t="n"/>
      <c r="H11" s="32">
        <f>IF($A11&amp;$B11="","",IF(OR($A11="",$B11=""),"الوحدة ناقصة",IF($A11=$B11,"الوحدتان متطابقتان",IF(NOT(ISNUMBER($C11)),"المعامل غير معرف",IF($C11&lt;=0,"المعامل يجب أن يكون موجبًا",IF($D11="","الصنف ناقص (GENERAL أو كود)",IF(COUNTIFS($A:$A,$A11,$B:$B,$B11,$D:$D,$D11)&gt;1,"معامل مكرر لنفس الوحدتين والصنف",IF(AND($E11="نعم",$F11=""),"اسم المعتمد ناقص",""))))))))</f>
        <v/>
      </c>
    </row>
    <row r="12">
      <c r="A12" s="39" t="n"/>
      <c r="B12" s="39" t="n"/>
      <c r="C12" s="29" t="n"/>
      <c r="D12" s="29" t="n"/>
      <c r="E12" s="39" t="n"/>
      <c r="F12" s="29" t="n"/>
      <c r="G12" s="29" t="n"/>
      <c r="H12" s="32">
        <f>IF($A12&amp;$B12="","",IF(OR($A12="",$B12=""),"الوحدة ناقصة",IF($A12=$B12,"الوحدتان متطابقتان",IF(NOT(ISNUMBER($C12)),"المعامل غير معرف",IF($C12&lt;=0,"المعامل يجب أن يكون موجبًا",IF($D12="","الصنف ناقص (GENERAL أو كود)",IF(COUNTIFS($A:$A,$A12,$B:$B,$B12,$D:$D,$D12)&gt;1,"معامل مكرر لنفس الوحدتين والصنف",IF(AND($E12="نعم",$F12=""),"اسم المعتمد ناقص",""))))))))</f>
        <v/>
      </c>
    </row>
    <row r="13">
      <c r="A13" s="39" t="n"/>
      <c r="B13" s="39" t="n"/>
      <c r="C13" s="29" t="n"/>
      <c r="D13" s="29" t="n"/>
      <c r="E13" s="39" t="n"/>
      <c r="F13" s="29" t="n"/>
      <c r="G13" s="29" t="n"/>
      <c r="H13" s="32">
        <f>IF($A13&amp;$B13="","",IF(OR($A13="",$B13=""),"الوحدة ناقصة",IF($A13=$B13,"الوحدتان متطابقتان",IF(NOT(ISNUMBER($C13)),"المعامل غير معرف",IF($C13&lt;=0,"المعامل يجب أن يكون موجبًا",IF($D13="","الصنف ناقص (GENERAL أو كود)",IF(COUNTIFS($A:$A,$A13,$B:$B,$B13,$D:$D,$D13)&gt;1,"معامل مكرر لنفس الوحدتين والصنف",IF(AND($E13="نعم",$F13=""),"اسم المعتمد ناقص",""))))))))</f>
        <v/>
      </c>
    </row>
    <row r="14">
      <c r="A14" s="39" t="n"/>
      <c r="B14" s="39" t="n"/>
      <c r="C14" s="29" t="n"/>
      <c r="D14" s="29" t="n"/>
      <c r="E14" s="39" t="n"/>
      <c r="F14" s="29" t="n"/>
      <c r="G14" s="29" t="n"/>
      <c r="H14" s="32">
        <f>IF($A14&amp;$B14="","",IF(OR($A14="",$B14=""),"الوحدة ناقصة",IF($A14=$B14,"الوحدتان متطابقتان",IF(NOT(ISNUMBER($C14)),"المعامل غير معرف",IF($C14&lt;=0,"المعامل يجب أن يكون موجبًا",IF($D14="","الصنف ناقص (GENERAL أو كود)",IF(COUNTIFS($A:$A,$A14,$B:$B,$B14,$D:$D,$D14)&gt;1,"معامل مكرر لنفس الوحدتين والصنف",IF(AND($E14="نعم",$F14=""),"اسم المعتمد ناقص",""))))))))</f>
        <v/>
      </c>
    </row>
    <row r="15">
      <c r="A15" s="39" t="n"/>
      <c r="B15" s="39" t="n"/>
      <c r="C15" s="29" t="n"/>
      <c r="D15" s="29" t="n"/>
      <c r="E15" s="39" t="n"/>
      <c r="F15" s="29" t="n"/>
      <c r="G15" s="29" t="n"/>
      <c r="H15" s="32">
        <f>IF($A15&amp;$B15="","",IF(OR($A15="",$B15=""),"الوحدة ناقصة",IF($A15=$B15,"الوحدتان متطابقتان",IF(NOT(ISNUMBER($C15)),"المعامل غير معرف",IF($C15&lt;=0,"المعامل يجب أن يكون موجبًا",IF($D15="","الصنف ناقص (GENERAL أو كود)",IF(COUNTIFS($A:$A,$A15,$B:$B,$B15,$D:$D,$D15)&gt;1,"معامل مكرر لنفس الوحدتين والصنف",IF(AND($E15="نعم",$F15=""),"اسم المعتمد ناقص",""))))))))</f>
        <v/>
      </c>
    </row>
    <row r="16">
      <c r="A16" s="39" t="n"/>
      <c r="B16" s="39" t="n"/>
      <c r="C16" s="29" t="n"/>
      <c r="D16" s="29" t="n"/>
      <c r="E16" s="39" t="n"/>
      <c r="F16" s="29" t="n"/>
      <c r="G16" s="29" t="n"/>
      <c r="H16" s="32">
        <f>IF($A16&amp;$B16="","",IF(OR($A16="",$B16=""),"الوحدة ناقصة",IF($A16=$B16,"الوحدتان متطابقتان",IF(NOT(ISNUMBER($C16)),"المعامل غير معرف",IF($C16&lt;=0,"المعامل يجب أن يكون موجبًا",IF($D16="","الصنف ناقص (GENERAL أو كود)",IF(COUNTIFS($A:$A,$A16,$B:$B,$B16,$D:$D,$D16)&gt;1,"معامل مكرر لنفس الوحدتين والصنف",IF(AND($E16="نعم",$F16=""),"اسم المعتمد ناقص",""))))))))</f>
        <v/>
      </c>
    </row>
    <row r="17">
      <c r="A17" s="39" t="n"/>
      <c r="B17" s="39" t="n"/>
      <c r="C17" s="29" t="n"/>
      <c r="D17" s="29" t="n"/>
      <c r="E17" s="39" t="n"/>
      <c r="F17" s="29" t="n"/>
      <c r="G17" s="29" t="n"/>
      <c r="H17" s="32">
        <f>IF($A17&amp;$B17="","",IF(OR($A17="",$B17=""),"الوحدة ناقصة",IF($A17=$B17,"الوحدتان متطابقتان",IF(NOT(ISNUMBER($C17)),"المعامل غير معرف",IF($C17&lt;=0,"المعامل يجب أن يكون موجبًا",IF($D17="","الصنف ناقص (GENERAL أو كود)",IF(COUNTIFS($A:$A,$A17,$B:$B,$B17,$D:$D,$D17)&gt;1,"معامل مكرر لنفس الوحدتين والصنف",IF(AND($E17="نعم",$F17=""),"اسم المعتمد ناقص",""))))))))</f>
        <v/>
      </c>
    </row>
    <row r="18">
      <c r="A18" s="39" t="n"/>
      <c r="B18" s="39" t="n"/>
      <c r="C18" s="29" t="n"/>
      <c r="D18" s="29" t="n"/>
      <c r="E18" s="39" t="n"/>
      <c r="F18" s="29" t="n"/>
      <c r="G18" s="29" t="n"/>
      <c r="H18" s="32">
        <f>IF($A18&amp;$B18="","",IF(OR($A18="",$B18=""),"الوحدة ناقصة",IF($A18=$B18,"الوحدتان متطابقتان",IF(NOT(ISNUMBER($C18)),"المعامل غير معرف",IF($C18&lt;=0,"المعامل يجب أن يكون موجبًا",IF($D18="","الصنف ناقص (GENERAL أو كود)",IF(COUNTIFS($A:$A,$A18,$B:$B,$B18,$D:$D,$D18)&gt;1,"معامل مكرر لنفس الوحدتين والصنف",IF(AND($E18="نعم",$F18=""),"اسم المعتمد ناقص",""))))))))</f>
        <v/>
      </c>
    </row>
    <row r="19">
      <c r="A19" s="39" t="n"/>
      <c r="B19" s="39" t="n"/>
      <c r="C19" s="29" t="n"/>
      <c r="D19" s="29" t="n"/>
      <c r="E19" s="39" t="n"/>
      <c r="F19" s="29" t="n"/>
      <c r="G19" s="29" t="n"/>
      <c r="H19" s="32">
        <f>IF($A19&amp;$B19="","",IF(OR($A19="",$B19=""),"الوحدة ناقصة",IF($A19=$B19,"الوحدتان متطابقتان",IF(NOT(ISNUMBER($C19)),"المعامل غير معرف",IF($C19&lt;=0,"المعامل يجب أن يكون موجبًا",IF($D19="","الصنف ناقص (GENERAL أو كود)",IF(COUNTIFS($A:$A,$A19,$B:$B,$B19,$D:$D,$D19)&gt;1,"معامل مكرر لنفس الوحدتين والصنف",IF(AND($E19="نعم",$F19=""),"اسم المعتمد ناقص",""))))))))</f>
        <v/>
      </c>
    </row>
    <row r="20">
      <c r="A20" s="39" t="n"/>
      <c r="B20" s="39" t="n"/>
      <c r="C20" s="29" t="n"/>
      <c r="D20" s="29" t="n"/>
      <c r="E20" s="39" t="n"/>
      <c r="F20" s="29" t="n"/>
      <c r="G20" s="29" t="n"/>
      <c r="H20" s="32">
        <f>IF($A20&amp;$B20="","",IF(OR($A20="",$B20=""),"الوحدة ناقصة",IF($A20=$B20,"الوحدتان متطابقتان",IF(NOT(ISNUMBER($C20)),"المعامل غير معرف",IF($C20&lt;=0,"المعامل يجب أن يكون موجبًا",IF($D20="","الصنف ناقص (GENERAL أو كود)",IF(COUNTIFS($A:$A,$A20,$B:$B,$B20,$D:$D,$D20)&gt;1,"معامل مكرر لنفس الوحدتين والصنف",IF(AND($E20="نعم",$F20=""),"اسم المعتمد ناقص",""))))))))</f>
        <v/>
      </c>
    </row>
    <row r="21">
      <c r="A21" s="39" t="n"/>
      <c r="B21" s="39" t="n"/>
      <c r="C21" s="29" t="n"/>
      <c r="D21" s="29" t="n"/>
      <c r="E21" s="39" t="n"/>
      <c r="F21" s="29" t="n"/>
      <c r="G21" s="29" t="n"/>
      <c r="H21" s="32">
        <f>IF($A21&amp;$B21="","",IF(OR($A21="",$B21=""),"الوحدة ناقصة",IF($A21=$B21,"الوحدتان متطابقتان",IF(NOT(ISNUMBER($C21)),"المعامل غير معرف",IF($C21&lt;=0,"المعامل يجب أن يكون موجبًا",IF($D21="","الصنف ناقص (GENERAL أو كود)",IF(COUNTIFS($A:$A,$A21,$B:$B,$B21,$D:$D,$D21)&gt;1,"معامل مكرر لنفس الوحدتين والصنف",IF(AND($E21="نعم",$F21=""),"اسم المعتمد ناقص",""))))))))</f>
        <v/>
      </c>
    </row>
    <row r="22">
      <c r="A22" s="39" t="n"/>
      <c r="B22" s="39" t="n"/>
      <c r="C22" s="29" t="n"/>
      <c r="D22" s="29" t="n"/>
      <c r="E22" s="39" t="n"/>
      <c r="F22" s="29" t="n"/>
      <c r="G22" s="29" t="n"/>
      <c r="H22" s="32">
        <f>IF($A22&amp;$B22="","",IF(OR($A22="",$B22=""),"الوحدة ناقصة",IF($A22=$B22,"الوحدتان متطابقتان",IF(NOT(ISNUMBER($C22)),"المعامل غير معرف",IF($C22&lt;=0,"المعامل يجب أن يكون موجبًا",IF($D22="","الصنف ناقص (GENERAL أو كود)",IF(COUNTIFS($A:$A,$A22,$B:$B,$B22,$D:$D,$D22)&gt;1,"معامل مكرر لنفس الوحدتين والصنف",IF(AND($E22="نعم",$F22=""),"اسم المعتمد ناقص",""))))))))</f>
        <v/>
      </c>
    </row>
    <row r="23">
      <c r="A23" s="39" t="n"/>
      <c r="B23" s="39" t="n"/>
      <c r="C23" s="29" t="n"/>
      <c r="D23" s="29" t="n"/>
      <c r="E23" s="39" t="n"/>
      <c r="F23" s="29" t="n"/>
      <c r="G23" s="29" t="n"/>
      <c r="H23" s="32">
        <f>IF($A23&amp;$B23="","",IF(OR($A23="",$B23=""),"الوحدة ناقصة",IF($A23=$B23,"الوحدتان متطابقتان",IF(NOT(ISNUMBER($C23)),"المعامل غير معرف",IF($C23&lt;=0,"المعامل يجب أن يكون موجبًا",IF($D23="","الصنف ناقص (GENERAL أو كود)",IF(COUNTIFS($A:$A,$A23,$B:$B,$B23,$D:$D,$D23)&gt;1,"معامل مكرر لنفس الوحدتين والصنف",IF(AND($E23="نعم",$F23=""),"اسم المعتمد ناقص",""))))))))</f>
        <v/>
      </c>
    </row>
    <row r="24">
      <c r="A24" s="39" t="n"/>
      <c r="B24" s="39" t="n"/>
      <c r="C24" s="29" t="n"/>
      <c r="D24" s="29" t="n"/>
      <c r="E24" s="39" t="n"/>
      <c r="F24" s="29" t="n"/>
      <c r="G24" s="29" t="n"/>
      <c r="H24" s="32">
        <f>IF($A24&amp;$B24="","",IF(OR($A24="",$B24=""),"الوحدة ناقصة",IF($A24=$B24,"الوحدتان متطابقتان",IF(NOT(ISNUMBER($C24)),"المعامل غير معرف",IF($C24&lt;=0,"المعامل يجب أن يكون موجبًا",IF($D24="","الصنف ناقص (GENERAL أو كود)",IF(COUNTIFS($A:$A,$A24,$B:$B,$B24,$D:$D,$D24)&gt;1,"معامل مكرر لنفس الوحدتين والصنف",IF(AND($E24="نعم",$F24=""),"اسم المعتمد ناقص",""))))))))</f>
        <v/>
      </c>
    </row>
    <row r="25">
      <c r="A25" s="39" t="n"/>
      <c r="B25" s="39" t="n"/>
      <c r="C25" s="29" t="n"/>
      <c r="D25" s="29" t="n"/>
      <c r="E25" s="39" t="n"/>
      <c r="F25" s="29" t="n"/>
      <c r="G25" s="29" t="n"/>
      <c r="H25" s="32">
        <f>IF($A25&amp;$B25="","",IF(OR($A25="",$B25=""),"الوحدة ناقصة",IF($A25=$B25,"الوحدتان متطابقتان",IF(NOT(ISNUMBER($C25)),"المعامل غير معرف",IF($C25&lt;=0,"المعامل يجب أن يكون موجبًا",IF($D25="","الصنف ناقص (GENERAL أو كود)",IF(COUNTIFS($A:$A,$A25,$B:$B,$B25,$D:$D,$D25)&gt;1,"معامل مكرر لنفس الوحدتين والصنف",IF(AND($E25="نعم",$F25=""),"اسم المعتمد ناقص",""))))))))</f>
        <v/>
      </c>
    </row>
    <row r="26">
      <c r="A26" s="39" t="n"/>
      <c r="B26" s="39" t="n"/>
      <c r="C26" s="29" t="n"/>
      <c r="D26" s="29" t="n"/>
      <c r="E26" s="39" t="n"/>
      <c r="F26" s="29" t="n"/>
      <c r="G26" s="29" t="n"/>
      <c r="H26" s="32">
        <f>IF($A26&amp;$B26="","",IF(OR($A26="",$B26=""),"الوحدة ناقصة",IF($A26=$B26,"الوحدتان متطابقتان",IF(NOT(ISNUMBER($C26)),"المعامل غير معرف",IF($C26&lt;=0,"المعامل يجب أن يكون موجبًا",IF($D26="","الصنف ناقص (GENERAL أو كود)",IF(COUNTIFS($A:$A,$A26,$B:$B,$B26,$D:$D,$D26)&gt;1,"معامل مكرر لنفس الوحدتين والصنف",IF(AND($E26="نعم",$F26=""),"اسم المعتمد ناقص",""))))))))</f>
        <v/>
      </c>
    </row>
    <row r="27">
      <c r="A27" s="39" t="n"/>
      <c r="B27" s="39" t="n"/>
      <c r="C27" s="29" t="n"/>
      <c r="D27" s="29" t="n"/>
      <c r="E27" s="39" t="n"/>
      <c r="F27" s="29" t="n"/>
      <c r="G27" s="29" t="n"/>
      <c r="H27" s="32">
        <f>IF($A27&amp;$B27="","",IF(OR($A27="",$B27=""),"الوحدة ناقصة",IF($A27=$B27,"الوحدتان متطابقتان",IF(NOT(ISNUMBER($C27)),"المعامل غير معرف",IF($C27&lt;=0,"المعامل يجب أن يكون موجبًا",IF($D27="","الصنف ناقص (GENERAL أو كود)",IF(COUNTIFS($A:$A,$A27,$B:$B,$B27,$D:$D,$D27)&gt;1,"معامل مكرر لنفس الوحدتين والصنف",IF(AND($E27="نعم",$F27=""),"اسم المعتمد ناقص",""))))))))</f>
        <v/>
      </c>
    </row>
    <row r="28">
      <c r="A28" s="39" t="n"/>
      <c r="B28" s="39" t="n"/>
      <c r="C28" s="29" t="n"/>
      <c r="D28" s="29" t="n"/>
      <c r="E28" s="39" t="n"/>
      <c r="F28" s="29" t="n"/>
      <c r="G28" s="29" t="n"/>
      <c r="H28" s="32">
        <f>IF($A28&amp;$B28="","",IF(OR($A28="",$B28=""),"الوحدة ناقصة",IF($A28=$B28,"الوحدتان متطابقتان",IF(NOT(ISNUMBER($C28)),"المعامل غير معرف",IF($C28&lt;=0,"المعامل يجب أن يكون موجبًا",IF($D28="","الصنف ناقص (GENERAL أو كود)",IF(COUNTIFS($A:$A,$A28,$B:$B,$B28,$D:$D,$D28)&gt;1,"معامل مكرر لنفس الوحدتين والصنف",IF(AND($E28="نعم",$F28=""),"اسم المعتمد ناقص",""))))))))</f>
        <v/>
      </c>
    </row>
    <row r="29">
      <c r="A29" s="39" t="n"/>
      <c r="B29" s="39" t="n"/>
      <c r="C29" s="29" t="n"/>
      <c r="D29" s="29" t="n"/>
      <c r="E29" s="39" t="n"/>
      <c r="F29" s="29" t="n"/>
      <c r="G29" s="29" t="n"/>
      <c r="H29" s="32">
        <f>IF($A29&amp;$B29="","",IF(OR($A29="",$B29=""),"الوحدة ناقصة",IF($A29=$B29,"الوحدتان متطابقتان",IF(NOT(ISNUMBER($C29)),"المعامل غير معرف",IF($C29&lt;=0,"المعامل يجب أن يكون موجبًا",IF($D29="","الصنف ناقص (GENERAL أو كود)",IF(COUNTIFS($A:$A,$A29,$B:$B,$B29,$D:$D,$D29)&gt;1,"معامل مكرر لنفس الوحدتين والصنف",IF(AND($E29="نعم",$F29=""),"اسم المعتمد ناقص",""))))))))</f>
        <v/>
      </c>
    </row>
    <row r="30">
      <c r="A30" s="39" t="n"/>
      <c r="B30" s="39" t="n"/>
      <c r="C30" s="29" t="n"/>
      <c r="D30" s="29" t="n"/>
      <c r="E30" s="39" t="n"/>
      <c r="F30" s="29" t="n"/>
      <c r="G30" s="29" t="n"/>
      <c r="H30" s="32">
        <f>IF($A30&amp;$B30="","",IF(OR($A30="",$B30=""),"الوحدة ناقصة",IF($A30=$B30,"الوحدتان متطابقتان",IF(NOT(ISNUMBER($C30)),"المعامل غير معرف",IF($C30&lt;=0,"المعامل يجب أن يكون موجبًا",IF($D30="","الصنف ناقص (GENERAL أو كود)",IF(COUNTIFS($A:$A,$A30,$B:$B,$B30,$D:$D,$D30)&gt;1,"معامل مكرر لنفس الوحدتين والصنف",IF(AND($E30="نعم",$F30=""),"اسم المعتمد ناقص",""))))))))</f>
        <v/>
      </c>
    </row>
    <row r="31">
      <c r="A31" s="39" t="n"/>
      <c r="B31" s="39" t="n"/>
      <c r="C31" s="29" t="n"/>
      <c r="D31" s="29" t="n"/>
      <c r="E31" s="39" t="n"/>
      <c r="F31" s="29" t="n"/>
      <c r="G31" s="29" t="n"/>
      <c r="H31" s="32">
        <f>IF($A31&amp;$B31="","",IF(OR($A31="",$B31=""),"الوحدة ناقصة",IF($A31=$B31,"الوحدتان متطابقتان",IF(NOT(ISNUMBER($C31)),"المعامل غير معرف",IF($C31&lt;=0,"المعامل يجب أن يكون موجبًا",IF($D31="","الصنف ناقص (GENERAL أو كود)",IF(COUNTIFS($A:$A,$A31,$B:$B,$B31,$D:$D,$D31)&gt;1,"معامل مكرر لنفس الوحدتين والصنف",IF(AND($E31="نعم",$F31=""),"اسم المعتمد ناقص",""))))))))</f>
        <v/>
      </c>
    </row>
    <row r="32">
      <c r="A32" s="39" t="n"/>
      <c r="B32" s="39" t="n"/>
      <c r="C32" s="29" t="n"/>
      <c r="D32" s="29" t="n"/>
      <c r="E32" s="39" t="n"/>
      <c r="F32" s="29" t="n"/>
      <c r="G32" s="29" t="n"/>
      <c r="H32" s="32">
        <f>IF($A32&amp;$B32="","",IF(OR($A32="",$B32=""),"الوحدة ناقصة",IF($A32=$B32,"الوحدتان متطابقتان",IF(NOT(ISNUMBER($C32)),"المعامل غير معرف",IF($C32&lt;=0,"المعامل يجب أن يكون موجبًا",IF($D32="","الصنف ناقص (GENERAL أو كود)",IF(COUNTIFS($A:$A,$A32,$B:$B,$B32,$D:$D,$D32)&gt;1,"معامل مكرر لنفس الوحدتين والصنف",IF(AND($E32="نعم",$F32=""),"اسم المعتمد ناقص",""))))))))</f>
        <v/>
      </c>
    </row>
    <row r="33">
      <c r="A33" s="39" t="n"/>
      <c r="B33" s="39" t="n"/>
      <c r="C33" s="29" t="n"/>
      <c r="D33" s="29" t="n"/>
      <c r="E33" s="39" t="n"/>
      <c r="F33" s="29" t="n"/>
      <c r="G33" s="29" t="n"/>
      <c r="H33" s="32">
        <f>IF($A33&amp;$B33="","",IF(OR($A33="",$B33=""),"الوحدة ناقصة",IF($A33=$B33,"الوحدتان متطابقتان",IF(NOT(ISNUMBER($C33)),"المعامل غير معرف",IF($C33&lt;=0,"المعامل يجب أن يكون موجبًا",IF($D33="","الصنف ناقص (GENERAL أو كود)",IF(COUNTIFS($A:$A,$A33,$B:$B,$B33,$D:$D,$D33)&gt;1,"معامل مكرر لنفس الوحدتين والصنف",IF(AND($E33="نعم",$F33=""),"اسم المعتمد ناقص",""))))))))</f>
        <v/>
      </c>
    </row>
    <row r="34">
      <c r="A34" s="39" t="n"/>
      <c r="B34" s="39" t="n"/>
      <c r="C34" s="29" t="n"/>
      <c r="D34" s="29" t="n"/>
      <c r="E34" s="39" t="n"/>
      <c r="F34" s="29" t="n"/>
      <c r="G34" s="29" t="n"/>
      <c r="H34" s="32">
        <f>IF($A34&amp;$B34="","",IF(OR($A34="",$B34=""),"الوحدة ناقصة",IF($A34=$B34,"الوحدتان متطابقتان",IF(NOT(ISNUMBER($C34)),"المعامل غير معرف",IF($C34&lt;=0,"المعامل يجب أن يكون موجبًا",IF($D34="","الصنف ناقص (GENERAL أو كود)",IF(COUNTIFS($A:$A,$A34,$B:$B,$B34,$D:$D,$D34)&gt;1,"معامل مكرر لنفس الوحدتين والصنف",IF(AND($E34="نعم",$F34=""),"اسم المعتمد ناقص",""))))))))</f>
        <v/>
      </c>
    </row>
    <row r="35">
      <c r="A35" s="39" t="n"/>
      <c r="B35" s="39" t="n"/>
      <c r="C35" s="29" t="n"/>
      <c r="D35" s="29" t="n"/>
      <c r="E35" s="39" t="n"/>
      <c r="F35" s="29" t="n"/>
      <c r="G35" s="29" t="n"/>
      <c r="H35" s="32">
        <f>IF($A35&amp;$B35="","",IF(OR($A35="",$B35=""),"الوحدة ناقصة",IF($A35=$B35,"الوحدتان متطابقتان",IF(NOT(ISNUMBER($C35)),"المعامل غير معرف",IF($C35&lt;=0,"المعامل يجب أن يكون موجبًا",IF($D35="","الصنف ناقص (GENERAL أو كود)",IF(COUNTIFS($A:$A,$A35,$B:$B,$B35,$D:$D,$D35)&gt;1,"معامل مكرر لنفس الوحدتين والصنف",IF(AND($E35="نعم",$F35=""),"اسم المعتمد ناقص",""))))))))</f>
        <v/>
      </c>
    </row>
    <row r="36">
      <c r="A36" s="39" t="n"/>
      <c r="B36" s="39" t="n"/>
      <c r="C36" s="29" t="n"/>
      <c r="D36" s="29" t="n"/>
      <c r="E36" s="39" t="n"/>
      <c r="F36" s="29" t="n"/>
      <c r="G36" s="29" t="n"/>
      <c r="H36" s="32">
        <f>IF($A36&amp;$B36="","",IF(OR($A36="",$B36=""),"الوحدة ناقصة",IF($A36=$B36,"الوحدتان متطابقتان",IF(NOT(ISNUMBER($C36)),"المعامل غير معرف",IF($C36&lt;=0,"المعامل يجب أن يكون موجبًا",IF($D36="","الصنف ناقص (GENERAL أو كود)",IF(COUNTIFS($A:$A,$A36,$B:$B,$B36,$D:$D,$D36)&gt;1,"معامل مكرر لنفس الوحدتين والصنف",IF(AND($E36="نعم",$F36=""),"اسم المعتمد ناقص",""))))))))</f>
        <v/>
      </c>
    </row>
    <row r="37">
      <c r="A37" s="39" t="n"/>
      <c r="B37" s="39" t="n"/>
      <c r="C37" s="29" t="n"/>
      <c r="D37" s="29" t="n"/>
      <c r="E37" s="39" t="n"/>
      <c r="F37" s="29" t="n"/>
      <c r="G37" s="29" t="n"/>
      <c r="H37" s="32">
        <f>IF($A37&amp;$B37="","",IF(OR($A37="",$B37=""),"الوحدة ناقصة",IF($A37=$B37,"الوحدتان متطابقتان",IF(NOT(ISNUMBER($C37)),"المعامل غير معرف",IF($C37&lt;=0,"المعامل يجب أن يكون موجبًا",IF($D37="","الصنف ناقص (GENERAL أو كود)",IF(COUNTIFS($A:$A,$A37,$B:$B,$B37,$D:$D,$D37)&gt;1,"معامل مكرر لنفس الوحدتين والصنف",IF(AND($E37="نعم",$F37=""),"اسم المعتمد ناقص",""))))))))</f>
        <v/>
      </c>
    </row>
    <row r="38">
      <c r="A38" s="39" t="n"/>
      <c r="B38" s="39" t="n"/>
      <c r="C38" s="29" t="n"/>
      <c r="D38" s="29" t="n"/>
      <c r="E38" s="39" t="n"/>
      <c r="F38" s="29" t="n"/>
      <c r="G38" s="29" t="n"/>
      <c r="H38" s="32">
        <f>IF($A38&amp;$B38="","",IF(OR($A38="",$B38=""),"الوحدة ناقصة",IF($A38=$B38,"الوحدتان متطابقتان",IF(NOT(ISNUMBER($C38)),"المعامل غير معرف",IF($C38&lt;=0,"المعامل يجب أن يكون موجبًا",IF($D38="","الصنف ناقص (GENERAL أو كود)",IF(COUNTIFS($A:$A,$A38,$B:$B,$B38,$D:$D,$D38)&gt;1,"معامل مكرر لنفس الوحدتين والصنف",IF(AND($E38="نعم",$F38=""),"اسم المعتمد ناقص",""))))))))</f>
        <v/>
      </c>
    </row>
    <row r="39">
      <c r="A39" s="39" t="n"/>
      <c r="B39" s="39" t="n"/>
      <c r="C39" s="29" t="n"/>
      <c r="D39" s="29" t="n"/>
      <c r="E39" s="39" t="n"/>
      <c r="F39" s="29" t="n"/>
      <c r="G39" s="29" t="n"/>
      <c r="H39" s="32">
        <f>IF($A39&amp;$B39="","",IF(OR($A39="",$B39=""),"الوحدة ناقصة",IF($A39=$B39,"الوحدتان متطابقتان",IF(NOT(ISNUMBER($C39)),"المعامل غير معرف",IF($C39&lt;=0,"المعامل يجب أن يكون موجبًا",IF($D39="","الصنف ناقص (GENERAL أو كود)",IF(COUNTIFS($A:$A,$A39,$B:$B,$B39,$D:$D,$D39)&gt;1,"معامل مكرر لنفس الوحدتين والصنف",IF(AND($E39="نعم",$F39=""),"اسم المعتمد ناقص",""))))))))</f>
        <v/>
      </c>
    </row>
    <row r="40">
      <c r="A40" s="39" t="n"/>
      <c r="B40" s="39" t="n"/>
      <c r="C40" s="29" t="n"/>
      <c r="D40" s="29" t="n"/>
      <c r="E40" s="39" t="n"/>
      <c r="F40" s="29" t="n"/>
      <c r="G40" s="29" t="n"/>
      <c r="H40" s="32">
        <f>IF($A40&amp;$B40="","",IF(OR($A40="",$B40=""),"الوحدة ناقصة",IF($A40=$B40,"الوحدتان متطابقتان",IF(NOT(ISNUMBER($C40)),"المعامل غير معرف",IF($C40&lt;=0,"المعامل يجب أن يكون موجبًا",IF($D40="","الصنف ناقص (GENERAL أو كود)",IF(COUNTIFS($A:$A,$A40,$B:$B,$B40,$D:$D,$D40)&gt;1,"معامل مكرر لنفس الوحدتين والصنف",IF(AND($E40="نعم",$F40=""),"اسم المعتمد ناقص",""))))))))</f>
        <v/>
      </c>
    </row>
    <row r="41">
      <c r="A41" s="39" t="n"/>
      <c r="B41" s="39" t="n"/>
      <c r="C41" s="29" t="n"/>
      <c r="D41" s="29" t="n"/>
      <c r="E41" s="39" t="n"/>
      <c r="F41" s="29" t="n"/>
      <c r="G41" s="29" t="n"/>
      <c r="H41" s="32">
        <f>IF($A41&amp;$B41="","",IF(OR($A41="",$B41=""),"الوحدة ناقصة",IF($A41=$B41,"الوحدتان متطابقتان",IF(NOT(ISNUMBER($C41)),"المعامل غير معرف",IF($C41&lt;=0,"المعامل يجب أن يكون موجبًا",IF($D41="","الصنف ناقص (GENERAL أو كود)",IF(COUNTIFS($A:$A,$A41,$B:$B,$B41,$D:$D,$D41)&gt;1,"معامل مكرر لنفس الوحدتين والصنف",IF(AND($E41="نعم",$F41=""),"اسم المعتمد ناقص",""))))))))</f>
        <v/>
      </c>
    </row>
    <row r="42">
      <c r="A42" s="39" t="n"/>
      <c r="B42" s="39" t="n"/>
      <c r="C42" s="29" t="n"/>
      <c r="D42" s="29" t="n"/>
      <c r="E42" s="39" t="n"/>
      <c r="F42" s="29" t="n"/>
      <c r="G42" s="29" t="n"/>
      <c r="H42" s="32">
        <f>IF($A42&amp;$B42="","",IF(OR($A42="",$B42=""),"الوحدة ناقصة",IF($A42=$B42,"الوحدتان متطابقتان",IF(NOT(ISNUMBER($C42)),"المعامل غير معرف",IF($C42&lt;=0,"المعامل يجب أن يكون موجبًا",IF($D42="","الصنف ناقص (GENERAL أو كود)",IF(COUNTIFS($A:$A,$A42,$B:$B,$B42,$D:$D,$D42)&gt;1,"معامل مكرر لنفس الوحدتين والصنف",IF(AND($E42="نعم",$F42=""),"اسم المعتمد ناقص",""))))))))</f>
        <v/>
      </c>
    </row>
    <row r="43">
      <c r="A43" s="39" t="n"/>
      <c r="B43" s="39" t="n"/>
      <c r="C43" s="29" t="n"/>
      <c r="D43" s="29" t="n"/>
      <c r="E43" s="39" t="n"/>
      <c r="F43" s="29" t="n"/>
      <c r="G43" s="29" t="n"/>
      <c r="H43" s="32">
        <f>IF($A43&amp;$B43="","",IF(OR($A43="",$B43=""),"الوحدة ناقصة",IF($A43=$B43,"الوحدتان متطابقتان",IF(NOT(ISNUMBER($C43)),"المعامل غير معرف",IF($C43&lt;=0,"المعامل يجب أن يكون موجبًا",IF($D43="","الصنف ناقص (GENERAL أو كود)",IF(COUNTIFS($A:$A,$A43,$B:$B,$B43,$D:$D,$D43)&gt;1,"معامل مكرر لنفس الوحدتين والصنف",IF(AND($E43="نعم",$F43=""),"اسم المعتمد ناقص",""))))))))</f>
        <v/>
      </c>
    </row>
    <row r="44">
      <c r="A44" s="39" t="n"/>
      <c r="B44" s="39" t="n"/>
      <c r="C44" s="29" t="n"/>
      <c r="D44" s="29" t="n"/>
      <c r="E44" s="39" t="n"/>
      <c r="F44" s="29" t="n"/>
      <c r="G44" s="29" t="n"/>
      <c r="H44" s="32">
        <f>IF($A44&amp;$B44="","",IF(OR($A44="",$B44=""),"الوحدة ناقصة",IF($A44=$B44,"الوحدتان متطابقتان",IF(NOT(ISNUMBER($C44)),"المعامل غير معرف",IF($C44&lt;=0,"المعامل يجب أن يكون موجبًا",IF($D44="","الصنف ناقص (GENERAL أو كود)",IF(COUNTIFS($A:$A,$A44,$B:$B,$B44,$D:$D,$D44)&gt;1,"معامل مكرر لنفس الوحدتين والصنف",IF(AND($E44="نعم",$F44=""),"اسم المعتمد ناقص",""))))))))</f>
        <v/>
      </c>
    </row>
    <row r="45">
      <c r="A45" s="39" t="n"/>
      <c r="B45" s="39" t="n"/>
      <c r="C45" s="29" t="n"/>
      <c r="D45" s="29" t="n"/>
      <c r="E45" s="39" t="n"/>
      <c r="F45" s="29" t="n"/>
      <c r="G45" s="29" t="n"/>
      <c r="H45" s="32">
        <f>IF($A45&amp;$B45="","",IF(OR($A45="",$B45=""),"الوحدة ناقصة",IF($A45=$B45,"الوحدتان متطابقتان",IF(NOT(ISNUMBER($C45)),"المعامل غير معرف",IF($C45&lt;=0,"المعامل يجب أن يكون موجبًا",IF($D45="","الصنف ناقص (GENERAL أو كود)",IF(COUNTIFS($A:$A,$A45,$B:$B,$B45,$D:$D,$D45)&gt;1,"معامل مكرر لنفس الوحدتين والصنف",IF(AND($E45="نعم",$F45=""),"اسم المعتمد ناقص",""))))))))</f>
        <v/>
      </c>
    </row>
    <row r="46">
      <c r="A46" s="39" t="n"/>
      <c r="B46" s="39" t="n"/>
      <c r="C46" s="29" t="n"/>
      <c r="D46" s="29" t="n"/>
      <c r="E46" s="39" t="n"/>
      <c r="F46" s="29" t="n"/>
      <c r="G46" s="29" t="n"/>
      <c r="H46" s="32">
        <f>IF($A46&amp;$B46="","",IF(OR($A46="",$B46=""),"الوحدة ناقصة",IF($A46=$B46,"الوحدتان متطابقتان",IF(NOT(ISNUMBER($C46)),"المعامل غير معرف",IF($C46&lt;=0,"المعامل يجب أن يكون موجبًا",IF($D46="","الصنف ناقص (GENERAL أو كود)",IF(COUNTIFS($A:$A,$A46,$B:$B,$B46,$D:$D,$D46)&gt;1,"معامل مكرر لنفس الوحدتين والصنف",IF(AND($E46="نعم",$F46=""),"اسم المعتمد ناقص",""))))))))</f>
        <v/>
      </c>
    </row>
    <row r="47">
      <c r="A47" s="39" t="n"/>
      <c r="B47" s="39" t="n"/>
      <c r="C47" s="29" t="n"/>
      <c r="D47" s="29" t="n"/>
      <c r="E47" s="39" t="n"/>
      <c r="F47" s="29" t="n"/>
      <c r="G47" s="29" t="n"/>
      <c r="H47" s="32">
        <f>IF($A47&amp;$B47="","",IF(OR($A47="",$B47=""),"الوحدة ناقصة",IF($A47=$B47,"الوحدتان متطابقتان",IF(NOT(ISNUMBER($C47)),"المعامل غير معرف",IF($C47&lt;=0,"المعامل يجب أن يكون موجبًا",IF($D47="","الصنف ناقص (GENERAL أو كود)",IF(COUNTIFS($A:$A,$A47,$B:$B,$B47,$D:$D,$D47)&gt;1,"معامل مكرر لنفس الوحدتين والصنف",IF(AND($E47="نعم",$F47=""),"اسم المعتمد ناقص",""))))))))</f>
        <v/>
      </c>
    </row>
    <row r="48">
      <c r="A48" s="39" t="n"/>
      <c r="B48" s="39" t="n"/>
      <c r="C48" s="29" t="n"/>
      <c r="D48" s="29" t="n"/>
      <c r="E48" s="39" t="n"/>
      <c r="F48" s="29" t="n"/>
      <c r="G48" s="29" t="n"/>
      <c r="H48" s="32">
        <f>IF($A48&amp;$B48="","",IF(OR($A48="",$B48=""),"الوحدة ناقصة",IF($A48=$B48,"الوحدتان متطابقتان",IF(NOT(ISNUMBER($C48)),"المعامل غير معرف",IF($C48&lt;=0,"المعامل يجب أن يكون موجبًا",IF($D48="","الصنف ناقص (GENERAL أو كود)",IF(COUNTIFS($A:$A,$A48,$B:$B,$B48,$D:$D,$D48)&gt;1,"معامل مكرر لنفس الوحدتين والصنف",IF(AND($E48="نعم",$F48=""),"اسم المعتمد ناقص",""))))))))</f>
        <v/>
      </c>
    </row>
    <row r="49">
      <c r="A49" s="39" t="n"/>
      <c r="B49" s="39" t="n"/>
      <c r="C49" s="29" t="n"/>
      <c r="D49" s="29" t="n"/>
      <c r="E49" s="39" t="n"/>
      <c r="F49" s="29" t="n"/>
      <c r="G49" s="29" t="n"/>
      <c r="H49" s="32">
        <f>IF($A49&amp;$B49="","",IF(OR($A49="",$B49=""),"الوحدة ناقصة",IF($A49=$B49,"الوحدتان متطابقتان",IF(NOT(ISNUMBER($C49)),"المعامل غير معرف",IF($C49&lt;=0,"المعامل يجب أن يكون موجبًا",IF($D49="","الصنف ناقص (GENERAL أو كود)",IF(COUNTIFS($A:$A,$A49,$B:$B,$B49,$D:$D,$D49)&gt;1,"معامل مكرر لنفس الوحدتين والصنف",IF(AND($E49="نعم",$F49=""),"اسم المعتمد ناقص",""))))))))</f>
        <v/>
      </c>
    </row>
    <row r="50">
      <c r="A50" s="39" t="n"/>
      <c r="B50" s="39" t="n"/>
      <c r="C50" s="29" t="n"/>
      <c r="D50" s="29" t="n"/>
      <c r="E50" s="39" t="n"/>
      <c r="F50" s="29" t="n"/>
      <c r="G50" s="29" t="n"/>
      <c r="H50" s="32">
        <f>IF($A50&amp;$B50="","",IF(OR($A50="",$B50=""),"الوحدة ناقصة",IF($A50=$B50,"الوحدتان متطابقتان",IF(NOT(ISNUMBER($C50)),"المعامل غير معرف",IF($C50&lt;=0,"المعامل يجب أن يكون موجبًا",IF($D50="","الصنف ناقص (GENERAL أو كود)",IF(COUNTIFS($A:$A,$A50,$B:$B,$B50,$D:$D,$D50)&gt;1,"معامل مكرر لنفس الوحدتين والصنف",IF(AND($E50="نعم",$F50=""),"اسم المعتمد ناقص",""))))))))</f>
        <v/>
      </c>
    </row>
    <row r="51">
      <c r="A51" s="39" t="n"/>
      <c r="B51" s="39" t="n"/>
      <c r="C51" s="29" t="n"/>
      <c r="D51" s="29" t="n"/>
      <c r="E51" s="39" t="n"/>
      <c r="F51" s="29" t="n"/>
      <c r="G51" s="29" t="n"/>
      <c r="H51" s="32">
        <f>IF($A51&amp;$B51="","",IF(OR($A51="",$B51=""),"الوحدة ناقصة",IF($A51=$B51,"الوحدتان متطابقتان",IF(NOT(ISNUMBER($C51)),"المعامل غير معرف",IF($C51&lt;=0,"المعامل يجب أن يكون موجبًا",IF($D51="","الصنف ناقص (GENERAL أو كود)",IF(COUNTIFS($A:$A,$A51,$B:$B,$B51,$D:$D,$D51)&gt;1,"معامل مكرر لنفس الوحدتين والصنف",IF(AND($E51="نعم",$F51=""),"اسم المعتمد ناقص",""))))))))</f>
        <v/>
      </c>
    </row>
    <row r="52">
      <c r="A52" s="39" t="n"/>
      <c r="B52" s="39" t="n"/>
      <c r="C52" s="29" t="n"/>
      <c r="D52" s="29" t="n"/>
      <c r="E52" s="39" t="n"/>
      <c r="F52" s="29" t="n"/>
      <c r="G52" s="29" t="n"/>
      <c r="H52" s="32">
        <f>IF($A52&amp;$B52="","",IF(OR($A52="",$B52=""),"الوحدة ناقصة",IF($A52=$B52,"الوحدتان متطابقتان",IF(NOT(ISNUMBER($C52)),"المعامل غير معرف",IF($C52&lt;=0,"المعامل يجب أن يكون موجبًا",IF($D52="","الصنف ناقص (GENERAL أو كود)",IF(COUNTIFS($A:$A,$A52,$B:$B,$B52,$D:$D,$D52)&gt;1,"معامل مكرر لنفس الوحدتين والصنف",IF(AND($E52="نعم",$F52=""),"اسم المعتمد ناقص",""))))))))</f>
        <v/>
      </c>
    </row>
    <row r="53">
      <c r="A53" s="39" t="n"/>
      <c r="B53" s="39" t="n"/>
      <c r="C53" s="29" t="n"/>
      <c r="D53" s="29" t="n"/>
      <c r="E53" s="39" t="n"/>
      <c r="F53" s="29" t="n"/>
      <c r="G53" s="29" t="n"/>
      <c r="H53" s="32">
        <f>IF($A53&amp;$B53="","",IF(OR($A53="",$B53=""),"الوحدة ناقصة",IF($A53=$B53,"الوحدتان متطابقتان",IF(NOT(ISNUMBER($C53)),"المعامل غير معرف",IF($C53&lt;=0,"المعامل يجب أن يكون موجبًا",IF($D53="","الصنف ناقص (GENERAL أو كود)",IF(COUNTIFS($A:$A,$A53,$B:$B,$B53,$D:$D,$D53)&gt;1,"معامل مكرر لنفس الوحدتين والصنف",IF(AND($E53="نعم",$F53=""),"اسم المعتمد ناقص",""))))))))</f>
        <v/>
      </c>
    </row>
    <row r="54">
      <c r="A54" s="39" t="n"/>
      <c r="B54" s="39" t="n"/>
      <c r="C54" s="29" t="n"/>
      <c r="D54" s="29" t="n"/>
      <c r="E54" s="39" t="n"/>
      <c r="F54" s="29" t="n"/>
      <c r="G54" s="29" t="n"/>
      <c r="H54" s="32">
        <f>IF($A54&amp;$B54="","",IF(OR($A54="",$B54=""),"الوحدة ناقصة",IF($A54=$B54,"الوحدتان متطابقتان",IF(NOT(ISNUMBER($C54)),"المعامل غير معرف",IF($C54&lt;=0,"المعامل يجب أن يكون موجبًا",IF($D54="","الصنف ناقص (GENERAL أو كود)",IF(COUNTIFS($A:$A,$A54,$B:$B,$B54,$D:$D,$D54)&gt;1,"معامل مكرر لنفس الوحدتين والصنف",IF(AND($E54="نعم",$F54=""),"اسم المعتمد ناقص",""))))))))</f>
        <v/>
      </c>
    </row>
    <row r="55">
      <c r="A55" s="39" t="n"/>
      <c r="B55" s="39" t="n"/>
      <c r="C55" s="29" t="n"/>
      <c r="D55" s="29" t="n"/>
      <c r="E55" s="39" t="n"/>
      <c r="F55" s="29" t="n"/>
      <c r="G55" s="29" t="n"/>
      <c r="H55" s="32">
        <f>IF($A55&amp;$B55="","",IF(OR($A55="",$B55=""),"الوحدة ناقصة",IF($A55=$B55,"الوحدتان متطابقتان",IF(NOT(ISNUMBER($C55)),"المعامل غير معرف",IF($C55&lt;=0,"المعامل يجب أن يكون موجبًا",IF($D55="","الصنف ناقص (GENERAL أو كود)",IF(COUNTIFS($A:$A,$A55,$B:$B,$B55,$D:$D,$D55)&gt;1,"معامل مكرر لنفس الوحدتين والصنف",IF(AND($E55="نعم",$F55=""),"اسم المعتمد ناقص",""))))))))</f>
        <v/>
      </c>
    </row>
    <row r="56">
      <c r="A56" s="39" t="n"/>
      <c r="B56" s="39" t="n"/>
      <c r="C56" s="29" t="n"/>
      <c r="D56" s="29" t="n"/>
      <c r="E56" s="39" t="n"/>
      <c r="F56" s="29" t="n"/>
      <c r="G56" s="29" t="n"/>
      <c r="H56" s="32">
        <f>IF($A56&amp;$B56="","",IF(OR($A56="",$B56=""),"الوحدة ناقصة",IF($A56=$B56,"الوحدتان متطابقتان",IF(NOT(ISNUMBER($C56)),"المعامل غير معرف",IF($C56&lt;=0,"المعامل يجب أن يكون موجبًا",IF($D56="","الصنف ناقص (GENERAL أو كود)",IF(COUNTIFS($A:$A,$A56,$B:$B,$B56,$D:$D,$D56)&gt;1,"معامل مكرر لنفس الوحدتين والصنف",IF(AND($E56="نعم",$F56=""),"اسم المعتمد ناقص",""))))))))</f>
        <v/>
      </c>
    </row>
    <row r="57">
      <c r="A57" s="39" t="n"/>
      <c r="B57" s="39" t="n"/>
      <c r="C57" s="29" t="n"/>
      <c r="D57" s="29" t="n"/>
      <c r="E57" s="39" t="n"/>
      <c r="F57" s="29" t="n"/>
      <c r="G57" s="29" t="n"/>
      <c r="H57" s="32">
        <f>IF($A57&amp;$B57="","",IF(OR($A57="",$B57=""),"الوحدة ناقصة",IF($A57=$B57,"الوحدتان متطابقتان",IF(NOT(ISNUMBER($C57)),"المعامل غير معرف",IF($C57&lt;=0,"المعامل يجب أن يكون موجبًا",IF($D57="","الصنف ناقص (GENERAL أو كود)",IF(COUNTIFS($A:$A,$A57,$B:$B,$B57,$D:$D,$D57)&gt;1,"معامل مكرر لنفس الوحدتين والصنف",IF(AND($E57="نعم",$F57=""),"اسم المعتمد ناقص",""))))))))</f>
        <v/>
      </c>
    </row>
    <row r="58">
      <c r="A58" s="39" t="n"/>
      <c r="B58" s="39" t="n"/>
      <c r="C58" s="29" t="n"/>
      <c r="D58" s="29" t="n"/>
      <c r="E58" s="39" t="n"/>
      <c r="F58" s="29" t="n"/>
      <c r="G58" s="29" t="n"/>
      <c r="H58" s="32">
        <f>IF($A58&amp;$B58="","",IF(OR($A58="",$B58=""),"الوحدة ناقصة",IF($A58=$B58,"الوحدتان متطابقتان",IF(NOT(ISNUMBER($C58)),"المعامل غير معرف",IF($C58&lt;=0,"المعامل يجب أن يكون موجبًا",IF($D58="","الصنف ناقص (GENERAL أو كود)",IF(COUNTIFS($A:$A,$A58,$B:$B,$B58,$D:$D,$D58)&gt;1,"معامل مكرر لنفس الوحدتين والصنف",IF(AND($E58="نعم",$F58=""),"اسم المعتمد ناقص",""))))))))</f>
        <v/>
      </c>
    </row>
    <row r="59">
      <c r="A59" s="39" t="n"/>
      <c r="B59" s="39" t="n"/>
      <c r="C59" s="29" t="n"/>
      <c r="D59" s="29" t="n"/>
      <c r="E59" s="39" t="n"/>
      <c r="F59" s="29" t="n"/>
      <c r="G59" s="29" t="n"/>
      <c r="H59" s="32">
        <f>IF($A59&amp;$B59="","",IF(OR($A59="",$B59=""),"الوحدة ناقصة",IF($A59=$B59,"الوحدتان متطابقتان",IF(NOT(ISNUMBER($C59)),"المعامل غير معرف",IF($C59&lt;=0,"المعامل يجب أن يكون موجبًا",IF($D59="","الصنف ناقص (GENERAL أو كود)",IF(COUNTIFS($A:$A,$A59,$B:$B,$B59,$D:$D,$D59)&gt;1,"معامل مكرر لنفس الوحدتين والصنف",IF(AND($E59="نعم",$F59=""),"اسم المعتمد ناقص",""))))))))</f>
        <v/>
      </c>
    </row>
    <row r="60">
      <c r="A60" s="39" t="n"/>
      <c r="B60" s="39" t="n"/>
      <c r="C60" s="29" t="n"/>
      <c r="D60" s="29" t="n"/>
      <c r="E60" s="39" t="n"/>
      <c r="F60" s="29" t="n"/>
      <c r="G60" s="29" t="n"/>
      <c r="H60" s="32">
        <f>IF($A60&amp;$B60="","",IF(OR($A60="",$B60=""),"الوحدة ناقصة",IF($A60=$B60,"الوحدتان متطابقتان",IF(NOT(ISNUMBER($C60)),"المعامل غير معرف",IF($C60&lt;=0,"المعامل يجب أن يكون موجبًا",IF($D60="","الصنف ناقص (GENERAL أو كود)",IF(COUNTIFS($A:$A,$A60,$B:$B,$B60,$D:$D,$D60)&gt;1,"معامل مكرر لنفس الوحدتين والصنف",IF(AND($E60="نعم",$F60=""),"اسم المعتمد ناقص",""))))))))</f>
        <v/>
      </c>
    </row>
    <row r="61">
      <c r="A61" s="39" t="n"/>
      <c r="B61" s="39" t="n"/>
      <c r="C61" s="29" t="n"/>
      <c r="D61" s="29" t="n"/>
      <c r="E61" s="39" t="n"/>
      <c r="F61" s="29" t="n"/>
      <c r="G61" s="29" t="n"/>
      <c r="H61" s="32">
        <f>IF($A61&amp;$B61="","",IF(OR($A61="",$B61=""),"الوحدة ناقصة",IF($A61=$B61,"الوحدتان متطابقتان",IF(NOT(ISNUMBER($C61)),"المعامل غير معرف",IF($C61&lt;=0,"المعامل يجب أن يكون موجبًا",IF($D61="","الصنف ناقص (GENERAL أو كود)",IF(COUNTIFS($A:$A,$A61,$B:$B,$B61,$D:$D,$D61)&gt;1,"معامل مكرر لنفس الوحدتين والصنف",IF(AND($E61="نعم",$F61=""),"اسم المعتمد ناقص",""))))))))</f>
        <v/>
      </c>
    </row>
    <row r="62">
      <c r="A62" s="39" t="n"/>
      <c r="B62" s="39" t="n"/>
      <c r="C62" s="29" t="n"/>
      <c r="D62" s="29" t="n"/>
      <c r="E62" s="39" t="n"/>
      <c r="F62" s="29" t="n"/>
      <c r="G62" s="29" t="n"/>
      <c r="H62" s="32">
        <f>IF($A62&amp;$B62="","",IF(OR($A62="",$B62=""),"الوحدة ناقصة",IF($A62=$B62,"الوحدتان متطابقتان",IF(NOT(ISNUMBER($C62)),"المعامل غير معرف",IF($C62&lt;=0,"المعامل يجب أن يكون موجبًا",IF($D62="","الصنف ناقص (GENERAL أو كود)",IF(COUNTIFS($A:$A,$A62,$B:$B,$B62,$D:$D,$D62)&gt;1,"معامل مكرر لنفس الوحدتين والصنف",IF(AND($E62="نعم",$F62=""),"اسم المعتمد ناقص",""))))))))</f>
        <v/>
      </c>
    </row>
    <row r="63">
      <c r="A63" s="39" t="n"/>
      <c r="B63" s="39" t="n"/>
      <c r="C63" s="29" t="n"/>
      <c r="D63" s="29" t="n"/>
      <c r="E63" s="39" t="n"/>
      <c r="F63" s="29" t="n"/>
      <c r="G63" s="29" t="n"/>
      <c r="H63" s="32">
        <f>IF($A63&amp;$B63="","",IF(OR($A63="",$B63=""),"الوحدة ناقصة",IF($A63=$B63,"الوحدتان متطابقتان",IF(NOT(ISNUMBER($C63)),"المعامل غير معرف",IF($C63&lt;=0,"المعامل يجب أن يكون موجبًا",IF($D63="","الصنف ناقص (GENERAL أو كود)",IF(COUNTIFS($A:$A,$A63,$B:$B,$B63,$D:$D,$D63)&gt;1,"معامل مكرر لنفس الوحدتين والصنف",IF(AND($E63="نعم",$F63=""),"اسم المعتمد ناقص",""))))))))</f>
        <v/>
      </c>
    </row>
    <row r="64">
      <c r="A64" s="39" t="n"/>
      <c r="B64" s="39" t="n"/>
      <c r="C64" s="29" t="n"/>
      <c r="D64" s="29" t="n"/>
      <c r="E64" s="39" t="n"/>
      <c r="F64" s="29" t="n"/>
      <c r="G64" s="29" t="n"/>
      <c r="H64" s="32">
        <f>IF($A64&amp;$B64="","",IF(OR($A64="",$B64=""),"الوحدة ناقصة",IF($A64=$B64,"الوحدتان متطابقتان",IF(NOT(ISNUMBER($C64)),"المعامل غير معرف",IF($C64&lt;=0,"المعامل يجب أن يكون موجبًا",IF($D64="","الصنف ناقص (GENERAL أو كود)",IF(COUNTIFS($A:$A,$A64,$B:$B,$B64,$D:$D,$D64)&gt;1,"معامل مكرر لنفس الوحدتين والصنف",IF(AND($E64="نعم",$F64=""),"اسم المعتمد ناقص",""))))))))</f>
        <v/>
      </c>
    </row>
  </sheetData>
  <sheetProtection selectLockedCells="0" selectUnlockedCells="0" sheet="1" objects="0" insertRows="1" insertHyperlinks="1" autoFilter="0" scenarios="0" formatColumns="0" deleteColumns="1" insertColumns="1" pivotTables="1" deleteRows="1" formatCells="0" formatRows="0" sort="1"/>
  <autoFilter ref="A4:H64"/>
  <conditionalFormatting sqref="H5:H64">
    <cfRule type="expression" priority="1" dxfId="3">
      <formula>LEN(H5)&gt;0</formula>
    </cfRule>
  </conditionalFormatting>
  <dataValidations count="4">
    <dataValidation sqref="A5:A64" showDropDown="0" showInputMessage="0" showErrorMessage="1" allowBlank="1" errorTitle="قيمة غير مسموحة" error="اختر قيمة من القائمة المنسدلة." type="list">
      <formula1>=Units!$A$5:$A$34</formula1>
    </dataValidation>
    <dataValidation sqref="B5:B64" showDropDown="0" showInputMessage="0" showErrorMessage="1" allowBlank="1" errorTitle="قيمة غير مسموحة" error="اختر قيمة من القائمة المنسدلة." type="list">
      <formula1>=Units!$A$5:$A$34</formula1>
    </dataValidation>
    <dataValidation sqref="C5:C6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E5:E64" showDropDown="0" showInputMessage="0" showErrorMessage="1" allowBlank="1" errorTitle="قيمة غير مسموحة" error="اختر قيمة من القائمة المنسدلة." type="list">
      <formula1>=Lists!$R$5:$R$6</formula1>
    </dataValidation>
  </dataValidations>
  <pageMargins left="0.75" right="0.75" top="1" bottom="1" header="0.5" footer="0.5"/>
  <pageSetup orientation="landscape" fitToHeight="0" fitToWidth="1"/>
</worksheet>
</file>

<file path=xl/worksheets/sheet18.xml><?xml version="1.0" encoding="utf-8"?>
<worksheet xmlns="http://schemas.openxmlformats.org/spreadsheetml/2006/main">
  <sheetPr>
    <tabColor rgb="002E75B6"/>
    <outlinePr summaryBelow="1" summaryRight="1"/>
    <pageSetUpPr fitToPage="1"/>
  </sheetPr>
  <dimension ref="A1:H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4" customWidth="1" min="4" max="4"/>
    <col width="12" customWidth="1" min="5" max="5"/>
    <col width="16" customWidth="1" min="6" max="6"/>
    <col width="44" customWidth="1" min="7" max="7"/>
  </cols>
  <sheetData>
    <row r="1" ht="26" customHeight="1">
      <c r="A1" s="22" t="inlineStr">
        <is>
          <t>محوّل الوحدات المضبوط (Unit Converter)</t>
        </is>
      </c>
      <c r="B1" s="1" t="n"/>
      <c r="C1" s="1" t="n"/>
      <c r="D1" s="1" t="n"/>
      <c r="E1" s="1" t="n"/>
      <c r="F1" s="1" t="n"/>
      <c r="G1" s="1" t="n"/>
      <c r="H1" s="1" t="n"/>
    </row>
    <row r="2">
      <c r="A2" s="35" t="inlineStr">
        <is>
          <t>يحوّل كمية من أي وحدة إلى الوحدة الأساسية للصنف فقط عبر معامل معرّف ومعتمد في Unit_Conversions؛ وإلا يظهر (التحويل غير مسموح) ولا يُنتج رقمًا. لا يُعكس معامل تلقائيًا.</t>
        </is>
      </c>
    </row>
    <row r="3">
      <c r="A3" s="36" t="inlineStr">
        <is>
          <t>خلايا الإدخال</t>
        </is>
      </c>
      <c r="B3" s="37" t="inlineStr">
        <is>
          <t>معادلات (لا تعدّل)</t>
        </is>
      </c>
    </row>
    <row r="4" ht="34" customHeight="1">
      <c r="A4" s="24" t="inlineStr">
        <is>
          <t>كود الصنف</t>
        </is>
      </c>
      <c r="B4" s="24" t="inlineStr">
        <is>
          <t>الكمية</t>
        </is>
      </c>
      <c r="C4" s="24" t="inlineStr">
        <is>
          <t>الوحدة المدخلة</t>
        </is>
      </c>
      <c r="D4" s="38" t="inlineStr">
        <is>
          <t>الوحدة الأساسية للصنف</t>
        </is>
      </c>
      <c r="E4" s="38" t="inlineStr">
        <is>
          <t>المعامل المعتمد</t>
        </is>
      </c>
      <c r="F4" s="38" t="inlineStr">
        <is>
          <t>الكمية بالوحدة الأساسية</t>
        </is>
      </c>
      <c r="G4" s="38" t="inlineStr">
        <is>
          <t>الحالة</t>
        </is>
      </c>
    </row>
    <row r="5">
      <c r="A5" s="39" t="n"/>
      <c r="B5" s="29" t="n"/>
      <c r="C5" s="39" t="n"/>
      <c r="D5" s="44">
        <f>IF($A5="","",IF(COUNTIF(Items!$A:$A,$A5)=0,"صنف غير معرف",INDEX(Items!$D:$D,MATCH($A5,Items!$A:$A,0))))</f>
        <v/>
      </c>
      <c r="E5" s="32">
        <f>IF(OR($A5="",$C5=""),"",IF($D5="صنف غير معرف","",IF($C5=$D5,1,IF(COUNTIFS(Unit_Conversions!$A:$A,$C5,Unit_Conversions!$B:$B,$D5,Unit_Conversions!$D:$D,$A5,Unit_Conversions!$E:$E,"نعم",Unit_Conversions!$C:$C,"&gt;0")=1,SUMIFS(Unit_Conversions!$C:$C,Unit_Conversions!$A:$A,$C5,Unit_Conversions!$B:$B,$D5,Unit_Conversions!$D:$D,$A5,Unit_Conversions!$E:$E,"نعم"),IF(COUNTIFS(Unit_Conversions!$A:$A,$C5,Unit_Conversions!$B:$B,$D5,Unit_Conversions!$D:$D,"GENERAL",Unit_Conversions!$E:$E,"نعم",Unit_Conversions!$C:$C,"&gt;0")=1,SUMIFS(Unit_Conversions!$C:$C,Unit_Conversions!$A:$A,$C5,Unit_Conversions!$B:$B,$D5,Unit_Conversions!$D:$D,"GENERAL",Unit_Conversions!$E:$E,"نعم"),"")))))</f>
        <v/>
      </c>
      <c r="F5" s="45">
        <f>IF($E5="","",IF(ISNUMBER($B5),$B5*$E5,""))</f>
        <v/>
      </c>
      <c r="G5" s="32">
        <f>IF(OR($A5="",$C5=""),"",IF($D5="صنف غير معرف","صنف غير معرف",IF($E5="","التحويل غير مسموح: معامل غير معرّف أو غير معتمد","")))</f>
        <v/>
      </c>
    </row>
    <row r="6">
      <c r="A6" s="39" t="n"/>
      <c r="B6" s="29" t="n"/>
      <c r="C6" s="39" t="n"/>
      <c r="D6" s="44">
        <f>IF($A6="","",IF(COUNTIF(Items!$A:$A,$A6)=0,"صنف غير معرف",INDEX(Items!$D:$D,MATCH($A6,Items!$A:$A,0))))</f>
        <v/>
      </c>
      <c r="E6" s="32">
        <f>IF(OR($A6="",$C6=""),"",IF($D6="صنف غير معرف","",IF($C6=$D6,1,IF(COUNTIFS(Unit_Conversions!$A:$A,$C6,Unit_Conversions!$B:$B,$D6,Unit_Conversions!$D:$D,$A6,Unit_Conversions!$E:$E,"نعم",Unit_Conversions!$C:$C,"&gt;0")=1,SUMIFS(Unit_Conversions!$C:$C,Unit_Conversions!$A:$A,$C6,Unit_Conversions!$B:$B,$D6,Unit_Conversions!$D:$D,$A6,Unit_Conversions!$E:$E,"نعم"),IF(COUNTIFS(Unit_Conversions!$A:$A,$C6,Unit_Conversions!$B:$B,$D6,Unit_Conversions!$D:$D,"GENERAL",Unit_Conversions!$E:$E,"نعم",Unit_Conversions!$C:$C,"&gt;0")=1,SUMIFS(Unit_Conversions!$C:$C,Unit_Conversions!$A:$A,$C6,Unit_Conversions!$B:$B,$D6,Unit_Conversions!$D:$D,"GENERAL",Unit_Conversions!$E:$E,"نعم"),"")))))</f>
        <v/>
      </c>
      <c r="F6" s="45">
        <f>IF($E6="","",IF(ISNUMBER($B6),$B6*$E6,""))</f>
        <v/>
      </c>
      <c r="G6" s="32">
        <f>IF(OR($A6="",$C6=""),"",IF($D6="صنف غير معرف","صنف غير معرف",IF($E6="","التحويل غير مسموح: معامل غير معرّف أو غير معتمد","")))</f>
        <v/>
      </c>
    </row>
    <row r="7">
      <c r="A7" s="39" t="n"/>
      <c r="B7" s="29" t="n"/>
      <c r="C7" s="39" t="n"/>
      <c r="D7" s="44">
        <f>IF($A7="","",IF(COUNTIF(Items!$A:$A,$A7)=0,"صنف غير معرف",INDEX(Items!$D:$D,MATCH($A7,Items!$A:$A,0))))</f>
        <v/>
      </c>
      <c r="E7" s="32">
        <f>IF(OR($A7="",$C7=""),"",IF($D7="صنف غير معرف","",IF($C7=$D7,1,IF(COUNTIFS(Unit_Conversions!$A:$A,$C7,Unit_Conversions!$B:$B,$D7,Unit_Conversions!$D:$D,$A7,Unit_Conversions!$E:$E,"نعم",Unit_Conversions!$C:$C,"&gt;0")=1,SUMIFS(Unit_Conversions!$C:$C,Unit_Conversions!$A:$A,$C7,Unit_Conversions!$B:$B,$D7,Unit_Conversions!$D:$D,$A7,Unit_Conversions!$E:$E,"نعم"),IF(COUNTIFS(Unit_Conversions!$A:$A,$C7,Unit_Conversions!$B:$B,$D7,Unit_Conversions!$D:$D,"GENERAL",Unit_Conversions!$E:$E,"نعم",Unit_Conversions!$C:$C,"&gt;0")=1,SUMIFS(Unit_Conversions!$C:$C,Unit_Conversions!$A:$A,$C7,Unit_Conversions!$B:$B,$D7,Unit_Conversions!$D:$D,"GENERAL",Unit_Conversions!$E:$E,"نعم"),"")))))</f>
        <v/>
      </c>
      <c r="F7" s="45">
        <f>IF($E7="","",IF(ISNUMBER($B7),$B7*$E7,""))</f>
        <v/>
      </c>
      <c r="G7" s="32">
        <f>IF(OR($A7="",$C7=""),"",IF($D7="صنف غير معرف","صنف غير معرف",IF($E7="","التحويل غير مسموح: معامل غير معرّف أو غير معتمد","")))</f>
        <v/>
      </c>
    </row>
    <row r="8">
      <c r="A8" s="39" t="n"/>
      <c r="B8" s="29" t="n"/>
      <c r="C8" s="39" t="n"/>
      <c r="D8" s="44">
        <f>IF($A8="","",IF(COUNTIF(Items!$A:$A,$A8)=0,"صنف غير معرف",INDEX(Items!$D:$D,MATCH($A8,Items!$A:$A,0))))</f>
        <v/>
      </c>
      <c r="E8" s="32">
        <f>IF(OR($A8="",$C8=""),"",IF($D8="صنف غير معرف","",IF($C8=$D8,1,IF(COUNTIFS(Unit_Conversions!$A:$A,$C8,Unit_Conversions!$B:$B,$D8,Unit_Conversions!$D:$D,$A8,Unit_Conversions!$E:$E,"نعم",Unit_Conversions!$C:$C,"&gt;0")=1,SUMIFS(Unit_Conversions!$C:$C,Unit_Conversions!$A:$A,$C8,Unit_Conversions!$B:$B,$D8,Unit_Conversions!$D:$D,$A8,Unit_Conversions!$E:$E,"نعم"),IF(COUNTIFS(Unit_Conversions!$A:$A,$C8,Unit_Conversions!$B:$B,$D8,Unit_Conversions!$D:$D,"GENERAL",Unit_Conversions!$E:$E,"نعم",Unit_Conversions!$C:$C,"&gt;0")=1,SUMIFS(Unit_Conversions!$C:$C,Unit_Conversions!$A:$A,$C8,Unit_Conversions!$B:$B,$D8,Unit_Conversions!$D:$D,"GENERAL",Unit_Conversions!$E:$E,"نعم"),"")))))</f>
        <v/>
      </c>
      <c r="F8" s="45">
        <f>IF($E8="","",IF(ISNUMBER($B8),$B8*$E8,""))</f>
        <v/>
      </c>
      <c r="G8" s="32">
        <f>IF(OR($A8="",$C8=""),"",IF($D8="صنف غير معرف","صنف غير معرف",IF($E8="","التحويل غير مسموح: معامل غير معرّف أو غير معتمد","")))</f>
        <v/>
      </c>
    </row>
    <row r="9">
      <c r="A9" s="39" t="n"/>
      <c r="B9" s="29" t="n"/>
      <c r="C9" s="39" t="n"/>
      <c r="D9" s="44">
        <f>IF($A9="","",IF(COUNTIF(Items!$A:$A,$A9)=0,"صنف غير معرف",INDEX(Items!$D:$D,MATCH($A9,Items!$A:$A,0))))</f>
        <v/>
      </c>
      <c r="E9" s="32">
        <f>IF(OR($A9="",$C9=""),"",IF($D9="صنف غير معرف","",IF($C9=$D9,1,IF(COUNTIFS(Unit_Conversions!$A:$A,$C9,Unit_Conversions!$B:$B,$D9,Unit_Conversions!$D:$D,$A9,Unit_Conversions!$E:$E,"نعم",Unit_Conversions!$C:$C,"&gt;0")=1,SUMIFS(Unit_Conversions!$C:$C,Unit_Conversions!$A:$A,$C9,Unit_Conversions!$B:$B,$D9,Unit_Conversions!$D:$D,$A9,Unit_Conversions!$E:$E,"نعم"),IF(COUNTIFS(Unit_Conversions!$A:$A,$C9,Unit_Conversions!$B:$B,$D9,Unit_Conversions!$D:$D,"GENERAL",Unit_Conversions!$E:$E,"نعم",Unit_Conversions!$C:$C,"&gt;0")=1,SUMIFS(Unit_Conversions!$C:$C,Unit_Conversions!$A:$A,$C9,Unit_Conversions!$B:$B,$D9,Unit_Conversions!$D:$D,"GENERAL",Unit_Conversions!$E:$E,"نعم"),"")))))</f>
        <v/>
      </c>
      <c r="F9" s="45">
        <f>IF($E9="","",IF(ISNUMBER($B9),$B9*$E9,""))</f>
        <v/>
      </c>
      <c r="G9" s="32">
        <f>IF(OR($A9="",$C9=""),"",IF($D9="صنف غير معرف","صنف غير معرف",IF($E9="","التحويل غير مسموح: معامل غير معرّف أو غير معتمد","")))</f>
        <v/>
      </c>
    </row>
    <row r="10">
      <c r="A10" s="39" t="n"/>
      <c r="B10" s="29" t="n"/>
      <c r="C10" s="39" t="n"/>
      <c r="D10" s="44">
        <f>IF($A10="","",IF(COUNTIF(Items!$A:$A,$A10)=0,"صنف غير معرف",INDEX(Items!$D:$D,MATCH($A10,Items!$A:$A,0))))</f>
        <v/>
      </c>
      <c r="E10" s="32">
        <f>IF(OR($A10="",$C10=""),"",IF($D10="صنف غير معرف","",IF($C10=$D10,1,IF(COUNTIFS(Unit_Conversions!$A:$A,$C10,Unit_Conversions!$B:$B,$D10,Unit_Conversions!$D:$D,$A10,Unit_Conversions!$E:$E,"نعم",Unit_Conversions!$C:$C,"&gt;0")=1,SUMIFS(Unit_Conversions!$C:$C,Unit_Conversions!$A:$A,$C10,Unit_Conversions!$B:$B,$D10,Unit_Conversions!$D:$D,$A10,Unit_Conversions!$E:$E,"نعم"),IF(COUNTIFS(Unit_Conversions!$A:$A,$C10,Unit_Conversions!$B:$B,$D10,Unit_Conversions!$D:$D,"GENERAL",Unit_Conversions!$E:$E,"نعم",Unit_Conversions!$C:$C,"&gt;0")=1,SUMIFS(Unit_Conversions!$C:$C,Unit_Conversions!$A:$A,$C10,Unit_Conversions!$B:$B,$D10,Unit_Conversions!$D:$D,"GENERAL",Unit_Conversions!$E:$E,"نعم"),"")))))</f>
        <v/>
      </c>
      <c r="F10" s="45">
        <f>IF($E10="","",IF(ISNUMBER($B10),$B10*$E10,""))</f>
        <v/>
      </c>
      <c r="G10" s="32">
        <f>IF(OR($A10="",$C10=""),"",IF($D10="صنف غير معرف","صنف غير معرف",IF($E10="","التحويل غير مسموح: معامل غير معرّف أو غير معتمد","")))</f>
        <v/>
      </c>
    </row>
    <row r="11">
      <c r="A11" s="39" t="n"/>
      <c r="B11" s="29" t="n"/>
      <c r="C11" s="39" t="n"/>
      <c r="D11" s="44">
        <f>IF($A11="","",IF(COUNTIF(Items!$A:$A,$A11)=0,"صنف غير معرف",INDEX(Items!$D:$D,MATCH($A11,Items!$A:$A,0))))</f>
        <v/>
      </c>
      <c r="E11" s="32">
        <f>IF(OR($A11="",$C11=""),"",IF($D11="صنف غير معرف","",IF($C11=$D11,1,IF(COUNTIFS(Unit_Conversions!$A:$A,$C11,Unit_Conversions!$B:$B,$D11,Unit_Conversions!$D:$D,$A11,Unit_Conversions!$E:$E,"نعم",Unit_Conversions!$C:$C,"&gt;0")=1,SUMIFS(Unit_Conversions!$C:$C,Unit_Conversions!$A:$A,$C11,Unit_Conversions!$B:$B,$D11,Unit_Conversions!$D:$D,$A11,Unit_Conversions!$E:$E,"نعم"),IF(COUNTIFS(Unit_Conversions!$A:$A,$C11,Unit_Conversions!$B:$B,$D11,Unit_Conversions!$D:$D,"GENERAL",Unit_Conversions!$E:$E,"نعم",Unit_Conversions!$C:$C,"&gt;0")=1,SUMIFS(Unit_Conversions!$C:$C,Unit_Conversions!$A:$A,$C11,Unit_Conversions!$B:$B,$D11,Unit_Conversions!$D:$D,"GENERAL",Unit_Conversions!$E:$E,"نعم"),"")))))</f>
        <v/>
      </c>
      <c r="F11" s="45">
        <f>IF($E11="","",IF(ISNUMBER($B11),$B11*$E11,""))</f>
        <v/>
      </c>
      <c r="G11" s="32">
        <f>IF(OR($A11="",$C11=""),"",IF($D11="صنف غير معرف","صنف غير معرف",IF($E11="","التحويل غير مسموح: معامل غير معرّف أو غير معتمد","")))</f>
        <v/>
      </c>
    </row>
    <row r="12">
      <c r="A12" s="39" t="n"/>
      <c r="B12" s="29" t="n"/>
      <c r="C12" s="39" t="n"/>
      <c r="D12" s="44">
        <f>IF($A12="","",IF(COUNTIF(Items!$A:$A,$A12)=0,"صنف غير معرف",INDEX(Items!$D:$D,MATCH($A12,Items!$A:$A,0))))</f>
        <v/>
      </c>
      <c r="E12" s="32">
        <f>IF(OR($A12="",$C12=""),"",IF($D12="صنف غير معرف","",IF($C12=$D12,1,IF(COUNTIFS(Unit_Conversions!$A:$A,$C12,Unit_Conversions!$B:$B,$D12,Unit_Conversions!$D:$D,$A12,Unit_Conversions!$E:$E,"نعم",Unit_Conversions!$C:$C,"&gt;0")=1,SUMIFS(Unit_Conversions!$C:$C,Unit_Conversions!$A:$A,$C12,Unit_Conversions!$B:$B,$D12,Unit_Conversions!$D:$D,$A12,Unit_Conversions!$E:$E,"نعم"),IF(COUNTIFS(Unit_Conversions!$A:$A,$C12,Unit_Conversions!$B:$B,$D12,Unit_Conversions!$D:$D,"GENERAL",Unit_Conversions!$E:$E,"نعم",Unit_Conversions!$C:$C,"&gt;0")=1,SUMIFS(Unit_Conversions!$C:$C,Unit_Conversions!$A:$A,$C12,Unit_Conversions!$B:$B,$D12,Unit_Conversions!$D:$D,"GENERAL",Unit_Conversions!$E:$E,"نعم"),"")))))</f>
        <v/>
      </c>
      <c r="F12" s="45">
        <f>IF($E12="","",IF(ISNUMBER($B12),$B12*$E12,""))</f>
        <v/>
      </c>
      <c r="G12" s="32">
        <f>IF(OR($A12="",$C12=""),"",IF($D12="صنف غير معرف","صنف غير معرف",IF($E12="","التحويل غير مسموح: معامل غير معرّف أو غير معتمد","")))</f>
        <v/>
      </c>
    </row>
    <row r="13">
      <c r="A13" s="39" t="n"/>
      <c r="B13" s="29" t="n"/>
      <c r="C13" s="39" t="n"/>
      <c r="D13" s="44">
        <f>IF($A13="","",IF(COUNTIF(Items!$A:$A,$A13)=0,"صنف غير معرف",INDEX(Items!$D:$D,MATCH($A13,Items!$A:$A,0))))</f>
        <v/>
      </c>
      <c r="E13" s="32">
        <f>IF(OR($A13="",$C13=""),"",IF($D13="صنف غير معرف","",IF($C13=$D13,1,IF(COUNTIFS(Unit_Conversions!$A:$A,$C13,Unit_Conversions!$B:$B,$D13,Unit_Conversions!$D:$D,$A13,Unit_Conversions!$E:$E,"نعم",Unit_Conversions!$C:$C,"&gt;0")=1,SUMIFS(Unit_Conversions!$C:$C,Unit_Conversions!$A:$A,$C13,Unit_Conversions!$B:$B,$D13,Unit_Conversions!$D:$D,$A13,Unit_Conversions!$E:$E,"نعم"),IF(COUNTIFS(Unit_Conversions!$A:$A,$C13,Unit_Conversions!$B:$B,$D13,Unit_Conversions!$D:$D,"GENERAL",Unit_Conversions!$E:$E,"نعم",Unit_Conversions!$C:$C,"&gt;0")=1,SUMIFS(Unit_Conversions!$C:$C,Unit_Conversions!$A:$A,$C13,Unit_Conversions!$B:$B,$D13,Unit_Conversions!$D:$D,"GENERAL",Unit_Conversions!$E:$E,"نعم"),"")))))</f>
        <v/>
      </c>
      <c r="F13" s="45">
        <f>IF($E13="","",IF(ISNUMBER($B13),$B13*$E13,""))</f>
        <v/>
      </c>
      <c r="G13" s="32">
        <f>IF(OR($A13="",$C13=""),"",IF($D13="صنف غير معرف","صنف غير معرف",IF($E13="","التحويل غير مسموح: معامل غير معرّف أو غير معتمد","")))</f>
        <v/>
      </c>
    </row>
    <row r="14">
      <c r="A14" s="39" t="n"/>
      <c r="B14" s="29" t="n"/>
      <c r="C14" s="39" t="n"/>
      <c r="D14" s="44">
        <f>IF($A14="","",IF(COUNTIF(Items!$A:$A,$A14)=0,"صنف غير معرف",INDEX(Items!$D:$D,MATCH($A14,Items!$A:$A,0))))</f>
        <v/>
      </c>
      <c r="E14" s="32">
        <f>IF(OR($A14="",$C14=""),"",IF($D14="صنف غير معرف","",IF($C14=$D14,1,IF(COUNTIFS(Unit_Conversions!$A:$A,$C14,Unit_Conversions!$B:$B,$D14,Unit_Conversions!$D:$D,$A14,Unit_Conversions!$E:$E,"نعم",Unit_Conversions!$C:$C,"&gt;0")=1,SUMIFS(Unit_Conversions!$C:$C,Unit_Conversions!$A:$A,$C14,Unit_Conversions!$B:$B,$D14,Unit_Conversions!$D:$D,$A14,Unit_Conversions!$E:$E,"نعم"),IF(COUNTIFS(Unit_Conversions!$A:$A,$C14,Unit_Conversions!$B:$B,$D14,Unit_Conversions!$D:$D,"GENERAL",Unit_Conversions!$E:$E,"نعم",Unit_Conversions!$C:$C,"&gt;0")=1,SUMIFS(Unit_Conversions!$C:$C,Unit_Conversions!$A:$A,$C14,Unit_Conversions!$B:$B,$D14,Unit_Conversions!$D:$D,"GENERAL",Unit_Conversions!$E:$E,"نعم"),"")))))</f>
        <v/>
      </c>
      <c r="F14" s="45">
        <f>IF($E14="","",IF(ISNUMBER($B14),$B14*$E14,""))</f>
        <v/>
      </c>
      <c r="G14" s="32">
        <f>IF(OR($A14="",$C14=""),"",IF($D14="صنف غير معرف","صنف غير معرف",IF($E14="","التحويل غير مسموح: معامل غير معرّف أو غير معتمد","")))</f>
        <v/>
      </c>
    </row>
    <row r="15">
      <c r="A15" s="39" t="n"/>
      <c r="B15" s="29" t="n"/>
      <c r="C15" s="39" t="n"/>
      <c r="D15" s="44">
        <f>IF($A15="","",IF(COUNTIF(Items!$A:$A,$A15)=0,"صنف غير معرف",INDEX(Items!$D:$D,MATCH($A15,Items!$A:$A,0))))</f>
        <v/>
      </c>
      <c r="E15" s="32">
        <f>IF(OR($A15="",$C15=""),"",IF($D15="صنف غير معرف","",IF($C15=$D15,1,IF(COUNTIFS(Unit_Conversions!$A:$A,$C15,Unit_Conversions!$B:$B,$D15,Unit_Conversions!$D:$D,$A15,Unit_Conversions!$E:$E,"نعم",Unit_Conversions!$C:$C,"&gt;0")=1,SUMIFS(Unit_Conversions!$C:$C,Unit_Conversions!$A:$A,$C15,Unit_Conversions!$B:$B,$D15,Unit_Conversions!$D:$D,$A15,Unit_Conversions!$E:$E,"نعم"),IF(COUNTIFS(Unit_Conversions!$A:$A,$C15,Unit_Conversions!$B:$B,$D15,Unit_Conversions!$D:$D,"GENERAL",Unit_Conversions!$E:$E,"نعم",Unit_Conversions!$C:$C,"&gt;0")=1,SUMIFS(Unit_Conversions!$C:$C,Unit_Conversions!$A:$A,$C15,Unit_Conversions!$B:$B,$D15,Unit_Conversions!$D:$D,"GENERAL",Unit_Conversions!$E:$E,"نعم"),"")))))</f>
        <v/>
      </c>
      <c r="F15" s="45">
        <f>IF($E15="","",IF(ISNUMBER($B15),$B15*$E15,""))</f>
        <v/>
      </c>
      <c r="G15" s="32">
        <f>IF(OR($A15="",$C15=""),"",IF($D15="صنف غير معرف","صنف غير معرف",IF($E15="","التحويل غير مسموح: معامل غير معرّف أو غير معتمد","")))</f>
        <v/>
      </c>
    </row>
    <row r="16">
      <c r="A16" s="39" t="n"/>
      <c r="B16" s="29" t="n"/>
      <c r="C16" s="39" t="n"/>
      <c r="D16" s="44">
        <f>IF($A16="","",IF(COUNTIF(Items!$A:$A,$A16)=0,"صنف غير معرف",INDEX(Items!$D:$D,MATCH($A16,Items!$A:$A,0))))</f>
        <v/>
      </c>
      <c r="E16" s="32">
        <f>IF(OR($A16="",$C16=""),"",IF($D16="صنف غير معرف","",IF($C16=$D16,1,IF(COUNTIFS(Unit_Conversions!$A:$A,$C16,Unit_Conversions!$B:$B,$D16,Unit_Conversions!$D:$D,$A16,Unit_Conversions!$E:$E,"نعم",Unit_Conversions!$C:$C,"&gt;0")=1,SUMIFS(Unit_Conversions!$C:$C,Unit_Conversions!$A:$A,$C16,Unit_Conversions!$B:$B,$D16,Unit_Conversions!$D:$D,$A16,Unit_Conversions!$E:$E,"نعم"),IF(COUNTIFS(Unit_Conversions!$A:$A,$C16,Unit_Conversions!$B:$B,$D16,Unit_Conversions!$D:$D,"GENERAL",Unit_Conversions!$E:$E,"نعم",Unit_Conversions!$C:$C,"&gt;0")=1,SUMIFS(Unit_Conversions!$C:$C,Unit_Conversions!$A:$A,$C16,Unit_Conversions!$B:$B,$D16,Unit_Conversions!$D:$D,"GENERAL",Unit_Conversions!$E:$E,"نعم"),"")))))</f>
        <v/>
      </c>
      <c r="F16" s="45">
        <f>IF($E16="","",IF(ISNUMBER($B16),$B16*$E16,""))</f>
        <v/>
      </c>
      <c r="G16" s="32">
        <f>IF(OR($A16="",$C16=""),"",IF($D16="صنف غير معرف","صنف غير معرف",IF($E16="","التحويل غير مسموح: معامل غير معرّف أو غير معتمد","")))</f>
        <v/>
      </c>
    </row>
    <row r="17">
      <c r="A17" s="39" t="n"/>
      <c r="B17" s="29" t="n"/>
      <c r="C17" s="39" t="n"/>
      <c r="D17" s="44">
        <f>IF($A17="","",IF(COUNTIF(Items!$A:$A,$A17)=0,"صنف غير معرف",INDEX(Items!$D:$D,MATCH($A17,Items!$A:$A,0))))</f>
        <v/>
      </c>
      <c r="E17" s="32">
        <f>IF(OR($A17="",$C17=""),"",IF($D17="صنف غير معرف","",IF($C17=$D17,1,IF(COUNTIFS(Unit_Conversions!$A:$A,$C17,Unit_Conversions!$B:$B,$D17,Unit_Conversions!$D:$D,$A17,Unit_Conversions!$E:$E,"نعم",Unit_Conversions!$C:$C,"&gt;0")=1,SUMIFS(Unit_Conversions!$C:$C,Unit_Conversions!$A:$A,$C17,Unit_Conversions!$B:$B,$D17,Unit_Conversions!$D:$D,$A17,Unit_Conversions!$E:$E,"نعم"),IF(COUNTIFS(Unit_Conversions!$A:$A,$C17,Unit_Conversions!$B:$B,$D17,Unit_Conversions!$D:$D,"GENERAL",Unit_Conversions!$E:$E,"نعم",Unit_Conversions!$C:$C,"&gt;0")=1,SUMIFS(Unit_Conversions!$C:$C,Unit_Conversions!$A:$A,$C17,Unit_Conversions!$B:$B,$D17,Unit_Conversions!$D:$D,"GENERAL",Unit_Conversions!$E:$E,"نعم"),"")))))</f>
        <v/>
      </c>
      <c r="F17" s="45">
        <f>IF($E17="","",IF(ISNUMBER($B17),$B17*$E17,""))</f>
        <v/>
      </c>
      <c r="G17" s="32">
        <f>IF(OR($A17="",$C17=""),"",IF($D17="صنف غير معرف","صنف غير معرف",IF($E17="","التحويل غير مسموح: معامل غير معرّف أو غير معتمد","")))</f>
        <v/>
      </c>
    </row>
    <row r="18">
      <c r="A18" s="39" t="n"/>
      <c r="B18" s="29" t="n"/>
      <c r="C18" s="39" t="n"/>
      <c r="D18" s="44">
        <f>IF($A18="","",IF(COUNTIF(Items!$A:$A,$A18)=0,"صنف غير معرف",INDEX(Items!$D:$D,MATCH($A18,Items!$A:$A,0))))</f>
        <v/>
      </c>
      <c r="E18" s="32">
        <f>IF(OR($A18="",$C18=""),"",IF($D18="صنف غير معرف","",IF($C18=$D18,1,IF(COUNTIFS(Unit_Conversions!$A:$A,$C18,Unit_Conversions!$B:$B,$D18,Unit_Conversions!$D:$D,$A18,Unit_Conversions!$E:$E,"نعم",Unit_Conversions!$C:$C,"&gt;0")=1,SUMIFS(Unit_Conversions!$C:$C,Unit_Conversions!$A:$A,$C18,Unit_Conversions!$B:$B,$D18,Unit_Conversions!$D:$D,$A18,Unit_Conversions!$E:$E,"نعم"),IF(COUNTIFS(Unit_Conversions!$A:$A,$C18,Unit_Conversions!$B:$B,$D18,Unit_Conversions!$D:$D,"GENERAL",Unit_Conversions!$E:$E,"نعم",Unit_Conversions!$C:$C,"&gt;0")=1,SUMIFS(Unit_Conversions!$C:$C,Unit_Conversions!$A:$A,$C18,Unit_Conversions!$B:$B,$D18,Unit_Conversions!$D:$D,"GENERAL",Unit_Conversions!$E:$E,"نعم"),"")))))</f>
        <v/>
      </c>
      <c r="F18" s="45">
        <f>IF($E18="","",IF(ISNUMBER($B18),$B18*$E18,""))</f>
        <v/>
      </c>
      <c r="G18" s="32">
        <f>IF(OR($A18="",$C18=""),"",IF($D18="صنف غير معرف","صنف غير معرف",IF($E18="","التحويل غير مسموح: معامل غير معرّف أو غير معتمد","")))</f>
        <v/>
      </c>
    </row>
    <row r="19">
      <c r="A19" s="39" t="n"/>
      <c r="B19" s="29" t="n"/>
      <c r="C19" s="39" t="n"/>
      <c r="D19" s="44">
        <f>IF($A19="","",IF(COUNTIF(Items!$A:$A,$A19)=0,"صنف غير معرف",INDEX(Items!$D:$D,MATCH($A19,Items!$A:$A,0))))</f>
        <v/>
      </c>
      <c r="E19" s="32">
        <f>IF(OR($A19="",$C19=""),"",IF($D19="صنف غير معرف","",IF($C19=$D19,1,IF(COUNTIFS(Unit_Conversions!$A:$A,$C19,Unit_Conversions!$B:$B,$D19,Unit_Conversions!$D:$D,$A19,Unit_Conversions!$E:$E,"نعم",Unit_Conversions!$C:$C,"&gt;0")=1,SUMIFS(Unit_Conversions!$C:$C,Unit_Conversions!$A:$A,$C19,Unit_Conversions!$B:$B,$D19,Unit_Conversions!$D:$D,$A19,Unit_Conversions!$E:$E,"نعم"),IF(COUNTIFS(Unit_Conversions!$A:$A,$C19,Unit_Conversions!$B:$B,$D19,Unit_Conversions!$D:$D,"GENERAL",Unit_Conversions!$E:$E,"نعم",Unit_Conversions!$C:$C,"&gt;0")=1,SUMIFS(Unit_Conversions!$C:$C,Unit_Conversions!$A:$A,$C19,Unit_Conversions!$B:$B,$D19,Unit_Conversions!$D:$D,"GENERAL",Unit_Conversions!$E:$E,"نعم"),"")))))</f>
        <v/>
      </c>
      <c r="F19" s="45">
        <f>IF($E19="","",IF(ISNUMBER($B19),$B19*$E19,""))</f>
        <v/>
      </c>
      <c r="G19" s="32">
        <f>IF(OR($A19="",$C19=""),"",IF($D19="صنف غير معرف","صنف غير معرف",IF($E19="","التحويل غير مسموح: معامل غير معرّف أو غير معتمد","")))</f>
        <v/>
      </c>
    </row>
    <row r="20">
      <c r="A20" s="39" t="n"/>
      <c r="B20" s="29" t="n"/>
      <c r="C20" s="39" t="n"/>
      <c r="D20" s="44">
        <f>IF($A20="","",IF(COUNTIF(Items!$A:$A,$A20)=0,"صنف غير معرف",INDEX(Items!$D:$D,MATCH($A20,Items!$A:$A,0))))</f>
        <v/>
      </c>
      <c r="E20" s="32">
        <f>IF(OR($A20="",$C20=""),"",IF($D20="صنف غير معرف","",IF($C20=$D20,1,IF(COUNTIFS(Unit_Conversions!$A:$A,$C20,Unit_Conversions!$B:$B,$D20,Unit_Conversions!$D:$D,$A20,Unit_Conversions!$E:$E,"نعم",Unit_Conversions!$C:$C,"&gt;0")=1,SUMIFS(Unit_Conversions!$C:$C,Unit_Conversions!$A:$A,$C20,Unit_Conversions!$B:$B,$D20,Unit_Conversions!$D:$D,$A20,Unit_Conversions!$E:$E,"نعم"),IF(COUNTIFS(Unit_Conversions!$A:$A,$C20,Unit_Conversions!$B:$B,$D20,Unit_Conversions!$D:$D,"GENERAL",Unit_Conversions!$E:$E,"نعم",Unit_Conversions!$C:$C,"&gt;0")=1,SUMIFS(Unit_Conversions!$C:$C,Unit_Conversions!$A:$A,$C20,Unit_Conversions!$B:$B,$D20,Unit_Conversions!$D:$D,"GENERAL",Unit_Conversions!$E:$E,"نعم"),"")))))</f>
        <v/>
      </c>
      <c r="F20" s="45">
        <f>IF($E20="","",IF(ISNUMBER($B20),$B20*$E20,""))</f>
        <v/>
      </c>
      <c r="G20" s="32">
        <f>IF(OR($A20="",$C20=""),"",IF($D20="صنف غير معرف","صنف غير معرف",IF($E20="","التحويل غير مسموح: معامل غير معرّف أو غير معتمد","")))</f>
        <v/>
      </c>
    </row>
    <row r="21">
      <c r="A21" s="39" t="n"/>
      <c r="B21" s="29" t="n"/>
      <c r="C21" s="39" t="n"/>
      <c r="D21" s="44">
        <f>IF($A21="","",IF(COUNTIF(Items!$A:$A,$A21)=0,"صنف غير معرف",INDEX(Items!$D:$D,MATCH($A21,Items!$A:$A,0))))</f>
        <v/>
      </c>
      <c r="E21" s="32">
        <f>IF(OR($A21="",$C21=""),"",IF($D21="صنف غير معرف","",IF($C21=$D21,1,IF(COUNTIFS(Unit_Conversions!$A:$A,$C21,Unit_Conversions!$B:$B,$D21,Unit_Conversions!$D:$D,$A21,Unit_Conversions!$E:$E,"نعم",Unit_Conversions!$C:$C,"&gt;0")=1,SUMIFS(Unit_Conversions!$C:$C,Unit_Conversions!$A:$A,$C21,Unit_Conversions!$B:$B,$D21,Unit_Conversions!$D:$D,$A21,Unit_Conversions!$E:$E,"نعم"),IF(COUNTIFS(Unit_Conversions!$A:$A,$C21,Unit_Conversions!$B:$B,$D21,Unit_Conversions!$D:$D,"GENERAL",Unit_Conversions!$E:$E,"نعم",Unit_Conversions!$C:$C,"&gt;0")=1,SUMIFS(Unit_Conversions!$C:$C,Unit_Conversions!$A:$A,$C21,Unit_Conversions!$B:$B,$D21,Unit_Conversions!$D:$D,"GENERAL",Unit_Conversions!$E:$E,"نعم"),"")))))</f>
        <v/>
      </c>
      <c r="F21" s="45">
        <f>IF($E21="","",IF(ISNUMBER($B21),$B21*$E21,""))</f>
        <v/>
      </c>
      <c r="G21" s="32">
        <f>IF(OR($A21="",$C21=""),"",IF($D21="صنف غير معرف","صنف غير معرف",IF($E21="","التحويل غير مسموح: معامل غير معرّف أو غير معتمد","")))</f>
        <v/>
      </c>
    </row>
    <row r="22">
      <c r="A22" s="39" t="n"/>
      <c r="B22" s="29" t="n"/>
      <c r="C22" s="39" t="n"/>
      <c r="D22" s="44">
        <f>IF($A22="","",IF(COUNTIF(Items!$A:$A,$A22)=0,"صنف غير معرف",INDEX(Items!$D:$D,MATCH($A22,Items!$A:$A,0))))</f>
        <v/>
      </c>
      <c r="E22" s="32">
        <f>IF(OR($A22="",$C22=""),"",IF($D22="صنف غير معرف","",IF($C22=$D22,1,IF(COUNTIFS(Unit_Conversions!$A:$A,$C22,Unit_Conversions!$B:$B,$D22,Unit_Conversions!$D:$D,$A22,Unit_Conversions!$E:$E,"نعم",Unit_Conversions!$C:$C,"&gt;0")=1,SUMIFS(Unit_Conversions!$C:$C,Unit_Conversions!$A:$A,$C22,Unit_Conversions!$B:$B,$D22,Unit_Conversions!$D:$D,$A22,Unit_Conversions!$E:$E,"نعم"),IF(COUNTIFS(Unit_Conversions!$A:$A,$C22,Unit_Conversions!$B:$B,$D22,Unit_Conversions!$D:$D,"GENERAL",Unit_Conversions!$E:$E,"نعم",Unit_Conversions!$C:$C,"&gt;0")=1,SUMIFS(Unit_Conversions!$C:$C,Unit_Conversions!$A:$A,$C22,Unit_Conversions!$B:$B,$D22,Unit_Conversions!$D:$D,"GENERAL",Unit_Conversions!$E:$E,"نعم"),"")))))</f>
        <v/>
      </c>
      <c r="F22" s="45">
        <f>IF($E22="","",IF(ISNUMBER($B22),$B22*$E22,""))</f>
        <v/>
      </c>
      <c r="G22" s="32">
        <f>IF(OR($A22="",$C22=""),"",IF($D22="صنف غير معرف","صنف غير معرف",IF($E22="","التحويل غير مسموح: معامل غير معرّف أو غير معتمد","")))</f>
        <v/>
      </c>
    </row>
    <row r="23">
      <c r="A23" s="39" t="n"/>
      <c r="B23" s="29" t="n"/>
      <c r="C23" s="39" t="n"/>
      <c r="D23" s="44">
        <f>IF($A23="","",IF(COUNTIF(Items!$A:$A,$A23)=0,"صنف غير معرف",INDEX(Items!$D:$D,MATCH($A23,Items!$A:$A,0))))</f>
        <v/>
      </c>
      <c r="E23" s="32">
        <f>IF(OR($A23="",$C23=""),"",IF($D23="صنف غير معرف","",IF($C23=$D23,1,IF(COUNTIFS(Unit_Conversions!$A:$A,$C23,Unit_Conversions!$B:$B,$D23,Unit_Conversions!$D:$D,$A23,Unit_Conversions!$E:$E,"نعم",Unit_Conversions!$C:$C,"&gt;0")=1,SUMIFS(Unit_Conversions!$C:$C,Unit_Conversions!$A:$A,$C23,Unit_Conversions!$B:$B,$D23,Unit_Conversions!$D:$D,$A23,Unit_Conversions!$E:$E,"نعم"),IF(COUNTIFS(Unit_Conversions!$A:$A,$C23,Unit_Conversions!$B:$B,$D23,Unit_Conversions!$D:$D,"GENERAL",Unit_Conversions!$E:$E,"نعم",Unit_Conversions!$C:$C,"&gt;0")=1,SUMIFS(Unit_Conversions!$C:$C,Unit_Conversions!$A:$A,$C23,Unit_Conversions!$B:$B,$D23,Unit_Conversions!$D:$D,"GENERAL",Unit_Conversions!$E:$E,"نعم"),"")))))</f>
        <v/>
      </c>
      <c r="F23" s="45">
        <f>IF($E23="","",IF(ISNUMBER($B23),$B23*$E23,""))</f>
        <v/>
      </c>
      <c r="G23" s="32">
        <f>IF(OR($A23="",$C23=""),"",IF($D23="صنف غير معرف","صنف غير معرف",IF($E23="","التحويل غير مسموح: معامل غير معرّف أو غير معتمد","")))</f>
        <v/>
      </c>
    </row>
    <row r="24">
      <c r="A24" s="39" t="n"/>
      <c r="B24" s="29" t="n"/>
      <c r="C24" s="39" t="n"/>
      <c r="D24" s="44">
        <f>IF($A24="","",IF(COUNTIF(Items!$A:$A,$A24)=0,"صنف غير معرف",INDEX(Items!$D:$D,MATCH($A24,Items!$A:$A,0))))</f>
        <v/>
      </c>
      <c r="E24" s="32">
        <f>IF(OR($A24="",$C24=""),"",IF($D24="صنف غير معرف","",IF($C24=$D24,1,IF(COUNTIFS(Unit_Conversions!$A:$A,$C24,Unit_Conversions!$B:$B,$D24,Unit_Conversions!$D:$D,$A24,Unit_Conversions!$E:$E,"نعم",Unit_Conversions!$C:$C,"&gt;0")=1,SUMIFS(Unit_Conversions!$C:$C,Unit_Conversions!$A:$A,$C24,Unit_Conversions!$B:$B,$D24,Unit_Conversions!$D:$D,$A24,Unit_Conversions!$E:$E,"نعم"),IF(COUNTIFS(Unit_Conversions!$A:$A,$C24,Unit_Conversions!$B:$B,$D24,Unit_Conversions!$D:$D,"GENERAL",Unit_Conversions!$E:$E,"نعم",Unit_Conversions!$C:$C,"&gt;0")=1,SUMIFS(Unit_Conversions!$C:$C,Unit_Conversions!$A:$A,$C24,Unit_Conversions!$B:$B,$D24,Unit_Conversions!$D:$D,"GENERAL",Unit_Conversions!$E:$E,"نعم"),"")))))</f>
        <v/>
      </c>
      <c r="F24" s="45">
        <f>IF($E24="","",IF(ISNUMBER($B24),$B24*$E24,""))</f>
        <v/>
      </c>
      <c r="G24" s="32">
        <f>IF(OR($A24="",$C24=""),"",IF($D24="صنف غير معرف","صنف غير معرف",IF($E24="","التحويل غير مسموح: معامل غير معرّف أو غير معتمد","")))</f>
        <v/>
      </c>
    </row>
    <row r="25">
      <c r="A25" s="39" t="n"/>
      <c r="B25" s="29" t="n"/>
      <c r="C25" s="39" t="n"/>
      <c r="D25" s="44">
        <f>IF($A25="","",IF(COUNTIF(Items!$A:$A,$A25)=0,"صنف غير معرف",INDEX(Items!$D:$D,MATCH($A25,Items!$A:$A,0))))</f>
        <v/>
      </c>
      <c r="E25" s="32">
        <f>IF(OR($A25="",$C25=""),"",IF($D25="صنف غير معرف","",IF($C25=$D25,1,IF(COUNTIFS(Unit_Conversions!$A:$A,$C25,Unit_Conversions!$B:$B,$D25,Unit_Conversions!$D:$D,$A25,Unit_Conversions!$E:$E,"نعم",Unit_Conversions!$C:$C,"&gt;0")=1,SUMIFS(Unit_Conversions!$C:$C,Unit_Conversions!$A:$A,$C25,Unit_Conversions!$B:$B,$D25,Unit_Conversions!$D:$D,$A25,Unit_Conversions!$E:$E,"نعم"),IF(COUNTIFS(Unit_Conversions!$A:$A,$C25,Unit_Conversions!$B:$B,$D25,Unit_Conversions!$D:$D,"GENERAL",Unit_Conversions!$E:$E,"نعم",Unit_Conversions!$C:$C,"&gt;0")=1,SUMIFS(Unit_Conversions!$C:$C,Unit_Conversions!$A:$A,$C25,Unit_Conversions!$B:$B,$D25,Unit_Conversions!$D:$D,"GENERAL",Unit_Conversions!$E:$E,"نعم"),"")))))</f>
        <v/>
      </c>
      <c r="F25" s="45">
        <f>IF($E25="","",IF(ISNUMBER($B25),$B25*$E25,""))</f>
        <v/>
      </c>
      <c r="G25" s="32">
        <f>IF(OR($A25="",$C25=""),"",IF($D25="صنف غير معرف","صنف غير معرف",IF($E25="","التحويل غير مسموح: معامل غير معرّف أو غير معتمد","")))</f>
        <v/>
      </c>
    </row>
    <row r="26">
      <c r="A26" s="39" t="n"/>
      <c r="B26" s="29" t="n"/>
      <c r="C26" s="39" t="n"/>
      <c r="D26" s="44">
        <f>IF($A26="","",IF(COUNTIF(Items!$A:$A,$A26)=0,"صنف غير معرف",INDEX(Items!$D:$D,MATCH($A26,Items!$A:$A,0))))</f>
        <v/>
      </c>
      <c r="E26" s="32">
        <f>IF(OR($A26="",$C26=""),"",IF($D26="صنف غير معرف","",IF($C26=$D26,1,IF(COUNTIFS(Unit_Conversions!$A:$A,$C26,Unit_Conversions!$B:$B,$D26,Unit_Conversions!$D:$D,$A26,Unit_Conversions!$E:$E,"نعم",Unit_Conversions!$C:$C,"&gt;0")=1,SUMIFS(Unit_Conversions!$C:$C,Unit_Conversions!$A:$A,$C26,Unit_Conversions!$B:$B,$D26,Unit_Conversions!$D:$D,$A26,Unit_Conversions!$E:$E,"نعم"),IF(COUNTIFS(Unit_Conversions!$A:$A,$C26,Unit_Conversions!$B:$B,$D26,Unit_Conversions!$D:$D,"GENERAL",Unit_Conversions!$E:$E,"نعم",Unit_Conversions!$C:$C,"&gt;0")=1,SUMIFS(Unit_Conversions!$C:$C,Unit_Conversions!$A:$A,$C26,Unit_Conversions!$B:$B,$D26,Unit_Conversions!$D:$D,"GENERAL",Unit_Conversions!$E:$E,"نعم"),"")))))</f>
        <v/>
      </c>
      <c r="F26" s="45">
        <f>IF($E26="","",IF(ISNUMBER($B26),$B26*$E26,""))</f>
        <v/>
      </c>
      <c r="G26" s="32">
        <f>IF(OR($A26="",$C26=""),"",IF($D26="صنف غير معرف","صنف غير معرف",IF($E26="","التحويل غير مسموح: معامل غير معرّف أو غير معتمد","")))</f>
        <v/>
      </c>
    </row>
    <row r="27">
      <c r="A27" s="39" t="n"/>
      <c r="B27" s="29" t="n"/>
      <c r="C27" s="39" t="n"/>
      <c r="D27" s="44">
        <f>IF($A27="","",IF(COUNTIF(Items!$A:$A,$A27)=0,"صنف غير معرف",INDEX(Items!$D:$D,MATCH($A27,Items!$A:$A,0))))</f>
        <v/>
      </c>
      <c r="E27" s="32">
        <f>IF(OR($A27="",$C27=""),"",IF($D27="صنف غير معرف","",IF($C27=$D27,1,IF(COUNTIFS(Unit_Conversions!$A:$A,$C27,Unit_Conversions!$B:$B,$D27,Unit_Conversions!$D:$D,$A27,Unit_Conversions!$E:$E,"نعم",Unit_Conversions!$C:$C,"&gt;0")=1,SUMIFS(Unit_Conversions!$C:$C,Unit_Conversions!$A:$A,$C27,Unit_Conversions!$B:$B,$D27,Unit_Conversions!$D:$D,$A27,Unit_Conversions!$E:$E,"نعم"),IF(COUNTIFS(Unit_Conversions!$A:$A,$C27,Unit_Conversions!$B:$B,$D27,Unit_Conversions!$D:$D,"GENERAL",Unit_Conversions!$E:$E,"نعم",Unit_Conversions!$C:$C,"&gt;0")=1,SUMIFS(Unit_Conversions!$C:$C,Unit_Conversions!$A:$A,$C27,Unit_Conversions!$B:$B,$D27,Unit_Conversions!$D:$D,"GENERAL",Unit_Conversions!$E:$E,"نعم"),"")))))</f>
        <v/>
      </c>
      <c r="F27" s="45">
        <f>IF($E27="","",IF(ISNUMBER($B27),$B27*$E27,""))</f>
        <v/>
      </c>
      <c r="G27" s="32">
        <f>IF(OR($A27="",$C27=""),"",IF($D27="صنف غير معرف","صنف غير معرف",IF($E27="","التحويل غير مسموح: معامل غير معرّف أو غير معتمد","")))</f>
        <v/>
      </c>
    </row>
    <row r="28">
      <c r="A28" s="39" t="n"/>
      <c r="B28" s="29" t="n"/>
      <c r="C28" s="39" t="n"/>
      <c r="D28" s="44">
        <f>IF($A28="","",IF(COUNTIF(Items!$A:$A,$A28)=0,"صنف غير معرف",INDEX(Items!$D:$D,MATCH($A28,Items!$A:$A,0))))</f>
        <v/>
      </c>
      <c r="E28" s="32">
        <f>IF(OR($A28="",$C28=""),"",IF($D28="صنف غير معرف","",IF($C28=$D28,1,IF(COUNTIFS(Unit_Conversions!$A:$A,$C28,Unit_Conversions!$B:$B,$D28,Unit_Conversions!$D:$D,$A28,Unit_Conversions!$E:$E,"نعم",Unit_Conversions!$C:$C,"&gt;0")=1,SUMIFS(Unit_Conversions!$C:$C,Unit_Conversions!$A:$A,$C28,Unit_Conversions!$B:$B,$D28,Unit_Conversions!$D:$D,$A28,Unit_Conversions!$E:$E,"نعم"),IF(COUNTIFS(Unit_Conversions!$A:$A,$C28,Unit_Conversions!$B:$B,$D28,Unit_Conversions!$D:$D,"GENERAL",Unit_Conversions!$E:$E,"نعم",Unit_Conversions!$C:$C,"&gt;0")=1,SUMIFS(Unit_Conversions!$C:$C,Unit_Conversions!$A:$A,$C28,Unit_Conversions!$B:$B,$D28,Unit_Conversions!$D:$D,"GENERAL",Unit_Conversions!$E:$E,"نعم"),"")))))</f>
        <v/>
      </c>
      <c r="F28" s="45">
        <f>IF($E28="","",IF(ISNUMBER($B28),$B28*$E28,""))</f>
        <v/>
      </c>
      <c r="G28" s="32">
        <f>IF(OR($A28="",$C28=""),"",IF($D28="صنف غير معرف","صنف غير معرف",IF($E28="","التحويل غير مسموح: معامل غير معرّف أو غير معتمد","")))</f>
        <v/>
      </c>
    </row>
    <row r="29">
      <c r="A29" s="39" t="n"/>
      <c r="B29" s="29" t="n"/>
      <c r="C29" s="39" t="n"/>
      <c r="D29" s="44">
        <f>IF($A29="","",IF(COUNTIF(Items!$A:$A,$A29)=0,"صنف غير معرف",INDEX(Items!$D:$D,MATCH($A29,Items!$A:$A,0))))</f>
        <v/>
      </c>
      <c r="E29" s="32">
        <f>IF(OR($A29="",$C29=""),"",IF($D29="صنف غير معرف","",IF($C29=$D29,1,IF(COUNTIFS(Unit_Conversions!$A:$A,$C29,Unit_Conversions!$B:$B,$D29,Unit_Conversions!$D:$D,$A29,Unit_Conversions!$E:$E,"نعم",Unit_Conversions!$C:$C,"&gt;0")=1,SUMIFS(Unit_Conversions!$C:$C,Unit_Conversions!$A:$A,$C29,Unit_Conversions!$B:$B,$D29,Unit_Conversions!$D:$D,$A29,Unit_Conversions!$E:$E,"نعم"),IF(COUNTIFS(Unit_Conversions!$A:$A,$C29,Unit_Conversions!$B:$B,$D29,Unit_Conversions!$D:$D,"GENERAL",Unit_Conversions!$E:$E,"نعم",Unit_Conversions!$C:$C,"&gt;0")=1,SUMIFS(Unit_Conversions!$C:$C,Unit_Conversions!$A:$A,$C29,Unit_Conversions!$B:$B,$D29,Unit_Conversions!$D:$D,"GENERAL",Unit_Conversions!$E:$E,"نعم"),"")))))</f>
        <v/>
      </c>
      <c r="F29" s="45">
        <f>IF($E29="","",IF(ISNUMBER($B29),$B29*$E29,""))</f>
        <v/>
      </c>
      <c r="G29" s="32">
        <f>IF(OR($A29="",$C29=""),"",IF($D29="صنف غير معرف","صنف غير معرف",IF($E29="","التحويل غير مسموح: معامل غير معرّف أو غير معتمد","")))</f>
        <v/>
      </c>
    </row>
    <row r="30">
      <c r="A30" s="39" t="n"/>
      <c r="B30" s="29" t="n"/>
      <c r="C30" s="39" t="n"/>
      <c r="D30" s="44">
        <f>IF($A30="","",IF(COUNTIF(Items!$A:$A,$A30)=0,"صنف غير معرف",INDEX(Items!$D:$D,MATCH($A30,Items!$A:$A,0))))</f>
        <v/>
      </c>
      <c r="E30" s="32">
        <f>IF(OR($A30="",$C30=""),"",IF($D30="صنف غير معرف","",IF($C30=$D30,1,IF(COUNTIFS(Unit_Conversions!$A:$A,$C30,Unit_Conversions!$B:$B,$D30,Unit_Conversions!$D:$D,$A30,Unit_Conversions!$E:$E,"نعم",Unit_Conversions!$C:$C,"&gt;0")=1,SUMIFS(Unit_Conversions!$C:$C,Unit_Conversions!$A:$A,$C30,Unit_Conversions!$B:$B,$D30,Unit_Conversions!$D:$D,$A30,Unit_Conversions!$E:$E,"نعم"),IF(COUNTIFS(Unit_Conversions!$A:$A,$C30,Unit_Conversions!$B:$B,$D30,Unit_Conversions!$D:$D,"GENERAL",Unit_Conversions!$E:$E,"نعم",Unit_Conversions!$C:$C,"&gt;0")=1,SUMIFS(Unit_Conversions!$C:$C,Unit_Conversions!$A:$A,$C30,Unit_Conversions!$B:$B,$D30,Unit_Conversions!$D:$D,"GENERAL",Unit_Conversions!$E:$E,"نعم"),"")))))</f>
        <v/>
      </c>
      <c r="F30" s="45">
        <f>IF($E30="","",IF(ISNUMBER($B30),$B30*$E30,""))</f>
        <v/>
      </c>
      <c r="G30" s="32">
        <f>IF(OR($A30="",$C30=""),"",IF($D30="صنف غير معرف","صنف غير معرف",IF($E30="","التحويل غير مسموح: معامل غير معرّف أو غير معتمد","")))</f>
        <v/>
      </c>
    </row>
    <row r="31">
      <c r="A31" s="39" t="n"/>
      <c r="B31" s="29" t="n"/>
      <c r="C31" s="39" t="n"/>
      <c r="D31" s="44">
        <f>IF($A31="","",IF(COUNTIF(Items!$A:$A,$A31)=0,"صنف غير معرف",INDEX(Items!$D:$D,MATCH($A31,Items!$A:$A,0))))</f>
        <v/>
      </c>
      <c r="E31" s="32">
        <f>IF(OR($A31="",$C31=""),"",IF($D31="صنف غير معرف","",IF($C31=$D31,1,IF(COUNTIFS(Unit_Conversions!$A:$A,$C31,Unit_Conversions!$B:$B,$D31,Unit_Conversions!$D:$D,$A31,Unit_Conversions!$E:$E,"نعم",Unit_Conversions!$C:$C,"&gt;0")=1,SUMIFS(Unit_Conversions!$C:$C,Unit_Conversions!$A:$A,$C31,Unit_Conversions!$B:$B,$D31,Unit_Conversions!$D:$D,$A31,Unit_Conversions!$E:$E,"نعم"),IF(COUNTIFS(Unit_Conversions!$A:$A,$C31,Unit_Conversions!$B:$B,$D31,Unit_Conversions!$D:$D,"GENERAL",Unit_Conversions!$E:$E,"نعم",Unit_Conversions!$C:$C,"&gt;0")=1,SUMIFS(Unit_Conversions!$C:$C,Unit_Conversions!$A:$A,$C31,Unit_Conversions!$B:$B,$D31,Unit_Conversions!$D:$D,"GENERAL",Unit_Conversions!$E:$E,"نعم"),"")))))</f>
        <v/>
      </c>
      <c r="F31" s="45">
        <f>IF($E31="","",IF(ISNUMBER($B31),$B31*$E31,""))</f>
        <v/>
      </c>
      <c r="G31" s="32">
        <f>IF(OR($A31="",$C31=""),"",IF($D31="صنف غير معرف","صنف غير معرف",IF($E31="","التحويل غير مسموح: معامل غير معرّف أو غير معتمد","")))</f>
        <v/>
      </c>
    </row>
    <row r="32">
      <c r="A32" s="39" t="n"/>
      <c r="B32" s="29" t="n"/>
      <c r="C32" s="39" t="n"/>
      <c r="D32" s="44">
        <f>IF($A32="","",IF(COUNTIF(Items!$A:$A,$A32)=0,"صنف غير معرف",INDEX(Items!$D:$D,MATCH($A32,Items!$A:$A,0))))</f>
        <v/>
      </c>
      <c r="E32" s="32">
        <f>IF(OR($A32="",$C32=""),"",IF($D32="صنف غير معرف","",IF($C32=$D32,1,IF(COUNTIFS(Unit_Conversions!$A:$A,$C32,Unit_Conversions!$B:$B,$D32,Unit_Conversions!$D:$D,$A32,Unit_Conversions!$E:$E,"نعم",Unit_Conversions!$C:$C,"&gt;0")=1,SUMIFS(Unit_Conversions!$C:$C,Unit_Conversions!$A:$A,$C32,Unit_Conversions!$B:$B,$D32,Unit_Conversions!$D:$D,$A32,Unit_Conversions!$E:$E,"نعم"),IF(COUNTIFS(Unit_Conversions!$A:$A,$C32,Unit_Conversions!$B:$B,$D32,Unit_Conversions!$D:$D,"GENERAL",Unit_Conversions!$E:$E,"نعم",Unit_Conversions!$C:$C,"&gt;0")=1,SUMIFS(Unit_Conversions!$C:$C,Unit_Conversions!$A:$A,$C32,Unit_Conversions!$B:$B,$D32,Unit_Conversions!$D:$D,"GENERAL",Unit_Conversions!$E:$E,"نعم"),"")))))</f>
        <v/>
      </c>
      <c r="F32" s="45">
        <f>IF($E32="","",IF(ISNUMBER($B32),$B32*$E32,""))</f>
        <v/>
      </c>
      <c r="G32" s="32">
        <f>IF(OR($A32="",$C32=""),"",IF($D32="صنف غير معرف","صنف غير معرف",IF($E32="","التحويل غير مسموح: معامل غير معرّف أو غير معتمد","")))</f>
        <v/>
      </c>
    </row>
    <row r="33">
      <c r="A33" s="39" t="n"/>
      <c r="B33" s="29" t="n"/>
      <c r="C33" s="39" t="n"/>
      <c r="D33" s="44">
        <f>IF($A33="","",IF(COUNTIF(Items!$A:$A,$A33)=0,"صنف غير معرف",INDEX(Items!$D:$D,MATCH($A33,Items!$A:$A,0))))</f>
        <v/>
      </c>
      <c r="E33" s="32">
        <f>IF(OR($A33="",$C33=""),"",IF($D33="صنف غير معرف","",IF($C33=$D33,1,IF(COUNTIFS(Unit_Conversions!$A:$A,$C33,Unit_Conversions!$B:$B,$D33,Unit_Conversions!$D:$D,$A33,Unit_Conversions!$E:$E,"نعم",Unit_Conversions!$C:$C,"&gt;0")=1,SUMIFS(Unit_Conversions!$C:$C,Unit_Conversions!$A:$A,$C33,Unit_Conversions!$B:$B,$D33,Unit_Conversions!$D:$D,$A33,Unit_Conversions!$E:$E,"نعم"),IF(COUNTIFS(Unit_Conversions!$A:$A,$C33,Unit_Conversions!$B:$B,$D33,Unit_Conversions!$D:$D,"GENERAL",Unit_Conversions!$E:$E,"نعم",Unit_Conversions!$C:$C,"&gt;0")=1,SUMIFS(Unit_Conversions!$C:$C,Unit_Conversions!$A:$A,$C33,Unit_Conversions!$B:$B,$D33,Unit_Conversions!$D:$D,"GENERAL",Unit_Conversions!$E:$E,"نعم"),"")))))</f>
        <v/>
      </c>
      <c r="F33" s="45">
        <f>IF($E33="","",IF(ISNUMBER($B33),$B33*$E33,""))</f>
        <v/>
      </c>
      <c r="G33" s="32">
        <f>IF(OR($A33="",$C33=""),"",IF($D33="صنف غير معرف","صنف غير معرف",IF($E33="","التحويل غير مسموح: معامل غير معرّف أو غير معتمد","")))</f>
        <v/>
      </c>
    </row>
    <row r="34">
      <c r="A34" s="39" t="n"/>
      <c r="B34" s="29" t="n"/>
      <c r="C34" s="39" t="n"/>
      <c r="D34" s="44">
        <f>IF($A34="","",IF(COUNTIF(Items!$A:$A,$A34)=0,"صنف غير معرف",INDEX(Items!$D:$D,MATCH($A34,Items!$A:$A,0))))</f>
        <v/>
      </c>
      <c r="E34" s="32">
        <f>IF(OR($A34="",$C34=""),"",IF($D34="صنف غير معرف","",IF($C34=$D34,1,IF(COUNTIFS(Unit_Conversions!$A:$A,$C34,Unit_Conversions!$B:$B,$D34,Unit_Conversions!$D:$D,$A34,Unit_Conversions!$E:$E,"نعم",Unit_Conversions!$C:$C,"&gt;0")=1,SUMIFS(Unit_Conversions!$C:$C,Unit_Conversions!$A:$A,$C34,Unit_Conversions!$B:$B,$D34,Unit_Conversions!$D:$D,$A34,Unit_Conversions!$E:$E,"نعم"),IF(COUNTIFS(Unit_Conversions!$A:$A,$C34,Unit_Conversions!$B:$B,$D34,Unit_Conversions!$D:$D,"GENERAL",Unit_Conversions!$E:$E,"نعم",Unit_Conversions!$C:$C,"&gt;0")=1,SUMIFS(Unit_Conversions!$C:$C,Unit_Conversions!$A:$A,$C34,Unit_Conversions!$B:$B,$D34,Unit_Conversions!$D:$D,"GENERAL",Unit_Conversions!$E:$E,"نعم"),"")))))</f>
        <v/>
      </c>
      <c r="F34" s="45">
        <f>IF($E34="","",IF(ISNUMBER($B34),$B34*$E34,""))</f>
        <v/>
      </c>
      <c r="G34" s="32">
        <f>IF(OR($A34="",$C34=""),"",IF($D34="صنف غير معرف","صنف غير معرف",IF($E34="","التحويل غير مسموح: معامل غير معرّف أو غير معتمد","")))</f>
        <v/>
      </c>
    </row>
    <row r="35">
      <c r="A35" s="39" t="n"/>
      <c r="B35" s="29" t="n"/>
      <c r="C35" s="39" t="n"/>
      <c r="D35" s="44">
        <f>IF($A35="","",IF(COUNTIF(Items!$A:$A,$A35)=0,"صنف غير معرف",INDEX(Items!$D:$D,MATCH($A35,Items!$A:$A,0))))</f>
        <v/>
      </c>
      <c r="E35" s="32">
        <f>IF(OR($A35="",$C35=""),"",IF($D35="صنف غير معرف","",IF($C35=$D35,1,IF(COUNTIFS(Unit_Conversions!$A:$A,$C35,Unit_Conversions!$B:$B,$D35,Unit_Conversions!$D:$D,$A35,Unit_Conversions!$E:$E,"نعم",Unit_Conversions!$C:$C,"&gt;0")=1,SUMIFS(Unit_Conversions!$C:$C,Unit_Conversions!$A:$A,$C35,Unit_Conversions!$B:$B,$D35,Unit_Conversions!$D:$D,$A35,Unit_Conversions!$E:$E,"نعم"),IF(COUNTIFS(Unit_Conversions!$A:$A,$C35,Unit_Conversions!$B:$B,$D35,Unit_Conversions!$D:$D,"GENERAL",Unit_Conversions!$E:$E,"نعم",Unit_Conversions!$C:$C,"&gt;0")=1,SUMIFS(Unit_Conversions!$C:$C,Unit_Conversions!$A:$A,$C35,Unit_Conversions!$B:$B,$D35,Unit_Conversions!$D:$D,"GENERAL",Unit_Conversions!$E:$E,"نعم"),"")))))</f>
        <v/>
      </c>
      <c r="F35" s="45">
        <f>IF($E35="","",IF(ISNUMBER($B35),$B35*$E35,""))</f>
        <v/>
      </c>
      <c r="G35" s="32">
        <f>IF(OR($A35="",$C35=""),"",IF($D35="صنف غير معرف","صنف غير معرف",IF($E35="","التحويل غير مسموح: معامل غير معرّف أو غير معتمد","")))</f>
        <v/>
      </c>
    </row>
    <row r="36">
      <c r="A36" s="39" t="n"/>
      <c r="B36" s="29" t="n"/>
      <c r="C36" s="39" t="n"/>
      <c r="D36" s="44">
        <f>IF($A36="","",IF(COUNTIF(Items!$A:$A,$A36)=0,"صنف غير معرف",INDEX(Items!$D:$D,MATCH($A36,Items!$A:$A,0))))</f>
        <v/>
      </c>
      <c r="E36" s="32">
        <f>IF(OR($A36="",$C36=""),"",IF($D36="صنف غير معرف","",IF($C36=$D36,1,IF(COUNTIFS(Unit_Conversions!$A:$A,$C36,Unit_Conversions!$B:$B,$D36,Unit_Conversions!$D:$D,$A36,Unit_Conversions!$E:$E,"نعم",Unit_Conversions!$C:$C,"&gt;0")=1,SUMIFS(Unit_Conversions!$C:$C,Unit_Conversions!$A:$A,$C36,Unit_Conversions!$B:$B,$D36,Unit_Conversions!$D:$D,$A36,Unit_Conversions!$E:$E,"نعم"),IF(COUNTIFS(Unit_Conversions!$A:$A,$C36,Unit_Conversions!$B:$B,$D36,Unit_Conversions!$D:$D,"GENERAL",Unit_Conversions!$E:$E,"نعم",Unit_Conversions!$C:$C,"&gt;0")=1,SUMIFS(Unit_Conversions!$C:$C,Unit_Conversions!$A:$A,$C36,Unit_Conversions!$B:$B,$D36,Unit_Conversions!$D:$D,"GENERAL",Unit_Conversions!$E:$E,"نعم"),"")))))</f>
        <v/>
      </c>
      <c r="F36" s="45">
        <f>IF($E36="","",IF(ISNUMBER($B36),$B36*$E36,""))</f>
        <v/>
      </c>
      <c r="G36" s="32">
        <f>IF(OR($A36="",$C36=""),"",IF($D36="صنف غير معرف","صنف غير معرف",IF($E36="","التحويل غير مسموح: معامل غير معرّف أو غير معتمد","")))</f>
        <v/>
      </c>
    </row>
    <row r="37">
      <c r="A37" s="39" t="n"/>
      <c r="B37" s="29" t="n"/>
      <c r="C37" s="39" t="n"/>
      <c r="D37" s="44">
        <f>IF($A37="","",IF(COUNTIF(Items!$A:$A,$A37)=0,"صنف غير معرف",INDEX(Items!$D:$D,MATCH($A37,Items!$A:$A,0))))</f>
        <v/>
      </c>
      <c r="E37" s="32">
        <f>IF(OR($A37="",$C37=""),"",IF($D37="صنف غير معرف","",IF($C37=$D37,1,IF(COUNTIFS(Unit_Conversions!$A:$A,$C37,Unit_Conversions!$B:$B,$D37,Unit_Conversions!$D:$D,$A37,Unit_Conversions!$E:$E,"نعم",Unit_Conversions!$C:$C,"&gt;0")=1,SUMIFS(Unit_Conversions!$C:$C,Unit_Conversions!$A:$A,$C37,Unit_Conversions!$B:$B,$D37,Unit_Conversions!$D:$D,$A37,Unit_Conversions!$E:$E,"نعم"),IF(COUNTIFS(Unit_Conversions!$A:$A,$C37,Unit_Conversions!$B:$B,$D37,Unit_Conversions!$D:$D,"GENERAL",Unit_Conversions!$E:$E,"نعم",Unit_Conversions!$C:$C,"&gt;0")=1,SUMIFS(Unit_Conversions!$C:$C,Unit_Conversions!$A:$A,$C37,Unit_Conversions!$B:$B,$D37,Unit_Conversions!$D:$D,"GENERAL",Unit_Conversions!$E:$E,"نعم"),"")))))</f>
        <v/>
      </c>
      <c r="F37" s="45">
        <f>IF($E37="","",IF(ISNUMBER($B37),$B37*$E37,""))</f>
        <v/>
      </c>
      <c r="G37" s="32">
        <f>IF(OR($A37="",$C37=""),"",IF($D37="صنف غير معرف","صنف غير معرف",IF($E37="","التحويل غير مسموح: معامل غير معرّف أو غير معتمد","")))</f>
        <v/>
      </c>
    </row>
    <row r="38">
      <c r="A38" s="39" t="n"/>
      <c r="B38" s="29" t="n"/>
      <c r="C38" s="39" t="n"/>
      <c r="D38" s="44">
        <f>IF($A38="","",IF(COUNTIF(Items!$A:$A,$A38)=0,"صنف غير معرف",INDEX(Items!$D:$D,MATCH($A38,Items!$A:$A,0))))</f>
        <v/>
      </c>
      <c r="E38" s="32">
        <f>IF(OR($A38="",$C38=""),"",IF($D38="صنف غير معرف","",IF($C38=$D38,1,IF(COUNTIFS(Unit_Conversions!$A:$A,$C38,Unit_Conversions!$B:$B,$D38,Unit_Conversions!$D:$D,$A38,Unit_Conversions!$E:$E,"نعم",Unit_Conversions!$C:$C,"&gt;0")=1,SUMIFS(Unit_Conversions!$C:$C,Unit_Conversions!$A:$A,$C38,Unit_Conversions!$B:$B,$D38,Unit_Conversions!$D:$D,$A38,Unit_Conversions!$E:$E,"نعم"),IF(COUNTIFS(Unit_Conversions!$A:$A,$C38,Unit_Conversions!$B:$B,$D38,Unit_Conversions!$D:$D,"GENERAL",Unit_Conversions!$E:$E,"نعم",Unit_Conversions!$C:$C,"&gt;0")=1,SUMIFS(Unit_Conversions!$C:$C,Unit_Conversions!$A:$A,$C38,Unit_Conversions!$B:$B,$D38,Unit_Conversions!$D:$D,"GENERAL",Unit_Conversions!$E:$E,"نعم"),"")))))</f>
        <v/>
      </c>
      <c r="F38" s="45">
        <f>IF($E38="","",IF(ISNUMBER($B38),$B38*$E38,""))</f>
        <v/>
      </c>
      <c r="G38" s="32">
        <f>IF(OR($A38="",$C38=""),"",IF($D38="صنف غير معرف","صنف غير معرف",IF($E38="","التحويل غير مسموح: معامل غير معرّف أو غير معتمد","")))</f>
        <v/>
      </c>
    </row>
    <row r="39">
      <c r="A39" s="39" t="n"/>
      <c r="B39" s="29" t="n"/>
      <c r="C39" s="39" t="n"/>
      <c r="D39" s="44">
        <f>IF($A39="","",IF(COUNTIF(Items!$A:$A,$A39)=0,"صنف غير معرف",INDEX(Items!$D:$D,MATCH($A39,Items!$A:$A,0))))</f>
        <v/>
      </c>
      <c r="E39" s="32">
        <f>IF(OR($A39="",$C39=""),"",IF($D39="صنف غير معرف","",IF($C39=$D39,1,IF(COUNTIFS(Unit_Conversions!$A:$A,$C39,Unit_Conversions!$B:$B,$D39,Unit_Conversions!$D:$D,$A39,Unit_Conversions!$E:$E,"نعم",Unit_Conversions!$C:$C,"&gt;0")=1,SUMIFS(Unit_Conversions!$C:$C,Unit_Conversions!$A:$A,$C39,Unit_Conversions!$B:$B,$D39,Unit_Conversions!$D:$D,$A39,Unit_Conversions!$E:$E,"نعم"),IF(COUNTIFS(Unit_Conversions!$A:$A,$C39,Unit_Conversions!$B:$B,$D39,Unit_Conversions!$D:$D,"GENERAL",Unit_Conversions!$E:$E,"نعم",Unit_Conversions!$C:$C,"&gt;0")=1,SUMIFS(Unit_Conversions!$C:$C,Unit_Conversions!$A:$A,$C39,Unit_Conversions!$B:$B,$D39,Unit_Conversions!$D:$D,"GENERAL",Unit_Conversions!$E:$E,"نعم"),"")))))</f>
        <v/>
      </c>
      <c r="F39" s="45">
        <f>IF($E39="","",IF(ISNUMBER($B39),$B39*$E39,""))</f>
        <v/>
      </c>
      <c r="G39" s="32">
        <f>IF(OR($A39="",$C39=""),"",IF($D39="صنف غير معرف","صنف غير معرف",IF($E39="","التحويل غير مسموح: معامل غير معرّف أو غير معتمد","")))</f>
        <v/>
      </c>
    </row>
    <row r="40">
      <c r="A40" s="39" t="n"/>
      <c r="B40" s="29" t="n"/>
      <c r="C40" s="39" t="n"/>
      <c r="D40" s="44">
        <f>IF($A40="","",IF(COUNTIF(Items!$A:$A,$A40)=0,"صنف غير معرف",INDEX(Items!$D:$D,MATCH($A40,Items!$A:$A,0))))</f>
        <v/>
      </c>
      <c r="E40" s="32">
        <f>IF(OR($A40="",$C40=""),"",IF($D40="صنف غير معرف","",IF($C40=$D40,1,IF(COUNTIFS(Unit_Conversions!$A:$A,$C40,Unit_Conversions!$B:$B,$D40,Unit_Conversions!$D:$D,$A40,Unit_Conversions!$E:$E,"نعم",Unit_Conversions!$C:$C,"&gt;0")=1,SUMIFS(Unit_Conversions!$C:$C,Unit_Conversions!$A:$A,$C40,Unit_Conversions!$B:$B,$D40,Unit_Conversions!$D:$D,$A40,Unit_Conversions!$E:$E,"نعم"),IF(COUNTIFS(Unit_Conversions!$A:$A,$C40,Unit_Conversions!$B:$B,$D40,Unit_Conversions!$D:$D,"GENERAL",Unit_Conversions!$E:$E,"نعم",Unit_Conversions!$C:$C,"&gt;0")=1,SUMIFS(Unit_Conversions!$C:$C,Unit_Conversions!$A:$A,$C40,Unit_Conversions!$B:$B,$D40,Unit_Conversions!$D:$D,"GENERAL",Unit_Conversions!$E:$E,"نعم"),"")))))</f>
        <v/>
      </c>
      <c r="F40" s="45">
        <f>IF($E40="","",IF(ISNUMBER($B40),$B40*$E40,""))</f>
        <v/>
      </c>
      <c r="G40" s="32">
        <f>IF(OR($A40="",$C40=""),"",IF($D40="صنف غير معرف","صنف غير معرف",IF($E40="","التحويل غير مسموح: معامل غير معرّف أو غير معتمد","")))</f>
        <v/>
      </c>
    </row>
    <row r="41">
      <c r="A41" s="39" t="n"/>
      <c r="B41" s="29" t="n"/>
      <c r="C41" s="39" t="n"/>
      <c r="D41" s="44">
        <f>IF($A41="","",IF(COUNTIF(Items!$A:$A,$A41)=0,"صنف غير معرف",INDEX(Items!$D:$D,MATCH($A41,Items!$A:$A,0))))</f>
        <v/>
      </c>
      <c r="E41" s="32">
        <f>IF(OR($A41="",$C41=""),"",IF($D41="صنف غير معرف","",IF($C41=$D41,1,IF(COUNTIFS(Unit_Conversions!$A:$A,$C41,Unit_Conversions!$B:$B,$D41,Unit_Conversions!$D:$D,$A41,Unit_Conversions!$E:$E,"نعم",Unit_Conversions!$C:$C,"&gt;0")=1,SUMIFS(Unit_Conversions!$C:$C,Unit_Conversions!$A:$A,$C41,Unit_Conversions!$B:$B,$D41,Unit_Conversions!$D:$D,$A41,Unit_Conversions!$E:$E,"نعم"),IF(COUNTIFS(Unit_Conversions!$A:$A,$C41,Unit_Conversions!$B:$B,$D41,Unit_Conversions!$D:$D,"GENERAL",Unit_Conversions!$E:$E,"نعم",Unit_Conversions!$C:$C,"&gt;0")=1,SUMIFS(Unit_Conversions!$C:$C,Unit_Conversions!$A:$A,$C41,Unit_Conversions!$B:$B,$D41,Unit_Conversions!$D:$D,"GENERAL",Unit_Conversions!$E:$E,"نعم"),"")))))</f>
        <v/>
      </c>
      <c r="F41" s="45">
        <f>IF($E41="","",IF(ISNUMBER($B41),$B41*$E41,""))</f>
        <v/>
      </c>
      <c r="G41" s="32">
        <f>IF(OR($A41="",$C41=""),"",IF($D41="صنف غير معرف","صنف غير معرف",IF($E41="","التحويل غير مسموح: معامل غير معرّف أو غير معتمد","")))</f>
        <v/>
      </c>
    </row>
    <row r="42">
      <c r="A42" s="39" t="n"/>
      <c r="B42" s="29" t="n"/>
      <c r="C42" s="39" t="n"/>
      <c r="D42" s="44">
        <f>IF($A42="","",IF(COUNTIF(Items!$A:$A,$A42)=0,"صنف غير معرف",INDEX(Items!$D:$D,MATCH($A42,Items!$A:$A,0))))</f>
        <v/>
      </c>
      <c r="E42" s="32">
        <f>IF(OR($A42="",$C42=""),"",IF($D42="صنف غير معرف","",IF($C42=$D42,1,IF(COUNTIFS(Unit_Conversions!$A:$A,$C42,Unit_Conversions!$B:$B,$D42,Unit_Conversions!$D:$D,$A42,Unit_Conversions!$E:$E,"نعم",Unit_Conversions!$C:$C,"&gt;0")=1,SUMIFS(Unit_Conversions!$C:$C,Unit_Conversions!$A:$A,$C42,Unit_Conversions!$B:$B,$D42,Unit_Conversions!$D:$D,$A42,Unit_Conversions!$E:$E,"نعم"),IF(COUNTIFS(Unit_Conversions!$A:$A,$C42,Unit_Conversions!$B:$B,$D42,Unit_Conversions!$D:$D,"GENERAL",Unit_Conversions!$E:$E,"نعم",Unit_Conversions!$C:$C,"&gt;0")=1,SUMIFS(Unit_Conversions!$C:$C,Unit_Conversions!$A:$A,$C42,Unit_Conversions!$B:$B,$D42,Unit_Conversions!$D:$D,"GENERAL",Unit_Conversions!$E:$E,"نعم"),"")))))</f>
        <v/>
      </c>
      <c r="F42" s="45">
        <f>IF($E42="","",IF(ISNUMBER($B42),$B42*$E42,""))</f>
        <v/>
      </c>
      <c r="G42" s="32">
        <f>IF(OR($A42="",$C42=""),"",IF($D42="صنف غير معرف","صنف غير معرف",IF($E42="","التحويل غير مسموح: معامل غير معرّف أو غير معتمد","")))</f>
        <v/>
      </c>
    </row>
    <row r="43">
      <c r="A43" s="39" t="n"/>
      <c r="B43" s="29" t="n"/>
      <c r="C43" s="39" t="n"/>
      <c r="D43" s="44">
        <f>IF($A43="","",IF(COUNTIF(Items!$A:$A,$A43)=0,"صنف غير معرف",INDEX(Items!$D:$D,MATCH($A43,Items!$A:$A,0))))</f>
        <v/>
      </c>
      <c r="E43" s="32">
        <f>IF(OR($A43="",$C43=""),"",IF($D43="صنف غير معرف","",IF($C43=$D43,1,IF(COUNTIFS(Unit_Conversions!$A:$A,$C43,Unit_Conversions!$B:$B,$D43,Unit_Conversions!$D:$D,$A43,Unit_Conversions!$E:$E,"نعم",Unit_Conversions!$C:$C,"&gt;0")=1,SUMIFS(Unit_Conversions!$C:$C,Unit_Conversions!$A:$A,$C43,Unit_Conversions!$B:$B,$D43,Unit_Conversions!$D:$D,$A43,Unit_Conversions!$E:$E,"نعم"),IF(COUNTIFS(Unit_Conversions!$A:$A,$C43,Unit_Conversions!$B:$B,$D43,Unit_Conversions!$D:$D,"GENERAL",Unit_Conversions!$E:$E,"نعم",Unit_Conversions!$C:$C,"&gt;0")=1,SUMIFS(Unit_Conversions!$C:$C,Unit_Conversions!$A:$A,$C43,Unit_Conversions!$B:$B,$D43,Unit_Conversions!$D:$D,"GENERAL",Unit_Conversions!$E:$E,"نعم"),"")))))</f>
        <v/>
      </c>
      <c r="F43" s="45">
        <f>IF($E43="","",IF(ISNUMBER($B43),$B43*$E43,""))</f>
        <v/>
      </c>
      <c r="G43" s="32">
        <f>IF(OR($A43="",$C43=""),"",IF($D43="صنف غير معرف","صنف غير معرف",IF($E43="","التحويل غير مسموح: معامل غير معرّف أو غير معتمد","")))</f>
        <v/>
      </c>
    </row>
    <row r="44">
      <c r="A44" s="39" t="n"/>
      <c r="B44" s="29" t="n"/>
      <c r="C44" s="39" t="n"/>
      <c r="D44" s="44">
        <f>IF($A44="","",IF(COUNTIF(Items!$A:$A,$A44)=0,"صنف غير معرف",INDEX(Items!$D:$D,MATCH($A44,Items!$A:$A,0))))</f>
        <v/>
      </c>
      <c r="E44" s="32">
        <f>IF(OR($A44="",$C44=""),"",IF($D44="صنف غير معرف","",IF($C44=$D44,1,IF(COUNTIFS(Unit_Conversions!$A:$A,$C44,Unit_Conversions!$B:$B,$D44,Unit_Conversions!$D:$D,$A44,Unit_Conversions!$E:$E,"نعم",Unit_Conversions!$C:$C,"&gt;0")=1,SUMIFS(Unit_Conversions!$C:$C,Unit_Conversions!$A:$A,$C44,Unit_Conversions!$B:$B,$D44,Unit_Conversions!$D:$D,$A44,Unit_Conversions!$E:$E,"نعم"),IF(COUNTIFS(Unit_Conversions!$A:$A,$C44,Unit_Conversions!$B:$B,$D44,Unit_Conversions!$D:$D,"GENERAL",Unit_Conversions!$E:$E,"نعم",Unit_Conversions!$C:$C,"&gt;0")=1,SUMIFS(Unit_Conversions!$C:$C,Unit_Conversions!$A:$A,$C44,Unit_Conversions!$B:$B,$D44,Unit_Conversions!$D:$D,"GENERAL",Unit_Conversions!$E:$E,"نعم"),"")))))</f>
        <v/>
      </c>
      <c r="F44" s="45">
        <f>IF($E44="","",IF(ISNUMBER($B44),$B44*$E44,""))</f>
        <v/>
      </c>
      <c r="G44" s="32">
        <f>IF(OR($A44="",$C44=""),"",IF($D44="صنف غير معرف","صنف غير معرف",IF($E44="","التحويل غير مسموح: معامل غير معرّف أو غير معتمد","")))</f>
        <v/>
      </c>
    </row>
  </sheetData>
  <sheetProtection selectLockedCells="0" selectUnlockedCells="0" sheet="1" objects="0" insertRows="1" insertHyperlinks="1" autoFilter="0" scenarios="0" formatColumns="0" deleteColumns="1" insertColumns="1" pivotTables="1" deleteRows="1" formatCells="0" formatRows="0" sort="1"/>
  <autoFilter ref="A4:G44"/>
  <conditionalFormatting sqref="G5:G44">
    <cfRule type="expression" priority="1" dxfId="3">
      <formula>LEN(G5)&gt;0</formula>
    </cfRule>
  </conditionalFormatting>
  <dataValidations count="3">
    <dataValidation sqref="A5:A44" showDropDown="0" showInputMessage="0" showErrorMessage="1" allowBlank="1" errorTitle="قيمة غير مسموحة" error="اختر قيمة من القائمة المنسدلة." type="list">
      <formula1>=Items!$A$5:$A$304</formula1>
    </dataValidation>
    <dataValidation sqref="B5:B4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C5:C44" showDropDown="0" showInputMessage="0" showErrorMessage="1" allowBlank="1" errorTitle="قيمة غير مسموحة" error="اختر قيمة من القائمة المنسدلة." type="list">
      <formula1>=Units!$A$5:$A$34</formula1>
    </dataValidation>
  </dataValidations>
  <pageMargins left="0.75" right="0.75" top="1" bottom="1" header="0.5" footer="0.5"/>
  <pageSetup orientation="landscape" fitToHeight="0" fitToWidth="1"/>
</worksheet>
</file>

<file path=xl/worksheets/sheet19.xml><?xml version="1.0" encoding="utf-8"?>
<worksheet xmlns="http://schemas.openxmlformats.org/spreadsheetml/2006/main">
  <sheetPr>
    <tabColor rgb="002E75B6"/>
    <outlinePr summaryBelow="1" summaryRight="1"/>
    <pageSetUpPr fitToPage="1"/>
  </sheetPr>
  <dimension ref="A1:O19"/>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12" customWidth="1" min="3" max="3"/>
    <col width="12" customWidth="1" min="4" max="4"/>
    <col width="12" customWidth="1" min="5" max="5"/>
    <col width="10" customWidth="1" min="6" max="6"/>
    <col width="10" customWidth="1" min="7" max="7"/>
    <col width="7" customWidth="1" min="8" max="8"/>
    <col width="30" customWidth="1" min="9" max="9"/>
    <col width="34" customWidth="1" min="10" max="10"/>
    <col width="40" customWidth="1" min="11" max="11"/>
    <col width="14" customWidth="1" min="12" max="12"/>
    <col width="12" customWidth="1" min="13" max="13"/>
    <col width="10" customWidth="1" min="14" max="14"/>
    <col width="14" customWidth="1" min="15" max="15"/>
  </cols>
  <sheetData>
    <row r="1" ht="26" customHeight="1">
      <c r="A1" s="22" t="inlineStr">
        <is>
          <t>وسائل الدفع (Payment Methods)</t>
        </is>
      </c>
      <c r="B1" s="1" t="n"/>
      <c r="C1" s="1" t="n"/>
      <c r="D1" s="1" t="n"/>
      <c r="E1" s="1" t="n"/>
      <c r="F1" s="1" t="n"/>
      <c r="G1" s="1" t="n"/>
      <c r="H1" s="1" t="n"/>
      <c r="I1" s="1" t="n"/>
      <c r="J1" s="1" t="n"/>
      <c r="K1" s="1" t="n"/>
      <c r="L1" s="1" t="n"/>
      <c r="M1" s="1" t="n"/>
      <c r="N1" s="1" t="n"/>
      <c r="O1" s="1" t="n"/>
    </row>
    <row r="2">
      <c r="A2" s="35" t="inlineStr">
        <is>
          <t>وسيلة (نقدي) تُرحَّل على خزينة الفرع آليًا. الوسائل الأخرى تُرحَّل على حساب المستحقات المحدد هنا حتى يتم التحصيل الفعلي.</t>
        </is>
      </c>
    </row>
    <row r="3">
      <c r="A3" s="36" t="inlineStr">
        <is>
          <t>خلايا الإدخال</t>
        </is>
      </c>
      <c r="B3" s="37" t="inlineStr">
        <is>
          <t>معادلات (لا تعدّل)</t>
        </is>
      </c>
    </row>
    <row r="4" ht="34" customHeight="1">
      <c r="A4" s="24" t="inlineStr">
        <is>
          <t>كود الوسيلة</t>
        </is>
      </c>
      <c r="B4" s="24" t="inlineStr">
        <is>
          <t>الاسم</t>
        </is>
      </c>
      <c r="C4" s="24" t="inlineStr">
        <is>
          <t>النوع</t>
        </is>
      </c>
      <c r="D4" s="24" t="inlineStr">
        <is>
          <t>حساب المستحقات/التسوية</t>
        </is>
      </c>
      <c r="E4" s="24" t="inlineStr">
        <is>
          <t>حساب العمولة/الرسوم</t>
        </is>
      </c>
      <c r="F4" s="24" t="inlineStr">
        <is>
          <t>نسبة العمولة المقدّرة</t>
        </is>
      </c>
      <c r="G4" s="24" t="inlineStr">
        <is>
          <t>أيام التسوية المتوقعة</t>
        </is>
      </c>
      <c r="H4" s="24" t="inlineStr">
        <is>
          <t>نشط</t>
        </is>
      </c>
      <c r="I4" s="24" t="inlineStr">
        <is>
          <t>ملاحظات</t>
        </is>
      </c>
      <c r="J4" s="38" t="inlineStr">
        <is>
          <t>اسم حساب التسوية</t>
        </is>
      </c>
      <c r="K4" s="38" t="inlineStr">
        <is>
          <t>فحص</t>
        </is>
      </c>
      <c r="L4" s="38" t="inlineStr">
        <is>
          <t>رصيد المستحقات</t>
        </is>
      </c>
      <c r="M4" s="38" t="inlineStr">
        <is>
          <t>آخر تسوية</t>
        </is>
      </c>
      <c r="N4" s="38" t="inlineStr">
        <is>
          <t>تسوية متأخرة؟</t>
        </is>
      </c>
      <c r="O4" s="38" t="inlineStr">
        <is>
          <t>موعد التسوية المتوقع</t>
        </is>
      </c>
    </row>
    <row r="5">
      <c r="A5" s="39" t="inlineStr">
        <is>
          <t>CASH</t>
        </is>
      </c>
      <c r="B5" s="29" t="inlineStr">
        <is>
          <t>نقدي (كاش)</t>
        </is>
      </c>
      <c r="C5" s="29" t="inlineStr">
        <is>
          <t>نقدي</t>
        </is>
      </c>
      <c r="D5" s="39" t="n"/>
      <c r="E5" s="39" t="n"/>
      <c r="F5" s="46" t="n">
        <v>0</v>
      </c>
      <c r="G5" s="29" t="n">
        <v>0</v>
      </c>
      <c r="H5" s="39" t="inlineStr">
        <is>
          <t>نعم</t>
        </is>
      </c>
      <c r="I5" s="29" t="n"/>
      <c r="J5" s="32">
        <f>IF($D5="","",IFERROR(INDEX(COA!$B:$B,MATCH($D5,COA!$A:$A,0)),"حساب غير موجود"))</f>
        <v/>
      </c>
      <c r="K5" s="32">
        <f>IF($A5="","",IF(COUNTIF($A:$A,$A5)&gt;1,"كود مكرر",IF(AND($C5&lt;&gt;"نقدي",COUNTIFS(COA!$A:$A,$D5,COA!$R:$R,1)&lt;&gt;1),"حساب التسوية غير صالح",IF(AND($C5="منصة",$E5=""),"المنصة تحتاج حساب عمولة",""))))</f>
        <v/>
      </c>
      <c r="L5" s="47">
        <f>IF($A5="","",IF($C5="نقدي",0,(SUMIFS(GL_Journal!$S:$S,GL_Journal!$G:$G,$D5,GL_Journal!$D:$D,"&lt;="&amp;S_To)-SUMIFS(GL_Journal!$T:$T,GL_Journal!$G:$G,$D5,GL_Journal!$D:$D,"&lt;="&amp;S_To))))</f>
        <v/>
      </c>
      <c r="M5" s="33">
        <f>IF($A5="","",IF(COUNTIFS(Platform_Settlements!$C:$C,$A5,Platform_Settlements!$AA:$AA,1)=0,"",_xlfn.MAXIFS(Platform_Settlements!$B:$B,Platform_Settlements!$C:$C,$A5,Platform_Settlements!$AA:$AA,1)))</f>
        <v/>
      </c>
      <c r="N5" s="44">
        <f>IF($A5="","",IF(AND(OR($C5="منصة",$C5="بطاقة"),$L5&gt;S_Tol),IF(S_To-IF($M5="",_xlfn.MINIFS(GL_Journal!$D:$D,GL_Journal!$G:$G,$D5,GL_Journal!$R:$R,1),$M5)&gt;S_PlatDays,1,0),0))</f>
        <v/>
      </c>
      <c r="O5" s="33">
        <f>IF($A5="","",IF(OR($M5="",NOT(ISNUMBER($G5))),"",$M5+$G5))</f>
        <v/>
      </c>
    </row>
    <row r="6">
      <c r="A6" s="39" t="inlineStr">
        <is>
          <t>CARD</t>
        </is>
      </c>
      <c r="B6" s="29" t="inlineStr">
        <is>
          <t>بطاقات ائتمان/خصم (POS)</t>
        </is>
      </c>
      <c r="C6" s="29" t="inlineStr">
        <is>
          <t>بطاقة</t>
        </is>
      </c>
      <c r="D6" s="39" t="n">
        <v>1302</v>
      </c>
      <c r="E6" s="39" t="n">
        <v>6702</v>
      </c>
      <c r="F6" s="46" t="n">
        <v>0.015</v>
      </c>
      <c r="G6" s="29" t="n">
        <v>2</v>
      </c>
      <c r="H6" s="39" t="inlineStr">
        <is>
          <t>نعم</t>
        </is>
      </c>
      <c r="I6" s="29" t="n"/>
      <c r="J6" s="32">
        <f>IF($D6="","",IFERROR(INDEX(COA!$B:$B,MATCH($D6,COA!$A:$A,0)),"حساب غير موجود"))</f>
        <v/>
      </c>
      <c r="K6" s="32">
        <f>IF($A6="","",IF(COUNTIF($A:$A,$A6)&gt;1,"كود مكرر",IF(AND($C6&lt;&gt;"نقدي",COUNTIFS(COA!$A:$A,$D6,COA!$R:$R,1)&lt;&gt;1),"حساب التسوية غير صالح",IF(AND($C6="منصة",$E6=""),"المنصة تحتاج حساب عمولة",""))))</f>
        <v/>
      </c>
      <c r="L6" s="47">
        <f>IF($A6="","",IF($C6="نقدي",0,(SUMIFS(GL_Journal!$S:$S,GL_Journal!$G:$G,$D6,GL_Journal!$D:$D,"&lt;="&amp;S_To)-SUMIFS(GL_Journal!$T:$T,GL_Journal!$G:$G,$D6,GL_Journal!$D:$D,"&lt;="&amp;S_To))))</f>
        <v/>
      </c>
      <c r="M6" s="33">
        <f>IF($A6="","",IF(COUNTIFS(Platform_Settlements!$C:$C,$A6,Platform_Settlements!$AA:$AA,1)=0,"",_xlfn.MAXIFS(Platform_Settlements!$B:$B,Platform_Settlements!$C:$C,$A6,Platform_Settlements!$AA:$AA,1)))</f>
        <v/>
      </c>
      <c r="N6" s="44">
        <f>IF($A6="","",IF(AND(OR($C6="منصة",$C6="بطاقة"),$L6&gt;S_Tol),IF(S_To-IF($M6="",_xlfn.MINIFS(GL_Journal!$D:$D,GL_Journal!$G:$G,$D6,GL_Journal!$R:$R,1),$M6)&gt;S_PlatDays,1,0),0))</f>
        <v/>
      </c>
      <c r="O6" s="33">
        <f>IF($A6="","",IF(OR($M6="",NOT(ISNUMBER($G6))),"",$M6+$G6))</f>
        <v/>
      </c>
    </row>
    <row r="7">
      <c r="A7" s="39" t="inlineStr">
        <is>
          <t>TLB</t>
        </is>
      </c>
      <c r="B7" s="29" t="inlineStr">
        <is>
          <t>منصة طلبات</t>
        </is>
      </c>
      <c r="C7" s="29" t="inlineStr">
        <is>
          <t>منصة</t>
        </is>
      </c>
      <c r="D7" s="39" t="n">
        <v>1303</v>
      </c>
      <c r="E7" s="39" t="n">
        <v>6701</v>
      </c>
      <c r="F7" s="46" t="n">
        <v>0.18</v>
      </c>
      <c r="G7" s="29" t="n">
        <v>7</v>
      </c>
      <c r="H7" s="39" t="inlineStr">
        <is>
          <t>نعم</t>
        </is>
      </c>
      <c r="I7" s="29" t="n"/>
      <c r="J7" s="32">
        <f>IF($D7="","",IFERROR(INDEX(COA!$B:$B,MATCH($D7,COA!$A:$A,0)),"حساب غير موجود"))</f>
        <v/>
      </c>
      <c r="K7" s="32">
        <f>IF($A7="","",IF(COUNTIF($A:$A,$A7)&gt;1,"كود مكرر",IF(AND($C7&lt;&gt;"نقدي",COUNTIFS(COA!$A:$A,$D7,COA!$R:$R,1)&lt;&gt;1),"حساب التسوية غير صالح",IF(AND($C7="منصة",$E7=""),"المنصة تحتاج حساب عمولة",""))))</f>
        <v/>
      </c>
      <c r="L7" s="47">
        <f>IF($A7="","",IF($C7="نقدي",0,(SUMIFS(GL_Journal!$S:$S,GL_Journal!$G:$G,$D7,GL_Journal!$D:$D,"&lt;="&amp;S_To)-SUMIFS(GL_Journal!$T:$T,GL_Journal!$G:$G,$D7,GL_Journal!$D:$D,"&lt;="&amp;S_To))))</f>
        <v/>
      </c>
      <c r="M7" s="33">
        <f>IF($A7="","",IF(COUNTIFS(Platform_Settlements!$C:$C,$A7,Platform_Settlements!$AA:$AA,1)=0,"",_xlfn.MAXIFS(Platform_Settlements!$B:$B,Platform_Settlements!$C:$C,$A7,Platform_Settlements!$AA:$AA,1)))</f>
        <v/>
      </c>
      <c r="N7" s="44">
        <f>IF($A7="","",IF(AND(OR($C7="منصة",$C7="بطاقة"),$L7&gt;S_Tol),IF(S_To-IF($M7="",_xlfn.MINIFS(GL_Journal!$D:$D,GL_Journal!$G:$G,$D7,GL_Journal!$R:$R,1),$M7)&gt;S_PlatDays,1,0),0))</f>
        <v/>
      </c>
      <c r="O7" s="33">
        <f>IF($A7="","",IF(OR($M7="",NOT(ISNUMBER($G7))),"",$M7+$G7))</f>
        <v/>
      </c>
    </row>
    <row r="8">
      <c r="A8" s="39" t="inlineStr">
        <is>
          <t>DLV2</t>
        </is>
      </c>
      <c r="B8" s="29" t="inlineStr">
        <is>
          <t>منصة توصيل أخرى</t>
        </is>
      </c>
      <c r="C8" s="29" t="inlineStr">
        <is>
          <t>منصة</t>
        </is>
      </c>
      <c r="D8" s="39" t="n">
        <v>1304</v>
      </c>
      <c r="E8" s="39" t="n">
        <v>6701</v>
      </c>
      <c r="F8" s="46" t="n">
        <v>0.2</v>
      </c>
      <c r="G8" s="29" t="n">
        <v>7</v>
      </c>
      <c r="H8" s="39" t="inlineStr">
        <is>
          <t>نعم</t>
        </is>
      </c>
      <c r="I8" s="29" t="n"/>
      <c r="J8" s="32">
        <f>IF($D8="","",IFERROR(INDEX(COA!$B:$B,MATCH($D8,COA!$A:$A,0)),"حساب غير موجود"))</f>
        <v/>
      </c>
      <c r="K8" s="32">
        <f>IF($A8="","",IF(COUNTIF($A:$A,$A8)&gt;1,"كود مكرر",IF(AND($C8&lt;&gt;"نقدي",COUNTIFS(COA!$A:$A,$D8,COA!$R:$R,1)&lt;&gt;1),"حساب التسوية غير صالح",IF(AND($C8="منصة",$E8=""),"المنصة تحتاج حساب عمولة",""))))</f>
        <v/>
      </c>
      <c r="L8" s="47">
        <f>IF($A8="","",IF($C8="نقدي",0,(SUMIFS(GL_Journal!$S:$S,GL_Journal!$G:$G,$D8,GL_Journal!$D:$D,"&lt;="&amp;S_To)-SUMIFS(GL_Journal!$T:$T,GL_Journal!$G:$G,$D8,GL_Journal!$D:$D,"&lt;="&amp;S_To))))</f>
        <v/>
      </c>
      <c r="M8" s="33">
        <f>IF($A8="","",IF(COUNTIFS(Platform_Settlements!$C:$C,$A8,Platform_Settlements!$AA:$AA,1)=0,"",_xlfn.MAXIFS(Platform_Settlements!$B:$B,Platform_Settlements!$C:$C,$A8,Platform_Settlements!$AA:$AA,1)))</f>
        <v/>
      </c>
      <c r="N8" s="44">
        <f>IF($A8="","",IF(AND(OR($C8="منصة",$C8="بطاقة"),$L8&gt;S_Tol),IF(S_To-IF($M8="",_xlfn.MINIFS(GL_Journal!$D:$D,GL_Journal!$G:$G,$D8,GL_Journal!$R:$R,1),$M8)&gt;S_PlatDays,1,0),0))</f>
        <v/>
      </c>
      <c r="O8" s="33">
        <f>IF($A8="","",IF(OR($M8="",NOT(ISNUMBER($G8))),"",$M8+$G8))</f>
        <v/>
      </c>
    </row>
    <row r="9">
      <c r="A9" s="39" t="inlineStr">
        <is>
          <t>INSTA</t>
        </is>
      </c>
      <c r="B9" s="29" t="inlineStr">
        <is>
          <t>تحويل إلكتروني / محفظة</t>
        </is>
      </c>
      <c r="C9" s="29" t="inlineStr">
        <is>
          <t>تحويل</t>
        </is>
      </c>
      <c r="D9" s="39" t="n">
        <v>1203</v>
      </c>
      <c r="E9" s="39" t="n">
        <v>6702</v>
      </c>
      <c r="F9" s="46" t="n">
        <v>0</v>
      </c>
      <c r="G9" s="29" t="n">
        <v>0</v>
      </c>
      <c r="H9" s="39" t="inlineStr">
        <is>
          <t>نعم</t>
        </is>
      </c>
      <c r="I9" s="29" t="n"/>
      <c r="J9" s="32">
        <f>IF($D9="","",IFERROR(INDEX(COA!$B:$B,MATCH($D9,COA!$A:$A,0)),"حساب غير موجود"))</f>
        <v/>
      </c>
      <c r="K9" s="32">
        <f>IF($A9="","",IF(COUNTIF($A:$A,$A9)&gt;1,"كود مكرر",IF(AND($C9&lt;&gt;"نقدي",COUNTIFS(COA!$A:$A,$D9,COA!$R:$R,1)&lt;&gt;1),"حساب التسوية غير صالح",IF(AND($C9="منصة",$E9=""),"المنصة تحتاج حساب عمولة",""))))</f>
        <v/>
      </c>
      <c r="L9" s="47">
        <f>IF($A9="","",IF($C9="نقدي",0,(SUMIFS(GL_Journal!$S:$S,GL_Journal!$G:$G,$D9,GL_Journal!$D:$D,"&lt;="&amp;S_To)-SUMIFS(GL_Journal!$T:$T,GL_Journal!$G:$G,$D9,GL_Journal!$D:$D,"&lt;="&amp;S_To))))</f>
        <v/>
      </c>
      <c r="M9" s="33">
        <f>IF($A9="","",IF(COUNTIFS(Platform_Settlements!$C:$C,$A9,Platform_Settlements!$AA:$AA,1)=0,"",_xlfn.MAXIFS(Platform_Settlements!$B:$B,Platform_Settlements!$C:$C,$A9,Platform_Settlements!$AA:$AA,1)))</f>
        <v/>
      </c>
      <c r="N9" s="44">
        <f>IF($A9="","",IF(AND(OR($C9="منصة",$C9="بطاقة"),$L9&gt;S_Tol),IF(S_To-IF($M9="",_xlfn.MINIFS(GL_Journal!$D:$D,GL_Journal!$G:$G,$D9,GL_Journal!$R:$R,1),$M9)&gt;S_PlatDays,1,0),0))</f>
        <v/>
      </c>
      <c r="O9" s="33">
        <f>IF($A9="","",IF(OR($M9="",NOT(ISNUMBER($G9))),"",$M9+$G9))</f>
        <v/>
      </c>
    </row>
    <row r="10">
      <c r="A10" s="39" t="n"/>
      <c r="B10" s="29" t="n"/>
      <c r="C10" s="29" t="n"/>
      <c r="D10" s="39" t="n"/>
      <c r="E10" s="39" t="n"/>
      <c r="F10" s="46" t="n"/>
      <c r="G10" s="29" t="n"/>
      <c r="H10" s="39" t="n"/>
      <c r="I10" s="29" t="n"/>
      <c r="J10" s="32">
        <f>IF($D10="","",IFERROR(INDEX(COA!$B:$B,MATCH($D10,COA!$A:$A,0)),"حساب غير موجود"))</f>
        <v/>
      </c>
      <c r="K10" s="32">
        <f>IF($A10="","",IF(COUNTIF($A:$A,$A10)&gt;1,"كود مكرر",IF(AND($C10&lt;&gt;"نقدي",COUNTIFS(COA!$A:$A,$D10,COA!$R:$R,1)&lt;&gt;1),"حساب التسوية غير صالح",IF(AND($C10="منصة",$E10=""),"المنصة تحتاج حساب عمولة",""))))</f>
        <v/>
      </c>
      <c r="L10" s="47">
        <f>IF($A10="","",IF($C10="نقدي",0,(SUMIFS(GL_Journal!$S:$S,GL_Journal!$G:$G,$D10,GL_Journal!$D:$D,"&lt;="&amp;S_To)-SUMIFS(GL_Journal!$T:$T,GL_Journal!$G:$G,$D10,GL_Journal!$D:$D,"&lt;="&amp;S_To))))</f>
        <v/>
      </c>
      <c r="M10" s="33">
        <f>IF($A10="","",IF(COUNTIFS(Platform_Settlements!$C:$C,$A10,Platform_Settlements!$AA:$AA,1)=0,"",_xlfn.MAXIFS(Platform_Settlements!$B:$B,Platform_Settlements!$C:$C,$A10,Platform_Settlements!$AA:$AA,1)))</f>
        <v/>
      </c>
      <c r="N10" s="44">
        <f>IF($A10="","",IF(AND(OR($C10="منصة",$C10="بطاقة"),$L10&gt;S_Tol),IF(S_To-IF($M10="",_xlfn.MINIFS(GL_Journal!$D:$D,GL_Journal!$G:$G,$D10,GL_Journal!$R:$R,1),$M10)&gt;S_PlatDays,1,0),0))</f>
        <v/>
      </c>
      <c r="O10" s="33">
        <f>IF($A10="","",IF(OR($M10="",NOT(ISNUMBER($G10))),"",$M10+$G10))</f>
        <v/>
      </c>
    </row>
    <row r="11">
      <c r="A11" s="39" t="n"/>
      <c r="B11" s="29" t="n"/>
      <c r="C11" s="29" t="n"/>
      <c r="D11" s="39" t="n"/>
      <c r="E11" s="39" t="n"/>
      <c r="F11" s="46" t="n"/>
      <c r="G11" s="29" t="n"/>
      <c r="H11" s="39" t="n"/>
      <c r="I11" s="29" t="n"/>
      <c r="J11" s="32">
        <f>IF($D11="","",IFERROR(INDEX(COA!$B:$B,MATCH($D11,COA!$A:$A,0)),"حساب غير موجود"))</f>
        <v/>
      </c>
      <c r="K11" s="32">
        <f>IF($A11="","",IF(COUNTIF($A:$A,$A11)&gt;1,"كود مكرر",IF(AND($C11&lt;&gt;"نقدي",COUNTIFS(COA!$A:$A,$D11,COA!$R:$R,1)&lt;&gt;1),"حساب التسوية غير صالح",IF(AND($C11="منصة",$E11=""),"المنصة تحتاج حساب عمولة",""))))</f>
        <v/>
      </c>
      <c r="L11" s="47">
        <f>IF($A11="","",IF($C11="نقدي",0,(SUMIFS(GL_Journal!$S:$S,GL_Journal!$G:$G,$D11,GL_Journal!$D:$D,"&lt;="&amp;S_To)-SUMIFS(GL_Journal!$T:$T,GL_Journal!$G:$G,$D11,GL_Journal!$D:$D,"&lt;="&amp;S_To))))</f>
        <v/>
      </c>
      <c r="M11" s="33">
        <f>IF($A11="","",IF(COUNTIFS(Platform_Settlements!$C:$C,$A11,Platform_Settlements!$AA:$AA,1)=0,"",_xlfn.MAXIFS(Platform_Settlements!$B:$B,Platform_Settlements!$C:$C,$A11,Platform_Settlements!$AA:$AA,1)))</f>
        <v/>
      </c>
      <c r="N11" s="44">
        <f>IF($A11="","",IF(AND(OR($C11="منصة",$C11="بطاقة"),$L11&gt;S_Tol),IF(S_To-IF($M11="",_xlfn.MINIFS(GL_Journal!$D:$D,GL_Journal!$G:$G,$D11,GL_Journal!$R:$R,1),$M11)&gt;S_PlatDays,1,0),0))</f>
        <v/>
      </c>
      <c r="O11" s="33">
        <f>IF($A11="","",IF(OR($M11="",NOT(ISNUMBER($G11))),"",$M11+$G11))</f>
        <v/>
      </c>
    </row>
    <row r="12">
      <c r="A12" s="39" t="n"/>
      <c r="B12" s="29" t="n"/>
      <c r="C12" s="29" t="n"/>
      <c r="D12" s="39" t="n"/>
      <c r="E12" s="39" t="n"/>
      <c r="F12" s="46" t="n"/>
      <c r="G12" s="29" t="n"/>
      <c r="H12" s="39" t="n"/>
      <c r="I12" s="29" t="n"/>
      <c r="J12" s="32">
        <f>IF($D12="","",IFERROR(INDEX(COA!$B:$B,MATCH($D12,COA!$A:$A,0)),"حساب غير موجود"))</f>
        <v/>
      </c>
      <c r="K12" s="32">
        <f>IF($A12="","",IF(COUNTIF($A:$A,$A12)&gt;1,"كود مكرر",IF(AND($C12&lt;&gt;"نقدي",COUNTIFS(COA!$A:$A,$D12,COA!$R:$R,1)&lt;&gt;1),"حساب التسوية غير صالح",IF(AND($C12="منصة",$E12=""),"المنصة تحتاج حساب عمولة",""))))</f>
        <v/>
      </c>
      <c r="L12" s="47">
        <f>IF($A12="","",IF($C12="نقدي",0,(SUMIFS(GL_Journal!$S:$S,GL_Journal!$G:$G,$D12,GL_Journal!$D:$D,"&lt;="&amp;S_To)-SUMIFS(GL_Journal!$T:$T,GL_Journal!$G:$G,$D12,GL_Journal!$D:$D,"&lt;="&amp;S_To))))</f>
        <v/>
      </c>
      <c r="M12" s="33">
        <f>IF($A12="","",IF(COUNTIFS(Platform_Settlements!$C:$C,$A12,Platform_Settlements!$AA:$AA,1)=0,"",_xlfn.MAXIFS(Platform_Settlements!$B:$B,Platform_Settlements!$C:$C,$A12,Platform_Settlements!$AA:$AA,1)))</f>
        <v/>
      </c>
      <c r="N12" s="44">
        <f>IF($A12="","",IF(AND(OR($C12="منصة",$C12="بطاقة"),$L12&gt;S_Tol),IF(S_To-IF($M12="",_xlfn.MINIFS(GL_Journal!$D:$D,GL_Journal!$G:$G,$D12,GL_Journal!$R:$R,1),$M12)&gt;S_PlatDays,1,0),0))</f>
        <v/>
      </c>
      <c r="O12" s="33">
        <f>IF($A12="","",IF(OR($M12="",NOT(ISNUMBER($G12))),"",$M12+$G12))</f>
        <v/>
      </c>
    </row>
    <row r="13">
      <c r="A13" s="39" t="n"/>
      <c r="B13" s="29" t="n"/>
      <c r="C13" s="29" t="n"/>
      <c r="D13" s="39" t="n"/>
      <c r="E13" s="39" t="n"/>
      <c r="F13" s="46" t="n"/>
      <c r="G13" s="29" t="n"/>
      <c r="H13" s="39" t="n"/>
      <c r="I13" s="29" t="n"/>
      <c r="J13" s="32">
        <f>IF($D13="","",IFERROR(INDEX(COA!$B:$B,MATCH($D13,COA!$A:$A,0)),"حساب غير موجود"))</f>
        <v/>
      </c>
      <c r="K13" s="32">
        <f>IF($A13="","",IF(COUNTIF($A:$A,$A13)&gt;1,"كود مكرر",IF(AND($C13&lt;&gt;"نقدي",COUNTIFS(COA!$A:$A,$D13,COA!$R:$R,1)&lt;&gt;1),"حساب التسوية غير صالح",IF(AND($C13="منصة",$E13=""),"المنصة تحتاج حساب عمولة",""))))</f>
        <v/>
      </c>
      <c r="L13" s="47">
        <f>IF($A13="","",IF($C13="نقدي",0,(SUMIFS(GL_Journal!$S:$S,GL_Journal!$G:$G,$D13,GL_Journal!$D:$D,"&lt;="&amp;S_To)-SUMIFS(GL_Journal!$T:$T,GL_Journal!$G:$G,$D13,GL_Journal!$D:$D,"&lt;="&amp;S_To))))</f>
        <v/>
      </c>
      <c r="M13" s="33">
        <f>IF($A13="","",IF(COUNTIFS(Platform_Settlements!$C:$C,$A13,Platform_Settlements!$AA:$AA,1)=0,"",_xlfn.MAXIFS(Platform_Settlements!$B:$B,Platform_Settlements!$C:$C,$A13,Platform_Settlements!$AA:$AA,1)))</f>
        <v/>
      </c>
      <c r="N13" s="44">
        <f>IF($A13="","",IF(AND(OR($C13="منصة",$C13="بطاقة"),$L13&gt;S_Tol),IF(S_To-IF($M13="",_xlfn.MINIFS(GL_Journal!$D:$D,GL_Journal!$G:$G,$D13,GL_Journal!$R:$R,1),$M13)&gt;S_PlatDays,1,0),0))</f>
        <v/>
      </c>
      <c r="O13" s="33">
        <f>IF($A13="","",IF(OR($M13="",NOT(ISNUMBER($G13))),"",$M13+$G13))</f>
        <v/>
      </c>
    </row>
    <row r="14">
      <c r="A14" s="39" t="n"/>
      <c r="B14" s="29" t="n"/>
      <c r="C14" s="29" t="n"/>
      <c r="D14" s="39" t="n"/>
      <c r="E14" s="39" t="n"/>
      <c r="F14" s="46" t="n"/>
      <c r="G14" s="29" t="n"/>
      <c r="H14" s="39" t="n"/>
      <c r="I14" s="29" t="n"/>
      <c r="J14" s="32">
        <f>IF($D14="","",IFERROR(INDEX(COA!$B:$B,MATCH($D14,COA!$A:$A,0)),"حساب غير موجود"))</f>
        <v/>
      </c>
      <c r="K14" s="32">
        <f>IF($A14="","",IF(COUNTIF($A:$A,$A14)&gt;1,"كود مكرر",IF(AND($C14&lt;&gt;"نقدي",COUNTIFS(COA!$A:$A,$D14,COA!$R:$R,1)&lt;&gt;1),"حساب التسوية غير صالح",IF(AND($C14="منصة",$E14=""),"المنصة تحتاج حساب عمولة",""))))</f>
        <v/>
      </c>
      <c r="L14" s="47">
        <f>IF($A14="","",IF($C14="نقدي",0,(SUMIFS(GL_Journal!$S:$S,GL_Journal!$G:$G,$D14,GL_Journal!$D:$D,"&lt;="&amp;S_To)-SUMIFS(GL_Journal!$T:$T,GL_Journal!$G:$G,$D14,GL_Journal!$D:$D,"&lt;="&amp;S_To))))</f>
        <v/>
      </c>
      <c r="M14" s="33">
        <f>IF($A14="","",IF(COUNTIFS(Platform_Settlements!$C:$C,$A14,Platform_Settlements!$AA:$AA,1)=0,"",_xlfn.MAXIFS(Platform_Settlements!$B:$B,Platform_Settlements!$C:$C,$A14,Platform_Settlements!$AA:$AA,1)))</f>
        <v/>
      </c>
      <c r="N14" s="44">
        <f>IF($A14="","",IF(AND(OR($C14="منصة",$C14="بطاقة"),$L14&gt;S_Tol),IF(S_To-IF($M14="",_xlfn.MINIFS(GL_Journal!$D:$D,GL_Journal!$G:$G,$D14,GL_Journal!$R:$R,1),$M14)&gt;S_PlatDays,1,0),0))</f>
        <v/>
      </c>
      <c r="O14" s="33">
        <f>IF($A14="","",IF(OR($M14="",NOT(ISNUMBER($G14))),"",$M14+$G14))</f>
        <v/>
      </c>
    </row>
    <row r="15">
      <c r="A15" s="39" t="n"/>
      <c r="B15" s="29" t="n"/>
      <c r="C15" s="29" t="n"/>
      <c r="D15" s="39" t="n"/>
      <c r="E15" s="39" t="n"/>
      <c r="F15" s="46" t="n"/>
      <c r="G15" s="29" t="n"/>
      <c r="H15" s="39" t="n"/>
      <c r="I15" s="29" t="n"/>
      <c r="J15" s="32">
        <f>IF($D15="","",IFERROR(INDEX(COA!$B:$B,MATCH($D15,COA!$A:$A,0)),"حساب غير موجود"))</f>
        <v/>
      </c>
      <c r="K15" s="32">
        <f>IF($A15="","",IF(COUNTIF($A:$A,$A15)&gt;1,"كود مكرر",IF(AND($C15&lt;&gt;"نقدي",COUNTIFS(COA!$A:$A,$D15,COA!$R:$R,1)&lt;&gt;1),"حساب التسوية غير صالح",IF(AND($C15="منصة",$E15=""),"المنصة تحتاج حساب عمولة",""))))</f>
        <v/>
      </c>
      <c r="L15" s="47">
        <f>IF($A15="","",IF($C15="نقدي",0,(SUMIFS(GL_Journal!$S:$S,GL_Journal!$G:$G,$D15,GL_Journal!$D:$D,"&lt;="&amp;S_To)-SUMIFS(GL_Journal!$T:$T,GL_Journal!$G:$G,$D15,GL_Journal!$D:$D,"&lt;="&amp;S_To))))</f>
        <v/>
      </c>
      <c r="M15" s="33">
        <f>IF($A15="","",IF(COUNTIFS(Platform_Settlements!$C:$C,$A15,Platform_Settlements!$AA:$AA,1)=0,"",_xlfn.MAXIFS(Platform_Settlements!$B:$B,Platform_Settlements!$C:$C,$A15,Platform_Settlements!$AA:$AA,1)))</f>
        <v/>
      </c>
      <c r="N15" s="44">
        <f>IF($A15="","",IF(AND(OR($C15="منصة",$C15="بطاقة"),$L15&gt;S_Tol),IF(S_To-IF($M15="",_xlfn.MINIFS(GL_Journal!$D:$D,GL_Journal!$G:$G,$D15,GL_Journal!$R:$R,1),$M15)&gt;S_PlatDays,1,0),0))</f>
        <v/>
      </c>
      <c r="O15" s="33">
        <f>IF($A15="","",IF(OR($M15="",NOT(ISNUMBER($G15))),"",$M15+$G15))</f>
        <v/>
      </c>
    </row>
    <row r="16">
      <c r="A16" s="39" t="n"/>
      <c r="B16" s="29" t="n"/>
      <c r="C16" s="29" t="n"/>
      <c r="D16" s="39" t="n"/>
      <c r="E16" s="39" t="n"/>
      <c r="F16" s="46" t="n"/>
      <c r="G16" s="29" t="n"/>
      <c r="H16" s="39" t="n"/>
      <c r="I16" s="29" t="n"/>
      <c r="J16" s="32">
        <f>IF($D16="","",IFERROR(INDEX(COA!$B:$B,MATCH($D16,COA!$A:$A,0)),"حساب غير موجود"))</f>
        <v/>
      </c>
      <c r="K16" s="32">
        <f>IF($A16="","",IF(COUNTIF($A:$A,$A16)&gt;1,"كود مكرر",IF(AND($C16&lt;&gt;"نقدي",COUNTIFS(COA!$A:$A,$D16,COA!$R:$R,1)&lt;&gt;1),"حساب التسوية غير صالح",IF(AND($C16="منصة",$E16=""),"المنصة تحتاج حساب عمولة",""))))</f>
        <v/>
      </c>
      <c r="L16" s="47">
        <f>IF($A16="","",IF($C16="نقدي",0,(SUMIFS(GL_Journal!$S:$S,GL_Journal!$G:$G,$D16,GL_Journal!$D:$D,"&lt;="&amp;S_To)-SUMIFS(GL_Journal!$T:$T,GL_Journal!$G:$G,$D16,GL_Journal!$D:$D,"&lt;="&amp;S_To))))</f>
        <v/>
      </c>
      <c r="M16" s="33">
        <f>IF($A16="","",IF(COUNTIFS(Platform_Settlements!$C:$C,$A16,Platform_Settlements!$AA:$AA,1)=0,"",_xlfn.MAXIFS(Platform_Settlements!$B:$B,Platform_Settlements!$C:$C,$A16,Platform_Settlements!$AA:$AA,1)))</f>
        <v/>
      </c>
      <c r="N16" s="44">
        <f>IF($A16="","",IF(AND(OR($C16="منصة",$C16="بطاقة"),$L16&gt;S_Tol),IF(S_To-IF($M16="",_xlfn.MINIFS(GL_Journal!$D:$D,GL_Journal!$G:$G,$D16,GL_Journal!$R:$R,1),$M16)&gt;S_PlatDays,1,0),0))</f>
        <v/>
      </c>
      <c r="O16" s="33">
        <f>IF($A16="","",IF(OR($M16="",NOT(ISNUMBER($G16))),"",$M16+$G16))</f>
        <v/>
      </c>
    </row>
    <row r="17">
      <c r="A17" s="39" t="n"/>
      <c r="B17" s="29" t="n"/>
      <c r="C17" s="29" t="n"/>
      <c r="D17" s="39" t="n"/>
      <c r="E17" s="39" t="n"/>
      <c r="F17" s="46" t="n"/>
      <c r="G17" s="29" t="n"/>
      <c r="H17" s="39" t="n"/>
      <c r="I17" s="29" t="n"/>
      <c r="J17" s="32">
        <f>IF($D17="","",IFERROR(INDEX(COA!$B:$B,MATCH($D17,COA!$A:$A,0)),"حساب غير موجود"))</f>
        <v/>
      </c>
      <c r="K17" s="32">
        <f>IF($A17="","",IF(COUNTIF($A:$A,$A17)&gt;1,"كود مكرر",IF(AND($C17&lt;&gt;"نقدي",COUNTIFS(COA!$A:$A,$D17,COA!$R:$R,1)&lt;&gt;1),"حساب التسوية غير صالح",IF(AND($C17="منصة",$E17=""),"المنصة تحتاج حساب عمولة",""))))</f>
        <v/>
      </c>
      <c r="L17" s="47">
        <f>IF($A17="","",IF($C17="نقدي",0,(SUMIFS(GL_Journal!$S:$S,GL_Journal!$G:$G,$D17,GL_Journal!$D:$D,"&lt;="&amp;S_To)-SUMIFS(GL_Journal!$T:$T,GL_Journal!$G:$G,$D17,GL_Journal!$D:$D,"&lt;="&amp;S_To))))</f>
        <v/>
      </c>
      <c r="M17" s="33">
        <f>IF($A17="","",IF(COUNTIFS(Platform_Settlements!$C:$C,$A17,Platform_Settlements!$AA:$AA,1)=0,"",_xlfn.MAXIFS(Platform_Settlements!$B:$B,Platform_Settlements!$C:$C,$A17,Platform_Settlements!$AA:$AA,1)))</f>
        <v/>
      </c>
      <c r="N17" s="44">
        <f>IF($A17="","",IF(AND(OR($C17="منصة",$C17="بطاقة"),$L17&gt;S_Tol),IF(S_To-IF($M17="",_xlfn.MINIFS(GL_Journal!$D:$D,GL_Journal!$G:$G,$D17,GL_Journal!$R:$R,1),$M17)&gt;S_PlatDays,1,0),0))</f>
        <v/>
      </c>
      <c r="O17" s="33">
        <f>IF($A17="","",IF(OR($M17="",NOT(ISNUMBER($G17))),"",$M17+$G17))</f>
        <v/>
      </c>
    </row>
    <row r="18">
      <c r="A18" s="39" t="n"/>
      <c r="B18" s="29" t="n"/>
      <c r="C18" s="29" t="n"/>
      <c r="D18" s="39" t="n"/>
      <c r="E18" s="39" t="n"/>
      <c r="F18" s="46" t="n"/>
      <c r="G18" s="29" t="n"/>
      <c r="H18" s="39" t="n"/>
      <c r="I18" s="29" t="n"/>
      <c r="J18" s="32">
        <f>IF($D18="","",IFERROR(INDEX(COA!$B:$B,MATCH($D18,COA!$A:$A,0)),"حساب غير موجود"))</f>
        <v/>
      </c>
      <c r="K18" s="32">
        <f>IF($A18="","",IF(COUNTIF($A:$A,$A18)&gt;1,"كود مكرر",IF(AND($C18&lt;&gt;"نقدي",COUNTIFS(COA!$A:$A,$D18,COA!$R:$R,1)&lt;&gt;1),"حساب التسوية غير صالح",IF(AND($C18="منصة",$E18=""),"المنصة تحتاج حساب عمولة",""))))</f>
        <v/>
      </c>
      <c r="L18" s="47">
        <f>IF($A18="","",IF($C18="نقدي",0,(SUMIFS(GL_Journal!$S:$S,GL_Journal!$G:$G,$D18,GL_Journal!$D:$D,"&lt;="&amp;S_To)-SUMIFS(GL_Journal!$T:$T,GL_Journal!$G:$G,$D18,GL_Journal!$D:$D,"&lt;="&amp;S_To))))</f>
        <v/>
      </c>
      <c r="M18" s="33">
        <f>IF($A18="","",IF(COUNTIFS(Platform_Settlements!$C:$C,$A18,Platform_Settlements!$AA:$AA,1)=0,"",_xlfn.MAXIFS(Platform_Settlements!$B:$B,Platform_Settlements!$C:$C,$A18,Platform_Settlements!$AA:$AA,1)))</f>
        <v/>
      </c>
      <c r="N18" s="44">
        <f>IF($A18="","",IF(AND(OR($C18="منصة",$C18="بطاقة"),$L18&gt;S_Tol),IF(S_To-IF($M18="",_xlfn.MINIFS(GL_Journal!$D:$D,GL_Journal!$G:$G,$D18,GL_Journal!$R:$R,1),$M18)&gt;S_PlatDays,1,0),0))</f>
        <v/>
      </c>
      <c r="O18" s="33">
        <f>IF($A18="","",IF(OR($M18="",NOT(ISNUMBER($G18))),"",$M18+$G18))</f>
        <v/>
      </c>
    </row>
    <row r="19">
      <c r="A19" s="39" t="n"/>
      <c r="B19" s="29" t="n"/>
      <c r="C19" s="29" t="n"/>
      <c r="D19" s="39" t="n"/>
      <c r="E19" s="39" t="n"/>
      <c r="F19" s="46" t="n"/>
      <c r="G19" s="29" t="n"/>
      <c r="H19" s="39" t="n"/>
      <c r="I19" s="29" t="n"/>
      <c r="J19" s="32">
        <f>IF($D19="","",IFERROR(INDEX(COA!$B:$B,MATCH($D19,COA!$A:$A,0)),"حساب غير موجود"))</f>
        <v/>
      </c>
      <c r="K19" s="32">
        <f>IF($A19="","",IF(COUNTIF($A:$A,$A19)&gt;1,"كود مكرر",IF(AND($C19&lt;&gt;"نقدي",COUNTIFS(COA!$A:$A,$D19,COA!$R:$R,1)&lt;&gt;1),"حساب التسوية غير صالح",IF(AND($C19="منصة",$E19=""),"المنصة تحتاج حساب عمولة",""))))</f>
        <v/>
      </c>
      <c r="L19" s="47">
        <f>IF($A19="","",IF($C19="نقدي",0,(SUMIFS(GL_Journal!$S:$S,GL_Journal!$G:$G,$D19,GL_Journal!$D:$D,"&lt;="&amp;S_To)-SUMIFS(GL_Journal!$T:$T,GL_Journal!$G:$G,$D19,GL_Journal!$D:$D,"&lt;="&amp;S_To))))</f>
        <v/>
      </c>
      <c r="M19" s="33">
        <f>IF($A19="","",IF(COUNTIFS(Platform_Settlements!$C:$C,$A19,Platform_Settlements!$AA:$AA,1)=0,"",_xlfn.MAXIFS(Platform_Settlements!$B:$B,Platform_Settlements!$C:$C,$A19,Platform_Settlements!$AA:$AA,1)))</f>
        <v/>
      </c>
      <c r="N19" s="44">
        <f>IF($A19="","",IF(AND(OR($C19="منصة",$C19="بطاقة"),$L19&gt;S_Tol),IF(S_To-IF($M19="",_xlfn.MINIFS(GL_Journal!$D:$D,GL_Journal!$G:$G,$D19,GL_Journal!$R:$R,1),$M19)&gt;S_PlatDays,1,0),0))</f>
        <v/>
      </c>
      <c r="O19" s="33">
        <f>IF($A19="","",IF(OR($M19="",NOT(ISNUMBER($G19))),"",$M19+$G19))</f>
        <v/>
      </c>
    </row>
  </sheetData>
  <sheetProtection selectLockedCells="0" selectUnlockedCells="0" sheet="1" objects="0" insertRows="1" insertHyperlinks="1" autoFilter="0" scenarios="0" formatColumns="0" deleteColumns="1" insertColumns="1" pivotTables="1" deleteRows="1" formatCells="0" formatRows="0" sort="1"/>
  <autoFilter ref="A4:O19"/>
  <conditionalFormatting sqref="K5:K19">
    <cfRule type="expression" priority="1" dxfId="3">
      <formula>LEN(K5)&gt;0</formula>
    </cfRule>
  </conditionalFormatting>
  <dataValidations count="5">
    <dataValidation sqref="C5:C19" showDropDown="0" showInputMessage="0" showErrorMessage="1" allowBlank="1" errorTitle="قيمة غير مسموحة" error="اختر قيمة من القائمة المنسدلة." type="list">
      <formula1>=Lists!$AM$5:$AM$8</formula1>
    </dataValidation>
    <dataValidation sqref="D5:D19" showDropDown="0" showInputMessage="0" showErrorMessage="1" allowBlank="1" errorTitle="قيمة غير مسموحة" error="اختر قيمة من القائمة المنسدلة." type="list">
      <formula1>=COA!$A$5:$A$254</formula1>
    </dataValidation>
    <dataValidation sqref="E5:E19" showDropDown="0" showInputMessage="0" showErrorMessage="1" allowBlank="1" errorTitle="قيمة غير مسموحة" error="اختر قيمة من القائمة المنسدلة." type="list">
      <formula1>=COA!$A$5:$A$254</formula1>
    </dataValidation>
    <dataValidation sqref="G5:G19" showDropDown="0" showInputMessage="0" showErrorMessage="1" allowBlank="1" error="أدخل عددًا صحيحًا موجبًا." type="whole" operator="greaterThanOrEqual">
      <formula1>0</formula1>
    </dataValidation>
    <dataValidation sqref="H5:H19" showDropDown="0" showInputMessage="0" showErrorMessage="1" allowBlank="1" errorTitle="قيمة غير مسموحة" error="اختر قيمة من القائمة المنسدلة." type="list">
      <formula1>=Lists!$R$5:$R$6</formula1>
    </dataValidation>
  </dataValidations>
  <pageMargins left="0.75" right="0.75" top="1" bottom="1" header="0.5" footer="0.5"/>
  <pageSetup orientation="landscape" fitToHeight="0" fitToWidth="1"/>
</worksheet>
</file>

<file path=xl/worksheets/sheet20.xml><?xml version="1.0" encoding="utf-8"?>
<worksheet xmlns="http://schemas.openxmlformats.org/spreadsheetml/2006/main">
  <sheetPr>
    <tabColor rgb="002E75B6"/>
    <outlinePr summaryBelow="1" summaryRight="1"/>
    <pageSetUpPr fitToPage="1"/>
  </sheetPr>
  <dimension ref="A1:H3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7" customWidth="1" min="3" max="3"/>
    <col width="30" customWidth="1" min="4" max="4"/>
    <col width="30" customWidth="1" min="5" max="5"/>
  </cols>
  <sheetData>
    <row r="1" ht="26" customHeight="1">
      <c r="A1" s="22" t="inlineStr">
        <is>
          <t>مراكز التكلفة (Cost Centers)</t>
        </is>
      </c>
      <c r="B1" s="1" t="n"/>
      <c r="C1" s="1" t="n"/>
      <c r="D1" s="1" t="n"/>
      <c r="E1" s="1" t="n"/>
      <c r="F1" s="1" t="n"/>
      <c r="G1" s="1" t="n"/>
      <c r="H1" s="1" t="n"/>
    </row>
    <row r="2">
      <c r="A2" s="35" t="inlineStr">
        <is>
          <t>مراكز التكلفة تتيح تحليل المصروفات حسب الوظيفة بعيدًا عن الفرع.</t>
        </is>
      </c>
    </row>
    <row r="3">
      <c r="A3" s="36" t="inlineStr">
        <is>
          <t>خلايا الإدخال</t>
        </is>
      </c>
      <c r="B3" s="37" t="inlineStr">
        <is>
          <t>معادلات (لا تعدّل)</t>
        </is>
      </c>
    </row>
    <row r="4" ht="34" customHeight="1">
      <c r="A4" s="24" t="inlineStr">
        <is>
          <t>كود المركز</t>
        </is>
      </c>
      <c r="B4" s="24" t="inlineStr">
        <is>
          <t>الاسم</t>
        </is>
      </c>
      <c r="C4" s="24" t="inlineStr">
        <is>
          <t>نشط</t>
        </is>
      </c>
      <c r="D4" s="24" t="inlineStr">
        <is>
          <t>ملاحظات</t>
        </is>
      </c>
      <c r="E4" s="38" t="inlineStr">
        <is>
          <t>فحص</t>
        </is>
      </c>
    </row>
    <row r="5">
      <c r="A5" s="39" t="inlineStr">
        <is>
          <t>CC00</t>
        </is>
      </c>
      <c r="B5" s="29" t="inlineStr">
        <is>
          <t>عام / غير موزع</t>
        </is>
      </c>
      <c r="C5" s="39" t="inlineStr">
        <is>
          <t>نعم</t>
        </is>
      </c>
      <c r="D5" s="29" t="n"/>
      <c r="E5" s="32">
        <f>IF($A5="","",IF(COUNTIF($A:$A,$A5)&gt;1,"كود مكرر",""))</f>
        <v/>
      </c>
    </row>
    <row r="6">
      <c r="A6" s="39" t="inlineStr">
        <is>
          <t>CC10</t>
        </is>
      </c>
      <c r="B6" s="29" t="inlineStr">
        <is>
          <t>تشغيل الفروع</t>
        </is>
      </c>
      <c r="C6" s="39" t="inlineStr">
        <is>
          <t>نعم</t>
        </is>
      </c>
      <c r="D6" s="29" t="n"/>
      <c r="E6" s="32">
        <f>IF($A6="","",IF(COUNTIF($A:$A,$A6)&gt;1,"كود مكرر",""))</f>
        <v/>
      </c>
    </row>
    <row r="7">
      <c r="A7" s="39" t="inlineStr">
        <is>
          <t>CC20</t>
        </is>
      </c>
      <c r="B7" s="29" t="inlineStr">
        <is>
          <t>الإنتاج - سنتر كيتشن</t>
        </is>
      </c>
      <c r="C7" s="39" t="inlineStr">
        <is>
          <t>نعم</t>
        </is>
      </c>
      <c r="D7" s="29" t="n"/>
      <c r="E7" s="32">
        <f>IF($A7="","",IF(COUNTIF($A:$A,$A7)&gt;1,"كود مكرر",""))</f>
        <v/>
      </c>
    </row>
    <row r="8">
      <c r="A8" s="39" t="inlineStr">
        <is>
          <t>CC30</t>
        </is>
      </c>
      <c r="B8" s="29" t="inlineStr">
        <is>
          <t>التوصيل</t>
        </is>
      </c>
      <c r="C8" s="39" t="inlineStr">
        <is>
          <t>نعم</t>
        </is>
      </c>
      <c r="D8" s="29" t="n"/>
      <c r="E8" s="32">
        <f>IF($A8="","",IF(COUNTIF($A:$A,$A8)&gt;1,"كود مكرر",""))</f>
        <v/>
      </c>
    </row>
    <row r="9">
      <c r="A9" s="39" t="inlineStr">
        <is>
          <t>CC40</t>
        </is>
      </c>
      <c r="B9" s="29" t="inlineStr">
        <is>
          <t>التسويق</t>
        </is>
      </c>
      <c r="C9" s="39" t="inlineStr">
        <is>
          <t>نعم</t>
        </is>
      </c>
      <c r="D9" s="29" t="n"/>
      <c r="E9" s="32">
        <f>IF($A9="","",IF(COUNTIF($A:$A,$A9)&gt;1,"كود مكرر",""))</f>
        <v/>
      </c>
    </row>
    <row r="10">
      <c r="A10" s="39" t="inlineStr">
        <is>
          <t>CC50</t>
        </is>
      </c>
      <c r="B10" s="29" t="inlineStr">
        <is>
          <t>الإدارة والمحاسبة</t>
        </is>
      </c>
      <c r="C10" s="39" t="inlineStr">
        <is>
          <t>نعم</t>
        </is>
      </c>
      <c r="D10" s="29" t="n"/>
      <c r="E10" s="32">
        <f>IF($A10="","",IF(COUNTIF($A:$A,$A10)&gt;1,"كود مكرر",""))</f>
        <v/>
      </c>
    </row>
    <row r="11">
      <c r="A11" s="39" t="inlineStr">
        <is>
          <t>CC60</t>
        </is>
      </c>
      <c r="B11" s="29" t="inlineStr">
        <is>
          <t>الصيانة</t>
        </is>
      </c>
      <c r="C11" s="39" t="inlineStr">
        <is>
          <t>نعم</t>
        </is>
      </c>
      <c r="D11" s="29" t="n"/>
      <c r="E11" s="32">
        <f>IF($A11="","",IF(COUNTIF($A:$A,$A11)&gt;1,"كود مكرر",""))</f>
        <v/>
      </c>
    </row>
    <row r="12">
      <c r="A12" s="39" t="inlineStr">
        <is>
          <t>CC70</t>
        </is>
      </c>
      <c r="B12" s="29" t="inlineStr">
        <is>
          <t>المخازن</t>
        </is>
      </c>
      <c r="C12" s="39" t="inlineStr">
        <is>
          <t>نعم</t>
        </is>
      </c>
      <c r="D12" s="29" t="n"/>
      <c r="E12" s="32">
        <f>IF($A12="","",IF(COUNTIF($A:$A,$A12)&gt;1,"كود مكرر",""))</f>
        <v/>
      </c>
    </row>
    <row r="13">
      <c r="A13" s="39" t="n"/>
      <c r="B13" s="29" t="n"/>
      <c r="C13" s="39" t="n"/>
      <c r="D13" s="29" t="n"/>
      <c r="E13" s="32">
        <f>IF($A13="","",IF(COUNTIF($A:$A,$A13)&gt;1,"كود مكرر",""))</f>
        <v/>
      </c>
    </row>
    <row r="14">
      <c r="A14" s="39" t="n"/>
      <c r="B14" s="29" t="n"/>
      <c r="C14" s="39" t="n"/>
      <c r="D14" s="29" t="n"/>
      <c r="E14" s="32">
        <f>IF($A14="","",IF(COUNTIF($A:$A,$A14)&gt;1,"كود مكرر",""))</f>
        <v/>
      </c>
    </row>
    <row r="15">
      <c r="A15" s="39" t="n"/>
      <c r="B15" s="29" t="n"/>
      <c r="C15" s="39" t="n"/>
      <c r="D15" s="29" t="n"/>
      <c r="E15" s="32">
        <f>IF($A15="","",IF(COUNTIF($A:$A,$A15)&gt;1,"كود مكرر",""))</f>
        <v/>
      </c>
    </row>
    <row r="16">
      <c r="A16" s="39" t="n"/>
      <c r="B16" s="29" t="n"/>
      <c r="C16" s="39" t="n"/>
      <c r="D16" s="29" t="n"/>
      <c r="E16" s="32">
        <f>IF($A16="","",IF(COUNTIF($A:$A,$A16)&gt;1,"كود مكرر",""))</f>
        <v/>
      </c>
    </row>
    <row r="17">
      <c r="A17" s="39" t="n"/>
      <c r="B17" s="29" t="n"/>
      <c r="C17" s="39" t="n"/>
      <c r="D17" s="29" t="n"/>
      <c r="E17" s="32">
        <f>IF($A17="","",IF(COUNTIF($A:$A,$A17)&gt;1,"كود مكرر",""))</f>
        <v/>
      </c>
    </row>
    <row r="18">
      <c r="A18" s="39" t="n"/>
      <c r="B18" s="29" t="n"/>
      <c r="C18" s="39" t="n"/>
      <c r="D18" s="29" t="n"/>
      <c r="E18" s="32">
        <f>IF($A18="","",IF(COUNTIF($A:$A,$A18)&gt;1,"كود مكرر",""))</f>
        <v/>
      </c>
    </row>
    <row r="19">
      <c r="A19" s="39" t="n"/>
      <c r="B19" s="29" t="n"/>
      <c r="C19" s="39" t="n"/>
      <c r="D19" s="29" t="n"/>
      <c r="E19" s="32">
        <f>IF($A19="","",IF(COUNTIF($A:$A,$A19)&gt;1,"كود مكرر",""))</f>
        <v/>
      </c>
    </row>
    <row r="20">
      <c r="A20" s="39" t="n"/>
      <c r="B20" s="29" t="n"/>
      <c r="C20" s="39" t="n"/>
      <c r="D20" s="29" t="n"/>
      <c r="E20" s="32">
        <f>IF($A20="","",IF(COUNTIF($A:$A,$A20)&gt;1,"كود مكرر",""))</f>
        <v/>
      </c>
    </row>
    <row r="21">
      <c r="A21" s="39" t="n"/>
      <c r="B21" s="29" t="n"/>
      <c r="C21" s="39" t="n"/>
      <c r="D21" s="29" t="n"/>
      <c r="E21" s="32">
        <f>IF($A21="","",IF(COUNTIF($A:$A,$A21)&gt;1,"كود مكرر",""))</f>
        <v/>
      </c>
    </row>
    <row r="22">
      <c r="A22" s="39" t="n"/>
      <c r="B22" s="29" t="n"/>
      <c r="C22" s="39" t="n"/>
      <c r="D22" s="29" t="n"/>
      <c r="E22" s="32">
        <f>IF($A22="","",IF(COUNTIF($A:$A,$A22)&gt;1,"كود مكرر",""))</f>
        <v/>
      </c>
    </row>
    <row r="23">
      <c r="A23" s="39" t="n"/>
      <c r="B23" s="29" t="n"/>
      <c r="C23" s="39" t="n"/>
      <c r="D23" s="29" t="n"/>
      <c r="E23" s="32">
        <f>IF($A23="","",IF(COUNTIF($A:$A,$A23)&gt;1,"كود مكرر",""))</f>
        <v/>
      </c>
    </row>
    <row r="24">
      <c r="A24" s="39" t="n"/>
      <c r="B24" s="29" t="n"/>
      <c r="C24" s="39" t="n"/>
      <c r="D24" s="29" t="n"/>
      <c r="E24" s="32">
        <f>IF($A24="","",IF(COUNTIF($A:$A,$A24)&gt;1,"كود مكرر",""))</f>
        <v/>
      </c>
    </row>
    <row r="25">
      <c r="A25" s="39" t="n"/>
      <c r="B25" s="29" t="n"/>
      <c r="C25" s="39" t="n"/>
      <c r="D25" s="29" t="n"/>
      <c r="E25" s="32">
        <f>IF($A25="","",IF(COUNTIF($A:$A,$A25)&gt;1,"كود مكرر",""))</f>
        <v/>
      </c>
    </row>
    <row r="26">
      <c r="A26" s="39" t="n"/>
      <c r="B26" s="29" t="n"/>
      <c r="C26" s="39" t="n"/>
      <c r="D26" s="29" t="n"/>
      <c r="E26" s="32">
        <f>IF($A26="","",IF(COUNTIF($A:$A,$A26)&gt;1,"كود مكرر",""))</f>
        <v/>
      </c>
    </row>
    <row r="27">
      <c r="A27" s="39" t="n"/>
      <c r="B27" s="29" t="n"/>
      <c r="C27" s="39" t="n"/>
      <c r="D27" s="29" t="n"/>
      <c r="E27" s="32">
        <f>IF($A27="","",IF(COUNTIF($A:$A,$A27)&gt;1,"كود مكرر",""))</f>
        <v/>
      </c>
    </row>
    <row r="28">
      <c r="A28" s="39" t="n"/>
      <c r="B28" s="29" t="n"/>
      <c r="C28" s="39" t="n"/>
      <c r="D28" s="29" t="n"/>
      <c r="E28" s="32">
        <f>IF($A28="","",IF(COUNTIF($A:$A,$A28)&gt;1,"كود مكرر",""))</f>
        <v/>
      </c>
    </row>
    <row r="29">
      <c r="A29" s="39" t="n"/>
      <c r="B29" s="29" t="n"/>
      <c r="C29" s="39" t="n"/>
      <c r="D29" s="29" t="n"/>
      <c r="E29" s="32">
        <f>IF($A29="","",IF(COUNTIF($A:$A,$A29)&gt;1,"كود مكرر",""))</f>
        <v/>
      </c>
    </row>
    <row r="30">
      <c r="A30" s="39" t="n"/>
      <c r="B30" s="29" t="n"/>
      <c r="C30" s="39" t="n"/>
      <c r="D30" s="29" t="n"/>
      <c r="E30" s="32">
        <f>IF($A30="","",IF(COUNTIF($A:$A,$A30)&gt;1,"كود مكرر",""))</f>
        <v/>
      </c>
    </row>
    <row r="31">
      <c r="A31" s="39" t="n"/>
      <c r="B31" s="29" t="n"/>
      <c r="C31" s="39" t="n"/>
      <c r="D31" s="29" t="n"/>
      <c r="E31" s="32">
        <f>IF($A31="","",IF(COUNTIF($A:$A,$A31)&gt;1,"كود مكرر",""))</f>
        <v/>
      </c>
    </row>
    <row r="32">
      <c r="A32" s="39" t="n"/>
      <c r="B32" s="29" t="n"/>
      <c r="C32" s="39" t="n"/>
      <c r="D32" s="29" t="n"/>
      <c r="E32" s="32">
        <f>IF($A32="","",IF(COUNTIF($A:$A,$A32)&gt;1,"كود مكرر",""))</f>
        <v/>
      </c>
    </row>
    <row r="33">
      <c r="A33" s="39" t="n"/>
      <c r="B33" s="29" t="n"/>
      <c r="C33" s="39" t="n"/>
      <c r="D33" s="29" t="n"/>
      <c r="E33" s="32">
        <f>IF($A33="","",IF(COUNTIF($A:$A,$A33)&gt;1,"كود مكرر",""))</f>
        <v/>
      </c>
    </row>
    <row r="34">
      <c r="A34" s="39" t="n"/>
      <c r="B34" s="29" t="n"/>
      <c r="C34" s="39" t="n"/>
      <c r="D34" s="29" t="n"/>
      <c r="E34" s="32">
        <f>IF($A34="","",IF(COUNTIF($A:$A,$A34)&gt;1,"كود مكرر",""))</f>
        <v/>
      </c>
    </row>
  </sheetData>
  <sheetProtection selectLockedCells="0" selectUnlockedCells="0" sheet="1" objects="0" insertRows="1" insertHyperlinks="1" autoFilter="0" scenarios="0" formatColumns="0" deleteColumns="1" insertColumns="1" pivotTables="1" deleteRows="1" formatCells="0" formatRows="0" sort="1"/>
  <autoFilter ref="A4:E34"/>
  <conditionalFormatting sqref="E5:E34">
    <cfRule type="expression" priority="1" dxfId="3">
      <formula>LEN(E5)&gt;0</formula>
    </cfRule>
  </conditionalFormatting>
  <dataValidations count="1">
    <dataValidation sqref="C5:C34" showDropDown="0" showInputMessage="0" showErrorMessage="1" allowBlank="1" errorTitle="قيمة غير مسموحة" error="اختر قيمة من القائمة المنسدلة." type="list">
      <formula1>=Lists!$R$5:$R$6</formula1>
    </dataValidation>
  </dataValidations>
  <pageMargins left="0.75" right="0.75" top="1" bottom="1" header="0.5" footer="0.5"/>
  <pageSetup orientation="landscape" fitToHeight="0" fitToWidth="1"/>
</worksheet>
</file>

<file path=xl/worksheets/sheet21.xml><?xml version="1.0" encoding="utf-8"?>
<worksheet xmlns="http://schemas.openxmlformats.org/spreadsheetml/2006/main">
  <sheetPr>
    <tabColor rgb="007F7F7F"/>
    <outlinePr summaryBelow="1" summaryRight="1"/>
    <pageSetUpPr/>
  </sheetPr>
  <dimension ref="A1:D14"/>
  <sheetViews>
    <sheetView rightToLeft="1" workbookViewId="0">
      <selection activeCell="A1" sqref="A1"/>
    </sheetView>
  </sheetViews>
  <sheetFormatPr baseColWidth="8" defaultRowHeight="15"/>
  <cols>
    <col width="44" customWidth="1" min="2" max="2"/>
    <col width="18" customWidth="1" min="3" max="3"/>
    <col width="80" customWidth="1" min="4" max="4"/>
  </cols>
  <sheetData>
    <row r="1">
      <c r="A1" s="22" t="inlineStr">
        <is>
          <t>إعدادات الضرائب (Tax Settings) - إن انطبقت</t>
        </is>
      </c>
      <c r="B1" s="1" t="n"/>
      <c r="C1" s="1" t="n"/>
      <c r="D1" s="1" t="n"/>
    </row>
    <row r="2">
      <c r="A2" s="48" t="inlineStr">
        <is>
          <t>تنبيه: لم تتم مراجعة المعالجة الضريبية مع محاسب قانوني مصري. الافتراضي في النسخة الأولى = ضريبة القيمة المضافة غير مفعّلة.</t>
        </is>
      </c>
    </row>
    <row r="4">
      <c r="B4" s="27" t="inlineStr">
        <is>
          <t>البند</t>
        </is>
      </c>
      <c r="C4" s="27" t="inlineStr">
        <is>
          <t>القيمة</t>
        </is>
      </c>
      <c r="D4" s="27" t="inlineStr">
        <is>
          <t>ملاحظات</t>
        </is>
      </c>
    </row>
    <row r="5">
      <c r="B5" s="28" t="inlineStr">
        <is>
          <t>تفعيل ضريبة القيمة المضافة؟</t>
        </is>
      </c>
      <c r="C5" s="49" t="inlineStr">
        <is>
          <t>لا</t>
        </is>
      </c>
      <c r="D5" s="50" t="inlineStr">
        <is>
          <t>إذا (نعم): تعتبر مبالغ المبيعات والمشتريات شاملة للضريبة وتفصل المعادلات الضريبة تلقائيًا في قيد المبيعات.</t>
        </is>
      </c>
    </row>
    <row r="6">
      <c r="B6" s="28" t="inlineStr">
        <is>
          <t>نسبة ضريبة القيمة المضافة</t>
        </is>
      </c>
      <c r="C6" s="51" t="n">
        <v>0.14</v>
      </c>
      <c r="D6" s="50" t="inlineStr">
        <is>
          <t>النسبة القياسية المفترضة 14% - تحقق منها مع المحاسب القانوني</t>
        </is>
      </c>
    </row>
    <row r="7">
      <c r="B7" s="28" t="inlineStr">
        <is>
          <t>معامل الفصل (آلي)</t>
        </is>
      </c>
      <c r="C7" s="52">
        <f>IF(S_VATOn="نعم",1+S_VATRate,1)</f>
        <v/>
      </c>
      <c r="D7" s="50" t="inlineStr">
        <is>
          <t>قيمة الإيراد بدون ضريبة = المبلغ الشامل ÷ هذا المعامل</t>
        </is>
      </c>
    </row>
    <row r="8">
      <c r="B8" s="28" t="inlineStr">
        <is>
          <t>حساب ضريبة المخرجات</t>
        </is>
      </c>
      <c r="C8" s="52">
        <f>ACC_VAT_OUT</f>
        <v/>
      </c>
      <c r="D8" s="50" t="inlineStr">
        <is>
          <t>من خريطة الحسابات (ورقة Posting_Rules)</t>
        </is>
      </c>
    </row>
    <row r="9">
      <c r="B9" s="28" t="inlineStr">
        <is>
          <t>حساب ضريبة المدخلات</t>
        </is>
      </c>
      <c r="C9" s="52">
        <f>ACC_VAT_IN</f>
        <v/>
      </c>
      <c r="D9" s="50" t="inlineStr">
        <is>
          <t>من خريطة الحسابات</t>
        </is>
      </c>
    </row>
    <row r="11">
      <c r="B11" s="28" t="inlineStr">
        <is>
          <t>ملاحظات ضريبية (للمراجعة مع المحاسب القانوني):</t>
        </is>
      </c>
    </row>
    <row r="12">
      <c r="B12" s="21" t="inlineStr">
        <is>
          <t>1) تسجيل ضريبة المدخلات في المشتريات والمصروفات يتم فقط عند وجود فاتورة ضريبية صحيحة.</t>
        </is>
      </c>
    </row>
    <row r="13">
      <c r="B13" s="21" t="inlineStr">
        <is>
          <t>2) النظام لا يُعد إقرارات ضريبية ولا يُغني عن مراجعة قانونية؛ هو يفصل حسابات الضريبة فقط لتسهيل الإعداد.</t>
        </is>
      </c>
    </row>
    <row r="14">
      <c r="B14" s="21" t="inlineStr">
        <is>
          <t>3) الضرائب الأخرى (دمغة، جدول، دخل) غير مفعلة في النسخة الأولى؛ استخدم حساب 2302 يدويًا عبر قيد يدوي.</t>
        </is>
      </c>
    </row>
  </sheetData>
  <sheetProtection selectLockedCells="0" selectUnlockedCells="0" sheet="1" objects="0" insertRows="1" insertHyperlinks="1" autoFilter="0" scenarios="0" formatColumns="0" deleteColumns="1" insertColumns="1" pivotTables="1" deleteRows="1" formatCells="0" formatRows="0" sort="1"/>
  <dataValidations count="1">
    <dataValidation sqref="C5" showDropDown="0" showInputMessage="0" showErrorMessage="0" allowBlank="0" type="list">
      <formula1>"نعم,لا"</formula1>
    </dataValidation>
  </dataValidations>
  <pageMargins left="0.75" right="0.75" top="1" bottom="1" header="0.5" footer="0.5"/>
</worksheet>
</file>

<file path=xl/worksheets/sheet22.xml><?xml version="1.0" encoding="utf-8"?>
<worksheet xmlns="http://schemas.openxmlformats.org/spreadsheetml/2006/main">
  <sheetPr>
    <tabColor rgb="002E75B6"/>
    <outlinePr summaryBelow="1" summaryRight="1"/>
    <pageSetUpPr fitToPage="1"/>
  </sheetPr>
  <dimension ref="A1:H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26" customWidth="1" min="3" max="3"/>
    <col width="22" customWidth="1" min="4" max="4"/>
    <col width="8" customWidth="1" min="5" max="5"/>
    <col width="20" customWidth="1" min="6" max="6"/>
    <col width="12" customWidth="1" min="7" max="7"/>
    <col width="24" customWidth="1" min="8" max="8"/>
  </cols>
  <sheetData>
    <row r="1" ht="26" customHeight="1">
      <c r="A1" s="22" t="inlineStr">
        <is>
          <t>ترقيم المستندات (Document Numbering)</t>
        </is>
      </c>
      <c r="B1" s="1" t="n"/>
      <c r="C1" s="1" t="n"/>
      <c r="D1" s="1" t="n"/>
      <c r="E1" s="1" t="n"/>
      <c r="F1" s="1" t="n"/>
      <c r="G1" s="1" t="n"/>
      <c r="H1" s="1" t="n"/>
    </row>
    <row r="2">
      <c r="A2" s="35" t="inlineStr">
        <is>
          <t>صيغة الرقم: البادئة-كود الموقع-تسلسل 4 خانات (مثال SAL-BR01-0001). التسلسل مطبوع مسبقًا على النماذج الورقية. السجل المركزي Doc_Register يمنع التكرار.</t>
        </is>
      </c>
    </row>
    <row r="3">
      <c r="A3" s="36" t="inlineStr">
        <is>
          <t>خلايا الإدخال</t>
        </is>
      </c>
      <c r="B3" s="37" t="inlineStr">
        <is>
          <t>معادلات (لا تعدّل)</t>
        </is>
      </c>
    </row>
    <row r="4" ht="34" customHeight="1">
      <c r="A4" s="24" t="inlineStr">
        <is>
          <t>البادئة</t>
        </is>
      </c>
      <c r="B4" s="24" t="inlineStr">
        <is>
          <t>نوع المستند</t>
        </is>
      </c>
      <c r="C4" s="24" t="inlineStr">
        <is>
          <t>النموذج الورقي</t>
        </is>
      </c>
      <c r="D4" s="24" t="inlineStr">
        <is>
          <t>ورقة التسجيل</t>
        </is>
      </c>
      <c r="E4" s="24" t="inlineStr">
        <is>
          <t>المرحلة</t>
        </is>
      </c>
      <c r="F4" s="24" t="inlineStr">
        <is>
          <t>مثال</t>
        </is>
      </c>
      <c r="G4" s="38" t="inlineStr">
        <is>
          <t>عدد المستخدم في النظام</t>
        </is>
      </c>
      <c r="H4" s="38" t="inlineStr">
        <is>
          <t>الرقم التالي المقترح (للموقع في الخلية)</t>
        </is>
      </c>
    </row>
    <row r="5">
      <c r="A5" s="39" t="inlineStr">
        <is>
          <t>SAL</t>
        </is>
      </c>
      <c r="B5" s="29" t="inlineStr">
        <is>
          <t>تقرير مبيعات يومي</t>
        </is>
      </c>
      <c r="C5" s="29" t="inlineStr">
        <is>
          <t>نموذج 15</t>
        </is>
      </c>
      <c r="D5" s="29" t="inlineStr">
        <is>
          <t>Sales_Daily</t>
        </is>
      </c>
      <c r="E5" s="39" t="n">
        <v>1</v>
      </c>
      <c r="F5" s="29" t="inlineStr">
        <is>
          <t>SAL-BR01-0001</t>
        </is>
      </c>
      <c r="G5" s="32">
        <f>IF($A5="","",COUNTIF(Doc_Register!$A:$A,$A5&amp;"-*"))</f>
        <v/>
      </c>
      <c r="H5" s="32">
        <f>IF($A5="","",$A5&amp;"-[الموقع]-"&amp;TEXT($G5+1,"0000"))</f>
        <v/>
      </c>
    </row>
    <row r="6">
      <c r="A6" s="39" t="inlineStr">
        <is>
          <t>PLT</t>
        </is>
      </c>
      <c r="B6" s="29" t="inlineStr">
        <is>
          <t>كشف تسوية منصة/بطاقات</t>
        </is>
      </c>
      <c r="C6" s="29" t="inlineStr">
        <is>
          <t>نموذج 16</t>
        </is>
      </c>
      <c r="D6" s="29" t="inlineStr">
        <is>
          <t>Platform_Settlements</t>
        </is>
      </c>
      <c r="E6" s="39" t="n">
        <v>1</v>
      </c>
      <c r="F6" s="29" t="inlineStr">
        <is>
          <t>PLT-BR01-0001</t>
        </is>
      </c>
      <c r="G6" s="32">
        <f>IF($A6="","",COUNTIF(Doc_Register!$A:$A,$A6&amp;"-*"))</f>
        <v/>
      </c>
      <c r="H6" s="32">
        <f>IF($A6="","",$A6&amp;"-[الموقع]-"&amp;TEXT($G6+1,"0000"))</f>
        <v/>
      </c>
    </row>
    <row r="7">
      <c r="A7" s="39" t="inlineStr">
        <is>
          <t>RCV</t>
        </is>
      </c>
      <c r="B7" s="29" t="inlineStr">
        <is>
          <t>سند قبض</t>
        </is>
      </c>
      <c r="C7" s="29" t="inlineStr">
        <is>
          <t>نموذج 11</t>
        </is>
      </c>
      <c r="D7" s="29" t="inlineStr">
        <is>
          <t>Cash_Vouchers</t>
        </is>
      </c>
      <c r="E7" s="39" t="n">
        <v>1</v>
      </c>
      <c r="F7" s="29" t="inlineStr">
        <is>
          <t>RCV-BR01-0001</t>
        </is>
      </c>
      <c r="G7" s="32">
        <f>IF($A7="","",COUNTIF(Doc_Register!$A:$A,$A7&amp;"-*"))</f>
        <v/>
      </c>
      <c r="H7" s="32">
        <f>IF($A7="","",$A7&amp;"-[الموقع]-"&amp;TEXT($G7+1,"0000"))</f>
        <v/>
      </c>
    </row>
    <row r="8">
      <c r="A8" s="39" t="inlineStr">
        <is>
          <t>PAY</t>
        </is>
      </c>
      <c r="B8" s="29" t="inlineStr">
        <is>
          <t>سند صرف</t>
        </is>
      </c>
      <c r="C8" s="29" t="inlineStr">
        <is>
          <t>نموذج 12</t>
        </is>
      </c>
      <c r="D8" s="29" t="inlineStr">
        <is>
          <t>Cash_Vouchers</t>
        </is>
      </c>
      <c r="E8" s="39" t="n">
        <v>1</v>
      </c>
      <c r="F8" s="29" t="inlineStr">
        <is>
          <t>PAY-BR01-0001</t>
        </is>
      </c>
      <c r="G8" s="32">
        <f>IF($A8="","",COUNTIF(Doc_Register!$A:$A,$A8&amp;"-*"))</f>
        <v/>
      </c>
      <c r="H8" s="32">
        <f>IF($A8="","",$A8&amp;"-[الموقع]-"&amp;TEXT($G8+1,"0000"))</f>
        <v/>
      </c>
    </row>
    <row r="9">
      <c r="A9" s="39" t="inlineStr">
        <is>
          <t>TRF</t>
        </is>
      </c>
      <c r="B9" s="29" t="inlineStr">
        <is>
          <t>إذن تحويل بين الخزائن/إيداع/سحب</t>
        </is>
      </c>
      <c r="C9" s="29" t="inlineStr">
        <is>
          <t>نموذج 13</t>
        </is>
      </c>
      <c r="D9" s="29" t="inlineStr">
        <is>
          <t>Cash_Vouchers</t>
        </is>
      </c>
      <c r="E9" s="39" t="n">
        <v>1</v>
      </c>
      <c r="F9" s="29" t="inlineStr">
        <is>
          <t>TRF-BR01-0001</t>
        </is>
      </c>
      <c r="G9" s="32">
        <f>IF($A9="","",COUNTIF(Doc_Register!$A:$A,$A9&amp;"-*"))</f>
        <v/>
      </c>
      <c r="H9" s="32">
        <f>IF($A9="","",$A9&amp;"-[الموقع]-"&amp;TEXT($G9+1,"0000"))</f>
        <v/>
      </c>
    </row>
    <row r="10">
      <c r="A10" s="39" t="inlineStr">
        <is>
          <t>ADJ</t>
        </is>
      </c>
      <c r="B10" s="29" t="inlineStr">
        <is>
          <t>تسوية عجز/زيادة خزينة</t>
        </is>
      </c>
      <c r="C10" s="29" t="inlineStr">
        <is>
          <t>نموذج 30</t>
        </is>
      </c>
      <c r="D10" s="29" t="inlineStr">
        <is>
          <t>Cash_Vouchers</t>
        </is>
      </c>
      <c r="E10" s="39" t="n">
        <v>1</v>
      </c>
      <c r="F10" s="29" t="inlineStr">
        <is>
          <t>ADJ-BR01-0001</t>
        </is>
      </c>
      <c r="G10" s="32">
        <f>IF($A10="","",COUNTIF(Doc_Register!$A:$A,$A10&amp;"-*"))</f>
        <v/>
      </c>
      <c r="H10" s="32">
        <f>IF($A10="","",$A10&amp;"-[الموقع]-"&amp;TEXT($G10+1,"0000"))</f>
        <v/>
      </c>
    </row>
    <row r="11">
      <c r="A11" s="39" t="inlineStr">
        <is>
          <t>EXP</t>
        </is>
      </c>
      <c r="B11" s="29" t="inlineStr">
        <is>
          <t>نموذج مصروفات</t>
        </is>
      </c>
      <c r="C11" s="29" t="inlineStr">
        <is>
          <t>نموذج 17</t>
        </is>
      </c>
      <c r="D11" s="29" t="inlineStr">
        <is>
          <t>Expenses</t>
        </is>
      </c>
      <c r="E11" s="39" t="n">
        <v>1</v>
      </c>
      <c r="F11" s="29" t="inlineStr">
        <is>
          <t>EXP-BR01-0001</t>
        </is>
      </c>
      <c r="G11" s="32">
        <f>IF($A11="","",COUNTIF(Doc_Register!$A:$A,$A11&amp;"-*"))</f>
        <v/>
      </c>
      <c r="H11" s="32">
        <f>IF($A11="","",$A11&amp;"-[الموقع]-"&amp;TEXT($G11+1,"0000"))</f>
        <v/>
      </c>
    </row>
    <row r="12">
      <c r="A12" s="39" t="inlineStr">
        <is>
          <t>SINV</t>
        </is>
      </c>
      <c r="B12" s="29" t="inlineStr">
        <is>
          <t>تسجيل فاتورة مورد/إشعار</t>
        </is>
      </c>
      <c r="C12" s="29" t="inlineStr">
        <is>
          <t>نموذج 20 (مرفق)</t>
        </is>
      </c>
      <c r="D12" s="29" t="inlineStr">
        <is>
          <t>Supplier_Invoices</t>
        </is>
      </c>
      <c r="E12" s="39" t="n">
        <v>1</v>
      </c>
      <c r="F12" s="29" t="inlineStr">
        <is>
          <t>SINV-BR01-0001</t>
        </is>
      </c>
      <c r="G12" s="32">
        <f>IF($A12="","",COUNTIF(Doc_Register!$A:$A,$A12&amp;"-*"))</f>
        <v/>
      </c>
      <c r="H12" s="32">
        <f>IF($A12="","",$A12&amp;"-[الموقع]-"&amp;TEXT($G12+1,"0000"))</f>
        <v/>
      </c>
    </row>
    <row r="13">
      <c r="A13" s="39" t="inlineStr">
        <is>
          <t>SPAY</t>
        </is>
      </c>
      <c r="B13" s="29" t="inlineStr">
        <is>
          <t>دفعة مورد</t>
        </is>
      </c>
      <c r="C13" s="29" t="inlineStr">
        <is>
          <t>نموذج 12</t>
        </is>
      </c>
      <c r="D13" s="29" t="inlineStr">
        <is>
          <t>Supplier_Payments</t>
        </is>
      </c>
      <c r="E13" s="39" t="n">
        <v>1</v>
      </c>
      <c r="F13" s="29" t="inlineStr">
        <is>
          <t>SPAY-BR01-0001</t>
        </is>
      </c>
      <c r="G13" s="32">
        <f>IF($A13="","",COUNTIF(Doc_Register!$A:$A,$A13&amp;"-*"))</f>
        <v/>
      </c>
      <c r="H13" s="32">
        <f>IF($A13="","",$A13&amp;"-[الموقع]-"&amp;TEXT($G13+1,"0000"))</f>
        <v/>
      </c>
    </row>
    <row r="14">
      <c r="A14" s="39" t="inlineStr">
        <is>
          <t>MJE</t>
        </is>
      </c>
      <c r="B14" s="29" t="inlineStr">
        <is>
          <t>قيد يومية/تسوية</t>
        </is>
      </c>
      <c r="C14" s="29" t="inlineStr">
        <is>
          <t>نموذج 24-25</t>
        </is>
      </c>
      <c r="D14" s="29" t="inlineStr">
        <is>
          <t>Manual_JE</t>
        </is>
      </c>
      <c r="E14" s="39" t="n">
        <v>1</v>
      </c>
      <c r="F14" s="29" t="inlineStr">
        <is>
          <t>MJE-BR01-0001</t>
        </is>
      </c>
      <c r="G14" s="32">
        <f>IF($A14="","",COUNTIF(Doc_Register!$A:$A,$A14&amp;"-*"))</f>
        <v/>
      </c>
      <c r="H14" s="32">
        <f>IF($A14="","",$A14&amp;"-[الموقع]-"&amp;TEXT($G14+1,"0000"))</f>
        <v/>
      </c>
    </row>
    <row r="15">
      <c r="A15" s="39" t="inlineStr">
        <is>
          <t>PR</t>
        </is>
      </c>
      <c r="B15" s="29" t="inlineStr">
        <is>
          <t>طلب شراء</t>
        </is>
      </c>
      <c r="C15" s="29" t="inlineStr">
        <is>
          <t>نموذج 1</t>
        </is>
      </c>
      <c r="D15" s="29" t="inlineStr">
        <is>
          <t>PR</t>
        </is>
      </c>
      <c r="E15" s="39" t="n">
        <v>2</v>
      </c>
      <c r="F15" s="29" t="inlineStr">
        <is>
          <t>PR-BR01-0001</t>
        </is>
      </c>
      <c r="G15" s="32">
        <f>IF($A15="","",COUNTIF(Doc_Register!$A:$A,$A15&amp;"-*"))</f>
        <v/>
      </c>
      <c r="H15" s="32">
        <f>IF($A15="","",$A15&amp;"-[الموقع]-"&amp;TEXT($G15+1,"0000"))</f>
        <v/>
      </c>
    </row>
    <row r="16">
      <c r="A16" s="39" t="inlineStr">
        <is>
          <t>PO</t>
        </is>
      </c>
      <c r="B16" s="29" t="inlineStr">
        <is>
          <t>أمر شراء</t>
        </is>
      </c>
      <c r="C16" s="29" t="inlineStr">
        <is>
          <t>نموذج 2</t>
        </is>
      </c>
      <c r="D16" s="29" t="inlineStr">
        <is>
          <t>PO</t>
        </is>
      </c>
      <c r="E16" s="39" t="n">
        <v>2</v>
      </c>
      <c r="F16" s="29" t="inlineStr">
        <is>
          <t>PO-BR01-0001</t>
        </is>
      </c>
      <c r="G16" s="32">
        <f>IF($A16="","",COUNTIF(Doc_Register!$A:$A,$A16&amp;"-*"))</f>
        <v/>
      </c>
      <c r="H16" s="32">
        <f>IF($A16="","",$A16&amp;"-[الموقع]-"&amp;TEXT($G16+1,"0000"))</f>
        <v/>
      </c>
    </row>
    <row r="17">
      <c r="A17" s="39" t="inlineStr">
        <is>
          <t>GRN</t>
        </is>
      </c>
      <c r="B17" s="29" t="inlineStr">
        <is>
          <t>إذن استلام مخزني</t>
        </is>
      </c>
      <c r="C17" s="29" t="inlineStr">
        <is>
          <t>نموذج 3</t>
        </is>
      </c>
      <c r="D17" s="29" t="inlineStr">
        <is>
          <t>GRN</t>
        </is>
      </c>
      <c r="E17" s="39" t="n">
        <v>2</v>
      </c>
      <c r="F17" s="29" t="inlineStr">
        <is>
          <t>GRN-BR01-0001</t>
        </is>
      </c>
      <c r="G17" s="32">
        <f>IF($A17="","",COUNTIF(Doc_Register!$A:$A,$A17&amp;"-*"))</f>
        <v/>
      </c>
      <c r="H17" s="32">
        <f>IF($A17="","",$A17&amp;"-[الموقع]-"&amp;TEXT($G17+1,"0000"))</f>
        <v/>
      </c>
    </row>
    <row r="18">
      <c r="A18" s="39" t="inlineStr">
        <is>
          <t>ISS</t>
        </is>
      </c>
      <c r="B18" s="29" t="inlineStr">
        <is>
          <t>إذن صرف مخزني</t>
        </is>
      </c>
      <c r="C18" s="29" t="inlineStr">
        <is>
          <t>نموذج 4</t>
        </is>
      </c>
      <c r="D18" s="29" t="inlineStr">
        <is>
          <t>Inventory_Moves</t>
        </is>
      </c>
      <c r="E18" s="39" t="n">
        <v>2</v>
      </c>
      <c r="F18" s="29" t="inlineStr">
        <is>
          <t>ISS-BR01-0001</t>
        </is>
      </c>
      <c r="G18" s="32">
        <f>IF($A18="","",COUNTIF(Doc_Register!$A:$A,$A18&amp;"-*"))</f>
        <v/>
      </c>
      <c r="H18" s="32">
        <f>IF($A18="","",$A18&amp;"-[الموقع]-"&amp;TEXT($G18+1,"0000"))</f>
        <v/>
      </c>
    </row>
    <row r="19">
      <c r="A19" s="39" t="inlineStr">
        <is>
          <t>STR</t>
        </is>
      </c>
      <c r="B19" s="29" t="inlineStr">
        <is>
          <t>إذن تحويل بين المخازن</t>
        </is>
      </c>
      <c r="C19" s="29" t="inlineStr">
        <is>
          <t>نموذج 5</t>
        </is>
      </c>
      <c r="D19" s="29" t="inlineStr">
        <is>
          <t>Inventory_Moves</t>
        </is>
      </c>
      <c r="E19" s="39" t="n">
        <v>2</v>
      </c>
      <c r="F19" s="29" t="inlineStr">
        <is>
          <t>STR-BR01-0001</t>
        </is>
      </c>
      <c r="G19" s="32">
        <f>IF($A19="","",COUNTIF(Doc_Register!$A:$A,$A19&amp;"-*"))</f>
        <v/>
      </c>
      <c r="H19" s="32">
        <f>IF($A19="","",$A19&amp;"-[الموقع]-"&amp;TEXT($G19+1,"0000"))</f>
        <v/>
      </c>
    </row>
    <row r="20">
      <c r="A20" s="39" t="inlineStr">
        <is>
          <t>KRQ</t>
        </is>
      </c>
      <c r="B20" s="29" t="inlineStr">
        <is>
          <t>طلب صرف إنتاج</t>
        </is>
      </c>
      <c r="C20" s="29" t="inlineStr">
        <is>
          <t>نموذج 6</t>
        </is>
      </c>
      <c r="D20" s="29" t="inlineStr">
        <is>
          <t>Production</t>
        </is>
      </c>
      <c r="E20" s="39" t="n">
        <v>2</v>
      </c>
      <c r="F20" s="29" t="inlineStr">
        <is>
          <t>KRQ-BR01-0001</t>
        </is>
      </c>
      <c r="G20" s="32">
        <f>IF($A20="","",COUNTIF(Doc_Register!$A:$A,$A20&amp;"-*"))</f>
        <v/>
      </c>
      <c r="H20" s="32">
        <f>IF($A20="","",$A20&amp;"-[الموقع]-"&amp;TEXT($G20+1,"0000"))</f>
        <v/>
      </c>
    </row>
    <row r="21">
      <c r="A21" s="39" t="inlineStr">
        <is>
          <t>KPR</t>
        </is>
      </c>
      <c r="B21" s="29" t="inlineStr">
        <is>
          <t>تقرير إنتاج يومي</t>
        </is>
      </c>
      <c r="C21" s="29" t="inlineStr">
        <is>
          <t>نموذج 7</t>
        </is>
      </c>
      <c r="D21" s="29" t="inlineStr">
        <is>
          <t>Production</t>
        </is>
      </c>
      <c r="E21" s="39" t="n">
        <v>2</v>
      </c>
      <c r="F21" s="29" t="inlineStr">
        <is>
          <t>KPR-BR01-0001</t>
        </is>
      </c>
      <c r="G21" s="32">
        <f>IF($A21="","",COUNTIF(Doc_Register!$A:$A,$A21&amp;"-*"))</f>
        <v/>
      </c>
      <c r="H21" s="32">
        <f>IF($A21="","",$A21&amp;"-[الموقع]-"&amp;TEXT($G21+1,"0000"))</f>
        <v/>
      </c>
    </row>
    <row r="22">
      <c r="A22" s="39" t="inlineStr">
        <is>
          <t>KTR</t>
        </is>
      </c>
      <c r="B22" s="29" t="inlineStr">
        <is>
          <t>إذن تحويل إنتاج لفرع</t>
        </is>
      </c>
      <c r="C22" s="29" t="inlineStr">
        <is>
          <t>نموذج 8</t>
        </is>
      </c>
      <c r="D22" s="29" t="inlineStr">
        <is>
          <t>Production</t>
        </is>
      </c>
      <c r="E22" s="39" t="n">
        <v>2</v>
      </c>
      <c r="F22" s="29" t="inlineStr">
        <is>
          <t>KTR-BR01-0001</t>
        </is>
      </c>
      <c r="G22" s="32">
        <f>IF($A22="","",COUNTIF(Doc_Register!$A:$A,$A22&amp;"-*"))</f>
        <v/>
      </c>
      <c r="H22" s="32">
        <f>IF($A22="","",$A22&amp;"-[الموقع]-"&amp;TEXT($G22+1,"0000"))</f>
        <v/>
      </c>
    </row>
    <row r="23">
      <c r="A23" s="39" t="inlineStr">
        <is>
          <t>WST</t>
        </is>
      </c>
      <c r="B23" s="29" t="inlineStr">
        <is>
          <t>تقرير هالك وتالف</t>
        </is>
      </c>
      <c r="C23" s="29" t="inlineStr">
        <is>
          <t>نموذج 9</t>
        </is>
      </c>
      <c r="D23" s="29" t="inlineStr">
        <is>
          <t>Inventory_Moves</t>
        </is>
      </c>
      <c r="E23" s="39" t="n">
        <v>2</v>
      </c>
      <c r="F23" s="29" t="inlineStr">
        <is>
          <t>WST-BR01-0001</t>
        </is>
      </c>
      <c r="G23" s="32">
        <f>IF($A23="","",COUNTIF(Doc_Register!$A:$A,$A23&amp;"-*"))</f>
        <v/>
      </c>
      <c r="H23" s="32">
        <f>IF($A23="","",$A23&amp;"-[الموقع]-"&amp;TEXT($G23+1,"0000"))</f>
        <v/>
      </c>
    </row>
    <row r="24">
      <c r="A24" s="39" t="inlineStr">
        <is>
          <t>CNT</t>
        </is>
      </c>
      <c r="B24" s="29" t="inlineStr">
        <is>
          <t>محضر جرد</t>
        </is>
      </c>
      <c r="C24" s="29" t="inlineStr">
        <is>
          <t>نموذج 10</t>
        </is>
      </c>
      <c r="D24" s="29" t="inlineStr">
        <is>
          <t>Inventory_Moves</t>
        </is>
      </c>
      <c r="E24" s="39" t="n">
        <v>2</v>
      </c>
      <c r="F24" s="29" t="inlineStr">
        <is>
          <t>CNT-BR01-0001</t>
        </is>
      </c>
      <c r="G24" s="32">
        <f>IF($A24="","",COUNTIF(Doc_Register!$A:$A,$A24&amp;"-*"))</f>
        <v/>
      </c>
      <c r="H24" s="32">
        <f>IF($A24="","",$A24&amp;"-[الموقع]-"&amp;TEXT($G24+1,"0000"))</f>
        <v/>
      </c>
    </row>
    <row r="25">
      <c r="A25" s="39" t="inlineStr">
        <is>
          <t>PRT</t>
        </is>
      </c>
      <c r="B25" s="29" t="inlineStr">
        <is>
          <t>مرتجع مشتريات</t>
        </is>
      </c>
      <c r="C25" s="29" t="inlineStr">
        <is>
          <t>نموذج 28</t>
        </is>
      </c>
      <c r="D25" s="29" t="inlineStr">
        <is>
          <t>Supplier_Invoices</t>
        </is>
      </c>
      <c r="E25" s="39" t="n">
        <v>2</v>
      </c>
      <c r="F25" s="29" t="inlineStr">
        <is>
          <t>PRT-BR01-0001</t>
        </is>
      </c>
      <c r="G25" s="32">
        <f>IF($A25="","",COUNTIF(Doc_Register!$A:$A,$A25&amp;"-*"))</f>
        <v/>
      </c>
      <c r="H25" s="32">
        <f>IF($A25="","",$A25&amp;"-[الموقع]-"&amp;TEXT($G25+1,"0000"))</f>
        <v/>
      </c>
    </row>
    <row r="26">
      <c r="A26" s="39" t="inlineStr">
        <is>
          <t>ADV</t>
        </is>
      </c>
      <c r="B26" s="29" t="inlineStr">
        <is>
          <t>طلب سلفة/عهدة</t>
        </is>
      </c>
      <c r="C26" s="29" t="inlineStr">
        <is>
          <t>نموذج 18</t>
        </is>
      </c>
      <c r="D26" s="29" t="inlineStr">
        <is>
          <t>Advances_Custody</t>
        </is>
      </c>
      <c r="E26" s="39" t="n">
        <v>3</v>
      </c>
      <c r="F26" s="29" t="inlineStr">
        <is>
          <t>ADV-BR01-0001</t>
        </is>
      </c>
      <c r="G26" s="32">
        <f>IF($A26="","",COUNTIF(Doc_Register!$A:$A,$A26&amp;"-*"))</f>
        <v/>
      </c>
      <c r="H26" s="32">
        <f>IF($A26="","",$A26&amp;"-[الموقع]-"&amp;TEXT($G26+1,"0000"))</f>
        <v/>
      </c>
    </row>
    <row r="27">
      <c r="A27" s="39" t="inlineStr">
        <is>
          <t>CST</t>
        </is>
      </c>
      <c r="B27" s="29" t="inlineStr">
        <is>
          <t>تسوية عهدة</t>
        </is>
      </c>
      <c r="C27" s="29" t="inlineStr">
        <is>
          <t>نموذج 19</t>
        </is>
      </c>
      <c r="D27" s="29" t="inlineStr">
        <is>
          <t>Advances_Custody</t>
        </is>
      </c>
      <c r="E27" s="39" t="n">
        <v>3</v>
      </c>
      <c r="F27" s="29" t="inlineStr">
        <is>
          <t>CST-BR01-0001</t>
        </is>
      </c>
      <c r="G27" s="32">
        <f>IF($A27="","",COUNTIF(Doc_Register!$A:$A,$A27&amp;"-*"))</f>
        <v/>
      </c>
      <c r="H27" s="32">
        <f>IF($A27="","",$A27&amp;"-[الموقع]-"&amp;TEXT($G27+1,"0000"))</f>
        <v/>
      </c>
    </row>
    <row r="28">
      <c r="A28" s="39" t="inlineStr">
        <is>
          <t>PAYR</t>
        </is>
      </c>
      <c r="B28" s="29" t="inlineStr">
        <is>
          <t>كشف رواتب</t>
        </is>
      </c>
      <c r="C28" s="29" t="inlineStr">
        <is>
          <t>نموذج 22</t>
        </is>
      </c>
      <c r="D28" s="29" t="inlineStr">
        <is>
          <t>Payroll</t>
        </is>
      </c>
      <c r="E28" s="39" t="n">
        <v>3</v>
      </c>
      <c r="F28" s="29" t="inlineStr">
        <is>
          <t>PAYR-BR01-0001</t>
        </is>
      </c>
      <c r="G28" s="32">
        <f>IF($A28="","",COUNTIF(Doc_Register!$A:$A,$A28&amp;"-*"))</f>
        <v/>
      </c>
      <c r="H28" s="32">
        <f>IF($A28="","",$A28&amp;"-[الموقع]-"&amp;TEXT($G28+1,"0000"))</f>
        <v/>
      </c>
    </row>
    <row r="29">
      <c r="A29" s="39" t="inlineStr">
        <is>
          <t>CLS</t>
        </is>
      </c>
      <c r="B29" s="29" t="inlineStr">
        <is>
          <t>محضر إقفال شهر</t>
        </is>
      </c>
      <c r="C29" s="29" t="inlineStr">
        <is>
          <t>نموذج 26</t>
        </is>
      </c>
      <c r="D29" s="29" t="inlineStr">
        <is>
          <t>Period_Close</t>
        </is>
      </c>
      <c r="E29" s="39" t="n">
        <v>1</v>
      </c>
      <c r="F29" s="29" t="inlineStr">
        <is>
          <t>CLS-BR01-0001</t>
        </is>
      </c>
      <c r="G29" s="32">
        <f>IF($A29="","",COUNTIF(Doc_Register!$A:$A,$A29&amp;"-*"))</f>
        <v/>
      </c>
      <c r="H29" s="32">
        <f>IF($A29="","",$A29&amp;"-[الموقع]-"&amp;TEXT($G29+1,"0000"))</f>
        <v/>
      </c>
    </row>
    <row r="30">
      <c r="A30" s="39" t="n"/>
      <c r="B30" s="29" t="n"/>
      <c r="C30" s="29" t="n"/>
      <c r="D30" s="29" t="n"/>
      <c r="E30" s="39" t="n"/>
      <c r="F30" s="29" t="n"/>
      <c r="G30" s="32">
        <f>IF($A30="","",COUNTIF(Doc_Register!$A:$A,$A30&amp;"-*"))</f>
        <v/>
      </c>
      <c r="H30" s="32">
        <f>IF($A30="","",$A30&amp;"-[الموقع]-"&amp;TEXT($G30+1,"0000"))</f>
        <v/>
      </c>
    </row>
    <row r="31">
      <c r="A31" s="39" t="n"/>
      <c r="B31" s="29" t="n"/>
      <c r="C31" s="29" t="n"/>
      <c r="D31" s="29" t="n"/>
      <c r="E31" s="39" t="n"/>
      <c r="F31" s="29" t="n"/>
      <c r="G31" s="32">
        <f>IF($A31="","",COUNTIF(Doc_Register!$A:$A,$A31&amp;"-*"))</f>
        <v/>
      </c>
      <c r="H31" s="32">
        <f>IF($A31="","",$A31&amp;"-[الموقع]-"&amp;TEXT($G31+1,"0000"))</f>
        <v/>
      </c>
    </row>
    <row r="32">
      <c r="A32" s="39" t="n"/>
      <c r="B32" s="29" t="n"/>
      <c r="C32" s="29" t="n"/>
      <c r="D32" s="29" t="n"/>
      <c r="E32" s="39" t="n"/>
      <c r="F32" s="29" t="n"/>
      <c r="G32" s="32">
        <f>IF($A32="","",COUNTIF(Doc_Register!$A:$A,$A32&amp;"-*"))</f>
        <v/>
      </c>
      <c r="H32" s="32">
        <f>IF($A32="","",$A32&amp;"-[الموقع]-"&amp;TEXT($G32+1,"0000"))</f>
        <v/>
      </c>
    </row>
    <row r="33">
      <c r="A33" s="39" t="n"/>
      <c r="B33" s="29" t="n"/>
      <c r="C33" s="29" t="n"/>
      <c r="D33" s="29" t="n"/>
      <c r="E33" s="39" t="n"/>
      <c r="F33" s="29" t="n"/>
      <c r="G33" s="32">
        <f>IF($A33="","",COUNTIF(Doc_Register!$A:$A,$A33&amp;"-*"))</f>
        <v/>
      </c>
      <c r="H33" s="32">
        <f>IF($A33="","",$A33&amp;"-[الموقع]-"&amp;TEXT($G33+1,"0000"))</f>
        <v/>
      </c>
    </row>
    <row r="34">
      <c r="A34" s="39" t="n"/>
      <c r="B34" s="29" t="n"/>
      <c r="C34" s="29" t="n"/>
      <c r="D34" s="29" t="n"/>
      <c r="E34" s="39" t="n"/>
      <c r="F34" s="29" t="n"/>
      <c r="G34" s="32">
        <f>IF($A34="","",COUNTIF(Doc_Register!$A:$A,$A34&amp;"-*"))</f>
        <v/>
      </c>
      <c r="H34" s="32">
        <f>IF($A34="","",$A34&amp;"-[الموقع]-"&amp;TEXT($G34+1,"0000"))</f>
        <v/>
      </c>
    </row>
    <row r="35">
      <c r="A35" s="39" t="n"/>
      <c r="B35" s="29" t="n"/>
      <c r="C35" s="29" t="n"/>
      <c r="D35" s="29" t="n"/>
      <c r="E35" s="39" t="n"/>
      <c r="F35" s="29" t="n"/>
      <c r="G35" s="32">
        <f>IF($A35="","",COUNTIF(Doc_Register!$A:$A,$A35&amp;"-*"))</f>
        <v/>
      </c>
      <c r="H35" s="32">
        <f>IF($A35="","",$A35&amp;"-[الموقع]-"&amp;TEXT($G35+1,"0000"))</f>
        <v/>
      </c>
    </row>
    <row r="36">
      <c r="A36" s="39" t="n"/>
      <c r="B36" s="29" t="n"/>
      <c r="C36" s="29" t="n"/>
      <c r="D36" s="29" t="n"/>
      <c r="E36" s="39" t="n"/>
      <c r="F36" s="29" t="n"/>
      <c r="G36" s="32">
        <f>IF($A36="","",COUNTIF(Doc_Register!$A:$A,$A36&amp;"-*"))</f>
        <v/>
      </c>
      <c r="H36" s="32">
        <f>IF($A36="","",$A36&amp;"-[الموقع]-"&amp;TEXT($G36+1,"0000"))</f>
        <v/>
      </c>
    </row>
    <row r="37">
      <c r="A37" s="39" t="n"/>
      <c r="B37" s="29" t="n"/>
      <c r="C37" s="29" t="n"/>
      <c r="D37" s="29" t="n"/>
      <c r="E37" s="39" t="n"/>
      <c r="F37" s="29" t="n"/>
      <c r="G37" s="32">
        <f>IF($A37="","",COUNTIF(Doc_Register!$A:$A,$A37&amp;"-*"))</f>
        <v/>
      </c>
      <c r="H37" s="32">
        <f>IF($A37="","",$A37&amp;"-[الموقع]-"&amp;TEXT($G37+1,"0000"))</f>
        <v/>
      </c>
    </row>
    <row r="38">
      <c r="A38" s="39" t="n"/>
      <c r="B38" s="29" t="n"/>
      <c r="C38" s="29" t="n"/>
      <c r="D38" s="29" t="n"/>
      <c r="E38" s="39" t="n"/>
      <c r="F38" s="29" t="n"/>
      <c r="G38" s="32">
        <f>IF($A38="","",COUNTIF(Doc_Register!$A:$A,$A38&amp;"-*"))</f>
        <v/>
      </c>
      <c r="H38" s="32">
        <f>IF($A38="","",$A38&amp;"-[الموقع]-"&amp;TEXT($G38+1,"0000"))</f>
        <v/>
      </c>
    </row>
    <row r="39">
      <c r="A39" s="39" t="n"/>
      <c r="B39" s="29" t="n"/>
      <c r="C39" s="29" t="n"/>
      <c r="D39" s="29" t="n"/>
      <c r="E39" s="39" t="n"/>
      <c r="F39" s="29" t="n"/>
      <c r="G39" s="32">
        <f>IF($A39="","",COUNTIF(Doc_Register!$A:$A,$A39&amp;"-*"))</f>
        <v/>
      </c>
      <c r="H39" s="32">
        <f>IF($A39="","",$A39&amp;"-[الموقع]-"&amp;TEXT($G39+1,"0000"))</f>
        <v/>
      </c>
    </row>
    <row r="40">
      <c r="A40" s="39" t="n"/>
      <c r="B40" s="29" t="n"/>
      <c r="C40" s="29" t="n"/>
      <c r="D40" s="29" t="n"/>
      <c r="E40" s="39" t="n"/>
      <c r="F40" s="29" t="n"/>
      <c r="G40" s="32">
        <f>IF($A40="","",COUNTIF(Doc_Register!$A:$A,$A40&amp;"-*"))</f>
        <v/>
      </c>
      <c r="H40" s="32">
        <f>IF($A40="","",$A40&amp;"-[الموقع]-"&amp;TEXT($G40+1,"0000"))</f>
        <v/>
      </c>
    </row>
    <row r="41">
      <c r="A41" s="39" t="n"/>
      <c r="B41" s="29" t="n"/>
      <c r="C41" s="29" t="n"/>
      <c r="D41" s="29" t="n"/>
      <c r="E41" s="39" t="n"/>
      <c r="F41" s="29" t="n"/>
      <c r="G41" s="32">
        <f>IF($A41="","",COUNTIF(Doc_Register!$A:$A,$A41&amp;"-*"))</f>
        <v/>
      </c>
      <c r="H41" s="32">
        <f>IF($A41="","",$A41&amp;"-[الموقع]-"&amp;TEXT($G41+1,"0000"))</f>
        <v/>
      </c>
    </row>
    <row r="42">
      <c r="A42" s="39" t="n"/>
      <c r="B42" s="29" t="n"/>
      <c r="C42" s="29" t="n"/>
      <c r="D42" s="29" t="n"/>
      <c r="E42" s="39" t="n"/>
      <c r="F42" s="29" t="n"/>
      <c r="G42" s="32">
        <f>IF($A42="","",COUNTIF(Doc_Register!$A:$A,$A42&amp;"-*"))</f>
        <v/>
      </c>
      <c r="H42" s="32">
        <f>IF($A42="","",$A42&amp;"-[الموقع]-"&amp;TEXT($G42+1,"0000"))</f>
        <v/>
      </c>
    </row>
    <row r="43">
      <c r="A43" s="39" t="n"/>
      <c r="B43" s="29" t="n"/>
      <c r="C43" s="29" t="n"/>
      <c r="D43" s="29" t="n"/>
      <c r="E43" s="39" t="n"/>
      <c r="F43" s="29" t="n"/>
      <c r="G43" s="32">
        <f>IF($A43="","",COUNTIF(Doc_Register!$A:$A,$A43&amp;"-*"))</f>
        <v/>
      </c>
      <c r="H43" s="32">
        <f>IF($A43="","",$A43&amp;"-[الموقع]-"&amp;TEXT($G43+1,"0000"))</f>
        <v/>
      </c>
    </row>
    <row r="44">
      <c r="A44" s="39" t="n"/>
      <c r="B44" s="29" t="n"/>
      <c r="C44" s="29" t="n"/>
      <c r="D44" s="29" t="n"/>
      <c r="E44" s="39" t="n"/>
      <c r="F44" s="29" t="n"/>
      <c r="G44" s="32">
        <f>IF($A44="","",COUNTIF(Doc_Register!$A:$A,$A44&amp;"-*"))</f>
        <v/>
      </c>
      <c r="H44" s="32">
        <f>IF($A44="","",$A44&amp;"-[الموقع]-"&amp;TEXT($G44+1,"0000"))</f>
        <v/>
      </c>
    </row>
  </sheetData>
  <sheetProtection selectLockedCells="0" selectUnlockedCells="0" sheet="1" objects="0" insertRows="1" insertHyperlinks="1" autoFilter="0" scenarios="0" formatColumns="0" deleteColumns="1" insertColumns="1" pivotTables="1" deleteRows="1" formatCells="0" formatRows="0" sort="1"/>
  <autoFilter ref="A4:H44"/>
  <dataValidations count="1">
    <dataValidation sqref="E5:E44" showDropDown="0" showInputMessage="0" showErrorMessage="1" allowBlank="1" errorTitle="قيمة غير مسموحة" error="اختر قيمة من القائمة المنسدلة." type="list">
      <formula1>"1,2,3,4"</formula1>
    </dataValidation>
  </dataValidations>
  <pageMargins left="0.75" right="0.75" top="1" bottom="1" header="0.5" footer="0.5"/>
  <pageSetup orientation="landscape" fitToHeight="0" fitToWidth="1"/>
</worksheet>
</file>

<file path=xl/worksheets/sheet23.xml><?xml version="1.0" encoding="utf-8"?>
<worksheet xmlns="http://schemas.openxmlformats.org/spreadsheetml/2006/main">
  <sheetPr>
    <tabColor rgb="007F7F7F"/>
    <outlinePr summaryBelow="1" summaryRight="1"/>
    <pageSetUpPr fitToPage="1"/>
  </sheetPr>
  <dimension ref="A1:I436"/>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12" customWidth="1" min="3" max="3"/>
    <col width="9" customWidth="1" min="4" max="4"/>
    <col width="14" customWidth="1" min="5" max="5"/>
    <col width="10" customWidth="1" min="6" max="6"/>
    <col width="20" customWidth="1" min="7" max="7"/>
    <col width="9" customWidth="1" min="8" max="8"/>
    <col hidden="1" width="9" customWidth="1" min="9" max="9"/>
  </cols>
  <sheetData>
    <row r="1" ht="26" customHeight="1">
      <c r="A1" s="22" t="inlineStr">
        <is>
          <t>السجل المركزي لأرقام المستندات (Document Register)</t>
        </is>
      </c>
      <c r="B1" s="1" t="n"/>
      <c r="C1" s="1" t="n"/>
      <c r="D1" s="1" t="n"/>
      <c r="E1" s="1" t="n"/>
      <c r="F1" s="1" t="n"/>
      <c r="G1" s="1" t="n"/>
      <c r="H1" s="1" t="n"/>
      <c r="I1" s="1" t="n"/>
    </row>
    <row r="2">
      <c r="A2" s="35" t="inlineStr">
        <is>
          <t>سجل آلي بكل أرقام المستندات من كل الأوراق لمنع التكرار. لا تُدخل شيئًا هنا؛ أي رقم مكرر يظهر في عمود (تكرار) ويمنع ترحيل المستند.</t>
        </is>
      </c>
    </row>
    <row r="3">
      <c r="A3" s="36" t="inlineStr">
        <is>
          <t>خلايا الإدخال</t>
        </is>
      </c>
      <c r="B3" s="37" t="inlineStr">
        <is>
          <t>معادلات (لا تعدّل)</t>
        </is>
      </c>
    </row>
    <row r="4" ht="34" customHeight="1">
      <c r="A4" s="38" t="inlineStr">
        <is>
          <t>رقم المستند</t>
        </is>
      </c>
      <c r="B4" s="38" t="inlineStr">
        <is>
          <t>النوع</t>
        </is>
      </c>
      <c r="C4" s="38" t="inlineStr">
        <is>
          <t>التاريخ</t>
        </is>
      </c>
      <c r="D4" s="38" t="inlineStr">
        <is>
          <t>الموقع</t>
        </is>
      </c>
      <c r="E4" s="38" t="inlineStr">
        <is>
          <t>المبلغ</t>
        </is>
      </c>
      <c r="F4" s="38" t="inlineStr">
        <is>
          <t>الحالة</t>
        </is>
      </c>
      <c r="G4" s="38" t="inlineStr">
        <is>
          <t>ورقة المصدر</t>
        </is>
      </c>
      <c r="H4" s="38" t="inlineStr">
        <is>
          <t>تكرار؟</t>
        </is>
      </c>
      <c r="I4" s="38" t="inlineStr">
        <is>
          <t>فحص</t>
        </is>
      </c>
    </row>
    <row r="5">
      <c r="A5" s="32">
        <f>IF(Sales_Daily!$A5="","",Sales_Daily!$A5)</f>
        <v/>
      </c>
      <c r="B5" s="32">
        <f>IF($A5="","","SAL")</f>
        <v/>
      </c>
      <c r="C5" s="33">
        <f>IF($A5="","",Sales_Daily!$B5)</f>
        <v/>
      </c>
      <c r="D5" s="32">
        <f>IF($A5="","",Sales_Daily!$C5)</f>
        <v/>
      </c>
      <c r="E5" s="43">
        <f>IF($A5="","",Sales_Daily!$AA5)</f>
        <v/>
      </c>
      <c r="F5" s="32">
        <f>IF($A5="","",Sales_Daily!$S5)</f>
        <v/>
      </c>
      <c r="G5" s="32">
        <f>IF($A5="","","Sales_Daily")</f>
        <v/>
      </c>
      <c r="H5" s="44">
        <f>IF($A5="","",IF(COUNTIF($A:$A,$A5)&gt;1,"مكرر",""))</f>
        <v/>
      </c>
      <c r="I5" s="32">
        <f>IF($H5="مكرر","مكرر","")</f>
        <v/>
      </c>
    </row>
    <row r="6">
      <c r="A6" s="32">
        <f>IF(Sales_Daily!$A6="","",Sales_Daily!$A6)</f>
        <v/>
      </c>
      <c r="B6" s="32">
        <f>IF($A6="","","SAL")</f>
        <v/>
      </c>
      <c r="C6" s="33">
        <f>IF($A6="","",Sales_Daily!$B6)</f>
        <v/>
      </c>
      <c r="D6" s="32">
        <f>IF($A6="","",Sales_Daily!$C6)</f>
        <v/>
      </c>
      <c r="E6" s="43">
        <f>IF($A6="","",Sales_Daily!$AA6)</f>
        <v/>
      </c>
      <c r="F6" s="32">
        <f>IF($A6="","",Sales_Daily!$S6)</f>
        <v/>
      </c>
      <c r="G6" s="32">
        <f>IF($A6="","","Sales_Daily")</f>
        <v/>
      </c>
      <c r="H6" s="44">
        <f>IF($A6="","",IF(COUNTIF($A:$A,$A6)&gt;1,"مكرر",""))</f>
        <v/>
      </c>
      <c r="I6" s="32">
        <f>IF($H6="مكرر","مكرر","")</f>
        <v/>
      </c>
    </row>
    <row r="7">
      <c r="A7" s="32">
        <f>IF(Sales_Daily!$A7="","",Sales_Daily!$A7)</f>
        <v/>
      </c>
      <c r="B7" s="32">
        <f>IF($A7="","","SAL")</f>
        <v/>
      </c>
      <c r="C7" s="33">
        <f>IF($A7="","",Sales_Daily!$B7)</f>
        <v/>
      </c>
      <c r="D7" s="32">
        <f>IF($A7="","",Sales_Daily!$C7)</f>
        <v/>
      </c>
      <c r="E7" s="43">
        <f>IF($A7="","",Sales_Daily!$AA7)</f>
        <v/>
      </c>
      <c r="F7" s="32">
        <f>IF($A7="","",Sales_Daily!$S7)</f>
        <v/>
      </c>
      <c r="G7" s="32">
        <f>IF($A7="","","Sales_Daily")</f>
        <v/>
      </c>
      <c r="H7" s="44">
        <f>IF($A7="","",IF(COUNTIF($A:$A,$A7)&gt;1,"مكرر",""))</f>
        <v/>
      </c>
      <c r="I7" s="32">
        <f>IF($H7="مكرر","مكرر","")</f>
        <v/>
      </c>
    </row>
    <row r="8">
      <c r="A8" s="32">
        <f>IF(Sales_Daily!$A8="","",Sales_Daily!$A8)</f>
        <v/>
      </c>
      <c r="B8" s="32">
        <f>IF($A8="","","SAL")</f>
        <v/>
      </c>
      <c r="C8" s="33">
        <f>IF($A8="","",Sales_Daily!$B8)</f>
        <v/>
      </c>
      <c r="D8" s="32">
        <f>IF($A8="","",Sales_Daily!$C8)</f>
        <v/>
      </c>
      <c r="E8" s="43">
        <f>IF($A8="","",Sales_Daily!$AA8)</f>
        <v/>
      </c>
      <c r="F8" s="32">
        <f>IF($A8="","",Sales_Daily!$S8)</f>
        <v/>
      </c>
      <c r="G8" s="32">
        <f>IF($A8="","","Sales_Daily")</f>
        <v/>
      </c>
      <c r="H8" s="44">
        <f>IF($A8="","",IF(COUNTIF($A:$A,$A8)&gt;1,"مكرر",""))</f>
        <v/>
      </c>
      <c r="I8" s="32">
        <f>IF($H8="مكرر","مكرر","")</f>
        <v/>
      </c>
    </row>
    <row r="9">
      <c r="A9" s="32">
        <f>IF(Sales_Daily!$A9="","",Sales_Daily!$A9)</f>
        <v/>
      </c>
      <c r="B9" s="32">
        <f>IF($A9="","","SAL")</f>
        <v/>
      </c>
      <c r="C9" s="33">
        <f>IF($A9="","",Sales_Daily!$B9)</f>
        <v/>
      </c>
      <c r="D9" s="32">
        <f>IF($A9="","",Sales_Daily!$C9)</f>
        <v/>
      </c>
      <c r="E9" s="43">
        <f>IF($A9="","",Sales_Daily!$AA9)</f>
        <v/>
      </c>
      <c r="F9" s="32">
        <f>IF($A9="","",Sales_Daily!$S9)</f>
        <v/>
      </c>
      <c r="G9" s="32">
        <f>IF($A9="","","Sales_Daily")</f>
        <v/>
      </c>
      <c r="H9" s="44">
        <f>IF($A9="","",IF(COUNTIF($A:$A,$A9)&gt;1,"مكرر",""))</f>
        <v/>
      </c>
      <c r="I9" s="32">
        <f>IF($H9="مكرر","مكرر","")</f>
        <v/>
      </c>
    </row>
    <row r="10">
      <c r="A10" s="32">
        <f>IF(Sales_Daily!$A10="","",Sales_Daily!$A10)</f>
        <v/>
      </c>
      <c r="B10" s="32">
        <f>IF($A10="","","SAL")</f>
        <v/>
      </c>
      <c r="C10" s="33">
        <f>IF($A10="","",Sales_Daily!$B10)</f>
        <v/>
      </c>
      <c r="D10" s="32">
        <f>IF($A10="","",Sales_Daily!$C10)</f>
        <v/>
      </c>
      <c r="E10" s="43">
        <f>IF($A10="","",Sales_Daily!$AA10)</f>
        <v/>
      </c>
      <c r="F10" s="32">
        <f>IF($A10="","",Sales_Daily!$S10)</f>
        <v/>
      </c>
      <c r="G10" s="32">
        <f>IF($A10="","","Sales_Daily")</f>
        <v/>
      </c>
      <c r="H10" s="44">
        <f>IF($A10="","",IF(COUNTIF($A:$A,$A10)&gt;1,"مكرر",""))</f>
        <v/>
      </c>
      <c r="I10" s="32">
        <f>IF($H10="مكرر","مكرر","")</f>
        <v/>
      </c>
    </row>
    <row r="11">
      <c r="A11" s="32">
        <f>IF(Sales_Daily!$A11="","",Sales_Daily!$A11)</f>
        <v/>
      </c>
      <c r="B11" s="32">
        <f>IF($A11="","","SAL")</f>
        <v/>
      </c>
      <c r="C11" s="33">
        <f>IF($A11="","",Sales_Daily!$B11)</f>
        <v/>
      </c>
      <c r="D11" s="32">
        <f>IF($A11="","",Sales_Daily!$C11)</f>
        <v/>
      </c>
      <c r="E11" s="43">
        <f>IF($A11="","",Sales_Daily!$AA11)</f>
        <v/>
      </c>
      <c r="F11" s="32">
        <f>IF($A11="","",Sales_Daily!$S11)</f>
        <v/>
      </c>
      <c r="G11" s="32">
        <f>IF($A11="","","Sales_Daily")</f>
        <v/>
      </c>
      <c r="H11" s="44">
        <f>IF($A11="","",IF(COUNTIF($A:$A,$A11)&gt;1,"مكرر",""))</f>
        <v/>
      </c>
      <c r="I11" s="32">
        <f>IF($H11="مكرر","مكرر","")</f>
        <v/>
      </c>
    </row>
    <row r="12">
      <c r="A12" s="32">
        <f>IF(Sales_Daily!$A12="","",Sales_Daily!$A12)</f>
        <v/>
      </c>
      <c r="B12" s="32">
        <f>IF($A12="","","SAL")</f>
        <v/>
      </c>
      <c r="C12" s="33">
        <f>IF($A12="","",Sales_Daily!$B12)</f>
        <v/>
      </c>
      <c r="D12" s="32">
        <f>IF($A12="","",Sales_Daily!$C12)</f>
        <v/>
      </c>
      <c r="E12" s="43">
        <f>IF($A12="","",Sales_Daily!$AA12)</f>
        <v/>
      </c>
      <c r="F12" s="32">
        <f>IF($A12="","",Sales_Daily!$S12)</f>
        <v/>
      </c>
      <c r="G12" s="32">
        <f>IF($A12="","","Sales_Daily")</f>
        <v/>
      </c>
      <c r="H12" s="44">
        <f>IF($A12="","",IF(COUNTIF($A:$A,$A12)&gt;1,"مكرر",""))</f>
        <v/>
      </c>
      <c r="I12" s="32">
        <f>IF($H12="مكرر","مكرر","")</f>
        <v/>
      </c>
    </row>
    <row r="13">
      <c r="A13" s="32">
        <f>IF(Sales_Daily!$A13="","",Sales_Daily!$A13)</f>
        <v/>
      </c>
      <c r="B13" s="32">
        <f>IF($A13="","","SAL")</f>
        <v/>
      </c>
      <c r="C13" s="33">
        <f>IF($A13="","",Sales_Daily!$B13)</f>
        <v/>
      </c>
      <c r="D13" s="32">
        <f>IF($A13="","",Sales_Daily!$C13)</f>
        <v/>
      </c>
      <c r="E13" s="43">
        <f>IF($A13="","",Sales_Daily!$AA13)</f>
        <v/>
      </c>
      <c r="F13" s="32">
        <f>IF($A13="","",Sales_Daily!$S13)</f>
        <v/>
      </c>
      <c r="G13" s="32">
        <f>IF($A13="","","Sales_Daily")</f>
        <v/>
      </c>
      <c r="H13" s="44">
        <f>IF($A13="","",IF(COUNTIF($A:$A,$A13)&gt;1,"مكرر",""))</f>
        <v/>
      </c>
      <c r="I13" s="32">
        <f>IF($H13="مكرر","مكرر","")</f>
        <v/>
      </c>
    </row>
    <row r="14">
      <c r="A14" s="32">
        <f>IF(Sales_Daily!$A14="","",Sales_Daily!$A14)</f>
        <v/>
      </c>
      <c r="B14" s="32">
        <f>IF($A14="","","SAL")</f>
        <v/>
      </c>
      <c r="C14" s="33">
        <f>IF($A14="","",Sales_Daily!$B14)</f>
        <v/>
      </c>
      <c r="D14" s="32">
        <f>IF($A14="","",Sales_Daily!$C14)</f>
        <v/>
      </c>
      <c r="E14" s="43">
        <f>IF($A14="","",Sales_Daily!$AA14)</f>
        <v/>
      </c>
      <c r="F14" s="32">
        <f>IF($A14="","",Sales_Daily!$S14)</f>
        <v/>
      </c>
      <c r="G14" s="32">
        <f>IF($A14="","","Sales_Daily")</f>
        <v/>
      </c>
      <c r="H14" s="44">
        <f>IF($A14="","",IF(COUNTIF($A:$A,$A14)&gt;1,"مكرر",""))</f>
        <v/>
      </c>
      <c r="I14" s="32">
        <f>IF($H14="مكرر","مكرر","")</f>
        <v/>
      </c>
    </row>
    <row r="15">
      <c r="A15" s="32">
        <f>IF(Sales_Daily!$A15="","",Sales_Daily!$A15)</f>
        <v/>
      </c>
      <c r="B15" s="32">
        <f>IF($A15="","","SAL")</f>
        <v/>
      </c>
      <c r="C15" s="33">
        <f>IF($A15="","",Sales_Daily!$B15)</f>
        <v/>
      </c>
      <c r="D15" s="32">
        <f>IF($A15="","",Sales_Daily!$C15)</f>
        <v/>
      </c>
      <c r="E15" s="43">
        <f>IF($A15="","",Sales_Daily!$AA15)</f>
        <v/>
      </c>
      <c r="F15" s="32">
        <f>IF($A15="","",Sales_Daily!$S15)</f>
        <v/>
      </c>
      <c r="G15" s="32">
        <f>IF($A15="","","Sales_Daily")</f>
        <v/>
      </c>
      <c r="H15" s="44">
        <f>IF($A15="","",IF(COUNTIF($A:$A,$A15)&gt;1,"مكرر",""))</f>
        <v/>
      </c>
      <c r="I15" s="32">
        <f>IF($H15="مكرر","مكرر","")</f>
        <v/>
      </c>
    </row>
    <row r="16">
      <c r="A16" s="32">
        <f>IF(Sales_Daily!$A16="","",Sales_Daily!$A16)</f>
        <v/>
      </c>
      <c r="B16" s="32">
        <f>IF($A16="","","SAL")</f>
        <v/>
      </c>
      <c r="C16" s="33">
        <f>IF($A16="","",Sales_Daily!$B16)</f>
        <v/>
      </c>
      <c r="D16" s="32">
        <f>IF($A16="","",Sales_Daily!$C16)</f>
        <v/>
      </c>
      <c r="E16" s="43">
        <f>IF($A16="","",Sales_Daily!$AA16)</f>
        <v/>
      </c>
      <c r="F16" s="32">
        <f>IF($A16="","",Sales_Daily!$S16)</f>
        <v/>
      </c>
      <c r="G16" s="32">
        <f>IF($A16="","","Sales_Daily")</f>
        <v/>
      </c>
      <c r="H16" s="44">
        <f>IF($A16="","",IF(COUNTIF($A:$A,$A16)&gt;1,"مكرر",""))</f>
        <v/>
      </c>
      <c r="I16" s="32">
        <f>IF($H16="مكرر","مكرر","")</f>
        <v/>
      </c>
    </row>
    <row r="17">
      <c r="A17" s="32">
        <f>IF(Sales_Daily!$A17="","",Sales_Daily!$A17)</f>
        <v/>
      </c>
      <c r="B17" s="32">
        <f>IF($A17="","","SAL")</f>
        <v/>
      </c>
      <c r="C17" s="33">
        <f>IF($A17="","",Sales_Daily!$B17)</f>
        <v/>
      </c>
      <c r="D17" s="32">
        <f>IF($A17="","",Sales_Daily!$C17)</f>
        <v/>
      </c>
      <c r="E17" s="43">
        <f>IF($A17="","",Sales_Daily!$AA17)</f>
        <v/>
      </c>
      <c r="F17" s="32">
        <f>IF($A17="","",Sales_Daily!$S17)</f>
        <v/>
      </c>
      <c r="G17" s="32">
        <f>IF($A17="","","Sales_Daily")</f>
        <v/>
      </c>
      <c r="H17" s="44">
        <f>IF($A17="","",IF(COUNTIF($A:$A,$A17)&gt;1,"مكرر",""))</f>
        <v/>
      </c>
      <c r="I17" s="32">
        <f>IF($H17="مكرر","مكرر","")</f>
        <v/>
      </c>
    </row>
    <row r="18">
      <c r="A18" s="32">
        <f>IF(Sales_Daily!$A18="","",Sales_Daily!$A18)</f>
        <v/>
      </c>
      <c r="B18" s="32">
        <f>IF($A18="","","SAL")</f>
        <v/>
      </c>
      <c r="C18" s="33">
        <f>IF($A18="","",Sales_Daily!$B18)</f>
        <v/>
      </c>
      <c r="D18" s="32">
        <f>IF($A18="","",Sales_Daily!$C18)</f>
        <v/>
      </c>
      <c r="E18" s="43">
        <f>IF($A18="","",Sales_Daily!$AA18)</f>
        <v/>
      </c>
      <c r="F18" s="32">
        <f>IF($A18="","",Sales_Daily!$S18)</f>
        <v/>
      </c>
      <c r="G18" s="32">
        <f>IF($A18="","","Sales_Daily")</f>
        <v/>
      </c>
      <c r="H18" s="44">
        <f>IF($A18="","",IF(COUNTIF($A:$A,$A18)&gt;1,"مكرر",""))</f>
        <v/>
      </c>
      <c r="I18" s="32">
        <f>IF($H18="مكرر","مكرر","")</f>
        <v/>
      </c>
    </row>
    <row r="19">
      <c r="A19" s="32">
        <f>IF(Sales_Daily!$A19="","",Sales_Daily!$A19)</f>
        <v/>
      </c>
      <c r="B19" s="32">
        <f>IF($A19="","","SAL")</f>
        <v/>
      </c>
      <c r="C19" s="33">
        <f>IF($A19="","",Sales_Daily!$B19)</f>
        <v/>
      </c>
      <c r="D19" s="32">
        <f>IF($A19="","",Sales_Daily!$C19)</f>
        <v/>
      </c>
      <c r="E19" s="43">
        <f>IF($A19="","",Sales_Daily!$AA19)</f>
        <v/>
      </c>
      <c r="F19" s="32">
        <f>IF($A19="","",Sales_Daily!$S19)</f>
        <v/>
      </c>
      <c r="G19" s="32">
        <f>IF($A19="","","Sales_Daily")</f>
        <v/>
      </c>
      <c r="H19" s="44">
        <f>IF($A19="","",IF(COUNTIF($A:$A,$A19)&gt;1,"مكرر",""))</f>
        <v/>
      </c>
      <c r="I19" s="32">
        <f>IF($H19="مكرر","مكرر","")</f>
        <v/>
      </c>
    </row>
    <row r="20">
      <c r="A20" s="32">
        <f>IF(Sales_Daily!$A20="","",Sales_Daily!$A20)</f>
        <v/>
      </c>
      <c r="B20" s="32">
        <f>IF($A20="","","SAL")</f>
        <v/>
      </c>
      <c r="C20" s="33">
        <f>IF($A20="","",Sales_Daily!$B20)</f>
        <v/>
      </c>
      <c r="D20" s="32">
        <f>IF($A20="","",Sales_Daily!$C20)</f>
        <v/>
      </c>
      <c r="E20" s="43">
        <f>IF($A20="","",Sales_Daily!$AA20)</f>
        <v/>
      </c>
      <c r="F20" s="32">
        <f>IF($A20="","",Sales_Daily!$S20)</f>
        <v/>
      </c>
      <c r="G20" s="32">
        <f>IF($A20="","","Sales_Daily")</f>
        <v/>
      </c>
      <c r="H20" s="44">
        <f>IF($A20="","",IF(COUNTIF($A:$A,$A20)&gt;1,"مكرر",""))</f>
        <v/>
      </c>
      <c r="I20" s="32">
        <f>IF($H20="مكرر","مكرر","")</f>
        <v/>
      </c>
    </row>
    <row r="21">
      <c r="A21" s="32">
        <f>IF(Sales_Daily!$A21="","",Sales_Daily!$A21)</f>
        <v/>
      </c>
      <c r="B21" s="32">
        <f>IF($A21="","","SAL")</f>
        <v/>
      </c>
      <c r="C21" s="33">
        <f>IF($A21="","",Sales_Daily!$B21)</f>
        <v/>
      </c>
      <c r="D21" s="32">
        <f>IF($A21="","",Sales_Daily!$C21)</f>
        <v/>
      </c>
      <c r="E21" s="43">
        <f>IF($A21="","",Sales_Daily!$AA21)</f>
        <v/>
      </c>
      <c r="F21" s="32">
        <f>IF($A21="","",Sales_Daily!$S21)</f>
        <v/>
      </c>
      <c r="G21" s="32">
        <f>IF($A21="","","Sales_Daily")</f>
        <v/>
      </c>
      <c r="H21" s="44">
        <f>IF($A21="","",IF(COUNTIF($A:$A,$A21)&gt;1,"مكرر",""))</f>
        <v/>
      </c>
      <c r="I21" s="32">
        <f>IF($H21="مكرر","مكرر","")</f>
        <v/>
      </c>
    </row>
    <row r="22">
      <c r="A22" s="32">
        <f>IF(Sales_Daily!$A22="","",Sales_Daily!$A22)</f>
        <v/>
      </c>
      <c r="B22" s="32">
        <f>IF($A22="","","SAL")</f>
        <v/>
      </c>
      <c r="C22" s="33">
        <f>IF($A22="","",Sales_Daily!$B22)</f>
        <v/>
      </c>
      <c r="D22" s="32">
        <f>IF($A22="","",Sales_Daily!$C22)</f>
        <v/>
      </c>
      <c r="E22" s="43">
        <f>IF($A22="","",Sales_Daily!$AA22)</f>
        <v/>
      </c>
      <c r="F22" s="32">
        <f>IF($A22="","",Sales_Daily!$S22)</f>
        <v/>
      </c>
      <c r="G22" s="32">
        <f>IF($A22="","","Sales_Daily")</f>
        <v/>
      </c>
      <c r="H22" s="44">
        <f>IF($A22="","",IF(COUNTIF($A:$A,$A22)&gt;1,"مكرر",""))</f>
        <v/>
      </c>
      <c r="I22" s="32">
        <f>IF($H22="مكرر","مكرر","")</f>
        <v/>
      </c>
    </row>
    <row r="23">
      <c r="A23" s="32">
        <f>IF(Sales_Daily!$A23="","",Sales_Daily!$A23)</f>
        <v/>
      </c>
      <c r="B23" s="32">
        <f>IF($A23="","","SAL")</f>
        <v/>
      </c>
      <c r="C23" s="33">
        <f>IF($A23="","",Sales_Daily!$B23)</f>
        <v/>
      </c>
      <c r="D23" s="32">
        <f>IF($A23="","",Sales_Daily!$C23)</f>
        <v/>
      </c>
      <c r="E23" s="43">
        <f>IF($A23="","",Sales_Daily!$AA23)</f>
        <v/>
      </c>
      <c r="F23" s="32">
        <f>IF($A23="","",Sales_Daily!$S23)</f>
        <v/>
      </c>
      <c r="G23" s="32">
        <f>IF($A23="","","Sales_Daily")</f>
        <v/>
      </c>
      <c r="H23" s="44">
        <f>IF($A23="","",IF(COUNTIF($A:$A,$A23)&gt;1,"مكرر",""))</f>
        <v/>
      </c>
      <c r="I23" s="32">
        <f>IF($H23="مكرر","مكرر","")</f>
        <v/>
      </c>
    </row>
    <row r="24">
      <c r="A24" s="32">
        <f>IF(Sales_Daily!$A24="","",Sales_Daily!$A24)</f>
        <v/>
      </c>
      <c r="B24" s="32">
        <f>IF($A24="","","SAL")</f>
        <v/>
      </c>
      <c r="C24" s="33">
        <f>IF($A24="","",Sales_Daily!$B24)</f>
        <v/>
      </c>
      <c r="D24" s="32">
        <f>IF($A24="","",Sales_Daily!$C24)</f>
        <v/>
      </c>
      <c r="E24" s="43">
        <f>IF($A24="","",Sales_Daily!$AA24)</f>
        <v/>
      </c>
      <c r="F24" s="32">
        <f>IF($A24="","",Sales_Daily!$S24)</f>
        <v/>
      </c>
      <c r="G24" s="32">
        <f>IF($A24="","","Sales_Daily")</f>
        <v/>
      </c>
      <c r="H24" s="44">
        <f>IF($A24="","",IF(COUNTIF($A:$A,$A24)&gt;1,"مكرر",""))</f>
        <v/>
      </c>
      <c r="I24" s="32">
        <f>IF($H24="مكرر","مكرر","")</f>
        <v/>
      </c>
    </row>
    <row r="25">
      <c r="A25" s="32">
        <f>IF(Sales_Daily!$A25="","",Sales_Daily!$A25)</f>
        <v/>
      </c>
      <c r="B25" s="32">
        <f>IF($A25="","","SAL")</f>
        <v/>
      </c>
      <c r="C25" s="33">
        <f>IF($A25="","",Sales_Daily!$B25)</f>
        <v/>
      </c>
      <c r="D25" s="32">
        <f>IF($A25="","",Sales_Daily!$C25)</f>
        <v/>
      </c>
      <c r="E25" s="43">
        <f>IF($A25="","",Sales_Daily!$AA25)</f>
        <v/>
      </c>
      <c r="F25" s="32">
        <f>IF($A25="","",Sales_Daily!$S25)</f>
        <v/>
      </c>
      <c r="G25" s="32">
        <f>IF($A25="","","Sales_Daily")</f>
        <v/>
      </c>
      <c r="H25" s="44">
        <f>IF($A25="","",IF(COUNTIF($A:$A,$A25)&gt;1,"مكرر",""))</f>
        <v/>
      </c>
      <c r="I25" s="32">
        <f>IF($H25="مكرر","مكرر","")</f>
        <v/>
      </c>
    </row>
    <row r="26">
      <c r="A26" s="32">
        <f>IF(Sales_Daily!$A26="","",Sales_Daily!$A26)</f>
        <v/>
      </c>
      <c r="B26" s="32">
        <f>IF($A26="","","SAL")</f>
        <v/>
      </c>
      <c r="C26" s="33">
        <f>IF($A26="","",Sales_Daily!$B26)</f>
        <v/>
      </c>
      <c r="D26" s="32">
        <f>IF($A26="","",Sales_Daily!$C26)</f>
        <v/>
      </c>
      <c r="E26" s="43">
        <f>IF($A26="","",Sales_Daily!$AA26)</f>
        <v/>
      </c>
      <c r="F26" s="32">
        <f>IF($A26="","",Sales_Daily!$S26)</f>
        <v/>
      </c>
      <c r="G26" s="32">
        <f>IF($A26="","","Sales_Daily")</f>
        <v/>
      </c>
      <c r="H26" s="44">
        <f>IF($A26="","",IF(COUNTIF($A:$A,$A26)&gt;1,"مكرر",""))</f>
        <v/>
      </c>
      <c r="I26" s="32">
        <f>IF($H26="مكرر","مكرر","")</f>
        <v/>
      </c>
    </row>
    <row r="27">
      <c r="A27" s="32">
        <f>IF(Sales_Daily!$A27="","",Sales_Daily!$A27)</f>
        <v/>
      </c>
      <c r="B27" s="32">
        <f>IF($A27="","","SAL")</f>
        <v/>
      </c>
      <c r="C27" s="33">
        <f>IF($A27="","",Sales_Daily!$B27)</f>
        <v/>
      </c>
      <c r="D27" s="32">
        <f>IF($A27="","",Sales_Daily!$C27)</f>
        <v/>
      </c>
      <c r="E27" s="43">
        <f>IF($A27="","",Sales_Daily!$AA27)</f>
        <v/>
      </c>
      <c r="F27" s="32">
        <f>IF($A27="","",Sales_Daily!$S27)</f>
        <v/>
      </c>
      <c r="G27" s="32">
        <f>IF($A27="","","Sales_Daily")</f>
        <v/>
      </c>
      <c r="H27" s="44">
        <f>IF($A27="","",IF(COUNTIF($A:$A,$A27)&gt;1,"مكرر",""))</f>
        <v/>
      </c>
      <c r="I27" s="32">
        <f>IF($H27="مكرر","مكرر","")</f>
        <v/>
      </c>
    </row>
    <row r="28">
      <c r="A28" s="32">
        <f>IF(Sales_Daily!$A28="","",Sales_Daily!$A28)</f>
        <v/>
      </c>
      <c r="B28" s="32">
        <f>IF($A28="","","SAL")</f>
        <v/>
      </c>
      <c r="C28" s="33">
        <f>IF($A28="","",Sales_Daily!$B28)</f>
        <v/>
      </c>
      <c r="D28" s="32">
        <f>IF($A28="","",Sales_Daily!$C28)</f>
        <v/>
      </c>
      <c r="E28" s="43">
        <f>IF($A28="","",Sales_Daily!$AA28)</f>
        <v/>
      </c>
      <c r="F28" s="32">
        <f>IF($A28="","",Sales_Daily!$S28)</f>
        <v/>
      </c>
      <c r="G28" s="32">
        <f>IF($A28="","","Sales_Daily")</f>
        <v/>
      </c>
      <c r="H28" s="44">
        <f>IF($A28="","",IF(COUNTIF($A:$A,$A28)&gt;1,"مكرر",""))</f>
        <v/>
      </c>
      <c r="I28" s="32">
        <f>IF($H28="مكرر","مكرر","")</f>
        <v/>
      </c>
    </row>
    <row r="29">
      <c r="A29" s="32">
        <f>IF(Sales_Daily!$A29="","",Sales_Daily!$A29)</f>
        <v/>
      </c>
      <c r="B29" s="32">
        <f>IF($A29="","","SAL")</f>
        <v/>
      </c>
      <c r="C29" s="33">
        <f>IF($A29="","",Sales_Daily!$B29)</f>
        <v/>
      </c>
      <c r="D29" s="32">
        <f>IF($A29="","",Sales_Daily!$C29)</f>
        <v/>
      </c>
      <c r="E29" s="43">
        <f>IF($A29="","",Sales_Daily!$AA29)</f>
        <v/>
      </c>
      <c r="F29" s="32">
        <f>IF($A29="","",Sales_Daily!$S29)</f>
        <v/>
      </c>
      <c r="G29" s="32">
        <f>IF($A29="","","Sales_Daily")</f>
        <v/>
      </c>
      <c r="H29" s="44">
        <f>IF($A29="","",IF(COUNTIF($A:$A,$A29)&gt;1,"مكرر",""))</f>
        <v/>
      </c>
      <c r="I29" s="32">
        <f>IF($H29="مكرر","مكرر","")</f>
        <v/>
      </c>
    </row>
    <row r="30">
      <c r="A30" s="32">
        <f>IF(Sales_Daily!$A30="","",Sales_Daily!$A30)</f>
        <v/>
      </c>
      <c r="B30" s="32">
        <f>IF($A30="","","SAL")</f>
        <v/>
      </c>
      <c r="C30" s="33">
        <f>IF($A30="","",Sales_Daily!$B30)</f>
        <v/>
      </c>
      <c r="D30" s="32">
        <f>IF($A30="","",Sales_Daily!$C30)</f>
        <v/>
      </c>
      <c r="E30" s="43">
        <f>IF($A30="","",Sales_Daily!$AA30)</f>
        <v/>
      </c>
      <c r="F30" s="32">
        <f>IF($A30="","",Sales_Daily!$S30)</f>
        <v/>
      </c>
      <c r="G30" s="32">
        <f>IF($A30="","","Sales_Daily")</f>
        <v/>
      </c>
      <c r="H30" s="44">
        <f>IF($A30="","",IF(COUNTIF($A:$A,$A30)&gt;1,"مكرر",""))</f>
        <v/>
      </c>
      <c r="I30" s="32">
        <f>IF($H30="مكرر","مكرر","")</f>
        <v/>
      </c>
    </row>
    <row r="31">
      <c r="A31" s="32">
        <f>IF(Sales_Daily!$A31="","",Sales_Daily!$A31)</f>
        <v/>
      </c>
      <c r="B31" s="32">
        <f>IF($A31="","","SAL")</f>
        <v/>
      </c>
      <c r="C31" s="33">
        <f>IF($A31="","",Sales_Daily!$B31)</f>
        <v/>
      </c>
      <c r="D31" s="32">
        <f>IF($A31="","",Sales_Daily!$C31)</f>
        <v/>
      </c>
      <c r="E31" s="43">
        <f>IF($A31="","",Sales_Daily!$AA31)</f>
        <v/>
      </c>
      <c r="F31" s="32">
        <f>IF($A31="","",Sales_Daily!$S31)</f>
        <v/>
      </c>
      <c r="G31" s="32">
        <f>IF($A31="","","Sales_Daily")</f>
        <v/>
      </c>
      <c r="H31" s="44">
        <f>IF($A31="","",IF(COUNTIF($A:$A,$A31)&gt;1,"مكرر",""))</f>
        <v/>
      </c>
      <c r="I31" s="32">
        <f>IF($H31="مكرر","مكرر","")</f>
        <v/>
      </c>
    </row>
    <row r="32">
      <c r="A32" s="32">
        <f>IF(Sales_Daily!$A32="","",Sales_Daily!$A32)</f>
        <v/>
      </c>
      <c r="B32" s="32">
        <f>IF($A32="","","SAL")</f>
        <v/>
      </c>
      <c r="C32" s="33">
        <f>IF($A32="","",Sales_Daily!$B32)</f>
        <v/>
      </c>
      <c r="D32" s="32">
        <f>IF($A32="","",Sales_Daily!$C32)</f>
        <v/>
      </c>
      <c r="E32" s="43">
        <f>IF($A32="","",Sales_Daily!$AA32)</f>
        <v/>
      </c>
      <c r="F32" s="32">
        <f>IF($A32="","",Sales_Daily!$S32)</f>
        <v/>
      </c>
      <c r="G32" s="32">
        <f>IF($A32="","","Sales_Daily")</f>
        <v/>
      </c>
      <c r="H32" s="44">
        <f>IF($A32="","",IF(COUNTIF($A:$A,$A32)&gt;1,"مكرر",""))</f>
        <v/>
      </c>
      <c r="I32" s="32">
        <f>IF($H32="مكرر","مكرر","")</f>
        <v/>
      </c>
    </row>
    <row r="33">
      <c r="A33" s="32">
        <f>IF(Sales_Daily!$A33="","",Sales_Daily!$A33)</f>
        <v/>
      </c>
      <c r="B33" s="32">
        <f>IF($A33="","","SAL")</f>
        <v/>
      </c>
      <c r="C33" s="33">
        <f>IF($A33="","",Sales_Daily!$B33)</f>
        <v/>
      </c>
      <c r="D33" s="32">
        <f>IF($A33="","",Sales_Daily!$C33)</f>
        <v/>
      </c>
      <c r="E33" s="43">
        <f>IF($A33="","",Sales_Daily!$AA33)</f>
        <v/>
      </c>
      <c r="F33" s="32">
        <f>IF($A33="","",Sales_Daily!$S33)</f>
        <v/>
      </c>
      <c r="G33" s="32">
        <f>IF($A33="","","Sales_Daily")</f>
        <v/>
      </c>
      <c r="H33" s="44">
        <f>IF($A33="","",IF(COUNTIF($A:$A,$A33)&gt;1,"مكرر",""))</f>
        <v/>
      </c>
      <c r="I33" s="32">
        <f>IF($H33="مكرر","مكرر","")</f>
        <v/>
      </c>
    </row>
    <row r="34">
      <c r="A34" s="32">
        <f>IF(Sales_Daily!$A34="","",Sales_Daily!$A34)</f>
        <v/>
      </c>
      <c r="B34" s="32">
        <f>IF($A34="","","SAL")</f>
        <v/>
      </c>
      <c r="C34" s="33">
        <f>IF($A34="","",Sales_Daily!$B34)</f>
        <v/>
      </c>
      <c r="D34" s="32">
        <f>IF($A34="","",Sales_Daily!$C34)</f>
        <v/>
      </c>
      <c r="E34" s="43">
        <f>IF($A34="","",Sales_Daily!$AA34)</f>
        <v/>
      </c>
      <c r="F34" s="32">
        <f>IF($A34="","",Sales_Daily!$S34)</f>
        <v/>
      </c>
      <c r="G34" s="32">
        <f>IF($A34="","","Sales_Daily")</f>
        <v/>
      </c>
      <c r="H34" s="44">
        <f>IF($A34="","",IF(COUNTIF($A:$A,$A34)&gt;1,"مكرر",""))</f>
        <v/>
      </c>
      <c r="I34" s="32">
        <f>IF($H34="مكرر","مكرر","")</f>
        <v/>
      </c>
    </row>
    <row r="35">
      <c r="A35" s="32">
        <f>IF(Sales_Daily!$A35="","",Sales_Daily!$A35)</f>
        <v/>
      </c>
      <c r="B35" s="32">
        <f>IF($A35="","","SAL")</f>
        <v/>
      </c>
      <c r="C35" s="33">
        <f>IF($A35="","",Sales_Daily!$B35)</f>
        <v/>
      </c>
      <c r="D35" s="32">
        <f>IF($A35="","",Sales_Daily!$C35)</f>
        <v/>
      </c>
      <c r="E35" s="43">
        <f>IF($A35="","",Sales_Daily!$AA35)</f>
        <v/>
      </c>
      <c r="F35" s="32">
        <f>IF($A35="","",Sales_Daily!$S35)</f>
        <v/>
      </c>
      <c r="G35" s="32">
        <f>IF($A35="","","Sales_Daily")</f>
        <v/>
      </c>
      <c r="H35" s="44">
        <f>IF($A35="","",IF(COUNTIF($A:$A,$A35)&gt;1,"مكرر",""))</f>
        <v/>
      </c>
      <c r="I35" s="32">
        <f>IF($H35="مكرر","مكرر","")</f>
        <v/>
      </c>
    </row>
    <row r="36">
      <c r="A36" s="32">
        <f>IF(Sales_Daily!$A36="","",Sales_Daily!$A36)</f>
        <v/>
      </c>
      <c r="B36" s="32">
        <f>IF($A36="","","SAL")</f>
        <v/>
      </c>
      <c r="C36" s="33">
        <f>IF($A36="","",Sales_Daily!$B36)</f>
        <v/>
      </c>
      <c r="D36" s="32">
        <f>IF($A36="","",Sales_Daily!$C36)</f>
        <v/>
      </c>
      <c r="E36" s="43">
        <f>IF($A36="","",Sales_Daily!$AA36)</f>
        <v/>
      </c>
      <c r="F36" s="32">
        <f>IF($A36="","",Sales_Daily!$S36)</f>
        <v/>
      </c>
      <c r="G36" s="32">
        <f>IF($A36="","","Sales_Daily")</f>
        <v/>
      </c>
      <c r="H36" s="44">
        <f>IF($A36="","",IF(COUNTIF($A:$A,$A36)&gt;1,"مكرر",""))</f>
        <v/>
      </c>
      <c r="I36" s="32">
        <f>IF($H36="مكرر","مكرر","")</f>
        <v/>
      </c>
    </row>
    <row r="37">
      <c r="A37" s="32">
        <f>IF(Sales_Daily!$A37="","",Sales_Daily!$A37)</f>
        <v/>
      </c>
      <c r="B37" s="32">
        <f>IF($A37="","","SAL")</f>
        <v/>
      </c>
      <c r="C37" s="33">
        <f>IF($A37="","",Sales_Daily!$B37)</f>
        <v/>
      </c>
      <c r="D37" s="32">
        <f>IF($A37="","",Sales_Daily!$C37)</f>
        <v/>
      </c>
      <c r="E37" s="43">
        <f>IF($A37="","",Sales_Daily!$AA37)</f>
        <v/>
      </c>
      <c r="F37" s="32">
        <f>IF($A37="","",Sales_Daily!$S37)</f>
        <v/>
      </c>
      <c r="G37" s="32">
        <f>IF($A37="","","Sales_Daily")</f>
        <v/>
      </c>
      <c r="H37" s="44">
        <f>IF($A37="","",IF(COUNTIF($A:$A,$A37)&gt;1,"مكرر",""))</f>
        <v/>
      </c>
      <c r="I37" s="32">
        <f>IF($H37="مكرر","مكرر","")</f>
        <v/>
      </c>
    </row>
    <row r="38">
      <c r="A38" s="32">
        <f>IF(Sales_Daily!$A38="","",Sales_Daily!$A38)</f>
        <v/>
      </c>
      <c r="B38" s="32">
        <f>IF($A38="","","SAL")</f>
        <v/>
      </c>
      <c r="C38" s="33">
        <f>IF($A38="","",Sales_Daily!$B38)</f>
        <v/>
      </c>
      <c r="D38" s="32">
        <f>IF($A38="","",Sales_Daily!$C38)</f>
        <v/>
      </c>
      <c r="E38" s="43">
        <f>IF($A38="","",Sales_Daily!$AA38)</f>
        <v/>
      </c>
      <c r="F38" s="32">
        <f>IF($A38="","",Sales_Daily!$S38)</f>
        <v/>
      </c>
      <c r="G38" s="32">
        <f>IF($A38="","","Sales_Daily")</f>
        <v/>
      </c>
      <c r="H38" s="44">
        <f>IF($A38="","",IF(COUNTIF($A:$A,$A38)&gt;1,"مكرر",""))</f>
        <v/>
      </c>
      <c r="I38" s="32">
        <f>IF($H38="مكرر","مكرر","")</f>
        <v/>
      </c>
    </row>
    <row r="39">
      <c r="A39" s="32">
        <f>IF(Sales_Daily!$A39="","",Sales_Daily!$A39)</f>
        <v/>
      </c>
      <c r="B39" s="32">
        <f>IF($A39="","","SAL")</f>
        <v/>
      </c>
      <c r="C39" s="33">
        <f>IF($A39="","",Sales_Daily!$B39)</f>
        <v/>
      </c>
      <c r="D39" s="32">
        <f>IF($A39="","",Sales_Daily!$C39)</f>
        <v/>
      </c>
      <c r="E39" s="43">
        <f>IF($A39="","",Sales_Daily!$AA39)</f>
        <v/>
      </c>
      <c r="F39" s="32">
        <f>IF($A39="","",Sales_Daily!$S39)</f>
        <v/>
      </c>
      <c r="G39" s="32">
        <f>IF($A39="","","Sales_Daily")</f>
        <v/>
      </c>
      <c r="H39" s="44">
        <f>IF($A39="","",IF(COUNTIF($A:$A,$A39)&gt;1,"مكرر",""))</f>
        <v/>
      </c>
      <c r="I39" s="32">
        <f>IF($H39="مكرر","مكرر","")</f>
        <v/>
      </c>
    </row>
    <row r="40">
      <c r="A40" s="32">
        <f>IF(Sales_Daily!$A40="","",Sales_Daily!$A40)</f>
        <v/>
      </c>
      <c r="B40" s="32">
        <f>IF($A40="","","SAL")</f>
        <v/>
      </c>
      <c r="C40" s="33">
        <f>IF($A40="","",Sales_Daily!$B40)</f>
        <v/>
      </c>
      <c r="D40" s="32">
        <f>IF($A40="","",Sales_Daily!$C40)</f>
        <v/>
      </c>
      <c r="E40" s="43">
        <f>IF($A40="","",Sales_Daily!$AA40)</f>
        <v/>
      </c>
      <c r="F40" s="32">
        <f>IF($A40="","",Sales_Daily!$S40)</f>
        <v/>
      </c>
      <c r="G40" s="32">
        <f>IF($A40="","","Sales_Daily")</f>
        <v/>
      </c>
      <c r="H40" s="44">
        <f>IF($A40="","",IF(COUNTIF($A:$A,$A40)&gt;1,"مكرر",""))</f>
        <v/>
      </c>
      <c r="I40" s="32">
        <f>IF($H40="مكرر","مكرر","")</f>
        <v/>
      </c>
    </row>
    <row r="41">
      <c r="A41" s="32">
        <f>IF(Sales_Daily!$A41="","",Sales_Daily!$A41)</f>
        <v/>
      </c>
      <c r="B41" s="32">
        <f>IF($A41="","","SAL")</f>
        <v/>
      </c>
      <c r="C41" s="33">
        <f>IF($A41="","",Sales_Daily!$B41)</f>
        <v/>
      </c>
      <c r="D41" s="32">
        <f>IF($A41="","",Sales_Daily!$C41)</f>
        <v/>
      </c>
      <c r="E41" s="43">
        <f>IF($A41="","",Sales_Daily!$AA41)</f>
        <v/>
      </c>
      <c r="F41" s="32">
        <f>IF($A41="","",Sales_Daily!$S41)</f>
        <v/>
      </c>
      <c r="G41" s="32">
        <f>IF($A41="","","Sales_Daily")</f>
        <v/>
      </c>
      <c r="H41" s="44">
        <f>IF($A41="","",IF(COUNTIF($A:$A,$A41)&gt;1,"مكرر",""))</f>
        <v/>
      </c>
      <c r="I41" s="32">
        <f>IF($H41="مكرر","مكرر","")</f>
        <v/>
      </c>
    </row>
    <row r="42">
      <c r="A42" s="32">
        <f>IF(Sales_Daily!$A42="","",Sales_Daily!$A42)</f>
        <v/>
      </c>
      <c r="B42" s="32">
        <f>IF($A42="","","SAL")</f>
        <v/>
      </c>
      <c r="C42" s="33">
        <f>IF($A42="","",Sales_Daily!$B42)</f>
        <v/>
      </c>
      <c r="D42" s="32">
        <f>IF($A42="","",Sales_Daily!$C42)</f>
        <v/>
      </c>
      <c r="E42" s="43">
        <f>IF($A42="","",Sales_Daily!$AA42)</f>
        <v/>
      </c>
      <c r="F42" s="32">
        <f>IF($A42="","",Sales_Daily!$S42)</f>
        <v/>
      </c>
      <c r="G42" s="32">
        <f>IF($A42="","","Sales_Daily")</f>
        <v/>
      </c>
      <c r="H42" s="44">
        <f>IF($A42="","",IF(COUNTIF($A:$A,$A42)&gt;1,"مكرر",""))</f>
        <v/>
      </c>
      <c r="I42" s="32">
        <f>IF($H42="مكرر","مكرر","")</f>
        <v/>
      </c>
    </row>
    <row r="43">
      <c r="A43" s="32">
        <f>IF(Sales_Daily!$A43="","",Sales_Daily!$A43)</f>
        <v/>
      </c>
      <c r="B43" s="32">
        <f>IF($A43="","","SAL")</f>
        <v/>
      </c>
      <c r="C43" s="33">
        <f>IF($A43="","",Sales_Daily!$B43)</f>
        <v/>
      </c>
      <c r="D43" s="32">
        <f>IF($A43="","",Sales_Daily!$C43)</f>
        <v/>
      </c>
      <c r="E43" s="43">
        <f>IF($A43="","",Sales_Daily!$AA43)</f>
        <v/>
      </c>
      <c r="F43" s="32">
        <f>IF($A43="","",Sales_Daily!$S43)</f>
        <v/>
      </c>
      <c r="G43" s="32">
        <f>IF($A43="","","Sales_Daily")</f>
        <v/>
      </c>
      <c r="H43" s="44">
        <f>IF($A43="","",IF(COUNTIF($A:$A,$A43)&gt;1,"مكرر",""))</f>
        <v/>
      </c>
      <c r="I43" s="32">
        <f>IF($H43="مكرر","مكرر","")</f>
        <v/>
      </c>
    </row>
    <row r="44">
      <c r="A44" s="32">
        <f>IF(Sales_Daily!$A44="","",Sales_Daily!$A44)</f>
        <v/>
      </c>
      <c r="B44" s="32">
        <f>IF($A44="","","SAL")</f>
        <v/>
      </c>
      <c r="C44" s="33">
        <f>IF($A44="","",Sales_Daily!$B44)</f>
        <v/>
      </c>
      <c r="D44" s="32">
        <f>IF($A44="","",Sales_Daily!$C44)</f>
        <v/>
      </c>
      <c r="E44" s="43">
        <f>IF($A44="","",Sales_Daily!$AA44)</f>
        <v/>
      </c>
      <c r="F44" s="32">
        <f>IF($A44="","",Sales_Daily!$S44)</f>
        <v/>
      </c>
      <c r="G44" s="32">
        <f>IF($A44="","","Sales_Daily")</f>
        <v/>
      </c>
      <c r="H44" s="44">
        <f>IF($A44="","",IF(COUNTIF($A:$A,$A44)&gt;1,"مكرر",""))</f>
        <v/>
      </c>
      <c r="I44" s="32">
        <f>IF($H44="مكرر","مكرر","")</f>
        <v/>
      </c>
    </row>
    <row r="45">
      <c r="A45" s="32">
        <f>IF(Sales_Daily!$A45="","",Sales_Daily!$A45)</f>
        <v/>
      </c>
      <c r="B45" s="32">
        <f>IF($A45="","","SAL")</f>
        <v/>
      </c>
      <c r="C45" s="33">
        <f>IF($A45="","",Sales_Daily!$B45)</f>
        <v/>
      </c>
      <c r="D45" s="32">
        <f>IF($A45="","",Sales_Daily!$C45)</f>
        <v/>
      </c>
      <c r="E45" s="43">
        <f>IF($A45="","",Sales_Daily!$AA45)</f>
        <v/>
      </c>
      <c r="F45" s="32">
        <f>IF($A45="","",Sales_Daily!$S45)</f>
        <v/>
      </c>
      <c r="G45" s="32">
        <f>IF($A45="","","Sales_Daily")</f>
        <v/>
      </c>
      <c r="H45" s="44">
        <f>IF($A45="","",IF(COUNTIF($A:$A,$A45)&gt;1,"مكرر",""))</f>
        <v/>
      </c>
      <c r="I45" s="32">
        <f>IF($H45="مكرر","مكرر","")</f>
        <v/>
      </c>
    </row>
    <row r="46">
      <c r="A46" s="32">
        <f>IF(Sales_Daily!$A46="","",Sales_Daily!$A46)</f>
        <v/>
      </c>
      <c r="B46" s="32">
        <f>IF($A46="","","SAL")</f>
        <v/>
      </c>
      <c r="C46" s="33">
        <f>IF($A46="","",Sales_Daily!$B46)</f>
        <v/>
      </c>
      <c r="D46" s="32">
        <f>IF($A46="","",Sales_Daily!$C46)</f>
        <v/>
      </c>
      <c r="E46" s="43">
        <f>IF($A46="","",Sales_Daily!$AA46)</f>
        <v/>
      </c>
      <c r="F46" s="32">
        <f>IF($A46="","",Sales_Daily!$S46)</f>
        <v/>
      </c>
      <c r="G46" s="32">
        <f>IF($A46="","","Sales_Daily")</f>
        <v/>
      </c>
      <c r="H46" s="44">
        <f>IF($A46="","",IF(COUNTIF($A:$A,$A46)&gt;1,"مكرر",""))</f>
        <v/>
      </c>
      <c r="I46" s="32">
        <f>IF($H46="مكرر","مكرر","")</f>
        <v/>
      </c>
    </row>
    <row r="47">
      <c r="A47" s="32">
        <f>IF(Sales_Daily!$A47="","",Sales_Daily!$A47)</f>
        <v/>
      </c>
      <c r="B47" s="32">
        <f>IF($A47="","","SAL")</f>
        <v/>
      </c>
      <c r="C47" s="33">
        <f>IF($A47="","",Sales_Daily!$B47)</f>
        <v/>
      </c>
      <c r="D47" s="32">
        <f>IF($A47="","",Sales_Daily!$C47)</f>
        <v/>
      </c>
      <c r="E47" s="43">
        <f>IF($A47="","",Sales_Daily!$AA47)</f>
        <v/>
      </c>
      <c r="F47" s="32">
        <f>IF($A47="","",Sales_Daily!$S47)</f>
        <v/>
      </c>
      <c r="G47" s="32">
        <f>IF($A47="","","Sales_Daily")</f>
        <v/>
      </c>
      <c r="H47" s="44">
        <f>IF($A47="","",IF(COUNTIF($A:$A,$A47)&gt;1,"مكرر",""))</f>
        <v/>
      </c>
      <c r="I47" s="32">
        <f>IF($H47="مكرر","مكرر","")</f>
        <v/>
      </c>
    </row>
    <row r="48">
      <c r="A48" s="32">
        <f>IF(Sales_Daily!$A48="","",Sales_Daily!$A48)</f>
        <v/>
      </c>
      <c r="B48" s="32">
        <f>IF($A48="","","SAL")</f>
        <v/>
      </c>
      <c r="C48" s="33">
        <f>IF($A48="","",Sales_Daily!$B48)</f>
        <v/>
      </c>
      <c r="D48" s="32">
        <f>IF($A48="","",Sales_Daily!$C48)</f>
        <v/>
      </c>
      <c r="E48" s="43">
        <f>IF($A48="","",Sales_Daily!$AA48)</f>
        <v/>
      </c>
      <c r="F48" s="32">
        <f>IF($A48="","",Sales_Daily!$S48)</f>
        <v/>
      </c>
      <c r="G48" s="32">
        <f>IF($A48="","","Sales_Daily")</f>
        <v/>
      </c>
      <c r="H48" s="44">
        <f>IF($A48="","",IF(COUNTIF($A:$A,$A48)&gt;1,"مكرر",""))</f>
        <v/>
      </c>
      <c r="I48" s="32">
        <f>IF($H48="مكرر","مكرر","")</f>
        <v/>
      </c>
    </row>
    <row r="49">
      <c r="A49" s="32">
        <f>IF(Sales_Daily!$A49="","",Sales_Daily!$A49)</f>
        <v/>
      </c>
      <c r="B49" s="32">
        <f>IF($A49="","","SAL")</f>
        <v/>
      </c>
      <c r="C49" s="33">
        <f>IF($A49="","",Sales_Daily!$B49)</f>
        <v/>
      </c>
      <c r="D49" s="32">
        <f>IF($A49="","",Sales_Daily!$C49)</f>
        <v/>
      </c>
      <c r="E49" s="43">
        <f>IF($A49="","",Sales_Daily!$AA49)</f>
        <v/>
      </c>
      <c r="F49" s="32">
        <f>IF($A49="","",Sales_Daily!$S49)</f>
        <v/>
      </c>
      <c r="G49" s="32">
        <f>IF($A49="","","Sales_Daily")</f>
        <v/>
      </c>
      <c r="H49" s="44">
        <f>IF($A49="","",IF(COUNTIF($A:$A,$A49)&gt;1,"مكرر",""))</f>
        <v/>
      </c>
      <c r="I49" s="32">
        <f>IF($H49="مكرر","مكرر","")</f>
        <v/>
      </c>
    </row>
    <row r="50">
      <c r="A50" s="32">
        <f>IF(Sales_Daily!$A50="","",Sales_Daily!$A50)</f>
        <v/>
      </c>
      <c r="B50" s="32">
        <f>IF($A50="","","SAL")</f>
        <v/>
      </c>
      <c r="C50" s="33">
        <f>IF($A50="","",Sales_Daily!$B50)</f>
        <v/>
      </c>
      <c r="D50" s="32">
        <f>IF($A50="","",Sales_Daily!$C50)</f>
        <v/>
      </c>
      <c r="E50" s="43">
        <f>IF($A50="","",Sales_Daily!$AA50)</f>
        <v/>
      </c>
      <c r="F50" s="32">
        <f>IF($A50="","",Sales_Daily!$S50)</f>
        <v/>
      </c>
      <c r="G50" s="32">
        <f>IF($A50="","","Sales_Daily")</f>
        <v/>
      </c>
      <c r="H50" s="44">
        <f>IF($A50="","",IF(COUNTIF($A:$A,$A50)&gt;1,"مكرر",""))</f>
        <v/>
      </c>
      <c r="I50" s="32">
        <f>IF($H50="مكرر","مكرر","")</f>
        <v/>
      </c>
    </row>
    <row r="51">
      <c r="A51" s="32">
        <f>IF(Sales_Daily!$A51="","",Sales_Daily!$A51)</f>
        <v/>
      </c>
      <c r="B51" s="32">
        <f>IF($A51="","","SAL")</f>
        <v/>
      </c>
      <c r="C51" s="33">
        <f>IF($A51="","",Sales_Daily!$B51)</f>
        <v/>
      </c>
      <c r="D51" s="32">
        <f>IF($A51="","",Sales_Daily!$C51)</f>
        <v/>
      </c>
      <c r="E51" s="43">
        <f>IF($A51="","",Sales_Daily!$AA51)</f>
        <v/>
      </c>
      <c r="F51" s="32">
        <f>IF($A51="","",Sales_Daily!$S51)</f>
        <v/>
      </c>
      <c r="G51" s="32">
        <f>IF($A51="","","Sales_Daily")</f>
        <v/>
      </c>
      <c r="H51" s="44">
        <f>IF($A51="","",IF(COUNTIF($A:$A,$A51)&gt;1,"مكرر",""))</f>
        <v/>
      </c>
      <c r="I51" s="32">
        <f>IF($H51="مكرر","مكرر","")</f>
        <v/>
      </c>
    </row>
    <row r="52">
      <c r="A52" s="32">
        <f>IF(Sales_Daily!$A52="","",Sales_Daily!$A52)</f>
        <v/>
      </c>
      <c r="B52" s="32">
        <f>IF($A52="","","SAL")</f>
        <v/>
      </c>
      <c r="C52" s="33">
        <f>IF($A52="","",Sales_Daily!$B52)</f>
        <v/>
      </c>
      <c r="D52" s="32">
        <f>IF($A52="","",Sales_Daily!$C52)</f>
        <v/>
      </c>
      <c r="E52" s="43">
        <f>IF($A52="","",Sales_Daily!$AA52)</f>
        <v/>
      </c>
      <c r="F52" s="32">
        <f>IF($A52="","",Sales_Daily!$S52)</f>
        <v/>
      </c>
      <c r="G52" s="32">
        <f>IF($A52="","","Sales_Daily")</f>
        <v/>
      </c>
      <c r="H52" s="44">
        <f>IF($A52="","",IF(COUNTIF($A:$A,$A52)&gt;1,"مكرر",""))</f>
        <v/>
      </c>
      <c r="I52" s="32">
        <f>IF($H52="مكرر","مكرر","")</f>
        <v/>
      </c>
    </row>
    <row r="53">
      <c r="A53" s="32">
        <f>IF(Sales_Daily!$A53="","",Sales_Daily!$A53)</f>
        <v/>
      </c>
      <c r="B53" s="32">
        <f>IF($A53="","","SAL")</f>
        <v/>
      </c>
      <c r="C53" s="33">
        <f>IF($A53="","",Sales_Daily!$B53)</f>
        <v/>
      </c>
      <c r="D53" s="32">
        <f>IF($A53="","",Sales_Daily!$C53)</f>
        <v/>
      </c>
      <c r="E53" s="43">
        <f>IF($A53="","",Sales_Daily!$AA53)</f>
        <v/>
      </c>
      <c r="F53" s="32">
        <f>IF($A53="","",Sales_Daily!$S53)</f>
        <v/>
      </c>
      <c r="G53" s="32">
        <f>IF($A53="","","Sales_Daily")</f>
        <v/>
      </c>
      <c r="H53" s="44">
        <f>IF($A53="","",IF(COUNTIF($A:$A,$A53)&gt;1,"مكرر",""))</f>
        <v/>
      </c>
      <c r="I53" s="32">
        <f>IF($H53="مكرر","مكرر","")</f>
        <v/>
      </c>
    </row>
    <row r="54">
      <c r="A54" s="32">
        <f>IF(Sales_Daily!$A54="","",Sales_Daily!$A54)</f>
        <v/>
      </c>
      <c r="B54" s="32">
        <f>IF($A54="","","SAL")</f>
        <v/>
      </c>
      <c r="C54" s="33">
        <f>IF($A54="","",Sales_Daily!$B54)</f>
        <v/>
      </c>
      <c r="D54" s="32">
        <f>IF($A54="","",Sales_Daily!$C54)</f>
        <v/>
      </c>
      <c r="E54" s="43">
        <f>IF($A54="","",Sales_Daily!$AA54)</f>
        <v/>
      </c>
      <c r="F54" s="32">
        <f>IF($A54="","",Sales_Daily!$S54)</f>
        <v/>
      </c>
      <c r="G54" s="32">
        <f>IF($A54="","","Sales_Daily")</f>
        <v/>
      </c>
      <c r="H54" s="44">
        <f>IF($A54="","",IF(COUNTIF($A:$A,$A54)&gt;1,"مكرر",""))</f>
        <v/>
      </c>
      <c r="I54" s="32">
        <f>IF($H54="مكرر","مكرر","")</f>
        <v/>
      </c>
    </row>
    <row r="55">
      <c r="A55" s="32">
        <f>IF(Sales_Daily!$A55="","",Sales_Daily!$A55)</f>
        <v/>
      </c>
      <c r="B55" s="32">
        <f>IF($A55="","","SAL")</f>
        <v/>
      </c>
      <c r="C55" s="33">
        <f>IF($A55="","",Sales_Daily!$B55)</f>
        <v/>
      </c>
      <c r="D55" s="32">
        <f>IF($A55="","",Sales_Daily!$C55)</f>
        <v/>
      </c>
      <c r="E55" s="43">
        <f>IF($A55="","",Sales_Daily!$AA55)</f>
        <v/>
      </c>
      <c r="F55" s="32">
        <f>IF($A55="","",Sales_Daily!$S55)</f>
        <v/>
      </c>
      <c r="G55" s="32">
        <f>IF($A55="","","Sales_Daily")</f>
        <v/>
      </c>
      <c r="H55" s="44">
        <f>IF($A55="","",IF(COUNTIF($A:$A,$A55)&gt;1,"مكرر",""))</f>
        <v/>
      </c>
      <c r="I55" s="32">
        <f>IF($H55="مكرر","مكرر","")</f>
        <v/>
      </c>
    </row>
    <row r="56">
      <c r="A56" s="32">
        <f>IF(Sales_Daily!$A56="","",Sales_Daily!$A56)</f>
        <v/>
      </c>
      <c r="B56" s="32">
        <f>IF($A56="","","SAL")</f>
        <v/>
      </c>
      <c r="C56" s="33">
        <f>IF($A56="","",Sales_Daily!$B56)</f>
        <v/>
      </c>
      <c r="D56" s="32">
        <f>IF($A56="","",Sales_Daily!$C56)</f>
        <v/>
      </c>
      <c r="E56" s="43">
        <f>IF($A56="","",Sales_Daily!$AA56)</f>
        <v/>
      </c>
      <c r="F56" s="32">
        <f>IF($A56="","",Sales_Daily!$S56)</f>
        <v/>
      </c>
      <c r="G56" s="32">
        <f>IF($A56="","","Sales_Daily")</f>
        <v/>
      </c>
      <c r="H56" s="44">
        <f>IF($A56="","",IF(COUNTIF($A:$A,$A56)&gt;1,"مكرر",""))</f>
        <v/>
      </c>
      <c r="I56" s="32">
        <f>IF($H56="مكرر","مكرر","")</f>
        <v/>
      </c>
    </row>
    <row r="57">
      <c r="A57" s="32">
        <f>IF(Sales_Daily!$A57="","",Sales_Daily!$A57)</f>
        <v/>
      </c>
      <c r="B57" s="32">
        <f>IF($A57="","","SAL")</f>
        <v/>
      </c>
      <c r="C57" s="33">
        <f>IF($A57="","",Sales_Daily!$B57)</f>
        <v/>
      </c>
      <c r="D57" s="32">
        <f>IF($A57="","",Sales_Daily!$C57)</f>
        <v/>
      </c>
      <c r="E57" s="43">
        <f>IF($A57="","",Sales_Daily!$AA57)</f>
        <v/>
      </c>
      <c r="F57" s="32">
        <f>IF($A57="","",Sales_Daily!$S57)</f>
        <v/>
      </c>
      <c r="G57" s="32">
        <f>IF($A57="","","Sales_Daily")</f>
        <v/>
      </c>
      <c r="H57" s="44">
        <f>IF($A57="","",IF(COUNTIF($A:$A,$A57)&gt;1,"مكرر",""))</f>
        <v/>
      </c>
      <c r="I57" s="32">
        <f>IF($H57="مكرر","مكرر","")</f>
        <v/>
      </c>
    </row>
    <row r="58">
      <c r="A58" s="32">
        <f>IF(Sales_Daily!$A58="","",Sales_Daily!$A58)</f>
        <v/>
      </c>
      <c r="B58" s="32">
        <f>IF($A58="","","SAL")</f>
        <v/>
      </c>
      <c r="C58" s="33">
        <f>IF($A58="","",Sales_Daily!$B58)</f>
        <v/>
      </c>
      <c r="D58" s="32">
        <f>IF($A58="","",Sales_Daily!$C58)</f>
        <v/>
      </c>
      <c r="E58" s="43">
        <f>IF($A58="","",Sales_Daily!$AA58)</f>
        <v/>
      </c>
      <c r="F58" s="32">
        <f>IF($A58="","",Sales_Daily!$S58)</f>
        <v/>
      </c>
      <c r="G58" s="32">
        <f>IF($A58="","","Sales_Daily")</f>
        <v/>
      </c>
      <c r="H58" s="44">
        <f>IF($A58="","",IF(COUNTIF($A:$A,$A58)&gt;1,"مكرر",""))</f>
        <v/>
      </c>
      <c r="I58" s="32">
        <f>IF($H58="مكرر","مكرر","")</f>
        <v/>
      </c>
    </row>
    <row r="59">
      <c r="A59" s="32">
        <f>IF(Sales_Daily!$A59="","",Sales_Daily!$A59)</f>
        <v/>
      </c>
      <c r="B59" s="32">
        <f>IF($A59="","","SAL")</f>
        <v/>
      </c>
      <c r="C59" s="33">
        <f>IF($A59="","",Sales_Daily!$B59)</f>
        <v/>
      </c>
      <c r="D59" s="32">
        <f>IF($A59="","",Sales_Daily!$C59)</f>
        <v/>
      </c>
      <c r="E59" s="43">
        <f>IF($A59="","",Sales_Daily!$AA59)</f>
        <v/>
      </c>
      <c r="F59" s="32">
        <f>IF($A59="","",Sales_Daily!$S59)</f>
        <v/>
      </c>
      <c r="G59" s="32">
        <f>IF($A59="","","Sales_Daily")</f>
        <v/>
      </c>
      <c r="H59" s="44">
        <f>IF($A59="","",IF(COUNTIF($A:$A,$A59)&gt;1,"مكرر",""))</f>
        <v/>
      </c>
      <c r="I59" s="32">
        <f>IF($H59="مكرر","مكرر","")</f>
        <v/>
      </c>
    </row>
    <row r="60">
      <c r="A60" s="32">
        <f>IF(Sales_Daily!$A60="","",Sales_Daily!$A60)</f>
        <v/>
      </c>
      <c r="B60" s="32">
        <f>IF($A60="","","SAL")</f>
        <v/>
      </c>
      <c r="C60" s="33">
        <f>IF($A60="","",Sales_Daily!$B60)</f>
        <v/>
      </c>
      <c r="D60" s="32">
        <f>IF($A60="","",Sales_Daily!$C60)</f>
        <v/>
      </c>
      <c r="E60" s="43">
        <f>IF($A60="","",Sales_Daily!$AA60)</f>
        <v/>
      </c>
      <c r="F60" s="32">
        <f>IF($A60="","",Sales_Daily!$S60)</f>
        <v/>
      </c>
      <c r="G60" s="32">
        <f>IF($A60="","","Sales_Daily")</f>
        <v/>
      </c>
      <c r="H60" s="44">
        <f>IF($A60="","",IF(COUNTIF($A:$A,$A60)&gt;1,"مكرر",""))</f>
        <v/>
      </c>
      <c r="I60" s="32">
        <f>IF($H60="مكرر","مكرر","")</f>
        <v/>
      </c>
    </row>
    <row r="61">
      <c r="A61" s="32">
        <f>IF(Platform_Settlements!$A5="","",Platform_Settlements!$A5)</f>
        <v/>
      </c>
      <c r="B61" s="32">
        <f>IF($A61="","","PLT")</f>
        <v/>
      </c>
      <c r="C61" s="33">
        <f>IF($A61="","",Platform_Settlements!$B5)</f>
        <v/>
      </c>
      <c r="D61" s="32">
        <f>IF($A61="","",Platform_Settlements!$D5)</f>
        <v/>
      </c>
      <c r="E61" s="43">
        <f>IF($A61="","",Platform_Settlements!$J5)</f>
        <v/>
      </c>
      <c r="F61" s="32">
        <f>IF($A61="","",Platform_Settlements!$L5)</f>
        <v/>
      </c>
      <c r="G61" s="32">
        <f>IF($A61="","","Platform_Settlements")</f>
        <v/>
      </c>
      <c r="H61" s="44">
        <f>IF($A61="","",IF(COUNTIF($A:$A,$A61)&gt;1,"مكرر",""))</f>
        <v/>
      </c>
      <c r="I61" s="32">
        <f>IF($H61="مكرر","مكرر","")</f>
        <v/>
      </c>
    </row>
    <row r="62">
      <c r="A62" s="32">
        <f>IF(Platform_Settlements!$A6="","",Platform_Settlements!$A6)</f>
        <v/>
      </c>
      <c r="B62" s="32">
        <f>IF($A62="","","PLT")</f>
        <v/>
      </c>
      <c r="C62" s="33">
        <f>IF($A62="","",Platform_Settlements!$B6)</f>
        <v/>
      </c>
      <c r="D62" s="32">
        <f>IF($A62="","",Platform_Settlements!$D6)</f>
        <v/>
      </c>
      <c r="E62" s="43">
        <f>IF($A62="","",Platform_Settlements!$J6)</f>
        <v/>
      </c>
      <c r="F62" s="32">
        <f>IF($A62="","",Platform_Settlements!$L6)</f>
        <v/>
      </c>
      <c r="G62" s="32">
        <f>IF($A62="","","Platform_Settlements")</f>
        <v/>
      </c>
      <c r="H62" s="44">
        <f>IF($A62="","",IF(COUNTIF($A:$A,$A62)&gt;1,"مكرر",""))</f>
        <v/>
      </c>
      <c r="I62" s="32">
        <f>IF($H62="مكرر","مكرر","")</f>
        <v/>
      </c>
    </row>
    <row r="63">
      <c r="A63" s="32">
        <f>IF(Platform_Settlements!$A7="","",Platform_Settlements!$A7)</f>
        <v/>
      </c>
      <c r="B63" s="32">
        <f>IF($A63="","","PLT")</f>
        <v/>
      </c>
      <c r="C63" s="33">
        <f>IF($A63="","",Platform_Settlements!$B7)</f>
        <v/>
      </c>
      <c r="D63" s="32">
        <f>IF($A63="","",Platform_Settlements!$D7)</f>
        <v/>
      </c>
      <c r="E63" s="43">
        <f>IF($A63="","",Platform_Settlements!$J7)</f>
        <v/>
      </c>
      <c r="F63" s="32">
        <f>IF($A63="","",Platform_Settlements!$L7)</f>
        <v/>
      </c>
      <c r="G63" s="32">
        <f>IF($A63="","","Platform_Settlements")</f>
        <v/>
      </c>
      <c r="H63" s="44">
        <f>IF($A63="","",IF(COUNTIF($A:$A,$A63)&gt;1,"مكرر",""))</f>
        <v/>
      </c>
      <c r="I63" s="32">
        <f>IF($H63="مكرر","مكرر","")</f>
        <v/>
      </c>
    </row>
    <row r="64">
      <c r="A64" s="32">
        <f>IF(Platform_Settlements!$A8="","",Platform_Settlements!$A8)</f>
        <v/>
      </c>
      <c r="B64" s="32">
        <f>IF($A64="","","PLT")</f>
        <v/>
      </c>
      <c r="C64" s="33">
        <f>IF($A64="","",Platform_Settlements!$B8)</f>
        <v/>
      </c>
      <c r="D64" s="32">
        <f>IF($A64="","",Platform_Settlements!$D8)</f>
        <v/>
      </c>
      <c r="E64" s="43">
        <f>IF($A64="","",Platform_Settlements!$J8)</f>
        <v/>
      </c>
      <c r="F64" s="32">
        <f>IF($A64="","",Platform_Settlements!$L8)</f>
        <v/>
      </c>
      <c r="G64" s="32">
        <f>IF($A64="","","Platform_Settlements")</f>
        <v/>
      </c>
      <c r="H64" s="44">
        <f>IF($A64="","",IF(COUNTIF($A:$A,$A64)&gt;1,"مكرر",""))</f>
        <v/>
      </c>
      <c r="I64" s="32">
        <f>IF($H64="مكرر","مكرر","")</f>
        <v/>
      </c>
    </row>
    <row r="65">
      <c r="A65" s="32">
        <f>IF(Platform_Settlements!$A9="","",Platform_Settlements!$A9)</f>
        <v/>
      </c>
      <c r="B65" s="32">
        <f>IF($A65="","","PLT")</f>
        <v/>
      </c>
      <c r="C65" s="33">
        <f>IF($A65="","",Platform_Settlements!$B9)</f>
        <v/>
      </c>
      <c r="D65" s="32">
        <f>IF($A65="","",Platform_Settlements!$D9)</f>
        <v/>
      </c>
      <c r="E65" s="43">
        <f>IF($A65="","",Platform_Settlements!$J9)</f>
        <v/>
      </c>
      <c r="F65" s="32">
        <f>IF($A65="","",Platform_Settlements!$L9)</f>
        <v/>
      </c>
      <c r="G65" s="32">
        <f>IF($A65="","","Platform_Settlements")</f>
        <v/>
      </c>
      <c r="H65" s="44">
        <f>IF($A65="","",IF(COUNTIF($A:$A,$A65)&gt;1,"مكرر",""))</f>
        <v/>
      </c>
      <c r="I65" s="32">
        <f>IF($H65="مكرر","مكرر","")</f>
        <v/>
      </c>
    </row>
    <row r="66">
      <c r="A66" s="32">
        <f>IF(Platform_Settlements!$A10="","",Platform_Settlements!$A10)</f>
        <v/>
      </c>
      <c r="B66" s="32">
        <f>IF($A66="","","PLT")</f>
        <v/>
      </c>
      <c r="C66" s="33">
        <f>IF($A66="","",Platform_Settlements!$B10)</f>
        <v/>
      </c>
      <c r="D66" s="32">
        <f>IF($A66="","",Platform_Settlements!$D10)</f>
        <v/>
      </c>
      <c r="E66" s="43">
        <f>IF($A66="","",Platform_Settlements!$J10)</f>
        <v/>
      </c>
      <c r="F66" s="32">
        <f>IF($A66="","",Platform_Settlements!$L10)</f>
        <v/>
      </c>
      <c r="G66" s="32">
        <f>IF($A66="","","Platform_Settlements")</f>
        <v/>
      </c>
      <c r="H66" s="44">
        <f>IF($A66="","",IF(COUNTIF($A:$A,$A66)&gt;1,"مكرر",""))</f>
        <v/>
      </c>
      <c r="I66" s="32">
        <f>IF($H66="مكرر","مكرر","")</f>
        <v/>
      </c>
    </row>
    <row r="67">
      <c r="A67" s="32">
        <f>IF(Platform_Settlements!$A11="","",Platform_Settlements!$A11)</f>
        <v/>
      </c>
      <c r="B67" s="32">
        <f>IF($A67="","","PLT")</f>
        <v/>
      </c>
      <c r="C67" s="33">
        <f>IF($A67="","",Platform_Settlements!$B11)</f>
        <v/>
      </c>
      <c r="D67" s="32">
        <f>IF($A67="","",Platform_Settlements!$D11)</f>
        <v/>
      </c>
      <c r="E67" s="43">
        <f>IF($A67="","",Platform_Settlements!$J11)</f>
        <v/>
      </c>
      <c r="F67" s="32">
        <f>IF($A67="","",Platform_Settlements!$L11)</f>
        <v/>
      </c>
      <c r="G67" s="32">
        <f>IF($A67="","","Platform_Settlements")</f>
        <v/>
      </c>
      <c r="H67" s="44">
        <f>IF($A67="","",IF(COUNTIF($A:$A,$A67)&gt;1,"مكرر",""))</f>
        <v/>
      </c>
      <c r="I67" s="32">
        <f>IF($H67="مكرر","مكرر","")</f>
        <v/>
      </c>
    </row>
    <row r="68">
      <c r="A68" s="32">
        <f>IF(Platform_Settlements!$A12="","",Platform_Settlements!$A12)</f>
        <v/>
      </c>
      <c r="B68" s="32">
        <f>IF($A68="","","PLT")</f>
        <v/>
      </c>
      <c r="C68" s="33">
        <f>IF($A68="","",Platform_Settlements!$B12)</f>
        <v/>
      </c>
      <c r="D68" s="32">
        <f>IF($A68="","",Platform_Settlements!$D12)</f>
        <v/>
      </c>
      <c r="E68" s="43">
        <f>IF($A68="","",Platform_Settlements!$J12)</f>
        <v/>
      </c>
      <c r="F68" s="32">
        <f>IF($A68="","",Platform_Settlements!$L12)</f>
        <v/>
      </c>
      <c r="G68" s="32">
        <f>IF($A68="","","Platform_Settlements")</f>
        <v/>
      </c>
      <c r="H68" s="44">
        <f>IF($A68="","",IF(COUNTIF($A:$A,$A68)&gt;1,"مكرر",""))</f>
        <v/>
      </c>
      <c r="I68" s="32">
        <f>IF($H68="مكرر","مكرر","")</f>
        <v/>
      </c>
    </row>
    <row r="69">
      <c r="A69" s="32">
        <f>IF(Platform_Settlements!$A13="","",Platform_Settlements!$A13)</f>
        <v/>
      </c>
      <c r="B69" s="32">
        <f>IF($A69="","","PLT")</f>
        <v/>
      </c>
      <c r="C69" s="33">
        <f>IF($A69="","",Platform_Settlements!$B13)</f>
        <v/>
      </c>
      <c r="D69" s="32">
        <f>IF($A69="","",Platform_Settlements!$D13)</f>
        <v/>
      </c>
      <c r="E69" s="43">
        <f>IF($A69="","",Platform_Settlements!$J13)</f>
        <v/>
      </c>
      <c r="F69" s="32">
        <f>IF($A69="","",Platform_Settlements!$L13)</f>
        <v/>
      </c>
      <c r="G69" s="32">
        <f>IF($A69="","","Platform_Settlements")</f>
        <v/>
      </c>
      <c r="H69" s="44">
        <f>IF($A69="","",IF(COUNTIF($A:$A,$A69)&gt;1,"مكرر",""))</f>
        <v/>
      </c>
      <c r="I69" s="32">
        <f>IF($H69="مكرر","مكرر","")</f>
        <v/>
      </c>
    </row>
    <row r="70">
      <c r="A70" s="32">
        <f>IF(Platform_Settlements!$A14="","",Platform_Settlements!$A14)</f>
        <v/>
      </c>
      <c r="B70" s="32">
        <f>IF($A70="","","PLT")</f>
        <v/>
      </c>
      <c r="C70" s="33">
        <f>IF($A70="","",Platform_Settlements!$B14)</f>
        <v/>
      </c>
      <c r="D70" s="32">
        <f>IF($A70="","",Platform_Settlements!$D14)</f>
        <v/>
      </c>
      <c r="E70" s="43">
        <f>IF($A70="","",Platform_Settlements!$J14)</f>
        <v/>
      </c>
      <c r="F70" s="32">
        <f>IF($A70="","",Platform_Settlements!$L14)</f>
        <v/>
      </c>
      <c r="G70" s="32">
        <f>IF($A70="","","Platform_Settlements")</f>
        <v/>
      </c>
      <c r="H70" s="44">
        <f>IF($A70="","",IF(COUNTIF($A:$A,$A70)&gt;1,"مكرر",""))</f>
        <v/>
      </c>
      <c r="I70" s="32">
        <f>IF($H70="مكرر","مكرر","")</f>
        <v/>
      </c>
    </row>
    <row r="71">
      <c r="A71" s="32">
        <f>IF(Platform_Settlements!$A15="","",Platform_Settlements!$A15)</f>
        <v/>
      </c>
      <c r="B71" s="32">
        <f>IF($A71="","","PLT")</f>
        <v/>
      </c>
      <c r="C71" s="33">
        <f>IF($A71="","",Platform_Settlements!$B15)</f>
        <v/>
      </c>
      <c r="D71" s="32">
        <f>IF($A71="","",Platform_Settlements!$D15)</f>
        <v/>
      </c>
      <c r="E71" s="43">
        <f>IF($A71="","",Platform_Settlements!$J15)</f>
        <v/>
      </c>
      <c r="F71" s="32">
        <f>IF($A71="","",Platform_Settlements!$L15)</f>
        <v/>
      </c>
      <c r="G71" s="32">
        <f>IF($A71="","","Platform_Settlements")</f>
        <v/>
      </c>
      <c r="H71" s="44">
        <f>IF($A71="","",IF(COUNTIF($A:$A,$A71)&gt;1,"مكرر",""))</f>
        <v/>
      </c>
      <c r="I71" s="32">
        <f>IF($H71="مكرر","مكرر","")</f>
        <v/>
      </c>
    </row>
    <row r="72">
      <c r="A72" s="32">
        <f>IF(Platform_Settlements!$A16="","",Platform_Settlements!$A16)</f>
        <v/>
      </c>
      <c r="B72" s="32">
        <f>IF($A72="","","PLT")</f>
        <v/>
      </c>
      <c r="C72" s="33">
        <f>IF($A72="","",Platform_Settlements!$B16)</f>
        <v/>
      </c>
      <c r="D72" s="32">
        <f>IF($A72="","",Platform_Settlements!$D16)</f>
        <v/>
      </c>
      <c r="E72" s="43">
        <f>IF($A72="","",Platform_Settlements!$J16)</f>
        <v/>
      </c>
      <c r="F72" s="32">
        <f>IF($A72="","",Platform_Settlements!$L16)</f>
        <v/>
      </c>
      <c r="G72" s="32">
        <f>IF($A72="","","Platform_Settlements")</f>
        <v/>
      </c>
      <c r="H72" s="44">
        <f>IF($A72="","",IF(COUNTIF($A:$A,$A72)&gt;1,"مكرر",""))</f>
        <v/>
      </c>
      <c r="I72" s="32">
        <f>IF($H72="مكرر","مكرر","")</f>
        <v/>
      </c>
    </row>
    <row r="73">
      <c r="A73" s="32">
        <f>IF(Platform_Settlements!$A17="","",Platform_Settlements!$A17)</f>
        <v/>
      </c>
      <c r="B73" s="32">
        <f>IF($A73="","","PLT")</f>
        <v/>
      </c>
      <c r="C73" s="33">
        <f>IF($A73="","",Platform_Settlements!$B17)</f>
        <v/>
      </c>
      <c r="D73" s="32">
        <f>IF($A73="","",Platform_Settlements!$D17)</f>
        <v/>
      </c>
      <c r="E73" s="43">
        <f>IF($A73="","",Platform_Settlements!$J17)</f>
        <v/>
      </c>
      <c r="F73" s="32">
        <f>IF($A73="","",Platform_Settlements!$L17)</f>
        <v/>
      </c>
      <c r="G73" s="32">
        <f>IF($A73="","","Platform_Settlements")</f>
        <v/>
      </c>
      <c r="H73" s="44">
        <f>IF($A73="","",IF(COUNTIF($A:$A,$A73)&gt;1,"مكرر",""))</f>
        <v/>
      </c>
      <c r="I73" s="32">
        <f>IF($H73="مكرر","مكرر","")</f>
        <v/>
      </c>
    </row>
    <row r="74">
      <c r="A74" s="32">
        <f>IF(Platform_Settlements!$A18="","",Platform_Settlements!$A18)</f>
        <v/>
      </c>
      <c r="B74" s="32">
        <f>IF($A74="","","PLT")</f>
        <v/>
      </c>
      <c r="C74" s="33">
        <f>IF($A74="","",Platform_Settlements!$B18)</f>
        <v/>
      </c>
      <c r="D74" s="32">
        <f>IF($A74="","",Platform_Settlements!$D18)</f>
        <v/>
      </c>
      <c r="E74" s="43">
        <f>IF($A74="","",Platform_Settlements!$J18)</f>
        <v/>
      </c>
      <c r="F74" s="32">
        <f>IF($A74="","",Platform_Settlements!$L18)</f>
        <v/>
      </c>
      <c r="G74" s="32">
        <f>IF($A74="","","Platform_Settlements")</f>
        <v/>
      </c>
      <c r="H74" s="44">
        <f>IF($A74="","",IF(COUNTIF($A:$A,$A74)&gt;1,"مكرر",""))</f>
        <v/>
      </c>
      <c r="I74" s="32">
        <f>IF($H74="مكرر","مكرر","")</f>
        <v/>
      </c>
    </row>
    <row r="75">
      <c r="A75" s="32">
        <f>IF(Platform_Settlements!$A19="","",Platform_Settlements!$A19)</f>
        <v/>
      </c>
      <c r="B75" s="32">
        <f>IF($A75="","","PLT")</f>
        <v/>
      </c>
      <c r="C75" s="33">
        <f>IF($A75="","",Platform_Settlements!$B19)</f>
        <v/>
      </c>
      <c r="D75" s="32">
        <f>IF($A75="","",Platform_Settlements!$D19)</f>
        <v/>
      </c>
      <c r="E75" s="43">
        <f>IF($A75="","",Platform_Settlements!$J19)</f>
        <v/>
      </c>
      <c r="F75" s="32">
        <f>IF($A75="","",Platform_Settlements!$L19)</f>
        <v/>
      </c>
      <c r="G75" s="32">
        <f>IF($A75="","","Platform_Settlements")</f>
        <v/>
      </c>
      <c r="H75" s="44">
        <f>IF($A75="","",IF(COUNTIF($A:$A,$A75)&gt;1,"مكرر",""))</f>
        <v/>
      </c>
      <c r="I75" s="32">
        <f>IF($H75="مكرر","مكرر","")</f>
        <v/>
      </c>
    </row>
    <row r="76">
      <c r="A76" s="32">
        <f>IF(Platform_Settlements!$A20="","",Platform_Settlements!$A20)</f>
        <v/>
      </c>
      <c r="B76" s="32">
        <f>IF($A76="","","PLT")</f>
        <v/>
      </c>
      <c r="C76" s="33">
        <f>IF($A76="","",Platform_Settlements!$B20)</f>
        <v/>
      </c>
      <c r="D76" s="32">
        <f>IF($A76="","",Platform_Settlements!$D20)</f>
        <v/>
      </c>
      <c r="E76" s="43">
        <f>IF($A76="","",Platform_Settlements!$J20)</f>
        <v/>
      </c>
      <c r="F76" s="32">
        <f>IF($A76="","",Platform_Settlements!$L20)</f>
        <v/>
      </c>
      <c r="G76" s="32">
        <f>IF($A76="","","Platform_Settlements")</f>
        <v/>
      </c>
      <c r="H76" s="44">
        <f>IF($A76="","",IF(COUNTIF($A:$A,$A76)&gt;1,"مكرر",""))</f>
        <v/>
      </c>
      <c r="I76" s="32">
        <f>IF($H76="مكرر","مكرر","")</f>
        <v/>
      </c>
    </row>
    <row r="77">
      <c r="A77" s="32">
        <f>IF(Cash_Vouchers!$A5="","",Cash_Vouchers!$A5)</f>
        <v/>
      </c>
      <c r="B77" s="32">
        <f>IF($A77="","","CV")</f>
        <v/>
      </c>
      <c r="C77" s="33">
        <f>IF($A77="","",Cash_Vouchers!$B5)</f>
        <v/>
      </c>
      <c r="D77" s="32">
        <f>IF($A77="","",Cash_Vouchers!$Y5)</f>
        <v/>
      </c>
      <c r="E77" s="43">
        <f>IF($A77="","",Cash_Vouchers!$I5)</f>
        <v/>
      </c>
      <c r="F77" s="32">
        <f>IF($A77="","",Cash_Vouchers!$N5)</f>
        <v/>
      </c>
      <c r="G77" s="32">
        <f>IF($A77="","","Cash_Vouchers")</f>
        <v/>
      </c>
      <c r="H77" s="44">
        <f>IF($A77="","",IF(COUNTIF($A:$A,$A77)&gt;1,"مكرر",""))</f>
        <v/>
      </c>
      <c r="I77" s="32">
        <f>IF($H77="مكرر","مكرر","")</f>
        <v/>
      </c>
    </row>
    <row r="78">
      <c r="A78" s="32">
        <f>IF(Cash_Vouchers!$A6="","",Cash_Vouchers!$A6)</f>
        <v/>
      </c>
      <c r="B78" s="32">
        <f>IF($A78="","","CV")</f>
        <v/>
      </c>
      <c r="C78" s="33">
        <f>IF($A78="","",Cash_Vouchers!$B6)</f>
        <v/>
      </c>
      <c r="D78" s="32">
        <f>IF($A78="","",Cash_Vouchers!$Y6)</f>
        <v/>
      </c>
      <c r="E78" s="43">
        <f>IF($A78="","",Cash_Vouchers!$I6)</f>
        <v/>
      </c>
      <c r="F78" s="32">
        <f>IF($A78="","",Cash_Vouchers!$N6)</f>
        <v/>
      </c>
      <c r="G78" s="32">
        <f>IF($A78="","","Cash_Vouchers")</f>
        <v/>
      </c>
      <c r="H78" s="44">
        <f>IF($A78="","",IF(COUNTIF($A:$A,$A78)&gt;1,"مكرر",""))</f>
        <v/>
      </c>
      <c r="I78" s="32">
        <f>IF($H78="مكرر","مكرر","")</f>
        <v/>
      </c>
    </row>
    <row r="79">
      <c r="A79" s="32">
        <f>IF(Cash_Vouchers!$A7="","",Cash_Vouchers!$A7)</f>
        <v/>
      </c>
      <c r="B79" s="32">
        <f>IF($A79="","","CV")</f>
        <v/>
      </c>
      <c r="C79" s="33">
        <f>IF($A79="","",Cash_Vouchers!$B7)</f>
        <v/>
      </c>
      <c r="D79" s="32">
        <f>IF($A79="","",Cash_Vouchers!$Y7)</f>
        <v/>
      </c>
      <c r="E79" s="43">
        <f>IF($A79="","",Cash_Vouchers!$I7)</f>
        <v/>
      </c>
      <c r="F79" s="32">
        <f>IF($A79="","",Cash_Vouchers!$N7)</f>
        <v/>
      </c>
      <c r="G79" s="32">
        <f>IF($A79="","","Cash_Vouchers")</f>
        <v/>
      </c>
      <c r="H79" s="44">
        <f>IF($A79="","",IF(COUNTIF($A:$A,$A79)&gt;1,"مكرر",""))</f>
        <v/>
      </c>
      <c r="I79" s="32">
        <f>IF($H79="مكرر","مكرر","")</f>
        <v/>
      </c>
    </row>
    <row r="80">
      <c r="A80" s="32">
        <f>IF(Cash_Vouchers!$A8="","",Cash_Vouchers!$A8)</f>
        <v/>
      </c>
      <c r="B80" s="32">
        <f>IF($A80="","","CV")</f>
        <v/>
      </c>
      <c r="C80" s="33">
        <f>IF($A80="","",Cash_Vouchers!$B8)</f>
        <v/>
      </c>
      <c r="D80" s="32">
        <f>IF($A80="","",Cash_Vouchers!$Y8)</f>
        <v/>
      </c>
      <c r="E80" s="43">
        <f>IF($A80="","",Cash_Vouchers!$I8)</f>
        <v/>
      </c>
      <c r="F80" s="32">
        <f>IF($A80="","",Cash_Vouchers!$N8)</f>
        <v/>
      </c>
      <c r="G80" s="32">
        <f>IF($A80="","","Cash_Vouchers")</f>
        <v/>
      </c>
      <c r="H80" s="44">
        <f>IF($A80="","",IF(COUNTIF($A:$A,$A80)&gt;1,"مكرر",""))</f>
        <v/>
      </c>
      <c r="I80" s="32">
        <f>IF($H80="مكرر","مكرر","")</f>
        <v/>
      </c>
    </row>
    <row r="81">
      <c r="A81" s="32">
        <f>IF(Cash_Vouchers!$A9="","",Cash_Vouchers!$A9)</f>
        <v/>
      </c>
      <c r="B81" s="32">
        <f>IF($A81="","","CV")</f>
        <v/>
      </c>
      <c r="C81" s="33">
        <f>IF($A81="","",Cash_Vouchers!$B9)</f>
        <v/>
      </c>
      <c r="D81" s="32">
        <f>IF($A81="","",Cash_Vouchers!$Y9)</f>
        <v/>
      </c>
      <c r="E81" s="43">
        <f>IF($A81="","",Cash_Vouchers!$I9)</f>
        <v/>
      </c>
      <c r="F81" s="32">
        <f>IF($A81="","",Cash_Vouchers!$N9)</f>
        <v/>
      </c>
      <c r="G81" s="32">
        <f>IF($A81="","","Cash_Vouchers")</f>
        <v/>
      </c>
      <c r="H81" s="44">
        <f>IF($A81="","",IF(COUNTIF($A:$A,$A81)&gt;1,"مكرر",""))</f>
        <v/>
      </c>
      <c r="I81" s="32">
        <f>IF($H81="مكرر","مكرر","")</f>
        <v/>
      </c>
    </row>
    <row r="82">
      <c r="A82" s="32">
        <f>IF(Cash_Vouchers!$A10="","",Cash_Vouchers!$A10)</f>
        <v/>
      </c>
      <c r="B82" s="32">
        <f>IF($A82="","","CV")</f>
        <v/>
      </c>
      <c r="C82" s="33">
        <f>IF($A82="","",Cash_Vouchers!$B10)</f>
        <v/>
      </c>
      <c r="D82" s="32">
        <f>IF($A82="","",Cash_Vouchers!$Y10)</f>
        <v/>
      </c>
      <c r="E82" s="43">
        <f>IF($A82="","",Cash_Vouchers!$I10)</f>
        <v/>
      </c>
      <c r="F82" s="32">
        <f>IF($A82="","",Cash_Vouchers!$N10)</f>
        <v/>
      </c>
      <c r="G82" s="32">
        <f>IF($A82="","","Cash_Vouchers")</f>
        <v/>
      </c>
      <c r="H82" s="44">
        <f>IF($A82="","",IF(COUNTIF($A:$A,$A82)&gt;1,"مكرر",""))</f>
        <v/>
      </c>
      <c r="I82" s="32">
        <f>IF($H82="مكرر","مكرر","")</f>
        <v/>
      </c>
    </row>
    <row r="83">
      <c r="A83" s="32">
        <f>IF(Cash_Vouchers!$A11="","",Cash_Vouchers!$A11)</f>
        <v/>
      </c>
      <c r="B83" s="32">
        <f>IF($A83="","","CV")</f>
        <v/>
      </c>
      <c r="C83" s="33">
        <f>IF($A83="","",Cash_Vouchers!$B11)</f>
        <v/>
      </c>
      <c r="D83" s="32">
        <f>IF($A83="","",Cash_Vouchers!$Y11)</f>
        <v/>
      </c>
      <c r="E83" s="43">
        <f>IF($A83="","",Cash_Vouchers!$I11)</f>
        <v/>
      </c>
      <c r="F83" s="32">
        <f>IF($A83="","",Cash_Vouchers!$N11)</f>
        <v/>
      </c>
      <c r="G83" s="32">
        <f>IF($A83="","","Cash_Vouchers")</f>
        <v/>
      </c>
      <c r="H83" s="44">
        <f>IF($A83="","",IF(COUNTIF($A:$A,$A83)&gt;1,"مكرر",""))</f>
        <v/>
      </c>
      <c r="I83" s="32">
        <f>IF($H83="مكرر","مكرر","")</f>
        <v/>
      </c>
    </row>
    <row r="84">
      <c r="A84" s="32">
        <f>IF(Cash_Vouchers!$A12="","",Cash_Vouchers!$A12)</f>
        <v/>
      </c>
      <c r="B84" s="32">
        <f>IF($A84="","","CV")</f>
        <v/>
      </c>
      <c r="C84" s="33">
        <f>IF($A84="","",Cash_Vouchers!$B12)</f>
        <v/>
      </c>
      <c r="D84" s="32">
        <f>IF($A84="","",Cash_Vouchers!$Y12)</f>
        <v/>
      </c>
      <c r="E84" s="43">
        <f>IF($A84="","",Cash_Vouchers!$I12)</f>
        <v/>
      </c>
      <c r="F84" s="32">
        <f>IF($A84="","",Cash_Vouchers!$N12)</f>
        <v/>
      </c>
      <c r="G84" s="32">
        <f>IF($A84="","","Cash_Vouchers")</f>
        <v/>
      </c>
      <c r="H84" s="44">
        <f>IF($A84="","",IF(COUNTIF($A:$A,$A84)&gt;1,"مكرر",""))</f>
        <v/>
      </c>
      <c r="I84" s="32">
        <f>IF($H84="مكرر","مكرر","")</f>
        <v/>
      </c>
    </row>
    <row r="85">
      <c r="A85" s="32">
        <f>IF(Cash_Vouchers!$A13="","",Cash_Vouchers!$A13)</f>
        <v/>
      </c>
      <c r="B85" s="32">
        <f>IF($A85="","","CV")</f>
        <v/>
      </c>
      <c r="C85" s="33">
        <f>IF($A85="","",Cash_Vouchers!$B13)</f>
        <v/>
      </c>
      <c r="D85" s="32">
        <f>IF($A85="","",Cash_Vouchers!$Y13)</f>
        <v/>
      </c>
      <c r="E85" s="43">
        <f>IF($A85="","",Cash_Vouchers!$I13)</f>
        <v/>
      </c>
      <c r="F85" s="32">
        <f>IF($A85="","",Cash_Vouchers!$N13)</f>
        <v/>
      </c>
      <c r="G85" s="32">
        <f>IF($A85="","","Cash_Vouchers")</f>
        <v/>
      </c>
      <c r="H85" s="44">
        <f>IF($A85="","",IF(COUNTIF($A:$A,$A85)&gt;1,"مكرر",""))</f>
        <v/>
      </c>
      <c r="I85" s="32">
        <f>IF($H85="مكرر","مكرر","")</f>
        <v/>
      </c>
    </row>
    <row r="86">
      <c r="A86" s="32">
        <f>IF(Cash_Vouchers!$A14="","",Cash_Vouchers!$A14)</f>
        <v/>
      </c>
      <c r="B86" s="32">
        <f>IF($A86="","","CV")</f>
        <v/>
      </c>
      <c r="C86" s="33">
        <f>IF($A86="","",Cash_Vouchers!$B14)</f>
        <v/>
      </c>
      <c r="D86" s="32">
        <f>IF($A86="","",Cash_Vouchers!$Y14)</f>
        <v/>
      </c>
      <c r="E86" s="43">
        <f>IF($A86="","",Cash_Vouchers!$I14)</f>
        <v/>
      </c>
      <c r="F86" s="32">
        <f>IF($A86="","",Cash_Vouchers!$N14)</f>
        <v/>
      </c>
      <c r="G86" s="32">
        <f>IF($A86="","","Cash_Vouchers")</f>
        <v/>
      </c>
      <c r="H86" s="44">
        <f>IF($A86="","",IF(COUNTIF($A:$A,$A86)&gt;1,"مكرر",""))</f>
        <v/>
      </c>
      <c r="I86" s="32">
        <f>IF($H86="مكرر","مكرر","")</f>
        <v/>
      </c>
    </row>
    <row r="87">
      <c r="A87" s="32">
        <f>IF(Cash_Vouchers!$A15="","",Cash_Vouchers!$A15)</f>
        <v/>
      </c>
      <c r="B87" s="32">
        <f>IF($A87="","","CV")</f>
        <v/>
      </c>
      <c r="C87" s="33">
        <f>IF($A87="","",Cash_Vouchers!$B15)</f>
        <v/>
      </c>
      <c r="D87" s="32">
        <f>IF($A87="","",Cash_Vouchers!$Y15)</f>
        <v/>
      </c>
      <c r="E87" s="43">
        <f>IF($A87="","",Cash_Vouchers!$I15)</f>
        <v/>
      </c>
      <c r="F87" s="32">
        <f>IF($A87="","",Cash_Vouchers!$N15)</f>
        <v/>
      </c>
      <c r="G87" s="32">
        <f>IF($A87="","","Cash_Vouchers")</f>
        <v/>
      </c>
      <c r="H87" s="44">
        <f>IF($A87="","",IF(COUNTIF($A:$A,$A87)&gt;1,"مكرر",""))</f>
        <v/>
      </c>
      <c r="I87" s="32">
        <f>IF($H87="مكرر","مكرر","")</f>
        <v/>
      </c>
    </row>
    <row r="88">
      <c r="A88" s="32">
        <f>IF(Cash_Vouchers!$A16="","",Cash_Vouchers!$A16)</f>
        <v/>
      </c>
      <c r="B88" s="32">
        <f>IF($A88="","","CV")</f>
        <v/>
      </c>
      <c r="C88" s="33">
        <f>IF($A88="","",Cash_Vouchers!$B16)</f>
        <v/>
      </c>
      <c r="D88" s="32">
        <f>IF($A88="","",Cash_Vouchers!$Y16)</f>
        <v/>
      </c>
      <c r="E88" s="43">
        <f>IF($A88="","",Cash_Vouchers!$I16)</f>
        <v/>
      </c>
      <c r="F88" s="32">
        <f>IF($A88="","",Cash_Vouchers!$N16)</f>
        <v/>
      </c>
      <c r="G88" s="32">
        <f>IF($A88="","","Cash_Vouchers")</f>
        <v/>
      </c>
      <c r="H88" s="44">
        <f>IF($A88="","",IF(COUNTIF($A:$A,$A88)&gt;1,"مكرر",""))</f>
        <v/>
      </c>
      <c r="I88" s="32">
        <f>IF($H88="مكرر","مكرر","")</f>
        <v/>
      </c>
    </row>
    <row r="89">
      <c r="A89" s="32">
        <f>IF(Cash_Vouchers!$A17="","",Cash_Vouchers!$A17)</f>
        <v/>
      </c>
      <c r="B89" s="32">
        <f>IF($A89="","","CV")</f>
        <v/>
      </c>
      <c r="C89" s="33">
        <f>IF($A89="","",Cash_Vouchers!$B17)</f>
        <v/>
      </c>
      <c r="D89" s="32">
        <f>IF($A89="","",Cash_Vouchers!$Y17)</f>
        <v/>
      </c>
      <c r="E89" s="43">
        <f>IF($A89="","",Cash_Vouchers!$I17)</f>
        <v/>
      </c>
      <c r="F89" s="32">
        <f>IF($A89="","",Cash_Vouchers!$N17)</f>
        <v/>
      </c>
      <c r="G89" s="32">
        <f>IF($A89="","","Cash_Vouchers")</f>
        <v/>
      </c>
      <c r="H89" s="44">
        <f>IF($A89="","",IF(COUNTIF($A:$A,$A89)&gt;1,"مكرر",""))</f>
        <v/>
      </c>
      <c r="I89" s="32">
        <f>IF($H89="مكرر","مكرر","")</f>
        <v/>
      </c>
    </row>
    <row r="90">
      <c r="A90" s="32">
        <f>IF(Cash_Vouchers!$A18="","",Cash_Vouchers!$A18)</f>
        <v/>
      </c>
      <c r="B90" s="32">
        <f>IF($A90="","","CV")</f>
        <v/>
      </c>
      <c r="C90" s="33">
        <f>IF($A90="","",Cash_Vouchers!$B18)</f>
        <v/>
      </c>
      <c r="D90" s="32">
        <f>IF($A90="","",Cash_Vouchers!$Y18)</f>
        <v/>
      </c>
      <c r="E90" s="43">
        <f>IF($A90="","",Cash_Vouchers!$I18)</f>
        <v/>
      </c>
      <c r="F90" s="32">
        <f>IF($A90="","",Cash_Vouchers!$N18)</f>
        <v/>
      </c>
      <c r="G90" s="32">
        <f>IF($A90="","","Cash_Vouchers")</f>
        <v/>
      </c>
      <c r="H90" s="44">
        <f>IF($A90="","",IF(COUNTIF($A:$A,$A90)&gt;1,"مكرر",""))</f>
        <v/>
      </c>
      <c r="I90" s="32">
        <f>IF($H90="مكرر","مكرر","")</f>
        <v/>
      </c>
    </row>
    <row r="91">
      <c r="A91" s="32">
        <f>IF(Cash_Vouchers!$A19="","",Cash_Vouchers!$A19)</f>
        <v/>
      </c>
      <c r="B91" s="32">
        <f>IF($A91="","","CV")</f>
        <v/>
      </c>
      <c r="C91" s="33">
        <f>IF($A91="","",Cash_Vouchers!$B19)</f>
        <v/>
      </c>
      <c r="D91" s="32">
        <f>IF($A91="","",Cash_Vouchers!$Y19)</f>
        <v/>
      </c>
      <c r="E91" s="43">
        <f>IF($A91="","",Cash_Vouchers!$I19)</f>
        <v/>
      </c>
      <c r="F91" s="32">
        <f>IF($A91="","",Cash_Vouchers!$N19)</f>
        <v/>
      </c>
      <c r="G91" s="32">
        <f>IF($A91="","","Cash_Vouchers")</f>
        <v/>
      </c>
      <c r="H91" s="44">
        <f>IF($A91="","",IF(COUNTIF($A:$A,$A91)&gt;1,"مكرر",""))</f>
        <v/>
      </c>
      <c r="I91" s="32">
        <f>IF($H91="مكرر","مكرر","")</f>
        <v/>
      </c>
    </row>
    <row r="92">
      <c r="A92" s="32">
        <f>IF(Cash_Vouchers!$A20="","",Cash_Vouchers!$A20)</f>
        <v/>
      </c>
      <c r="B92" s="32">
        <f>IF($A92="","","CV")</f>
        <v/>
      </c>
      <c r="C92" s="33">
        <f>IF($A92="","",Cash_Vouchers!$B20)</f>
        <v/>
      </c>
      <c r="D92" s="32">
        <f>IF($A92="","",Cash_Vouchers!$Y20)</f>
        <v/>
      </c>
      <c r="E92" s="43">
        <f>IF($A92="","",Cash_Vouchers!$I20)</f>
        <v/>
      </c>
      <c r="F92" s="32">
        <f>IF($A92="","",Cash_Vouchers!$N20)</f>
        <v/>
      </c>
      <c r="G92" s="32">
        <f>IF($A92="","","Cash_Vouchers")</f>
        <v/>
      </c>
      <c r="H92" s="44">
        <f>IF($A92="","",IF(COUNTIF($A:$A,$A92)&gt;1,"مكرر",""))</f>
        <v/>
      </c>
      <c r="I92" s="32">
        <f>IF($H92="مكرر","مكرر","")</f>
        <v/>
      </c>
    </row>
    <row r="93">
      <c r="A93" s="32">
        <f>IF(Cash_Vouchers!$A21="","",Cash_Vouchers!$A21)</f>
        <v/>
      </c>
      <c r="B93" s="32">
        <f>IF($A93="","","CV")</f>
        <v/>
      </c>
      <c r="C93" s="33">
        <f>IF($A93="","",Cash_Vouchers!$B21)</f>
        <v/>
      </c>
      <c r="D93" s="32">
        <f>IF($A93="","",Cash_Vouchers!$Y21)</f>
        <v/>
      </c>
      <c r="E93" s="43">
        <f>IF($A93="","",Cash_Vouchers!$I21)</f>
        <v/>
      </c>
      <c r="F93" s="32">
        <f>IF($A93="","",Cash_Vouchers!$N21)</f>
        <v/>
      </c>
      <c r="G93" s="32">
        <f>IF($A93="","","Cash_Vouchers")</f>
        <v/>
      </c>
      <c r="H93" s="44">
        <f>IF($A93="","",IF(COUNTIF($A:$A,$A93)&gt;1,"مكرر",""))</f>
        <v/>
      </c>
      <c r="I93" s="32">
        <f>IF($H93="مكرر","مكرر","")</f>
        <v/>
      </c>
    </row>
    <row r="94">
      <c r="A94" s="32">
        <f>IF(Cash_Vouchers!$A22="","",Cash_Vouchers!$A22)</f>
        <v/>
      </c>
      <c r="B94" s="32">
        <f>IF($A94="","","CV")</f>
        <v/>
      </c>
      <c r="C94" s="33">
        <f>IF($A94="","",Cash_Vouchers!$B22)</f>
        <v/>
      </c>
      <c r="D94" s="32">
        <f>IF($A94="","",Cash_Vouchers!$Y22)</f>
        <v/>
      </c>
      <c r="E94" s="43">
        <f>IF($A94="","",Cash_Vouchers!$I22)</f>
        <v/>
      </c>
      <c r="F94" s="32">
        <f>IF($A94="","",Cash_Vouchers!$N22)</f>
        <v/>
      </c>
      <c r="G94" s="32">
        <f>IF($A94="","","Cash_Vouchers")</f>
        <v/>
      </c>
      <c r="H94" s="44">
        <f>IF($A94="","",IF(COUNTIF($A:$A,$A94)&gt;1,"مكرر",""))</f>
        <v/>
      </c>
      <c r="I94" s="32">
        <f>IF($H94="مكرر","مكرر","")</f>
        <v/>
      </c>
    </row>
    <row r="95">
      <c r="A95" s="32">
        <f>IF(Cash_Vouchers!$A23="","",Cash_Vouchers!$A23)</f>
        <v/>
      </c>
      <c r="B95" s="32">
        <f>IF($A95="","","CV")</f>
        <v/>
      </c>
      <c r="C95" s="33">
        <f>IF($A95="","",Cash_Vouchers!$B23)</f>
        <v/>
      </c>
      <c r="D95" s="32">
        <f>IF($A95="","",Cash_Vouchers!$Y23)</f>
        <v/>
      </c>
      <c r="E95" s="43">
        <f>IF($A95="","",Cash_Vouchers!$I23)</f>
        <v/>
      </c>
      <c r="F95" s="32">
        <f>IF($A95="","",Cash_Vouchers!$N23)</f>
        <v/>
      </c>
      <c r="G95" s="32">
        <f>IF($A95="","","Cash_Vouchers")</f>
        <v/>
      </c>
      <c r="H95" s="44">
        <f>IF($A95="","",IF(COUNTIF($A:$A,$A95)&gt;1,"مكرر",""))</f>
        <v/>
      </c>
      <c r="I95" s="32">
        <f>IF($H95="مكرر","مكرر","")</f>
        <v/>
      </c>
    </row>
    <row r="96">
      <c r="A96" s="32">
        <f>IF(Cash_Vouchers!$A24="","",Cash_Vouchers!$A24)</f>
        <v/>
      </c>
      <c r="B96" s="32">
        <f>IF($A96="","","CV")</f>
        <v/>
      </c>
      <c r="C96" s="33">
        <f>IF($A96="","",Cash_Vouchers!$B24)</f>
        <v/>
      </c>
      <c r="D96" s="32">
        <f>IF($A96="","",Cash_Vouchers!$Y24)</f>
        <v/>
      </c>
      <c r="E96" s="43">
        <f>IF($A96="","",Cash_Vouchers!$I24)</f>
        <v/>
      </c>
      <c r="F96" s="32">
        <f>IF($A96="","",Cash_Vouchers!$N24)</f>
        <v/>
      </c>
      <c r="G96" s="32">
        <f>IF($A96="","","Cash_Vouchers")</f>
        <v/>
      </c>
      <c r="H96" s="44">
        <f>IF($A96="","",IF(COUNTIF($A:$A,$A96)&gt;1,"مكرر",""))</f>
        <v/>
      </c>
      <c r="I96" s="32">
        <f>IF($H96="مكرر","مكرر","")</f>
        <v/>
      </c>
    </row>
    <row r="97">
      <c r="A97" s="32">
        <f>IF(Cash_Vouchers!$A25="","",Cash_Vouchers!$A25)</f>
        <v/>
      </c>
      <c r="B97" s="32">
        <f>IF($A97="","","CV")</f>
        <v/>
      </c>
      <c r="C97" s="33">
        <f>IF($A97="","",Cash_Vouchers!$B25)</f>
        <v/>
      </c>
      <c r="D97" s="32">
        <f>IF($A97="","",Cash_Vouchers!$Y25)</f>
        <v/>
      </c>
      <c r="E97" s="43">
        <f>IF($A97="","",Cash_Vouchers!$I25)</f>
        <v/>
      </c>
      <c r="F97" s="32">
        <f>IF($A97="","",Cash_Vouchers!$N25)</f>
        <v/>
      </c>
      <c r="G97" s="32">
        <f>IF($A97="","","Cash_Vouchers")</f>
        <v/>
      </c>
      <c r="H97" s="44">
        <f>IF($A97="","",IF(COUNTIF($A:$A,$A97)&gt;1,"مكرر",""))</f>
        <v/>
      </c>
      <c r="I97" s="32">
        <f>IF($H97="مكرر","مكرر","")</f>
        <v/>
      </c>
    </row>
    <row r="98">
      <c r="A98" s="32">
        <f>IF(Cash_Vouchers!$A26="","",Cash_Vouchers!$A26)</f>
        <v/>
      </c>
      <c r="B98" s="32">
        <f>IF($A98="","","CV")</f>
        <v/>
      </c>
      <c r="C98" s="33">
        <f>IF($A98="","",Cash_Vouchers!$B26)</f>
        <v/>
      </c>
      <c r="D98" s="32">
        <f>IF($A98="","",Cash_Vouchers!$Y26)</f>
        <v/>
      </c>
      <c r="E98" s="43">
        <f>IF($A98="","",Cash_Vouchers!$I26)</f>
        <v/>
      </c>
      <c r="F98" s="32">
        <f>IF($A98="","",Cash_Vouchers!$N26)</f>
        <v/>
      </c>
      <c r="G98" s="32">
        <f>IF($A98="","","Cash_Vouchers")</f>
        <v/>
      </c>
      <c r="H98" s="44">
        <f>IF($A98="","",IF(COUNTIF($A:$A,$A98)&gt;1,"مكرر",""))</f>
        <v/>
      </c>
      <c r="I98" s="32">
        <f>IF($H98="مكرر","مكرر","")</f>
        <v/>
      </c>
    </row>
    <row r="99">
      <c r="A99" s="32">
        <f>IF(Cash_Vouchers!$A27="","",Cash_Vouchers!$A27)</f>
        <v/>
      </c>
      <c r="B99" s="32">
        <f>IF($A99="","","CV")</f>
        <v/>
      </c>
      <c r="C99" s="33">
        <f>IF($A99="","",Cash_Vouchers!$B27)</f>
        <v/>
      </c>
      <c r="D99" s="32">
        <f>IF($A99="","",Cash_Vouchers!$Y27)</f>
        <v/>
      </c>
      <c r="E99" s="43">
        <f>IF($A99="","",Cash_Vouchers!$I27)</f>
        <v/>
      </c>
      <c r="F99" s="32">
        <f>IF($A99="","",Cash_Vouchers!$N27)</f>
        <v/>
      </c>
      <c r="G99" s="32">
        <f>IF($A99="","","Cash_Vouchers")</f>
        <v/>
      </c>
      <c r="H99" s="44">
        <f>IF($A99="","",IF(COUNTIF($A:$A,$A99)&gt;1,"مكرر",""))</f>
        <v/>
      </c>
      <c r="I99" s="32">
        <f>IF($H99="مكرر","مكرر","")</f>
        <v/>
      </c>
    </row>
    <row r="100">
      <c r="A100" s="32">
        <f>IF(Cash_Vouchers!$A28="","",Cash_Vouchers!$A28)</f>
        <v/>
      </c>
      <c r="B100" s="32">
        <f>IF($A100="","","CV")</f>
        <v/>
      </c>
      <c r="C100" s="33">
        <f>IF($A100="","",Cash_Vouchers!$B28)</f>
        <v/>
      </c>
      <c r="D100" s="32">
        <f>IF($A100="","",Cash_Vouchers!$Y28)</f>
        <v/>
      </c>
      <c r="E100" s="43">
        <f>IF($A100="","",Cash_Vouchers!$I28)</f>
        <v/>
      </c>
      <c r="F100" s="32">
        <f>IF($A100="","",Cash_Vouchers!$N28)</f>
        <v/>
      </c>
      <c r="G100" s="32">
        <f>IF($A100="","","Cash_Vouchers")</f>
        <v/>
      </c>
      <c r="H100" s="44">
        <f>IF($A100="","",IF(COUNTIF($A:$A,$A100)&gt;1,"مكرر",""))</f>
        <v/>
      </c>
      <c r="I100" s="32">
        <f>IF($H100="مكرر","مكرر","")</f>
        <v/>
      </c>
    </row>
    <row r="101">
      <c r="A101" s="32">
        <f>IF(Cash_Vouchers!$A29="","",Cash_Vouchers!$A29)</f>
        <v/>
      </c>
      <c r="B101" s="32">
        <f>IF($A101="","","CV")</f>
        <v/>
      </c>
      <c r="C101" s="33">
        <f>IF($A101="","",Cash_Vouchers!$B29)</f>
        <v/>
      </c>
      <c r="D101" s="32">
        <f>IF($A101="","",Cash_Vouchers!$Y29)</f>
        <v/>
      </c>
      <c r="E101" s="43">
        <f>IF($A101="","",Cash_Vouchers!$I29)</f>
        <v/>
      </c>
      <c r="F101" s="32">
        <f>IF($A101="","",Cash_Vouchers!$N29)</f>
        <v/>
      </c>
      <c r="G101" s="32">
        <f>IF($A101="","","Cash_Vouchers")</f>
        <v/>
      </c>
      <c r="H101" s="44">
        <f>IF($A101="","",IF(COUNTIF($A:$A,$A101)&gt;1,"مكرر",""))</f>
        <v/>
      </c>
      <c r="I101" s="32">
        <f>IF($H101="مكرر","مكرر","")</f>
        <v/>
      </c>
    </row>
    <row r="102">
      <c r="A102" s="32">
        <f>IF(Cash_Vouchers!$A30="","",Cash_Vouchers!$A30)</f>
        <v/>
      </c>
      <c r="B102" s="32">
        <f>IF($A102="","","CV")</f>
        <v/>
      </c>
      <c r="C102" s="33">
        <f>IF($A102="","",Cash_Vouchers!$B30)</f>
        <v/>
      </c>
      <c r="D102" s="32">
        <f>IF($A102="","",Cash_Vouchers!$Y30)</f>
        <v/>
      </c>
      <c r="E102" s="43">
        <f>IF($A102="","",Cash_Vouchers!$I30)</f>
        <v/>
      </c>
      <c r="F102" s="32">
        <f>IF($A102="","",Cash_Vouchers!$N30)</f>
        <v/>
      </c>
      <c r="G102" s="32">
        <f>IF($A102="","","Cash_Vouchers")</f>
        <v/>
      </c>
      <c r="H102" s="44">
        <f>IF($A102="","",IF(COUNTIF($A:$A,$A102)&gt;1,"مكرر",""))</f>
        <v/>
      </c>
      <c r="I102" s="32">
        <f>IF($H102="مكرر","مكرر","")</f>
        <v/>
      </c>
    </row>
    <row r="103">
      <c r="A103" s="32">
        <f>IF(Cash_Vouchers!$A31="","",Cash_Vouchers!$A31)</f>
        <v/>
      </c>
      <c r="B103" s="32">
        <f>IF($A103="","","CV")</f>
        <v/>
      </c>
      <c r="C103" s="33">
        <f>IF($A103="","",Cash_Vouchers!$B31)</f>
        <v/>
      </c>
      <c r="D103" s="32">
        <f>IF($A103="","",Cash_Vouchers!$Y31)</f>
        <v/>
      </c>
      <c r="E103" s="43">
        <f>IF($A103="","",Cash_Vouchers!$I31)</f>
        <v/>
      </c>
      <c r="F103" s="32">
        <f>IF($A103="","",Cash_Vouchers!$N31)</f>
        <v/>
      </c>
      <c r="G103" s="32">
        <f>IF($A103="","","Cash_Vouchers")</f>
        <v/>
      </c>
      <c r="H103" s="44">
        <f>IF($A103="","",IF(COUNTIF($A:$A,$A103)&gt;1,"مكرر",""))</f>
        <v/>
      </c>
      <c r="I103" s="32">
        <f>IF($H103="مكرر","مكرر","")</f>
        <v/>
      </c>
    </row>
    <row r="104">
      <c r="A104" s="32">
        <f>IF(Cash_Vouchers!$A32="","",Cash_Vouchers!$A32)</f>
        <v/>
      </c>
      <c r="B104" s="32">
        <f>IF($A104="","","CV")</f>
        <v/>
      </c>
      <c r="C104" s="33">
        <f>IF($A104="","",Cash_Vouchers!$B32)</f>
        <v/>
      </c>
      <c r="D104" s="32">
        <f>IF($A104="","",Cash_Vouchers!$Y32)</f>
        <v/>
      </c>
      <c r="E104" s="43">
        <f>IF($A104="","",Cash_Vouchers!$I32)</f>
        <v/>
      </c>
      <c r="F104" s="32">
        <f>IF($A104="","",Cash_Vouchers!$N32)</f>
        <v/>
      </c>
      <c r="G104" s="32">
        <f>IF($A104="","","Cash_Vouchers")</f>
        <v/>
      </c>
      <c r="H104" s="44">
        <f>IF($A104="","",IF(COUNTIF($A:$A,$A104)&gt;1,"مكرر",""))</f>
        <v/>
      </c>
      <c r="I104" s="32">
        <f>IF($H104="مكرر","مكرر","")</f>
        <v/>
      </c>
    </row>
    <row r="105">
      <c r="A105" s="32">
        <f>IF(Cash_Vouchers!$A33="","",Cash_Vouchers!$A33)</f>
        <v/>
      </c>
      <c r="B105" s="32">
        <f>IF($A105="","","CV")</f>
        <v/>
      </c>
      <c r="C105" s="33">
        <f>IF($A105="","",Cash_Vouchers!$B33)</f>
        <v/>
      </c>
      <c r="D105" s="32">
        <f>IF($A105="","",Cash_Vouchers!$Y33)</f>
        <v/>
      </c>
      <c r="E105" s="43">
        <f>IF($A105="","",Cash_Vouchers!$I33)</f>
        <v/>
      </c>
      <c r="F105" s="32">
        <f>IF($A105="","",Cash_Vouchers!$N33)</f>
        <v/>
      </c>
      <c r="G105" s="32">
        <f>IF($A105="","","Cash_Vouchers")</f>
        <v/>
      </c>
      <c r="H105" s="44">
        <f>IF($A105="","",IF(COUNTIF($A:$A,$A105)&gt;1,"مكرر",""))</f>
        <v/>
      </c>
      <c r="I105" s="32">
        <f>IF($H105="مكرر","مكرر","")</f>
        <v/>
      </c>
    </row>
    <row r="106">
      <c r="A106" s="32">
        <f>IF(Cash_Vouchers!$A34="","",Cash_Vouchers!$A34)</f>
        <v/>
      </c>
      <c r="B106" s="32">
        <f>IF($A106="","","CV")</f>
        <v/>
      </c>
      <c r="C106" s="33">
        <f>IF($A106="","",Cash_Vouchers!$B34)</f>
        <v/>
      </c>
      <c r="D106" s="32">
        <f>IF($A106="","",Cash_Vouchers!$Y34)</f>
        <v/>
      </c>
      <c r="E106" s="43">
        <f>IF($A106="","",Cash_Vouchers!$I34)</f>
        <v/>
      </c>
      <c r="F106" s="32">
        <f>IF($A106="","",Cash_Vouchers!$N34)</f>
        <v/>
      </c>
      <c r="G106" s="32">
        <f>IF($A106="","","Cash_Vouchers")</f>
        <v/>
      </c>
      <c r="H106" s="44">
        <f>IF($A106="","",IF(COUNTIF($A:$A,$A106)&gt;1,"مكرر",""))</f>
        <v/>
      </c>
      <c r="I106" s="32">
        <f>IF($H106="مكرر","مكرر","")</f>
        <v/>
      </c>
    </row>
    <row r="107">
      <c r="A107" s="32">
        <f>IF(Cash_Vouchers!$A35="","",Cash_Vouchers!$A35)</f>
        <v/>
      </c>
      <c r="B107" s="32">
        <f>IF($A107="","","CV")</f>
        <v/>
      </c>
      <c r="C107" s="33">
        <f>IF($A107="","",Cash_Vouchers!$B35)</f>
        <v/>
      </c>
      <c r="D107" s="32">
        <f>IF($A107="","",Cash_Vouchers!$Y35)</f>
        <v/>
      </c>
      <c r="E107" s="43">
        <f>IF($A107="","",Cash_Vouchers!$I35)</f>
        <v/>
      </c>
      <c r="F107" s="32">
        <f>IF($A107="","",Cash_Vouchers!$N35)</f>
        <v/>
      </c>
      <c r="G107" s="32">
        <f>IF($A107="","","Cash_Vouchers")</f>
        <v/>
      </c>
      <c r="H107" s="44">
        <f>IF($A107="","",IF(COUNTIF($A:$A,$A107)&gt;1,"مكرر",""))</f>
        <v/>
      </c>
      <c r="I107" s="32">
        <f>IF($H107="مكرر","مكرر","")</f>
        <v/>
      </c>
    </row>
    <row r="108">
      <c r="A108" s="32">
        <f>IF(Cash_Vouchers!$A36="","",Cash_Vouchers!$A36)</f>
        <v/>
      </c>
      <c r="B108" s="32">
        <f>IF($A108="","","CV")</f>
        <v/>
      </c>
      <c r="C108" s="33">
        <f>IF($A108="","",Cash_Vouchers!$B36)</f>
        <v/>
      </c>
      <c r="D108" s="32">
        <f>IF($A108="","",Cash_Vouchers!$Y36)</f>
        <v/>
      </c>
      <c r="E108" s="43">
        <f>IF($A108="","",Cash_Vouchers!$I36)</f>
        <v/>
      </c>
      <c r="F108" s="32">
        <f>IF($A108="","",Cash_Vouchers!$N36)</f>
        <v/>
      </c>
      <c r="G108" s="32">
        <f>IF($A108="","","Cash_Vouchers")</f>
        <v/>
      </c>
      <c r="H108" s="44">
        <f>IF($A108="","",IF(COUNTIF($A:$A,$A108)&gt;1,"مكرر",""))</f>
        <v/>
      </c>
      <c r="I108" s="32">
        <f>IF($H108="مكرر","مكرر","")</f>
        <v/>
      </c>
    </row>
    <row r="109">
      <c r="A109" s="32">
        <f>IF(Cash_Vouchers!$A37="","",Cash_Vouchers!$A37)</f>
        <v/>
      </c>
      <c r="B109" s="32">
        <f>IF($A109="","","CV")</f>
        <v/>
      </c>
      <c r="C109" s="33">
        <f>IF($A109="","",Cash_Vouchers!$B37)</f>
        <v/>
      </c>
      <c r="D109" s="32">
        <f>IF($A109="","",Cash_Vouchers!$Y37)</f>
        <v/>
      </c>
      <c r="E109" s="43">
        <f>IF($A109="","",Cash_Vouchers!$I37)</f>
        <v/>
      </c>
      <c r="F109" s="32">
        <f>IF($A109="","",Cash_Vouchers!$N37)</f>
        <v/>
      </c>
      <c r="G109" s="32">
        <f>IF($A109="","","Cash_Vouchers")</f>
        <v/>
      </c>
      <c r="H109" s="44">
        <f>IF($A109="","",IF(COUNTIF($A:$A,$A109)&gt;1,"مكرر",""))</f>
        <v/>
      </c>
      <c r="I109" s="32">
        <f>IF($H109="مكرر","مكرر","")</f>
        <v/>
      </c>
    </row>
    <row r="110">
      <c r="A110" s="32">
        <f>IF(Cash_Vouchers!$A38="","",Cash_Vouchers!$A38)</f>
        <v/>
      </c>
      <c r="B110" s="32">
        <f>IF($A110="","","CV")</f>
        <v/>
      </c>
      <c r="C110" s="33">
        <f>IF($A110="","",Cash_Vouchers!$B38)</f>
        <v/>
      </c>
      <c r="D110" s="32">
        <f>IF($A110="","",Cash_Vouchers!$Y38)</f>
        <v/>
      </c>
      <c r="E110" s="43">
        <f>IF($A110="","",Cash_Vouchers!$I38)</f>
        <v/>
      </c>
      <c r="F110" s="32">
        <f>IF($A110="","",Cash_Vouchers!$N38)</f>
        <v/>
      </c>
      <c r="G110" s="32">
        <f>IF($A110="","","Cash_Vouchers")</f>
        <v/>
      </c>
      <c r="H110" s="44">
        <f>IF($A110="","",IF(COUNTIF($A:$A,$A110)&gt;1,"مكرر",""))</f>
        <v/>
      </c>
      <c r="I110" s="32">
        <f>IF($H110="مكرر","مكرر","")</f>
        <v/>
      </c>
    </row>
    <row r="111">
      <c r="A111" s="32">
        <f>IF(Cash_Vouchers!$A39="","",Cash_Vouchers!$A39)</f>
        <v/>
      </c>
      <c r="B111" s="32">
        <f>IF($A111="","","CV")</f>
        <v/>
      </c>
      <c r="C111" s="33">
        <f>IF($A111="","",Cash_Vouchers!$B39)</f>
        <v/>
      </c>
      <c r="D111" s="32">
        <f>IF($A111="","",Cash_Vouchers!$Y39)</f>
        <v/>
      </c>
      <c r="E111" s="43">
        <f>IF($A111="","",Cash_Vouchers!$I39)</f>
        <v/>
      </c>
      <c r="F111" s="32">
        <f>IF($A111="","",Cash_Vouchers!$N39)</f>
        <v/>
      </c>
      <c r="G111" s="32">
        <f>IF($A111="","","Cash_Vouchers")</f>
        <v/>
      </c>
      <c r="H111" s="44">
        <f>IF($A111="","",IF(COUNTIF($A:$A,$A111)&gt;1,"مكرر",""))</f>
        <v/>
      </c>
      <c r="I111" s="32">
        <f>IF($H111="مكرر","مكرر","")</f>
        <v/>
      </c>
    </row>
    <row r="112">
      <c r="A112" s="32">
        <f>IF(Cash_Vouchers!$A40="","",Cash_Vouchers!$A40)</f>
        <v/>
      </c>
      <c r="B112" s="32">
        <f>IF($A112="","","CV")</f>
        <v/>
      </c>
      <c r="C112" s="33">
        <f>IF($A112="","",Cash_Vouchers!$B40)</f>
        <v/>
      </c>
      <c r="D112" s="32">
        <f>IF($A112="","",Cash_Vouchers!$Y40)</f>
        <v/>
      </c>
      <c r="E112" s="43">
        <f>IF($A112="","",Cash_Vouchers!$I40)</f>
        <v/>
      </c>
      <c r="F112" s="32">
        <f>IF($A112="","",Cash_Vouchers!$N40)</f>
        <v/>
      </c>
      <c r="G112" s="32">
        <f>IF($A112="","","Cash_Vouchers")</f>
        <v/>
      </c>
      <c r="H112" s="44">
        <f>IF($A112="","",IF(COUNTIF($A:$A,$A112)&gt;1,"مكرر",""))</f>
        <v/>
      </c>
      <c r="I112" s="32">
        <f>IF($H112="مكرر","مكرر","")</f>
        <v/>
      </c>
    </row>
    <row r="113">
      <c r="A113" s="32">
        <f>IF(Cash_Vouchers!$A41="","",Cash_Vouchers!$A41)</f>
        <v/>
      </c>
      <c r="B113" s="32">
        <f>IF($A113="","","CV")</f>
        <v/>
      </c>
      <c r="C113" s="33">
        <f>IF($A113="","",Cash_Vouchers!$B41)</f>
        <v/>
      </c>
      <c r="D113" s="32">
        <f>IF($A113="","",Cash_Vouchers!$Y41)</f>
        <v/>
      </c>
      <c r="E113" s="43">
        <f>IF($A113="","",Cash_Vouchers!$I41)</f>
        <v/>
      </c>
      <c r="F113" s="32">
        <f>IF($A113="","",Cash_Vouchers!$N41)</f>
        <v/>
      </c>
      <c r="G113" s="32">
        <f>IF($A113="","","Cash_Vouchers")</f>
        <v/>
      </c>
      <c r="H113" s="44">
        <f>IF($A113="","",IF(COUNTIF($A:$A,$A113)&gt;1,"مكرر",""))</f>
        <v/>
      </c>
      <c r="I113" s="32">
        <f>IF($H113="مكرر","مكرر","")</f>
        <v/>
      </c>
    </row>
    <row r="114">
      <c r="A114" s="32">
        <f>IF(Cash_Vouchers!$A42="","",Cash_Vouchers!$A42)</f>
        <v/>
      </c>
      <c r="B114" s="32">
        <f>IF($A114="","","CV")</f>
        <v/>
      </c>
      <c r="C114" s="33">
        <f>IF($A114="","",Cash_Vouchers!$B42)</f>
        <v/>
      </c>
      <c r="D114" s="32">
        <f>IF($A114="","",Cash_Vouchers!$Y42)</f>
        <v/>
      </c>
      <c r="E114" s="43">
        <f>IF($A114="","",Cash_Vouchers!$I42)</f>
        <v/>
      </c>
      <c r="F114" s="32">
        <f>IF($A114="","",Cash_Vouchers!$N42)</f>
        <v/>
      </c>
      <c r="G114" s="32">
        <f>IF($A114="","","Cash_Vouchers")</f>
        <v/>
      </c>
      <c r="H114" s="44">
        <f>IF($A114="","",IF(COUNTIF($A:$A,$A114)&gt;1,"مكرر",""))</f>
        <v/>
      </c>
      <c r="I114" s="32">
        <f>IF($H114="مكرر","مكرر","")</f>
        <v/>
      </c>
    </row>
    <row r="115">
      <c r="A115" s="32">
        <f>IF(Cash_Vouchers!$A43="","",Cash_Vouchers!$A43)</f>
        <v/>
      </c>
      <c r="B115" s="32">
        <f>IF($A115="","","CV")</f>
        <v/>
      </c>
      <c r="C115" s="33">
        <f>IF($A115="","",Cash_Vouchers!$B43)</f>
        <v/>
      </c>
      <c r="D115" s="32">
        <f>IF($A115="","",Cash_Vouchers!$Y43)</f>
        <v/>
      </c>
      <c r="E115" s="43">
        <f>IF($A115="","",Cash_Vouchers!$I43)</f>
        <v/>
      </c>
      <c r="F115" s="32">
        <f>IF($A115="","",Cash_Vouchers!$N43)</f>
        <v/>
      </c>
      <c r="G115" s="32">
        <f>IF($A115="","","Cash_Vouchers")</f>
        <v/>
      </c>
      <c r="H115" s="44">
        <f>IF($A115="","",IF(COUNTIF($A:$A,$A115)&gt;1,"مكرر",""))</f>
        <v/>
      </c>
      <c r="I115" s="32">
        <f>IF($H115="مكرر","مكرر","")</f>
        <v/>
      </c>
    </row>
    <row r="116">
      <c r="A116" s="32">
        <f>IF(Cash_Vouchers!$A44="","",Cash_Vouchers!$A44)</f>
        <v/>
      </c>
      <c r="B116" s="32">
        <f>IF($A116="","","CV")</f>
        <v/>
      </c>
      <c r="C116" s="33">
        <f>IF($A116="","",Cash_Vouchers!$B44)</f>
        <v/>
      </c>
      <c r="D116" s="32">
        <f>IF($A116="","",Cash_Vouchers!$Y44)</f>
        <v/>
      </c>
      <c r="E116" s="43">
        <f>IF($A116="","",Cash_Vouchers!$I44)</f>
        <v/>
      </c>
      <c r="F116" s="32">
        <f>IF($A116="","",Cash_Vouchers!$N44)</f>
        <v/>
      </c>
      <c r="G116" s="32">
        <f>IF($A116="","","Cash_Vouchers")</f>
        <v/>
      </c>
      <c r="H116" s="44">
        <f>IF($A116="","",IF(COUNTIF($A:$A,$A116)&gt;1,"مكرر",""))</f>
        <v/>
      </c>
      <c r="I116" s="32">
        <f>IF($H116="مكرر","مكرر","")</f>
        <v/>
      </c>
    </row>
    <row r="117">
      <c r="A117" s="32">
        <f>IF(Cash_Vouchers!$A45="","",Cash_Vouchers!$A45)</f>
        <v/>
      </c>
      <c r="B117" s="32">
        <f>IF($A117="","","CV")</f>
        <v/>
      </c>
      <c r="C117" s="33">
        <f>IF($A117="","",Cash_Vouchers!$B45)</f>
        <v/>
      </c>
      <c r="D117" s="32">
        <f>IF($A117="","",Cash_Vouchers!$Y45)</f>
        <v/>
      </c>
      <c r="E117" s="43">
        <f>IF($A117="","",Cash_Vouchers!$I45)</f>
        <v/>
      </c>
      <c r="F117" s="32">
        <f>IF($A117="","",Cash_Vouchers!$N45)</f>
        <v/>
      </c>
      <c r="G117" s="32">
        <f>IF($A117="","","Cash_Vouchers")</f>
        <v/>
      </c>
      <c r="H117" s="44">
        <f>IF($A117="","",IF(COUNTIF($A:$A,$A117)&gt;1,"مكرر",""))</f>
        <v/>
      </c>
      <c r="I117" s="32">
        <f>IF($H117="مكرر","مكرر","")</f>
        <v/>
      </c>
    </row>
    <row r="118">
      <c r="A118" s="32">
        <f>IF(Cash_Vouchers!$A46="","",Cash_Vouchers!$A46)</f>
        <v/>
      </c>
      <c r="B118" s="32">
        <f>IF($A118="","","CV")</f>
        <v/>
      </c>
      <c r="C118" s="33">
        <f>IF($A118="","",Cash_Vouchers!$B46)</f>
        <v/>
      </c>
      <c r="D118" s="32">
        <f>IF($A118="","",Cash_Vouchers!$Y46)</f>
        <v/>
      </c>
      <c r="E118" s="43">
        <f>IF($A118="","",Cash_Vouchers!$I46)</f>
        <v/>
      </c>
      <c r="F118" s="32">
        <f>IF($A118="","",Cash_Vouchers!$N46)</f>
        <v/>
      </c>
      <c r="G118" s="32">
        <f>IF($A118="","","Cash_Vouchers")</f>
        <v/>
      </c>
      <c r="H118" s="44">
        <f>IF($A118="","",IF(COUNTIF($A:$A,$A118)&gt;1,"مكرر",""))</f>
        <v/>
      </c>
      <c r="I118" s="32">
        <f>IF($H118="مكرر","مكرر","")</f>
        <v/>
      </c>
    </row>
    <row r="119">
      <c r="A119" s="32">
        <f>IF(Cash_Vouchers!$A47="","",Cash_Vouchers!$A47)</f>
        <v/>
      </c>
      <c r="B119" s="32">
        <f>IF($A119="","","CV")</f>
        <v/>
      </c>
      <c r="C119" s="33">
        <f>IF($A119="","",Cash_Vouchers!$B47)</f>
        <v/>
      </c>
      <c r="D119" s="32">
        <f>IF($A119="","",Cash_Vouchers!$Y47)</f>
        <v/>
      </c>
      <c r="E119" s="43">
        <f>IF($A119="","",Cash_Vouchers!$I47)</f>
        <v/>
      </c>
      <c r="F119" s="32">
        <f>IF($A119="","",Cash_Vouchers!$N47)</f>
        <v/>
      </c>
      <c r="G119" s="32">
        <f>IF($A119="","","Cash_Vouchers")</f>
        <v/>
      </c>
      <c r="H119" s="44">
        <f>IF($A119="","",IF(COUNTIF($A:$A,$A119)&gt;1,"مكرر",""))</f>
        <v/>
      </c>
      <c r="I119" s="32">
        <f>IF($H119="مكرر","مكرر","")</f>
        <v/>
      </c>
    </row>
    <row r="120">
      <c r="A120" s="32">
        <f>IF(Cash_Vouchers!$A48="","",Cash_Vouchers!$A48)</f>
        <v/>
      </c>
      <c r="B120" s="32">
        <f>IF($A120="","","CV")</f>
        <v/>
      </c>
      <c r="C120" s="33">
        <f>IF($A120="","",Cash_Vouchers!$B48)</f>
        <v/>
      </c>
      <c r="D120" s="32">
        <f>IF($A120="","",Cash_Vouchers!$Y48)</f>
        <v/>
      </c>
      <c r="E120" s="43">
        <f>IF($A120="","",Cash_Vouchers!$I48)</f>
        <v/>
      </c>
      <c r="F120" s="32">
        <f>IF($A120="","",Cash_Vouchers!$N48)</f>
        <v/>
      </c>
      <c r="G120" s="32">
        <f>IF($A120="","","Cash_Vouchers")</f>
        <v/>
      </c>
      <c r="H120" s="44">
        <f>IF($A120="","",IF(COUNTIF($A:$A,$A120)&gt;1,"مكرر",""))</f>
        <v/>
      </c>
      <c r="I120" s="32">
        <f>IF($H120="مكرر","مكرر","")</f>
        <v/>
      </c>
    </row>
    <row r="121">
      <c r="A121" s="32">
        <f>IF(Cash_Vouchers!$A49="","",Cash_Vouchers!$A49)</f>
        <v/>
      </c>
      <c r="B121" s="32">
        <f>IF($A121="","","CV")</f>
        <v/>
      </c>
      <c r="C121" s="33">
        <f>IF($A121="","",Cash_Vouchers!$B49)</f>
        <v/>
      </c>
      <c r="D121" s="32">
        <f>IF($A121="","",Cash_Vouchers!$Y49)</f>
        <v/>
      </c>
      <c r="E121" s="43">
        <f>IF($A121="","",Cash_Vouchers!$I49)</f>
        <v/>
      </c>
      <c r="F121" s="32">
        <f>IF($A121="","",Cash_Vouchers!$N49)</f>
        <v/>
      </c>
      <c r="G121" s="32">
        <f>IF($A121="","","Cash_Vouchers")</f>
        <v/>
      </c>
      <c r="H121" s="44">
        <f>IF($A121="","",IF(COUNTIF($A:$A,$A121)&gt;1,"مكرر",""))</f>
        <v/>
      </c>
      <c r="I121" s="32">
        <f>IF($H121="مكرر","مكرر","")</f>
        <v/>
      </c>
    </row>
    <row r="122">
      <c r="A122" s="32">
        <f>IF(Cash_Vouchers!$A50="","",Cash_Vouchers!$A50)</f>
        <v/>
      </c>
      <c r="B122" s="32">
        <f>IF($A122="","","CV")</f>
        <v/>
      </c>
      <c r="C122" s="33">
        <f>IF($A122="","",Cash_Vouchers!$B50)</f>
        <v/>
      </c>
      <c r="D122" s="32">
        <f>IF($A122="","",Cash_Vouchers!$Y50)</f>
        <v/>
      </c>
      <c r="E122" s="43">
        <f>IF($A122="","",Cash_Vouchers!$I50)</f>
        <v/>
      </c>
      <c r="F122" s="32">
        <f>IF($A122="","",Cash_Vouchers!$N50)</f>
        <v/>
      </c>
      <c r="G122" s="32">
        <f>IF($A122="","","Cash_Vouchers")</f>
        <v/>
      </c>
      <c r="H122" s="44">
        <f>IF($A122="","",IF(COUNTIF($A:$A,$A122)&gt;1,"مكرر",""))</f>
        <v/>
      </c>
      <c r="I122" s="32">
        <f>IF($H122="مكرر","مكرر","")</f>
        <v/>
      </c>
    </row>
    <row r="123">
      <c r="A123" s="32">
        <f>IF(Cash_Vouchers!$A51="","",Cash_Vouchers!$A51)</f>
        <v/>
      </c>
      <c r="B123" s="32">
        <f>IF($A123="","","CV")</f>
        <v/>
      </c>
      <c r="C123" s="33">
        <f>IF($A123="","",Cash_Vouchers!$B51)</f>
        <v/>
      </c>
      <c r="D123" s="32">
        <f>IF($A123="","",Cash_Vouchers!$Y51)</f>
        <v/>
      </c>
      <c r="E123" s="43">
        <f>IF($A123="","",Cash_Vouchers!$I51)</f>
        <v/>
      </c>
      <c r="F123" s="32">
        <f>IF($A123="","",Cash_Vouchers!$N51)</f>
        <v/>
      </c>
      <c r="G123" s="32">
        <f>IF($A123="","","Cash_Vouchers")</f>
        <v/>
      </c>
      <c r="H123" s="44">
        <f>IF($A123="","",IF(COUNTIF($A:$A,$A123)&gt;1,"مكرر",""))</f>
        <v/>
      </c>
      <c r="I123" s="32">
        <f>IF($H123="مكرر","مكرر","")</f>
        <v/>
      </c>
    </row>
    <row r="124">
      <c r="A124" s="32">
        <f>IF(Cash_Vouchers!$A52="","",Cash_Vouchers!$A52)</f>
        <v/>
      </c>
      <c r="B124" s="32">
        <f>IF($A124="","","CV")</f>
        <v/>
      </c>
      <c r="C124" s="33">
        <f>IF($A124="","",Cash_Vouchers!$B52)</f>
        <v/>
      </c>
      <c r="D124" s="32">
        <f>IF($A124="","",Cash_Vouchers!$Y52)</f>
        <v/>
      </c>
      <c r="E124" s="43">
        <f>IF($A124="","",Cash_Vouchers!$I52)</f>
        <v/>
      </c>
      <c r="F124" s="32">
        <f>IF($A124="","",Cash_Vouchers!$N52)</f>
        <v/>
      </c>
      <c r="G124" s="32">
        <f>IF($A124="","","Cash_Vouchers")</f>
        <v/>
      </c>
      <c r="H124" s="44">
        <f>IF($A124="","",IF(COUNTIF($A:$A,$A124)&gt;1,"مكرر",""))</f>
        <v/>
      </c>
      <c r="I124" s="32">
        <f>IF($H124="مكرر","مكرر","")</f>
        <v/>
      </c>
    </row>
    <row r="125">
      <c r="A125" s="32">
        <f>IF(Cash_Vouchers!$A53="","",Cash_Vouchers!$A53)</f>
        <v/>
      </c>
      <c r="B125" s="32">
        <f>IF($A125="","","CV")</f>
        <v/>
      </c>
      <c r="C125" s="33">
        <f>IF($A125="","",Cash_Vouchers!$B53)</f>
        <v/>
      </c>
      <c r="D125" s="32">
        <f>IF($A125="","",Cash_Vouchers!$Y53)</f>
        <v/>
      </c>
      <c r="E125" s="43">
        <f>IF($A125="","",Cash_Vouchers!$I53)</f>
        <v/>
      </c>
      <c r="F125" s="32">
        <f>IF($A125="","",Cash_Vouchers!$N53)</f>
        <v/>
      </c>
      <c r="G125" s="32">
        <f>IF($A125="","","Cash_Vouchers")</f>
        <v/>
      </c>
      <c r="H125" s="44">
        <f>IF($A125="","",IF(COUNTIF($A:$A,$A125)&gt;1,"مكرر",""))</f>
        <v/>
      </c>
      <c r="I125" s="32">
        <f>IF($H125="مكرر","مكرر","")</f>
        <v/>
      </c>
    </row>
    <row r="126">
      <c r="A126" s="32">
        <f>IF(Cash_Vouchers!$A54="","",Cash_Vouchers!$A54)</f>
        <v/>
      </c>
      <c r="B126" s="32">
        <f>IF($A126="","","CV")</f>
        <v/>
      </c>
      <c r="C126" s="33">
        <f>IF($A126="","",Cash_Vouchers!$B54)</f>
        <v/>
      </c>
      <c r="D126" s="32">
        <f>IF($A126="","",Cash_Vouchers!$Y54)</f>
        <v/>
      </c>
      <c r="E126" s="43">
        <f>IF($A126="","",Cash_Vouchers!$I54)</f>
        <v/>
      </c>
      <c r="F126" s="32">
        <f>IF($A126="","",Cash_Vouchers!$N54)</f>
        <v/>
      </c>
      <c r="G126" s="32">
        <f>IF($A126="","","Cash_Vouchers")</f>
        <v/>
      </c>
      <c r="H126" s="44">
        <f>IF($A126="","",IF(COUNTIF($A:$A,$A126)&gt;1,"مكرر",""))</f>
        <v/>
      </c>
      <c r="I126" s="32">
        <f>IF($H126="مكرر","مكرر","")</f>
        <v/>
      </c>
    </row>
    <row r="127">
      <c r="A127" s="32">
        <f>IF(Cash_Vouchers!$A55="","",Cash_Vouchers!$A55)</f>
        <v/>
      </c>
      <c r="B127" s="32">
        <f>IF($A127="","","CV")</f>
        <v/>
      </c>
      <c r="C127" s="33">
        <f>IF($A127="","",Cash_Vouchers!$B55)</f>
        <v/>
      </c>
      <c r="D127" s="32">
        <f>IF($A127="","",Cash_Vouchers!$Y55)</f>
        <v/>
      </c>
      <c r="E127" s="43">
        <f>IF($A127="","",Cash_Vouchers!$I55)</f>
        <v/>
      </c>
      <c r="F127" s="32">
        <f>IF($A127="","",Cash_Vouchers!$N55)</f>
        <v/>
      </c>
      <c r="G127" s="32">
        <f>IF($A127="","","Cash_Vouchers")</f>
        <v/>
      </c>
      <c r="H127" s="44">
        <f>IF($A127="","",IF(COUNTIF($A:$A,$A127)&gt;1,"مكرر",""))</f>
        <v/>
      </c>
      <c r="I127" s="32">
        <f>IF($H127="مكرر","مكرر","")</f>
        <v/>
      </c>
    </row>
    <row r="128">
      <c r="A128" s="32">
        <f>IF(Cash_Vouchers!$A56="","",Cash_Vouchers!$A56)</f>
        <v/>
      </c>
      <c r="B128" s="32">
        <f>IF($A128="","","CV")</f>
        <v/>
      </c>
      <c r="C128" s="33">
        <f>IF($A128="","",Cash_Vouchers!$B56)</f>
        <v/>
      </c>
      <c r="D128" s="32">
        <f>IF($A128="","",Cash_Vouchers!$Y56)</f>
        <v/>
      </c>
      <c r="E128" s="43">
        <f>IF($A128="","",Cash_Vouchers!$I56)</f>
        <v/>
      </c>
      <c r="F128" s="32">
        <f>IF($A128="","",Cash_Vouchers!$N56)</f>
        <v/>
      </c>
      <c r="G128" s="32">
        <f>IF($A128="","","Cash_Vouchers")</f>
        <v/>
      </c>
      <c r="H128" s="44">
        <f>IF($A128="","",IF(COUNTIF($A:$A,$A128)&gt;1,"مكرر",""))</f>
        <v/>
      </c>
      <c r="I128" s="32">
        <f>IF($H128="مكرر","مكرر","")</f>
        <v/>
      </c>
    </row>
    <row r="129">
      <c r="A129" s="32">
        <f>IF(Cash_Vouchers!$A57="","",Cash_Vouchers!$A57)</f>
        <v/>
      </c>
      <c r="B129" s="32">
        <f>IF($A129="","","CV")</f>
        <v/>
      </c>
      <c r="C129" s="33">
        <f>IF($A129="","",Cash_Vouchers!$B57)</f>
        <v/>
      </c>
      <c r="D129" s="32">
        <f>IF($A129="","",Cash_Vouchers!$Y57)</f>
        <v/>
      </c>
      <c r="E129" s="43">
        <f>IF($A129="","",Cash_Vouchers!$I57)</f>
        <v/>
      </c>
      <c r="F129" s="32">
        <f>IF($A129="","",Cash_Vouchers!$N57)</f>
        <v/>
      </c>
      <c r="G129" s="32">
        <f>IF($A129="","","Cash_Vouchers")</f>
        <v/>
      </c>
      <c r="H129" s="44">
        <f>IF($A129="","",IF(COUNTIF($A:$A,$A129)&gt;1,"مكرر",""))</f>
        <v/>
      </c>
      <c r="I129" s="32">
        <f>IF($H129="مكرر","مكرر","")</f>
        <v/>
      </c>
    </row>
    <row r="130">
      <c r="A130" s="32">
        <f>IF(Cash_Vouchers!$A58="","",Cash_Vouchers!$A58)</f>
        <v/>
      </c>
      <c r="B130" s="32">
        <f>IF($A130="","","CV")</f>
        <v/>
      </c>
      <c r="C130" s="33">
        <f>IF($A130="","",Cash_Vouchers!$B58)</f>
        <v/>
      </c>
      <c r="D130" s="32">
        <f>IF($A130="","",Cash_Vouchers!$Y58)</f>
        <v/>
      </c>
      <c r="E130" s="43">
        <f>IF($A130="","",Cash_Vouchers!$I58)</f>
        <v/>
      </c>
      <c r="F130" s="32">
        <f>IF($A130="","",Cash_Vouchers!$N58)</f>
        <v/>
      </c>
      <c r="G130" s="32">
        <f>IF($A130="","","Cash_Vouchers")</f>
        <v/>
      </c>
      <c r="H130" s="44">
        <f>IF($A130="","",IF(COUNTIF($A:$A,$A130)&gt;1,"مكرر",""))</f>
        <v/>
      </c>
      <c r="I130" s="32">
        <f>IF($H130="مكرر","مكرر","")</f>
        <v/>
      </c>
    </row>
    <row r="131">
      <c r="A131" s="32">
        <f>IF(Cash_Vouchers!$A59="","",Cash_Vouchers!$A59)</f>
        <v/>
      </c>
      <c r="B131" s="32">
        <f>IF($A131="","","CV")</f>
        <v/>
      </c>
      <c r="C131" s="33">
        <f>IF($A131="","",Cash_Vouchers!$B59)</f>
        <v/>
      </c>
      <c r="D131" s="32">
        <f>IF($A131="","",Cash_Vouchers!$Y59)</f>
        <v/>
      </c>
      <c r="E131" s="43">
        <f>IF($A131="","",Cash_Vouchers!$I59)</f>
        <v/>
      </c>
      <c r="F131" s="32">
        <f>IF($A131="","",Cash_Vouchers!$N59)</f>
        <v/>
      </c>
      <c r="G131" s="32">
        <f>IF($A131="","","Cash_Vouchers")</f>
        <v/>
      </c>
      <c r="H131" s="44">
        <f>IF($A131="","",IF(COUNTIF($A:$A,$A131)&gt;1,"مكرر",""))</f>
        <v/>
      </c>
      <c r="I131" s="32">
        <f>IF($H131="مكرر","مكرر","")</f>
        <v/>
      </c>
    </row>
    <row r="132">
      <c r="A132" s="32">
        <f>IF(Cash_Vouchers!$A60="","",Cash_Vouchers!$A60)</f>
        <v/>
      </c>
      <c r="B132" s="32">
        <f>IF($A132="","","CV")</f>
        <v/>
      </c>
      <c r="C132" s="33">
        <f>IF($A132="","",Cash_Vouchers!$B60)</f>
        <v/>
      </c>
      <c r="D132" s="32">
        <f>IF($A132="","",Cash_Vouchers!$Y60)</f>
        <v/>
      </c>
      <c r="E132" s="43">
        <f>IF($A132="","",Cash_Vouchers!$I60)</f>
        <v/>
      </c>
      <c r="F132" s="32">
        <f>IF($A132="","",Cash_Vouchers!$N60)</f>
        <v/>
      </c>
      <c r="G132" s="32">
        <f>IF($A132="","","Cash_Vouchers")</f>
        <v/>
      </c>
      <c r="H132" s="44">
        <f>IF($A132="","",IF(COUNTIF($A:$A,$A132)&gt;1,"مكرر",""))</f>
        <v/>
      </c>
      <c r="I132" s="32">
        <f>IF($H132="مكرر","مكرر","")</f>
        <v/>
      </c>
    </row>
    <row r="133">
      <c r="A133" s="32">
        <f>IF(Cash_Vouchers!$A61="","",Cash_Vouchers!$A61)</f>
        <v/>
      </c>
      <c r="B133" s="32">
        <f>IF($A133="","","CV")</f>
        <v/>
      </c>
      <c r="C133" s="33">
        <f>IF($A133="","",Cash_Vouchers!$B61)</f>
        <v/>
      </c>
      <c r="D133" s="32">
        <f>IF($A133="","",Cash_Vouchers!$Y61)</f>
        <v/>
      </c>
      <c r="E133" s="43">
        <f>IF($A133="","",Cash_Vouchers!$I61)</f>
        <v/>
      </c>
      <c r="F133" s="32">
        <f>IF($A133="","",Cash_Vouchers!$N61)</f>
        <v/>
      </c>
      <c r="G133" s="32">
        <f>IF($A133="","","Cash_Vouchers")</f>
        <v/>
      </c>
      <c r="H133" s="44">
        <f>IF($A133="","",IF(COUNTIF($A:$A,$A133)&gt;1,"مكرر",""))</f>
        <v/>
      </c>
      <c r="I133" s="32">
        <f>IF($H133="مكرر","مكرر","")</f>
        <v/>
      </c>
    </row>
    <row r="134">
      <c r="A134" s="32">
        <f>IF(Cash_Vouchers!$A62="","",Cash_Vouchers!$A62)</f>
        <v/>
      </c>
      <c r="B134" s="32">
        <f>IF($A134="","","CV")</f>
        <v/>
      </c>
      <c r="C134" s="33">
        <f>IF($A134="","",Cash_Vouchers!$B62)</f>
        <v/>
      </c>
      <c r="D134" s="32">
        <f>IF($A134="","",Cash_Vouchers!$Y62)</f>
        <v/>
      </c>
      <c r="E134" s="43">
        <f>IF($A134="","",Cash_Vouchers!$I62)</f>
        <v/>
      </c>
      <c r="F134" s="32">
        <f>IF($A134="","",Cash_Vouchers!$N62)</f>
        <v/>
      </c>
      <c r="G134" s="32">
        <f>IF($A134="","","Cash_Vouchers")</f>
        <v/>
      </c>
      <c r="H134" s="44">
        <f>IF($A134="","",IF(COUNTIF($A:$A,$A134)&gt;1,"مكرر",""))</f>
        <v/>
      </c>
      <c r="I134" s="32">
        <f>IF($H134="مكرر","مكرر","")</f>
        <v/>
      </c>
    </row>
    <row r="135">
      <c r="A135" s="32">
        <f>IF(Cash_Vouchers!$A63="","",Cash_Vouchers!$A63)</f>
        <v/>
      </c>
      <c r="B135" s="32">
        <f>IF($A135="","","CV")</f>
        <v/>
      </c>
      <c r="C135" s="33">
        <f>IF($A135="","",Cash_Vouchers!$B63)</f>
        <v/>
      </c>
      <c r="D135" s="32">
        <f>IF($A135="","",Cash_Vouchers!$Y63)</f>
        <v/>
      </c>
      <c r="E135" s="43">
        <f>IF($A135="","",Cash_Vouchers!$I63)</f>
        <v/>
      </c>
      <c r="F135" s="32">
        <f>IF($A135="","",Cash_Vouchers!$N63)</f>
        <v/>
      </c>
      <c r="G135" s="32">
        <f>IF($A135="","","Cash_Vouchers")</f>
        <v/>
      </c>
      <c r="H135" s="44">
        <f>IF($A135="","",IF(COUNTIF($A:$A,$A135)&gt;1,"مكرر",""))</f>
        <v/>
      </c>
      <c r="I135" s="32">
        <f>IF($H135="مكرر","مكرر","")</f>
        <v/>
      </c>
    </row>
    <row r="136">
      <c r="A136" s="32">
        <f>IF(Cash_Vouchers!$A64="","",Cash_Vouchers!$A64)</f>
        <v/>
      </c>
      <c r="B136" s="32">
        <f>IF($A136="","","CV")</f>
        <v/>
      </c>
      <c r="C136" s="33">
        <f>IF($A136="","",Cash_Vouchers!$B64)</f>
        <v/>
      </c>
      <c r="D136" s="32">
        <f>IF($A136="","",Cash_Vouchers!$Y64)</f>
        <v/>
      </c>
      <c r="E136" s="43">
        <f>IF($A136="","",Cash_Vouchers!$I64)</f>
        <v/>
      </c>
      <c r="F136" s="32">
        <f>IF($A136="","",Cash_Vouchers!$N64)</f>
        <v/>
      </c>
      <c r="G136" s="32">
        <f>IF($A136="","","Cash_Vouchers")</f>
        <v/>
      </c>
      <c r="H136" s="44">
        <f>IF($A136="","",IF(COUNTIF($A:$A,$A136)&gt;1,"مكرر",""))</f>
        <v/>
      </c>
      <c r="I136" s="32">
        <f>IF($H136="مكرر","مكرر","")</f>
        <v/>
      </c>
    </row>
    <row r="137">
      <c r="A137" s="32">
        <f>IF(Cash_Vouchers!$A65="","",Cash_Vouchers!$A65)</f>
        <v/>
      </c>
      <c r="B137" s="32">
        <f>IF($A137="","","CV")</f>
        <v/>
      </c>
      <c r="C137" s="33">
        <f>IF($A137="","",Cash_Vouchers!$B65)</f>
        <v/>
      </c>
      <c r="D137" s="32">
        <f>IF($A137="","",Cash_Vouchers!$Y65)</f>
        <v/>
      </c>
      <c r="E137" s="43">
        <f>IF($A137="","",Cash_Vouchers!$I65)</f>
        <v/>
      </c>
      <c r="F137" s="32">
        <f>IF($A137="","",Cash_Vouchers!$N65)</f>
        <v/>
      </c>
      <c r="G137" s="32">
        <f>IF($A137="","","Cash_Vouchers")</f>
        <v/>
      </c>
      <c r="H137" s="44">
        <f>IF($A137="","",IF(COUNTIF($A:$A,$A137)&gt;1,"مكرر",""))</f>
        <v/>
      </c>
      <c r="I137" s="32">
        <f>IF($H137="مكرر","مكرر","")</f>
        <v/>
      </c>
    </row>
    <row r="138">
      <c r="A138" s="32">
        <f>IF(Cash_Vouchers!$A66="","",Cash_Vouchers!$A66)</f>
        <v/>
      </c>
      <c r="B138" s="32">
        <f>IF($A138="","","CV")</f>
        <v/>
      </c>
      <c r="C138" s="33">
        <f>IF($A138="","",Cash_Vouchers!$B66)</f>
        <v/>
      </c>
      <c r="D138" s="32">
        <f>IF($A138="","",Cash_Vouchers!$Y66)</f>
        <v/>
      </c>
      <c r="E138" s="43">
        <f>IF($A138="","",Cash_Vouchers!$I66)</f>
        <v/>
      </c>
      <c r="F138" s="32">
        <f>IF($A138="","",Cash_Vouchers!$N66)</f>
        <v/>
      </c>
      <c r="G138" s="32">
        <f>IF($A138="","","Cash_Vouchers")</f>
        <v/>
      </c>
      <c r="H138" s="44">
        <f>IF($A138="","",IF(COUNTIF($A:$A,$A138)&gt;1,"مكرر",""))</f>
        <v/>
      </c>
      <c r="I138" s="32">
        <f>IF($H138="مكرر","مكرر","")</f>
        <v/>
      </c>
    </row>
    <row r="139">
      <c r="A139" s="32">
        <f>IF(Cash_Vouchers!$A67="","",Cash_Vouchers!$A67)</f>
        <v/>
      </c>
      <c r="B139" s="32">
        <f>IF($A139="","","CV")</f>
        <v/>
      </c>
      <c r="C139" s="33">
        <f>IF($A139="","",Cash_Vouchers!$B67)</f>
        <v/>
      </c>
      <c r="D139" s="32">
        <f>IF($A139="","",Cash_Vouchers!$Y67)</f>
        <v/>
      </c>
      <c r="E139" s="43">
        <f>IF($A139="","",Cash_Vouchers!$I67)</f>
        <v/>
      </c>
      <c r="F139" s="32">
        <f>IF($A139="","",Cash_Vouchers!$N67)</f>
        <v/>
      </c>
      <c r="G139" s="32">
        <f>IF($A139="","","Cash_Vouchers")</f>
        <v/>
      </c>
      <c r="H139" s="44">
        <f>IF($A139="","",IF(COUNTIF($A:$A,$A139)&gt;1,"مكرر",""))</f>
        <v/>
      </c>
      <c r="I139" s="32">
        <f>IF($H139="مكرر","مكرر","")</f>
        <v/>
      </c>
    </row>
    <row r="140">
      <c r="A140" s="32">
        <f>IF(Cash_Vouchers!$A68="","",Cash_Vouchers!$A68)</f>
        <v/>
      </c>
      <c r="B140" s="32">
        <f>IF($A140="","","CV")</f>
        <v/>
      </c>
      <c r="C140" s="33">
        <f>IF($A140="","",Cash_Vouchers!$B68)</f>
        <v/>
      </c>
      <c r="D140" s="32">
        <f>IF($A140="","",Cash_Vouchers!$Y68)</f>
        <v/>
      </c>
      <c r="E140" s="43">
        <f>IF($A140="","",Cash_Vouchers!$I68)</f>
        <v/>
      </c>
      <c r="F140" s="32">
        <f>IF($A140="","",Cash_Vouchers!$N68)</f>
        <v/>
      </c>
      <c r="G140" s="32">
        <f>IF($A140="","","Cash_Vouchers")</f>
        <v/>
      </c>
      <c r="H140" s="44">
        <f>IF($A140="","",IF(COUNTIF($A:$A,$A140)&gt;1,"مكرر",""))</f>
        <v/>
      </c>
      <c r="I140" s="32">
        <f>IF($H140="مكرر","مكرر","")</f>
        <v/>
      </c>
    </row>
    <row r="141">
      <c r="A141" s="32">
        <f>IF(Cash_Vouchers!$A69="","",Cash_Vouchers!$A69)</f>
        <v/>
      </c>
      <c r="B141" s="32">
        <f>IF($A141="","","CV")</f>
        <v/>
      </c>
      <c r="C141" s="33">
        <f>IF($A141="","",Cash_Vouchers!$B69)</f>
        <v/>
      </c>
      <c r="D141" s="32">
        <f>IF($A141="","",Cash_Vouchers!$Y69)</f>
        <v/>
      </c>
      <c r="E141" s="43">
        <f>IF($A141="","",Cash_Vouchers!$I69)</f>
        <v/>
      </c>
      <c r="F141" s="32">
        <f>IF($A141="","",Cash_Vouchers!$N69)</f>
        <v/>
      </c>
      <c r="G141" s="32">
        <f>IF($A141="","","Cash_Vouchers")</f>
        <v/>
      </c>
      <c r="H141" s="44">
        <f>IF($A141="","",IF(COUNTIF($A:$A,$A141)&gt;1,"مكرر",""))</f>
        <v/>
      </c>
      <c r="I141" s="32">
        <f>IF($H141="مكرر","مكرر","")</f>
        <v/>
      </c>
    </row>
    <row r="142">
      <c r="A142" s="32">
        <f>IF(Cash_Vouchers!$A70="","",Cash_Vouchers!$A70)</f>
        <v/>
      </c>
      <c r="B142" s="32">
        <f>IF($A142="","","CV")</f>
        <v/>
      </c>
      <c r="C142" s="33">
        <f>IF($A142="","",Cash_Vouchers!$B70)</f>
        <v/>
      </c>
      <c r="D142" s="32">
        <f>IF($A142="","",Cash_Vouchers!$Y70)</f>
        <v/>
      </c>
      <c r="E142" s="43">
        <f>IF($A142="","",Cash_Vouchers!$I70)</f>
        <v/>
      </c>
      <c r="F142" s="32">
        <f>IF($A142="","",Cash_Vouchers!$N70)</f>
        <v/>
      </c>
      <c r="G142" s="32">
        <f>IF($A142="","","Cash_Vouchers")</f>
        <v/>
      </c>
      <c r="H142" s="44">
        <f>IF($A142="","",IF(COUNTIF($A:$A,$A142)&gt;1,"مكرر",""))</f>
        <v/>
      </c>
      <c r="I142" s="32">
        <f>IF($H142="مكرر","مكرر","")</f>
        <v/>
      </c>
    </row>
    <row r="143">
      <c r="A143" s="32">
        <f>IF(Cash_Vouchers!$A71="","",Cash_Vouchers!$A71)</f>
        <v/>
      </c>
      <c r="B143" s="32">
        <f>IF($A143="","","CV")</f>
        <v/>
      </c>
      <c r="C143" s="33">
        <f>IF($A143="","",Cash_Vouchers!$B71)</f>
        <v/>
      </c>
      <c r="D143" s="32">
        <f>IF($A143="","",Cash_Vouchers!$Y71)</f>
        <v/>
      </c>
      <c r="E143" s="43">
        <f>IF($A143="","",Cash_Vouchers!$I71)</f>
        <v/>
      </c>
      <c r="F143" s="32">
        <f>IF($A143="","",Cash_Vouchers!$N71)</f>
        <v/>
      </c>
      <c r="G143" s="32">
        <f>IF($A143="","","Cash_Vouchers")</f>
        <v/>
      </c>
      <c r="H143" s="44">
        <f>IF($A143="","",IF(COUNTIF($A:$A,$A143)&gt;1,"مكرر",""))</f>
        <v/>
      </c>
      <c r="I143" s="32">
        <f>IF($H143="مكرر","مكرر","")</f>
        <v/>
      </c>
    </row>
    <row r="144">
      <c r="A144" s="32">
        <f>IF(Cash_Vouchers!$A72="","",Cash_Vouchers!$A72)</f>
        <v/>
      </c>
      <c r="B144" s="32">
        <f>IF($A144="","","CV")</f>
        <v/>
      </c>
      <c r="C144" s="33">
        <f>IF($A144="","",Cash_Vouchers!$B72)</f>
        <v/>
      </c>
      <c r="D144" s="32">
        <f>IF($A144="","",Cash_Vouchers!$Y72)</f>
        <v/>
      </c>
      <c r="E144" s="43">
        <f>IF($A144="","",Cash_Vouchers!$I72)</f>
        <v/>
      </c>
      <c r="F144" s="32">
        <f>IF($A144="","",Cash_Vouchers!$N72)</f>
        <v/>
      </c>
      <c r="G144" s="32">
        <f>IF($A144="","","Cash_Vouchers")</f>
        <v/>
      </c>
      <c r="H144" s="44">
        <f>IF($A144="","",IF(COUNTIF($A:$A,$A144)&gt;1,"مكرر",""))</f>
        <v/>
      </c>
      <c r="I144" s="32">
        <f>IF($H144="مكرر","مكرر","")</f>
        <v/>
      </c>
    </row>
    <row r="145">
      <c r="A145" s="32">
        <f>IF(Cash_Vouchers!$A73="","",Cash_Vouchers!$A73)</f>
        <v/>
      </c>
      <c r="B145" s="32">
        <f>IF($A145="","","CV")</f>
        <v/>
      </c>
      <c r="C145" s="33">
        <f>IF($A145="","",Cash_Vouchers!$B73)</f>
        <v/>
      </c>
      <c r="D145" s="32">
        <f>IF($A145="","",Cash_Vouchers!$Y73)</f>
        <v/>
      </c>
      <c r="E145" s="43">
        <f>IF($A145="","",Cash_Vouchers!$I73)</f>
        <v/>
      </c>
      <c r="F145" s="32">
        <f>IF($A145="","",Cash_Vouchers!$N73)</f>
        <v/>
      </c>
      <c r="G145" s="32">
        <f>IF($A145="","","Cash_Vouchers")</f>
        <v/>
      </c>
      <c r="H145" s="44">
        <f>IF($A145="","",IF(COUNTIF($A:$A,$A145)&gt;1,"مكرر",""))</f>
        <v/>
      </c>
      <c r="I145" s="32">
        <f>IF($H145="مكرر","مكرر","")</f>
        <v/>
      </c>
    </row>
    <row r="146">
      <c r="A146" s="32">
        <f>IF(Cash_Vouchers!$A74="","",Cash_Vouchers!$A74)</f>
        <v/>
      </c>
      <c r="B146" s="32">
        <f>IF($A146="","","CV")</f>
        <v/>
      </c>
      <c r="C146" s="33">
        <f>IF($A146="","",Cash_Vouchers!$B74)</f>
        <v/>
      </c>
      <c r="D146" s="32">
        <f>IF($A146="","",Cash_Vouchers!$Y74)</f>
        <v/>
      </c>
      <c r="E146" s="43">
        <f>IF($A146="","",Cash_Vouchers!$I74)</f>
        <v/>
      </c>
      <c r="F146" s="32">
        <f>IF($A146="","",Cash_Vouchers!$N74)</f>
        <v/>
      </c>
      <c r="G146" s="32">
        <f>IF($A146="","","Cash_Vouchers")</f>
        <v/>
      </c>
      <c r="H146" s="44">
        <f>IF($A146="","",IF(COUNTIF($A:$A,$A146)&gt;1,"مكرر",""))</f>
        <v/>
      </c>
      <c r="I146" s="32">
        <f>IF($H146="مكرر","مكرر","")</f>
        <v/>
      </c>
    </row>
    <row r="147">
      <c r="A147" s="32">
        <f>IF(Cash_Vouchers!$A75="","",Cash_Vouchers!$A75)</f>
        <v/>
      </c>
      <c r="B147" s="32">
        <f>IF($A147="","","CV")</f>
        <v/>
      </c>
      <c r="C147" s="33">
        <f>IF($A147="","",Cash_Vouchers!$B75)</f>
        <v/>
      </c>
      <c r="D147" s="32">
        <f>IF($A147="","",Cash_Vouchers!$Y75)</f>
        <v/>
      </c>
      <c r="E147" s="43">
        <f>IF($A147="","",Cash_Vouchers!$I75)</f>
        <v/>
      </c>
      <c r="F147" s="32">
        <f>IF($A147="","",Cash_Vouchers!$N75)</f>
        <v/>
      </c>
      <c r="G147" s="32">
        <f>IF($A147="","","Cash_Vouchers")</f>
        <v/>
      </c>
      <c r="H147" s="44">
        <f>IF($A147="","",IF(COUNTIF($A:$A,$A147)&gt;1,"مكرر",""))</f>
        <v/>
      </c>
      <c r="I147" s="32">
        <f>IF($H147="مكرر","مكرر","")</f>
        <v/>
      </c>
    </row>
    <row r="148">
      <c r="A148" s="32">
        <f>IF(Cash_Vouchers!$A76="","",Cash_Vouchers!$A76)</f>
        <v/>
      </c>
      <c r="B148" s="32">
        <f>IF($A148="","","CV")</f>
        <v/>
      </c>
      <c r="C148" s="33">
        <f>IF($A148="","",Cash_Vouchers!$B76)</f>
        <v/>
      </c>
      <c r="D148" s="32">
        <f>IF($A148="","",Cash_Vouchers!$Y76)</f>
        <v/>
      </c>
      <c r="E148" s="43">
        <f>IF($A148="","",Cash_Vouchers!$I76)</f>
        <v/>
      </c>
      <c r="F148" s="32">
        <f>IF($A148="","",Cash_Vouchers!$N76)</f>
        <v/>
      </c>
      <c r="G148" s="32">
        <f>IF($A148="","","Cash_Vouchers")</f>
        <v/>
      </c>
      <c r="H148" s="44">
        <f>IF($A148="","",IF(COUNTIF($A:$A,$A148)&gt;1,"مكرر",""))</f>
        <v/>
      </c>
      <c r="I148" s="32">
        <f>IF($H148="مكرر","مكرر","")</f>
        <v/>
      </c>
    </row>
    <row r="149">
      <c r="A149" s="32">
        <f>IF(Cash_Vouchers!$A77="","",Cash_Vouchers!$A77)</f>
        <v/>
      </c>
      <c r="B149" s="32">
        <f>IF($A149="","","CV")</f>
        <v/>
      </c>
      <c r="C149" s="33">
        <f>IF($A149="","",Cash_Vouchers!$B77)</f>
        <v/>
      </c>
      <c r="D149" s="32">
        <f>IF($A149="","",Cash_Vouchers!$Y77)</f>
        <v/>
      </c>
      <c r="E149" s="43">
        <f>IF($A149="","",Cash_Vouchers!$I77)</f>
        <v/>
      </c>
      <c r="F149" s="32">
        <f>IF($A149="","",Cash_Vouchers!$N77)</f>
        <v/>
      </c>
      <c r="G149" s="32">
        <f>IF($A149="","","Cash_Vouchers")</f>
        <v/>
      </c>
      <c r="H149" s="44">
        <f>IF($A149="","",IF(COUNTIF($A:$A,$A149)&gt;1,"مكرر",""))</f>
        <v/>
      </c>
      <c r="I149" s="32">
        <f>IF($H149="مكرر","مكرر","")</f>
        <v/>
      </c>
    </row>
    <row r="150">
      <c r="A150" s="32">
        <f>IF(Cash_Vouchers!$A78="","",Cash_Vouchers!$A78)</f>
        <v/>
      </c>
      <c r="B150" s="32">
        <f>IF($A150="","","CV")</f>
        <v/>
      </c>
      <c r="C150" s="33">
        <f>IF($A150="","",Cash_Vouchers!$B78)</f>
        <v/>
      </c>
      <c r="D150" s="32">
        <f>IF($A150="","",Cash_Vouchers!$Y78)</f>
        <v/>
      </c>
      <c r="E150" s="43">
        <f>IF($A150="","",Cash_Vouchers!$I78)</f>
        <v/>
      </c>
      <c r="F150" s="32">
        <f>IF($A150="","",Cash_Vouchers!$N78)</f>
        <v/>
      </c>
      <c r="G150" s="32">
        <f>IF($A150="","","Cash_Vouchers")</f>
        <v/>
      </c>
      <c r="H150" s="44">
        <f>IF($A150="","",IF(COUNTIF($A:$A,$A150)&gt;1,"مكرر",""))</f>
        <v/>
      </c>
      <c r="I150" s="32">
        <f>IF($H150="مكرر","مكرر","")</f>
        <v/>
      </c>
    </row>
    <row r="151">
      <c r="A151" s="32">
        <f>IF(Cash_Vouchers!$A79="","",Cash_Vouchers!$A79)</f>
        <v/>
      </c>
      <c r="B151" s="32">
        <f>IF($A151="","","CV")</f>
        <v/>
      </c>
      <c r="C151" s="33">
        <f>IF($A151="","",Cash_Vouchers!$B79)</f>
        <v/>
      </c>
      <c r="D151" s="32">
        <f>IF($A151="","",Cash_Vouchers!$Y79)</f>
        <v/>
      </c>
      <c r="E151" s="43">
        <f>IF($A151="","",Cash_Vouchers!$I79)</f>
        <v/>
      </c>
      <c r="F151" s="32">
        <f>IF($A151="","",Cash_Vouchers!$N79)</f>
        <v/>
      </c>
      <c r="G151" s="32">
        <f>IF($A151="","","Cash_Vouchers")</f>
        <v/>
      </c>
      <c r="H151" s="44">
        <f>IF($A151="","",IF(COUNTIF($A:$A,$A151)&gt;1,"مكرر",""))</f>
        <v/>
      </c>
      <c r="I151" s="32">
        <f>IF($H151="مكرر","مكرر","")</f>
        <v/>
      </c>
    </row>
    <row r="152">
      <c r="A152" s="32">
        <f>IF(Cash_Vouchers!$A80="","",Cash_Vouchers!$A80)</f>
        <v/>
      </c>
      <c r="B152" s="32">
        <f>IF($A152="","","CV")</f>
        <v/>
      </c>
      <c r="C152" s="33">
        <f>IF($A152="","",Cash_Vouchers!$B80)</f>
        <v/>
      </c>
      <c r="D152" s="32">
        <f>IF($A152="","",Cash_Vouchers!$Y80)</f>
        <v/>
      </c>
      <c r="E152" s="43">
        <f>IF($A152="","",Cash_Vouchers!$I80)</f>
        <v/>
      </c>
      <c r="F152" s="32">
        <f>IF($A152="","",Cash_Vouchers!$N80)</f>
        <v/>
      </c>
      <c r="G152" s="32">
        <f>IF($A152="","","Cash_Vouchers")</f>
        <v/>
      </c>
      <c r="H152" s="44">
        <f>IF($A152="","",IF(COUNTIF($A:$A,$A152)&gt;1,"مكرر",""))</f>
        <v/>
      </c>
      <c r="I152" s="32">
        <f>IF($H152="مكرر","مكرر","")</f>
        <v/>
      </c>
    </row>
    <row r="153">
      <c r="A153" s="32">
        <f>IF(Cash_Vouchers!$A81="","",Cash_Vouchers!$A81)</f>
        <v/>
      </c>
      <c r="B153" s="32">
        <f>IF($A153="","","CV")</f>
        <v/>
      </c>
      <c r="C153" s="33">
        <f>IF($A153="","",Cash_Vouchers!$B81)</f>
        <v/>
      </c>
      <c r="D153" s="32">
        <f>IF($A153="","",Cash_Vouchers!$Y81)</f>
        <v/>
      </c>
      <c r="E153" s="43">
        <f>IF($A153="","",Cash_Vouchers!$I81)</f>
        <v/>
      </c>
      <c r="F153" s="32">
        <f>IF($A153="","",Cash_Vouchers!$N81)</f>
        <v/>
      </c>
      <c r="G153" s="32">
        <f>IF($A153="","","Cash_Vouchers")</f>
        <v/>
      </c>
      <c r="H153" s="44">
        <f>IF($A153="","",IF(COUNTIF($A:$A,$A153)&gt;1,"مكرر",""))</f>
        <v/>
      </c>
      <c r="I153" s="32">
        <f>IF($H153="مكرر","مكرر","")</f>
        <v/>
      </c>
    </row>
    <row r="154">
      <c r="A154" s="32">
        <f>IF(Cash_Vouchers!$A82="","",Cash_Vouchers!$A82)</f>
        <v/>
      </c>
      <c r="B154" s="32">
        <f>IF($A154="","","CV")</f>
        <v/>
      </c>
      <c r="C154" s="33">
        <f>IF($A154="","",Cash_Vouchers!$B82)</f>
        <v/>
      </c>
      <c r="D154" s="32">
        <f>IF($A154="","",Cash_Vouchers!$Y82)</f>
        <v/>
      </c>
      <c r="E154" s="43">
        <f>IF($A154="","",Cash_Vouchers!$I82)</f>
        <v/>
      </c>
      <c r="F154" s="32">
        <f>IF($A154="","",Cash_Vouchers!$N82)</f>
        <v/>
      </c>
      <c r="G154" s="32">
        <f>IF($A154="","","Cash_Vouchers")</f>
        <v/>
      </c>
      <c r="H154" s="44">
        <f>IF($A154="","",IF(COUNTIF($A:$A,$A154)&gt;1,"مكرر",""))</f>
        <v/>
      </c>
      <c r="I154" s="32">
        <f>IF($H154="مكرر","مكرر","")</f>
        <v/>
      </c>
    </row>
    <row r="155">
      <c r="A155" s="32">
        <f>IF(Cash_Vouchers!$A83="","",Cash_Vouchers!$A83)</f>
        <v/>
      </c>
      <c r="B155" s="32">
        <f>IF($A155="","","CV")</f>
        <v/>
      </c>
      <c r="C155" s="33">
        <f>IF($A155="","",Cash_Vouchers!$B83)</f>
        <v/>
      </c>
      <c r="D155" s="32">
        <f>IF($A155="","",Cash_Vouchers!$Y83)</f>
        <v/>
      </c>
      <c r="E155" s="43">
        <f>IF($A155="","",Cash_Vouchers!$I83)</f>
        <v/>
      </c>
      <c r="F155" s="32">
        <f>IF($A155="","",Cash_Vouchers!$N83)</f>
        <v/>
      </c>
      <c r="G155" s="32">
        <f>IF($A155="","","Cash_Vouchers")</f>
        <v/>
      </c>
      <c r="H155" s="44">
        <f>IF($A155="","",IF(COUNTIF($A:$A,$A155)&gt;1,"مكرر",""))</f>
        <v/>
      </c>
      <c r="I155" s="32">
        <f>IF($H155="مكرر","مكرر","")</f>
        <v/>
      </c>
    </row>
    <row r="156">
      <c r="A156" s="32">
        <f>IF(Cash_Vouchers!$A84="","",Cash_Vouchers!$A84)</f>
        <v/>
      </c>
      <c r="B156" s="32">
        <f>IF($A156="","","CV")</f>
        <v/>
      </c>
      <c r="C156" s="33">
        <f>IF($A156="","",Cash_Vouchers!$B84)</f>
        <v/>
      </c>
      <c r="D156" s="32">
        <f>IF($A156="","",Cash_Vouchers!$Y84)</f>
        <v/>
      </c>
      <c r="E156" s="43">
        <f>IF($A156="","",Cash_Vouchers!$I84)</f>
        <v/>
      </c>
      <c r="F156" s="32">
        <f>IF($A156="","",Cash_Vouchers!$N84)</f>
        <v/>
      </c>
      <c r="G156" s="32">
        <f>IF($A156="","","Cash_Vouchers")</f>
        <v/>
      </c>
      <c r="H156" s="44">
        <f>IF($A156="","",IF(COUNTIF($A:$A,$A156)&gt;1,"مكرر",""))</f>
        <v/>
      </c>
      <c r="I156" s="32">
        <f>IF($H156="مكرر","مكرر","")</f>
        <v/>
      </c>
    </row>
    <row r="157">
      <c r="A157" s="32">
        <f>IF(Expenses!$A5="","",Expenses!$A5)</f>
        <v/>
      </c>
      <c r="B157" s="32">
        <f>IF($A157="","","EXP")</f>
        <v/>
      </c>
      <c r="C157" s="33">
        <f>IF($A157="","",Expenses!$B5)</f>
        <v/>
      </c>
      <c r="D157" s="32">
        <f>IF($A157="","",Expenses!$C5)</f>
        <v/>
      </c>
      <c r="E157" s="43">
        <f>IF($A157="","",Expenses!$W5)</f>
        <v/>
      </c>
      <c r="F157" s="32">
        <f>IF($A157="","",Expenses!$M5)</f>
        <v/>
      </c>
      <c r="G157" s="32">
        <f>IF($A157="","","Expenses")</f>
        <v/>
      </c>
      <c r="H157" s="44">
        <f>IF($A157="","",IF(COUNTIF($A:$A,$A157)&gt;1,"مكرر",""))</f>
        <v/>
      </c>
      <c r="I157" s="32">
        <f>IF($H157="مكرر","مكرر","")</f>
        <v/>
      </c>
    </row>
    <row r="158">
      <c r="A158" s="32">
        <f>IF(Expenses!$A6="","",Expenses!$A6)</f>
        <v/>
      </c>
      <c r="B158" s="32">
        <f>IF($A158="","","EXP")</f>
        <v/>
      </c>
      <c r="C158" s="33">
        <f>IF($A158="","",Expenses!$B6)</f>
        <v/>
      </c>
      <c r="D158" s="32">
        <f>IF($A158="","",Expenses!$C6)</f>
        <v/>
      </c>
      <c r="E158" s="43">
        <f>IF($A158="","",Expenses!$W6)</f>
        <v/>
      </c>
      <c r="F158" s="32">
        <f>IF($A158="","",Expenses!$M6)</f>
        <v/>
      </c>
      <c r="G158" s="32">
        <f>IF($A158="","","Expenses")</f>
        <v/>
      </c>
      <c r="H158" s="44">
        <f>IF($A158="","",IF(COUNTIF($A:$A,$A158)&gt;1,"مكرر",""))</f>
        <v/>
      </c>
      <c r="I158" s="32">
        <f>IF($H158="مكرر","مكرر","")</f>
        <v/>
      </c>
    </row>
    <row r="159">
      <c r="A159" s="32">
        <f>IF(Expenses!$A7="","",Expenses!$A7)</f>
        <v/>
      </c>
      <c r="B159" s="32">
        <f>IF($A159="","","EXP")</f>
        <v/>
      </c>
      <c r="C159" s="33">
        <f>IF($A159="","",Expenses!$B7)</f>
        <v/>
      </c>
      <c r="D159" s="32">
        <f>IF($A159="","",Expenses!$C7)</f>
        <v/>
      </c>
      <c r="E159" s="43">
        <f>IF($A159="","",Expenses!$W7)</f>
        <v/>
      </c>
      <c r="F159" s="32">
        <f>IF($A159="","",Expenses!$M7)</f>
        <v/>
      </c>
      <c r="G159" s="32">
        <f>IF($A159="","","Expenses")</f>
        <v/>
      </c>
      <c r="H159" s="44">
        <f>IF($A159="","",IF(COUNTIF($A:$A,$A159)&gt;1,"مكرر",""))</f>
        <v/>
      </c>
      <c r="I159" s="32">
        <f>IF($H159="مكرر","مكرر","")</f>
        <v/>
      </c>
    </row>
    <row r="160">
      <c r="A160" s="32">
        <f>IF(Expenses!$A8="","",Expenses!$A8)</f>
        <v/>
      </c>
      <c r="B160" s="32">
        <f>IF($A160="","","EXP")</f>
        <v/>
      </c>
      <c r="C160" s="33">
        <f>IF($A160="","",Expenses!$B8)</f>
        <v/>
      </c>
      <c r="D160" s="32">
        <f>IF($A160="","",Expenses!$C8)</f>
        <v/>
      </c>
      <c r="E160" s="43">
        <f>IF($A160="","",Expenses!$W8)</f>
        <v/>
      </c>
      <c r="F160" s="32">
        <f>IF($A160="","",Expenses!$M8)</f>
        <v/>
      </c>
      <c r="G160" s="32">
        <f>IF($A160="","","Expenses")</f>
        <v/>
      </c>
      <c r="H160" s="44">
        <f>IF($A160="","",IF(COUNTIF($A:$A,$A160)&gt;1,"مكرر",""))</f>
        <v/>
      </c>
      <c r="I160" s="32">
        <f>IF($H160="مكرر","مكرر","")</f>
        <v/>
      </c>
    </row>
    <row r="161">
      <c r="A161" s="32">
        <f>IF(Expenses!$A9="","",Expenses!$A9)</f>
        <v/>
      </c>
      <c r="B161" s="32">
        <f>IF($A161="","","EXP")</f>
        <v/>
      </c>
      <c r="C161" s="33">
        <f>IF($A161="","",Expenses!$B9)</f>
        <v/>
      </c>
      <c r="D161" s="32">
        <f>IF($A161="","",Expenses!$C9)</f>
        <v/>
      </c>
      <c r="E161" s="43">
        <f>IF($A161="","",Expenses!$W9)</f>
        <v/>
      </c>
      <c r="F161" s="32">
        <f>IF($A161="","",Expenses!$M9)</f>
        <v/>
      </c>
      <c r="G161" s="32">
        <f>IF($A161="","","Expenses")</f>
        <v/>
      </c>
      <c r="H161" s="44">
        <f>IF($A161="","",IF(COUNTIF($A:$A,$A161)&gt;1,"مكرر",""))</f>
        <v/>
      </c>
      <c r="I161" s="32">
        <f>IF($H161="مكرر","مكرر","")</f>
        <v/>
      </c>
    </row>
    <row r="162">
      <c r="A162" s="32">
        <f>IF(Expenses!$A10="","",Expenses!$A10)</f>
        <v/>
      </c>
      <c r="B162" s="32">
        <f>IF($A162="","","EXP")</f>
        <v/>
      </c>
      <c r="C162" s="33">
        <f>IF($A162="","",Expenses!$B10)</f>
        <v/>
      </c>
      <c r="D162" s="32">
        <f>IF($A162="","",Expenses!$C10)</f>
        <v/>
      </c>
      <c r="E162" s="43">
        <f>IF($A162="","",Expenses!$W10)</f>
        <v/>
      </c>
      <c r="F162" s="32">
        <f>IF($A162="","",Expenses!$M10)</f>
        <v/>
      </c>
      <c r="G162" s="32">
        <f>IF($A162="","","Expenses")</f>
        <v/>
      </c>
      <c r="H162" s="44">
        <f>IF($A162="","",IF(COUNTIF($A:$A,$A162)&gt;1,"مكرر",""))</f>
        <v/>
      </c>
      <c r="I162" s="32">
        <f>IF($H162="مكرر","مكرر","")</f>
        <v/>
      </c>
    </row>
    <row r="163">
      <c r="A163" s="32">
        <f>IF(Expenses!$A11="","",Expenses!$A11)</f>
        <v/>
      </c>
      <c r="B163" s="32">
        <f>IF($A163="","","EXP")</f>
        <v/>
      </c>
      <c r="C163" s="33">
        <f>IF($A163="","",Expenses!$B11)</f>
        <v/>
      </c>
      <c r="D163" s="32">
        <f>IF($A163="","",Expenses!$C11)</f>
        <v/>
      </c>
      <c r="E163" s="43">
        <f>IF($A163="","",Expenses!$W11)</f>
        <v/>
      </c>
      <c r="F163" s="32">
        <f>IF($A163="","",Expenses!$M11)</f>
        <v/>
      </c>
      <c r="G163" s="32">
        <f>IF($A163="","","Expenses")</f>
        <v/>
      </c>
      <c r="H163" s="44">
        <f>IF($A163="","",IF(COUNTIF($A:$A,$A163)&gt;1,"مكرر",""))</f>
        <v/>
      </c>
      <c r="I163" s="32">
        <f>IF($H163="مكرر","مكرر","")</f>
        <v/>
      </c>
    </row>
    <row r="164">
      <c r="A164" s="32">
        <f>IF(Expenses!$A12="","",Expenses!$A12)</f>
        <v/>
      </c>
      <c r="B164" s="32">
        <f>IF($A164="","","EXP")</f>
        <v/>
      </c>
      <c r="C164" s="33">
        <f>IF($A164="","",Expenses!$B12)</f>
        <v/>
      </c>
      <c r="D164" s="32">
        <f>IF($A164="","",Expenses!$C12)</f>
        <v/>
      </c>
      <c r="E164" s="43">
        <f>IF($A164="","",Expenses!$W12)</f>
        <v/>
      </c>
      <c r="F164" s="32">
        <f>IF($A164="","",Expenses!$M12)</f>
        <v/>
      </c>
      <c r="G164" s="32">
        <f>IF($A164="","","Expenses")</f>
        <v/>
      </c>
      <c r="H164" s="44">
        <f>IF($A164="","",IF(COUNTIF($A:$A,$A164)&gt;1,"مكرر",""))</f>
        <v/>
      </c>
      <c r="I164" s="32">
        <f>IF($H164="مكرر","مكرر","")</f>
        <v/>
      </c>
    </row>
    <row r="165">
      <c r="A165" s="32">
        <f>IF(Expenses!$A13="","",Expenses!$A13)</f>
        <v/>
      </c>
      <c r="B165" s="32">
        <f>IF($A165="","","EXP")</f>
        <v/>
      </c>
      <c r="C165" s="33">
        <f>IF($A165="","",Expenses!$B13)</f>
        <v/>
      </c>
      <c r="D165" s="32">
        <f>IF($A165="","",Expenses!$C13)</f>
        <v/>
      </c>
      <c r="E165" s="43">
        <f>IF($A165="","",Expenses!$W13)</f>
        <v/>
      </c>
      <c r="F165" s="32">
        <f>IF($A165="","",Expenses!$M13)</f>
        <v/>
      </c>
      <c r="G165" s="32">
        <f>IF($A165="","","Expenses")</f>
        <v/>
      </c>
      <c r="H165" s="44">
        <f>IF($A165="","",IF(COUNTIF($A:$A,$A165)&gt;1,"مكرر",""))</f>
        <v/>
      </c>
      <c r="I165" s="32">
        <f>IF($H165="مكرر","مكرر","")</f>
        <v/>
      </c>
    </row>
    <row r="166">
      <c r="A166" s="32">
        <f>IF(Expenses!$A14="","",Expenses!$A14)</f>
        <v/>
      </c>
      <c r="B166" s="32">
        <f>IF($A166="","","EXP")</f>
        <v/>
      </c>
      <c r="C166" s="33">
        <f>IF($A166="","",Expenses!$B14)</f>
        <v/>
      </c>
      <c r="D166" s="32">
        <f>IF($A166="","",Expenses!$C14)</f>
        <v/>
      </c>
      <c r="E166" s="43">
        <f>IF($A166="","",Expenses!$W14)</f>
        <v/>
      </c>
      <c r="F166" s="32">
        <f>IF($A166="","",Expenses!$M14)</f>
        <v/>
      </c>
      <c r="G166" s="32">
        <f>IF($A166="","","Expenses")</f>
        <v/>
      </c>
      <c r="H166" s="44">
        <f>IF($A166="","",IF(COUNTIF($A:$A,$A166)&gt;1,"مكرر",""))</f>
        <v/>
      </c>
      <c r="I166" s="32">
        <f>IF($H166="مكرر","مكرر","")</f>
        <v/>
      </c>
    </row>
    <row r="167">
      <c r="A167" s="32">
        <f>IF(Expenses!$A15="","",Expenses!$A15)</f>
        <v/>
      </c>
      <c r="B167" s="32">
        <f>IF($A167="","","EXP")</f>
        <v/>
      </c>
      <c r="C167" s="33">
        <f>IF($A167="","",Expenses!$B15)</f>
        <v/>
      </c>
      <c r="D167" s="32">
        <f>IF($A167="","",Expenses!$C15)</f>
        <v/>
      </c>
      <c r="E167" s="43">
        <f>IF($A167="","",Expenses!$W15)</f>
        <v/>
      </c>
      <c r="F167" s="32">
        <f>IF($A167="","",Expenses!$M15)</f>
        <v/>
      </c>
      <c r="G167" s="32">
        <f>IF($A167="","","Expenses")</f>
        <v/>
      </c>
      <c r="H167" s="44">
        <f>IF($A167="","",IF(COUNTIF($A:$A,$A167)&gt;1,"مكرر",""))</f>
        <v/>
      </c>
      <c r="I167" s="32">
        <f>IF($H167="مكرر","مكرر","")</f>
        <v/>
      </c>
    </row>
    <row r="168">
      <c r="A168" s="32">
        <f>IF(Expenses!$A16="","",Expenses!$A16)</f>
        <v/>
      </c>
      <c r="B168" s="32">
        <f>IF($A168="","","EXP")</f>
        <v/>
      </c>
      <c r="C168" s="33">
        <f>IF($A168="","",Expenses!$B16)</f>
        <v/>
      </c>
      <c r="D168" s="32">
        <f>IF($A168="","",Expenses!$C16)</f>
        <v/>
      </c>
      <c r="E168" s="43">
        <f>IF($A168="","",Expenses!$W16)</f>
        <v/>
      </c>
      <c r="F168" s="32">
        <f>IF($A168="","",Expenses!$M16)</f>
        <v/>
      </c>
      <c r="G168" s="32">
        <f>IF($A168="","","Expenses")</f>
        <v/>
      </c>
      <c r="H168" s="44">
        <f>IF($A168="","",IF(COUNTIF($A:$A,$A168)&gt;1,"مكرر",""))</f>
        <v/>
      </c>
      <c r="I168" s="32">
        <f>IF($H168="مكرر","مكرر","")</f>
        <v/>
      </c>
    </row>
    <row r="169">
      <c r="A169" s="32">
        <f>IF(Expenses!$A17="","",Expenses!$A17)</f>
        <v/>
      </c>
      <c r="B169" s="32">
        <f>IF($A169="","","EXP")</f>
        <v/>
      </c>
      <c r="C169" s="33">
        <f>IF($A169="","",Expenses!$B17)</f>
        <v/>
      </c>
      <c r="D169" s="32">
        <f>IF($A169="","",Expenses!$C17)</f>
        <v/>
      </c>
      <c r="E169" s="43">
        <f>IF($A169="","",Expenses!$W17)</f>
        <v/>
      </c>
      <c r="F169" s="32">
        <f>IF($A169="","",Expenses!$M17)</f>
        <v/>
      </c>
      <c r="G169" s="32">
        <f>IF($A169="","","Expenses")</f>
        <v/>
      </c>
      <c r="H169" s="44">
        <f>IF($A169="","",IF(COUNTIF($A:$A,$A169)&gt;1,"مكرر",""))</f>
        <v/>
      </c>
      <c r="I169" s="32">
        <f>IF($H169="مكرر","مكرر","")</f>
        <v/>
      </c>
    </row>
    <row r="170">
      <c r="A170" s="32">
        <f>IF(Expenses!$A18="","",Expenses!$A18)</f>
        <v/>
      </c>
      <c r="B170" s="32">
        <f>IF($A170="","","EXP")</f>
        <v/>
      </c>
      <c r="C170" s="33">
        <f>IF($A170="","",Expenses!$B18)</f>
        <v/>
      </c>
      <c r="D170" s="32">
        <f>IF($A170="","",Expenses!$C18)</f>
        <v/>
      </c>
      <c r="E170" s="43">
        <f>IF($A170="","",Expenses!$W18)</f>
        <v/>
      </c>
      <c r="F170" s="32">
        <f>IF($A170="","",Expenses!$M18)</f>
        <v/>
      </c>
      <c r="G170" s="32">
        <f>IF($A170="","","Expenses")</f>
        <v/>
      </c>
      <c r="H170" s="44">
        <f>IF($A170="","",IF(COUNTIF($A:$A,$A170)&gt;1,"مكرر",""))</f>
        <v/>
      </c>
      <c r="I170" s="32">
        <f>IF($H170="مكرر","مكرر","")</f>
        <v/>
      </c>
    </row>
    <row r="171">
      <c r="A171" s="32">
        <f>IF(Expenses!$A19="","",Expenses!$A19)</f>
        <v/>
      </c>
      <c r="B171" s="32">
        <f>IF($A171="","","EXP")</f>
        <v/>
      </c>
      <c r="C171" s="33">
        <f>IF($A171="","",Expenses!$B19)</f>
        <v/>
      </c>
      <c r="D171" s="32">
        <f>IF($A171="","",Expenses!$C19)</f>
        <v/>
      </c>
      <c r="E171" s="43">
        <f>IF($A171="","",Expenses!$W19)</f>
        <v/>
      </c>
      <c r="F171" s="32">
        <f>IF($A171="","",Expenses!$M19)</f>
        <v/>
      </c>
      <c r="G171" s="32">
        <f>IF($A171="","","Expenses")</f>
        <v/>
      </c>
      <c r="H171" s="44">
        <f>IF($A171="","",IF(COUNTIF($A:$A,$A171)&gt;1,"مكرر",""))</f>
        <v/>
      </c>
      <c r="I171" s="32">
        <f>IF($H171="مكرر","مكرر","")</f>
        <v/>
      </c>
    </row>
    <row r="172">
      <c r="A172" s="32">
        <f>IF(Expenses!$A20="","",Expenses!$A20)</f>
        <v/>
      </c>
      <c r="B172" s="32">
        <f>IF($A172="","","EXP")</f>
        <v/>
      </c>
      <c r="C172" s="33">
        <f>IF($A172="","",Expenses!$B20)</f>
        <v/>
      </c>
      <c r="D172" s="32">
        <f>IF($A172="","",Expenses!$C20)</f>
        <v/>
      </c>
      <c r="E172" s="43">
        <f>IF($A172="","",Expenses!$W20)</f>
        <v/>
      </c>
      <c r="F172" s="32">
        <f>IF($A172="","",Expenses!$M20)</f>
        <v/>
      </c>
      <c r="G172" s="32">
        <f>IF($A172="","","Expenses")</f>
        <v/>
      </c>
      <c r="H172" s="44">
        <f>IF($A172="","",IF(COUNTIF($A:$A,$A172)&gt;1,"مكرر",""))</f>
        <v/>
      </c>
      <c r="I172" s="32">
        <f>IF($H172="مكرر","مكرر","")</f>
        <v/>
      </c>
    </row>
    <row r="173">
      <c r="A173" s="32">
        <f>IF(Expenses!$A21="","",Expenses!$A21)</f>
        <v/>
      </c>
      <c r="B173" s="32">
        <f>IF($A173="","","EXP")</f>
        <v/>
      </c>
      <c r="C173" s="33">
        <f>IF($A173="","",Expenses!$B21)</f>
        <v/>
      </c>
      <c r="D173" s="32">
        <f>IF($A173="","",Expenses!$C21)</f>
        <v/>
      </c>
      <c r="E173" s="43">
        <f>IF($A173="","",Expenses!$W21)</f>
        <v/>
      </c>
      <c r="F173" s="32">
        <f>IF($A173="","",Expenses!$M21)</f>
        <v/>
      </c>
      <c r="G173" s="32">
        <f>IF($A173="","","Expenses")</f>
        <v/>
      </c>
      <c r="H173" s="44">
        <f>IF($A173="","",IF(COUNTIF($A:$A,$A173)&gt;1,"مكرر",""))</f>
        <v/>
      </c>
      <c r="I173" s="32">
        <f>IF($H173="مكرر","مكرر","")</f>
        <v/>
      </c>
    </row>
    <row r="174">
      <c r="A174" s="32">
        <f>IF(Expenses!$A22="","",Expenses!$A22)</f>
        <v/>
      </c>
      <c r="B174" s="32">
        <f>IF($A174="","","EXP")</f>
        <v/>
      </c>
      <c r="C174" s="33">
        <f>IF($A174="","",Expenses!$B22)</f>
        <v/>
      </c>
      <c r="D174" s="32">
        <f>IF($A174="","",Expenses!$C22)</f>
        <v/>
      </c>
      <c r="E174" s="43">
        <f>IF($A174="","",Expenses!$W22)</f>
        <v/>
      </c>
      <c r="F174" s="32">
        <f>IF($A174="","",Expenses!$M22)</f>
        <v/>
      </c>
      <c r="G174" s="32">
        <f>IF($A174="","","Expenses")</f>
        <v/>
      </c>
      <c r="H174" s="44">
        <f>IF($A174="","",IF(COUNTIF($A:$A,$A174)&gt;1,"مكرر",""))</f>
        <v/>
      </c>
      <c r="I174" s="32">
        <f>IF($H174="مكرر","مكرر","")</f>
        <v/>
      </c>
    </row>
    <row r="175">
      <c r="A175" s="32">
        <f>IF(Expenses!$A23="","",Expenses!$A23)</f>
        <v/>
      </c>
      <c r="B175" s="32">
        <f>IF($A175="","","EXP")</f>
        <v/>
      </c>
      <c r="C175" s="33">
        <f>IF($A175="","",Expenses!$B23)</f>
        <v/>
      </c>
      <c r="D175" s="32">
        <f>IF($A175="","",Expenses!$C23)</f>
        <v/>
      </c>
      <c r="E175" s="43">
        <f>IF($A175="","",Expenses!$W23)</f>
        <v/>
      </c>
      <c r="F175" s="32">
        <f>IF($A175="","",Expenses!$M23)</f>
        <v/>
      </c>
      <c r="G175" s="32">
        <f>IF($A175="","","Expenses")</f>
        <v/>
      </c>
      <c r="H175" s="44">
        <f>IF($A175="","",IF(COUNTIF($A:$A,$A175)&gt;1,"مكرر",""))</f>
        <v/>
      </c>
      <c r="I175" s="32">
        <f>IF($H175="مكرر","مكرر","")</f>
        <v/>
      </c>
    </row>
    <row r="176">
      <c r="A176" s="32">
        <f>IF(Expenses!$A24="","",Expenses!$A24)</f>
        <v/>
      </c>
      <c r="B176" s="32">
        <f>IF($A176="","","EXP")</f>
        <v/>
      </c>
      <c r="C176" s="33">
        <f>IF($A176="","",Expenses!$B24)</f>
        <v/>
      </c>
      <c r="D176" s="32">
        <f>IF($A176="","",Expenses!$C24)</f>
        <v/>
      </c>
      <c r="E176" s="43">
        <f>IF($A176="","",Expenses!$W24)</f>
        <v/>
      </c>
      <c r="F176" s="32">
        <f>IF($A176="","",Expenses!$M24)</f>
        <v/>
      </c>
      <c r="G176" s="32">
        <f>IF($A176="","","Expenses")</f>
        <v/>
      </c>
      <c r="H176" s="44">
        <f>IF($A176="","",IF(COUNTIF($A:$A,$A176)&gt;1,"مكرر",""))</f>
        <v/>
      </c>
      <c r="I176" s="32">
        <f>IF($H176="مكرر","مكرر","")</f>
        <v/>
      </c>
    </row>
    <row r="177">
      <c r="A177" s="32">
        <f>IF(Expenses!$A25="","",Expenses!$A25)</f>
        <v/>
      </c>
      <c r="B177" s="32">
        <f>IF($A177="","","EXP")</f>
        <v/>
      </c>
      <c r="C177" s="33">
        <f>IF($A177="","",Expenses!$B25)</f>
        <v/>
      </c>
      <c r="D177" s="32">
        <f>IF($A177="","",Expenses!$C25)</f>
        <v/>
      </c>
      <c r="E177" s="43">
        <f>IF($A177="","",Expenses!$W25)</f>
        <v/>
      </c>
      <c r="F177" s="32">
        <f>IF($A177="","",Expenses!$M25)</f>
        <v/>
      </c>
      <c r="G177" s="32">
        <f>IF($A177="","","Expenses")</f>
        <v/>
      </c>
      <c r="H177" s="44">
        <f>IF($A177="","",IF(COUNTIF($A:$A,$A177)&gt;1,"مكرر",""))</f>
        <v/>
      </c>
      <c r="I177" s="32">
        <f>IF($H177="مكرر","مكرر","")</f>
        <v/>
      </c>
    </row>
    <row r="178">
      <c r="A178" s="32">
        <f>IF(Expenses!$A26="","",Expenses!$A26)</f>
        <v/>
      </c>
      <c r="B178" s="32">
        <f>IF($A178="","","EXP")</f>
        <v/>
      </c>
      <c r="C178" s="33">
        <f>IF($A178="","",Expenses!$B26)</f>
        <v/>
      </c>
      <c r="D178" s="32">
        <f>IF($A178="","",Expenses!$C26)</f>
        <v/>
      </c>
      <c r="E178" s="43">
        <f>IF($A178="","",Expenses!$W26)</f>
        <v/>
      </c>
      <c r="F178" s="32">
        <f>IF($A178="","",Expenses!$M26)</f>
        <v/>
      </c>
      <c r="G178" s="32">
        <f>IF($A178="","","Expenses")</f>
        <v/>
      </c>
      <c r="H178" s="44">
        <f>IF($A178="","",IF(COUNTIF($A:$A,$A178)&gt;1,"مكرر",""))</f>
        <v/>
      </c>
      <c r="I178" s="32">
        <f>IF($H178="مكرر","مكرر","")</f>
        <v/>
      </c>
    </row>
    <row r="179">
      <c r="A179" s="32">
        <f>IF(Expenses!$A27="","",Expenses!$A27)</f>
        <v/>
      </c>
      <c r="B179" s="32">
        <f>IF($A179="","","EXP")</f>
        <v/>
      </c>
      <c r="C179" s="33">
        <f>IF($A179="","",Expenses!$B27)</f>
        <v/>
      </c>
      <c r="D179" s="32">
        <f>IF($A179="","",Expenses!$C27)</f>
        <v/>
      </c>
      <c r="E179" s="43">
        <f>IF($A179="","",Expenses!$W27)</f>
        <v/>
      </c>
      <c r="F179" s="32">
        <f>IF($A179="","",Expenses!$M27)</f>
        <v/>
      </c>
      <c r="G179" s="32">
        <f>IF($A179="","","Expenses")</f>
        <v/>
      </c>
      <c r="H179" s="44">
        <f>IF($A179="","",IF(COUNTIF($A:$A,$A179)&gt;1,"مكرر",""))</f>
        <v/>
      </c>
      <c r="I179" s="32">
        <f>IF($H179="مكرر","مكرر","")</f>
        <v/>
      </c>
    </row>
    <row r="180">
      <c r="A180" s="32">
        <f>IF(Expenses!$A28="","",Expenses!$A28)</f>
        <v/>
      </c>
      <c r="B180" s="32">
        <f>IF($A180="","","EXP")</f>
        <v/>
      </c>
      <c r="C180" s="33">
        <f>IF($A180="","",Expenses!$B28)</f>
        <v/>
      </c>
      <c r="D180" s="32">
        <f>IF($A180="","",Expenses!$C28)</f>
        <v/>
      </c>
      <c r="E180" s="43">
        <f>IF($A180="","",Expenses!$W28)</f>
        <v/>
      </c>
      <c r="F180" s="32">
        <f>IF($A180="","",Expenses!$M28)</f>
        <v/>
      </c>
      <c r="G180" s="32">
        <f>IF($A180="","","Expenses")</f>
        <v/>
      </c>
      <c r="H180" s="44">
        <f>IF($A180="","",IF(COUNTIF($A:$A,$A180)&gt;1,"مكرر",""))</f>
        <v/>
      </c>
      <c r="I180" s="32">
        <f>IF($H180="مكرر","مكرر","")</f>
        <v/>
      </c>
    </row>
    <row r="181">
      <c r="A181" s="32">
        <f>IF(Expenses!$A29="","",Expenses!$A29)</f>
        <v/>
      </c>
      <c r="B181" s="32">
        <f>IF($A181="","","EXP")</f>
        <v/>
      </c>
      <c r="C181" s="33">
        <f>IF($A181="","",Expenses!$B29)</f>
        <v/>
      </c>
      <c r="D181" s="32">
        <f>IF($A181="","",Expenses!$C29)</f>
        <v/>
      </c>
      <c r="E181" s="43">
        <f>IF($A181="","",Expenses!$W29)</f>
        <v/>
      </c>
      <c r="F181" s="32">
        <f>IF($A181="","",Expenses!$M29)</f>
        <v/>
      </c>
      <c r="G181" s="32">
        <f>IF($A181="","","Expenses")</f>
        <v/>
      </c>
      <c r="H181" s="44">
        <f>IF($A181="","",IF(COUNTIF($A:$A,$A181)&gt;1,"مكرر",""))</f>
        <v/>
      </c>
      <c r="I181" s="32">
        <f>IF($H181="مكرر","مكرر","")</f>
        <v/>
      </c>
    </row>
    <row r="182">
      <c r="A182" s="32">
        <f>IF(Expenses!$A30="","",Expenses!$A30)</f>
        <v/>
      </c>
      <c r="B182" s="32">
        <f>IF($A182="","","EXP")</f>
        <v/>
      </c>
      <c r="C182" s="33">
        <f>IF($A182="","",Expenses!$B30)</f>
        <v/>
      </c>
      <c r="D182" s="32">
        <f>IF($A182="","",Expenses!$C30)</f>
        <v/>
      </c>
      <c r="E182" s="43">
        <f>IF($A182="","",Expenses!$W30)</f>
        <v/>
      </c>
      <c r="F182" s="32">
        <f>IF($A182="","",Expenses!$M30)</f>
        <v/>
      </c>
      <c r="G182" s="32">
        <f>IF($A182="","","Expenses")</f>
        <v/>
      </c>
      <c r="H182" s="44">
        <f>IF($A182="","",IF(COUNTIF($A:$A,$A182)&gt;1,"مكرر",""))</f>
        <v/>
      </c>
      <c r="I182" s="32">
        <f>IF($H182="مكرر","مكرر","")</f>
        <v/>
      </c>
    </row>
    <row r="183">
      <c r="A183" s="32">
        <f>IF(Expenses!$A31="","",Expenses!$A31)</f>
        <v/>
      </c>
      <c r="B183" s="32">
        <f>IF($A183="","","EXP")</f>
        <v/>
      </c>
      <c r="C183" s="33">
        <f>IF($A183="","",Expenses!$B31)</f>
        <v/>
      </c>
      <c r="D183" s="32">
        <f>IF($A183="","",Expenses!$C31)</f>
        <v/>
      </c>
      <c r="E183" s="43">
        <f>IF($A183="","",Expenses!$W31)</f>
        <v/>
      </c>
      <c r="F183" s="32">
        <f>IF($A183="","",Expenses!$M31)</f>
        <v/>
      </c>
      <c r="G183" s="32">
        <f>IF($A183="","","Expenses")</f>
        <v/>
      </c>
      <c r="H183" s="44">
        <f>IF($A183="","",IF(COUNTIF($A:$A,$A183)&gt;1,"مكرر",""))</f>
        <v/>
      </c>
      <c r="I183" s="32">
        <f>IF($H183="مكرر","مكرر","")</f>
        <v/>
      </c>
    </row>
    <row r="184">
      <c r="A184" s="32">
        <f>IF(Expenses!$A32="","",Expenses!$A32)</f>
        <v/>
      </c>
      <c r="B184" s="32">
        <f>IF($A184="","","EXP")</f>
        <v/>
      </c>
      <c r="C184" s="33">
        <f>IF($A184="","",Expenses!$B32)</f>
        <v/>
      </c>
      <c r="D184" s="32">
        <f>IF($A184="","",Expenses!$C32)</f>
        <v/>
      </c>
      <c r="E184" s="43">
        <f>IF($A184="","",Expenses!$W32)</f>
        <v/>
      </c>
      <c r="F184" s="32">
        <f>IF($A184="","",Expenses!$M32)</f>
        <v/>
      </c>
      <c r="G184" s="32">
        <f>IF($A184="","","Expenses")</f>
        <v/>
      </c>
      <c r="H184" s="44">
        <f>IF($A184="","",IF(COUNTIF($A:$A,$A184)&gt;1,"مكرر",""))</f>
        <v/>
      </c>
      <c r="I184" s="32">
        <f>IF($H184="مكرر","مكرر","")</f>
        <v/>
      </c>
    </row>
    <row r="185">
      <c r="A185" s="32">
        <f>IF(Expenses!$A33="","",Expenses!$A33)</f>
        <v/>
      </c>
      <c r="B185" s="32">
        <f>IF($A185="","","EXP")</f>
        <v/>
      </c>
      <c r="C185" s="33">
        <f>IF($A185="","",Expenses!$B33)</f>
        <v/>
      </c>
      <c r="D185" s="32">
        <f>IF($A185="","",Expenses!$C33)</f>
        <v/>
      </c>
      <c r="E185" s="43">
        <f>IF($A185="","",Expenses!$W33)</f>
        <v/>
      </c>
      <c r="F185" s="32">
        <f>IF($A185="","",Expenses!$M33)</f>
        <v/>
      </c>
      <c r="G185" s="32">
        <f>IF($A185="","","Expenses")</f>
        <v/>
      </c>
      <c r="H185" s="44">
        <f>IF($A185="","",IF(COUNTIF($A:$A,$A185)&gt;1,"مكرر",""))</f>
        <v/>
      </c>
      <c r="I185" s="32">
        <f>IF($H185="مكرر","مكرر","")</f>
        <v/>
      </c>
    </row>
    <row r="186">
      <c r="A186" s="32">
        <f>IF(Expenses!$A34="","",Expenses!$A34)</f>
        <v/>
      </c>
      <c r="B186" s="32">
        <f>IF($A186="","","EXP")</f>
        <v/>
      </c>
      <c r="C186" s="33">
        <f>IF($A186="","",Expenses!$B34)</f>
        <v/>
      </c>
      <c r="D186" s="32">
        <f>IF($A186="","",Expenses!$C34)</f>
        <v/>
      </c>
      <c r="E186" s="43">
        <f>IF($A186="","",Expenses!$W34)</f>
        <v/>
      </c>
      <c r="F186" s="32">
        <f>IF($A186="","",Expenses!$M34)</f>
        <v/>
      </c>
      <c r="G186" s="32">
        <f>IF($A186="","","Expenses")</f>
        <v/>
      </c>
      <c r="H186" s="44">
        <f>IF($A186="","",IF(COUNTIF($A:$A,$A186)&gt;1,"مكرر",""))</f>
        <v/>
      </c>
      <c r="I186" s="32">
        <f>IF($H186="مكرر","مكرر","")</f>
        <v/>
      </c>
    </row>
    <row r="187">
      <c r="A187" s="32">
        <f>IF(Expenses!$A35="","",Expenses!$A35)</f>
        <v/>
      </c>
      <c r="B187" s="32">
        <f>IF($A187="","","EXP")</f>
        <v/>
      </c>
      <c r="C187" s="33">
        <f>IF($A187="","",Expenses!$B35)</f>
        <v/>
      </c>
      <c r="D187" s="32">
        <f>IF($A187="","",Expenses!$C35)</f>
        <v/>
      </c>
      <c r="E187" s="43">
        <f>IF($A187="","",Expenses!$W35)</f>
        <v/>
      </c>
      <c r="F187" s="32">
        <f>IF($A187="","",Expenses!$M35)</f>
        <v/>
      </c>
      <c r="G187" s="32">
        <f>IF($A187="","","Expenses")</f>
        <v/>
      </c>
      <c r="H187" s="44">
        <f>IF($A187="","",IF(COUNTIF($A:$A,$A187)&gt;1,"مكرر",""))</f>
        <v/>
      </c>
      <c r="I187" s="32">
        <f>IF($H187="مكرر","مكرر","")</f>
        <v/>
      </c>
    </row>
    <row r="188">
      <c r="A188" s="32">
        <f>IF(Expenses!$A36="","",Expenses!$A36)</f>
        <v/>
      </c>
      <c r="B188" s="32">
        <f>IF($A188="","","EXP")</f>
        <v/>
      </c>
      <c r="C188" s="33">
        <f>IF($A188="","",Expenses!$B36)</f>
        <v/>
      </c>
      <c r="D188" s="32">
        <f>IF($A188="","",Expenses!$C36)</f>
        <v/>
      </c>
      <c r="E188" s="43">
        <f>IF($A188="","",Expenses!$W36)</f>
        <v/>
      </c>
      <c r="F188" s="32">
        <f>IF($A188="","",Expenses!$M36)</f>
        <v/>
      </c>
      <c r="G188" s="32">
        <f>IF($A188="","","Expenses")</f>
        <v/>
      </c>
      <c r="H188" s="44">
        <f>IF($A188="","",IF(COUNTIF($A:$A,$A188)&gt;1,"مكرر",""))</f>
        <v/>
      </c>
      <c r="I188" s="32">
        <f>IF($H188="مكرر","مكرر","")</f>
        <v/>
      </c>
    </row>
    <row r="189">
      <c r="A189" s="32">
        <f>IF(Expenses!$A37="","",Expenses!$A37)</f>
        <v/>
      </c>
      <c r="B189" s="32">
        <f>IF($A189="","","EXP")</f>
        <v/>
      </c>
      <c r="C189" s="33">
        <f>IF($A189="","",Expenses!$B37)</f>
        <v/>
      </c>
      <c r="D189" s="32">
        <f>IF($A189="","",Expenses!$C37)</f>
        <v/>
      </c>
      <c r="E189" s="43">
        <f>IF($A189="","",Expenses!$W37)</f>
        <v/>
      </c>
      <c r="F189" s="32">
        <f>IF($A189="","",Expenses!$M37)</f>
        <v/>
      </c>
      <c r="G189" s="32">
        <f>IF($A189="","","Expenses")</f>
        <v/>
      </c>
      <c r="H189" s="44">
        <f>IF($A189="","",IF(COUNTIF($A:$A,$A189)&gt;1,"مكرر",""))</f>
        <v/>
      </c>
      <c r="I189" s="32">
        <f>IF($H189="مكرر","مكرر","")</f>
        <v/>
      </c>
    </row>
    <row r="190">
      <c r="A190" s="32">
        <f>IF(Expenses!$A38="","",Expenses!$A38)</f>
        <v/>
      </c>
      <c r="B190" s="32">
        <f>IF($A190="","","EXP")</f>
        <v/>
      </c>
      <c r="C190" s="33">
        <f>IF($A190="","",Expenses!$B38)</f>
        <v/>
      </c>
      <c r="D190" s="32">
        <f>IF($A190="","",Expenses!$C38)</f>
        <v/>
      </c>
      <c r="E190" s="43">
        <f>IF($A190="","",Expenses!$W38)</f>
        <v/>
      </c>
      <c r="F190" s="32">
        <f>IF($A190="","",Expenses!$M38)</f>
        <v/>
      </c>
      <c r="G190" s="32">
        <f>IF($A190="","","Expenses")</f>
        <v/>
      </c>
      <c r="H190" s="44">
        <f>IF($A190="","",IF(COUNTIF($A:$A,$A190)&gt;1,"مكرر",""))</f>
        <v/>
      </c>
      <c r="I190" s="32">
        <f>IF($H190="مكرر","مكرر","")</f>
        <v/>
      </c>
    </row>
    <row r="191">
      <c r="A191" s="32">
        <f>IF(Expenses!$A39="","",Expenses!$A39)</f>
        <v/>
      </c>
      <c r="B191" s="32">
        <f>IF($A191="","","EXP")</f>
        <v/>
      </c>
      <c r="C191" s="33">
        <f>IF($A191="","",Expenses!$B39)</f>
        <v/>
      </c>
      <c r="D191" s="32">
        <f>IF($A191="","",Expenses!$C39)</f>
        <v/>
      </c>
      <c r="E191" s="43">
        <f>IF($A191="","",Expenses!$W39)</f>
        <v/>
      </c>
      <c r="F191" s="32">
        <f>IF($A191="","",Expenses!$M39)</f>
        <v/>
      </c>
      <c r="G191" s="32">
        <f>IF($A191="","","Expenses")</f>
        <v/>
      </c>
      <c r="H191" s="44">
        <f>IF($A191="","",IF(COUNTIF($A:$A,$A191)&gt;1,"مكرر",""))</f>
        <v/>
      </c>
      <c r="I191" s="32">
        <f>IF($H191="مكرر","مكرر","")</f>
        <v/>
      </c>
    </row>
    <row r="192">
      <c r="A192" s="32">
        <f>IF(Expenses!$A40="","",Expenses!$A40)</f>
        <v/>
      </c>
      <c r="B192" s="32">
        <f>IF($A192="","","EXP")</f>
        <v/>
      </c>
      <c r="C192" s="33">
        <f>IF($A192="","",Expenses!$B40)</f>
        <v/>
      </c>
      <c r="D192" s="32">
        <f>IF($A192="","",Expenses!$C40)</f>
        <v/>
      </c>
      <c r="E192" s="43">
        <f>IF($A192="","",Expenses!$W40)</f>
        <v/>
      </c>
      <c r="F192" s="32">
        <f>IF($A192="","",Expenses!$M40)</f>
        <v/>
      </c>
      <c r="G192" s="32">
        <f>IF($A192="","","Expenses")</f>
        <v/>
      </c>
      <c r="H192" s="44">
        <f>IF($A192="","",IF(COUNTIF($A:$A,$A192)&gt;1,"مكرر",""))</f>
        <v/>
      </c>
      <c r="I192" s="32">
        <f>IF($H192="مكرر","مكرر","")</f>
        <v/>
      </c>
    </row>
    <row r="193">
      <c r="A193" s="32">
        <f>IF(Expenses!$A41="","",Expenses!$A41)</f>
        <v/>
      </c>
      <c r="B193" s="32">
        <f>IF($A193="","","EXP")</f>
        <v/>
      </c>
      <c r="C193" s="33">
        <f>IF($A193="","",Expenses!$B41)</f>
        <v/>
      </c>
      <c r="D193" s="32">
        <f>IF($A193="","",Expenses!$C41)</f>
        <v/>
      </c>
      <c r="E193" s="43">
        <f>IF($A193="","",Expenses!$W41)</f>
        <v/>
      </c>
      <c r="F193" s="32">
        <f>IF($A193="","",Expenses!$M41)</f>
        <v/>
      </c>
      <c r="G193" s="32">
        <f>IF($A193="","","Expenses")</f>
        <v/>
      </c>
      <c r="H193" s="44">
        <f>IF($A193="","",IF(COUNTIF($A:$A,$A193)&gt;1,"مكرر",""))</f>
        <v/>
      </c>
      <c r="I193" s="32">
        <f>IF($H193="مكرر","مكرر","")</f>
        <v/>
      </c>
    </row>
    <row r="194">
      <c r="A194" s="32">
        <f>IF(Expenses!$A42="","",Expenses!$A42)</f>
        <v/>
      </c>
      <c r="B194" s="32">
        <f>IF($A194="","","EXP")</f>
        <v/>
      </c>
      <c r="C194" s="33">
        <f>IF($A194="","",Expenses!$B42)</f>
        <v/>
      </c>
      <c r="D194" s="32">
        <f>IF($A194="","",Expenses!$C42)</f>
        <v/>
      </c>
      <c r="E194" s="43">
        <f>IF($A194="","",Expenses!$W42)</f>
        <v/>
      </c>
      <c r="F194" s="32">
        <f>IF($A194="","",Expenses!$M42)</f>
        <v/>
      </c>
      <c r="G194" s="32">
        <f>IF($A194="","","Expenses")</f>
        <v/>
      </c>
      <c r="H194" s="44">
        <f>IF($A194="","",IF(COUNTIF($A:$A,$A194)&gt;1,"مكرر",""))</f>
        <v/>
      </c>
      <c r="I194" s="32">
        <f>IF($H194="مكرر","مكرر","")</f>
        <v/>
      </c>
    </row>
    <row r="195">
      <c r="A195" s="32">
        <f>IF(Expenses!$A43="","",Expenses!$A43)</f>
        <v/>
      </c>
      <c r="B195" s="32">
        <f>IF($A195="","","EXP")</f>
        <v/>
      </c>
      <c r="C195" s="33">
        <f>IF($A195="","",Expenses!$B43)</f>
        <v/>
      </c>
      <c r="D195" s="32">
        <f>IF($A195="","",Expenses!$C43)</f>
        <v/>
      </c>
      <c r="E195" s="43">
        <f>IF($A195="","",Expenses!$W43)</f>
        <v/>
      </c>
      <c r="F195" s="32">
        <f>IF($A195="","",Expenses!$M43)</f>
        <v/>
      </c>
      <c r="G195" s="32">
        <f>IF($A195="","","Expenses")</f>
        <v/>
      </c>
      <c r="H195" s="44">
        <f>IF($A195="","",IF(COUNTIF($A:$A,$A195)&gt;1,"مكرر",""))</f>
        <v/>
      </c>
      <c r="I195" s="32">
        <f>IF($H195="مكرر","مكرر","")</f>
        <v/>
      </c>
    </row>
    <row r="196">
      <c r="A196" s="32">
        <f>IF(Expenses!$A44="","",Expenses!$A44)</f>
        <v/>
      </c>
      <c r="B196" s="32">
        <f>IF($A196="","","EXP")</f>
        <v/>
      </c>
      <c r="C196" s="33">
        <f>IF($A196="","",Expenses!$B44)</f>
        <v/>
      </c>
      <c r="D196" s="32">
        <f>IF($A196="","",Expenses!$C44)</f>
        <v/>
      </c>
      <c r="E196" s="43">
        <f>IF($A196="","",Expenses!$W44)</f>
        <v/>
      </c>
      <c r="F196" s="32">
        <f>IF($A196="","",Expenses!$M44)</f>
        <v/>
      </c>
      <c r="G196" s="32">
        <f>IF($A196="","","Expenses")</f>
        <v/>
      </c>
      <c r="H196" s="44">
        <f>IF($A196="","",IF(COUNTIF($A:$A,$A196)&gt;1,"مكرر",""))</f>
        <v/>
      </c>
      <c r="I196" s="32">
        <f>IF($H196="مكرر","مكرر","")</f>
        <v/>
      </c>
    </row>
    <row r="197">
      <c r="A197" s="32">
        <f>IF(Expenses!$A45="","",Expenses!$A45)</f>
        <v/>
      </c>
      <c r="B197" s="32">
        <f>IF($A197="","","EXP")</f>
        <v/>
      </c>
      <c r="C197" s="33">
        <f>IF($A197="","",Expenses!$B45)</f>
        <v/>
      </c>
      <c r="D197" s="32">
        <f>IF($A197="","",Expenses!$C45)</f>
        <v/>
      </c>
      <c r="E197" s="43">
        <f>IF($A197="","",Expenses!$W45)</f>
        <v/>
      </c>
      <c r="F197" s="32">
        <f>IF($A197="","",Expenses!$M45)</f>
        <v/>
      </c>
      <c r="G197" s="32">
        <f>IF($A197="","","Expenses")</f>
        <v/>
      </c>
      <c r="H197" s="44">
        <f>IF($A197="","",IF(COUNTIF($A:$A,$A197)&gt;1,"مكرر",""))</f>
        <v/>
      </c>
      <c r="I197" s="32">
        <f>IF($H197="مكرر","مكرر","")</f>
        <v/>
      </c>
    </row>
    <row r="198">
      <c r="A198" s="32">
        <f>IF(Expenses!$A46="","",Expenses!$A46)</f>
        <v/>
      </c>
      <c r="B198" s="32">
        <f>IF($A198="","","EXP")</f>
        <v/>
      </c>
      <c r="C198" s="33">
        <f>IF($A198="","",Expenses!$B46)</f>
        <v/>
      </c>
      <c r="D198" s="32">
        <f>IF($A198="","",Expenses!$C46)</f>
        <v/>
      </c>
      <c r="E198" s="43">
        <f>IF($A198="","",Expenses!$W46)</f>
        <v/>
      </c>
      <c r="F198" s="32">
        <f>IF($A198="","",Expenses!$M46)</f>
        <v/>
      </c>
      <c r="G198" s="32">
        <f>IF($A198="","","Expenses")</f>
        <v/>
      </c>
      <c r="H198" s="44">
        <f>IF($A198="","",IF(COUNTIF($A:$A,$A198)&gt;1,"مكرر",""))</f>
        <v/>
      </c>
      <c r="I198" s="32">
        <f>IF($H198="مكرر","مكرر","")</f>
        <v/>
      </c>
    </row>
    <row r="199">
      <c r="A199" s="32">
        <f>IF(Expenses!$A47="","",Expenses!$A47)</f>
        <v/>
      </c>
      <c r="B199" s="32">
        <f>IF($A199="","","EXP")</f>
        <v/>
      </c>
      <c r="C199" s="33">
        <f>IF($A199="","",Expenses!$B47)</f>
        <v/>
      </c>
      <c r="D199" s="32">
        <f>IF($A199="","",Expenses!$C47)</f>
        <v/>
      </c>
      <c r="E199" s="43">
        <f>IF($A199="","",Expenses!$W47)</f>
        <v/>
      </c>
      <c r="F199" s="32">
        <f>IF($A199="","",Expenses!$M47)</f>
        <v/>
      </c>
      <c r="G199" s="32">
        <f>IF($A199="","","Expenses")</f>
        <v/>
      </c>
      <c r="H199" s="44">
        <f>IF($A199="","",IF(COUNTIF($A:$A,$A199)&gt;1,"مكرر",""))</f>
        <v/>
      </c>
      <c r="I199" s="32">
        <f>IF($H199="مكرر","مكرر","")</f>
        <v/>
      </c>
    </row>
    <row r="200">
      <c r="A200" s="32">
        <f>IF(Expenses!$A48="","",Expenses!$A48)</f>
        <v/>
      </c>
      <c r="B200" s="32">
        <f>IF($A200="","","EXP")</f>
        <v/>
      </c>
      <c r="C200" s="33">
        <f>IF($A200="","",Expenses!$B48)</f>
        <v/>
      </c>
      <c r="D200" s="32">
        <f>IF($A200="","",Expenses!$C48)</f>
        <v/>
      </c>
      <c r="E200" s="43">
        <f>IF($A200="","",Expenses!$W48)</f>
        <v/>
      </c>
      <c r="F200" s="32">
        <f>IF($A200="","",Expenses!$M48)</f>
        <v/>
      </c>
      <c r="G200" s="32">
        <f>IF($A200="","","Expenses")</f>
        <v/>
      </c>
      <c r="H200" s="44">
        <f>IF($A200="","",IF(COUNTIF($A:$A,$A200)&gt;1,"مكرر",""))</f>
        <v/>
      </c>
      <c r="I200" s="32">
        <f>IF($H200="مكرر","مكرر","")</f>
        <v/>
      </c>
    </row>
    <row r="201">
      <c r="A201" s="32">
        <f>IF(Expenses!$A49="","",Expenses!$A49)</f>
        <v/>
      </c>
      <c r="B201" s="32">
        <f>IF($A201="","","EXP")</f>
        <v/>
      </c>
      <c r="C201" s="33">
        <f>IF($A201="","",Expenses!$B49)</f>
        <v/>
      </c>
      <c r="D201" s="32">
        <f>IF($A201="","",Expenses!$C49)</f>
        <v/>
      </c>
      <c r="E201" s="43">
        <f>IF($A201="","",Expenses!$W49)</f>
        <v/>
      </c>
      <c r="F201" s="32">
        <f>IF($A201="","",Expenses!$M49)</f>
        <v/>
      </c>
      <c r="G201" s="32">
        <f>IF($A201="","","Expenses")</f>
        <v/>
      </c>
      <c r="H201" s="44">
        <f>IF($A201="","",IF(COUNTIF($A:$A,$A201)&gt;1,"مكرر",""))</f>
        <v/>
      </c>
      <c r="I201" s="32">
        <f>IF($H201="مكرر","مكرر","")</f>
        <v/>
      </c>
    </row>
    <row r="202">
      <c r="A202" s="32">
        <f>IF(Expenses!$A50="","",Expenses!$A50)</f>
        <v/>
      </c>
      <c r="B202" s="32">
        <f>IF($A202="","","EXP")</f>
        <v/>
      </c>
      <c r="C202" s="33">
        <f>IF($A202="","",Expenses!$B50)</f>
        <v/>
      </c>
      <c r="D202" s="32">
        <f>IF($A202="","",Expenses!$C50)</f>
        <v/>
      </c>
      <c r="E202" s="43">
        <f>IF($A202="","",Expenses!$W50)</f>
        <v/>
      </c>
      <c r="F202" s="32">
        <f>IF($A202="","",Expenses!$M50)</f>
        <v/>
      </c>
      <c r="G202" s="32">
        <f>IF($A202="","","Expenses")</f>
        <v/>
      </c>
      <c r="H202" s="44">
        <f>IF($A202="","",IF(COUNTIF($A:$A,$A202)&gt;1,"مكرر",""))</f>
        <v/>
      </c>
      <c r="I202" s="32">
        <f>IF($H202="مكرر","مكرر","")</f>
        <v/>
      </c>
    </row>
    <row r="203">
      <c r="A203" s="32">
        <f>IF(Expenses!$A51="","",Expenses!$A51)</f>
        <v/>
      </c>
      <c r="B203" s="32">
        <f>IF($A203="","","EXP")</f>
        <v/>
      </c>
      <c r="C203" s="33">
        <f>IF($A203="","",Expenses!$B51)</f>
        <v/>
      </c>
      <c r="D203" s="32">
        <f>IF($A203="","",Expenses!$C51)</f>
        <v/>
      </c>
      <c r="E203" s="43">
        <f>IF($A203="","",Expenses!$W51)</f>
        <v/>
      </c>
      <c r="F203" s="32">
        <f>IF($A203="","",Expenses!$M51)</f>
        <v/>
      </c>
      <c r="G203" s="32">
        <f>IF($A203="","","Expenses")</f>
        <v/>
      </c>
      <c r="H203" s="44">
        <f>IF($A203="","",IF(COUNTIF($A:$A,$A203)&gt;1,"مكرر",""))</f>
        <v/>
      </c>
      <c r="I203" s="32">
        <f>IF($H203="مكرر","مكرر","")</f>
        <v/>
      </c>
    </row>
    <row r="204">
      <c r="A204" s="32">
        <f>IF(Expenses!$A52="","",Expenses!$A52)</f>
        <v/>
      </c>
      <c r="B204" s="32">
        <f>IF($A204="","","EXP")</f>
        <v/>
      </c>
      <c r="C204" s="33">
        <f>IF($A204="","",Expenses!$B52)</f>
        <v/>
      </c>
      <c r="D204" s="32">
        <f>IF($A204="","",Expenses!$C52)</f>
        <v/>
      </c>
      <c r="E204" s="43">
        <f>IF($A204="","",Expenses!$W52)</f>
        <v/>
      </c>
      <c r="F204" s="32">
        <f>IF($A204="","",Expenses!$M52)</f>
        <v/>
      </c>
      <c r="G204" s="32">
        <f>IF($A204="","","Expenses")</f>
        <v/>
      </c>
      <c r="H204" s="44">
        <f>IF($A204="","",IF(COUNTIF($A:$A,$A204)&gt;1,"مكرر",""))</f>
        <v/>
      </c>
      <c r="I204" s="32">
        <f>IF($H204="مكرر","مكرر","")</f>
        <v/>
      </c>
    </row>
    <row r="205">
      <c r="A205" s="32">
        <f>IF(Expenses!$A53="","",Expenses!$A53)</f>
        <v/>
      </c>
      <c r="B205" s="32">
        <f>IF($A205="","","EXP")</f>
        <v/>
      </c>
      <c r="C205" s="33">
        <f>IF($A205="","",Expenses!$B53)</f>
        <v/>
      </c>
      <c r="D205" s="32">
        <f>IF($A205="","",Expenses!$C53)</f>
        <v/>
      </c>
      <c r="E205" s="43">
        <f>IF($A205="","",Expenses!$W53)</f>
        <v/>
      </c>
      <c r="F205" s="32">
        <f>IF($A205="","",Expenses!$M53)</f>
        <v/>
      </c>
      <c r="G205" s="32">
        <f>IF($A205="","","Expenses")</f>
        <v/>
      </c>
      <c r="H205" s="44">
        <f>IF($A205="","",IF(COUNTIF($A:$A,$A205)&gt;1,"مكرر",""))</f>
        <v/>
      </c>
      <c r="I205" s="32">
        <f>IF($H205="مكرر","مكرر","")</f>
        <v/>
      </c>
    </row>
    <row r="206">
      <c r="A206" s="32">
        <f>IF(Expenses!$A54="","",Expenses!$A54)</f>
        <v/>
      </c>
      <c r="B206" s="32">
        <f>IF($A206="","","EXP")</f>
        <v/>
      </c>
      <c r="C206" s="33">
        <f>IF($A206="","",Expenses!$B54)</f>
        <v/>
      </c>
      <c r="D206" s="32">
        <f>IF($A206="","",Expenses!$C54)</f>
        <v/>
      </c>
      <c r="E206" s="43">
        <f>IF($A206="","",Expenses!$W54)</f>
        <v/>
      </c>
      <c r="F206" s="32">
        <f>IF($A206="","",Expenses!$M54)</f>
        <v/>
      </c>
      <c r="G206" s="32">
        <f>IF($A206="","","Expenses")</f>
        <v/>
      </c>
      <c r="H206" s="44">
        <f>IF($A206="","",IF(COUNTIF($A:$A,$A206)&gt;1,"مكرر",""))</f>
        <v/>
      </c>
      <c r="I206" s="32">
        <f>IF($H206="مكرر","مكرر","")</f>
        <v/>
      </c>
    </row>
    <row r="207">
      <c r="A207" s="32">
        <f>IF(Expenses!$A55="","",Expenses!$A55)</f>
        <v/>
      </c>
      <c r="B207" s="32">
        <f>IF($A207="","","EXP")</f>
        <v/>
      </c>
      <c r="C207" s="33">
        <f>IF($A207="","",Expenses!$B55)</f>
        <v/>
      </c>
      <c r="D207" s="32">
        <f>IF($A207="","",Expenses!$C55)</f>
        <v/>
      </c>
      <c r="E207" s="43">
        <f>IF($A207="","",Expenses!$W55)</f>
        <v/>
      </c>
      <c r="F207" s="32">
        <f>IF($A207="","",Expenses!$M55)</f>
        <v/>
      </c>
      <c r="G207" s="32">
        <f>IF($A207="","","Expenses")</f>
        <v/>
      </c>
      <c r="H207" s="44">
        <f>IF($A207="","",IF(COUNTIF($A:$A,$A207)&gt;1,"مكرر",""))</f>
        <v/>
      </c>
      <c r="I207" s="32">
        <f>IF($H207="مكرر","مكرر","")</f>
        <v/>
      </c>
    </row>
    <row r="208">
      <c r="A208" s="32">
        <f>IF(Expenses!$A56="","",Expenses!$A56)</f>
        <v/>
      </c>
      <c r="B208" s="32">
        <f>IF($A208="","","EXP")</f>
        <v/>
      </c>
      <c r="C208" s="33">
        <f>IF($A208="","",Expenses!$B56)</f>
        <v/>
      </c>
      <c r="D208" s="32">
        <f>IF($A208="","",Expenses!$C56)</f>
        <v/>
      </c>
      <c r="E208" s="43">
        <f>IF($A208="","",Expenses!$W56)</f>
        <v/>
      </c>
      <c r="F208" s="32">
        <f>IF($A208="","",Expenses!$M56)</f>
        <v/>
      </c>
      <c r="G208" s="32">
        <f>IF($A208="","","Expenses")</f>
        <v/>
      </c>
      <c r="H208" s="44">
        <f>IF($A208="","",IF(COUNTIF($A:$A,$A208)&gt;1,"مكرر",""))</f>
        <v/>
      </c>
      <c r="I208" s="32">
        <f>IF($H208="مكرر","مكرر","")</f>
        <v/>
      </c>
    </row>
    <row r="209">
      <c r="A209" s="32">
        <f>IF(Expenses!$A57="","",Expenses!$A57)</f>
        <v/>
      </c>
      <c r="B209" s="32">
        <f>IF($A209="","","EXP")</f>
        <v/>
      </c>
      <c r="C209" s="33">
        <f>IF($A209="","",Expenses!$B57)</f>
        <v/>
      </c>
      <c r="D209" s="32">
        <f>IF($A209="","",Expenses!$C57)</f>
        <v/>
      </c>
      <c r="E209" s="43">
        <f>IF($A209="","",Expenses!$W57)</f>
        <v/>
      </c>
      <c r="F209" s="32">
        <f>IF($A209="","",Expenses!$M57)</f>
        <v/>
      </c>
      <c r="G209" s="32">
        <f>IF($A209="","","Expenses")</f>
        <v/>
      </c>
      <c r="H209" s="44">
        <f>IF($A209="","",IF(COUNTIF($A:$A,$A209)&gt;1,"مكرر",""))</f>
        <v/>
      </c>
      <c r="I209" s="32">
        <f>IF($H209="مكرر","مكرر","")</f>
        <v/>
      </c>
    </row>
    <row r="210">
      <c r="A210" s="32">
        <f>IF(Expenses!$A58="","",Expenses!$A58)</f>
        <v/>
      </c>
      <c r="B210" s="32">
        <f>IF($A210="","","EXP")</f>
        <v/>
      </c>
      <c r="C210" s="33">
        <f>IF($A210="","",Expenses!$B58)</f>
        <v/>
      </c>
      <c r="D210" s="32">
        <f>IF($A210="","",Expenses!$C58)</f>
        <v/>
      </c>
      <c r="E210" s="43">
        <f>IF($A210="","",Expenses!$W58)</f>
        <v/>
      </c>
      <c r="F210" s="32">
        <f>IF($A210="","",Expenses!$M58)</f>
        <v/>
      </c>
      <c r="G210" s="32">
        <f>IF($A210="","","Expenses")</f>
        <v/>
      </c>
      <c r="H210" s="44">
        <f>IF($A210="","",IF(COUNTIF($A:$A,$A210)&gt;1,"مكرر",""))</f>
        <v/>
      </c>
      <c r="I210" s="32">
        <f>IF($H210="مكرر","مكرر","")</f>
        <v/>
      </c>
    </row>
    <row r="211">
      <c r="A211" s="32">
        <f>IF(Expenses!$A59="","",Expenses!$A59)</f>
        <v/>
      </c>
      <c r="B211" s="32">
        <f>IF($A211="","","EXP")</f>
        <v/>
      </c>
      <c r="C211" s="33">
        <f>IF($A211="","",Expenses!$B59)</f>
        <v/>
      </c>
      <c r="D211" s="32">
        <f>IF($A211="","",Expenses!$C59)</f>
        <v/>
      </c>
      <c r="E211" s="43">
        <f>IF($A211="","",Expenses!$W59)</f>
        <v/>
      </c>
      <c r="F211" s="32">
        <f>IF($A211="","",Expenses!$M59)</f>
        <v/>
      </c>
      <c r="G211" s="32">
        <f>IF($A211="","","Expenses")</f>
        <v/>
      </c>
      <c r="H211" s="44">
        <f>IF($A211="","",IF(COUNTIF($A:$A,$A211)&gt;1,"مكرر",""))</f>
        <v/>
      </c>
      <c r="I211" s="32">
        <f>IF($H211="مكرر","مكرر","")</f>
        <v/>
      </c>
    </row>
    <row r="212">
      <c r="A212" s="32">
        <f>IF(Expenses!$A60="","",Expenses!$A60)</f>
        <v/>
      </c>
      <c r="B212" s="32">
        <f>IF($A212="","","EXP")</f>
        <v/>
      </c>
      <c r="C212" s="33">
        <f>IF($A212="","",Expenses!$B60)</f>
        <v/>
      </c>
      <c r="D212" s="32">
        <f>IF($A212="","",Expenses!$C60)</f>
        <v/>
      </c>
      <c r="E212" s="43">
        <f>IF($A212="","",Expenses!$W60)</f>
        <v/>
      </c>
      <c r="F212" s="32">
        <f>IF($A212="","",Expenses!$M60)</f>
        <v/>
      </c>
      <c r="G212" s="32">
        <f>IF($A212="","","Expenses")</f>
        <v/>
      </c>
      <c r="H212" s="44">
        <f>IF($A212="","",IF(COUNTIF($A:$A,$A212)&gt;1,"مكرر",""))</f>
        <v/>
      </c>
      <c r="I212" s="32">
        <f>IF($H212="مكرر","مكرر","")</f>
        <v/>
      </c>
    </row>
    <row r="213">
      <c r="A213" s="32">
        <f>IF(Expenses!$A61="","",Expenses!$A61)</f>
        <v/>
      </c>
      <c r="B213" s="32">
        <f>IF($A213="","","EXP")</f>
        <v/>
      </c>
      <c r="C213" s="33">
        <f>IF($A213="","",Expenses!$B61)</f>
        <v/>
      </c>
      <c r="D213" s="32">
        <f>IF($A213="","",Expenses!$C61)</f>
        <v/>
      </c>
      <c r="E213" s="43">
        <f>IF($A213="","",Expenses!$W61)</f>
        <v/>
      </c>
      <c r="F213" s="32">
        <f>IF($A213="","",Expenses!$M61)</f>
        <v/>
      </c>
      <c r="G213" s="32">
        <f>IF($A213="","","Expenses")</f>
        <v/>
      </c>
      <c r="H213" s="44">
        <f>IF($A213="","",IF(COUNTIF($A:$A,$A213)&gt;1,"مكرر",""))</f>
        <v/>
      </c>
      <c r="I213" s="32">
        <f>IF($H213="مكرر","مكرر","")</f>
        <v/>
      </c>
    </row>
    <row r="214">
      <c r="A214" s="32">
        <f>IF(Expenses!$A62="","",Expenses!$A62)</f>
        <v/>
      </c>
      <c r="B214" s="32">
        <f>IF($A214="","","EXP")</f>
        <v/>
      </c>
      <c r="C214" s="33">
        <f>IF($A214="","",Expenses!$B62)</f>
        <v/>
      </c>
      <c r="D214" s="32">
        <f>IF($A214="","",Expenses!$C62)</f>
        <v/>
      </c>
      <c r="E214" s="43">
        <f>IF($A214="","",Expenses!$W62)</f>
        <v/>
      </c>
      <c r="F214" s="32">
        <f>IF($A214="","",Expenses!$M62)</f>
        <v/>
      </c>
      <c r="G214" s="32">
        <f>IF($A214="","","Expenses")</f>
        <v/>
      </c>
      <c r="H214" s="44">
        <f>IF($A214="","",IF(COUNTIF($A:$A,$A214)&gt;1,"مكرر",""))</f>
        <v/>
      </c>
      <c r="I214" s="32">
        <f>IF($H214="مكرر","مكرر","")</f>
        <v/>
      </c>
    </row>
    <row r="215">
      <c r="A215" s="32">
        <f>IF(Expenses!$A63="","",Expenses!$A63)</f>
        <v/>
      </c>
      <c r="B215" s="32">
        <f>IF($A215="","","EXP")</f>
        <v/>
      </c>
      <c r="C215" s="33">
        <f>IF($A215="","",Expenses!$B63)</f>
        <v/>
      </c>
      <c r="D215" s="32">
        <f>IF($A215="","",Expenses!$C63)</f>
        <v/>
      </c>
      <c r="E215" s="43">
        <f>IF($A215="","",Expenses!$W63)</f>
        <v/>
      </c>
      <c r="F215" s="32">
        <f>IF($A215="","",Expenses!$M63)</f>
        <v/>
      </c>
      <c r="G215" s="32">
        <f>IF($A215="","","Expenses")</f>
        <v/>
      </c>
      <c r="H215" s="44">
        <f>IF($A215="","",IF(COUNTIF($A:$A,$A215)&gt;1,"مكرر",""))</f>
        <v/>
      </c>
      <c r="I215" s="32">
        <f>IF($H215="مكرر","مكرر","")</f>
        <v/>
      </c>
    </row>
    <row r="216">
      <c r="A216" s="32">
        <f>IF(Expenses!$A64="","",Expenses!$A64)</f>
        <v/>
      </c>
      <c r="B216" s="32">
        <f>IF($A216="","","EXP")</f>
        <v/>
      </c>
      <c r="C216" s="33">
        <f>IF($A216="","",Expenses!$B64)</f>
        <v/>
      </c>
      <c r="D216" s="32">
        <f>IF($A216="","",Expenses!$C64)</f>
        <v/>
      </c>
      <c r="E216" s="43">
        <f>IF($A216="","",Expenses!$W64)</f>
        <v/>
      </c>
      <c r="F216" s="32">
        <f>IF($A216="","",Expenses!$M64)</f>
        <v/>
      </c>
      <c r="G216" s="32">
        <f>IF($A216="","","Expenses")</f>
        <v/>
      </c>
      <c r="H216" s="44">
        <f>IF($A216="","",IF(COUNTIF($A:$A,$A216)&gt;1,"مكرر",""))</f>
        <v/>
      </c>
      <c r="I216" s="32">
        <f>IF($H216="مكرر","مكرر","")</f>
        <v/>
      </c>
    </row>
    <row r="217">
      <c r="A217" s="32">
        <f>IF(Expenses!$A65="","",Expenses!$A65)</f>
        <v/>
      </c>
      <c r="B217" s="32">
        <f>IF($A217="","","EXP")</f>
        <v/>
      </c>
      <c r="C217" s="33">
        <f>IF($A217="","",Expenses!$B65)</f>
        <v/>
      </c>
      <c r="D217" s="32">
        <f>IF($A217="","",Expenses!$C65)</f>
        <v/>
      </c>
      <c r="E217" s="43">
        <f>IF($A217="","",Expenses!$W65)</f>
        <v/>
      </c>
      <c r="F217" s="32">
        <f>IF($A217="","",Expenses!$M65)</f>
        <v/>
      </c>
      <c r="G217" s="32">
        <f>IF($A217="","","Expenses")</f>
        <v/>
      </c>
      <c r="H217" s="44">
        <f>IF($A217="","",IF(COUNTIF($A:$A,$A217)&gt;1,"مكرر",""))</f>
        <v/>
      </c>
      <c r="I217" s="32">
        <f>IF($H217="مكرر","مكرر","")</f>
        <v/>
      </c>
    </row>
    <row r="218">
      <c r="A218" s="32">
        <f>IF(Expenses!$A66="","",Expenses!$A66)</f>
        <v/>
      </c>
      <c r="B218" s="32">
        <f>IF($A218="","","EXP")</f>
        <v/>
      </c>
      <c r="C218" s="33">
        <f>IF($A218="","",Expenses!$B66)</f>
        <v/>
      </c>
      <c r="D218" s="32">
        <f>IF($A218="","",Expenses!$C66)</f>
        <v/>
      </c>
      <c r="E218" s="43">
        <f>IF($A218="","",Expenses!$W66)</f>
        <v/>
      </c>
      <c r="F218" s="32">
        <f>IF($A218="","",Expenses!$M66)</f>
        <v/>
      </c>
      <c r="G218" s="32">
        <f>IF($A218="","","Expenses")</f>
        <v/>
      </c>
      <c r="H218" s="44">
        <f>IF($A218="","",IF(COUNTIF($A:$A,$A218)&gt;1,"مكرر",""))</f>
        <v/>
      </c>
      <c r="I218" s="32">
        <f>IF($H218="مكرر","مكرر","")</f>
        <v/>
      </c>
    </row>
    <row r="219">
      <c r="A219" s="32">
        <f>IF(Expenses!$A67="","",Expenses!$A67)</f>
        <v/>
      </c>
      <c r="B219" s="32">
        <f>IF($A219="","","EXP")</f>
        <v/>
      </c>
      <c r="C219" s="33">
        <f>IF($A219="","",Expenses!$B67)</f>
        <v/>
      </c>
      <c r="D219" s="32">
        <f>IF($A219="","",Expenses!$C67)</f>
        <v/>
      </c>
      <c r="E219" s="43">
        <f>IF($A219="","",Expenses!$W67)</f>
        <v/>
      </c>
      <c r="F219" s="32">
        <f>IF($A219="","",Expenses!$M67)</f>
        <v/>
      </c>
      <c r="G219" s="32">
        <f>IF($A219="","","Expenses")</f>
        <v/>
      </c>
      <c r="H219" s="44">
        <f>IF($A219="","",IF(COUNTIF($A:$A,$A219)&gt;1,"مكرر",""))</f>
        <v/>
      </c>
      <c r="I219" s="32">
        <f>IF($H219="مكرر","مكرر","")</f>
        <v/>
      </c>
    </row>
    <row r="220">
      <c r="A220" s="32">
        <f>IF(Expenses!$A68="","",Expenses!$A68)</f>
        <v/>
      </c>
      <c r="B220" s="32">
        <f>IF($A220="","","EXP")</f>
        <v/>
      </c>
      <c r="C220" s="33">
        <f>IF($A220="","",Expenses!$B68)</f>
        <v/>
      </c>
      <c r="D220" s="32">
        <f>IF($A220="","",Expenses!$C68)</f>
        <v/>
      </c>
      <c r="E220" s="43">
        <f>IF($A220="","",Expenses!$W68)</f>
        <v/>
      </c>
      <c r="F220" s="32">
        <f>IF($A220="","",Expenses!$M68)</f>
        <v/>
      </c>
      <c r="G220" s="32">
        <f>IF($A220="","","Expenses")</f>
        <v/>
      </c>
      <c r="H220" s="44">
        <f>IF($A220="","",IF(COUNTIF($A:$A,$A220)&gt;1,"مكرر",""))</f>
        <v/>
      </c>
      <c r="I220" s="32">
        <f>IF($H220="مكرر","مكرر","")</f>
        <v/>
      </c>
    </row>
    <row r="221">
      <c r="A221" s="32">
        <f>IF(Expenses!$A69="","",Expenses!$A69)</f>
        <v/>
      </c>
      <c r="B221" s="32">
        <f>IF($A221="","","EXP")</f>
        <v/>
      </c>
      <c r="C221" s="33">
        <f>IF($A221="","",Expenses!$B69)</f>
        <v/>
      </c>
      <c r="D221" s="32">
        <f>IF($A221="","",Expenses!$C69)</f>
        <v/>
      </c>
      <c r="E221" s="43">
        <f>IF($A221="","",Expenses!$W69)</f>
        <v/>
      </c>
      <c r="F221" s="32">
        <f>IF($A221="","",Expenses!$M69)</f>
        <v/>
      </c>
      <c r="G221" s="32">
        <f>IF($A221="","","Expenses")</f>
        <v/>
      </c>
      <c r="H221" s="44">
        <f>IF($A221="","",IF(COUNTIF($A:$A,$A221)&gt;1,"مكرر",""))</f>
        <v/>
      </c>
      <c r="I221" s="32">
        <f>IF($H221="مكرر","مكرر","")</f>
        <v/>
      </c>
    </row>
    <row r="222">
      <c r="A222" s="32">
        <f>IF(Expenses!$A70="","",Expenses!$A70)</f>
        <v/>
      </c>
      <c r="B222" s="32">
        <f>IF($A222="","","EXP")</f>
        <v/>
      </c>
      <c r="C222" s="33">
        <f>IF($A222="","",Expenses!$B70)</f>
        <v/>
      </c>
      <c r="D222" s="32">
        <f>IF($A222="","",Expenses!$C70)</f>
        <v/>
      </c>
      <c r="E222" s="43">
        <f>IF($A222="","",Expenses!$W70)</f>
        <v/>
      </c>
      <c r="F222" s="32">
        <f>IF($A222="","",Expenses!$M70)</f>
        <v/>
      </c>
      <c r="G222" s="32">
        <f>IF($A222="","","Expenses")</f>
        <v/>
      </c>
      <c r="H222" s="44">
        <f>IF($A222="","",IF(COUNTIF($A:$A,$A222)&gt;1,"مكرر",""))</f>
        <v/>
      </c>
      <c r="I222" s="32">
        <f>IF($H222="مكرر","مكرر","")</f>
        <v/>
      </c>
    </row>
    <row r="223">
      <c r="A223" s="32">
        <f>IF(Expenses!$A71="","",Expenses!$A71)</f>
        <v/>
      </c>
      <c r="B223" s="32">
        <f>IF($A223="","","EXP")</f>
        <v/>
      </c>
      <c r="C223" s="33">
        <f>IF($A223="","",Expenses!$B71)</f>
        <v/>
      </c>
      <c r="D223" s="32">
        <f>IF($A223="","",Expenses!$C71)</f>
        <v/>
      </c>
      <c r="E223" s="43">
        <f>IF($A223="","",Expenses!$W71)</f>
        <v/>
      </c>
      <c r="F223" s="32">
        <f>IF($A223="","",Expenses!$M71)</f>
        <v/>
      </c>
      <c r="G223" s="32">
        <f>IF($A223="","","Expenses")</f>
        <v/>
      </c>
      <c r="H223" s="44">
        <f>IF($A223="","",IF(COUNTIF($A:$A,$A223)&gt;1,"مكرر",""))</f>
        <v/>
      </c>
      <c r="I223" s="32">
        <f>IF($H223="مكرر","مكرر","")</f>
        <v/>
      </c>
    </row>
    <row r="224">
      <c r="A224" s="32">
        <f>IF(Expenses!$A72="","",Expenses!$A72)</f>
        <v/>
      </c>
      <c r="B224" s="32">
        <f>IF($A224="","","EXP")</f>
        <v/>
      </c>
      <c r="C224" s="33">
        <f>IF($A224="","",Expenses!$B72)</f>
        <v/>
      </c>
      <c r="D224" s="32">
        <f>IF($A224="","",Expenses!$C72)</f>
        <v/>
      </c>
      <c r="E224" s="43">
        <f>IF($A224="","",Expenses!$W72)</f>
        <v/>
      </c>
      <c r="F224" s="32">
        <f>IF($A224="","",Expenses!$M72)</f>
        <v/>
      </c>
      <c r="G224" s="32">
        <f>IF($A224="","","Expenses")</f>
        <v/>
      </c>
      <c r="H224" s="44">
        <f>IF($A224="","",IF(COUNTIF($A:$A,$A224)&gt;1,"مكرر",""))</f>
        <v/>
      </c>
      <c r="I224" s="32">
        <f>IF($H224="مكرر","مكرر","")</f>
        <v/>
      </c>
    </row>
    <row r="225">
      <c r="A225" s="32">
        <f>IF(Expenses!$A73="","",Expenses!$A73)</f>
        <v/>
      </c>
      <c r="B225" s="32">
        <f>IF($A225="","","EXP")</f>
        <v/>
      </c>
      <c r="C225" s="33">
        <f>IF($A225="","",Expenses!$B73)</f>
        <v/>
      </c>
      <c r="D225" s="32">
        <f>IF($A225="","",Expenses!$C73)</f>
        <v/>
      </c>
      <c r="E225" s="43">
        <f>IF($A225="","",Expenses!$W73)</f>
        <v/>
      </c>
      <c r="F225" s="32">
        <f>IF($A225="","",Expenses!$M73)</f>
        <v/>
      </c>
      <c r="G225" s="32">
        <f>IF($A225="","","Expenses")</f>
        <v/>
      </c>
      <c r="H225" s="44">
        <f>IF($A225="","",IF(COUNTIF($A:$A,$A225)&gt;1,"مكرر",""))</f>
        <v/>
      </c>
      <c r="I225" s="32">
        <f>IF($H225="مكرر","مكرر","")</f>
        <v/>
      </c>
    </row>
    <row r="226">
      <c r="A226" s="32">
        <f>IF(Expenses!$A74="","",Expenses!$A74)</f>
        <v/>
      </c>
      <c r="B226" s="32">
        <f>IF($A226="","","EXP")</f>
        <v/>
      </c>
      <c r="C226" s="33">
        <f>IF($A226="","",Expenses!$B74)</f>
        <v/>
      </c>
      <c r="D226" s="32">
        <f>IF($A226="","",Expenses!$C74)</f>
        <v/>
      </c>
      <c r="E226" s="43">
        <f>IF($A226="","",Expenses!$W74)</f>
        <v/>
      </c>
      <c r="F226" s="32">
        <f>IF($A226="","",Expenses!$M74)</f>
        <v/>
      </c>
      <c r="G226" s="32">
        <f>IF($A226="","","Expenses")</f>
        <v/>
      </c>
      <c r="H226" s="44">
        <f>IF($A226="","",IF(COUNTIF($A:$A,$A226)&gt;1,"مكرر",""))</f>
        <v/>
      </c>
      <c r="I226" s="32">
        <f>IF($H226="مكرر","مكرر","")</f>
        <v/>
      </c>
    </row>
    <row r="227">
      <c r="A227" s="32">
        <f>IF(Expenses!$A75="","",Expenses!$A75)</f>
        <v/>
      </c>
      <c r="B227" s="32">
        <f>IF($A227="","","EXP")</f>
        <v/>
      </c>
      <c r="C227" s="33">
        <f>IF($A227="","",Expenses!$B75)</f>
        <v/>
      </c>
      <c r="D227" s="32">
        <f>IF($A227="","",Expenses!$C75)</f>
        <v/>
      </c>
      <c r="E227" s="43">
        <f>IF($A227="","",Expenses!$W75)</f>
        <v/>
      </c>
      <c r="F227" s="32">
        <f>IF($A227="","",Expenses!$M75)</f>
        <v/>
      </c>
      <c r="G227" s="32">
        <f>IF($A227="","","Expenses")</f>
        <v/>
      </c>
      <c r="H227" s="44">
        <f>IF($A227="","",IF(COUNTIF($A:$A,$A227)&gt;1,"مكرر",""))</f>
        <v/>
      </c>
      <c r="I227" s="32">
        <f>IF($H227="مكرر","مكرر","")</f>
        <v/>
      </c>
    </row>
    <row r="228">
      <c r="A228" s="32">
        <f>IF(Expenses!$A76="","",Expenses!$A76)</f>
        <v/>
      </c>
      <c r="B228" s="32">
        <f>IF($A228="","","EXP")</f>
        <v/>
      </c>
      <c r="C228" s="33">
        <f>IF($A228="","",Expenses!$B76)</f>
        <v/>
      </c>
      <c r="D228" s="32">
        <f>IF($A228="","",Expenses!$C76)</f>
        <v/>
      </c>
      <c r="E228" s="43">
        <f>IF($A228="","",Expenses!$W76)</f>
        <v/>
      </c>
      <c r="F228" s="32">
        <f>IF($A228="","",Expenses!$M76)</f>
        <v/>
      </c>
      <c r="G228" s="32">
        <f>IF($A228="","","Expenses")</f>
        <v/>
      </c>
      <c r="H228" s="44">
        <f>IF($A228="","",IF(COUNTIF($A:$A,$A228)&gt;1,"مكرر",""))</f>
        <v/>
      </c>
      <c r="I228" s="32">
        <f>IF($H228="مكرر","مكرر","")</f>
        <v/>
      </c>
    </row>
    <row r="229">
      <c r="A229" s="32">
        <f>IF(Expenses!$A77="","",Expenses!$A77)</f>
        <v/>
      </c>
      <c r="B229" s="32">
        <f>IF($A229="","","EXP")</f>
        <v/>
      </c>
      <c r="C229" s="33">
        <f>IF($A229="","",Expenses!$B77)</f>
        <v/>
      </c>
      <c r="D229" s="32">
        <f>IF($A229="","",Expenses!$C77)</f>
        <v/>
      </c>
      <c r="E229" s="43">
        <f>IF($A229="","",Expenses!$W77)</f>
        <v/>
      </c>
      <c r="F229" s="32">
        <f>IF($A229="","",Expenses!$M77)</f>
        <v/>
      </c>
      <c r="G229" s="32">
        <f>IF($A229="","","Expenses")</f>
        <v/>
      </c>
      <c r="H229" s="44">
        <f>IF($A229="","",IF(COUNTIF($A:$A,$A229)&gt;1,"مكرر",""))</f>
        <v/>
      </c>
      <c r="I229" s="32">
        <f>IF($H229="مكرر","مكرر","")</f>
        <v/>
      </c>
    </row>
    <row r="230">
      <c r="A230" s="32">
        <f>IF(Expenses!$A78="","",Expenses!$A78)</f>
        <v/>
      </c>
      <c r="B230" s="32">
        <f>IF($A230="","","EXP")</f>
        <v/>
      </c>
      <c r="C230" s="33">
        <f>IF($A230="","",Expenses!$B78)</f>
        <v/>
      </c>
      <c r="D230" s="32">
        <f>IF($A230="","",Expenses!$C78)</f>
        <v/>
      </c>
      <c r="E230" s="43">
        <f>IF($A230="","",Expenses!$W78)</f>
        <v/>
      </c>
      <c r="F230" s="32">
        <f>IF($A230="","",Expenses!$M78)</f>
        <v/>
      </c>
      <c r="G230" s="32">
        <f>IF($A230="","","Expenses")</f>
        <v/>
      </c>
      <c r="H230" s="44">
        <f>IF($A230="","",IF(COUNTIF($A:$A,$A230)&gt;1,"مكرر",""))</f>
        <v/>
      </c>
      <c r="I230" s="32">
        <f>IF($H230="مكرر","مكرر","")</f>
        <v/>
      </c>
    </row>
    <row r="231">
      <c r="A231" s="32">
        <f>IF(Expenses!$A79="","",Expenses!$A79)</f>
        <v/>
      </c>
      <c r="B231" s="32">
        <f>IF($A231="","","EXP")</f>
        <v/>
      </c>
      <c r="C231" s="33">
        <f>IF($A231="","",Expenses!$B79)</f>
        <v/>
      </c>
      <c r="D231" s="32">
        <f>IF($A231="","",Expenses!$C79)</f>
        <v/>
      </c>
      <c r="E231" s="43">
        <f>IF($A231="","",Expenses!$W79)</f>
        <v/>
      </c>
      <c r="F231" s="32">
        <f>IF($A231="","",Expenses!$M79)</f>
        <v/>
      </c>
      <c r="G231" s="32">
        <f>IF($A231="","","Expenses")</f>
        <v/>
      </c>
      <c r="H231" s="44">
        <f>IF($A231="","",IF(COUNTIF($A:$A,$A231)&gt;1,"مكرر",""))</f>
        <v/>
      </c>
      <c r="I231" s="32">
        <f>IF($H231="مكرر","مكرر","")</f>
        <v/>
      </c>
    </row>
    <row r="232">
      <c r="A232" s="32">
        <f>IF(Expenses!$A80="","",Expenses!$A80)</f>
        <v/>
      </c>
      <c r="B232" s="32">
        <f>IF($A232="","","EXP")</f>
        <v/>
      </c>
      <c r="C232" s="33">
        <f>IF($A232="","",Expenses!$B80)</f>
        <v/>
      </c>
      <c r="D232" s="32">
        <f>IF($A232="","",Expenses!$C80)</f>
        <v/>
      </c>
      <c r="E232" s="43">
        <f>IF($A232="","",Expenses!$W80)</f>
        <v/>
      </c>
      <c r="F232" s="32">
        <f>IF($A232="","",Expenses!$M80)</f>
        <v/>
      </c>
      <c r="G232" s="32">
        <f>IF($A232="","","Expenses")</f>
        <v/>
      </c>
      <c r="H232" s="44">
        <f>IF($A232="","",IF(COUNTIF($A:$A,$A232)&gt;1,"مكرر",""))</f>
        <v/>
      </c>
      <c r="I232" s="32">
        <f>IF($H232="مكرر","مكرر","")</f>
        <v/>
      </c>
    </row>
    <row r="233">
      <c r="A233" s="32">
        <f>IF(Expenses!$A81="","",Expenses!$A81)</f>
        <v/>
      </c>
      <c r="B233" s="32">
        <f>IF($A233="","","EXP")</f>
        <v/>
      </c>
      <c r="C233" s="33">
        <f>IF($A233="","",Expenses!$B81)</f>
        <v/>
      </c>
      <c r="D233" s="32">
        <f>IF($A233="","",Expenses!$C81)</f>
        <v/>
      </c>
      <c r="E233" s="43">
        <f>IF($A233="","",Expenses!$W81)</f>
        <v/>
      </c>
      <c r="F233" s="32">
        <f>IF($A233="","",Expenses!$M81)</f>
        <v/>
      </c>
      <c r="G233" s="32">
        <f>IF($A233="","","Expenses")</f>
        <v/>
      </c>
      <c r="H233" s="44">
        <f>IF($A233="","",IF(COUNTIF($A:$A,$A233)&gt;1,"مكرر",""))</f>
        <v/>
      </c>
      <c r="I233" s="32">
        <f>IF($H233="مكرر","مكرر","")</f>
        <v/>
      </c>
    </row>
    <row r="234">
      <c r="A234" s="32">
        <f>IF(Expenses!$A82="","",Expenses!$A82)</f>
        <v/>
      </c>
      <c r="B234" s="32">
        <f>IF($A234="","","EXP")</f>
        <v/>
      </c>
      <c r="C234" s="33">
        <f>IF($A234="","",Expenses!$B82)</f>
        <v/>
      </c>
      <c r="D234" s="32">
        <f>IF($A234="","",Expenses!$C82)</f>
        <v/>
      </c>
      <c r="E234" s="43">
        <f>IF($A234="","",Expenses!$W82)</f>
        <v/>
      </c>
      <c r="F234" s="32">
        <f>IF($A234="","",Expenses!$M82)</f>
        <v/>
      </c>
      <c r="G234" s="32">
        <f>IF($A234="","","Expenses")</f>
        <v/>
      </c>
      <c r="H234" s="44">
        <f>IF($A234="","",IF(COUNTIF($A:$A,$A234)&gt;1,"مكرر",""))</f>
        <v/>
      </c>
      <c r="I234" s="32">
        <f>IF($H234="مكرر","مكرر","")</f>
        <v/>
      </c>
    </row>
    <row r="235">
      <c r="A235" s="32">
        <f>IF(Expenses!$A83="","",Expenses!$A83)</f>
        <v/>
      </c>
      <c r="B235" s="32">
        <f>IF($A235="","","EXP")</f>
        <v/>
      </c>
      <c r="C235" s="33">
        <f>IF($A235="","",Expenses!$B83)</f>
        <v/>
      </c>
      <c r="D235" s="32">
        <f>IF($A235="","",Expenses!$C83)</f>
        <v/>
      </c>
      <c r="E235" s="43">
        <f>IF($A235="","",Expenses!$W83)</f>
        <v/>
      </c>
      <c r="F235" s="32">
        <f>IF($A235="","",Expenses!$M83)</f>
        <v/>
      </c>
      <c r="G235" s="32">
        <f>IF($A235="","","Expenses")</f>
        <v/>
      </c>
      <c r="H235" s="44">
        <f>IF($A235="","",IF(COUNTIF($A:$A,$A235)&gt;1,"مكرر",""))</f>
        <v/>
      </c>
      <c r="I235" s="32">
        <f>IF($H235="مكرر","مكرر","")</f>
        <v/>
      </c>
    </row>
    <row r="236">
      <c r="A236" s="32">
        <f>IF(Expenses!$A84="","",Expenses!$A84)</f>
        <v/>
      </c>
      <c r="B236" s="32">
        <f>IF($A236="","","EXP")</f>
        <v/>
      </c>
      <c r="C236" s="33">
        <f>IF($A236="","",Expenses!$B84)</f>
        <v/>
      </c>
      <c r="D236" s="32">
        <f>IF($A236="","",Expenses!$C84)</f>
        <v/>
      </c>
      <c r="E236" s="43">
        <f>IF($A236="","",Expenses!$W84)</f>
        <v/>
      </c>
      <c r="F236" s="32">
        <f>IF($A236="","",Expenses!$M84)</f>
        <v/>
      </c>
      <c r="G236" s="32">
        <f>IF($A236="","","Expenses")</f>
        <v/>
      </c>
      <c r="H236" s="44">
        <f>IF($A236="","",IF(COUNTIF($A:$A,$A236)&gt;1,"مكرر",""))</f>
        <v/>
      </c>
      <c r="I236" s="32">
        <f>IF($H236="مكرر","مكرر","")</f>
        <v/>
      </c>
    </row>
    <row r="237">
      <c r="A237" s="32">
        <f>IF(Supplier_Invoices!$A5="","",Supplier_Invoices!$A5)</f>
        <v/>
      </c>
      <c r="B237" s="32">
        <f>IF($A237="","","SINV")</f>
        <v/>
      </c>
      <c r="C237" s="33">
        <f>IF($A237="","",Supplier_Invoices!$E5)</f>
        <v/>
      </c>
      <c r="D237" s="32">
        <f>IF($A237="","",Supplier_Invoices!$H5)</f>
        <v/>
      </c>
      <c r="E237" s="43">
        <f>IF($A237="","",Supplier_Invoices!$W5)</f>
        <v/>
      </c>
      <c r="F237" s="32">
        <f>IF($A237="","",Supplier_Invoices!$O5)</f>
        <v/>
      </c>
      <c r="G237" s="32">
        <f>IF($A237="","","Supplier_Invoices")</f>
        <v/>
      </c>
      <c r="H237" s="44">
        <f>IF($A237="","",IF(COUNTIF($A:$A,$A237)&gt;1,"مكرر",""))</f>
        <v/>
      </c>
      <c r="I237" s="32">
        <f>IF($H237="مكرر","مكرر","")</f>
        <v/>
      </c>
    </row>
    <row r="238">
      <c r="A238" s="32">
        <f>IF(Supplier_Invoices!$A6="","",Supplier_Invoices!$A6)</f>
        <v/>
      </c>
      <c r="B238" s="32">
        <f>IF($A238="","","SINV")</f>
        <v/>
      </c>
      <c r="C238" s="33">
        <f>IF($A238="","",Supplier_Invoices!$E6)</f>
        <v/>
      </c>
      <c r="D238" s="32">
        <f>IF($A238="","",Supplier_Invoices!$H6)</f>
        <v/>
      </c>
      <c r="E238" s="43">
        <f>IF($A238="","",Supplier_Invoices!$W6)</f>
        <v/>
      </c>
      <c r="F238" s="32">
        <f>IF($A238="","",Supplier_Invoices!$O6)</f>
        <v/>
      </c>
      <c r="G238" s="32">
        <f>IF($A238="","","Supplier_Invoices")</f>
        <v/>
      </c>
      <c r="H238" s="44">
        <f>IF($A238="","",IF(COUNTIF($A:$A,$A238)&gt;1,"مكرر",""))</f>
        <v/>
      </c>
      <c r="I238" s="32">
        <f>IF($H238="مكرر","مكرر","")</f>
        <v/>
      </c>
    </row>
    <row r="239">
      <c r="A239" s="32">
        <f>IF(Supplier_Invoices!$A7="","",Supplier_Invoices!$A7)</f>
        <v/>
      </c>
      <c r="B239" s="32">
        <f>IF($A239="","","SINV")</f>
        <v/>
      </c>
      <c r="C239" s="33">
        <f>IF($A239="","",Supplier_Invoices!$E7)</f>
        <v/>
      </c>
      <c r="D239" s="32">
        <f>IF($A239="","",Supplier_Invoices!$H7)</f>
        <v/>
      </c>
      <c r="E239" s="43">
        <f>IF($A239="","",Supplier_Invoices!$W7)</f>
        <v/>
      </c>
      <c r="F239" s="32">
        <f>IF($A239="","",Supplier_Invoices!$O7)</f>
        <v/>
      </c>
      <c r="G239" s="32">
        <f>IF($A239="","","Supplier_Invoices")</f>
        <v/>
      </c>
      <c r="H239" s="44">
        <f>IF($A239="","",IF(COUNTIF($A:$A,$A239)&gt;1,"مكرر",""))</f>
        <v/>
      </c>
      <c r="I239" s="32">
        <f>IF($H239="مكرر","مكرر","")</f>
        <v/>
      </c>
    </row>
    <row r="240">
      <c r="A240" s="32">
        <f>IF(Supplier_Invoices!$A8="","",Supplier_Invoices!$A8)</f>
        <v/>
      </c>
      <c r="B240" s="32">
        <f>IF($A240="","","SINV")</f>
        <v/>
      </c>
      <c r="C240" s="33">
        <f>IF($A240="","",Supplier_Invoices!$E8)</f>
        <v/>
      </c>
      <c r="D240" s="32">
        <f>IF($A240="","",Supplier_Invoices!$H8)</f>
        <v/>
      </c>
      <c r="E240" s="43">
        <f>IF($A240="","",Supplier_Invoices!$W8)</f>
        <v/>
      </c>
      <c r="F240" s="32">
        <f>IF($A240="","",Supplier_Invoices!$O8)</f>
        <v/>
      </c>
      <c r="G240" s="32">
        <f>IF($A240="","","Supplier_Invoices")</f>
        <v/>
      </c>
      <c r="H240" s="44">
        <f>IF($A240="","",IF(COUNTIF($A:$A,$A240)&gt;1,"مكرر",""))</f>
        <v/>
      </c>
      <c r="I240" s="32">
        <f>IF($H240="مكرر","مكرر","")</f>
        <v/>
      </c>
    </row>
    <row r="241">
      <c r="A241" s="32">
        <f>IF(Supplier_Invoices!$A9="","",Supplier_Invoices!$A9)</f>
        <v/>
      </c>
      <c r="B241" s="32">
        <f>IF($A241="","","SINV")</f>
        <v/>
      </c>
      <c r="C241" s="33">
        <f>IF($A241="","",Supplier_Invoices!$E9)</f>
        <v/>
      </c>
      <c r="D241" s="32">
        <f>IF($A241="","",Supplier_Invoices!$H9)</f>
        <v/>
      </c>
      <c r="E241" s="43">
        <f>IF($A241="","",Supplier_Invoices!$W9)</f>
        <v/>
      </c>
      <c r="F241" s="32">
        <f>IF($A241="","",Supplier_Invoices!$O9)</f>
        <v/>
      </c>
      <c r="G241" s="32">
        <f>IF($A241="","","Supplier_Invoices")</f>
        <v/>
      </c>
      <c r="H241" s="44">
        <f>IF($A241="","",IF(COUNTIF($A:$A,$A241)&gt;1,"مكرر",""))</f>
        <v/>
      </c>
      <c r="I241" s="32">
        <f>IF($H241="مكرر","مكرر","")</f>
        <v/>
      </c>
    </row>
    <row r="242">
      <c r="A242" s="32">
        <f>IF(Supplier_Invoices!$A10="","",Supplier_Invoices!$A10)</f>
        <v/>
      </c>
      <c r="B242" s="32">
        <f>IF($A242="","","SINV")</f>
        <v/>
      </c>
      <c r="C242" s="33">
        <f>IF($A242="","",Supplier_Invoices!$E10)</f>
        <v/>
      </c>
      <c r="D242" s="32">
        <f>IF($A242="","",Supplier_Invoices!$H10)</f>
        <v/>
      </c>
      <c r="E242" s="43">
        <f>IF($A242="","",Supplier_Invoices!$W10)</f>
        <v/>
      </c>
      <c r="F242" s="32">
        <f>IF($A242="","",Supplier_Invoices!$O10)</f>
        <v/>
      </c>
      <c r="G242" s="32">
        <f>IF($A242="","","Supplier_Invoices")</f>
        <v/>
      </c>
      <c r="H242" s="44">
        <f>IF($A242="","",IF(COUNTIF($A:$A,$A242)&gt;1,"مكرر",""))</f>
        <v/>
      </c>
      <c r="I242" s="32">
        <f>IF($H242="مكرر","مكرر","")</f>
        <v/>
      </c>
    </row>
    <row r="243">
      <c r="A243" s="32">
        <f>IF(Supplier_Invoices!$A11="","",Supplier_Invoices!$A11)</f>
        <v/>
      </c>
      <c r="B243" s="32">
        <f>IF($A243="","","SINV")</f>
        <v/>
      </c>
      <c r="C243" s="33">
        <f>IF($A243="","",Supplier_Invoices!$E11)</f>
        <v/>
      </c>
      <c r="D243" s="32">
        <f>IF($A243="","",Supplier_Invoices!$H11)</f>
        <v/>
      </c>
      <c r="E243" s="43">
        <f>IF($A243="","",Supplier_Invoices!$W11)</f>
        <v/>
      </c>
      <c r="F243" s="32">
        <f>IF($A243="","",Supplier_Invoices!$O11)</f>
        <v/>
      </c>
      <c r="G243" s="32">
        <f>IF($A243="","","Supplier_Invoices")</f>
        <v/>
      </c>
      <c r="H243" s="44">
        <f>IF($A243="","",IF(COUNTIF($A:$A,$A243)&gt;1,"مكرر",""))</f>
        <v/>
      </c>
      <c r="I243" s="32">
        <f>IF($H243="مكرر","مكرر","")</f>
        <v/>
      </c>
    </row>
    <row r="244">
      <c r="A244" s="32">
        <f>IF(Supplier_Invoices!$A12="","",Supplier_Invoices!$A12)</f>
        <v/>
      </c>
      <c r="B244" s="32">
        <f>IF($A244="","","SINV")</f>
        <v/>
      </c>
      <c r="C244" s="33">
        <f>IF($A244="","",Supplier_Invoices!$E12)</f>
        <v/>
      </c>
      <c r="D244" s="32">
        <f>IF($A244="","",Supplier_Invoices!$H12)</f>
        <v/>
      </c>
      <c r="E244" s="43">
        <f>IF($A244="","",Supplier_Invoices!$W12)</f>
        <v/>
      </c>
      <c r="F244" s="32">
        <f>IF($A244="","",Supplier_Invoices!$O12)</f>
        <v/>
      </c>
      <c r="G244" s="32">
        <f>IF($A244="","","Supplier_Invoices")</f>
        <v/>
      </c>
      <c r="H244" s="44">
        <f>IF($A244="","",IF(COUNTIF($A:$A,$A244)&gt;1,"مكرر",""))</f>
        <v/>
      </c>
      <c r="I244" s="32">
        <f>IF($H244="مكرر","مكرر","")</f>
        <v/>
      </c>
    </row>
    <row r="245">
      <c r="A245" s="32">
        <f>IF(Supplier_Invoices!$A13="","",Supplier_Invoices!$A13)</f>
        <v/>
      </c>
      <c r="B245" s="32">
        <f>IF($A245="","","SINV")</f>
        <v/>
      </c>
      <c r="C245" s="33">
        <f>IF($A245="","",Supplier_Invoices!$E13)</f>
        <v/>
      </c>
      <c r="D245" s="32">
        <f>IF($A245="","",Supplier_Invoices!$H13)</f>
        <v/>
      </c>
      <c r="E245" s="43">
        <f>IF($A245="","",Supplier_Invoices!$W13)</f>
        <v/>
      </c>
      <c r="F245" s="32">
        <f>IF($A245="","",Supplier_Invoices!$O13)</f>
        <v/>
      </c>
      <c r="G245" s="32">
        <f>IF($A245="","","Supplier_Invoices")</f>
        <v/>
      </c>
      <c r="H245" s="44">
        <f>IF($A245="","",IF(COUNTIF($A:$A,$A245)&gt;1,"مكرر",""))</f>
        <v/>
      </c>
      <c r="I245" s="32">
        <f>IF($H245="مكرر","مكرر","")</f>
        <v/>
      </c>
    </row>
    <row r="246">
      <c r="A246" s="32">
        <f>IF(Supplier_Invoices!$A14="","",Supplier_Invoices!$A14)</f>
        <v/>
      </c>
      <c r="B246" s="32">
        <f>IF($A246="","","SINV")</f>
        <v/>
      </c>
      <c r="C246" s="33">
        <f>IF($A246="","",Supplier_Invoices!$E14)</f>
        <v/>
      </c>
      <c r="D246" s="32">
        <f>IF($A246="","",Supplier_Invoices!$H14)</f>
        <v/>
      </c>
      <c r="E246" s="43">
        <f>IF($A246="","",Supplier_Invoices!$W14)</f>
        <v/>
      </c>
      <c r="F246" s="32">
        <f>IF($A246="","",Supplier_Invoices!$O14)</f>
        <v/>
      </c>
      <c r="G246" s="32">
        <f>IF($A246="","","Supplier_Invoices")</f>
        <v/>
      </c>
      <c r="H246" s="44">
        <f>IF($A246="","",IF(COUNTIF($A:$A,$A246)&gt;1,"مكرر",""))</f>
        <v/>
      </c>
      <c r="I246" s="32">
        <f>IF($H246="مكرر","مكرر","")</f>
        <v/>
      </c>
    </row>
    <row r="247">
      <c r="A247" s="32">
        <f>IF(Supplier_Invoices!$A15="","",Supplier_Invoices!$A15)</f>
        <v/>
      </c>
      <c r="B247" s="32">
        <f>IF($A247="","","SINV")</f>
        <v/>
      </c>
      <c r="C247" s="33">
        <f>IF($A247="","",Supplier_Invoices!$E15)</f>
        <v/>
      </c>
      <c r="D247" s="32">
        <f>IF($A247="","",Supplier_Invoices!$H15)</f>
        <v/>
      </c>
      <c r="E247" s="43">
        <f>IF($A247="","",Supplier_Invoices!$W15)</f>
        <v/>
      </c>
      <c r="F247" s="32">
        <f>IF($A247="","",Supplier_Invoices!$O15)</f>
        <v/>
      </c>
      <c r="G247" s="32">
        <f>IF($A247="","","Supplier_Invoices")</f>
        <v/>
      </c>
      <c r="H247" s="44">
        <f>IF($A247="","",IF(COUNTIF($A:$A,$A247)&gt;1,"مكرر",""))</f>
        <v/>
      </c>
      <c r="I247" s="32">
        <f>IF($H247="مكرر","مكرر","")</f>
        <v/>
      </c>
    </row>
    <row r="248">
      <c r="A248" s="32">
        <f>IF(Supplier_Invoices!$A16="","",Supplier_Invoices!$A16)</f>
        <v/>
      </c>
      <c r="B248" s="32">
        <f>IF($A248="","","SINV")</f>
        <v/>
      </c>
      <c r="C248" s="33">
        <f>IF($A248="","",Supplier_Invoices!$E16)</f>
        <v/>
      </c>
      <c r="D248" s="32">
        <f>IF($A248="","",Supplier_Invoices!$H16)</f>
        <v/>
      </c>
      <c r="E248" s="43">
        <f>IF($A248="","",Supplier_Invoices!$W16)</f>
        <v/>
      </c>
      <c r="F248" s="32">
        <f>IF($A248="","",Supplier_Invoices!$O16)</f>
        <v/>
      </c>
      <c r="G248" s="32">
        <f>IF($A248="","","Supplier_Invoices")</f>
        <v/>
      </c>
      <c r="H248" s="44">
        <f>IF($A248="","",IF(COUNTIF($A:$A,$A248)&gt;1,"مكرر",""))</f>
        <v/>
      </c>
      <c r="I248" s="32">
        <f>IF($H248="مكرر","مكرر","")</f>
        <v/>
      </c>
    </row>
    <row r="249">
      <c r="A249" s="32">
        <f>IF(Supplier_Invoices!$A17="","",Supplier_Invoices!$A17)</f>
        <v/>
      </c>
      <c r="B249" s="32">
        <f>IF($A249="","","SINV")</f>
        <v/>
      </c>
      <c r="C249" s="33">
        <f>IF($A249="","",Supplier_Invoices!$E17)</f>
        <v/>
      </c>
      <c r="D249" s="32">
        <f>IF($A249="","",Supplier_Invoices!$H17)</f>
        <v/>
      </c>
      <c r="E249" s="43">
        <f>IF($A249="","",Supplier_Invoices!$W17)</f>
        <v/>
      </c>
      <c r="F249" s="32">
        <f>IF($A249="","",Supplier_Invoices!$O17)</f>
        <v/>
      </c>
      <c r="G249" s="32">
        <f>IF($A249="","","Supplier_Invoices")</f>
        <v/>
      </c>
      <c r="H249" s="44">
        <f>IF($A249="","",IF(COUNTIF($A:$A,$A249)&gt;1,"مكرر",""))</f>
        <v/>
      </c>
      <c r="I249" s="32">
        <f>IF($H249="مكرر","مكرر","")</f>
        <v/>
      </c>
    </row>
    <row r="250">
      <c r="A250" s="32">
        <f>IF(Supplier_Invoices!$A18="","",Supplier_Invoices!$A18)</f>
        <v/>
      </c>
      <c r="B250" s="32">
        <f>IF($A250="","","SINV")</f>
        <v/>
      </c>
      <c r="C250" s="33">
        <f>IF($A250="","",Supplier_Invoices!$E18)</f>
        <v/>
      </c>
      <c r="D250" s="32">
        <f>IF($A250="","",Supplier_Invoices!$H18)</f>
        <v/>
      </c>
      <c r="E250" s="43">
        <f>IF($A250="","",Supplier_Invoices!$W18)</f>
        <v/>
      </c>
      <c r="F250" s="32">
        <f>IF($A250="","",Supplier_Invoices!$O18)</f>
        <v/>
      </c>
      <c r="G250" s="32">
        <f>IF($A250="","","Supplier_Invoices")</f>
        <v/>
      </c>
      <c r="H250" s="44">
        <f>IF($A250="","",IF(COUNTIF($A:$A,$A250)&gt;1,"مكرر",""))</f>
        <v/>
      </c>
      <c r="I250" s="32">
        <f>IF($H250="مكرر","مكرر","")</f>
        <v/>
      </c>
    </row>
    <row r="251">
      <c r="A251" s="32">
        <f>IF(Supplier_Invoices!$A19="","",Supplier_Invoices!$A19)</f>
        <v/>
      </c>
      <c r="B251" s="32">
        <f>IF($A251="","","SINV")</f>
        <v/>
      </c>
      <c r="C251" s="33">
        <f>IF($A251="","",Supplier_Invoices!$E19)</f>
        <v/>
      </c>
      <c r="D251" s="32">
        <f>IF($A251="","",Supplier_Invoices!$H19)</f>
        <v/>
      </c>
      <c r="E251" s="43">
        <f>IF($A251="","",Supplier_Invoices!$W19)</f>
        <v/>
      </c>
      <c r="F251" s="32">
        <f>IF($A251="","",Supplier_Invoices!$O19)</f>
        <v/>
      </c>
      <c r="G251" s="32">
        <f>IF($A251="","","Supplier_Invoices")</f>
        <v/>
      </c>
      <c r="H251" s="44">
        <f>IF($A251="","",IF(COUNTIF($A:$A,$A251)&gt;1,"مكرر",""))</f>
        <v/>
      </c>
      <c r="I251" s="32">
        <f>IF($H251="مكرر","مكرر","")</f>
        <v/>
      </c>
    </row>
    <row r="252">
      <c r="A252" s="32">
        <f>IF(Supplier_Invoices!$A20="","",Supplier_Invoices!$A20)</f>
        <v/>
      </c>
      <c r="B252" s="32">
        <f>IF($A252="","","SINV")</f>
        <v/>
      </c>
      <c r="C252" s="33">
        <f>IF($A252="","",Supplier_Invoices!$E20)</f>
        <v/>
      </c>
      <c r="D252" s="32">
        <f>IF($A252="","",Supplier_Invoices!$H20)</f>
        <v/>
      </c>
      <c r="E252" s="43">
        <f>IF($A252="","",Supplier_Invoices!$W20)</f>
        <v/>
      </c>
      <c r="F252" s="32">
        <f>IF($A252="","",Supplier_Invoices!$O20)</f>
        <v/>
      </c>
      <c r="G252" s="32">
        <f>IF($A252="","","Supplier_Invoices")</f>
        <v/>
      </c>
      <c r="H252" s="44">
        <f>IF($A252="","",IF(COUNTIF($A:$A,$A252)&gt;1,"مكرر",""))</f>
        <v/>
      </c>
      <c r="I252" s="32">
        <f>IF($H252="مكرر","مكرر","")</f>
        <v/>
      </c>
    </row>
    <row r="253">
      <c r="A253" s="32">
        <f>IF(Supplier_Invoices!$A21="","",Supplier_Invoices!$A21)</f>
        <v/>
      </c>
      <c r="B253" s="32">
        <f>IF($A253="","","SINV")</f>
        <v/>
      </c>
      <c r="C253" s="33">
        <f>IF($A253="","",Supplier_Invoices!$E21)</f>
        <v/>
      </c>
      <c r="D253" s="32">
        <f>IF($A253="","",Supplier_Invoices!$H21)</f>
        <v/>
      </c>
      <c r="E253" s="43">
        <f>IF($A253="","",Supplier_Invoices!$W21)</f>
        <v/>
      </c>
      <c r="F253" s="32">
        <f>IF($A253="","",Supplier_Invoices!$O21)</f>
        <v/>
      </c>
      <c r="G253" s="32">
        <f>IF($A253="","","Supplier_Invoices")</f>
        <v/>
      </c>
      <c r="H253" s="44">
        <f>IF($A253="","",IF(COUNTIF($A:$A,$A253)&gt;1,"مكرر",""))</f>
        <v/>
      </c>
      <c r="I253" s="32">
        <f>IF($H253="مكرر","مكرر","")</f>
        <v/>
      </c>
    </row>
    <row r="254">
      <c r="A254" s="32">
        <f>IF(Supplier_Invoices!$A22="","",Supplier_Invoices!$A22)</f>
        <v/>
      </c>
      <c r="B254" s="32">
        <f>IF($A254="","","SINV")</f>
        <v/>
      </c>
      <c r="C254" s="33">
        <f>IF($A254="","",Supplier_Invoices!$E22)</f>
        <v/>
      </c>
      <c r="D254" s="32">
        <f>IF($A254="","",Supplier_Invoices!$H22)</f>
        <v/>
      </c>
      <c r="E254" s="43">
        <f>IF($A254="","",Supplier_Invoices!$W22)</f>
        <v/>
      </c>
      <c r="F254" s="32">
        <f>IF($A254="","",Supplier_Invoices!$O22)</f>
        <v/>
      </c>
      <c r="G254" s="32">
        <f>IF($A254="","","Supplier_Invoices")</f>
        <v/>
      </c>
      <c r="H254" s="44">
        <f>IF($A254="","",IF(COUNTIF($A:$A,$A254)&gt;1,"مكرر",""))</f>
        <v/>
      </c>
      <c r="I254" s="32">
        <f>IF($H254="مكرر","مكرر","")</f>
        <v/>
      </c>
    </row>
    <row r="255">
      <c r="A255" s="32">
        <f>IF(Supplier_Invoices!$A23="","",Supplier_Invoices!$A23)</f>
        <v/>
      </c>
      <c r="B255" s="32">
        <f>IF($A255="","","SINV")</f>
        <v/>
      </c>
      <c r="C255" s="33">
        <f>IF($A255="","",Supplier_Invoices!$E23)</f>
        <v/>
      </c>
      <c r="D255" s="32">
        <f>IF($A255="","",Supplier_Invoices!$H23)</f>
        <v/>
      </c>
      <c r="E255" s="43">
        <f>IF($A255="","",Supplier_Invoices!$W23)</f>
        <v/>
      </c>
      <c r="F255" s="32">
        <f>IF($A255="","",Supplier_Invoices!$O23)</f>
        <v/>
      </c>
      <c r="G255" s="32">
        <f>IF($A255="","","Supplier_Invoices")</f>
        <v/>
      </c>
      <c r="H255" s="44">
        <f>IF($A255="","",IF(COUNTIF($A:$A,$A255)&gt;1,"مكرر",""))</f>
        <v/>
      </c>
      <c r="I255" s="32">
        <f>IF($H255="مكرر","مكرر","")</f>
        <v/>
      </c>
    </row>
    <row r="256">
      <c r="A256" s="32">
        <f>IF(Supplier_Invoices!$A24="","",Supplier_Invoices!$A24)</f>
        <v/>
      </c>
      <c r="B256" s="32">
        <f>IF($A256="","","SINV")</f>
        <v/>
      </c>
      <c r="C256" s="33">
        <f>IF($A256="","",Supplier_Invoices!$E24)</f>
        <v/>
      </c>
      <c r="D256" s="32">
        <f>IF($A256="","",Supplier_Invoices!$H24)</f>
        <v/>
      </c>
      <c r="E256" s="43">
        <f>IF($A256="","",Supplier_Invoices!$W24)</f>
        <v/>
      </c>
      <c r="F256" s="32">
        <f>IF($A256="","",Supplier_Invoices!$O24)</f>
        <v/>
      </c>
      <c r="G256" s="32">
        <f>IF($A256="","","Supplier_Invoices")</f>
        <v/>
      </c>
      <c r="H256" s="44">
        <f>IF($A256="","",IF(COUNTIF($A:$A,$A256)&gt;1,"مكرر",""))</f>
        <v/>
      </c>
      <c r="I256" s="32">
        <f>IF($H256="مكرر","مكرر","")</f>
        <v/>
      </c>
    </row>
    <row r="257">
      <c r="A257" s="32">
        <f>IF(Supplier_Invoices!$A25="","",Supplier_Invoices!$A25)</f>
        <v/>
      </c>
      <c r="B257" s="32">
        <f>IF($A257="","","SINV")</f>
        <v/>
      </c>
      <c r="C257" s="33">
        <f>IF($A257="","",Supplier_Invoices!$E25)</f>
        <v/>
      </c>
      <c r="D257" s="32">
        <f>IF($A257="","",Supplier_Invoices!$H25)</f>
        <v/>
      </c>
      <c r="E257" s="43">
        <f>IF($A257="","",Supplier_Invoices!$W25)</f>
        <v/>
      </c>
      <c r="F257" s="32">
        <f>IF($A257="","",Supplier_Invoices!$O25)</f>
        <v/>
      </c>
      <c r="G257" s="32">
        <f>IF($A257="","","Supplier_Invoices")</f>
        <v/>
      </c>
      <c r="H257" s="44">
        <f>IF($A257="","",IF(COUNTIF($A:$A,$A257)&gt;1,"مكرر",""))</f>
        <v/>
      </c>
      <c r="I257" s="32">
        <f>IF($H257="مكرر","مكرر","")</f>
        <v/>
      </c>
    </row>
    <row r="258">
      <c r="A258" s="32">
        <f>IF(Supplier_Invoices!$A26="","",Supplier_Invoices!$A26)</f>
        <v/>
      </c>
      <c r="B258" s="32">
        <f>IF($A258="","","SINV")</f>
        <v/>
      </c>
      <c r="C258" s="33">
        <f>IF($A258="","",Supplier_Invoices!$E26)</f>
        <v/>
      </c>
      <c r="D258" s="32">
        <f>IF($A258="","",Supplier_Invoices!$H26)</f>
        <v/>
      </c>
      <c r="E258" s="43">
        <f>IF($A258="","",Supplier_Invoices!$W26)</f>
        <v/>
      </c>
      <c r="F258" s="32">
        <f>IF($A258="","",Supplier_Invoices!$O26)</f>
        <v/>
      </c>
      <c r="G258" s="32">
        <f>IF($A258="","","Supplier_Invoices")</f>
        <v/>
      </c>
      <c r="H258" s="44">
        <f>IF($A258="","",IF(COUNTIF($A:$A,$A258)&gt;1,"مكرر",""))</f>
        <v/>
      </c>
      <c r="I258" s="32">
        <f>IF($H258="مكرر","مكرر","")</f>
        <v/>
      </c>
    </row>
    <row r="259">
      <c r="A259" s="32">
        <f>IF(Supplier_Invoices!$A27="","",Supplier_Invoices!$A27)</f>
        <v/>
      </c>
      <c r="B259" s="32">
        <f>IF($A259="","","SINV")</f>
        <v/>
      </c>
      <c r="C259" s="33">
        <f>IF($A259="","",Supplier_Invoices!$E27)</f>
        <v/>
      </c>
      <c r="D259" s="32">
        <f>IF($A259="","",Supplier_Invoices!$H27)</f>
        <v/>
      </c>
      <c r="E259" s="43">
        <f>IF($A259="","",Supplier_Invoices!$W27)</f>
        <v/>
      </c>
      <c r="F259" s="32">
        <f>IF($A259="","",Supplier_Invoices!$O27)</f>
        <v/>
      </c>
      <c r="G259" s="32">
        <f>IF($A259="","","Supplier_Invoices")</f>
        <v/>
      </c>
      <c r="H259" s="44">
        <f>IF($A259="","",IF(COUNTIF($A:$A,$A259)&gt;1,"مكرر",""))</f>
        <v/>
      </c>
      <c r="I259" s="32">
        <f>IF($H259="مكرر","مكرر","")</f>
        <v/>
      </c>
    </row>
    <row r="260">
      <c r="A260" s="32">
        <f>IF(Supplier_Invoices!$A28="","",Supplier_Invoices!$A28)</f>
        <v/>
      </c>
      <c r="B260" s="32">
        <f>IF($A260="","","SINV")</f>
        <v/>
      </c>
      <c r="C260" s="33">
        <f>IF($A260="","",Supplier_Invoices!$E28)</f>
        <v/>
      </c>
      <c r="D260" s="32">
        <f>IF($A260="","",Supplier_Invoices!$H28)</f>
        <v/>
      </c>
      <c r="E260" s="43">
        <f>IF($A260="","",Supplier_Invoices!$W28)</f>
        <v/>
      </c>
      <c r="F260" s="32">
        <f>IF($A260="","",Supplier_Invoices!$O28)</f>
        <v/>
      </c>
      <c r="G260" s="32">
        <f>IF($A260="","","Supplier_Invoices")</f>
        <v/>
      </c>
      <c r="H260" s="44">
        <f>IF($A260="","",IF(COUNTIF($A:$A,$A260)&gt;1,"مكرر",""))</f>
        <v/>
      </c>
      <c r="I260" s="32">
        <f>IF($H260="مكرر","مكرر","")</f>
        <v/>
      </c>
    </row>
    <row r="261">
      <c r="A261" s="32">
        <f>IF(Supplier_Invoices!$A29="","",Supplier_Invoices!$A29)</f>
        <v/>
      </c>
      <c r="B261" s="32">
        <f>IF($A261="","","SINV")</f>
        <v/>
      </c>
      <c r="C261" s="33">
        <f>IF($A261="","",Supplier_Invoices!$E29)</f>
        <v/>
      </c>
      <c r="D261" s="32">
        <f>IF($A261="","",Supplier_Invoices!$H29)</f>
        <v/>
      </c>
      <c r="E261" s="43">
        <f>IF($A261="","",Supplier_Invoices!$W29)</f>
        <v/>
      </c>
      <c r="F261" s="32">
        <f>IF($A261="","",Supplier_Invoices!$O29)</f>
        <v/>
      </c>
      <c r="G261" s="32">
        <f>IF($A261="","","Supplier_Invoices")</f>
        <v/>
      </c>
      <c r="H261" s="44">
        <f>IF($A261="","",IF(COUNTIF($A:$A,$A261)&gt;1,"مكرر",""))</f>
        <v/>
      </c>
      <c r="I261" s="32">
        <f>IF($H261="مكرر","مكرر","")</f>
        <v/>
      </c>
    </row>
    <row r="262">
      <c r="A262" s="32">
        <f>IF(Supplier_Invoices!$A30="","",Supplier_Invoices!$A30)</f>
        <v/>
      </c>
      <c r="B262" s="32">
        <f>IF($A262="","","SINV")</f>
        <v/>
      </c>
      <c r="C262" s="33">
        <f>IF($A262="","",Supplier_Invoices!$E30)</f>
        <v/>
      </c>
      <c r="D262" s="32">
        <f>IF($A262="","",Supplier_Invoices!$H30)</f>
        <v/>
      </c>
      <c r="E262" s="43">
        <f>IF($A262="","",Supplier_Invoices!$W30)</f>
        <v/>
      </c>
      <c r="F262" s="32">
        <f>IF($A262="","",Supplier_Invoices!$O30)</f>
        <v/>
      </c>
      <c r="G262" s="32">
        <f>IF($A262="","","Supplier_Invoices")</f>
        <v/>
      </c>
      <c r="H262" s="44">
        <f>IF($A262="","",IF(COUNTIF($A:$A,$A262)&gt;1,"مكرر",""))</f>
        <v/>
      </c>
      <c r="I262" s="32">
        <f>IF($H262="مكرر","مكرر","")</f>
        <v/>
      </c>
    </row>
    <row r="263">
      <c r="A263" s="32">
        <f>IF(Supplier_Invoices!$A31="","",Supplier_Invoices!$A31)</f>
        <v/>
      </c>
      <c r="B263" s="32">
        <f>IF($A263="","","SINV")</f>
        <v/>
      </c>
      <c r="C263" s="33">
        <f>IF($A263="","",Supplier_Invoices!$E31)</f>
        <v/>
      </c>
      <c r="D263" s="32">
        <f>IF($A263="","",Supplier_Invoices!$H31)</f>
        <v/>
      </c>
      <c r="E263" s="43">
        <f>IF($A263="","",Supplier_Invoices!$W31)</f>
        <v/>
      </c>
      <c r="F263" s="32">
        <f>IF($A263="","",Supplier_Invoices!$O31)</f>
        <v/>
      </c>
      <c r="G263" s="32">
        <f>IF($A263="","","Supplier_Invoices")</f>
        <v/>
      </c>
      <c r="H263" s="44">
        <f>IF($A263="","",IF(COUNTIF($A:$A,$A263)&gt;1,"مكرر",""))</f>
        <v/>
      </c>
      <c r="I263" s="32">
        <f>IF($H263="مكرر","مكرر","")</f>
        <v/>
      </c>
    </row>
    <row r="264">
      <c r="A264" s="32">
        <f>IF(Supplier_Invoices!$A32="","",Supplier_Invoices!$A32)</f>
        <v/>
      </c>
      <c r="B264" s="32">
        <f>IF($A264="","","SINV")</f>
        <v/>
      </c>
      <c r="C264" s="33">
        <f>IF($A264="","",Supplier_Invoices!$E32)</f>
        <v/>
      </c>
      <c r="D264" s="32">
        <f>IF($A264="","",Supplier_Invoices!$H32)</f>
        <v/>
      </c>
      <c r="E264" s="43">
        <f>IF($A264="","",Supplier_Invoices!$W32)</f>
        <v/>
      </c>
      <c r="F264" s="32">
        <f>IF($A264="","",Supplier_Invoices!$O32)</f>
        <v/>
      </c>
      <c r="G264" s="32">
        <f>IF($A264="","","Supplier_Invoices")</f>
        <v/>
      </c>
      <c r="H264" s="44">
        <f>IF($A264="","",IF(COUNTIF($A:$A,$A264)&gt;1,"مكرر",""))</f>
        <v/>
      </c>
      <c r="I264" s="32">
        <f>IF($H264="مكرر","مكرر","")</f>
        <v/>
      </c>
    </row>
    <row r="265">
      <c r="A265" s="32">
        <f>IF(Supplier_Invoices!$A33="","",Supplier_Invoices!$A33)</f>
        <v/>
      </c>
      <c r="B265" s="32">
        <f>IF($A265="","","SINV")</f>
        <v/>
      </c>
      <c r="C265" s="33">
        <f>IF($A265="","",Supplier_Invoices!$E33)</f>
        <v/>
      </c>
      <c r="D265" s="32">
        <f>IF($A265="","",Supplier_Invoices!$H33)</f>
        <v/>
      </c>
      <c r="E265" s="43">
        <f>IF($A265="","",Supplier_Invoices!$W33)</f>
        <v/>
      </c>
      <c r="F265" s="32">
        <f>IF($A265="","",Supplier_Invoices!$O33)</f>
        <v/>
      </c>
      <c r="G265" s="32">
        <f>IF($A265="","","Supplier_Invoices")</f>
        <v/>
      </c>
      <c r="H265" s="44">
        <f>IF($A265="","",IF(COUNTIF($A:$A,$A265)&gt;1,"مكرر",""))</f>
        <v/>
      </c>
      <c r="I265" s="32">
        <f>IF($H265="مكرر","مكرر","")</f>
        <v/>
      </c>
    </row>
    <row r="266">
      <c r="A266" s="32">
        <f>IF(Supplier_Invoices!$A34="","",Supplier_Invoices!$A34)</f>
        <v/>
      </c>
      <c r="B266" s="32">
        <f>IF($A266="","","SINV")</f>
        <v/>
      </c>
      <c r="C266" s="33">
        <f>IF($A266="","",Supplier_Invoices!$E34)</f>
        <v/>
      </c>
      <c r="D266" s="32">
        <f>IF($A266="","",Supplier_Invoices!$H34)</f>
        <v/>
      </c>
      <c r="E266" s="43">
        <f>IF($A266="","",Supplier_Invoices!$W34)</f>
        <v/>
      </c>
      <c r="F266" s="32">
        <f>IF($A266="","",Supplier_Invoices!$O34)</f>
        <v/>
      </c>
      <c r="G266" s="32">
        <f>IF($A266="","","Supplier_Invoices")</f>
        <v/>
      </c>
      <c r="H266" s="44">
        <f>IF($A266="","",IF(COUNTIF($A:$A,$A266)&gt;1,"مكرر",""))</f>
        <v/>
      </c>
      <c r="I266" s="32">
        <f>IF($H266="مكرر","مكرر","")</f>
        <v/>
      </c>
    </row>
    <row r="267">
      <c r="A267" s="32">
        <f>IF(Supplier_Invoices!$A35="","",Supplier_Invoices!$A35)</f>
        <v/>
      </c>
      <c r="B267" s="32">
        <f>IF($A267="","","SINV")</f>
        <v/>
      </c>
      <c r="C267" s="33">
        <f>IF($A267="","",Supplier_Invoices!$E35)</f>
        <v/>
      </c>
      <c r="D267" s="32">
        <f>IF($A267="","",Supplier_Invoices!$H35)</f>
        <v/>
      </c>
      <c r="E267" s="43">
        <f>IF($A267="","",Supplier_Invoices!$W35)</f>
        <v/>
      </c>
      <c r="F267" s="32">
        <f>IF($A267="","",Supplier_Invoices!$O35)</f>
        <v/>
      </c>
      <c r="G267" s="32">
        <f>IF($A267="","","Supplier_Invoices")</f>
        <v/>
      </c>
      <c r="H267" s="44">
        <f>IF($A267="","",IF(COUNTIF($A:$A,$A267)&gt;1,"مكرر",""))</f>
        <v/>
      </c>
      <c r="I267" s="32">
        <f>IF($H267="مكرر","مكرر","")</f>
        <v/>
      </c>
    </row>
    <row r="268">
      <c r="A268" s="32">
        <f>IF(Supplier_Invoices!$A36="","",Supplier_Invoices!$A36)</f>
        <v/>
      </c>
      <c r="B268" s="32">
        <f>IF($A268="","","SINV")</f>
        <v/>
      </c>
      <c r="C268" s="33">
        <f>IF($A268="","",Supplier_Invoices!$E36)</f>
        <v/>
      </c>
      <c r="D268" s="32">
        <f>IF($A268="","",Supplier_Invoices!$H36)</f>
        <v/>
      </c>
      <c r="E268" s="43">
        <f>IF($A268="","",Supplier_Invoices!$W36)</f>
        <v/>
      </c>
      <c r="F268" s="32">
        <f>IF($A268="","",Supplier_Invoices!$O36)</f>
        <v/>
      </c>
      <c r="G268" s="32">
        <f>IF($A268="","","Supplier_Invoices")</f>
        <v/>
      </c>
      <c r="H268" s="44">
        <f>IF($A268="","",IF(COUNTIF($A:$A,$A268)&gt;1,"مكرر",""))</f>
        <v/>
      </c>
      <c r="I268" s="32">
        <f>IF($H268="مكرر","مكرر","")</f>
        <v/>
      </c>
    </row>
    <row r="269">
      <c r="A269" s="32">
        <f>IF(Supplier_Invoices!$A37="","",Supplier_Invoices!$A37)</f>
        <v/>
      </c>
      <c r="B269" s="32">
        <f>IF($A269="","","SINV")</f>
        <v/>
      </c>
      <c r="C269" s="33">
        <f>IF($A269="","",Supplier_Invoices!$E37)</f>
        <v/>
      </c>
      <c r="D269" s="32">
        <f>IF($A269="","",Supplier_Invoices!$H37)</f>
        <v/>
      </c>
      <c r="E269" s="43">
        <f>IF($A269="","",Supplier_Invoices!$W37)</f>
        <v/>
      </c>
      <c r="F269" s="32">
        <f>IF($A269="","",Supplier_Invoices!$O37)</f>
        <v/>
      </c>
      <c r="G269" s="32">
        <f>IF($A269="","","Supplier_Invoices")</f>
        <v/>
      </c>
      <c r="H269" s="44">
        <f>IF($A269="","",IF(COUNTIF($A:$A,$A269)&gt;1,"مكرر",""))</f>
        <v/>
      </c>
      <c r="I269" s="32">
        <f>IF($H269="مكرر","مكرر","")</f>
        <v/>
      </c>
    </row>
    <row r="270">
      <c r="A270" s="32">
        <f>IF(Supplier_Invoices!$A38="","",Supplier_Invoices!$A38)</f>
        <v/>
      </c>
      <c r="B270" s="32">
        <f>IF($A270="","","SINV")</f>
        <v/>
      </c>
      <c r="C270" s="33">
        <f>IF($A270="","",Supplier_Invoices!$E38)</f>
        <v/>
      </c>
      <c r="D270" s="32">
        <f>IF($A270="","",Supplier_Invoices!$H38)</f>
        <v/>
      </c>
      <c r="E270" s="43">
        <f>IF($A270="","",Supplier_Invoices!$W38)</f>
        <v/>
      </c>
      <c r="F270" s="32">
        <f>IF($A270="","",Supplier_Invoices!$O38)</f>
        <v/>
      </c>
      <c r="G270" s="32">
        <f>IF($A270="","","Supplier_Invoices")</f>
        <v/>
      </c>
      <c r="H270" s="44">
        <f>IF($A270="","",IF(COUNTIF($A:$A,$A270)&gt;1,"مكرر",""))</f>
        <v/>
      </c>
      <c r="I270" s="32">
        <f>IF($H270="مكرر","مكرر","")</f>
        <v/>
      </c>
    </row>
    <row r="271">
      <c r="A271" s="32">
        <f>IF(Supplier_Invoices!$A39="","",Supplier_Invoices!$A39)</f>
        <v/>
      </c>
      <c r="B271" s="32">
        <f>IF($A271="","","SINV")</f>
        <v/>
      </c>
      <c r="C271" s="33">
        <f>IF($A271="","",Supplier_Invoices!$E39)</f>
        <v/>
      </c>
      <c r="D271" s="32">
        <f>IF($A271="","",Supplier_Invoices!$H39)</f>
        <v/>
      </c>
      <c r="E271" s="43">
        <f>IF($A271="","",Supplier_Invoices!$W39)</f>
        <v/>
      </c>
      <c r="F271" s="32">
        <f>IF($A271="","",Supplier_Invoices!$O39)</f>
        <v/>
      </c>
      <c r="G271" s="32">
        <f>IF($A271="","","Supplier_Invoices")</f>
        <v/>
      </c>
      <c r="H271" s="44">
        <f>IF($A271="","",IF(COUNTIF($A:$A,$A271)&gt;1,"مكرر",""))</f>
        <v/>
      </c>
      <c r="I271" s="32">
        <f>IF($H271="مكرر","مكرر","")</f>
        <v/>
      </c>
    </row>
    <row r="272">
      <c r="A272" s="32">
        <f>IF(Supplier_Invoices!$A40="","",Supplier_Invoices!$A40)</f>
        <v/>
      </c>
      <c r="B272" s="32">
        <f>IF($A272="","","SINV")</f>
        <v/>
      </c>
      <c r="C272" s="33">
        <f>IF($A272="","",Supplier_Invoices!$E40)</f>
        <v/>
      </c>
      <c r="D272" s="32">
        <f>IF($A272="","",Supplier_Invoices!$H40)</f>
        <v/>
      </c>
      <c r="E272" s="43">
        <f>IF($A272="","",Supplier_Invoices!$W40)</f>
        <v/>
      </c>
      <c r="F272" s="32">
        <f>IF($A272="","",Supplier_Invoices!$O40)</f>
        <v/>
      </c>
      <c r="G272" s="32">
        <f>IF($A272="","","Supplier_Invoices")</f>
        <v/>
      </c>
      <c r="H272" s="44">
        <f>IF($A272="","",IF(COUNTIF($A:$A,$A272)&gt;1,"مكرر",""))</f>
        <v/>
      </c>
      <c r="I272" s="32">
        <f>IF($H272="مكرر","مكرر","")</f>
        <v/>
      </c>
    </row>
    <row r="273">
      <c r="A273" s="32">
        <f>IF(Supplier_Invoices!$A41="","",Supplier_Invoices!$A41)</f>
        <v/>
      </c>
      <c r="B273" s="32">
        <f>IF($A273="","","SINV")</f>
        <v/>
      </c>
      <c r="C273" s="33">
        <f>IF($A273="","",Supplier_Invoices!$E41)</f>
        <v/>
      </c>
      <c r="D273" s="32">
        <f>IF($A273="","",Supplier_Invoices!$H41)</f>
        <v/>
      </c>
      <c r="E273" s="43">
        <f>IF($A273="","",Supplier_Invoices!$W41)</f>
        <v/>
      </c>
      <c r="F273" s="32">
        <f>IF($A273="","",Supplier_Invoices!$O41)</f>
        <v/>
      </c>
      <c r="G273" s="32">
        <f>IF($A273="","","Supplier_Invoices")</f>
        <v/>
      </c>
      <c r="H273" s="44">
        <f>IF($A273="","",IF(COUNTIF($A:$A,$A273)&gt;1,"مكرر",""))</f>
        <v/>
      </c>
      <c r="I273" s="32">
        <f>IF($H273="مكرر","مكرر","")</f>
        <v/>
      </c>
    </row>
    <row r="274">
      <c r="A274" s="32">
        <f>IF(Supplier_Invoices!$A42="","",Supplier_Invoices!$A42)</f>
        <v/>
      </c>
      <c r="B274" s="32">
        <f>IF($A274="","","SINV")</f>
        <v/>
      </c>
      <c r="C274" s="33">
        <f>IF($A274="","",Supplier_Invoices!$E42)</f>
        <v/>
      </c>
      <c r="D274" s="32">
        <f>IF($A274="","",Supplier_Invoices!$H42)</f>
        <v/>
      </c>
      <c r="E274" s="43">
        <f>IF($A274="","",Supplier_Invoices!$W42)</f>
        <v/>
      </c>
      <c r="F274" s="32">
        <f>IF($A274="","",Supplier_Invoices!$O42)</f>
        <v/>
      </c>
      <c r="G274" s="32">
        <f>IF($A274="","","Supplier_Invoices")</f>
        <v/>
      </c>
      <c r="H274" s="44">
        <f>IF($A274="","",IF(COUNTIF($A:$A,$A274)&gt;1,"مكرر",""))</f>
        <v/>
      </c>
      <c r="I274" s="32">
        <f>IF($H274="مكرر","مكرر","")</f>
        <v/>
      </c>
    </row>
    <row r="275">
      <c r="A275" s="32">
        <f>IF(Supplier_Invoices!$A43="","",Supplier_Invoices!$A43)</f>
        <v/>
      </c>
      <c r="B275" s="32">
        <f>IF($A275="","","SINV")</f>
        <v/>
      </c>
      <c r="C275" s="33">
        <f>IF($A275="","",Supplier_Invoices!$E43)</f>
        <v/>
      </c>
      <c r="D275" s="32">
        <f>IF($A275="","",Supplier_Invoices!$H43)</f>
        <v/>
      </c>
      <c r="E275" s="43">
        <f>IF($A275="","",Supplier_Invoices!$W43)</f>
        <v/>
      </c>
      <c r="F275" s="32">
        <f>IF($A275="","",Supplier_Invoices!$O43)</f>
        <v/>
      </c>
      <c r="G275" s="32">
        <f>IF($A275="","","Supplier_Invoices")</f>
        <v/>
      </c>
      <c r="H275" s="44">
        <f>IF($A275="","",IF(COUNTIF($A:$A,$A275)&gt;1,"مكرر",""))</f>
        <v/>
      </c>
      <c r="I275" s="32">
        <f>IF($H275="مكرر","مكرر","")</f>
        <v/>
      </c>
    </row>
    <row r="276">
      <c r="A276" s="32">
        <f>IF(Supplier_Invoices!$A44="","",Supplier_Invoices!$A44)</f>
        <v/>
      </c>
      <c r="B276" s="32">
        <f>IF($A276="","","SINV")</f>
        <v/>
      </c>
      <c r="C276" s="33">
        <f>IF($A276="","",Supplier_Invoices!$E44)</f>
        <v/>
      </c>
      <c r="D276" s="32">
        <f>IF($A276="","",Supplier_Invoices!$H44)</f>
        <v/>
      </c>
      <c r="E276" s="43">
        <f>IF($A276="","",Supplier_Invoices!$W44)</f>
        <v/>
      </c>
      <c r="F276" s="32">
        <f>IF($A276="","",Supplier_Invoices!$O44)</f>
        <v/>
      </c>
      <c r="G276" s="32">
        <f>IF($A276="","","Supplier_Invoices")</f>
        <v/>
      </c>
      <c r="H276" s="44">
        <f>IF($A276="","",IF(COUNTIF($A:$A,$A276)&gt;1,"مكرر",""))</f>
        <v/>
      </c>
      <c r="I276" s="32">
        <f>IF($H276="مكرر","مكرر","")</f>
        <v/>
      </c>
    </row>
    <row r="277">
      <c r="A277" s="32">
        <f>IF(Supplier_Invoices!$A45="","",Supplier_Invoices!$A45)</f>
        <v/>
      </c>
      <c r="B277" s="32">
        <f>IF($A277="","","SINV")</f>
        <v/>
      </c>
      <c r="C277" s="33">
        <f>IF($A277="","",Supplier_Invoices!$E45)</f>
        <v/>
      </c>
      <c r="D277" s="32">
        <f>IF($A277="","",Supplier_Invoices!$H45)</f>
        <v/>
      </c>
      <c r="E277" s="43">
        <f>IF($A277="","",Supplier_Invoices!$W45)</f>
        <v/>
      </c>
      <c r="F277" s="32">
        <f>IF($A277="","",Supplier_Invoices!$O45)</f>
        <v/>
      </c>
      <c r="G277" s="32">
        <f>IF($A277="","","Supplier_Invoices")</f>
        <v/>
      </c>
      <c r="H277" s="44">
        <f>IF($A277="","",IF(COUNTIF($A:$A,$A277)&gt;1,"مكرر",""))</f>
        <v/>
      </c>
      <c r="I277" s="32">
        <f>IF($H277="مكرر","مكرر","")</f>
        <v/>
      </c>
    </row>
    <row r="278">
      <c r="A278" s="32">
        <f>IF(Supplier_Invoices!$A46="","",Supplier_Invoices!$A46)</f>
        <v/>
      </c>
      <c r="B278" s="32">
        <f>IF($A278="","","SINV")</f>
        <v/>
      </c>
      <c r="C278" s="33">
        <f>IF($A278="","",Supplier_Invoices!$E46)</f>
        <v/>
      </c>
      <c r="D278" s="32">
        <f>IF($A278="","",Supplier_Invoices!$H46)</f>
        <v/>
      </c>
      <c r="E278" s="43">
        <f>IF($A278="","",Supplier_Invoices!$W46)</f>
        <v/>
      </c>
      <c r="F278" s="32">
        <f>IF($A278="","",Supplier_Invoices!$O46)</f>
        <v/>
      </c>
      <c r="G278" s="32">
        <f>IF($A278="","","Supplier_Invoices")</f>
        <v/>
      </c>
      <c r="H278" s="44">
        <f>IF($A278="","",IF(COUNTIF($A:$A,$A278)&gt;1,"مكرر",""))</f>
        <v/>
      </c>
      <c r="I278" s="32">
        <f>IF($H278="مكرر","مكرر","")</f>
        <v/>
      </c>
    </row>
    <row r="279">
      <c r="A279" s="32">
        <f>IF(Supplier_Invoices!$A47="","",Supplier_Invoices!$A47)</f>
        <v/>
      </c>
      <c r="B279" s="32">
        <f>IF($A279="","","SINV")</f>
        <v/>
      </c>
      <c r="C279" s="33">
        <f>IF($A279="","",Supplier_Invoices!$E47)</f>
        <v/>
      </c>
      <c r="D279" s="32">
        <f>IF($A279="","",Supplier_Invoices!$H47)</f>
        <v/>
      </c>
      <c r="E279" s="43">
        <f>IF($A279="","",Supplier_Invoices!$W47)</f>
        <v/>
      </c>
      <c r="F279" s="32">
        <f>IF($A279="","",Supplier_Invoices!$O47)</f>
        <v/>
      </c>
      <c r="G279" s="32">
        <f>IF($A279="","","Supplier_Invoices")</f>
        <v/>
      </c>
      <c r="H279" s="44">
        <f>IF($A279="","",IF(COUNTIF($A:$A,$A279)&gt;1,"مكرر",""))</f>
        <v/>
      </c>
      <c r="I279" s="32">
        <f>IF($H279="مكرر","مكرر","")</f>
        <v/>
      </c>
    </row>
    <row r="280">
      <c r="A280" s="32">
        <f>IF(Supplier_Invoices!$A48="","",Supplier_Invoices!$A48)</f>
        <v/>
      </c>
      <c r="B280" s="32">
        <f>IF($A280="","","SINV")</f>
        <v/>
      </c>
      <c r="C280" s="33">
        <f>IF($A280="","",Supplier_Invoices!$E48)</f>
        <v/>
      </c>
      <c r="D280" s="32">
        <f>IF($A280="","",Supplier_Invoices!$H48)</f>
        <v/>
      </c>
      <c r="E280" s="43">
        <f>IF($A280="","",Supplier_Invoices!$W48)</f>
        <v/>
      </c>
      <c r="F280" s="32">
        <f>IF($A280="","",Supplier_Invoices!$O48)</f>
        <v/>
      </c>
      <c r="G280" s="32">
        <f>IF($A280="","","Supplier_Invoices")</f>
        <v/>
      </c>
      <c r="H280" s="44">
        <f>IF($A280="","",IF(COUNTIF($A:$A,$A280)&gt;1,"مكرر",""))</f>
        <v/>
      </c>
      <c r="I280" s="32">
        <f>IF($H280="مكرر","مكرر","")</f>
        <v/>
      </c>
    </row>
    <row r="281">
      <c r="A281" s="32">
        <f>IF(Supplier_Invoices!$A49="","",Supplier_Invoices!$A49)</f>
        <v/>
      </c>
      <c r="B281" s="32">
        <f>IF($A281="","","SINV")</f>
        <v/>
      </c>
      <c r="C281" s="33">
        <f>IF($A281="","",Supplier_Invoices!$E49)</f>
        <v/>
      </c>
      <c r="D281" s="32">
        <f>IF($A281="","",Supplier_Invoices!$H49)</f>
        <v/>
      </c>
      <c r="E281" s="43">
        <f>IF($A281="","",Supplier_Invoices!$W49)</f>
        <v/>
      </c>
      <c r="F281" s="32">
        <f>IF($A281="","",Supplier_Invoices!$O49)</f>
        <v/>
      </c>
      <c r="G281" s="32">
        <f>IF($A281="","","Supplier_Invoices")</f>
        <v/>
      </c>
      <c r="H281" s="44">
        <f>IF($A281="","",IF(COUNTIF($A:$A,$A281)&gt;1,"مكرر",""))</f>
        <v/>
      </c>
      <c r="I281" s="32">
        <f>IF($H281="مكرر","مكرر","")</f>
        <v/>
      </c>
    </row>
    <row r="282">
      <c r="A282" s="32">
        <f>IF(Supplier_Invoices!$A50="","",Supplier_Invoices!$A50)</f>
        <v/>
      </c>
      <c r="B282" s="32">
        <f>IF($A282="","","SINV")</f>
        <v/>
      </c>
      <c r="C282" s="33">
        <f>IF($A282="","",Supplier_Invoices!$E50)</f>
        <v/>
      </c>
      <c r="D282" s="32">
        <f>IF($A282="","",Supplier_Invoices!$H50)</f>
        <v/>
      </c>
      <c r="E282" s="43">
        <f>IF($A282="","",Supplier_Invoices!$W50)</f>
        <v/>
      </c>
      <c r="F282" s="32">
        <f>IF($A282="","",Supplier_Invoices!$O50)</f>
        <v/>
      </c>
      <c r="G282" s="32">
        <f>IF($A282="","","Supplier_Invoices")</f>
        <v/>
      </c>
      <c r="H282" s="44">
        <f>IF($A282="","",IF(COUNTIF($A:$A,$A282)&gt;1,"مكرر",""))</f>
        <v/>
      </c>
      <c r="I282" s="32">
        <f>IF($H282="مكرر","مكرر","")</f>
        <v/>
      </c>
    </row>
    <row r="283">
      <c r="A283" s="32">
        <f>IF(Supplier_Invoices!$A51="","",Supplier_Invoices!$A51)</f>
        <v/>
      </c>
      <c r="B283" s="32">
        <f>IF($A283="","","SINV")</f>
        <v/>
      </c>
      <c r="C283" s="33">
        <f>IF($A283="","",Supplier_Invoices!$E51)</f>
        <v/>
      </c>
      <c r="D283" s="32">
        <f>IF($A283="","",Supplier_Invoices!$H51)</f>
        <v/>
      </c>
      <c r="E283" s="43">
        <f>IF($A283="","",Supplier_Invoices!$W51)</f>
        <v/>
      </c>
      <c r="F283" s="32">
        <f>IF($A283="","",Supplier_Invoices!$O51)</f>
        <v/>
      </c>
      <c r="G283" s="32">
        <f>IF($A283="","","Supplier_Invoices")</f>
        <v/>
      </c>
      <c r="H283" s="44">
        <f>IF($A283="","",IF(COUNTIF($A:$A,$A283)&gt;1,"مكرر",""))</f>
        <v/>
      </c>
      <c r="I283" s="32">
        <f>IF($H283="مكرر","مكرر","")</f>
        <v/>
      </c>
    </row>
    <row r="284">
      <c r="A284" s="32">
        <f>IF(Supplier_Invoices!$A52="","",Supplier_Invoices!$A52)</f>
        <v/>
      </c>
      <c r="B284" s="32">
        <f>IF($A284="","","SINV")</f>
        <v/>
      </c>
      <c r="C284" s="33">
        <f>IF($A284="","",Supplier_Invoices!$E52)</f>
        <v/>
      </c>
      <c r="D284" s="32">
        <f>IF($A284="","",Supplier_Invoices!$H52)</f>
        <v/>
      </c>
      <c r="E284" s="43">
        <f>IF($A284="","",Supplier_Invoices!$W52)</f>
        <v/>
      </c>
      <c r="F284" s="32">
        <f>IF($A284="","",Supplier_Invoices!$O52)</f>
        <v/>
      </c>
      <c r="G284" s="32">
        <f>IF($A284="","","Supplier_Invoices")</f>
        <v/>
      </c>
      <c r="H284" s="44">
        <f>IF($A284="","",IF(COUNTIF($A:$A,$A284)&gt;1,"مكرر",""))</f>
        <v/>
      </c>
      <c r="I284" s="32">
        <f>IF($H284="مكرر","مكرر","")</f>
        <v/>
      </c>
    </row>
    <row r="285">
      <c r="A285" s="32">
        <f>IF(Supplier_Invoices!$A53="","",Supplier_Invoices!$A53)</f>
        <v/>
      </c>
      <c r="B285" s="32">
        <f>IF($A285="","","SINV")</f>
        <v/>
      </c>
      <c r="C285" s="33">
        <f>IF($A285="","",Supplier_Invoices!$E53)</f>
        <v/>
      </c>
      <c r="D285" s="32">
        <f>IF($A285="","",Supplier_Invoices!$H53)</f>
        <v/>
      </c>
      <c r="E285" s="43">
        <f>IF($A285="","",Supplier_Invoices!$W53)</f>
        <v/>
      </c>
      <c r="F285" s="32">
        <f>IF($A285="","",Supplier_Invoices!$O53)</f>
        <v/>
      </c>
      <c r="G285" s="32">
        <f>IF($A285="","","Supplier_Invoices")</f>
        <v/>
      </c>
      <c r="H285" s="44">
        <f>IF($A285="","",IF(COUNTIF($A:$A,$A285)&gt;1,"مكرر",""))</f>
        <v/>
      </c>
      <c r="I285" s="32">
        <f>IF($H285="مكرر","مكرر","")</f>
        <v/>
      </c>
    </row>
    <row r="286">
      <c r="A286" s="32">
        <f>IF(Supplier_Invoices!$A54="","",Supplier_Invoices!$A54)</f>
        <v/>
      </c>
      <c r="B286" s="32">
        <f>IF($A286="","","SINV")</f>
        <v/>
      </c>
      <c r="C286" s="33">
        <f>IF($A286="","",Supplier_Invoices!$E54)</f>
        <v/>
      </c>
      <c r="D286" s="32">
        <f>IF($A286="","",Supplier_Invoices!$H54)</f>
        <v/>
      </c>
      <c r="E286" s="43">
        <f>IF($A286="","",Supplier_Invoices!$W54)</f>
        <v/>
      </c>
      <c r="F286" s="32">
        <f>IF($A286="","",Supplier_Invoices!$O54)</f>
        <v/>
      </c>
      <c r="G286" s="32">
        <f>IF($A286="","","Supplier_Invoices")</f>
        <v/>
      </c>
      <c r="H286" s="44">
        <f>IF($A286="","",IF(COUNTIF($A:$A,$A286)&gt;1,"مكرر",""))</f>
        <v/>
      </c>
      <c r="I286" s="32">
        <f>IF($H286="مكرر","مكرر","")</f>
        <v/>
      </c>
    </row>
    <row r="287">
      <c r="A287" s="32">
        <f>IF(Supplier_Invoices!$A55="","",Supplier_Invoices!$A55)</f>
        <v/>
      </c>
      <c r="B287" s="32">
        <f>IF($A287="","","SINV")</f>
        <v/>
      </c>
      <c r="C287" s="33">
        <f>IF($A287="","",Supplier_Invoices!$E55)</f>
        <v/>
      </c>
      <c r="D287" s="32">
        <f>IF($A287="","",Supplier_Invoices!$H55)</f>
        <v/>
      </c>
      <c r="E287" s="43">
        <f>IF($A287="","",Supplier_Invoices!$W55)</f>
        <v/>
      </c>
      <c r="F287" s="32">
        <f>IF($A287="","",Supplier_Invoices!$O55)</f>
        <v/>
      </c>
      <c r="G287" s="32">
        <f>IF($A287="","","Supplier_Invoices")</f>
        <v/>
      </c>
      <c r="H287" s="44">
        <f>IF($A287="","",IF(COUNTIF($A:$A,$A287)&gt;1,"مكرر",""))</f>
        <v/>
      </c>
      <c r="I287" s="32">
        <f>IF($H287="مكرر","مكرر","")</f>
        <v/>
      </c>
    </row>
    <row r="288">
      <c r="A288" s="32">
        <f>IF(Supplier_Invoices!$A56="","",Supplier_Invoices!$A56)</f>
        <v/>
      </c>
      <c r="B288" s="32">
        <f>IF($A288="","","SINV")</f>
        <v/>
      </c>
      <c r="C288" s="33">
        <f>IF($A288="","",Supplier_Invoices!$E56)</f>
        <v/>
      </c>
      <c r="D288" s="32">
        <f>IF($A288="","",Supplier_Invoices!$H56)</f>
        <v/>
      </c>
      <c r="E288" s="43">
        <f>IF($A288="","",Supplier_Invoices!$W56)</f>
        <v/>
      </c>
      <c r="F288" s="32">
        <f>IF($A288="","",Supplier_Invoices!$O56)</f>
        <v/>
      </c>
      <c r="G288" s="32">
        <f>IF($A288="","","Supplier_Invoices")</f>
        <v/>
      </c>
      <c r="H288" s="44">
        <f>IF($A288="","",IF(COUNTIF($A:$A,$A288)&gt;1,"مكرر",""))</f>
        <v/>
      </c>
      <c r="I288" s="32">
        <f>IF($H288="مكرر","مكرر","")</f>
        <v/>
      </c>
    </row>
    <row r="289">
      <c r="A289" s="32">
        <f>IF(Supplier_Invoices!$A57="","",Supplier_Invoices!$A57)</f>
        <v/>
      </c>
      <c r="B289" s="32">
        <f>IF($A289="","","SINV")</f>
        <v/>
      </c>
      <c r="C289" s="33">
        <f>IF($A289="","",Supplier_Invoices!$E57)</f>
        <v/>
      </c>
      <c r="D289" s="32">
        <f>IF($A289="","",Supplier_Invoices!$H57)</f>
        <v/>
      </c>
      <c r="E289" s="43">
        <f>IF($A289="","",Supplier_Invoices!$W57)</f>
        <v/>
      </c>
      <c r="F289" s="32">
        <f>IF($A289="","",Supplier_Invoices!$O57)</f>
        <v/>
      </c>
      <c r="G289" s="32">
        <f>IF($A289="","","Supplier_Invoices")</f>
        <v/>
      </c>
      <c r="H289" s="44">
        <f>IF($A289="","",IF(COUNTIF($A:$A,$A289)&gt;1,"مكرر",""))</f>
        <v/>
      </c>
      <c r="I289" s="32">
        <f>IF($H289="مكرر","مكرر","")</f>
        <v/>
      </c>
    </row>
    <row r="290">
      <c r="A290" s="32">
        <f>IF(Supplier_Invoices!$A58="","",Supplier_Invoices!$A58)</f>
        <v/>
      </c>
      <c r="B290" s="32">
        <f>IF($A290="","","SINV")</f>
        <v/>
      </c>
      <c r="C290" s="33">
        <f>IF($A290="","",Supplier_Invoices!$E58)</f>
        <v/>
      </c>
      <c r="D290" s="32">
        <f>IF($A290="","",Supplier_Invoices!$H58)</f>
        <v/>
      </c>
      <c r="E290" s="43">
        <f>IF($A290="","",Supplier_Invoices!$W58)</f>
        <v/>
      </c>
      <c r="F290" s="32">
        <f>IF($A290="","",Supplier_Invoices!$O58)</f>
        <v/>
      </c>
      <c r="G290" s="32">
        <f>IF($A290="","","Supplier_Invoices")</f>
        <v/>
      </c>
      <c r="H290" s="44">
        <f>IF($A290="","",IF(COUNTIF($A:$A,$A290)&gt;1,"مكرر",""))</f>
        <v/>
      </c>
      <c r="I290" s="32">
        <f>IF($H290="مكرر","مكرر","")</f>
        <v/>
      </c>
    </row>
    <row r="291">
      <c r="A291" s="32">
        <f>IF(Supplier_Invoices!$A59="","",Supplier_Invoices!$A59)</f>
        <v/>
      </c>
      <c r="B291" s="32">
        <f>IF($A291="","","SINV")</f>
        <v/>
      </c>
      <c r="C291" s="33">
        <f>IF($A291="","",Supplier_Invoices!$E59)</f>
        <v/>
      </c>
      <c r="D291" s="32">
        <f>IF($A291="","",Supplier_Invoices!$H59)</f>
        <v/>
      </c>
      <c r="E291" s="43">
        <f>IF($A291="","",Supplier_Invoices!$W59)</f>
        <v/>
      </c>
      <c r="F291" s="32">
        <f>IF($A291="","",Supplier_Invoices!$O59)</f>
        <v/>
      </c>
      <c r="G291" s="32">
        <f>IF($A291="","","Supplier_Invoices")</f>
        <v/>
      </c>
      <c r="H291" s="44">
        <f>IF($A291="","",IF(COUNTIF($A:$A,$A291)&gt;1,"مكرر",""))</f>
        <v/>
      </c>
      <c r="I291" s="32">
        <f>IF($H291="مكرر","مكرر","")</f>
        <v/>
      </c>
    </row>
    <row r="292">
      <c r="A292" s="32">
        <f>IF(Supplier_Invoices!$A60="","",Supplier_Invoices!$A60)</f>
        <v/>
      </c>
      <c r="B292" s="32">
        <f>IF($A292="","","SINV")</f>
        <v/>
      </c>
      <c r="C292" s="33">
        <f>IF($A292="","",Supplier_Invoices!$E60)</f>
        <v/>
      </c>
      <c r="D292" s="32">
        <f>IF($A292="","",Supplier_Invoices!$H60)</f>
        <v/>
      </c>
      <c r="E292" s="43">
        <f>IF($A292="","",Supplier_Invoices!$W60)</f>
        <v/>
      </c>
      <c r="F292" s="32">
        <f>IF($A292="","",Supplier_Invoices!$O60)</f>
        <v/>
      </c>
      <c r="G292" s="32">
        <f>IF($A292="","","Supplier_Invoices")</f>
        <v/>
      </c>
      <c r="H292" s="44">
        <f>IF($A292="","",IF(COUNTIF($A:$A,$A292)&gt;1,"مكرر",""))</f>
        <v/>
      </c>
      <c r="I292" s="32">
        <f>IF($H292="مكرر","مكرر","")</f>
        <v/>
      </c>
    </row>
    <row r="293">
      <c r="A293" s="32">
        <f>IF(Supplier_Invoices!$A61="","",Supplier_Invoices!$A61)</f>
        <v/>
      </c>
      <c r="B293" s="32">
        <f>IF($A293="","","SINV")</f>
        <v/>
      </c>
      <c r="C293" s="33">
        <f>IF($A293="","",Supplier_Invoices!$E61)</f>
        <v/>
      </c>
      <c r="D293" s="32">
        <f>IF($A293="","",Supplier_Invoices!$H61)</f>
        <v/>
      </c>
      <c r="E293" s="43">
        <f>IF($A293="","",Supplier_Invoices!$W61)</f>
        <v/>
      </c>
      <c r="F293" s="32">
        <f>IF($A293="","",Supplier_Invoices!$O61)</f>
        <v/>
      </c>
      <c r="G293" s="32">
        <f>IF($A293="","","Supplier_Invoices")</f>
        <v/>
      </c>
      <c r="H293" s="44">
        <f>IF($A293="","",IF(COUNTIF($A:$A,$A293)&gt;1,"مكرر",""))</f>
        <v/>
      </c>
      <c r="I293" s="32">
        <f>IF($H293="مكرر","مكرر","")</f>
        <v/>
      </c>
    </row>
    <row r="294">
      <c r="A294" s="32">
        <f>IF(Supplier_Invoices!$A62="","",Supplier_Invoices!$A62)</f>
        <v/>
      </c>
      <c r="B294" s="32">
        <f>IF($A294="","","SINV")</f>
        <v/>
      </c>
      <c r="C294" s="33">
        <f>IF($A294="","",Supplier_Invoices!$E62)</f>
        <v/>
      </c>
      <c r="D294" s="32">
        <f>IF($A294="","",Supplier_Invoices!$H62)</f>
        <v/>
      </c>
      <c r="E294" s="43">
        <f>IF($A294="","",Supplier_Invoices!$W62)</f>
        <v/>
      </c>
      <c r="F294" s="32">
        <f>IF($A294="","",Supplier_Invoices!$O62)</f>
        <v/>
      </c>
      <c r="G294" s="32">
        <f>IF($A294="","","Supplier_Invoices")</f>
        <v/>
      </c>
      <c r="H294" s="44">
        <f>IF($A294="","",IF(COUNTIF($A:$A,$A294)&gt;1,"مكرر",""))</f>
        <v/>
      </c>
      <c r="I294" s="32">
        <f>IF($H294="مكرر","مكرر","")</f>
        <v/>
      </c>
    </row>
    <row r="295">
      <c r="A295" s="32">
        <f>IF(Supplier_Invoices!$A63="","",Supplier_Invoices!$A63)</f>
        <v/>
      </c>
      <c r="B295" s="32">
        <f>IF($A295="","","SINV")</f>
        <v/>
      </c>
      <c r="C295" s="33">
        <f>IF($A295="","",Supplier_Invoices!$E63)</f>
        <v/>
      </c>
      <c r="D295" s="32">
        <f>IF($A295="","",Supplier_Invoices!$H63)</f>
        <v/>
      </c>
      <c r="E295" s="43">
        <f>IF($A295="","",Supplier_Invoices!$W63)</f>
        <v/>
      </c>
      <c r="F295" s="32">
        <f>IF($A295="","",Supplier_Invoices!$O63)</f>
        <v/>
      </c>
      <c r="G295" s="32">
        <f>IF($A295="","","Supplier_Invoices")</f>
        <v/>
      </c>
      <c r="H295" s="44">
        <f>IF($A295="","",IF(COUNTIF($A:$A,$A295)&gt;1,"مكرر",""))</f>
        <v/>
      </c>
      <c r="I295" s="32">
        <f>IF($H295="مكرر","مكرر","")</f>
        <v/>
      </c>
    </row>
    <row r="296">
      <c r="A296" s="32">
        <f>IF(Supplier_Invoices!$A64="","",Supplier_Invoices!$A64)</f>
        <v/>
      </c>
      <c r="B296" s="32">
        <f>IF($A296="","","SINV")</f>
        <v/>
      </c>
      <c r="C296" s="33">
        <f>IF($A296="","",Supplier_Invoices!$E64)</f>
        <v/>
      </c>
      <c r="D296" s="32">
        <f>IF($A296="","",Supplier_Invoices!$H64)</f>
        <v/>
      </c>
      <c r="E296" s="43">
        <f>IF($A296="","",Supplier_Invoices!$W64)</f>
        <v/>
      </c>
      <c r="F296" s="32">
        <f>IF($A296="","",Supplier_Invoices!$O64)</f>
        <v/>
      </c>
      <c r="G296" s="32">
        <f>IF($A296="","","Supplier_Invoices")</f>
        <v/>
      </c>
      <c r="H296" s="44">
        <f>IF($A296="","",IF(COUNTIF($A:$A,$A296)&gt;1,"مكرر",""))</f>
        <v/>
      </c>
      <c r="I296" s="32">
        <f>IF($H296="مكرر","مكرر","")</f>
        <v/>
      </c>
    </row>
    <row r="297">
      <c r="A297" s="32">
        <f>IF(Supplier_Invoices!$A65="","",Supplier_Invoices!$A65)</f>
        <v/>
      </c>
      <c r="B297" s="32">
        <f>IF($A297="","","SINV")</f>
        <v/>
      </c>
      <c r="C297" s="33">
        <f>IF($A297="","",Supplier_Invoices!$E65)</f>
        <v/>
      </c>
      <c r="D297" s="32">
        <f>IF($A297="","",Supplier_Invoices!$H65)</f>
        <v/>
      </c>
      <c r="E297" s="43">
        <f>IF($A297="","",Supplier_Invoices!$W65)</f>
        <v/>
      </c>
      <c r="F297" s="32">
        <f>IF($A297="","",Supplier_Invoices!$O65)</f>
        <v/>
      </c>
      <c r="G297" s="32">
        <f>IF($A297="","","Supplier_Invoices")</f>
        <v/>
      </c>
      <c r="H297" s="44">
        <f>IF($A297="","",IF(COUNTIF($A:$A,$A297)&gt;1,"مكرر",""))</f>
        <v/>
      </c>
      <c r="I297" s="32">
        <f>IF($H297="مكرر","مكرر","")</f>
        <v/>
      </c>
    </row>
    <row r="298">
      <c r="A298" s="32">
        <f>IF(Supplier_Invoices!$A66="","",Supplier_Invoices!$A66)</f>
        <v/>
      </c>
      <c r="B298" s="32">
        <f>IF($A298="","","SINV")</f>
        <v/>
      </c>
      <c r="C298" s="33">
        <f>IF($A298="","",Supplier_Invoices!$E66)</f>
        <v/>
      </c>
      <c r="D298" s="32">
        <f>IF($A298="","",Supplier_Invoices!$H66)</f>
        <v/>
      </c>
      <c r="E298" s="43">
        <f>IF($A298="","",Supplier_Invoices!$W66)</f>
        <v/>
      </c>
      <c r="F298" s="32">
        <f>IF($A298="","",Supplier_Invoices!$O66)</f>
        <v/>
      </c>
      <c r="G298" s="32">
        <f>IF($A298="","","Supplier_Invoices")</f>
        <v/>
      </c>
      <c r="H298" s="44">
        <f>IF($A298="","",IF(COUNTIF($A:$A,$A298)&gt;1,"مكرر",""))</f>
        <v/>
      </c>
      <c r="I298" s="32">
        <f>IF($H298="مكرر","مكرر","")</f>
        <v/>
      </c>
    </row>
    <row r="299">
      <c r="A299" s="32">
        <f>IF(Supplier_Invoices!$A67="","",Supplier_Invoices!$A67)</f>
        <v/>
      </c>
      <c r="B299" s="32">
        <f>IF($A299="","","SINV")</f>
        <v/>
      </c>
      <c r="C299" s="33">
        <f>IF($A299="","",Supplier_Invoices!$E67)</f>
        <v/>
      </c>
      <c r="D299" s="32">
        <f>IF($A299="","",Supplier_Invoices!$H67)</f>
        <v/>
      </c>
      <c r="E299" s="43">
        <f>IF($A299="","",Supplier_Invoices!$W67)</f>
        <v/>
      </c>
      <c r="F299" s="32">
        <f>IF($A299="","",Supplier_Invoices!$O67)</f>
        <v/>
      </c>
      <c r="G299" s="32">
        <f>IF($A299="","","Supplier_Invoices")</f>
        <v/>
      </c>
      <c r="H299" s="44">
        <f>IF($A299="","",IF(COUNTIF($A:$A,$A299)&gt;1,"مكرر",""))</f>
        <v/>
      </c>
      <c r="I299" s="32">
        <f>IF($H299="مكرر","مكرر","")</f>
        <v/>
      </c>
    </row>
    <row r="300">
      <c r="A300" s="32">
        <f>IF(Supplier_Invoices!$A68="","",Supplier_Invoices!$A68)</f>
        <v/>
      </c>
      <c r="B300" s="32">
        <f>IF($A300="","","SINV")</f>
        <v/>
      </c>
      <c r="C300" s="33">
        <f>IF($A300="","",Supplier_Invoices!$E68)</f>
        <v/>
      </c>
      <c r="D300" s="32">
        <f>IF($A300="","",Supplier_Invoices!$H68)</f>
        <v/>
      </c>
      <c r="E300" s="43">
        <f>IF($A300="","",Supplier_Invoices!$W68)</f>
        <v/>
      </c>
      <c r="F300" s="32">
        <f>IF($A300="","",Supplier_Invoices!$O68)</f>
        <v/>
      </c>
      <c r="G300" s="32">
        <f>IF($A300="","","Supplier_Invoices")</f>
        <v/>
      </c>
      <c r="H300" s="44">
        <f>IF($A300="","",IF(COUNTIF($A:$A,$A300)&gt;1,"مكرر",""))</f>
        <v/>
      </c>
      <c r="I300" s="32">
        <f>IF($H300="مكرر","مكرر","")</f>
        <v/>
      </c>
    </row>
    <row r="301">
      <c r="A301" s="32">
        <f>IF(Supplier_Invoices!$A69="","",Supplier_Invoices!$A69)</f>
        <v/>
      </c>
      <c r="B301" s="32">
        <f>IF($A301="","","SINV")</f>
        <v/>
      </c>
      <c r="C301" s="33">
        <f>IF($A301="","",Supplier_Invoices!$E69)</f>
        <v/>
      </c>
      <c r="D301" s="32">
        <f>IF($A301="","",Supplier_Invoices!$H69)</f>
        <v/>
      </c>
      <c r="E301" s="43">
        <f>IF($A301="","",Supplier_Invoices!$W69)</f>
        <v/>
      </c>
      <c r="F301" s="32">
        <f>IF($A301="","",Supplier_Invoices!$O69)</f>
        <v/>
      </c>
      <c r="G301" s="32">
        <f>IF($A301="","","Supplier_Invoices")</f>
        <v/>
      </c>
      <c r="H301" s="44">
        <f>IF($A301="","",IF(COUNTIF($A:$A,$A301)&gt;1,"مكرر",""))</f>
        <v/>
      </c>
      <c r="I301" s="32">
        <f>IF($H301="مكرر","مكرر","")</f>
        <v/>
      </c>
    </row>
    <row r="302">
      <c r="A302" s="32">
        <f>IF(Supplier_Invoices!$A70="","",Supplier_Invoices!$A70)</f>
        <v/>
      </c>
      <c r="B302" s="32">
        <f>IF($A302="","","SINV")</f>
        <v/>
      </c>
      <c r="C302" s="33">
        <f>IF($A302="","",Supplier_Invoices!$E70)</f>
        <v/>
      </c>
      <c r="D302" s="32">
        <f>IF($A302="","",Supplier_Invoices!$H70)</f>
        <v/>
      </c>
      <c r="E302" s="43">
        <f>IF($A302="","",Supplier_Invoices!$W70)</f>
        <v/>
      </c>
      <c r="F302" s="32">
        <f>IF($A302="","",Supplier_Invoices!$O70)</f>
        <v/>
      </c>
      <c r="G302" s="32">
        <f>IF($A302="","","Supplier_Invoices")</f>
        <v/>
      </c>
      <c r="H302" s="44">
        <f>IF($A302="","",IF(COUNTIF($A:$A,$A302)&gt;1,"مكرر",""))</f>
        <v/>
      </c>
      <c r="I302" s="32">
        <f>IF($H302="مكرر","مكرر","")</f>
        <v/>
      </c>
    </row>
    <row r="303">
      <c r="A303" s="32">
        <f>IF(Supplier_Invoices!$A71="","",Supplier_Invoices!$A71)</f>
        <v/>
      </c>
      <c r="B303" s="32">
        <f>IF($A303="","","SINV")</f>
        <v/>
      </c>
      <c r="C303" s="33">
        <f>IF($A303="","",Supplier_Invoices!$E71)</f>
        <v/>
      </c>
      <c r="D303" s="32">
        <f>IF($A303="","",Supplier_Invoices!$H71)</f>
        <v/>
      </c>
      <c r="E303" s="43">
        <f>IF($A303="","",Supplier_Invoices!$W71)</f>
        <v/>
      </c>
      <c r="F303" s="32">
        <f>IF($A303="","",Supplier_Invoices!$O71)</f>
        <v/>
      </c>
      <c r="G303" s="32">
        <f>IF($A303="","","Supplier_Invoices")</f>
        <v/>
      </c>
      <c r="H303" s="44">
        <f>IF($A303="","",IF(COUNTIF($A:$A,$A303)&gt;1,"مكرر",""))</f>
        <v/>
      </c>
      <c r="I303" s="32">
        <f>IF($H303="مكرر","مكرر","")</f>
        <v/>
      </c>
    </row>
    <row r="304">
      <c r="A304" s="32">
        <f>IF(Supplier_Invoices!$A72="","",Supplier_Invoices!$A72)</f>
        <v/>
      </c>
      <c r="B304" s="32">
        <f>IF($A304="","","SINV")</f>
        <v/>
      </c>
      <c r="C304" s="33">
        <f>IF($A304="","",Supplier_Invoices!$E72)</f>
        <v/>
      </c>
      <c r="D304" s="32">
        <f>IF($A304="","",Supplier_Invoices!$H72)</f>
        <v/>
      </c>
      <c r="E304" s="43">
        <f>IF($A304="","",Supplier_Invoices!$W72)</f>
        <v/>
      </c>
      <c r="F304" s="32">
        <f>IF($A304="","",Supplier_Invoices!$O72)</f>
        <v/>
      </c>
      <c r="G304" s="32">
        <f>IF($A304="","","Supplier_Invoices")</f>
        <v/>
      </c>
      <c r="H304" s="44">
        <f>IF($A304="","",IF(COUNTIF($A:$A,$A304)&gt;1,"مكرر",""))</f>
        <v/>
      </c>
      <c r="I304" s="32">
        <f>IF($H304="مكرر","مكرر","")</f>
        <v/>
      </c>
    </row>
    <row r="305">
      <c r="A305" s="32">
        <f>IF(Supplier_Invoices!$A73="","",Supplier_Invoices!$A73)</f>
        <v/>
      </c>
      <c r="B305" s="32">
        <f>IF($A305="","","SINV")</f>
        <v/>
      </c>
      <c r="C305" s="33">
        <f>IF($A305="","",Supplier_Invoices!$E73)</f>
        <v/>
      </c>
      <c r="D305" s="32">
        <f>IF($A305="","",Supplier_Invoices!$H73)</f>
        <v/>
      </c>
      <c r="E305" s="43">
        <f>IF($A305="","",Supplier_Invoices!$W73)</f>
        <v/>
      </c>
      <c r="F305" s="32">
        <f>IF($A305="","",Supplier_Invoices!$O73)</f>
        <v/>
      </c>
      <c r="G305" s="32">
        <f>IF($A305="","","Supplier_Invoices")</f>
        <v/>
      </c>
      <c r="H305" s="44">
        <f>IF($A305="","",IF(COUNTIF($A:$A,$A305)&gt;1,"مكرر",""))</f>
        <v/>
      </c>
      <c r="I305" s="32">
        <f>IF($H305="مكرر","مكرر","")</f>
        <v/>
      </c>
    </row>
    <row r="306">
      <c r="A306" s="32">
        <f>IF(Supplier_Invoices!$A74="","",Supplier_Invoices!$A74)</f>
        <v/>
      </c>
      <c r="B306" s="32">
        <f>IF($A306="","","SINV")</f>
        <v/>
      </c>
      <c r="C306" s="33">
        <f>IF($A306="","",Supplier_Invoices!$E74)</f>
        <v/>
      </c>
      <c r="D306" s="32">
        <f>IF($A306="","",Supplier_Invoices!$H74)</f>
        <v/>
      </c>
      <c r="E306" s="43">
        <f>IF($A306="","",Supplier_Invoices!$W74)</f>
        <v/>
      </c>
      <c r="F306" s="32">
        <f>IF($A306="","",Supplier_Invoices!$O74)</f>
        <v/>
      </c>
      <c r="G306" s="32">
        <f>IF($A306="","","Supplier_Invoices")</f>
        <v/>
      </c>
      <c r="H306" s="44">
        <f>IF($A306="","",IF(COUNTIF($A:$A,$A306)&gt;1,"مكرر",""))</f>
        <v/>
      </c>
      <c r="I306" s="32">
        <f>IF($H306="مكرر","مكرر","")</f>
        <v/>
      </c>
    </row>
    <row r="307">
      <c r="A307" s="32">
        <f>IF(Supplier_Invoices!$A75="","",Supplier_Invoices!$A75)</f>
        <v/>
      </c>
      <c r="B307" s="32">
        <f>IF($A307="","","SINV")</f>
        <v/>
      </c>
      <c r="C307" s="33">
        <f>IF($A307="","",Supplier_Invoices!$E75)</f>
        <v/>
      </c>
      <c r="D307" s="32">
        <f>IF($A307="","",Supplier_Invoices!$H75)</f>
        <v/>
      </c>
      <c r="E307" s="43">
        <f>IF($A307="","",Supplier_Invoices!$W75)</f>
        <v/>
      </c>
      <c r="F307" s="32">
        <f>IF($A307="","",Supplier_Invoices!$O75)</f>
        <v/>
      </c>
      <c r="G307" s="32">
        <f>IF($A307="","","Supplier_Invoices")</f>
        <v/>
      </c>
      <c r="H307" s="44">
        <f>IF($A307="","",IF(COUNTIF($A:$A,$A307)&gt;1,"مكرر",""))</f>
        <v/>
      </c>
      <c r="I307" s="32">
        <f>IF($H307="مكرر","مكرر","")</f>
        <v/>
      </c>
    </row>
    <row r="308">
      <c r="A308" s="32">
        <f>IF(Supplier_Invoices!$A76="","",Supplier_Invoices!$A76)</f>
        <v/>
      </c>
      <c r="B308" s="32">
        <f>IF($A308="","","SINV")</f>
        <v/>
      </c>
      <c r="C308" s="33">
        <f>IF($A308="","",Supplier_Invoices!$E76)</f>
        <v/>
      </c>
      <c r="D308" s="32">
        <f>IF($A308="","",Supplier_Invoices!$H76)</f>
        <v/>
      </c>
      <c r="E308" s="43">
        <f>IF($A308="","",Supplier_Invoices!$W76)</f>
        <v/>
      </c>
      <c r="F308" s="32">
        <f>IF($A308="","",Supplier_Invoices!$O76)</f>
        <v/>
      </c>
      <c r="G308" s="32">
        <f>IF($A308="","","Supplier_Invoices")</f>
        <v/>
      </c>
      <c r="H308" s="44">
        <f>IF($A308="","",IF(COUNTIF($A:$A,$A308)&gt;1,"مكرر",""))</f>
        <v/>
      </c>
      <c r="I308" s="32">
        <f>IF($H308="مكرر","مكرر","")</f>
        <v/>
      </c>
    </row>
    <row r="309">
      <c r="A309" s="32">
        <f>IF(Supplier_Invoices!$A77="","",Supplier_Invoices!$A77)</f>
        <v/>
      </c>
      <c r="B309" s="32">
        <f>IF($A309="","","SINV")</f>
        <v/>
      </c>
      <c r="C309" s="33">
        <f>IF($A309="","",Supplier_Invoices!$E77)</f>
        <v/>
      </c>
      <c r="D309" s="32">
        <f>IF($A309="","",Supplier_Invoices!$H77)</f>
        <v/>
      </c>
      <c r="E309" s="43">
        <f>IF($A309="","",Supplier_Invoices!$W77)</f>
        <v/>
      </c>
      <c r="F309" s="32">
        <f>IF($A309="","",Supplier_Invoices!$O77)</f>
        <v/>
      </c>
      <c r="G309" s="32">
        <f>IF($A309="","","Supplier_Invoices")</f>
        <v/>
      </c>
      <c r="H309" s="44">
        <f>IF($A309="","",IF(COUNTIF($A:$A,$A309)&gt;1,"مكرر",""))</f>
        <v/>
      </c>
      <c r="I309" s="32">
        <f>IF($H309="مكرر","مكرر","")</f>
        <v/>
      </c>
    </row>
    <row r="310">
      <c r="A310" s="32">
        <f>IF(Supplier_Invoices!$A78="","",Supplier_Invoices!$A78)</f>
        <v/>
      </c>
      <c r="B310" s="32">
        <f>IF($A310="","","SINV")</f>
        <v/>
      </c>
      <c r="C310" s="33">
        <f>IF($A310="","",Supplier_Invoices!$E78)</f>
        <v/>
      </c>
      <c r="D310" s="32">
        <f>IF($A310="","",Supplier_Invoices!$H78)</f>
        <v/>
      </c>
      <c r="E310" s="43">
        <f>IF($A310="","",Supplier_Invoices!$W78)</f>
        <v/>
      </c>
      <c r="F310" s="32">
        <f>IF($A310="","",Supplier_Invoices!$O78)</f>
        <v/>
      </c>
      <c r="G310" s="32">
        <f>IF($A310="","","Supplier_Invoices")</f>
        <v/>
      </c>
      <c r="H310" s="44">
        <f>IF($A310="","",IF(COUNTIF($A:$A,$A310)&gt;1,"مكرر",""))</f>
        <v/>
      </c>
      <c r="I310" s="32">
        <f>IF($H310="مكرر","مكرر","")</f>
        <v/>
      </c>
    </row>
    <row r="311">
      <c r="A311" s="32">
        <f>IF(Supplier_Invoices!$A79="","",Supplier_Invoices!$A79)</f>
        <v/>
      </c>
      <c r="B311" s="32">
        <f>IF($A311="","","SINV")</f>
        <v/>
      </c>
      <c r="C311" s="33">
        <f>IF($A311="","",Supplier_Invoices!$E79)</f>
        <v/>
      </c>
      <c r="D311" s="32">
        <f>IF($A311="","",Supplier_Invoices!$H79)</f>
        <v/>
      </c>
      <c r="E311" s="43">
        <f>IF($A311="","",Supplier_Invoices!$W79)</f>
        <v/>
      </c>
      <c r="F311" s="32">
        <f>IF($A311="","",Supplier_Invoices!$O79)</f>
        <v/>
      </c>
      <c r="G311" s="32">
        <f>IF($A311="","","Supplier_Invoices")</f>
        <v/>
      </c>
      <c r="H311" s="44">
        <f>IF($A311="","",IF(COUNTIF($A:$A,$A311)&gt;1,"مكرر",""))</f>
        <v/>
      </c>
      <c r="I311" s="32">
        <f>IF($H311="مكرر","مكرر","")</f>
        <v/>
      </c>
    </row>
    <row r="312">
      <c r="A312" s="32">
        <f>IF(Supplier_Invoices!$A80="","",Supplier_Invoices!$A80)</f>
        <v/>
      </c>
      <c r="B312" s="32">
        <f>IF($A312="","","SINV")</f>
        <v/>
      </c>
      <c r="C312" s="33">
        <f>IF($A312="","",Supplier_Invoices!$E80)</f>
        <v/>
      </c>
      <c r="D312" s="32">
        <f>IF($A312="","",Supplier_Invoices!$H80)</f>
        <v/>
      </c>
      <c r="E312" s="43">
        <f>IF($A312="","",Supplier_Invoices!$W80)</f>
        <v/>
      </c>
      <c r="F312" s="32">
        <f>IF($A312="","",Supplier_Invoices!$O80)</f>
        <v/>
      </c>
      <c r="G312" s="32">
        <f>IF($A312="","","Supplier_Invoices")</f>
        <v/>
      </c>
      <c r="H312" s="44">
        <f>IF($A312="","",IF(COUNTIF($A:$A,$A312)&gt;1,"مكرر",""))</f>
        <v/>
      </c>
      <c r="I312" s="32">
        <f>IF($H312="مكرر","مكرر","")</f>
        <v/>
      </c>
    </row>
    <row r="313">
      <c r="A313" s="32">
        <f>IF(Supplier_Invoices!$A81="","",Supplier_Invoices!$A81)</f>
        <v/>
      </c>
      <c r="B313" s="32">
        <f>IF($A313="","","SINV")</f>
        <v/>
      </c>
      <c r="C313" s="33">
        <f>IF($A313="","",Supplier_Invoices!$E81)</f>
        <v/>
      </c>
      <c r="D313" s="32">
        <f>IF($A313="","",Supplier_Invoices!$H81)</f>
        <v/>
      </c>
      <c r="E313" s="43">
        <f>IF($A313="","",Supplier_Invoices!$W81)</f>
        <v/>
      </c>
      <c r="F313" s="32">
        <f>IF($A313="","",Supplier_Invoices!$O81)</f>
        <v/>
      </c>
      <c r="G313" s="32">
        <f>IF($A313="","","Supplier_Invoices")</f>
        <v/>
      </c>
      <c r="H313" s="44">
        <f>IF($A313="","",IF(COUNTIF($A:$A,$A313)&gt;1,"مكرر",""))</f>
        <v/>
      </c>
      <c r="I313" s="32">
        <f>IF($H313="مكرر","مكرر","")</f>
        <v/>
      </c>
    </row>
    <row r="314">
      <c r="A314" s="32">
        <f>IF(Supplier_Invoices!$A82="","",Supplier_Invoices!$A82)</f>
        <v/>
      </c>
      <c r="B314" s="32">
        <f>IF($A314="","","SINV")</f>
        <v/>
      </c>
      <c r="C314" s="33">
        <f>IF($A314="","",Supplier_Invoices!$E82)</f>
        <v/>
      </c>
      <c r="D314" s="32">
        <f>IF($A314="","",Supplier_Invoices!$H82)</f>
        <v/>
      </c>
      <c r="E314" s="43">
        <f>IF($A314="","",Supplier_Invoices!$W82)</f>
        <v/>
      </c>
      <c r="F314" s="32">
        <f>IF($A314="","",Supplier_Invoices!$O82)</f>
        <v/>
      </c>
      <c r="G314" s="32">
        <f>IF($A314="","","Supplier_Invoices")</f>
        <v/>
      </c>
      <c r="H314" s="44">
        <f>IF($A314="","",IF(COUNTIF($A:$A,$A314)&gt;1,"مكرر",""))</f>
        <v/>
      </c>
      <c r="I314" s="32">
        <f>IF($H314="مكرر","مكرر","")</f>
        <v/>
      </c>
    </row>
    <row r="315">
      <c r="A315" s="32">
        <f>IF(Supplier_Invoices!$A83="","",Supplier_Invoices!$A83)</f>
        <v/>
      </c>
      <c r="B315" s="32">
        <f>IF($A315="","","SINV")</f>
        <v/>
      </c>
      <c r="C315" s="33">
        <f>IF($A315="","",Supplier_Invoices!$E83)</f>
        <v/>
      </c>
      <c r="D315" s="32">
        <f>IF($A315="","",Supplier_Invoices!$H83)</f>
        <v/>
      </c>
      <c r="E315" s="43">
        <f>IF($A315="","",Supplier_Invoices!$W83)</f>
        <v/>
      </c>
      <c r="F315" s="32">
        <f>IF($A315="","",Supplier_Invoices!$O83)</f>
        <v/>
      </c>
      <c r="G315" s="32">
        <f>IF($A315="","","Supplier_Invoices")</f>
        <v/>
      </c>
      <c r="H315" s="44">
        <f>IF($A315="","",IF(COUNTIF($A:$A,$A315)&gt;1,"مكرر",""))</f>
        <v/>
      </c>
      <c r="I315" s="32">
        <f>IF($H315="مكرر","مكرر","")</f>
        <v/>
      </c>
    </row>
    <row r="316">
      <c r="A316" s="32">
        <f>IF(Supplier_Invoices!$A84="","",Supplier_Invoices!$A84)</f>
        <v/>
      </c>
      <c r="B316" s="32">
        <f>IF($A316="","","SINV")</f>
        <v/>
      </c>
      <c r="C316" s="33">
        <f>IF($A316="","",Supplier_Invoices!$E84)</f>
        <v/>
      </c>
      <c r="D316" s="32">
        <f>IF($A316="","",Supplier_Invoices!$H84)</f>
        <v/>
      </c>
      <c r="E316" s="43">
        <f>IF($A316="","",Supplier_Invoices!$W84)</f>
        <v/>
      </c>
      <c r="F316" s="32">
        <f>IF($A316="","",Supplier_Invoices!$O84)</f>
        <v/>
      </c>
      <c r="G316" s="32">
        <f>IF($A316="","","Supplier_Invoices")</f>
        <v/>
      </c>
      <c r="H316" s="44">
        <f>IF($A316="","",IF(COUNTIF($A:$A,$A316)&gt;1,"مكرر",""))</f>
        <v/>
      </c>
      <c r="I316" s="32">
        <f>IF($H316="مكرر","مكرر","")</f>
        <v/>
      </c>
    </row>
    <row r="317">
      <c r="A317" s="32">
        <f>IF(Supplier_Payments!$A5="","",Supplier_Payments!$A5)</f>
        <v/>
      </c>
      <c r="B317" s="32">
        <f>IF($A317="","","SPAY")</f>
        <v/>
      </c>
      <c r="C317" s="33">
        <f>IF($A317="","",Supplier_Payments!$B5)</f>
        <v/>
      </c>
      <c r="D317" s="32">
        <f>IF($A317="","",Supplier_Payments!$Q5)</f>
        <v/>
      </c>
      <c r="E317" s="43">
        <f>IF($A317="","",Supplier_Payments!$E5)</f>
        <v/>
      </c>
      <c r="F317" s="32">
        <f>IF($A317="","",Supplier_Payments!$I5)</f>
        <v/>
      </c>
      <c r="G317" s="32">
        <f>IF($A317="","","Supplier_Payments")</f>
        <v/>
      </c>
      <c r="H317" s="44">
        <f>IF($A317="","",IF(COUNTIF($A:$A,$A317)&gt;1,"مكرر",""))</f>
        <v/>
      </c>
      <c r="I317" s="32">
        <f>IF($H317="مكرر","مكرر","")</f>
        <v/>
      </c>
    </row>
    <row r="318">
      <c r="A318" s="32">
        <f>IF(Supplier_Payments!$A6="","",Supplier_Payments!$A6)</f>
        <v/>
      </c>
      <c r="B318" s="32">
        <f>IF($A318="","","SPAY")</f>
        <v/>
      </c>
      <c r="C318" s="33">
        <f>IF($A318="","",Supplier_Payments!$B6)</f>
        <v/>
      </c>
      <c r="D318" s="32">
        <f>IF($A318="","",Supplier_Payments!$Q6)</f>
        <v/>
      </c>
      <c r="E318" s="43">
        <f>IF($A318="","",Supplier_Payments!$E6)</f>
        <v/>
      </c>
      <c r="F318" s="32">
        <f>IF($A318="","",Supplier_Payments!$I6)</f>
        <v/>
      </c>
      <c r="G318" s="32">
        <f>IF($A318="","","Supplier_Payments")</f>
        <v/>
      </c>
      <c r="H318" s="44">
        <f>IF($A318="","",IF(COUNTIF($A:$A,$A318)&gt;1,"مكرر",""))</f>
        <v/>
      </c>
      <c r="I318" s="32">
        <f>IF($H318="مكرر","مكرر","")</f>
        <v/>
      </c>
    </row>
    <row r="319">
      <c r="A319" s="32">
        <f>IF(Supplier_Payments!$A7="","",Supplier_Payments!$A7)</f>
        <v/>
      </c>
      <c r="B319" s="32">
        <f>IF($A319="","","SPAY")</f>
        <v/>
      </c>
      <c r="C319" s="33">
        <f>IF($A319="","",Supplier_Payments!$B7)</f>
        <v/>
      </c>
      <c r="D319" s="32">
        <f>IF($A319="","",Supplier_Payments!$Q7)</f>
        <v/>
      </c>
      <c r="E319" s="43">
        <f>IF($A319="","",Supplier_Payments!$E7)</f>
        <v/>
      </c>
      <c r="F319" s="32">
        <f>IF($A319="","",Supplier_Payments!$I7)</f>
        <v/>
      </c>
      <c r="G319" s="32">
        <f>IF($A319="","","Supplier_Payments")</f>
        <v/>
      </c>
      <c r="H319" s="44">
        <f>IF($A319="","",IF(COUNTIF($A:$A,$A319)&gt;1,"مكرر",""))</f>
        <v/>
      </c>
      <c r="I319" s="32">
        <f>IF($H319="مكرر","مكرر","")</f>
        <v/>
      </c>
    </row>
    <row r="320">
      <c r="A320" s="32">
        <f>IF(Supplier_Payments!$A8="","",Supplier_Payments!$A8)</f>
        <v/>
      </c>
      <c r="B320" s="32">
        <f>IF($A320="","","SPAY")</f>
        <v/>
      </c>
      <c r="C320" s="33">
        <f>IF($A320="","",Supplier_Payments!$B8)</f>
        <v/>
      </c>
      <c r="D320" s="32">
        <f>IF($A320="","",Supplier_Payments!$Q8)</f>
        <v/>
      </c>
      <c r="E320" s="43">
        <f>IF($A320="","",Supplier_Payments!$E8)</f>
        <v/>
      </c>
      <c r="F320" s="32">
        <f>IF($A320="","",Supplier_Payments!$I8)</f>
        <v/>
      </c>
      <c r="G320" s="32">
        <f>IF($A320="","","Supplier_Payments")</f>
        <v/>
      </c>
      <c r="H320" s="44">
        <f>IF($A320="","",IF(COUNTIF($A:$A,$A320)&gt;1,"مكرر",""))</f>
        <v/>
      </c>
      <c r="I320" s="32">
        <f>IF($H320="مكرر","مكرر","")</f>
        <v/>
      </c>
    </row>
    <row r="321">
      <c r="A321" s="32">
        <f>IF(Supplier_Payments!$A9="","",Supplier_Payments!$A9)</f>
        <v/>
      </c>
      <c r="B321" s="32">
        <f>IF($A321="","","SPAY")</f>
        <v/>
      </c>
      <c r="C321" s="33">
        <f>IF($A321="","",Supplier_Payments!$B9)</f>
        <v/>
      </c>
      <c r="D321" s="32">
        <f>IF($A321="","",Supplier_Payments!$Q9)</f>
        <v/>
      </c>
      <c r="E321" s="43">
        <f>IF($A321="","",Supplier_Payments!$E9)</f>
        <v/>
      </c>
      <c r="F321" s="32">
        <f>IF($A321="","",Supplier_Payments!$I9)</f>
        <v/>
      </c>
      <c r="G321" s="32">
        <f>IF($A321="","","Supplier_Payments")</f>
        <v/>
      </c>
      <c r="H321" s="44">
        <f>IF($A321="","",IF(COUNTIF($A:$A,$A321)&gt;1,"مكرر",""))</f>
        <v/>
      </c>
      <c r="I321" s="32">
        <f>IF($H321="مكرر","مكرر","")</f>
        <v/>
      </c>
    </row>
    <row r="322">
      <c r="A322" s="32">
        <f>IF(Supplier_Payments!$A10="","",Supplier_Payments!$A10)</f>
        <v/>
      </c>
      <c r="B322" s="32">
        <f>IF($A322="","","SPAY")</f>
        <v/>
      </c>
      <c r="C322" s="33">
        <f>IF($A322="","",Supplier_Payments!$B10)</f>
        <v/>
      </c>
      <c r="D322" s="32">
        <f>IF($A322="","",Supplier_Payments!$Q10)</f>
        <v/>
      </c>
      <c r="E322" s="43">
        <f>IF($A322="","",Supplier_Payments!$E10)</f>
        <v/>
      </c>
      <c r="F322" s="32">
        <f>IF($A322="","",Supplier_Payments!$I10)</f>
        <v/>
      </c>
      <c r="G322" s="32">
        <f>IF($A322="","","Supplier_Payments")</f>
        <v/>
      </c>
      <c r="H322" s="44">
        <f>IF($A322="","",IF(COUNTIF($A:$A,$A322)&gt;1,"مكرر",""))</f>
        <v/>
      </c>
      <c r="I322" s="32">
        <f>IF($H322="مكرر","مكرر","")</f>
        <v/>
      </c>
    </row>
    <row r="323">
      <c r="A323" s="32">
        <f>IF(Supplier_Payments!$A11="","",Supplier_Payments!$A11)</f>
        <v/>
      </c>
      <c r="B323" s="32">
        <f>IF($A323="","","SPAY")</f>
        <v/>
      </c>
      <c r="C323" s="33">
        <f>IF($A323="","",Supplier_Payments!$B11)</f>
        <v/>
      </c>
      <c r="D323" s="32">
        <f>IF($A323="","",Supplier_Payments!$Q11)</f>
        <v/>
      </c>
      <c r="E323" s="43">
        <f>IF($A323="","",Supplier_Payments!$E11)</f>
        <v/>
      </c>
      <c r="F323" s="32">
        <f>IF($A323="","",Supplier_Payments!$I11)</f>
        <v/>
      </c>
      <c r="G323" s="32">
        <f>IF($A323="","","Supplier_Payments")</f>
        <v/>
      </c>
      <c r="H323" s="44">
        <f>IF($A323="","",IF(COUNTIF($A:$A,$A323)&gt;1,"مكرر",""))</f>
        <v/>
      </c>
      <c r="I323" s="32">
        <f>IF($H323="مكرر","مكرر","")</f>
        <v/>
      </c>
    </row>
    <row r="324">
      <c r="A324" s="32">
        <f>IF(Supplier_Payments!$A12="","",Supplier_Payments!$A12)</f>
        <v/>
      </c>
      <c r="B324" s="32">
        <f>IF($A324="","","SPAY")</f>
        <v/>
      </c>
      <c r="C324" s="33">
        <f>IF($A324="","",Supplier_Payments!$B12)</f>
        <v/>
      </c>
      <c r="D324" s="32">
        <f>IF($A324="","",Supplier_Payments!$Q12)</f>
        <v/>
      </c>
      <c r="E324" s="43">
        <f>IF($A324="","",Supplier_Payments!$E12)</f>
        <v/>
      </c>
      <c r="F324" s="32">
        <f>IF($A324="","",Supplier_Payments!$I12)</f>
        <v/>
      </c>
      <c r="G324" s="32">
        <f>IF($A324="","","Supplier_Payments")</f>
        <v/>
      </c>
      <c r="H324" s="44">
        <f>IF($A324="","",IF(COUNTIF($A:$A,$A324)&gt;1,"مكرر",""))</f>
        <v/>
      </c>
      <c r="I324" s="32">
        <f>IF($H324="مكرر","مكرر","")</f>
        <v/>
      </c>
    </row>
    <row r="325">
      <c r="A325" s="32">
        <f>IF(Supplier_Payments!$A13="","",Supplier_Payments!$A13)</f>
        <v/>
      </c>
      <c r="B325" s="32">
        <f>IF($A325="","","SPAY")</f>
        <v/>
      </c>
      <c r="C325" s="33">
        <f>IF($A325="","",Supplier_Payments!$B13)</f>
        <v/>
      </c>
      <c r="D325" s="32">
        <f>IF($A325="","",Supplier_Payments!$Q13)</f>
        <v/>
      </c>
      <c r="E325" s="43">
        <f>IF($A325="","",Supplier_Payments!$E13)</f>
        <v/>
      </c>
      <c r="F325" s="32">
        <f>IF($A325="","",Supplier_Payments!$I13)</f>
        <v/>
      </c>
      <c r="G325" s="32">
        <f>IF($A325="","","Supplier_Payments")</f>
        <v/>
      </c>
      <c r="H325" s="44">
        <f>IF($A325="","",IF(COUNTIF($A:$A,$A325)&gt;1,"مكرر",""))</f>
        <v/>
      </c>
      <c r="I325" s="32">
        <f>IF($H325="مكرر","مكرر","")</f>
        <v/>
      </c>
    </row>
    <row r="326">
      <c r="A326" s="32">
        <f>IF(Supplier_Payments!$A14="","",Supplier_Payments!$A14)</f>
        <v/>
      </c>
      <c r="B326" s="32">
        <f>IF($A326="","","SPAY")</f>
        <v/>
      </c>
      <c r="C326" s="33">
        <f>IF($A326="","",Supplier_Payments!$B14)</f>
        <v/>
      </c>
      <c r="D326" s="32">
        <f>IF($A326="","",Supplier_Payments!$Q14)</f>
        <v/>
      </c>
      <c r="E326" s="43">
        <f>IF($A326="","",Supplier_Payments!$E14)</f>
        <v/>
      </c>
      <c r="F326" s="32">
        <f>IF($A326="","",Supplier_Payments!$I14)</f>
        <v/>
      </c>
      <c r="G326" s="32">
        <f>IF($A326="","","Supplier_Payments")</f>
        <v/>
      </c>
      <c r="H326" s="44">
        <f>IF($A326="","",IF(COUNTIF($A:$A,$A326)&gt;1,"مكرر",""))</f>
        <v/>
      </c>
      <c r="I326" s="32">
        <f>IF($H326="مكرر","مكرر","")</f>
        <v/>
      </c>
    </row>
    <row r="327">
      <c r="A327" s="32">
        <f>IF(Supplier_Payments!$A15="","",Supplier_Payments!$A15)</f>
        <v/>
      </c>
      <c r="B327" s="32">
        <f>IF($A327="","","SPAY")</f>
        <v/>
      </c>
      <c r="C327" s="33">
        <f>IF($A327="","",Supplier_Payments!$B15)</f>
        <v/>
      </c>
      <c r="D327" s="32">
        <f>IF($A327="","",Supplier_Payments!$Q15)</f>
        <v/>
      </c>
      <c r="E327" s="43">
        <f>IF($A327="","",Supplier_Payments!$E15)</f>
        <v/>
      </c>
      <c r="F327" s="32">
        <f>IF($A327="","",Supplier_Payments!$I15)</f>
        <v/>
      </c>
      <c r="G327" s="32">
        <f>IF($A327="","","Supplier_Payments")</f>
        <v/>
      </c>
      <c r="H327" s="44">
        <f>IF($A327="","",IF(COUNTIF($A:$A,$A327)&gt;1,"مكرر",""))</f>
        <v/>
      </c>
      <c r="I327" s="32">
        <f>IF($H327="مكرر","مكرر","")</f>
        <v/>
      </c>
    </row>
    <row r="328">
      <c r="A328" s="32">
        <f>IF(Supplier_Payments!$A16="","",Supplier_Payments!$A16)</f>
        <v/>
      </c>
      <c r="B328" s="32">
        <f>IF($A328="","","SPAY")</f>
        <v/>
      </c>
      <c r="C328" s="33">
        <f>IF($A328="","",Supplier_Payments!$B16)</f>
        <v/>
      </c>
      <c r="D328" s="32">
        <f>IF($A328="","",Supplier_Payments!$Q16)</f>
        <v/>
      </c>
      <c r="E328" s="43">
        <f>IF($A328="","",Supplier_Payments!$E16)</f>
        <v/>
      </c>
      <c r="F328" s="32">
        <f>IF($A328="","",Supplier_Payments!$I16)</f>
        <v/>
      </c>
      <c r="G328" s="32">
        <f>IF($A328="","","Supplier_Payments")</f>
        <v/>
      </c>
      <c r="H328" s="44">
        <f>IF($A328="","",IF(COUNTIF($A:$A,$A328)&gt;1,"مكرر",""))</f>
        <v/>
      </c>
      <c r="I328" s="32">
        <f>IF($H328="مكرر","مكرر","")</f>
        <v/>
      </c>
    </row>
    <row r="329">
      <c r="A329" s="32">
        <f>IF(Supplier_Payments!$A17="","",Supplier_Payments!$A17)</f>
        <v/>
      </c>
      <c r="B329" s="32">
        <f>IF($A329="","","SPAY")</f>
        <v/>
      </c>
      <c r="C329" s="33">
        <f>IF($A329="","",Supplier_Payments!$B17)</f>
        <v/>
      </c>
      <c r="D329" s="32">
        <f>IF($A329="","",Supplier_Payments!$Q17)</f>
        <v/>
      </c>
      <c r="E329" s="43">
        <f>IF($A329="","",Supplier_Payments!$E17)</f>
        <v/>
      </c>
      <c r="F329" s="32">
        <f>IF($A329="","",Supplier_Payments!$I17)</f>
        <v/>
      </c>
      <c r="G329" s="32">
        <f>IF($A329="","","Supplier_Payments")</f>
        <v/>
      </c>
      <c r="H329" s="44">
        <f>IF($A329="","",IF(COUNTIF($A:$A,$A329)&gt;1,"مكرر",""))</f>
        <v/>
      </c>
      <c r="I329" s="32">
        <f>IF($H329="مكرر","مكرر","")</f>
        <v/>
      </c>
    </row>
    <row r="330">
      <c r="A330" s="32">
        <f>IF(Supplier_Payments!$A18="","",Supplier_Payments!$A18)</f>
        <v/>
      </c>
      <c r="B330" s="32">
        <f>IF($A330="","","SPAY")</f>
        <v/>
      </c>
      <c r="C330" s="33">
        <f>IF($A330="","",Supplier_Payments!$B18)</f>
        <v/>
      </c>
      <c r="D330" s="32">
        <f>IF($A330="","",Supplier_Payments!$Q18)</f>
        <v/>
      </c>
      <c r="E330" s="43">
        <f>IF($A330="","",Supplier_Payments!$E18)</f>
        <v/>
      </c>
      <c r="F330" s="32">
        <f>IF($A330="","",Supplier_Payments!$I18)</f>
        <v/>
      </c>
      <c r="G330" s="32">
        <f>IF($A330="","","Supplier_Payments")</f>
        <v/>
      </c>
      <c r="H330" s="44">
        <f>IF($A330="","",IF(COUNTIF($A:$A,$A330)&gt;1,"مكرر",""))</f>
        <v/>
      </c>
      <c r="I330" s="32">
        <f>IF($H330="مكرر","مكرر","")</f>
        <v/>
      </c>
    </row>
    <row r="331">
      <c r="A331" s="32">
        <f>IF(Supplier_Payments!$A19="","",Supplier_Payments!$A19)</f>
        <v/>
      </c>
      <c r="B331" s="32">
        <f>IF($A331="","","SPAY")</f>
        <v/>
      </c>
      <c r="C331" s="33">
        <f>IF($A331="","",Supplier_Payments!$B19)</f>
        <v/>
      </c>
      <c r="D331" s="32">
        <f>IF($A331="","",Supplier_Payments!$Q19)</f>
        <v/>
      </c>
      <c r="E331" s="43">
        <f>IF($A331="","",Supplier_Payments!$E19)</f>
        <v/>
      </c>
      <c r="F331" s="32">
        <f>IF($A331="","",Supplier_Payments!$I19)</f>
        <v/>
      </c>
      <c r="G331" s="32">
        <f>IF($A331="","","Supplier_Payments")</f>
        <v/>
      </c>
      <c r="H331" s="44">
        <f>IF($A331="","",IF(COUNTIF($A:$A,$A331)&gt;1,"مكرر",""))</f>
        <v/>
      </c>
      <c r="I331" s="32">
        <f>IF($H331="مكرر","مكرر","")</f>
        <v/>
      </c>
    </row>
    <row r="332">
      <c r="A332" s="32">
        <f>IF(Supplier_Payments!$A20="","",Supplier_Payments!$A20)</f>
        <v/>
      </c>
      <c r="B332" s="32">
        <f>IF($A332="","","SPAY")</f>
        <v/>
      </c>
      <c r="C332" s="33">
        <f>IF($A332="","",Supplier_Payments!$B20)</f>
        <v/>
      </c>
      <c r="D332" s="32">
        <f>IF($A332="","",Supplier_Payments!$Q20)</f>
        <v/>
      </c>
      <c r="E332" s="43">
        <f>IF($A332="","",Supplier_Payments!$E20)</f>
        <v/>
      </c>
      <c r="F332" s="32">
        <f>IF($A332="","",Supplier_Payments!$I20)</f>
        <v/>
      </c>
      <c r="G332" s="32">
        <f>IF($A332="","","Supplier_Payments")</f>
        <v/>
      </c>
      <c r="H332" s="44">
        <f>IF($A332="","",IF(COUNTIF($A:$A,$A332)&gt;1,"مكرر",""))</f>
        <v/>
      </c>
      <c r="I332" s="32">
        <f>IF($H332="مكرر","مكرر","")</f>
        <v/>
      </c>
    </row>
    <row r="333">
      <c r="A333" s="32">
        <f>IF(Supplier_Payments!$A21="","",Supplier_Payments!$A21)</f>
        <v/>
      </c>
      <c r="B333" s="32">
        <f>IF($A333="","","SPAY")</f>
        <v/>
      </c>
      <c r="C333" s="33">
        <f>IF($A333="","",Supplier_Payments!$B21)</f>
        <v/>
      </c>
      <c r="D333" s="32">
        <f>IF($A333="","",Supplier_Payments!$Q21)</f>
        <v/>
      </c>
      <c r="E333" s="43">
        <f>IF($A333="","",Supplier_Payments!$E21)</f>
        <v/>
      </c>
      <c r="F333" s="32">
        <f>IF($A333="","",Supplier_Payments!$I21)</f>
        <v/>
      </c>
      <c r="G333" s="32">
        <f>IF($A333="","","Supplier_Payments")</f>
        <v/>
      </c>
      <c r="H333" s="44">
        <f>IF($A333="","",IF(COUNTIF($A:$A,$A333)&gt;1,"مكرر",""))</f>
        <v/>
      </c>
      <c r="I333" s="32">
        <f>IF($H333="مكرر","مكرر","")</f>
        <v/>
      </c>
    </row>
    <row r="334">
      <c r="A334" s="32">
        <f>IF(Supplier_Payments!$A22="","",Supplier_Payments!$A22)</f>
        <v/>
      </c>
      <c r="B334" s="32">
        <f>IF($A334="","","SPAY")</f>
        <v/>
      </c>
      <c r="C334" s="33">
        <f>IF($A334="","",Supplier_Payments!$B22)</f>
        <v/>
      </c>
      <c r="D334" s="32">
        <f>IF($A334="","",Supplier_Payments!$Q22)</f>
        <v/>
      </c>
      <c r="E334" s="43">
        <f>IF($A334="","",Supplier_Payments!$E22)</f>
        <v/>
      </c>
      <c r="F334" s="32">
        <f>IF($A334="","",Supplier_Payments!$I22)</f>
        <v/>
      </c>
      <c r="G334" s="32">
        <f>IF($A334="","","Supplier_Payments")</f>
        <v/>
      </c>
      <c r="H334" s="44">
        <f>IF($A334="","",IF(COUNTIF($A:$A,$A334)&gt;1,"مكرر",""))</f>
        <v/>
      </c>
      <c r="I334" s="32">
        <f>IF($H334="مكرر","مكرر","")</f>
        <v/>
      </c>
    </row>
    <row r="335">
      <c r="A335" s="32">
        <f>IF(Supplier_Payments!$A23="","",Supplier_Payments!$A23)</f>
        <v/>
      </c>
      <c r="B335" s="32">
        <f>IF($A335="","","SPAY")</f>
        <v/>
      </c>
      <c r="C335" s="33">
        <f>IF($A335="","",Supplier_Payments!$B23)</f>
        <v/>
      </c>
      <c r="D335" s="32">
        <f>IF($A335="","",Supplier_Payments!$Q23)</f>
        <v/>
      </c>
      <c r="E335" s="43">
        <f>IF($A335="","",Supplier_Payments!$E23)</f>
        <v/>
      </c>
      <c r="F335" s="32">
        <f>IF($A335="","",Supplier_Payments!$I23)</f>
        <v/>
      </c>
      <c r="G335" s="32">
        <f>IF($A335="","","Supplier_Payments")</f>
        <v/>
      </c>
      <c r="H335" s="44">
        <f>IF($A335="","",IF(COUNTIF($A:$A,$A335)&gt;1,"مكرر",""))</f>
        <v/>
      </c>
      <c r="I335" s="32">
        <f>IF($H335="مكرر","مكرر","")</f>
        <v/>
      </c>
    </row>
    <row r="336">
      <c r="A336" s="32">
        <f>IF(Supplier_Payments!$A24="","",Supplier_Payments!$A24)</f>
        <v/>
      </c>
      <c r="B336" s="32">
        <f>IF($A336="","","SPAY")</f>
        <v/>
      </c>
      <c r="C336" s="33">
        <f>IF($A336="","",Supplier_Payments!$B24)</f>
        <v/>
      </c>
      <c r="D336" s="32">
        <f>IF($A336="","",Supplier_Payments!$Q24)</f>
        <v/>
      </c>
      <c r="E336" s="43">
        <f>IF($A336="","",Supplier_Payments!$E24)</f>
        <v/>
      </c>
      <c r="F336" s="32">
        <f>IF($A336="","",Supplier_Payments!$I24)</f>
        <v/>
      </c>
      <c r="G336" s="32">
        <f>IF($A336="","","Supplier_Payments")</f>
        <v/>
      </c>
      <c r="H336" s="44">
        <f>IF($A336="","",IF(COUNTIF($A:$A,$A336)&gt;1,"مكرر",""))</f>
        <v/>
      </c>
      <c r="I336" s="32">
        <f>IF($H336="مكرر","مكرر","")</f>
        <v/>
      </c>
    </row>
    <row r="337">
      <c r="A337" s="32">
        <f>IF(Supplier_Payments!$A25="","",Supplier_Payments!$A25)</f>
        <v/>
      </c>
      <c r="B337" s="32">
        <f>IF($A337="","","SPAY")</f>
        <v/>
      </c>
      <c r="C337" s="33">
        <f>IF($A337="","",Supplier_Payments!$B25)</f>
        <v/>
      </c>
      <c r="D337" s="32">
        <f>IF($A337="","",Supplier_Payments!$Q25)</f>
        <v/>
      </c>
      <c r="E337" s="43">
        <f>IF($A337="","",Supplier_Payments!$E25)</f>
        <v/>
      </c>
      <c r="F337" s="32">
        <f>IF($A337="","",Supplier_Payments!$I25)</f>
        <v/>
      </c>
      <c r="G337" s="32">
        <f>IF($A337="","","Supplier_Payments")</f>
        <v/>
      </c>
      <c r="H337" s="44">
        <f>IF($A337="","",IF(COUNTIF($A:$A,$A337)&gt;1,"مكرر",""))</f>
        <v/>
      </c>
      <c r="I337" s="32">
        <f>IF($H337="مكرر","مكرر","")</f>
        <v/>
      </c>
    </row>
    <row r="338">
      <c r="A338" s="32">
        <f>IF(Supplier_Payments!$A26="","",Supplier_Payments!$A26)</f>
        <v/>
      </c>
      <c r="B338" s="32">
        <f>IF($A338="","","SPAY")</f>
        <v/>
      </c>
      <c r="C338" s="33">
        <f>IF($A338="","",Supplier_Payments!$B26)</f>
        <v/>
      </c>
      <c r="D338" s="32">
        <f>IF($A338="","",Supplier_Payments!$Q26)</f>
        <v/>
      </c>
      <c r="E338" s="43">
        <f>IF($A338="","",Supplier_Payments!$E26)</f>
        <v/>
      </c>
      <c r="F338" s="32">
        <f>IF($A338="","",Supplier_Payments!$I26)</f>
        <v/>
      </c>
      <c r="G338" s="32">
        <f>IF($A338="","","Supplier_Payments")</f>
        <v/>
      </c>
      <c r="H338" s="44">
        <f>IF($A338="","",IF(COUNTIF($A:$A,$A338)&gt;1,"مكرر",""))</f>
        <v/>
      </c>
      <c r="I338" s="32">
        <f>IF($H338="مكرر","مكرر","")</f>
        <v/>
      </c>
    </row>
    <row r="339">
      <c r="A339" s="32">
        <f>IF(Supplier_Payments!$A27="","",Supplier_Payments!$A27)</f>
        <v/>
      </c>
      <c r="B339" s="32">
        <f>IF($A339="","","SPAY")</f>
        <v/>
      </c>
      <c r="C339" s="33">
        <f>IF($A339="","",Supplier_Payments!$B27)</f>
        <v/>
      </c>
      <c r="D339" s="32">
        <f>IF($A339="","",Supplier_Payments!$Q27)</f>
        <v/>
      </c>
      <c r="E339" s="43">
        <f>IF($A339="","",Supplier_Payments!$E27)</f>
        <v/>
      </c>
      <c r="F339" s="32">
        <f>IF($A339="","",Supplier_Payments!$I27)</f>
        <v/>
      </c>
      <c r="G339" s="32">
        <f>IF($A339="","","Supplier_Payments")</f>
        <v/>
      </c>
      <c r="H339" s="44">
        <f>IF($A339="","",IF(COUNTIF($A:$A,$A339)&gt;1,"مكرر",""))</f>
        <v/>
      </c>
      <c r="I339" s="32">
        <f>IF($H339="مكرر","مكرر","")</f>
        <v/>
      </c>
    </row>
    <row r="340">
      <c r="A340" s="32">
        <f>IF(Supplier_Payments!$A28="","",Supplier_Payments!$A28)</f>
        <v/>
      </c>
      <c r="B340" s="32">
        <f>IF($A340="","","SPAY")</f>
        <v/>
      </c>
      <c r="C340" s="33">
        <f>IF($A340="","",Supplier_Payments!$B28)</f>
        <v/>
      </c>
      <c r="D340" s="32">
        <f>IF($A340="","",Supplier_Payments!$Q28)</f>
        <v/>
      </c>
      <c r="E340" s="43">
        <f>IF($A340="","",Supplier_Payments!$E28)</f>
        <v/>
      </c>
      <c r="F340" s="32">
        <f>IF($A340="","",Supplier_Payments!$I28)</f>
        <v/>
      </c>
      <c r="G340" s="32">
        <f>IF($A340="","","Supplier_Payments")</f>
        <v/>
      </c>
      <c r="H340" s="44">
        <f>IF($A340="","",IF(COUNTIF($A:$A,$A340)&gt;1,"مكرر",""))</f>
        <v/>
      </c>
      <c r="I340" s="32">
        <f>IF($H340="مكرر","مكرر","")</f>
        <v/>
      </c>
    </row>
    <row r="341">
      <c r="A341" s="32">
        <f>IF(Supplier_Payments!$A29="","",Supplier_Payments!$A29)</f>
        <v/>
      </c>
      <c r="B341" s="32">
        <f>IF($A341="","","SPAY")</f>
        <v/>
      </c>
      <c r="C341" s="33">
        <f>IF($A341="","",Supplier_Payments!$B29)</f>
        <v/>
      </c>
      <c r="D341" s="32">
        <f>IF($A341="","",Supplier_Payments!$Q29)</f>
        <v/>
      </c>
      <c r="E341" s="43">
        <f>IF($A341="","",Supplier_Payments!$E29)</f>
        <v/>
      </c>
      <c r="F341" s="32">
        <f>IF($A341="","",Supplier_Payments!$I29)</f>
        <v/>
      </c>
      <c r="G341" s="32">
        <f>IF($A341="","","Supplier_Payments")</f>
        <v/>
      </c>
      <c r="H341" s="44">
        <f>IF($A341="","",IF(COUNTIF($A:$A,$A341)&gt;1,"مكرر",""))</f>
        <v/>
      </c>
      <c r="I341" s="32">
        <f>IF($H341="مكرر","مكرر","")</f>
        <v/>
      </c>
    </row>
    <row r="342">
      <c r="A342" s="32">
        <f>IF(Supplier_Payments!$A30="","",Supplier_Payments!$A30)</f>
        <v/>
      </c>
      <c r="B342" s="32">
        <f>IF($A342="","","SPAY")</f>
        <v/>
      </c>
      <c r="C342" s="33">
        <f>IF($A342="","",Supplier_Payments!$B30)</f>
        <v/>
      </c>
      <c r="D342" s="32">
        <f>IF($A342="","",Supplier_Payments!$Q30)</f>
        <v/>
      </c>
      <c r="E342" s="43">
        <f>IF($A342="","",Supplier_Payments!$E30)</f>
        <v/>
      </c>
      <c r="F342" s="32">
        <f>IF($A342="","",Supplier_Payments!$I30)</f>
        <v/>
      </c>
      <c r="G342" s="32">
        <f>IF($A342="","","Supplier_Payments")</f>
        <v/>
      </c>
      <c r="H342" s="44">
        <f>IF($A342="","",IF(COUNTIF($A:$A,$A342)&gt;1,"مكرر",""))</f>
        <v/>
      </c>
      <c r="I342" s="32">
        <f>IF($H342="مكرر","مكرر","")</f>
        <v/>
      </c>
    </row>
    <row r="343">
      <c r="A343" s="32">
        <f>IF(Supplier_Payments!$A31="","",Supplier_Payments!$A31)</f>
        <v/>
      </c>
      <c r="B343" s="32">
        <f>IF($A343="","","SPAY")</f>
        <v/>
      </c>
      <c r="C343" s="33">
        <f>IF($A343="","",Supplier_Payments!$B31)</f>
        <v/>
      </c>
      <c r="D343" s="32">
        <f>IF($A343="","",Supplier_Payments!$Q31)</f>
        <v/>
      </c>
      <c r="E343" s="43">
        <f>IF($A343="","",Supplier_Payments!$E31)</f>
        <v/>
      </c>
      <c r="F343" s="32">
        <f>IF($A343="","",Supplier_Payments!$I31)</f>
        <v/>
      </c>
      <c r="G343" s="32">
        <f>IF($A343="","","Supplier_Payments")</f>
        <v/>
      </c>
      <c r="H343" s="44">
        <f>IF($A343="","",IF(COUNTIF($A:$A,$A343)&gt;1,"مكرر",""))</f>
        <v/>
      </c>
      <c r="I343" s="32">
        <f>IF($H343="مكرر","مكرر","")</f>
        <v/>
      </c>
    </row>
    <row r="344">
      <c r="A344" s="32">
        <f>IF(Supplier_Payments!$A32="","",Supplier_Payments!$A32)</f>
        <v/>
      </c>
      <c r="B344" s="32">
        <f>IF($A344="","","SPAY")</f>
        <v/>
      </c>
      <c r="C344" s="33">
        <f>IF($A344="","",Supplier_Payments!$B32)</f>
        <v/>
      </c>
      <c r="D344" s="32">
        <f>IF($A344="","",Supplier_Payments!$Q32)</f>
        <v/>
      </c>
      <c r="E344" s="43">
        <f>IF($A344="","",Supplier_Payments!$E32)</f>
        <v/>
      </c>
      <c r="F344" s="32">
        <f>IF($A344="","",Supplier_Payments!$I32)</f>
        <v/>
      </c>
      <c r="G344" s="32">
        <f>IF($A344="","","Supplier_Payments")</f>
        <v/>
      </c>
      <c r="H344" s="44">
        <f>IF($A344="","",IF(COUNTIF($A:$A,$A344)&gt;1,"مكرر",""))</f>
        <v/>
      </c>
      <c r="I344" s="32">
        <f>IF($H344="مكرر","مكرر","")</f>
        <v/>
      </c>
    </row>
    <row r="345">
      <c r="A345" s="32">
        <f>IF(Supplier_Payments!$A33="","",Supplier_Payments!$A33)</f>
        <v/>
      </c>
      <c r="B345" s="32">
        <f>IF($A345="","","SPAY")</f>
        <v/>
      </c>
      <c r="C345" s="33">
        <f>IF($A345="","",Supplier_Payments!$B33)</f>
        <v/>
      </c>
      <c r="D345" s="32">
        <f>IF($A345="","",Supplier_Payments!$Q33)</f>
        <v/>
      </c>
      <c r="E345" s="43">
        <f>IF($A345="","",Supplier_Payments!$E33)</f>
        <v/>
      </c>
      <c r="F345" s="32">
        <f>IF($A345="","",Supplier_Payments!$I33)</f>
        <v/>
      </c>
      <c r="G345" s="32">
        <f>IF($A345="","","Supplier_Payments")</f>
        <v/>
      </c>
      <c r="H345" s="44">
        <f>IF($A345="","",IF(COUNTIF($A:$A,$A345)&gt;1,"مكرر",""))</f>
        <v/>
      </c>
      <c r="I345" s="32">
        <f>IF($H345="مكرر","مكرر","")</f>
        <v/>
      </c>
    </row>
    <row r="346">
      <c r="A346" s="32">
        <f>IF(Supplier_Payments!$A34="","",Supplier_Payments!$A34)</f>
        <v/>
      </c>
      <c r="B346" s="32">
        <f>IF($A346="","","SPAY")</f>
        <v/>
      </c>
      <c r="C346" s="33">
        <f>IF($A346="","",Supplier_Payments!$B34)</f>
        <v/>
      </c>
      <c r="D346" s="32">
        <f>IF($A346="","",Supplier_Payments!$Q34)</f>
        <v/>
      </c>
      <c r="E346" s="43">
        <f>IF($A346="","",Supplier_Payments!$E34)</f>
        <v/>
      </c>
      <c r="F346" s="32">
        <f>IF($A346="","",Supplier_Payments!$I34)</f>
        <v/>
      </c>
      <c r="G346" s="32">
        <f>IF($A346="","","Supplier_Payments")</f>
        <v/>
      </c>
      <c r="H346" s="44">
        <f>IF($A346="","",IF(COUNTIF($A:$A,$A346)&gt;1,"مكرر",""))</f>
        <v/>
      </c>
      <c r="I346" s="32">
        <f>IF($H346="مكرر","مكرر","")</f>
        <v/>
      </c>
    </row>
    <row r="347">
      <c r="A347" s="32">
        <f>IF(Supplier_Payments!$A35="","",Supplier_Payments!$A35)</f>
        <v/>
      </c>
      <c r="B347" s="32">
        <f>IF($A347="","","SPAY")</f>
        <v/>
      </c>
      <c r="C347" s="33">
        <f>IF($A347="","",Supplier_Payments!$B35)</f>
        <v/>
      </c>
      <c r="D347" s="32">
        <f>IF($A347="","",Supplier_Payments!$Q35)</f>
        <v/>
      </c>
      <c r="E347" s="43">
        <f>IF($A347="","",Supplier_Payments!$E35)</f>
        <v/>
      </c>
      <c r="F347" s="32">
        <f>IF($A347="","",Supplier_Payments!$I35)</f>
        <v/>
      </c>
      <c r="G347" s="32">
        <f>IF($A347="","","Supplier_Payments")</f>
        <v/>
      </c>
      <c r="H347" s="44">
        <f>IF($A347="","",IF(COUNTIF($A:$A,$A347)&gt;1,"مكرر",""))</f>
        <v/>
      </c>
      <c r="I347" s="32">
        <f>IF($H347="مكرر","مكرر","")</f>
        <v/>
      </c>
    </row>
    <row r="348">
      <c r="A348" s="32">
        <f>IF(Supplier_Payments!$A36="","",Supplier_Payments!$A36)</f>
        <v/>
      </c>
      <c r="B348" s="32">
        <f>IF($A348="","","SPAY")</f>
        <v/>
      </c>
      <c r="C348" s="33">
        <f>IF($A348="","",Supplier_Payments!$B36)</f>
        <v/>
      </c>
      <c r="D348" s="32">
        <f>IF($A348="","",Supplier_Payments!$Q36)</f>
        <v/>
      </c>
      <c r="E348" s="43">
        <f>IF($A348="","",Supplier_Payments!$E36)</f>
        <v/>
      </c>
      <c r="F348" s="32">
        <f>IF($A348="","",Supplier_Payments!$I36)</f>
        <v/>
      </c>
      <c r="G348" s="32">
        <f>IF($A348="","","Supplier_Payments")</f>
        <v/>
      </c>
      <c r="H348" s="44">
        <f>IF($A348="","",IF(COUNTIF($A:$A,$A348)&gt;1,"مكرر",""))</f>
        <v/>
      </c>
      <c r="I348" s="32">
        <f>IF($H348="مكرر","مكرر","")</f>
        <v/>
      </c>
    </row>
    <row r="349">
      <c r="A349" s="32">
        <f>IF(Supplier_Payments!$A37="","",Supplier_Payments!$A37)</f>
        <v/>
      </c>
      <c r="B349" s="32">
        <f>IF($A349="","","SPAY")</f>
        <v/>
      </c>
      <c r="C349" s="33">
        <f>IF($A349="","",Supplier_Payments!$B37)</f>
        <v/>
      </c>
      <c r="D349" s="32">
        <f>IF($A349="","",Supplier_Payments!$Q37)</f>
        <v/>
      </c>
      <c r="E349" s="43">
        <f>IF($A349="","",Supplier_Payments!$E37)</f>
        <v/>
      </c>
      <c r="F349" s="32">
        <f>IF($A349="","",Supplier_Payments!$I37)</f>
        <v/>
      </c>
      <c r="G349" s="32">
        <f>IF($A349="","","Supplier_Payments")</f>
        <v/>
      </c>
      <c r="H349" s="44">
        <f>IF($A349="","",IF(COUNTIF($A:$A,$A349)&gt;1,"مكرر",""))</f>
        <v/>
      </c>
      <c r="I349" s="32">
        <f>IF($H349="مكرر","مكرر","")</f>
        <v/>
      </c>
    </row>
    <row r="350">
      <c r="A350" s="32">
        <f>IF(Supplier_Payments!$A38="","",Supplier_Payments!$A38)</f>
        <v/>
      </c>
      <c r="B350" s="32">
        <f>IF($A350="","","SPAY")</f>
        <v/>
      </c>
      <c r="C350" s="33">
        <f>IF($A350="","",Supplier_Payments!$B38)</f>
        <v/>
      </c>
      <c r="D350" s="32">
        <f>IF($A350="","",Supplier_Payments!$Q38)</f>
        <v/>
      </c>
      <c r="E350" s="43">
        <f>IF($A350="","",Supplier_Payments!$E38)</f>
        <v/>
      </c>
      <c r="F350" s="32">
        <f>IF($A350="","",Supplier_Payments!$I38)</f>
        <v/>
      </c>
      <c r="G350" s="32">
        <f>IF($A350="","","Supplier_Payments")</f>
        <v/>
      </c>
      <c r="H350" s="44">
        <f>IF($A350="","",IF(COUNTIF($A:$A,$A350)&gt;1,"مكرر",""))</f>
        <v/>
      </c>
      <c r="I350" s="32">
        <f>IF($H350="مكرر","مكرر","")</f>
        <v/>
      </c>
    </row>
    <row r="351">
      <c r="A351" s="32">
        <f>IF(Supplier_Payments!$A39="","",Supplier_Payments!$A39)</f>
        <v/>
      </c>
      <c r="B351" s="32">
        <f>IF($A351="","","SPAY")</f>
        <v/>
      </c>
      <c r="C351" s="33">
        <f>IF($A351="","",Supplier_Payments!$B39)</f>
        <v/>
      </c>
      <c r="D351" s="32">
        <f>IF($A351="","",Supplier_Payments!$Q39)</f>
        <v/>
      </c>
      <c r="E351" s="43">
        <f>IF($A351="","",Supplier_Payments!$E39)</f>
        <v/>
      </c>
      <c r="F351" s="32">
        <f>IF($A351="","",Supplier_Payments!$I39)</f>
        <v/>
      </c>
      <c r="G351" s="32">
        <f>IF($A351="","","Supplier_Payments")</f>
        <v/>
      </c>
      <c r="H351" s="44">
        <f>IF($A351="","",IF(COUNTIF($A:$A,$A351)&gt;1,"مكرر",""))</f>
        <v/>
      </c>
      <c r="I351" s="32">
        <f>IF($H351="مكرر","مكرر","")</f>
        <v/>
      </c>
    </row>
    <row r="352">
      <c r="A352" s="32">
        <f>IF(Supplier_Payments!$A40="","",Supplier_Payments!$A40)</f>
        <v/>
      </c>
      <c r="B352" s="32">
        <f>IF($A352="","","SPAY")</f>
        <v/>
      </c>
      <c r="C352" s="33">
        <f>IF($A352="","",Supplier_Payments!$B40)</f>
        <v/>
      </c>
      <c r="D352" s="32">
        <f>IF($A352="","",Supplier_Payments!$Q40)</f>
        <v/>
      </c>
      <c r="E352" s="43">
        <f>IF($A352="","",Supplier_Payments!$E40)</f>
        <v/>
      </c>
      <c r="F352" s="32">
        <f>IF($A352="","",Supplier_Payments!$I40)</f>
        <v/>
      </c>
      <c r="G352" s="32">
        <f>IF($A352="","","Supplier_Payments")</f>
        <v/>
      </c>
      <c r="H352" s="44">
        <f>IF($A352="","",IF(COUNTIF($A:$A,$A352)&gt;1,"مكرر",""))</f>
        <v/>
      </c>
      <c r="I352" s="32">
        <f>IF($H352="مكرر","مكرر","")</f>
        <v/>
      </c>
    </row>
    <row r="353">
      <c r="A353" s="32">
        <f>IF(Supplier_Payments!$A41="","",Supplier_Payments!$A41)</f>
        <v/>
      </c>
      <c r="B353" s="32">
        <f>IF($A353="","","SPAY")</f>
        <v/>
      </c>
      <c r="C353" s="33">
        <f>IF($A353="","",Supplier_Payments!$B41)</f>
        <v/>
      </c>
      <c r="D353" s="32">
        <f>IF($A353="","",Supplier_Payments!$Q41)</f>
        <v/>
      </c>
      <c r="E353" s="43">
        <f>IF($A353="","",Supplier_Payments!$E41)</f>
        <v/>
      </c>
      <c r="F353" s="32">
        <f>IF($A353="","",Supplier_Payments!$I41)</f>
        <v/>
      </c>
      <c r="G353" s="32">
        <f>IF($A353="","","Supplier_Payments")</f>
        <v/>
      </c>
      <c r="H353" s="44">
        <f>IF($A353="","",IF(COUNTIF($A:$A,$A353)&gt;1,"مكرر",""))</f>
        <v/>
      </c>
      <c r="I353" s="32">
        <f>IF($H353="مكرر","مكرر","")</f>
        <v/>
      </c>
    </row>
    <row r="354">
      <c r="A354" s="32">
        <f>IF(Supplier_Payments!$A42="","",Supplier_Payments!$A42)</f>
        <v/>
      </c>
      <c r="B354" s="32">
        <f>IF($A354="","","SPAY")</f>
        <v/>
      </c>
      <c r="C354" s="33">
        <f>IF($A354="","",Supplier_Payments!$B42)</f>
        <v/>
      </c>
      <c r="D354" s="32">
        <f>IF($A354="","",Supplier_Payments!$Q42)</f>
        <v/>
      </c>
      <c r="E354" s="43">
        <f>IF($A354="","",Supplier_Payments!$E42)</f>
        <v/>
      </c>
      <c r="F354" s="32">
        <f>IF($A354="","",Supplier_Payments!$I42)</f>
        <v/>
      </c>
      <c r="G354" s="32">
        <f>IF($A354="","","Supplier_Payments")</f>
        <v/>
      </c>
      <c r="H354" s="44">
        <f>IF($A354="","",IF(COUNTIF($A:$A,$A354)&gt;1,"مكرر",""))</f>
        <v/>
      </c>
      <c r="I354" s="32">
        <f>IF($H354="مكرر","مكرر","")</f>
        <v/>
      </c>
    </row>
    <row r="355">
      <c r="A355" s="32">
        <f>IF(Supplier_Payments!$A43="","",Supplier_Payments!$A43)</f>
        <v/>
      </c>
      <c r="B355" s="32">
        <f>IF($A355="","","SPAY")</f>
        <v/>
      </c>
      <c r="C355" s="33">
        <f>IF($A355="","",Supplier_Payments!$B43)</f>
        <v/>
      </c>
      <c r="D355" s="32">
        <f>IF($A355="","",Supplier_Payments!$Q43)</f>
        <v/>
      </c>
      <c r="E355" s="43">
        <f>IF($A355="","",Supplier_Payments!$E43)</f>
        <v/>
      </c>
      <c r="F355" s="32">
        <f>IF($A355="","",Supplier_Payments!$I43)</f>
        <v/>
      </c>
      <c r="G355" s="32">
        <f>IF($A355="","","Supplier_Payments")</f>
        <v/>
      </c>
      <c r="H355" s="44">
        <f>IF($A355="","",IF(COUNTIF($A:$A,$A355)&gt;1,"مكرر",""))</f>
        <v/>
      </c>
      <c r="I355" s="32">
        <f>IF($H355="مكرر","مكرر","")</f>
        <v/>
      </c>
    </row>
    <row r="356">
      <c r="A356" s="32">
        <f>IF(Supplier_Payments!$A44="","",Supplier_Payments!$A44)</f>
        <v/>
      </c>
      <c r="B356" s="32">
        <f>IF($A356="","","SPAY")</f>
        <v/>
      </c>
      <c r="C356" s="33">
        <f>IF($A356="","",Supplier_Payments!$B44)</f>
        <v/>
      </c>
      <c r="D356" s="32">
        <f>IF($A356="","",Supplier_Payments!$Q44)</f>
        <v/>
      </c>
      <c r="E356" s="43">
        <f>IF($A356="","",Supplier_Payments!$E44)</f>
        <v/>
      </c>
      <c r="F356" s="32">
        <f>IF($A356="","",Supplier_Payments!$I44)</f>
        <v/>
      </c>
      <c r="G356" s="32">
        <f>IF($A356="","","Supplier_Payments")</f>
        <v/>
      </c>
      <c r="H356" s="44">
        <f>IF($A356="","",IF(COUNTIF($A:$A,$A356)&gt;1,"مكرر",""))</f>
        <v/>
      </c>
      <c r="I356" s="32">
        <f>IF($H356="مكرر","مكرر","")</f>
        <v/>
      </c>
    </row>
    <row r="357">
      <c r="A357" s="32">
        <f>IF(Supplier_Payments!$A45="","",Supplier_Payments!$A45)</f>
        <v/>
      </c>
      <c r="B357" s="32">
        <f>IF($A357="","","SPAY")</f>
        <v/>
      </c>
      <c r="C357" s="33">
        <f>IF($A357="","",Supplier_Payments!$B45)</f>
        <v/>
      </c>
      <c r="D357" s="32">
        <f>IF($A357="","",Supplier_Payments!$Q45)</f>
        <v/>
      </c>
      <c r="E357" s="43">
        <f>IF($A357="","",Supplier_Payments!$E45)</f>
        <v/>
      </c>
      <c r="F357" s="32">
        <f>IF($A357="","",Supplier_Payments!$I45)</f>
        <v/>
      </c>
      <c r="G357" s="32">
        <f>IF($A357="","","Supplier_Payments")</f>
        <v/>
      </c>
      <c r="H357" s="44">
        <f>IF($A357="","",IF(COUNTIF($A:$A,$A357)&gt;1,"مكرر",""))</f>
        <v/>
      </c>
      <c r="I357" s="32">
        <f>IF($H357="مكرر","مكرر","")</f>
        <v/>
      </c>
    </row>
    <row r="358">
      <c r="A358" s="32">
        <f>IF(Supplier_Payments!$A46="","",Supplier_Payments!$A46)</f>
        <v/>
      </c>
      <c r="B358" s="32">
        <f>IF($A358="","","SPAY")</f>
        <v/>
      </c>
      <c r="C358" s="33">
        <f>IF($A358="","",Supplier_Payments!$B46)</f>
        <v/>
      </c>
      <c r="D358" s="32">
        <f>IF($A358="","",Supplier_Payments!$Q46)</f>
        <v/>
      </c>
      <c r="E358" s="43">
        <f>IF($A358="","",Supplier_Payments!$E46)</f>
        <v/>
      </c>
      <c r="F358" s="32">
        <f>IF($A358="","",Supplier_Payments!$I46)</f>
        <v/>
      </c>
      <c r="G358" s="32">
        <f>IF($A358="","","Supplier_Payments")</f>
        <v/>
      </c>
      <c r="H358" s="44">
        <f>IF($A358="","",IF(COUNTIF($A:$A,$A358)&gt;1,"مكرر",""))</f>
        <v/>
      </c>
      <c r="I358" s="32">
        <f>IF($H358="مكرر","مكرر","")</f>
        <v/>
      </c>
    </row>
    <row r="359">
      <c r="A359" s="32">
        <f>IF(Supplier_Payments!$A47="","",Supplier_Payments!$A47)</f>
        <v/>
      </c>
      <c r="B359" s="32">
        <f>IF($A359="","","SPAY")</f>
        <v/>
      </c>
      <c r="C359" s="33">
        <f>IF($A359="","",Supplier_Payments!$B47)</f>
        <v/>
      </c>
      <c r="D359" s="32">
        <f>IF($A359="","",Supplier_Payments!$Q47)</f>
        <v/>
      </c>
      <c r="E359" s="43">
        <f>IF($A359="","",Supplier_Payments!$E47)</f>
        <v/>
      </c>
      <c r="F359" s="32">
        <f>IF($A359="","",Supplier_Payments!$I47)</f>
        <v/>
      </c>
      <c r="G359" s="32">
        <f>IF($A359="","","Supplier_Payments")</f>
        <v/>
      </c>
      <c r="H359" s="44">
        <f>IF($A359="","",IF(COUNTIF($A:$A,$A359)&gt;1,"مكرر",""))</f>
        <v/>
      </c>
      <c r="I359" s="32">
        <f>IF($H359="مكرر","مكرر","")</f>
        <v/>
      </c>
    </row>
    <row r="360">
      <c r="A360" s="32">
        <f>IF(Supplier_Payments!$A48="","",Supplier_Payments!$A48)</f>
        <v/>
      </c>
      <c r="B360" s="32">
        <f>IF($A360="","","SPAY")</f>
        <v/>
      </c>
      <c r="C360" s="33">
        <f>IF($A360="","",Supplier_Payments!$B48)</f>
        <v/>
      </c>
      <c r="D360" s="32">
        <f>IF($A360="","",Supplier_Payments!$Q48)</f>
        <v/>
      </c>
      <c r="E360" s="43">
        <f>IF($A360="","",Supplier_Payments!$E48)</f>
        <v/>
      </c>
      <c r="F360" s="32">
        <f>IF($A360="","",Supplier_Payments!$I48)</f>
        <v/>
      </c>
      <c r="G360" s="32">
        <f>IF($A360="","","Supplier_Payments")</f>
        <v/>
      </c>
      <c r="H360" s="44">
        <f>IF($A360="","",IF(COUNTIF($A:$A,$A360)&gt;1,"مكرر",""))</f>
        <v/>
      </c>
      <c r="I360" s="32">
        <f>IF($H360="مكرر","مكرر","")</f>
        <v/>
      </c>
    </row>
    <row r="361">
      <c r="A361" s="32">
        <f>IF(Supplier_Payments!$A49="","",Supplier_Payments!$A49)</f>
        <v/>
      </c>
      <c r="B361" s="32">
        <f>IF($A361="","","SPAY")</f>
        <v/>
      </c>
      <c r="C361" s="33">
        <f>IF($A361="","",Supplier_Payments!$B49)</f>
        <v/>
      </c>
      <c r="D361" s="32">
        <f>IF($A361="","",Supplier_Payments!$Q49)</f>
        <v/>
      </c>
      <c r="E361" s="43">
        <f>IF($A361="","",Supplier_Payments!$E49)</f>
        <v/>
      </c>
      <c r="F361" s="32">
        <f>IF($A361="","",Supplier_Payments!$I49)</f>
        <v/>
      </c>
      <c r="G361" s="32">
        <f>IF($A361="","","Supplier_Payments")</f>
        <v/>
      </c>
      <c r="H361" s="44">
        <f>IF($A361="","",IF(COUNTIF($A:$A,$A361)&gt;1,"مكرر",""))</f>
        <v/>
      </c>
      <c r="I361" s="32">
        <f>IF($H361="مكرر","مكرر","")</f>
        <v/>
      </c>
    </row>
    <row r="362">
      <c r="A362" s="32">
        <f>IF(Supplier_Payments!$A50="","",Supplier_Payments!$A50)</f>
        <v/>
      </c>
      <c r="B362" s="32">
        <f>IF($A362="","","SPAY")</f>
        <v/>
      </c>
      <c r="C362" s="33">
        <f>IF($A362="","",Supplier_Payments!$B50)</f>
        <v/>
      </c>
      <c r="D362" s="32">
        <f>IF($A362="","",Supplier_Payments!$Q50)</f>
        <v/>
      </c>
      <c r="E362" s="43">
        <f>IF($A362="","",Supplier_Payments!$E50)</f>
        <v/>
      </c>
      <c r="F362" s="32">
        <f>IF($A362="","",Supplier_Payments!$I50)</f>
        <v/>
      </c>
      <c r="G362" s="32">
        <f>IF($A362="","","Supplier_Payments")</f>
        <v/>
      </c>
      <c r="H362" s="44">
        <f>IF($A362="","",IF(COUNTIF($A:$A,$A362)&gt;1,"مكرر",""))</f>
        <v/>
      </c>
      <c r="I362" s="32">
        <f>IF($H362="مكرر","مكرر","")</f>
        <v/>
      </c>
    </row>
    <row r="363">
      <c r="A363" s="32">
        <f>IF(Supplier_Payments!$A51="","",Supplier_Payments!$A51)</f>
        <v/>
      </c>
      <c r="B363" s="32">
        <f>IF($A363="","","SPAY")</f>
        <v/>
      </c>
      <c r="C363" s="33">
        <f>IF($A363="","",Supplier_Payments!$B51)</f>
        <v/>
      </c>
      <c r="D363" s="32">
        <f>IF($A363="","",Supplier_Payments!$Q51)</f>
        <v/>
      </c>
      <c r="E363" s="43">
        <f>IF($A363="","",Supplier_Payments!$E51)</f>
        <v/>
      </c>
      <c r="F363" s="32">
        <f>IF($A363="","",Supplier_Payments!$I51)</f>
        <v/>
      </c>
      <c r="G363" s="32">
        <f>IF($A363="","","Supplier_Payments")</f>
        <v/>
      </c>
      <c r="H363" s="44">
        <f>IF($A363="","",IF(COUNTIF($A:$A,$A363)&gt;1,"مكرر",""))</f>
        <v/>
      </c>
      <c r="I363" s="32">
        <f>IF($H363="مكرر","مكرر","")</f>
        <v/>
      </c>
    </row>
    <row r="364">
      <c r="A364" s="32">
        <f>IF(Supplier_Payments!$A52="","",Supplier_Payments!$A52)</f>
        <v/>
      </c>
      <c r="B364" s="32">
        <f>IF($A364="","","SPAY")</f>
        <v/>
      </c>
      <c r="C364" s="33">
        <f>IF($A364="","",Supplier_Payments!$B52)</f>
        <v/>
      </c>
      <c r="D364" s="32">
        <f>IF($A364="","",Supplier_Payments!$Q52)</f>
        <v/>
      </c>
      <c r="E364" s="43">
        <f>IF($A364="","",Supplier_Payments!$E52)</f>
        <v/>
      </c>
      <c r="F364" s="32">
        <f>IF($A364="","",Supplier_Payments!$I52)</f>
        <v/>
      </c>
      <c r="G364" s="32">
        <f>IF($A364="","","Supplier_Payments")</f>
        <v/>
      </c>
      <c r="H364" s="44">
        <f>IF($A364="","",IF(COUNTIF($A:$A,$A364)&gt;1,"مكرر",""))</f>
        <v/>
      </c>
      <c r="I364" s="32">
        <f>IF($H364="مكرر","مكرر","")</f>
        <v/>
      </c>
    </row>
    <row r="365">
      <c r="A365" s="32">
        <f>IF(Supplier_Payments!$A53="","",Supplier_Payments!$A53)</f>
        <v/>
      </c>
      <c r="B365" s="32">
        <f>IF($A365="","","SPAY")</f>
        <v/>
      </c>
      <c r="C365" s="33">
        <f>IF($A365="","",Supplier_Payments!$B53)</f>
        <v/>
      </c>
      <c r="D365" s="32">
        <f>IF($A365="","",Supplier_Payments!$Q53)</f>
        <v/>
      </c>
      <c r="E365" s="43">
        <f>IF($A365="","",Supplier_Payments!$E53)</f>
        <v/>
      </c>
      <c r="F365" s="32">
        <f>IF($A365="","",Supplier_Payments!$I53)</f>
        <v/>
      </c>
      <c r="G365" s="32">
        <f>IF($A365="","","Supplier_Payments")</f>
        <v/>
      </c>
      <c r="H365" s="44">
        <f>IF($A365="","",IF(COUNTIF($A:$A,$A365)&gt;1,"مكرر",""))</f>
        <v/>
      </c>
      <c r="I365" s="32">
        <f>IF($H365="مكرر","مكرر","")</f>
        <v/>
      </c>
    </row>
    <row r="366">
      <c r="A366" s="32">
        <f>IF(Supplier_Payments!$A54="","",Supplier_Payments!$A54)</f>
        <v/>
      </c>
      <c r="B366" s="32">
        <f>IF($A366="","","SPAY")</f>
        <v/>
      </c>
      <c r="C366" s="33">
        <f>IF($A366="","",Supplier_Payments!$B54)</f>
        <v/>
      </c>
      <c r="D366" s="32">
        <f>IF($A366="","",Supplier_Payments!$Q54)</f>
        <v/>
      </c>
      <c r="E366" s="43">
        <f>IF($A366="","",Supplier_Payments!$E54)</f>
        <v/>
      </c>
      <c r="F366" s="32">
        <f>IF($A366="","",Supplier_Payments!$I54)</f>
        <v/>
      </c>
      <c r="G366" s="32">
        <f>IF($A366="","","Supplier_Payments")</f>
        <v/>
      </c>
      <c r="H366" s="44">
        <f>IF($A366="","",IF(COUNTIF($A:$A,$A366)&gt;1,"مكرر",""))</f>
        <v/>
      </c>
      <c r="I366" s="32">
        <f>IF($H366="مكرر","مكرر","")</f>
        <v/>
      </c>
    </row>
    <row r="367">
      <c r="A367" s="32">
        <f>IF(Supplier_Payments!$A55="","",Supplier_Payments!$A55)</f>
        <v/>
      </c>
      <c r="B367" s="32">
        <f>IF($A367="","","SPAY")</f>
        <v/>
      </c>
      <c r="C367" s="33">
        <f>IF($A367="","",Supplier_Payments!$B55)</f>
        <v/>
      </c>
      <c r="D367" s="32">
        <f>IF($A367="","",Supplier_Payments!$Q55)</f>
        <v/>
      </c>
      <c r="E367" s="43">
        <f>IF($A367="","",Supplier_Payments!$E55)</f>
        <v/>
      </c>
      <c r="F367" s="32">
        <f>IF($A367="","",Supplier_Payments!$I55)</f>
        <v/>
      </c>
      <c r="G367" s="32">
        <f>IF($A367="","","Supplier_Payments")</f>
        <v/>
      </c>
      <c r="H367" s="44">
        <f>IF($A367="","",IF(COUNTIF($A:$A,$A367)&gt;1,"مكرر",""))</f>
        <v/>
      </c>
      <c r="I367" s="32">
        <f>IF($H367="مكرر","مكرر","")</f>
        <v/>
      </c>
    </row>
    <row r="368">
      <c r="A368" s="32">
        <f>IF(Supplier_Payments!$A56="","",Supplier_Payments!$A56)</f>
        <v/>
      </c>
      <c r="B368" s="32">
        <f>IF($A368="","","SPAY")</f>
        <v/>
      </c>
      <c r="C368" s="33">
        <f>IF($A368="","",Supplier_Payments!$B56)</f>
        <v/>
      </c>
      <c r="D368" s="32">
        <f>IF($A368="","",Supplier_Payments!$Q56)</f>
        <v/>
      </c>
      <c r="E368" s="43">
        <f>IF($A368="","",Supplier_Payments!$E56)</f>
        <v/>
      </c>
      <c r="F368" s="32">
        <f>IF($A368="","",Supplier_Payments!$I56)</f>
        <v/>
      </c>
      <c r="G368" s="32">
        <f>IF($A368="","","Supplier_Payments")</f>
        <v/>
      </c>
      <c r="H368" s="44">
        <f>IF($A368="","",IF(COUNTIF($A:$A,$A368)&gt;1,"مكرر",""))</f>
        <v/>
      </c>
      <c r="I368" s="32">
        <f>IF($H368="مكرر","مكرر","")</f>
        <v/>
      </c>
    </row>
    <row r="369">
      <c r="A369" s="32">
        <f>IF(Supplier_Payments!$A57="","",Supplier_Payments!$A57)</f>
        <v/>
      </c>
      <c r="B369" s="32">
        <f>IF($A369="","","SPAY")</f>
        <v/>
      </c>
      <c r="C369" s="33">
        <f>IF($A369="","",Supplier_Payments!$B57)</f>
        <v/>
      </c>
      <c r="D369" s="32">
        <f>IF($A369="","",Supplier_Payments!$Q57)</f>
        <v/>
      </c>
      <c r="E369" s="43">
        <f>IF($A369="","",Supplier_Payments!$E57)</f>
        <v/>
      </c>
      <c r="F369" s="32">
        <f>IF($A369="","",Supplier_Payments!$I57)</f>
        <v/>
      </c>
      <c r="G369" s="32">
        <f>IF($A369="","","Supplier_Payments")</f>
        <v/>
      </c>
      <c r="H369" s="44">
        <f>IF($A369="","",IF(COUNTIF($A:$A,$A369)&gt;1,"مكرر",""))</f>
        <v/>
      </c>
      <c r="I369" s="32">
        <f>IF($H369="مكرر","مكرر","")</f>
        <v/>
      </c>
    </row>
    <row r="370">
      <c r="A370" s="32">
        <f>IF(Supplier_Payments!$A58="","",Supplier_Payments!$A58)</f>
        <v/>
      </c>
      <c r="B370" s="32">
        <f>IF($A370="","","SPAY")</f>
        <v/>
      </c>
      <c r="C370" s="33">
        <f>IF($A370="","",Supplier_Payments!$B58)</f>
        <v/>
      </c>
      <c r="D370" s="32">
        <f>IF($A370="","",Supplier_Payments!$Q58)</f>
        <v/>
      </c>
      <c r="E370" s="43">
        <f>IF($A370="","",Supplier_Payments!$E58)</f>
        <v/>
      </c>
      <c r="F370" s="32">
        <f>IF($A370="","",Supplier_Payments!$I58)</f>
        <v/>
      </c>
      <c r="G370" s="32">
        <f>IF($A370="","","Supplier_Payments")</f>
        <v/>
      </c>
      <c r="H370" s="44">
        <f>IF($A370="","",IF(COUNTIF($A:$A,$A370)&gt;1,"مكرر",""))</f>
        <v/>
      </c>
      <c r="I370" s="32">
        <f>IF($H370="مكرر","مكرر","")</f>
        <v/>
      </c>
    </row>
    <row r="371">
      <c r="A371" s="32">
        <f>IF(Supplier_Payments!$A59="","",Supplier_Payments!$A59)</f>
        <v/>
      </c>
      <c r="B371" s="32">
        <f>IF($A371="","","SPAY")</f>
        <v/>
      </c>
      <c r="C371" s="33">
        <f>IF($A371="","",Supplier_Payments!$B59)</f>
        <v/>
      </c>
      <c r="D371" s="32">
        <f>IF($A371="","",Supplier_Payments!$Q59)</f>
        <v/>
      </c>
      <c r="E371" s="43">
        <f>IF($A371="","",Supplier_Payments!$E59)</f>
        <v/>
      </c>
      <c r="F371" s="32">
        <f>IF($A371="","",Supplier_Payments!$I59)</f>
        <v/>
      </c>
      <c r="G371" s="32">
        <f>IF($A371="","","Supplier_Payments")</f>
        <v/>
      </c>
      <c r="H371" s="44">
        <f>IF($A371="","",IF(COUNTIF($A:$A,$A371)&gt;1,"مكرر",""))</f>
        <v/>
      </c>
      <c r="I371" s="32">
        <f>IF($H371="مكرر","مكرر","")</f>
        <v/>
      </c>
    </row>
    <row r="372">
      <c r="A372" s="32">
        <f>IF(Supplier_Payments!$A60="","",Supplier_Payments!$A60)</f>
        <v/>
      </c>
      <c r="B372" s="32">
        <f>IF($A372="","","SPAY")</f>
        <v/>
      </c>
      <c r="C372" s="33">
        <f>IF($A372="","",Supplier_Payments!$B60)</f>
        <v/>
      </c>
      <c r="D372" s="32">
        <f>IF($A372="","",Supplier_Payments!$Q60)</f>
        <v/>
      </c>
      <c r="E372" s="43">
        <f>IF($A372="","",Supplier_Payments!$E60)</f>
        <v/>
      </c>
      <c r="F372" s="32">
        <f>IF($A372="","",Supplier_Payments!$I60)</f>
        <v/>
      </c>
      <c r="G372" s="32">
        <f>IF($A372="","","Supplier_Payments")</f>
        <v/>
      </c>
      <c r="H372" s="44">
        <f>IF($A372="","",IF(COUNTIF($A:$A,$A372)&gt;1,"مكرر",""))</f>
        <v/>
      </c>
      <c r="I372" s="32">
        <f>IF($H372="مكرر","مكرر","")</f>
        <v/>
      </c>
    </row>
    <row r="373">
      <c r="A373" s="32">
        <f>IF(Supplier_Payments!$A61="","",Supplier_Payments!$A61)</f>
        <v/>
      </c>
      <c r="B373" s="32">
        <f>IF($A373="","","SPAY")</f>
        <v/>
      </c>
      <c r="C373" s="33">
        <f>IF($A373="","",Supplier_Payments!$B61)</f>
        <v/>
      </c>
      <c r="D373" s="32">
        <f>IF($A373="","",Supplier_Payments!$Q61)</f>
        <v/>
      </c>
      <c r="E373" s="43">
        <f>IF($A373="","",Supplier_Payments!$E61)</f>
        <v/>
      </c>
      <c r="F373" s="32">
        <f>IF($A373="","",Supplier_Payments!$I61)</f>
        <v/>
      </c>
      <c r="G373" s="32">
        <f>IF($A373="","","Supplier_Payments")</f>
        <v/>
      </c>
      <c r="H373" s="44">
        <f>IF($A373="","",IF(COUNTIF($A:$A,$A373)&gt;1,"مكرر",""))</f>
        <v/>
      </c>
      <c r="I373" s="32">
        <f>IF($H373="مكرر","مكرر","")</f>
        <v/>
      </c>
    </row>
    <row r="374">
      <c r="A374" s="32">
        <f>IF(Supplier_Payments!$A62="","",Supplier_Payments!$A62)</f>
        <v/>
      </c>
      <c r="B374" s="32">
        <f>IF($A374="","","SPAY")</f>
        <v/>
      </c>
      <c r="C374" s="33">
        <f>IF($A374="","",Supplier_Payments!$B62)</f>
        <v/>
      </c>
      <c r="D374" s="32">
        <f>IF($A374="","",Supplier_Payments!$Q62)</f>
        <v/>
      </c>
      <c r="E374" s="43">
        <f>IF($A374="","",Supplier_Payments!$E62)</f>
        <v/>
      </c>
      <c r="F374" s="32">
        <f>IF($A374="","",Supplier_Payments!$I62)</f>
        <v/>
      </c>
      <c r="G374" s="32">
        <f>IF($A374="","","Supplier_Payments")</f>
        <v/>
      </c>
      <c r="H374" s="44">
        <f>IF($A374="","",IF(COUNTIF($A:$A,$A374)&gt;1,"مكرر",""))</f>
        <v/>
      </c>
      <c r="I374" s="32">
        <f>IF($H374="مكرر","مكرر","")</f>
        <v/>
      </c>
    </row>
    <row r="375">
      <c r="A375" s="32">
        <f>IF(Supplier_Payments!$A63="","",Supplier_Payments!$A63)</f>
        <v/>
      </c>
      <c r="B375" s="32">
        <f>IF($A375="","","SPAY")</f>
        <v/>
      </c>
      <c r="C375" s="33">
        <f>IF($A375="","",Supplier_Payments!$B63)</f>
        <v/>
      </c>
      <c r="D375" s="32">
        <f>IF($A375="","",Supplier_Payments!$Q63)</f>
        <v/>
      </c>
      <c r="E375" s="43">
        <f>IF($A375="","",Supplier_Payments!$E63)</f>
        <v/>
      </c>
      <c r="F375" s="32">
        <f>IF($A375="","",Supplier_Payments!$I63)</f>
        <v/>
      </c>
      <c r="G375" s="32">
        <f>IF($A375="","","Supplier_Payments")</f>
        <v/>
      </c>
      <c r="H375" s="44">
        <f>IF($A375="","",IF(COUNTIF($A:$A,$A375)&gt;1,"مكرر",""))</f>
        <v/>
      </c>
      <c r="I375" s="32">
        <f>IF($H375="مكرر","مكرر","")</f>
        <v/>
      </c>
    </row>
    <row r="376">
      <c r="A376" s="32">
        <f>IF(Supplier_Payments!$A64="","",Supplier_Payments!$A64)</f>
        <v/>
      </c>
      <c r="B376" s="32">
        <f>IF($A376="","","SPAY")</f>
        <v/>
      </c>
      <c r="C376" s="33">
        <f>IF($A376="","",Supplier_Payments!$B64)</f>
        <v/>
      </c>
      <c r="D376" s="32">
        <f>IF($A376="","",Supplier_Payments!$Q64)</f>
        <v/>
      </c>
      <c r="E376" s="43">
        <f>IF($A376="","",Supplier_Payments!$E64)</f>
        <v/>
      </c>
      <c r="F376" s="32">
        <f>IF($A376="","",Supplier_Payments!$I64)</f>
        <v/>
      </c>
      <c r="G376" s="32">
        <f>IF($A376="","","Supplier_Payments")</f>
        <v/>
      </c>
      <c r="H376" s="44">
        <f>IF($A376="","",IF(COUNTIF($A:$A,$A376)&gt;1,"مكرر",""))</f>
        <v/>
      </c>
      <c r="I376" s="32">
        <f>IF($H376="مكرر","مكرر","")</f>
        <v/>
      </c>
    </row>
    <row r="377">
      <c r="A377" s="32">
        <f>IF(AND(Manual_JE!$A5&lt;&gt;"",Manual_JE!$V5=1),Manual_JE!$A5,"")</f>
        <v/>
      </c>
      <c r="B377" s="32">
        <f>IF($A377="","","MJE")</f>
        <v/>
      </c>
      <c r="C377" s="33">
        <f>IF($A377="","",Manual_JE!$B5)</f>
        <v/>
      </c>
      <c r="D377" s="32">
        <f>IF($A377="","",Manual_JE!$F5)</f>
        <v/>
      </c>
      <c r="E377" s="43">
        <f>IF($A377="","",Manual_JE!$W5)</f>
        <v/>
      </c>
      <c r="F377" s="32">
        <f>IF($A377="","",Manual_JE!$M5)</f>
        <v/>
      </c>
      <c r="G377" s="32">
        <f>IF($A377="","","Manual_JE")</f>
        <v/>
      </c>
      <c r="H377" s="44">
        <f>IF($A377="","",IF(COUNTIF($A:$A,$A377)&gt;1,"مكرر",""))</f>
        <v/>
      </c>
      <c r="I377" s="32">
        <f>IF($H377="مكرر","مكرر","")</f>
        <v/>
      </c>
    </row>
    <row r="378">
      <c r="A378" s="32">
        <f>IF(AND(Manual_JE!$A6&lt;&gt;"",Manual_JE!$V6=1),Manual_JE!$A6,"")</f>
        <v/>
      </c>
      <c r="B378" s="32">
        <f>IF($A378="","","MJE")</f>
        <v/>
      </c>
      <c r="C378" s="33">
        <f>IF($A378="","",Manual_JE!$B6)</f>
        <v/>
      </c>
      <c r="D378" s="32">
        <f>IF($A378="","",Manual_JE!$F6)</f>
        <v/>
      </c>
      <c r="E378" s="43">
        <f>IF($A378="","",Manual_JE!$W6)</f>
        <v/>
      </c>
      <c r="F378" s="32">
        <f>IF($A378="","",Manual_JE!$M6)</f>
        <v/>
      </c>
      <c r="G378" s="32">
        <f>IF($A378="","","Manual_JE")</f>
        <v/>
      </c>
      <c r="H378" s="44">
        <f>IF($A378="","",IF(COUNTIF($A:$A,$A378)&gt;1,"مكرر",""))</f>
        <v/>
      </c>
      <c r="I378" s="32">
        <f>IF($H378="مكرر","مكرر","")</f>
        <v/>
      </c>
    </row>
    <row r="379">
      <c r="A379" s="32">
        <f>IF(AND(Manual_JE!$A7&lt;&gt;"",Manual_JE!$V7=1),Manual_JE!$A7,"")</f>
        <v/>
      </c>
      <c r="B379" s="32">
        <f>IF($A379="","","MJE")</f>
        <v/>
      </c>
      <c r="C379" s="33">
        <f>IF($A379="","",Manual_JE!$B7)</f>
        <v/>
      </c>
      <c r="D379" s="32">
        <f>IF($A379="","",Manual_JE!$F7)</f>
        <v/>
      </c>
      <c r="E379" s="43">
        <f>IF($A379="","",Manual_JE!$W7)</f>
        <v/>
      </c>
      <c r="F379" s="32">
        <f>IF($A379="","",Manual_JE!$M7)</f>
        <v/>
      </c>
      <c r="G379" s="32">
        <f>IF($A379="","","Manual_JE")</f>
        <v/>
      </c>
      <c r="H379" s="44">
        <f>IF($A379="","",IF(COUNTIF($A:$A,$A379)&gt;1,"مكرر",""))</f>
        <v/>
      </c>
      <c r="I379" s="32">
        <f>IF($H379="مكرر","مكرر","")</f>
        <v/>
      </c>
    </row>
    <row r="380">
      <c r="A380" s="32">
        <f>IF(AND(Manual_JE!$A8&lt;&gt;"",Manual_JE!$V8=1),Manual_JE!$A8,"")</f>
        <v/>
      </c>
      <c r="B380" s="32">
        <f>IF($A380="","","MJE")</f>
        <v/>
      </c>
      <c r="C380" s="33">
        <f>IF($A380="","",Manual_JE!$B8)</f>
        <v/>
      </c>
      <c r="D380" s="32">
        <f>IF($A380="","",Manual_JE!$F8)</f>
        <v/>
      </c>
      <c r="E380" s="43">
        <f>IF($A380="","",Manual_JE!$W8)</f>
        <v/>
      </c>
      <c r="F380" s="32">
        <f>IF($A380="","",Manual_JE!$M8)</f>
        <v/>
      </c>
      <c r="G380" s="32">
        <f>IF($A380="","","Manual_JE")</f>
        <v/>
      </c>
      <c r="H380" s="44">
        <f>IF($A380="","",IF(COUNTIF($A:$A,$A380)&gt;1,"مكرر",""))</f>
        <v/>
      </c>
      <c r="I380" s="32">
        <f>IF($H380="مكرر","مكرر","")</f>
        <v/>
      </c>
    </row>
    <row r="381">
      <c r="A381" s="32">
        <f>IF(AND(Manual_JE!$A9&lt;&gt;"",Manual_JE!$V9=1),Manual_JE!$A9,"")</f>
        <v/>
      </c>
      <c r="B381" s="32">
        <f>IF($A381="","","MJE")</f>
        <v/>
      </c>
      <c r="C381" s="33">
        <f>IF($A381="","",Manual_JE!$B9)</f>
        <v/>
      </c>
      <c r="D381" s="32">
        <f>IF($A381="","",Manual_JE!$F9)</f>
        <v/>
      </c>
      <c r="E381" s="43">
        <f>IF($A381="","",Manual_JE!$W9)</f>
        <v/>
      </c>
      <c r="F381" s="32">
        <f>IF($A381="","",Manual_JE!$M9)</f>
        <v/>
      </c>
      <c r="G381" s="32">
        <f>IF($A381="","","Manual_JE")</f>
        <v/>
      </c>
      <c r="H381" s="44">
        <f>IF($A381="","",IF(COUNTIF($A:$A,$A381)&gt;1,"مكرر",""))</f>
        <v/>
      </c>
      <c r="I381" s="32">
        <f>IF($H381="مكرر","مكرر","")</f>
        <v/>
      </c>
    </row>
    <row r="382">
      <c r="A382" s="32">
        <f>IF(AND(Manual_JE!$A10&lt;&gt;"",Manual_JE!$V10=1),Manual_JE!$A10,"")</f>
        <v/>
      </c>
      <c r="B382" s="32">
        <f>IF($A382="","","MJE")</f>
        <v/>
      </c>
      <c r="C382" s="33">
        <f>IF($A382="","",Manual_JE!$B10)</f>
        <v/>
      </c>
      <c r="D382" s="32">
        <f>IF($A382="","",Manual_JE!$F10)</f>
        <v/>
      </c>
      <c r="E382" s="43">
        <f>IF($A382="","",Manual_JE!$W10)</f>
        <v/>
      </c>
      <c r="F382" s="32">
        <f>IF($A382="","",Manual_JE!$M10)</f>
        <v/>
      </c>
      <c r="G382" s="32">
        <f>IF($A382="","","Manual_JE")</f>
        <v/>
      </c>
      <c r="H382" s="44">
        <f>IF($A382="","",IF(COUNTIF($A:$A,$A382)&gt;1,"مكرر",""))</f>
        <v/>
      </c>
      <c r="I382" s="32">
        <f>IF($H382="مكرر","مكرر","")</f>
        <v/>
      </c>
    </row>
    <row r="383">
      <c r="A383" s="32">
        <f>IF(AND(Manual_JE!$A11&lt;&gt;"",Manual_JE!$V11=1),Manual_JE!$A11,"")</f>
        <v/>
      </c>
      <c r="B383" s="32">
        <f>IF($A383="","","MJE")</f>
        <v/>
      </c>
      <c r="C383" s="33">
        <f>IF($A383="","",Manual_JE!$B11)</f>
        <v/>
      </c>
      <c r="D383" s="32">
        <f>IF($A383="","",Manual_JE!$F11)</f>
        <v/>
      </c>
      <c r="E383" s="43">
        <f>IF($A383="","",Manual_JE!$W11)</f>
        <v/>
      </c>
      <c r="F383" s="32">
        <f>IF($A383="","",Manual_JE!$M11)</f>
        <v/>
      </c>
      <c r="G383" s="32">
        <f>IF($A383="","","Manual_JE")</f>
        <v/>
      </c>
      <c r="H383" s="44">
        <f>IF($A383="","",IF(COUNTIF($A:$A,$A383)&gt;1,"مكرر",""))</f>
        <v/>
      </c>
      <c r="I383" s="32">
        <f>IF($H383="مكرر","مكرر","")</f>
        <v/>
      </c>
    </row>
    <row r="384">
      <c r="A384" s="32">
        <f>IF(AND(Manual_JE!$A12&lt;&gt;"",Manual_JE!$V12=1),Manual_JE!$A12,"")</f>
        <v/>
      </c>
      <c r="B384" s="32">
        <f>IF($A384="","","MJE")</f>
        <v/>
      </c>
      <c r="C384" s="33">
        <f>IF($A384="","",Manual_JE!$B12)</f>
        <v/>
      </c>
      <c r="D384" s="32">
        <f>IF($A384="","",Manual_JE!$F12)</f>
        <v/>
      </c>
      <c r="E384" s="43">
        <f>IF($A384="","",Manual_JE!$W12)</f>
        <v/>
      </c>
      <c r="F384" s="32">
        <f>IF($A384="","",Manual_JE!$M12)</f>
        <v/>
      </c>
      <c r="G384" s="32">
        <f>IF($A384="","","Manual_JE")</f>
        <v/>
      </c>
      <c r="H384" s="44">
        <f>IF($A384="","",IF(COUNTIF($A:$A,$A384)&gt;1,"مكرر",""))</f>
        <v/>
      </c>
      <c r="I384" s="32">
        <f>IF($H384="مكرر","مكرر","")</f>
        <v/>
      </c>
    </row>
    <row r="385">
      <c r="A385" s="32">
        <f>IF(AND(Manual_JE!$A13&lt;&gt;"",Manual_JE!$V13=1),Manual_JE!$A13,"")</f>
        <v/>
      </c>
      <c r="B385" s="32">
        <f>IF($A385="","","MJE")</f>
        <v/>
      </c>
      <c r="C385" s="33">
        <f>IF($A385="","",Manual_JE!$B13)</f>
        <v/>
      </c>
      <c r="D385" s="32">
        <f>IF($A385="","",Manual_JE!$F13)</f>
        <v/>
      </c>
      <c r="E385" s="43">
        <f>IF($A385="","",Manual_JE!$W13)</f>
        <v/>
      </c>
      <c r="F385" s="32">
        <f>IF($A385="","",Manual_JE!$M13)</f>
        <v/>
      </c>
      <c r="G385" s="32">
        <f>IF($A385="","","Manual_JE")</f>
        <v/>
      </c>
      <c r="H385" s="44">
        <f>IF($A385="","",IF(COUNTIF($A:$A,$A385)&gt;1,"مكرر",""))</f>
        <v/>
      </c>
      <c r="I385" s="32">
        <f>IF($H385="مكرر","مكرر","")</f>
        <v/>
      </c>
    </row>
    <row r="386">
      <c r="A386" s="32">
        <f>IF(AND(Manual_JE!$A14&lt;&gt;"",Manual_JE!$V14=1),Manual_JE!$A14,"")</f>
        <v/>
      </c>
      <c r="B386" s="32">
        <f>IF($A386="","","MJE")</f>
        <v/>
      </c>
      <c r="C386" s="33">
        <f>IF($A386="","",Manual_JE!$B14)</f>
        <v/>
      </c>
      <c r="D386" s="32">
        <f>IF($A386="","",Manual_JE!$F14)</f>
        <v/>
      </c>
      <c r="E386" s="43">
        <f>IF($A386="","",Manual_JE!$W14)</f>
        <v/>
      </c>
      <c r="F386" s="32">
        <f>IF($A386="","",Manual_JE!$M14)</f>
        <v/>
      </c>
      <c r="G386" s="32">
        <f>IF($A386="","","Manual_JE")</f>
        <v/>
      </c>
      <c r="H386" s="44">
        <f>IF($A386="","",IF(COUNTIF($A:$A,$A386)&gt;1,"مكرر",""))</f>
        <v/>
      </c>
      <c r="I386" s="32">
        <f>IF($H386="مكرر","مكرر","")</f>
        <v/>
      </c>
    </row>
    <row r="387">
      <c r="A387" s="32">
        <f>IF(AND(Manual_JE!$A15&lt;&gt;"",Manual_JE!$V15=1),Manual_JE!$A15,"")</f>
        <v/>
      </c>
      <c r="B387" s="32">
        <f>IF($A387="","","MJE")</f>
        <v/>
      </c>
      <c r="C387" s="33">
        <f>IF($A387="","",Manual_JE!$B15)</f>
        <v/>
      </c>
      <c r="D387" s="32">
        <f>IF($A387="","",Manual_JE!$F15)</f>
        <v/>
      </c>
      <c r="E387" s="43">
        <f>IF($A387="","",Manual_JE!$W15)</f>
        <v/>
      </c>
      <c r="F387" s="32">
        <f>IF($A387="","",Manual_JE!$M15)</f>
        <v/>
      </c>
      <c r="G387" s="32">
        <f>IF($A387="","","Manual_JE")</f>
        <v/>
      </c>
      <c r="H387" s="44">
        <f>IF($A387="","",IF(COUNTIF($A:$A,$A387)&gt;1,"مكرر",""))</f>
        <v/>
      </c>
      <c r="I387" s="32">
        <f>IF($H387="مكرر","مكرر","")</f>
        <v/>
      </c>
    </row>
    <row r="388">
      <c r="A388" s="32">
        <f>IF(AND(Manual_JE!$A16&lt;&gt;"",Manual_JE!$V16=1),Manual_JE!$A16,"")</f>
        <v/>
      </c>
      <c r="B388" s="32">
        <f>IF($A388="","","MJE")</f>
        <v/>
      </c>
      <c r="C388" s="33">
        <f>IF($A388="","",Manual_JE!$B16)</f>
        <v/>
      </c>
      <c r="D388" s="32">
        <f>IF($A388="","",Manual_JE!$F16)</f>
        <v/>
      </c>
      <c r="E388" s="43">
        <f>IF($A388="","",Manual_JE!$W16)</f>
        <v/>
      </c>
      <c r="F388" s="32">
        <f>IF($A388="","",Manual_JE!$M16)</f>
        <v/>
      </c>
      <c r="G388" s="32">
        <f>IF($A388="","","Manual_JE")</f>
        <v/>
      </c>
      <c r="H388" s="44">
        <f>IF($A388="","",IF(COUNTIF($A:$A,$A388)&gt;1,"مكرر",""))</f>
        <v/>
      </c>
      <c r="I388" s="32">
        <f>IF($H388="مكرر","مكرر","")</f>
        <v/>
      </c>
    </row>
    <row r="389">
      <c r="A389" s="32">
        <f>IF(AND(Manual_JE!$A17&lt;&gt;"",Manual_JE!$V17=1),Manual_JE!$A17,"")</f>
        <v/>
      </c>
      <c r="B389" s="32">
        <f>IF($A389="","","MJE")</f>
        <v/>
      </c>
      <c r="C389" s="33">
        <f>IF($A389="","",Manual_JE!$B17)</f>
        <v/>
      </c>
      <c r="D389" s="32">
        <f>IF($A389="","",Manual_JE!$F17)</f>
        <v/>
      </c>
      <c r="E389" s="43">
        <f>IF($A389="","",Manual_JE!$W17)</f>
        <v/>
      </c>
      <c r="F389" s="32">
        <f>IF($A389="","",Manual_JE!$M17)</f>
        <v/>
      </c>
      <c r="G389" s="32">
        <f>IF($A389="","","Manual_JE")</f>
        <v/>
      </c>
      <c r="H389" s="44">
        <f>IF($A389="","",IF(COUNTIF($A:$A,$A389)&gt;1,"مكرر",""))</f>
        <v/>
      </c>
      <c r="I389" s="32">
        <f>IF($H389="مكرر","مكرر","")</f>
        <v/>
      </c>
    </row>
    <row r="390">
      <c r="A390" s="32">
        <f>IF(AND(Manual_JE!$A18&lt;&gt;"",Manual_JE!$V18=1),Manual_JE!$A18,"")</f>
        <v/>
      </c>
      <c r="B390" s="32">
        <f>IF($A390="","","MJE")</f>
        <v/>
      </c>
      <c r="C390" s="33">
        <f>IF($A390="","",Manual_JE!$B18)</f>
        <v/>
      </c>
      <c r="D390" s="32">
        <f>IF($A390="","",Manual_JE!$F18)</f>
        <v/>
      </c>
      <c r="E390" s="43">
        <f>IF($A390="","",Manual_JE!$W18)</f>
        <v/>
      </c>
      <c r="F390" s="32">
        <f>IF($A390="","",Manual_JE!$M18)</f>
        <v/>
      </c>
      <c r="G390" s="32">
        <f>IF($A390="","","Manual_JE")</f>
        <v/>
      </c>
      <c r="H390" s="44">
        <f>IF($A390="","",IF(COUNTIF($A:$A,$A390)&gt;1,"مكرر",""))</f>
        <v/>
      </c>
      <c r="I390" s="32">
        <f>IF($H390="مكرر","مكرر","")</f>
        <v/>
      </c>
    </row>
    <row r="391">
      <c r="A391" s="32">
        <f>IF(AND(Manual_JE!$A19&lt;&gt;"",Manual_JE!$V19=1),Manual_JE!$A19,"")</f>
        <v/>
      </c>
      <c r="B391" s="32">
        <f>IF($A391="","","MJE")</f>
        <v/>
      </c>
      <c r="C391" s="33">
        <f>IF($A391="","",Manual_JE!$B19)</f>
        <v/>
      </c>
      <c r="D391" s="32">
        <f>IF($A391="","",Manual_JE!$F19)</f>
        <v/>
      </c>
      <c r="E391" s="43">
        <f>IF($A391="","",Manual_JE!$W19)</f>
        <v/>
      </c>
      <c r="F391" s="32">
        <f>IF($A391="","",Manual_JE!$M19)</f>
        <v/>
      </c>
      <c r="G391" s="32">
        <f>IF($A391="","","Manual_JE")</f>
        <v/>
      </c>
      <c r="H391" s="44">
        <f>IF($A391="","",IF(COUNTIF($A:$A,$A391)&gt;1,"مكرر",""))</f>
        <v/>
      </c>
      <c r="I391" s="32">
        <f>IF($H391="مكرر","مكرر","")</f>
        <v/>
      </c>
    </row>
    <row r="392">
      <c r="A392" s="32">
        <f>IF(AND(Manual_JE!$A20&lt;&gt;"",Manual_JE!$V20=1),Manual_JE!$A20,"")</f>
        <v/>
      </c>
      <c r="B392" s="32">
        <f>IF($A392="","","MJE")</f>
        <v/>
      </c>
      <c r="C392" s="33">
        <f>IF($A392="","",Manual_JE!$B20)</f>
        <v/>
      </c>
      <c r="D392" s="32">
        <f>IF($A392="","",Manual_JE!$F20)</f>
        <v/>
      </c>
      <c r="E392" s="43">
        <f>IF($A392="","",Manual_JE!$W20)</f>
        <v/>
      </c>
      <c r="F392" s="32">
        <f>IF($A392="","",Manual_JE!$M20)</f>
        <v/>
      </c>
      <c r="G392" s="32">
        <f>IF($A392="","","Manual_JE")</f>
        <v/>
      </c>
      <c r="H392" s="44">
        <f>IF($A392="","",IF(COUNTIF($A:$A,$A392)&gt;1,"مكرر",""))</f>
        <v/>
      </c>
      <c r="I392" s="32">
        <f>IF($H392="مكرر","مكرر","")</f>
        <v/>
      </c>
    </row>
    <row r="393">
      <c r="A393" s="32">
        <f>IF(AND(Manual_JE!$A21&lt;&gt;"",Manual_JE!$V21=1),Manual_JE!$A21,"")</f>
        <v/>
      </c>
      <c r="B393" s="32">
        <f>IF($A393="","","MJE")</f>
        <v/>
      </c>
      <c r="C393" s="33">
        <f>IF($A393="","",Manual_JE!$B21)</f>
        <v/>
      </c>
      <c r="D393" s="32">
        <f>IF($A393="","",Manual_JE!$F21)</f>
        <v/>
      </c>
      <c r="E393" s="43">
        <f>IF($A393="","",Manual_JE!$W21)</f>
        <v/>
      </c>
      <c r="F393" s="32">
        <f>IF($A393="","",Manual_JE!$M21)</f>
        <v/>
      </c>
      <c r="G393" s="32">
        <f>IF($A393="","","Manual_JE")</f>
        <v/>
      </c>
      <c r="H393" s="44">
        <f>IF($A393="","",IF(COUNTIF($A:$A,$A393)&gt;1,"مكرر",""))</f>
        <v/>
      </c>
      <c r="I393" s="32">
        <f>IF($H393="مكرر","مكرر","")</f>
        <v/>
      </c>
    </row>
    <row r="394">
      <c r="A394" s="32">
        <f>IF(AND(Manual_JE!$A22&lt;&gt;"",Manual_JE!$V22=1),Manual_JE!$A22,"")</f>
        <v/>
      </c>
      <c r="B394" s="32">
        <f>IF($A394="","","MJE")</f>
        <v/>
      </c>
      <c r="C394" s="33">
        <f>IF($A394="","",Manual_JE!$B22)</f>
        <v/>
      </c>
      <c r="D394" s="32">
        <f>IF($A394="","",Manual_JE!$F22)</f>
        <v/>
      </c>
      <c r="E394" s="43">
        <f>IF($A394="","",Manual_JE!$W22)</f>
        <v/>
      </c>
      <c r="F394" s="32">
        <f>IF($A394="","",Manual_JE!$M22)</f>
        <v/>
      </c>
      <c r="G394" s="32">
        <f>IF($A394="","","Manual_JE")</f>
        <v/>
      </c>
      <c r="H394" s="44">
        <f>IF($A394="","",IF(COUNTIF($A:$A,$A394)&gt;1,"مكرر",""))</f>
        <v/>
      </c>
      <c r="I394" s="32">
        <f>IF($H394="مكرر","مكرر","")</f>
        <v/>
      </c>
    </row>
    <row r="395">
      <c r="A395" s="32">
        <f>IF(AND(Manual_JE!$A23&lt;&gt;"",Manual_JE!$V23=1),Manual_JE!$A23,"")</f>
        <v/>
      </c>
      <c r="B395" s="32">
        <f>IF($A395="","","MJE")</f>
        <v/>
      </c>
      <c r="C395" s="33">
        <f>IF($A395="","",Manual_JE!$B23)</f>
        <v/>
      </c>
      <c r="D395" s="32">
        <f>IF($A395="","",Manual_JE!$F23)</f>
        <v/>
      </c>
      <c r="E395" s="43">
        <f>IF($A395="","",Manual_JE!$W23)</f>
        <v/>
      </c>
      <c r="F395" s="32">
        <f>IF($A395="","",Manual_JE!$M23)</f>
        <v/>
      </c>
      <c r="G395" s="32">
        <f>IF($A395="","","Manual_JE")</f>
        <v/>
      </c>
      <c r="H395" s="44">
        <f>IF($A395="","",IF(COUNTIF($A:$A,$A395)&gt;1,"مكرر",""))</f>
        <v/>
      </c>
      <c r="I395" s="32">
        <f>IF($H395="مكرر","مكرر","")</f>
        <v/>
      </c>
    </row>
    <row r="396">
      <c r="A396" s="32">
        <f>IF(AND(Manual_JE!$A24&lt;&gt;"",Manual_JE!$V24=1),Manual_JE!$A24,"")</f>
        <v/>
      </c>
      <c r="B396" s="32">
        <f>IF($A396="","","MJE")</f>
        <v/>
      </c>
      <c r="C396" s="33">
        <f>IF($A396="","",Manual_JE!$B24)</f>
        <v/>
      </c>
      <c r="D396" s="32">
        <f>IF($A396="","",Manual_JE!$F24)</f>
        <v/>
      </c>
      <c r="E396" s="43">
        <f>IF($A396="","",Manual_JE!$W24)</f>
        <v/>
      </c>
      <c r="F396" s="32">
        <f>IF($A396="","",Manual_JE!$M24)</f>
        <v/>
      </c>
      <c r="G396" s="32">
        <f>IF($A396="","","Manual_JE")</f>
        <v/>
      </c>
      <c r="H396" s="44">
        <f>IF($A396="","",IF(COUNTIF($A:$A,$A396)&gt;1,"مكرر",""))</f>
        <v/>
      </c>
      <c r="I396" s="32">
        <f>IF($H396="مكرر","مكرر","")</f>
        <v/>
      </c>
    </row>
    <row r="397">
      <c r="A397" s="32">
        <f>IF(AND(Manual_JE!$A25&lt;&gt;"",Manual_JE!$V25=1),Manual_JE!$A25,"")</f>
        <v/>
      </c>
      <c r="B397" s="32">
        <f>IF($A397="","","MJE")</f>
        <v/>
      </c>
      <c r="C397" s="33">
        <f>IF($A397="","",Manual_JE!$B25)</f>
        <v/>
      </c>
      <c r="D397" s="32">
        <f>IF($A397="","",Manual_JE!$F25)</f>
        <v/>
      </c>
      <c r="E397" s="43">
        <f>IF($A397="","",Manual_JE!$W25)</f>
        <v/>
      </c>
      <c r="F397" s="32">
        <f>IF($A397="","",Manual_JE!$M25)</f>
        <v/>
      </c>
      <c r="G397" s="32">
        <f>IF($A397="","","Manual_JE")</f>
        <v/>
      </c>
      <c r="H397" s="44">
        <f>IF($A397="","",IF(COUNTIF($A:$A,$A397)&gt;1,"مكرر",""))</f>
        <v/>
      </c>
      <c r="I397" s="32">
        <f>IF($H397="مكرر","مكرر","")</f>
        <v/>
      </c>
    </row>
    <row r="398">
      <c r="A398" s="32">
        <f>IF(AND(Manual_JE!$A26&lt;&gt;"",Manual_JE!$V26=1),Manual_JE!$A26,"")</f>
        <v/>
      </c>
      <c r="B398" s="32">
        <f>IF($A398="","","MJE")</f>
        <v/>
      </c>
      <c r="C398" s="33">
        <f>IF($A398="","",Manual_JE!$B26)</f>
        <v/>
      </c>
      <c r="D398" s="32">
        <f>IF($A398="","",Manual_JE!$F26)</f>
        <v/>
      </c>
      <c r="E398" s="43">
        <f>IF($A398="","",Manual_JE!$W26)</f>
        <v/>
      </c>
      <c r="F398" s="32">
        <f>IF($A398="","",Manual_JE!$M26)</f>
        <v/>
      </c>
      <c r="G398" s="32">
        <f>IF($A398="","","Manual_JE")</f>
        <v/>
      </c>
      <c r="H398" s="44">
        <f>IF($A398="","",IF(COUNTIF($A:$A,$A398)&gt;1,"مكرر",""))</f>
        <v/>
      </c>
      <c r="I398" s="32">
        <f>IF($H398="مكرر","مكرر","")</f>
        <v/>
      </c>
    </row>
    <row r="399">
      <c r="A399" s="32">
        <f>IF(AND(Manual_JE!$A27&lt;&gt;"",Manual_JE!$V27=1),Manual_JE!$A27,"")</f>
        <v/>
      </c>
      <c r="B399" s="32">
        <f>IF($A399="","","MJE")</f>
        <v/>
      </c>
      <c r="C399" s="33">
        <f>IF($A399="","",Manual_JE!$B27)</f>
        <v/>
      </c>
      <c r="D399" s="32">
        <f>IF($A399="","",Manual_JE!$F27)</f>
        <v/>
      </c>
      <c r="E399" s="43">
        <f>IF($A399="","",Manual_JE!$W27)</f>
        <v/>
      </c>
      <c r="F399" s="32">
        <f>IF($A399="","",Manual_JE!$M27)</f>
        <v/>
      </c>
      <c r="G399" s="32">
        <f>IF($A399="","","Manual_JE")</f>
        <v/>
      </c>
      <c r="H399" s="44">
        <f>IF($A399="","",IF(COUNTIF($A:$A,$A399)&gt;1,"مكرر",""))</f>
        <v/>
      </c>
      <c r="I399" s="32">
        <f>IF($H399="مكرر","مكرر","")</f>
        <v/>
      </c>
    </row>
    <row r="400">
      <c r="A400" s="32">
        <f>IF(AND(Manual_JE!$A28&lt;&gt;"",Manual_JE!$V28=1),Manual_JE!$A28,"")</f>
        <v/>
      </c>
      <c r="B400" s="32">
        <f>IF($A400="","","MJE")</f>
        <v/>
      </c>
      <c r="C400" s="33">
        <f>IF($A400="","",Manual_JE!$B28)</f>
        <v/>
      </c>
      <c r="D400" s="32">
        <f>IF($A400="","",Manual_JE!$F28)</f>
        <v/>
      </c>
      <c r="E400" s="43">
        <f>IF($A400="","",Manual_JE!$W28)</f>
        <v/>
      </c>
      <c r="F400" s="32">
        <f>IF($A400="","",Manual_JE!$M28)</f>
        <v/>
      </c>
      <c r="G400" s="32">
        <f>IF($A400="","","Manual_JE")</f>
        <v/>
      </c>
      <c r="H400" s="44">
        <f>IF($A400="","",IF(COUNTIF($A:$A,$A400)&gt;1,"مكرر",""))</f>
        <v/>
      </c>
      <c r="I400" s="32">
        <f>IF($H400="مكرر","مكرر","")</f>
        <v/>
      </c>
    </row>
    <row r="401">
      <c r="A401" s="32">
        <f>IF(AND(Manual_JE!$A29&lt;&gt;"",Manual_JE!$V29=1),Manual_JE!$A29,"")</f>
        <v/>
      </c>
      <c r="B401" s="32">
        <f>IF($A401="","","MJE")</f>
        <v/>
      </c>
      <c r="C401" s="33">
        <f>IF($A401="","",Manual_JE!$B29)</f>
        <v/>
      </c>
      <c r="D401" s="32">
        <f>IF($A401="","",Manual_JE!$F29)</f>
        <v/>
      </c>
      <c r="E401" s="43">
        <f>IF($A401="","",Manual_JE!$W29)</f>
        <v/>
      </c>
      <c r="F401" s="32">
        <f>IF($A401="","",Manual_JE!$M29)</f>
        <v/>
      </c>
      <c r="G401" s="32">
        <f>IF($A401="","","Manual_JE")</f>
        <v/>
      </c>
      <c r="H401" s="44">
        <f>IF($A401="","",IF(COUNTIF($A:$A,$A401)&gt;1,"مكرر",""))</f>
        <v/>
      </c>
      <c r="I401" s="32">
        <f>IF($H401="مكرر","مكرر","")</f>
        <v/>
      </c>
    </row>
    <row r="402">
      <c r="A402" s="32">
        <f>IF(AND(Manual_JE!$A30&lt;&gt;"",Manual_JE!$V30=1),Manual_JE!$A30,"")</f>
        <v/>
      </c>
      <c r="B402" s="32">
        <f>IF($A402="","","MJE")</f>
        <v/>
      </c>
      <c r="C402" s="33">
        <f>IF($A402="","",Manual_JE!$B30)</f>
        <v/>
      </c>
      <c r="D402" s="32">
        <f>IF($A402="","",Manual_JE!$F30)</f>
        <v/>
      </c>
      <c r="E402" s="43">
        <f>IF($A402="","",Manual_JE!$W30)</f>
        <v/>
      </c>
      <c r="F402" s="32">
        <f>IF($A402="","",Manual_JE!$M30)</f>
        <v/>
      </c>
      <c r="G402" s="32">
        <f>IF($A402="","","Manual_JE")</f>
        <v/>
      </c>
      <c r="H402" s="44">
        <f>IF($A402="","",IF(COUNTIF($A:$A,$A402)&gt;1,"مكرر",""))</f>
        <v/>
      </c>
      <c r="I402" s="32">
        <f>IF($H402="مكرر","مكرر","")</f>
        <v/>
      </c>
    </row>
    <row r="403">
      <c r="A403" s="32">
        <f>IF(AND(Manual_JE!$A31&lt;&gt;"",Manual_JE!$V31=1),Manual_JE!$A31,"")</f>
        <v/>
      </c>
      <c r="B403" s="32">
        <f>IF($A403="","","MJE")</f>
        <v/>
      </c>
      <c r="C403" s="33">
        <f>IF($A403="","",Manual_JE!$B31)</f>
        <v/>
      </c>
      <c r="D403" s="32">
        <f>IF($A403="","",Manual_JE!$F31)</f>
        <v/>
      </c>
      <c r="E403" s="43">
        <f>IF($A403="","",Manual_JE!$W31)</f>
        <v/>
      </c>
      <c r="F403" s="32">
        <f>IF($A403="","",Manual_JE!$M31)</f>
        <v/>
      </c>
      <c r="G403" s="32">
        <f>IF($A403="","","Manual_JE")</f>
        <v/>
      </c>
      <c r="H403" s="44">
        <f>IF($A403="","",IF(COUNTIF($A:$A,$A403)&gt;1,"مكرر",""))</f>
        <v/>
      </c>
      <c r="I403" s="32">
        <f>IF($H403="مكرر","مكرر","")</f>
        <v/>
      </c>
    </row>
    <row r="404">
      <c r="A404" s="32">
        <f>IF(AND(Manual_JE!$A32&lt;&gt;"",Manual_JE!$V32=1),Manual_JE!$A32,"")</f>
        <v/>
      </c>
      <c r="B404" s="32">
        <f>IF($A404="","","MJE")</f>
        <v/>
      </c>
      <c r="C404" s="33">
        <f>IF($A404="","",Manual_JE!$B32)</f>
        <v/>
      </c>
      <c r="D404" s="32">
        <f>IF($A404="","",Manual_JE!$F32)</f>
        <v/>
      </c>
      <c r="E404" s="43">
        <f>IF($A404="","",Manual_JE!$W32)</f>
        <v/>
      </c>
      <c r="F404" s="32">
        <f>IF($A404="","",Manual_JE!$M32)</f>
        <v/>
      </c>
      <c r="G404" s="32">
        <f>IF($A404="","","Manual_JE")</f>
        <v/>
      </c>
      <c r="H404" s="44">
        <f>IF($A404="","",IF(COUNTIF($A:$A,$A404)&gt;1,"مكرر",""))</f>
        <v/>
      </c>
      <c r="I404" s="32">
        <f>IF($H404="مكرر","مكرر","")</f>
        <v/>
      </c>
    </row>
    <row r="405">
      <c r="A405" s="32">
        <f>IF(AND(Manual_JE!$A33&lt;&gt;"",Manual_JE!$V33=1),Manual_JE!$A33,"")</f>
        <v/>
      </c>
      <c r="B405" s="32">
        <f>IF($A405="","","MJE")</f>
        <v/>
      </c>
      <c r="C405" s="33">
        <f>IF($A405="","",Manual_JE!$B33)</f>
        <v/>
      </c>
      <c r="D405" s="32">
        <f>IF($A405="","",Manual_JE!$F33)</f>
        <v/>
      </c>
      <c r="E405" s="43">
        <f>IF($A405="","",Manual_JE!$W33)</f>
        <v/>
      </c>
      <c r="F405" s="32">
        <f>IF($A405="","",Manual_JE!$M33)</f>
        <v/>
      </c>
      <c r="G405" s="32">
        <f>IF($A405="","","Manual_JE")</f>
        <v/>
      </c>
      <c r="H405" s="44">
        <f>IF($A405="","",IF(COUNTIF($A:$A,$A405)&gt;1,"مكرر",""))</f>
        <v/>
      </c>
      <c r="I405" s="32">
        <f>IF($H405="مكرر","مكرر","")</f>
        <v/>
      </c>
    </row>
    <row r="406">
      <c r="A406" s="32">
        <f>IF(AND(Manual_JE!$A34&lt;&gt;"",Manual_JE!$V34=1),Manual_JE!$A34,"")</f>
        <v/>
      </c>
      <c r="B406" s="32">
        <f>IF($A406="","","MJE")</f>
        <v/>
      </c>
      <c r="C406" s="33">
        <f>IF($A406="","",Manual_JE!$B34)</f>
        <v/>
      </c>
      <c r="D406" s="32">
        <f>IF($A406="","",Manual_JE!$F34)</f>
        <v/>
      </c>
      <c r="E406" s="43">
        <f>IF($A406="","",Manual_JE!$W34)</f>
        <v/>
      </c>
      <c r="F406" s="32">
        <f>IF($A406="","",Manual_JE!$M34)</f>
        <v/>
      </c>
      <c r="G406" s="32">
        <f>IF($A406="","","Manual_JE")</f>
        <v/>
      </c>
      <c r="H406" s="44">
        <f>IF($A406="","",IF(COUNTIF($A:$A,$A406)&gt;1,"مكرر",""))</f>
        <v/>
      </c>
      <c r="I406" s="32">
        <f>IF($H406="مكرر","مكرر","")</f>
        <v/>
      </c>
    </row>
    <row r="407">
      <c r="A407" s="32">
        <f>IF(AND(Manual_JE!$A35&lt;&gt;"",Manual_JE!$V35=1),Manual_JE!$A35,"")</f>
        <v/>
      </c>
      <c r="B407" s="32">
        <f>IF($A407="","","MJE")</f>
        <v/>
      </c>
      <c r="C407" s="33">
        <f>IF($A407="","",Manual_JE!$B35)</f>
        <v/>
      </c>
      <c r="D407" s="32">
        <f>IF($A407="","",Manual_JE!$F35)</f>
        <v/>
      </c>
      <c r="E407" s="43">
        <f>IF($A407="","",Manual_JE!$W35)</f>
        <v/>
      </c>
      <c r="F407" s="32">
        <f>IF($A407="","",Manual_JE!$M35)</f>
        <v/>
      </c>
      <c r="G407" s="32">
        <f>IF($A407="","","Manual_JE")</f>
        <v/>
      </c>
      <c r="H407" s="44">
        <f>IF($A407="","",IF(COUNTIF($A:$A,$A407)&gt;1,"مكرر",""))</f>
        <v/>
      </c>
      <c r="I407" s="32">
        <f>IF($H407="مكرر","مكرر","")</f>
        <v/>
      </c>
    </row>
    <row r="408">
      <c r="A408" s="32">
        <f>IF(AND(Manual_JE!$A36&lt;&gt;"",Manual_JE!$V36=1),Manual_JE!$A36,"")</f>
        <v/>
      </c>
      <c r="B408" s="32">
        <f>IF($A408="","","MJE")</f>
        <v/>
      </c>
      <c r="C408" s="33">
        <f>IF($A408="","",Manual_JE!$B36)</f>
        <v/>
      </c>
      <c r="D408" s="32">
        <f>IF($A408="","",Manual_JE!$F36)</f>
        <v/>
      </c>
      <c r="E408" s="43">
        <f>IF($A408="","",Manual_JE!$W36)</f>
        <v/>
      </c>
      <c r="F408" s="32">
        <f>IF($A408="","",Manual_JE!$M36)</f>
        <v/>
      </c>
      <c r="G408" s="32">
        <f>IF($A408="","","Manual_JE")</f>
        <v/>
      </c>
      <c r="H408" s="44">
        <f>IF($A408="","",IF(COUNTIF($A:$A,$A408)&gt;1,"مكرر",""))</f>
        <v/>
      </c>
      <c r="I408" s="32">
        <f>IF($H408="مكرر","مكرر","")</f>
        <v/>
      </c>
    </row>
    <row r="409">
      <c r="A409" s="32">
        <f>IF(AND(Manual_JE!$A37&lt;&gt;"",Manual_JE!$V37=1),Manual_JE!$A37,"")</f>
        <v/>
      </c>
      <c r="B409" s="32">
        <f>IF($A409="","","MJE")</f>
        <v/>
      </c>
      <c r="C409" s="33">
        <f>IF($A409="","",Manual_JE!$B37)</f>
        <v/>
      </c>
      <c r="D409" s="32">
        <f>IF($A409="","",Manual_JE!$F37)</f>
        <v/>
      </c>
      <c r="E409" s="43">
        <f>IF($A409="","",Manual_JE!$W37)</f>
        <v/>
      </c>
      <c r="F409" s="32">
        <f>IF($A409="","",Manual_JE!$M37)</f>
        <v/>
      </c>
      <c r="G409" s="32">
        <f>IF($A409="","","Manual_JE")</f>
        <v/>
      </c>
      <c r="H409" s="44">
        <f>IF($A409="","",IF(COUNTIF($A:$A,$A409)&gt;1,"مكرر",""))</f>
        <v/>
      </c>
      <c r="I409" s="32">
        <f>IF($H409="مكرر","مكرر","")</f>
        <v/>
      </c>
    </row>
    <row r="410">
      <c r="A410" s="32">
        <f>IF(AND(Manual_JE!$A38&lt;&gt;"",Manual_JE!$V38=1),Manual_JE!$A38,"")</f>
        <v/>
      </c>
      <c r="B410" s="32">
        <f>IF($A410="","","MJE")</f>
        <v/>
      </c>
      <c r="C410" s="33">
        <f>IF($A410="","",Manual_JE!$B38)</f>
        <v/>
      </c>
      <c r="D410" s="32">
        <f>IF($A410="","",Manual_JE!$F38)</f>
        <v/>
      </c>
      <c r="E410" s="43">
        <f>IF($A410="","",Manual_JE!$W38)</f>
        <v/>
      </c>
      <c r="F410" s="32">
        <f>IF($A410="","",Manual_JE!$M38)</f>
        <v/>
      </c>
      <c r="G410" s="32">
        <f>IF($A410="","","Manual_JE")</f>
        <v/>
      </c>
      <c r="H410" s="44">
        <f>IF($A410="","",IF(COUNTIF($A:$A,$A410)&gt;1,"مكرر",""))</f>
        <v/>
      </c>
      <c r="I410" s="32">
        <f>IF($H410="مكرر","مكرر","")</f>
        <v/>
      </c>
    </row>
    <row r="411">
      <c r="A411" s="32">
        <f>IF(AND(Manual_JE!$A39&lt;&gt;"",Manual_JE!$V39=1),Manual_JE!$A39,"")</f>
        <v/>
      </c>
      <c r="B411" s="32">
        <f>IF($A411="","","MJE")</f>
        <v/>
      </c>
      <c r="C411" s="33">
        <f>IF($A411="","",Manual_JE!$B39)</f>
        <v/>
      </c>
      <c r="D411" s="32">
        <f>IF($A411="","",Manual_JE!$F39)</f>
        <v/>
      </c>
      <c r="E411" s="43">
        <f>IF($A411="","",Manual_JE!$W39)</f>
        <v/>
      </c>
      <c r="F411" s="32">
        <f>IF($A411="","",Manual_JE!$M39)</f>
        <v/>
      </c>
      <c r="G411" s="32">
        <f>IF($A411="","","Manual_JE")</f>
        <v/>
      </c>
      <c r="H411" s="44">
        <f>IF($A411="","",IF(COUNTIF($A:$A,$A411)&gt;1,"مكرر",""))</f>
        <v/>
      </c>
      <c r="I411" s="32">
        <f>IF($H411="مكرر","مكرر","")</f>
        <v/>
      </c>
    </row>
    <row r="412">
      <c r="A412" s="32">
        <f>IF(AND(Manual_JE!$A40&lt;&gt;"",Manual_JE!$V40=1),Manual_JE!$A40,"")</f>
        <v/>
      </c>
      <c r="B412" s="32">
        <f>IF($A412="","","MJE")</f>
        <v/>
      </c>
      <c r="C412" s="33">
        <f>IF($A412="","",Manual_JE!$B40)</f>
        <v/>
      </c>
      <c r="D412" s="32">
        <f>IF($A412="","",Manual_JE!$F40)</f>
        <v/>
      </c>
      <c r="E412" s="43">
        <f>IF($A412="","",Manual_JE!$W40)</f>
        <v/>
      </c>
      <c r="F412" s="32">
        <f>IF($A412="","",Manual_JE!$M40)</f>
        <v/>
      </c>
      <c r="G412" s="32">
        <f>IF($A412="","","Manual_JE")</f>
        <v/>
      </c>
      <c r="H412" s="44">
        <f>IF($A412="","",IF(COUNTIF($A:$A,$A412)&gt;1,"مكرر",""))</f>
        <v/>
      </c>
      <c r="I412" s="32">
        <f>IF($H412="مكرر","مكرر","")</f>
        <v/>
      </c>
    </row>
    <row r="413">
      <c r="A413" s="32">
        <f>IF(AND(Manual_JE!$A41&lt;&gt;"",Manual_JE!$V41=1),Manual_JE!$A41,"")</f>
        <v/>
      </c>
      <c r="B413" s="32">
        <f>IF($A413="","","MJE")</f>
        <v/>
      </c>
      <c r="C413" s="33">
        <f>IF($A413="","",Manual_JE!$B41)</f>
        <v/>
      </c>
      <c r="D413" s="32">
        <f>IF($A413="","",Manual_JE!$F41)</f>
        <v/>
      </c>
      <c r="E413" s="43">
        <f>IF($A413="","",Manual_JE!$W41)</f>
        <v/>
      </c>
      <c r="F413" s="32">
        <f>IF($A413="","",Manual_JE!$M41)</f>
        <v/>
      </c>
      <c r="G413" s="32">
        <f>IF($A413="","","Manual_JE")</f>
        <v/>
      </c>
      <c r="H413" s="44">
        <f>IF($A413="","",IF(COUNTIF($A:$A,$A413)&gt;1,"مكرر",""))</f>
        <v/>
      </c>
      <c r="I413" s="32">
        <f>IF($H413="مكرر","مكرر","")</f>
        <v/>
      </c>
    </row>
    <row r="414">
      <c r="A414" s="32">
        <f>IF(AND(Manual_JE!$A42&lt;&gt;"",Manual_JE!$V42=1),Manual_JE!$A42,"")</f>
        <v/>
      </c>
      <c r="B414" s="32">
        <f>IF($A414="","","MJE")</f>
        <v/>
      </c>
      <c r="C414" s="33">
        <f>IF($A414="","",Manual_JE!$B42)</f>
        <v/>
      </c>
      <c r="D414" s="32">
        <f>IF($A414="","",Manual_JE!$F42)</f>
        <v/>
      </c>
      <c r="E414" s="43">
        <f>IF($A414="","",Manual_JE!$W42)</f>
        <v/>
      </c>
      <c r="F414" s="32">
        <f>IF($A414="","",Manual_JE!$M42)</f>
        <v/>
      </c>
      <c r="G414" s="32">
        <f>IF($A414="","","Manual_JE")</f>
        <v/>
      </c>
      <c r="H414" s="44">
        <f>IF($A414="","",IF(COUNTIF($A:$A,$A414)&gt;1,"مكرر",""))</f>
        <v/>
      </c>
      <c r="I414" s="32">
        <f>IF($H414="مكرر","مكرر","")</f>
        <v/>
      </c>
    </row>
    <row r="415">
      <c r="A415" s="32">
        <f>IF(AND(Manual_JE!$A43&lt;&gt;"",Manual_JE!$V43=1),Manual_JE!$A43,"")</f>
        <v/>
      </c>
      <c r="B415" s="32">
        <f>IF($A415="","","MJE")</f>
        <v/>
      </c>
      <c r="C415" s="33">
        <f>IF($A415="","",Manual_JE!$B43)</f>
        <v/>
      </c>
      <c r="D415" s="32">
        <f>IF($A415="","",Manual_JE!$F43)</f>
        <v/>
      </c>
      <c r="E415" s="43">
        <f>IF($A415="","",Manual_JE!$W43)</f>
        <v/>
      </c>
      <c r="F415" s="32">
        <f>IF($A415="","",Manual_JE!$M43)</f>
        <v/>
      </c>
      <c r="G415" s="32">
        <f>IF($A415="","","Manual_JE")</f>
        <v/>
      </c>
      <c r="H415" s="44">
        <f>IF($A415="","",IF(COUNTIF($A:$A,$A415)&gt;1,"مكرر",""))</f>
        <v/>
      </c>
      <c r="I415" s="32">
        <f>IF($H415="مكرر","مكرر","")</f>
        <v/>
      </c>
    </row>
    <row r="416">
      <c r="A416" s="32">
        <f>IF(AND(Manual_JE!$A44&lt;&gt;"",Manual_JE!$V44=1),Manual_JE!$A44,"")</f>
        <v/>
      </c>
      <c r="B416" s="32">
        <f>IF($A416="","","MJE")</f>
        <v/>
      </c>
      <c r="C416" s="33">
        <f>IF($A416="","",Manual_JE!$B44)</f>
        <v/>
      </c>
      <c r="D416" s="32">
        <f>IF($A416="","",Manual_JE!$F44)</f>
        <v/>
      </c>
      <c r="E416" s="43">
        <f>IF($A416="","",Manual_JE!$W44)</f>
        <v/>
      </c>
      <c r="F416" s="32">
        <f>IF($A416="","",Manual_JE!$M44)</f>
        <v/>
      </c>
      <c r="G416" s="32">
        <f>IF($A416="","","Manual_JE")</f>
        <v/>
      </c>
      <c r="H416" s="44">
        <f>IF($A416="","",IF(COUNTIF($A:$A,$A416)&gt;1,"مكرر",""))</f>
        <v/>
      </c>
      <c r="I416" s="32">
        <f>IF($H416="مكرر","مكرر","")</f>
        <v/>
      </c>
    </row>
    <row r="417">
      <c r="A417" s="32">
        <f>IF(AND(Manual_JE!$A45&lt;&gt;"",Manual_JE!$V45=1),Manual_JE!$A45,"")</f>
        <v/>
      </c>
      <c r="B417" s="32">
        <f>IF($A417="","","MJE")</f>
        <v/>
      </c>
      <c r="C417" s="33">
        <f>IF($A417="","",Manual_JE!$B45)</f>
        <v/>
      </c>
      <c r="D417" s="32">
        <f>IF($A417="","",Manual_JE!$F45)</f>
        <v/>
      </c>
      <c r="E417" s="43">
        <f>IF($A417="","",Manual_JE!$W45)</f>
        <v/>
      </c>
      <c r="F417" s="32">
        <f>IF($A417="","",Manual_JE!$M45)</f>
        <v/>
      </c>
      <c r="G417" s="32">
        <f>IF($A417="","","Manual_JE")</f>
        <v/>
      </c>
      <c r="H417" s="44">
        <f>IF($A417="","",IF(COUNTIF($A:$A,$A417)&gt;1,"مكرر",""))</f>
        <v/>
      </c>
      <c r="I417" s="32">
        <f>IF($H417="مكرر","مكرر","")</f>
        <v/>
      </c>
    </row>
    <row r="418">
      <c r="A418" s="32">
        <f>IF(AND(Manual_JE!$A46&lt;&gt;"",Manual_JE!$V46=1),Manual_JE!$A46,"")</f>
        <v/>
      </c>
      <c r="B418" s="32">
        <f>IF($A418="","","MJE")</f>
        <v/>
      </c>
      <c r="C418" s="33">
        <f>IF($A418="","",Manual_JE!$B46)</f>
        <v/>
      </c>
      <c r="D418" s="32">
        <f>IF($A418="","",Manual_JE!$F46)</f>
        <v/>
      </c>
      <c r="E418" s="43">
        <f>IF($A418="","",Manual_JE!$W46)</f>
        <v/>
      </c>
      <c r="F418" s="32">
        <f>IF($A418="","",Manual_JE!$M46)</f>
        <v/>
      </c>
      <c r="G418" s="32">
        <f>IF($A418="","","Manual_JE")</f>
        <v/>
      </c>
      <c r="H418" s="44">
        <f>IF($A418="","",IF(COUNTIF($A:$A,$A418)&gt;1,"مكرر",""))</f>
        <v/>
      </c>
      <c r="I418" s="32">
        <f>IF($H418="مكرر","مكرر","")</f>
        <v/>
      </c>
    </row>
    <row r="419">
      <c r="A419" s="32">
        <f>IF(AND(Manual_JE!$A47&lt;&gt;"",Manual_JE!$V47=1),Manual_JE!$A47,"")</f>
        <v/>
      </c>
      <c r="B419" s="32">
        <f>IF($A419="","","MJE")</f>
        <v/>
      </c>
      <c r="C419" s="33">
        <f>IF($A419="","",Manual_JE!$B47)</f>
        <v/>
      </c>
      <c r="D419" s="32">
        <f>IF($A419="","",Manual_JE!$F47)</f>
        <v/>
      </c>
      <c r="E419" s="43">
        <f>IF($A419="","",Manual_JE!$W47)</f>
        <v/>
      </c>
      <c r="F419" s="32">
        <f>IF($A419="","",Manual_JE!$M47)</f>
        <v/>
      </c>
      <c r="G419" s="32">
        <f>IF($A419="","","Manual_JE")</f>
        <v/>
      </c>
      <c r="H419" s="44">
        <f>IF($A419="","",IF(COUNTIF($A:$A,$A419)&gt;1,"مكرر",""))</f>
        <v/>
      </c>
      <c r="I419" s="32">
        <f>IF($H419="مكرر","مكرر","")</f>
        <v/>
      </c>
    </row>
    <row r="420">
      <c r="A420" s="32">
        <f>IF(AND(Manual_JE!$A48&lt;&gt;"",Manual_JE!$V48=1),Manual_JE!$A48,"")</f>
        <v/>
      </c>
      <c r="B420" s="32">
        <f>IF($A420="","","MJE")</f>
        <v/>
      </c>
      <c r="C420" s="33">
        <f>IF($A420="","",Manual_JE!$B48)</f>
        <v/>
      </c>
      <c r="D420" s="32">
        <f>IF($A420="","",Manual_JE!$F48)</f>
        <v/>
      </c>
      <c r="E420" s="43">
        <f>IF($A420="","",Manual_JE!$W48)</f>
        <v/>
      </c>
      <c r="F420" s="32">
        <f>IF($A420="","",Manual_JE!$M48)</f>
        <v/>
      </c>
      <c r="G420" s="32">
        <f>IF($A420="","","Manual_JE")</f>
        <v/>
      </c>
      <c r="H420" s="44">
        <f>IF($A420="","",IF(COUNTIF($A:$A,$A420)&gt;1,"مكرر",""))</f>
        <v/>
      </c>
      <c r="I420" s="32">
        <f>IF($H420="مكرر","مكرر","")</f>
        <v/>
      </c>
    </row>
    <row r="421">
      <c r="A421" s="32">
        <f>IF(AND(Manual_JE!$A49&lt;&gt;"",Manual_JE!$V49=1),Manual_JE!$A49,"")</f>
        <v/>
      </c>
      <c r="B421" s="32">
        <f>IF($A421="","","MJE")</f>
        <v/>
      </c>
      <c r="C421" s="33">
        <f>IF($A421="","",Manual_JE!$B49)</f>
        <v/>
      </c>
      <c r="D421" s="32">
        <f>IF($A421="","",Manual_JE!$F49)</f>
        <v/>
      </c>
      <c r="E421" s="43">
        <f>IF($A421="","",Manual_JE!$W49)</f>
        <v/>
      </c>
      <c r="F421" s="32">
        <f>IF($A421="","",Manual_JE!$M49)</f>
        <v/>
      </c>
      <c r="G421" s="32">
        <f>IF($A421="","","Manual_JE")</f>
        <v/>
      </c>
      <c r="H421" s="44">
        <f>IF($A421="","",IF(COUNTIF($A:$A,$A421)&gt;1,"مكرر",""))</f>
        <v/>
      </c>
      <c r="I421" s="32">
        <f>IF($H421="مكرر","مكرر","")</f>
        <v/>
      </c>
    </row>
    <row r="422">
      <c r="A422" s="32">
        <f>IF(AND(Manual_JE!$A50&lt;&gt;"",Manual_JE!$V50=1),Manual_JE!$A50,"")</f>
        <v/>
      </c>
      <c r="B422" s="32">
        <f>IF($A422="","","MJE")</f>
        <v/>
      </c>
      <c r="C422" s="33">
        <f>IF($A422="","",Manual_JE!$B50)</f>
        <v/>
      </c>
      <c r="D422" s="32">
        <f>IF($A422="","",Manual_JE!$F50)</f>
        <v/>
      </c>
      <c r="E422" s="43">
        <f>IF($A422="","",Manual_JE!$W50)</f>
        <v/>
      </c>
      <c r="F422" s="32">
        <f>IF($A422="","",Manual_JE!$M50)</f>
        <v/>
      </c>
      <c r="G422" s="32">
        <f>IF($A422="","","Manual_JE")</f>
        <v/>
      </c>
      <c r="H422" s="44">
        <f>IF($A422="","",IF(COUNTIF($A:$A,$A422)&gt;1,"مكرر",""))</f>
        <v/>
      </c>
      <c r="I422" s="32">
        <f>IF($H422="مكرر","مكرر","")</f>
        <v/>
      </c>
    </row>
    <row r="423">
      <c r="A423" s="32">
        <f>IF(AND(Manual_JE!$A51&lt;&gt;"",Manual_JE!$V51=1),Manual_JE!$A51,"")</f>
        <v/>
      </c>
      <c r="B423" s="32">
        <f>IF($A423="","","MJE")</f>
        <v/>
      </c>
      <c r="C423" s="33">
        <f>IF($A423="","",Manual_JE!$B51)</f>
        <v/>
      </c>
      <c r="D423" s="32">
        <f>IF($A423="","",Manual_JE!$F51)</f>
        <v/>
      </c>
      <c r="E423" s="43">
        <f>IF($A423="","",Manual_JE!$W51)</f>
        <v/>
      </c>
      <c r="F423" s="32">
        <f>IF($A423="","",Manual_JE!$M51)</f>
        <v/>
      </c>
      <c r="G423" s="32">
        <f>IF($A423="","","Manual_JE")</f>
        <v/>
      </c>
      <c r="H423" s="44">
        <f>IF($A423="","",IF(COUNTIF($A:$A,$A423)&gt;1,"مكرر",""))</f>
        <v/>
      </c>
      <c r="I423" s="32">
        <f>IF($H423="مكرر","مكرر","")</f>
        <v/>
      </c>
    </row>
    <row r="424">
      <c r="A424" s="32">
        <f>IF(AND(Manual_JE!$A52&lt;&gt;"",Manual_JE!$V52=1),Manual_JE!$A52,"")</f>
        <v/>
      </c>
      <c r="B424" s="32">
        <f>IF($A424="","","MJE")</f>
        <v/>
      </c>
      <c r="C424" s="33">
        <f>IF($A424="","",Manual_JE!$B52)</f>
        <v/>
      </c>
      <c r="D424" s="32">
        <f>IF($A424="","",Manual_JE!$F52)</f>
        <v/>
      </c>
      <c r="E424" s="43">
        <f>IF($A424="","",Manual_JE!$W52)</f>
        <v/>
      </c>
      <c r="F424" s="32">
        <f>IF($A424="","",Manual_JE!$M52)</f>
        <v/>
      </c>
      <c r="G424" s="32">
        <f>IF($A424="","","Manual_JE")</f>
        <v/>
      </c>
      <c r="H424" s="44">
        <f>IF($A424="","",IF(COUNTIF($A:$A,$A424)&gt;1,"مكرر",""))</f>
        <v/>
      </c>
      <c r="I424" s="32">
        <f>IF($H424="مكرر","مكرر","")</f>
        <v/>
      </c>
    </row>
    <row r="425">
      <c r="A425" s="32">
        <f>IF(AND(Manual_JE!$A53&lt;&gt;"",Manual_JE!$V53=1),Manual_JE!$A53,"")</f>
        <v/>
      </c>
      <c r="B425" s="32">
        <f>IF($A425="","","MJE")</f>
        <v/>
      </c>
      <c r="C425" s="33">
        <f>IF($A425="","",Manual_JE!$B53)</f>
        <v/>
      </c>
      <c r="D425" s="32">
        <f>IF($A425="","",Manual_JE!$F53)</f>
        <v/>
      </c>
      <c r="E425" s="43">
        <f>IF($A425="","",Manual_JE!$W53)</f>
        <v/>
      </c>
      <c r="F425" s="32">
        <f>IF($A425="","",Manual_JE!$M53)</f>
        <v/>
      </c>
      <c r="G425" s="32">
        <f>IF($A425="","","Manual_JE")</f>
        <v/>
      </c>
      <c r="H425" s="44">
        <f>IF($A425="","",IF(COUNTIF($A:$A,$A425)&gt;1,"مكرر",""))</f>
        <v/>
      </c>
      <c r="I425" s="32">
        <f>IF($H425="مكرر","مكرر","")</f>
        <v/>
      </c>
    </row>
    <row r="426">
      <c r="A426" s="32">
        <f>IF(AND(Manual_JE!$A54&lt;&gt;"",Manual_JE!$V54=1),Manual_JE!$A54,"")</f>
        <v/>
      </c>
      <c r="B426" s="32">
        <f>IF($A426="","","MJE")</f>
        <v/>
      </c>
      <c r="C426" s="33">
        <f>IF($A426="","",Manual_JE!$B54)</f>
        <v/>
      </c>
      <c r="D426" s="32">
        <f>IF($A426="","",Manual_JE!$F54)</f>
        <v/>
      </c>
      <c r="E426" s="43">
        <f>IF($A426="","",Manual_JE!$W54)</f>
        <v/>
      </c>
      <c r="F426" s="32">
        <f>IF($A426="","",Manual_JE!$M54)</f>
        <v/>
      </c>
      <c r="G426" s="32">
        <f>IF($A426="","","Manual_JE")</f>
        <v/>
      </c>
      <c r="H426" s="44">
        <f>IF($A426="","",IF(COUNTIF($A:$A,$A426)&gt;1,"مكرر",""))</f>
        <v/>
      </c>
      <c r="I426" s="32">
        <f>IF($H426="مكرر","مكرر","")</f>
        <v/>
      </c>
    </row>
    <row r="427">
      <c r="A427" s="32">
        <f>IF(AND(Manual_JE!$A55&lt;&gt;"",Manual_JE!$V55=1),Manual_JE!$A55,"")</f>
        <v/>
      </c>
      <c r="B427" s="32">
        <f>IF($A427="","","MJE")</f>
        <v/>
      </c>
      <c r="C427" s="33">
        <f>IF($A427="","",Manual_JE!$B55)</f>
        <v/>
      </c>
      <c r="D427" s="32">
        <f>IF($A427="","",Manual_JE!$F55)</f>
        <v/>
      </c>
      <c r="E427" s="43">
        <f>IF($A427="","",Manual_JE!$W55)</f>
        <v/>
      </c>
      <c r="F427" s="32">
        <f>IF($A427="","",Manual_JE!$M55)</f>
        <v/>
      </c>
      <c r="G427" s="32">
        <f>IF($A427="","","Manual_JE")</f>
        <v/>
      </c>
      <c r="H427" s="44">
        <f>IF($A427="","",IF(COUNTIF($A:$A,$A427)&gt;1,"مكرر",""))</f>
        <v/>
      </c>
      <c r="I427" s="32">
        <f>IF($H427="مكرر","مكرر","")</f>
        <v/>
      </c>
    </row>
    <row r="428">
      <c r="A428" s="32">
        <f>IF(AND(Manual_JE!$A56&lt;&gt;"",Manual_JE!$V56=1),Manual_JE!$A56,"")</f>
        <v/>
      </c>
      <c r="B428" s="32">
        <f>IF($A428="","","MJE")</f>
        <v/>
      </c>
      <c r="C428" s="33">
        <f>IF($A428="","",Manual_JE!$B56)</f>
        <v/>
      </c>
      <c r="D428" s="32">
        <f>IF($A428="","",Manual_JE!$F56)</f>
        <v/>
      </c>
      <c r="E428" s="43">
        <f>IF($A428="","",Manual_JE!$W56)</f>
        <v/>
      </c>
      <c r="F428" s="32">
        <f>IF($A428="","",Manual_JE!$M56)</f>
        <v/>
      </c>
      <c r="G428" s="32">
        <f>IF($A428="","","Manual_JE")</f>
        <v/>
      </c>
      <c r="H428" s="44">
        <f>IF($A428="","",IF(COUNTIF($A:$A,$A428)&gt;1,"مكرر",""))</f>
        <v/>
      </c>
      <c r="I428" s="32">
        <f>IF($H428="مكرر","مكرر","")</f>
        <v/>
      </c>
    </row>
    <row r="429">
      <c r="A429" s="32">
        <f>IF(AND(Manual_JE!$A57&lt;&gt;"",Manual_JE!$V57=1),Manual_JE!$A57,"")</f>
        <v/>
      </c>
      <c r="B429" s="32">
        <f>IF($A429="","","MJE")</f>
        <v/>
      </c>
      <c r="C429" s="33">
        <f>IF($A429="","",Manual_JE!$B57)</f>
        <v/>
      </c>
      <c r="D429" s="32">
        <f>IF($A429="","",Manual_JE!$F57)</f>
        <v/>
      </c>
      <c r="E429" s="43">
        <f>IF($A429="","",Manual_JE!$W57)</f>
        <v/>
      </c>
      <c r="F429" s="32">
        <f>IF($A429="","",Manual_JE!$M57)</f>
        <v/>
      </c>
      <c r="G429" s="32">
        <f>IF($A429="","","Manual_JE")</f>
        <v/>
      </c>
      <c r="H429" s="44">
        <f>IF($A429="","",IF(COUNTIF($A:$A,$A429)&gt;1,"مكرر",""))</f>
        <v/>
      </c>
      <c r="I429" s="32">
        <f>IF($H429="مكرر","مكرر","")</f>
        <v/>
      </c>
    </row>
    <row r="430">
      <c r="A430" s="32">
        <f>IF(AND(Manual_JE!$A58&lt;&gt;"",Manual_JE!$V58=1),Manual_JE!$A58,"")</f>
        <v/>
      </c>
      <c r="B430" s="32">
        <f>IF($A430="","","MJE")</f>
        <v/>
      </c>
      <c r="C430" s="33">
        <f>IF($A430="","",Manual_JE!$B58)</f>
        <v/>
      </c>
      <c r="D430" s="32">
        <f>IF($A430="","",Manual_JE!$F58)</f>
        <v/>
      </c>
      <c r="E430" s="43">
        <f>IF($A430="","",Manual_JE!$W58)</f>
        <v/>
      </c>
      <c r="F430" s="32">
        <f>IF($A430="","",Manual_JE!$M58)</f>
        <v/>
      </c>
      <c r="G430" s="32">
        <f>IF($A430="","","Manual_JE")</f>
        <v/>
      </c>
      <c r="H430" s="44">
        <f>IF($A430="","",IF(COUNTIF($A:$A,$A430)&gt;1,"مكرر",""))</f>
        <v/>
      </c>
      <c r="I430" s="32">
        <f>IF($H430="مكرر","مكرر","")</f>
        <v/>
      </c>
    </row>
    <row r="431">
      <c r="A431" s="32">
        <f>IF(AND(Manual_JE!$A59&lt;&gt;"",Manual_JE!$V59=1),Manual_JE!$A59,"")</f>
        <v/>
      </c>
      <c r="B431" s="32">
        <f>IF($A431="","","MJE")</f>
        <v/>
      </c>
      <c r="C431" s="33">
        <f>IF($A431="","",Manual_JE!$B59)</f>
        <v/>
      </c>
      <c r="D431" s="32">
        <f>IF($A431="","",Manual_JE!$F59)</f>
        <v/>
      </c>
      <c r="E431" s="43">
        <f>IF($A431="","",Manual_JE!$W59)</f>
        <v/>
      </c>
      <c r="F431" s="32">
        <f>IF($A431="","",Manual_JE!$M59)</f>
        <v/>
      </c>
      <c r="G431" s="32">
        <f>IF($A431="","","Manual_JE")</f>
        <v/>
      </c>
      <c r="H431" s="44">
        <f>IF($A431="","",IF(COUNTIF($A:$A,$A431)&gt;1,"مكرر",""))</f>
        <v/>
      </c>
      <c r="I431" s="32">
        <f>IF($H431="مكرر","مكرر","")</f>
        <v/>
      </c>
    </row>
    <row r="432">
      <c r="A432" s="32">
        <f>IF(AND(Manual_JE!$A60&lt;&gt;"",Manual_JE!$V60=1),Manual_JE!$A60,"")</f>
        <v/>
      </c>
      <c r="B432" s="32">
        <f>IF($A432="","","MJE")</f>
        <v/>
      </c>
      <c r="C432" s="33">
        <f>IF($A432="","",Manual_JE!$B60)</f>
        <v/>
      </c>
      <c r="D432" s="32">
        <f>IF($A432="","",Manual_JE!$F60)</f>
        <v/>
      </c>
      <c r="E432" s="43">
        <f>IF($A432="","",Manual_JE!$W60)</f>
        <v/>
      </c>
      <c r="F432" s="32">
        <f>IF($A432="","",Manual_JE!$M60)</f>
        <v/>
      </c>
      <c r="G432" s="32">
        <f>IF($A432="","","Manual_JE")</f>
        <v/>
      </c>
      <c r="H432" s="44">
        <f>IF($A432="","",IF(COUNTIF($A:$A,$A432)&gt;1,"مكرر",""))</f>
        <v/>
      </c>
      <c r="I432" s="32">
        <f>IF($H432="مكرر","مكرر","")</f>
        <v/>
      </c>
    </row>
    <row r="433">
      <c r="A433" s="32">
        <f>IF(AND(Manual_JE!$A61&lt;&gt;"",Manual_JE!$V61=1),Manual_JE!$A61,"")</f>
        <v/>
      </c>
      <c r="B433" s="32">
        <f>IF($A433="","","MJE")</f>
        <v/>
      </c>
      <c r="C433" s="33">
        <f>IF($A433="","",Manual_JE!$B61)</f>
        <v/>
      </c>
      <c r="D433" s="32">
        <f>IF($A433="","",Manual_JE!$F61)</f>
        <v/>
      </c>
      <c r="E433" s="43">
        <f>IF($A433="","",Manual_JE!$W61)</f>
        <v/>
      </c>
      <c r="F433" s="32">
        <f>IF($A433="","",Manual_JE!$M61)</f>
        <v/>
      </c>
      <c r="G433" s="32">
        <f>IF($A433="","","Manual_JE")</f>
        <v/>
      </c>
      <c r="H433" s="44">
        <f>IF($A433="","",IF(COUNTIF($A:$A,$A433)&gt;1,"مكرر",""))</f>
        <v/>
      </c>
      <c r="I433" s="32">
        <f>IF($H433="مكرر","مكرر","")</f>
        <v/>
      </c>
    </row>
    <row r="434">
      <c r="A434" s="32">
        <f>IF(AND(Manual_JE!$A62&lt;&gt;"",Manual_JE!$V62=1),Manual_JE!$A62,"")</f>
        <v/>
      </c>
      <c r="B434" s="32">
        <f>IF($A434="","","MJE")</f>
        <v/>
      </c>
      <c r="C434" s="33">
        <f>IF($A434="","",Manual_JE!$B62)</f>
        <v/>
      </c>
      <c r="D434" s="32">
        <f>IF($A434="","",Manual_JE!$F62)</f>
        <v/>
      </c>
      <c r="E434" s="43">
        <f>IF($A434="","",Manual_JE!$W62)</f>
        <v/>
      </c>
      <c r="F434" s="32">
        <f>IF($A434="","",Manual_JE!$M62)</f>
        <v/>
      </c>
      <c r="G434" s="32">
        <f>IF($A434="","","Manual_JE")</f>
        <v/>
      </c>
      <c r="H434" s="44">
        <f>IF($A434="","",IF(COUNTIF($A:$A,$A434)&gt;1,"مكرر",""))</f>
        <v/>
      </c>
      <c r="I434" s="32">
        <f>IF($H434="مكرر","مكرر","")</f>
        <v/>
      </c>
    </row>
    <row r="435">
      <c r="A435" s="32">
        <f>IF(AND(Manual_JE!$A63&lt;&gt;"",Manual_JE!$V63=1),Manual_JE!$A63,"")</f>
        <v/>
      </c>
      <c r="B435" s="32">
        <f>IF($A435="","","MJE")</f>
        <v/>
      </c>
      <c r="C435" s="33">
        <f>IF($A435="","",Manual_JE!$B63)</f>
        <v/>
      </c>
      <c r="D435" s="32">
        <f>IF($A435="","",Manual_JE!$F63)</f>
        <v/>
      </c>
      <c r="E435" s="43">
        <f>IF($A435="","",Manual_JE!$W63)</f>
        <v/>
      </c>
      <c r="F435" s="32">
        <f>IF($A435="","",Manual_JE!$M63)</f>
        <v/>
      </c>
      <c r="G435" s="32">
        <f>IF($A435="","","Manual_JE")</f>
        <v/>
      </c>
      <c r="H435" s="44">
        <f>IF($A435="","",IF(COUNTIF($A:$A,$A435)&gt;1,"مكرر",""))</f>
        <v/>
      </c>
      <c r="I435" s="32">
        <f>IF($H435="مكرر","مكرر","")</f>
        <v/>
      </c>
    </row>
    <row r="436">
      <c r="A436" s="32">
        <f>IF(AND(Manual_JE!$A64&lt;&gt;"",Manual_JE!$V64=1),Manual_JE!$A64,"")</f>
        <v/>
      </c>
      <c r="B436" s="32">
        <f>IF($A436="","","MJE")</f>
        <v/>
      </c>
      <c r="C436" s="33">
        <f>IF($A436="","",Manual_JE!$B64)</f>
        <v/>
      </c>
      <c r="D436" s="32">
        <f>IF($A436="","",Manual_JE!$F64)</f>
        <v/>
      </c>
      <c r="E436" s="43">
        <f>IF($A436="","",Manual_JE!$W64)</f>
        <v/>
      </c>
      <c r="F436" s="32">
        <f>IF($A436="","",Manual_JE!$M64)</f>
        <v/>
      </c>
      <c r="G436" s="32">
        <f>IF($A436="","","Manual_JE")</f>
        <v/>
      </c>
      <c r="H436" s="44">
        <f>IF($A436="","",IF(COUNTIF($A:$A,$A436)&gt;1,"مكرر",""))</f>
        <v/>
      </c>
      <c r="I436" s="32">
        <f>IF($H436="مكرر","مكرر","")</f>
        <v/>
      </c>
    </row>
  </sheetData>
  <sheetProtection selectLockedCells="0" selectUnlockedCells="0" sheet="1" objects="0" insertRows="1" insertHyperlinks="1" autoFilter="0" scenarios="0" formatColumns="0" deleteColumns="1" insertColumns="1" pivotTables="1" deleteRows="1" formatCells="0" formatRows="0" sort="1"/>
  <autoFilter ref="A4:I436"/>
  <conditionalFormatting sqref="F5:F436">
    <cfRule type="expression" priority="1" dxfId="1">
      <formula>F5="مرحل"</formula>
    </cfRule>
    <cfRule type="expression" priority="2" dxfId="0">
      <formula>F5="معكوس"</formula>
    </cfRule>
  </conditionalFormatting>
  <conditionalFormatting sqref="I5:I436">
    <cfRule type="expression" priority="3" dxfId="3">
      <formula>LEN(I5)&gt;0</formula>
    </cfRule>
  </conditionalFormatting>
  <pageMargins left="0.75" right="0.75" top="1" bottom="1" header="0.5" footer="0.5"/>
  <pageSetup orientation="landscape" fitToHeight="0" fitToWidth="1"/>
</worksheet>
</file>

<file path=xl/worksheets/sheet24.xml><?xml version="1.0" encoding="utf-8"?>
<worksheet xmlns="http://schemas.openxmlformats.org/spreadsheetml/2006/main">
  <sheetPr>
    <tabColor rgb="007F7F7F"/>
    <outlinePr summaryBelow="1" summaryRight="1"/>
    <pageSetUpPr/>
  </sheetPr>
  <dimension ref="A1:F10"/>
  <sheetViews>
    <sheetView rightToLeft="1" zoomScale="90" workbookViewId="0">
      <pane ySplit="4" topLeftCell="A5" activePane="bottomLeft" state="frozen"/>
      <selection pane="bottomLeft" activeCell="A1" sqref="A1"/>
    </sheetView>
  </sheetViews>
  <sheetFormatPr baseColWidth="8" defaultRowHeight="15"/>
  <cols>
    <col width="30" customWidth="1" min="1" max="1"/>
    <col width="100" customWidth="1" min="2" max="2"/>
  </cols>
  <sheetData>
    <row r="1" ht="26" customHeight="1">
      <c r="A1" s="22" t="inlineStr">
        <is>
          <t>إلغاء المستندات وفقدها واكتشاف الأخطاء</t>
        </is>
      </c>
      <c r="B1" s="1" t="n"/>
      <c r="C1" s="1" t="n"/>
      <c r="D1" s="1" t="n"/>
      <c r="E1" s="1" t="n"/>
      <c r="F1" s="1" t="n"/>
    </row>
    <row r="2">
      <c r="A2" s="23" t="inlineStr">
        <is>
          <t>ماذا يحدث إذا أُلغي مستند أو فُقد أو اكتُشف فيه خطأ</t>
        </is>
      </c>
    </row>
    <row r="4">
      <c r="A4" s="24" t="inlineStr">
        <is>
          <t>الحالة</t>
        </is>
      </c>
      <c r="B4" s="24" t="inlineStr">
        <is>
          <t>الإجراء</t>
        </is>
      </c>
    </row>
    <row r="5">
      <c r="A5" s="25" t="inlineStr">
        <is>
          <t>إلغاء مستند قبل الترحيل</t>
        </is>
      </c>
      <c r="B5" s="25" t="inlineStr">
        <is>
          <t>يُشطب بخط قطري ويُكتب (ملغى) ويوقعه المُعِد والمعتمد؛ لا يُمزّق ويحتفظ بكل نسخه، وتُسجل حالة (ملغى) في الورقة نفسها.</t>
        </is>
      </c>
    </row>
    <row r="6">
      <c r="A6" s="25" t="inlineStr">
        <is>
          <t>إلغاء مستند بعد الترحيل</t>
        </is>
      </c>
      <c r="B6" s="25" t="inlineStr">
        <is>
          <t>لا يُحذف ولا يُعدَّل. تُغيّر حالته إلى (معكوس) مع مرجع التصحيح، ويُسجل مستند صحيح جديد؛ أو قيد عكس في Manual_JE إذا كانت الفترة مقفلة.</t>
        </is>
      </c>
    </row>
    <row r="7">
      <c r="A7" s="25" t="inlineStr">
        <is>
          <t>فقد مستند</t>
        </is>
      </c>
      <c r="B7" s="25" t="inlineStr">
        <is>
          <t>يُبلَّغ مدير الفرع والمحاسب في نفس اليوم ويُحرَّر محضر فقد موقّع. يُبحث عن الصورة المحفوظة؛ يُسجل المستند من الصورة بعد اعتماد المدير المالي. يُلغى الرقم الأصلي في السجل المركزي بعبارة (فقد).</t>
        </is>
      </c>
    </row>
    <row r="8">
      <c r="A8" s="25" t="inlineStr">
        <is>
          <t>اكتشاف خطأ في مستند مرحل</t>
        </is>
      </c>
      <c r="B8" s="25" t="inlineStr">
        <is>
          <t>يُوثق الخطأ بنموذج التسوية (25)، ثم عكس وتصحيح، ولا تُغيَّر الأرقام في الورقة بعد الترحيل.</t>
        </is>
      </c>
    </row>
    <row r="9">
      <c r="A9" s="25" t="inlineStr">
        <is>
          <t>تكرار رقم مستند</t>
        </is>
      </c>
      <c r="B9" s="25" t="inlineStr">
        <is>
          <t>ينبه النظام تلقائيًا ويمنع الترحيل. يُراجع الرقم المطبوع؛ المستند الأحدث يُصحَّح رقمه بموافقة المحاسب ويُسجل ذلك في Audit_Log.</t>
        </is>
      </c>
    </row>
    <row r="10">
      <c r="A10" s="25" t="inlineStr">
        <is>
          <t>مستند ناقص التوقيع</t>
        </is>
      </c>
      <c r="B10" s="25" t="inlineStr">
        <is>
          <t>لا يُرحَّل. يُعاد لصاحبه ويبقى (مسودة) حتى تكتمل التوقيعات.</t>
        </is>
      </c>
    </row>
  </sheetData>
  <autoFilter ref="A4:B10"/>
  <pageMargins left="0.75" right="0.75" top="1" bottom="1" header="0.5" footer="0.5"/>
</worksheet>
</file>

<file path=xl/worksheets/sheet25.xml><?xml version="1.0" encoding="utf-8"?>
<worksheet xmlns="http://schemas.openxmlformats.org/spreadsheetml/2006/main">
  <sheetPr>
    <tabColor rgb="00548235"/>
    <outlinePr summaryBelow="1" summaryRight="1"/>
    <pageSetUpPr fitToPage="1"/>
  </sheetPr>
  <dimension ref="A1:AY60"/>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9" customWidth="1" min="3" max="3"/>
    <col width="9" customWidth="1" min="4" max="4"/>
    <col width="13" customWidth="1" min="5" max="5"/>
    <col width="13" customWidth="1" min="6" max="6"/>
    <col width="13" customWidth="1" min="7" max="7"/>
    <col width="13" customWidth="1" min="8" max="8"/>
    <col width="13" customWidth="1" min="9" max="9"/>
    <col width="13" customWidth="1" min="10" max="10"/>
    <col width="16" customWidth="1" min="11" max="11"/>
    <col width="13" customWidth="1" min="12" max="12"/>
    <col width="13" customWidth="1" min="13" max="13"/>
    <col width="13" customWidth="1" min="14" max="14"/>
    <col width="13" customWidth="1" min="15" max="15"/>
    <col width="13" customWidth="1" min="16" max="16"/>
    <col width="13" customWidth="1" min="17" max="17"/>
    <col width="11" customWidth="1" min="18" max="18"/>
    <col width="11" customWidth="1" min="19" max="19"/>
    <col width="22" customWidth="1" min="20" max="20"/>
    <col width="22" customWidth="1" min="21" max="21"/>
    <col width="22" customWidth="1" min="22" max="22"/>
    <col width="16" customWidth="1" min="23" max="23"/>
    <col width="18" customWidth="1" min="24" max="24"/>
    <col width="24" customWidth="1" min="25" max="25"/>
    <col width="13" customWidth="1" min="26" max="26"/>
    <col width="13" customWidth="1" min="27" max="27"/>
    <col width="13" customWidth="1" min="28" max="28"/>
    <col width="12" customWidth="1" min="29" max="29"/>
    <col hidden="1" width="12" customWidth="1" min="30" max="30"/>
    <col hidden="1" width="12" customWidth="1" min="31" max="31"/>
    <col hidden="1" width="12" customWidth="1" min="32" max="32"/>
    <col hidden="1" width="12" customWidth="1" min="33" max="33"/>
    <col hidden="1" width="12" customWidth="1" min="34" max="34"/>
    <col hidden="1" width="12" customWidth="1" min="35" max="35"/>
    <col width="11" customWidth="1" min="36" max="36"/>
    <col hidden="1" width="9" customWidth="1" min="37" max="37"/>
    <col hidden="1" width="9" customWidth="1" min="38" max="38"/>
    <col hidden="1" width="9" customWidth="1" min="39" max="39"/>
    <col hidden="1" width="9" customWidth="1" min="40" max="40"/>
    <col hidden="1" width="9" customWidth="1" min="41" max="41"/>
    <col hidden="1" width="9" customWidth="1" min="42" max="42"/>
    <col hidden="1" width="9" customWidth="1" min="43" max="43"/>
    <col hidden="1" width="9" customWidth="1" min="44" max="44"/>
    <col hidden="1" width="9" customWidth="1" min="45" max="45"/>
    <col hidden="1" width="9" customWidth="1" min="46" max="46"/>
    <col width="11" customWidth="1" min="47" max="47"/>
    <col hidden="1" width="7" customWidth="1" min="48" max="48"/>
    <col width="44" customWidth="1" min="49" max="49"/>
    <col hidden="1" width="6" customWidth="1" min="50" max="50"/>
    <col hidden="1" width="7" customWidth="1" min="51" max="51"/>
  </cols>
  <sheetData>
    <row r="1" ht="26" customHeight="1">
      <c r="A1" s="22" t="inlineStr">
        <is>
          <t>المبيعات اليومية (Daily Sales) - صف لكل فرع وكل يوم</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row>
    <row r="2">
      <c r="A2" s="35" t="inlineStr">
        <is>
          <t>مصدر المستند: نموذج تقرير المبيعات اليومي (15). إجمالي المبيعات حسب الفئة، ثم الخصومات والمرتجعات، ثم توزيع صافي المبيعات حسب وسيلة الدفع. مجموع وسائل الدفع يجب أن يساوي صافي المبيعات.</t>
        </is>
      </c>
    </row>
    <row r="3">
      <c r="A3" s="36" t="inlineStr">
        <is>
          <t>خلايا الإدخال</t>
        </is>
      </c>
      <c r="B3" s="37" t="inlineStr">
        <is>
          <t>معادلات (لا تعدّل)</t>
        </is>
      </c>
    </row>
    <row r="4" ht="34" customHeight="1">
      <c r="A4" s="24" t="inlineStr">
        <is>
          <t>رقم تقرير المبيعات
SAL-BR01-0001</t>
        </is>
      </c>
      <c r="B4" s="24" t="inlineStr">
        <is>
          <t>تاريخ البيع</t>
        </is>
      </c>
      <c r="C4" s="24" t="inlineStr">
        <is>
          <t>الفرع</t>
        </is>
      </c>
      <c r="D4" s="24" t="inlineStr">
        <is>
          <t>عدد الطلبات</t>
        </is>
      </c>
      <c r="E4" s="24" t="inlineStr">
        <is>
          <t>إجمالي مبيعات الفطير</t>
        </is>
      </c>
      <c r="F4" s="24" t="inlineStr">
        <is>
          <t>إجمالي مبيعات البيتزا</t>
        </is>
      </c>
      <c r="G4" s="24" t="inlineStr">
        <is>
          <t>إجمالي مبيعات المكرونات</t>
        </is>
      </c>
      <c r="H4" s="24" t="inlineStr">
        <is>
          <t>إجمالي مبيعات أخرى</t>
        </is>
      </c>
      <c r="I4" s="24" t="inlineStr">
        <is>
          <t>الخصومات والعروض (-)</t>
        </is>
      </c>
      <c r="J4" s="24" t="inlineStr">
        <is>
          <t>المرتجعات والإلغاء (-)</t>
        </is>
      </c>
      <c r="K4" s="24" t="inlineStr">
        <is>
          <t>ضيافة/طلبات مجانية بسعر البيع (للعلم فقط - لا قيد)</t>
        </is>
      </c>
      <c r="L4" s="24" t="inlineStr">
        <is>
          <t>تحصيل نقدي (CASH)</t>
        </is>
      </c>
      <c r="M4" s="24" t="inlineStr">
        <is>
          <t>تحصيل بطاقات (CARD)</t>
        </is>
      </c>
      <c r="N4" s="24" t="inlineStr">
        <is>
          <t>تحصيل طلبات (TLB)</t>
        </is>
      </c>
      <c r="O4" s="24" t="inlineStr">
        <is>
          <t>تحصيل منصة توصيل أخرى (DLV2)</t>
        </is>
      </c>
      <c r="P4" s="24" t="inlineStr">
        <is>
          <t>تحصيل تحويل إلكتروني (INSTA)</t>
        </is>
      </c>
      <c r="Q4" s="24" t="inlineStr">
        <is>
          <t>تحصيل وسيلة أخرى</t>
        </is>
      </c>
      <c r="R4" s="24" t="inlineStr">
        <is>
          <t>كود الوسيلة الأخرى</t>
        </is>
      </c>
      <c r="S4" s="24" t="inlineStr">
        <is>
          <t>حالة المستند</t>
        </is>
      </c>
      <c r="T4" s="24" t="inlineStr">
        <is>
          <t>المُعِد / مقدم الطلب</t>
        </is>
      </c>
      <c r="U4" s="24" t="inlineStr">
        <is>
          <t>المعتمد</t>
        </is>
      </c>
      <c r="V4" s="24" t="inlineStr">
        <is>
          <t>المحاسب المرحِّل</t>
        </is>
      </c>
      <c r="W4" s="24" t="inlineStr">
        <is>
          <t>مرفق / مرجع ورقي</t>
        </is>
      </c>
      <c r="X4" s="24" t="inlineStr">
        <is>
          <t>مرجع التصحيح / الإلغاء</t>
        </is>
      </c>
      <c r="Y4" s="24" t="inlineStr">
        <is>
          <t>ملاحظات</t>
        </is>
      </c>
      <c r="Z4" s="38" t="inlineStr">
        <is>
          <t>إجمالي المبيعات</t>
        </is>
      </c>
      <c r="AA4" s="38" t="inlineStr">
        <is>
          <t>صافي المبيعات</t>
        </is>
      </c>
      <c r="AB4" s="38" t="inlineStr">
        <is>
          <t>مجموع وسائل الدفع</t>
        </is>
      </c>
      <c r="AC4" s="38" t="inlineStr">
        <is>
          <t>فرق (صافي - وسائل الدفع)</t>
        </is>
      </c>
      <c r="AD4" s="38" t="inlineStr">
        <is>
          <t>إيراد فئة 1 (بدون ضريبة)</t>
        </is>
      </c>
      <c r="AE4" s="38" t="inlineStr">
        <is>
          <t>إيراد فئة 2 (بدون ضريبة)</t>
        </is>
      </c>
      <c r="AF4" s="38" t="inlineStr">
        <is>
          <t>إيراد فئة 3 (بدون ضريبة)</t>
        </is>
      </c>
      <c r="AG4" s="38" t="inlineStr">
        <is>
          <t>إيراد فئة 4 (بدون ضريبة)</t>
        </is>
      </c>
      <c r="AH4" s="38" t="inlineStr">
        <is>
          <t>الخصم (بدون ضريبة)</t>
        </is>
      </c>
      <c r="AI4" s="38" t="inlineStr">
        <is>
          <t>المرتجع (بدون ضريبة)</t>
        </is>
      </c>
      <c r="AJ4" s="38" t="inlineStr">
        <is>
          <t>ضريبة المخرجات</t>
        </is>
      </c>
      <c r="AK4" s="38" t="inlineStr">
        <is>
          <t>حساب تسوية CASH</t>
        </is>
      </c>
      <c r="AL4" s="38" t="inlineStr">
        <is>
          <t>حساب تسوية CARD</t>
        </is>
      </c>
      <c r="AM4" s="38" t="inlineStr">
        <is>
          <t>حساب تسوية TLB</t>
        </is>
      </c>
      <c r="AN4" s="38" t="inlineStr">
        <is>
          <t>حساب تسوية DLV2</t>
        </is>
      </c>
      <c r="AO4" s="38" t="inlineStr">
        <is>
          <t>حساب تسوية INSTA</t>
        </is>
      </c>
      <c r="AP4" s="38" t="inlineStr">
        <is>
          <t>حساب تسوية الوسيلة الأخرى</t>
        </is>
      </c>
      <c r="AQ4" s="38" t="inlineStr">
        <is>
          <t>حساب إيراد 1</t>
        </is>
      </c>
      <c r="AR4" s="38" t="inlineStr">
        <is>
          <t>حساب إيراد 2</t>
        </is>
      </c>
      <c r="AS4" s="38" t="inlineStr">
        <is>
          <t>حساب إيراد 3</t>
        </is>
      </c>
      <c r="AT4" s="38" t="inlineStr">
        <is>
          <t>حساب إيراد 4</t>
        </is>
      </c>
      <c r="AU4" s="38" t="inlineStr">
        <is>
          <t>تمت المطابقة اليومية؟</t>
        </is>
      </c>
      <c r="AV4" s="38" t="inlineStr">
        <is>
          <t>مستخدم</t>
        </is>
      </c>
      <c r="AW4" s="38" t="inlineStr">
        <is>
          <t>فحص المستند (أول خطأ)</t>
        </is>
      </c>
      <c r="AX4" s="38" t="inlineStr">
        <is>
          <t>خطأ؟</t>
        </is>
      </c>
      <c r="AY4" s="38" t="inlineStr">
        <is>
          <t>يُرحَّل؟</t>
        </is>
      </c>
    </row>
    <row r="5">
      <c r="A5" s="29" t="n"/>
      <c r="B5" s="31" t="n"/>
      <c r="C5" s="39" t="n"/>
      <c r="D5" s="29" t="n"/>
      <c r="E5" s="42" t="n"/>
      <c r="F5" s="42" t="n"/>
      <c r="G5" s="42" t="n"/>
      <c r="H5" s="42" t="n"/>
      <c r="I5" s="42" t="n"/>
      <c r="J5" s="42" t="n"/>
      <c r="K5" s="42" t="n"/>
      <c r="L5" s="42" t="n"/>
      <c r="M5" s="42" t="n"/>
      <c r="N5" s="42" t="n"/>
      <c r="O5" s="42" t="n"/>
      <c r="P5" s="42" t="n"/>
      <c r="Q5" s="42" t="n"/>
      <c r="R5" s="39" t="n"/>
      <c r="S5" s="39" t="n"/>
      <c r="T5" s="29" t="n"/>
      <c r="U5" s="29" t="n"/>
      <c r="V5" s="29" t="n"/>
      <c r="W5" s="29" t="n"/>
      <c r="X5" s="29" t="n"/>
      <c r="Y5" s="29" t="n"/>
      <c r="Z5" s="43">
        <f>IF($AV5=1,$E5+$F5+$G5+$H5,"")</f>
        <v/>
      </c>
      <c r="AA5" s="43">
        <f>IF($AV5=1,$Z5-$I5-$J5,"")</f>
        <v/>
      </c>
      <c r="AB5" s="43">
        <f>IF($AV5=1,$L5+$M5+$N5+$O5+$P5+$Q5,"")</f>
        <v/>
      </c>
      <c r="AC5" s="47">
        <f>IF($AV5=1,ROUND($AA5-$AB5,2),"")</f>
        <v/>
      </c>
      <c r="AD5" s="43">
        <f>IF($AV5=1,ROUND($E5/S_VATF,2),"")</f>
        <v/>
      </c>
      <c r="AE5" s="43">
        <f>IF($AV5=1,ROUND($F5/S_VATF,2),"")</f>
        <v/>
      </c>
      <c r="AF5" s="43">
        <f>IF($AV5=1,ROUND($G5/S_VATF,2),"")</f>
        <v/>
      </c>
      <c r="AG5" s="43">
        <f>IF($AV5=1,ROUND($H5/S_VATF,2),"")</f>
        <v/>
      </c>
      <c r="AH5" s="43">
        <f>IF($AV5=1,ROUND($I5/S_VATF,2),"")</f>
        <v/>
      </c>
      <c r="AI5" s="43">
        <f>IF($AV5=1,ROUND($J5/S_VATF,2),"")</f>
        <v/>
      </c>
      <c r="AJ5" s="43">
        <f>IF($AV5=1,ROUND($AA5+$AH5+$AI5-$AD5-$AE5-$AF5-$AG5,2),"")</f>
        <v/>
      </c>
      <c r="AK5" s="32">
        <f>IF(AND($AV5=1,N($L5)&gt;0),IFERROR(IF(IFERROR(INDEX(Payment_Methods!$C:$C,MATCH("CASH",Payment_Methods!$A:$A,0)),"")="نقدي",INDEX(Treasuries!$E:$E,MATCH(INDEX(Locations!$G:$G,MATCH($C5,Locations!$A:$A,0)),Treasuries!$A:$A,0)),INDEX(Payment_Methods!$D:$D,MATCH("CASH",Payment_Methods!$A:$A,0))),"؟"),"")</f>
        <v/>
      </c>
      <c r="AL5" s="32">
        <f>IF(AND($AV5=1,N($M5)&gt;0),IFERROR(IF(IFERROR(INDEX(Payment_Methods!$C:$C,MATCH("CARD",Payment_Methods!$A:$A,0)),"")="نقدي",INDEX(Treasuries!$E:$E,MATCH(INDEX(Locations!$G:$G,MATCH($C5,Locations!$A:$A,0)),Treasuries!$A:$A,0)),INDEX(Payment_Methods!$D:$D,MATCH("CARD",Payment_Methods!$A:$A,0))),"؟"),"")</f>
        <v/>
      </c>
      <c r="AM5" s="32">
        <f>IF(AND($AV5=1,N($N5)&gt;0),IFERROR(IF(IFERROR(INDEX(Payment_Methods!$C:$C,MATCH("TLB",Payment_Methods!$A:$A,0)),"")="نقدي",INDEX(Treasuries!$E:$E,MATCH(INDEX(Locations!$G:$G,MATCH($C5,Locations!$A:$A,0)),Treasuries!$A:$A,0)),INDEX(Payment_Methods!$D:$D,MATCH("TLB",Payment_Methods!$A:$A,0))),"؟"),"")</f>
        <v/>
      </c>
      <c r="AN5" s="32">
        <f>IF(AND($AV5=1,N($O5)&gt;0),IFERROR(IF(IFERROR(INDEX(Payment_Methods!$C:$C,MATCH("DLV2",Payment_Methods!$A:$A,0)),"")="نقدي",INDEX(Treasuries!$E:$E,MATCH(INDEX(Locations!$G:$G,MATCH($C5,Locations!$A:$A,0)),Treasuries!$A:$A,0)),INDEX(Payment_Methods!$D:$D,MATCH("DLV2",Payment_Methods!$A:$A,0))),"؟"),"")</f>
        <v/>
      </c>
      <c r="AO5" s="32">
        <f>IF(AND($AV5=1,N($P5)&gt;0),IFERROR(IF(IFERROR(INDEX(Payment_Methods!$C:$C,MATCH("INSTA",Payment_Methods!$A:$A,0)),"")="نقدي",INDEX(Treasuries!$E:$E,MATCH(INDEX(Locations!$G:$G,MATCH($C5,Locations!$A:$A,0)),Treasuries!$A:$A,0)),INDEX(Payment_Methods!$D:$D,MATCH("INSTA",Payment_Methods!$A:$A,0))),"؟"),"")</f>
        <v/>
      </c>
      <c r="AP5" s="32">
        <f>IF(AND($AV5=1,N($Q5)&gt;0),IFERROR(IF(IFERROR(INDEX(Payment_Methods!$C:$C,MATCH($R5,Payment_Methods!$A:$A,0)),"")="نقدي",INDEX(Treasuries!$E:$E,MATCH(INDEX(Locations!$G:$G,MATCH($C5,Locations!$A:$A,0)),Treasuries!$A:$A,0)),INDEX(Payment_Methods!$D:$D,MATCH($R5,Payment_Methods!$A:$A,0))),"؟"),"")</f>
        <v/>
      </c>
      <c r="AQ5" s="32">
        <f>INDEX(Lists!$U$5:$U$8,1)</f>
        <v/>
      </c>
      <c r="AR5" s="32">
        <f>INDEX(Lists!$U$5:$U$8,2)</f>
        <v/>
      </c>
      <c r="AS5" s="32">
        <f>INDEX(Lists!$U$5:$U$8,3)</f>
        <v/>
      </c>
      <c r="AT5" s="32">
        <f>INDEX(Lists!$U$5:$U$8,4)</f>
        <v/>
      </c>
      <c r="AU5" s="44">
        <f>IF($AV5=1,IF(COUNTIFS(Daily_Recon!$A:$A,$B5,Daily_Recon!$B:$B,$C5)&gt;0,"نعم","لا"),"")</f>
        <v/>
      </c>
      <c r="AV5" s="32">
        <f>IF(COUNTA($A5:$Y5)&gt;0,1,0)</f>
        <v/>
      </c>
      <c r="AW5" s="32">
        <f>IF($AV5=0,"",IF($A5="","رقم المستند ناقص",IF(COUNTIF(Doc_Register!$A:$A,$A5)&gt;1,"رقم مستند مكرر في السجل المركزي",IF(LEFT($A5,LEN("SAL")+1)&lt;&gt;"SAL"&amp;"-","بادئة الرقم لا تطابق نوع المستند",IF(NOT(ISNUMBER($B5)),"التاريخ ناقص أو غير صحيح",IF($S5="","حالة المستند ناقصة",IF($T5="","اسم المُعِد ناقص",IF(AND(OR($S5=ST_APPR,$S5=ST_POST),$U5=""),"لا يوجد معتمد",IF(AND($U5&lt;&gt;"",$U5=$T5),"المُعِد والمعتمد نفس الشخص (فصل المهام)",IF(AND($S5=ST_POST,$V5=""),"اسم المحاسب المرحِّل ناقص",IF(AND($S5=ST_POST,$V5&lt;&gt;"",OR($V5=$T5,$V5=$U5)),"المرحِّل يجب أن يختلف عن المُعِد والمعتمد",IF(AND($S5=ST_REV,$X5=""),"مرجع التصحيح/الإلغاء ناقص",IF(AND(ISNUMBER($B5),OR($S5=ST_DRAFT,$S5=ST_APPR),COUNTIFS(Period_Close!$A:$A,YEAR($B5)*100+MONTH($B5),Period_Close!$B:$B,"مقفلة")&gt;0),"الفترة مقفلة: لا يسمح بمستند جديد",IF(NOT(COUNTIF(Locations!$A:$A,$C5)&gt;0),"الفرع غير معرف",IF(IFERROR(INDEX(Locations!$C:$C,MATCH($C5,Locations!$A:$A,0)),"")&lt;&gt;"فرع","الموقع المختار ليس فرع بيع",IF(AND($S5&lt;&gt;ST_REV,$S5&lt;&gt;ST_CANC,COUNTIFS($B$4:$B4,$B5,$C$4:$C4,$C5,$S$4:$S4,"&lt;&gt;"&amp;ST_REV,$S$4:$S4,"&lt;&gt;"&amp;ST_CANC)&gt;0),"تقرير مبيعات مكرر لنفس الفرع واليوم",IF(MIN($E5,$F5,$G5,$H5,$I5,$J5,$L5,$M5,$N5,$O5,$P5,$Q5)&lt;0,"توجد مبالغ سالبة (استخدم مستند عكسي)",IF($Z5&lt;=0,"إجمالي المبيعات صفر",IF($AA5&lt;0,"الخصومات والمرتجعات أكبر من المبيعات",IF(AND(N($Q5)&gt;0,$R5=""),"كود وسيلة الدفع الأخرى ناقص",IF(ABS($AC5)&gt;S_Tol,"مجموع وسائل الدفع لا يساوي صافي المبيعات",IF(OR(AND(N($L5)&gt;0,COUNTIFS(COA!$A:$A,$AK5,COA!$R:$R,1)&lt;&gt;1),AND(N($M5)&gt;0,COUNTIFS(COA!$A:$A,$AL5,COA!$R:$R,1)&lt;&gt;1),AND(N($N5)&gt;0,COUNTIFS(COA!$A:$A,$AM5,COA!$R:$R,1)&lt;&gt;1),AND(N($O5)&gt;0,COUNTIFS(COA!$A:$A,$AN5,COA!$R:$R,1)&lt;&gt;1),AND(N($P5)&gt;0,COUNTIFS(COA!$A:$A,$AO5,COA!$R:$R,1)&lt;&gt;1),AND(N($Q5)&gt;0,COUNTIFS(COA!$A:$A,$AP5,COA!$R:$R,1)&lt;&gt;1),AND(N($E5)&gt;0,COUNTIFS(COA!$A:$A,$AQ5,COA!$R:$R,1)&lt;&gt;1),AND(N($F5)&gt;0,COUNTIFS(COA!$A:$A,$AR5,COA!$R:$R,1)&lt;&gt;1),AND(N($G5)&gt;0,COUNTIFS(COA!$A:$A,$AS5,COA!$R:$R,1)&lt;&gt;1),AND(N($H5)&gt;0,COUNTIFS(COA!$A:$A,$AT5,COA!$R:$R,1)&lt;&gt;1)),"حساب تسوية أو إيراد غير صالح",IF($AJ5&lt;-S_Tol,"الضريبة المحسوبة سالبة","")))))))))))))))))))))))</f>
        <v/>
      </c>
      <c r="AX5" s="32">
        <f>IF($AV5=1,IF($AW5&lt;&gt;"",1,0),0)</f>
        <v/>
      </c>
      <c r="AY5" s="32">
        <f>IF(AND($AV5=1,$AX5=0,$S5=ST_POST),1,0)</f>
        <v/>
      </c>
    </row>
    <row r="6">
      <c r="A6" s="29" t="n"/>
      <c r="B6" s="31" t="n"/>
      <c r="C6" s="39" t="n"/>
      <c r="D6" s="29" t="n"/>
      <c r="E6" s="42" t="n"/>
      <c r="F6" s="42" t="n"/>
      <c r="G6" s="42" t="n"/>
      <c r="H6" s="42" t="n"/>
      <c r="I6" s="42" t="n"/>
      <c r="J6" s="42" t="n"/>
      <c r="K6" s="42" t="n"/>
      <c r="L6" s="42" t="n"/>
      <c r="M6" s="42" t="n"/>
      <c r="N6" s="42" t="n"/>
      <c r="O6" s="42" t="n"/>
      <c r="P6" s="42" t="n"/>
      <c r="Q6" s="42" t="n"/>
      <c r="R6" s="39" t="n"/>
      <c r="S6" s="39" t="n"/>
      <c r="T6" s="29" t="n"/>
      <c r="U6" s="29" t="n"/>
      <c r="V6" s="29" t="n"/>
      <c r="W6" s="29" t="n"/>
      <c r="X6" s="29" t="n"/>
      <c r="Y6" s="29" t="n"/>
      <c r="Z6" s="43">
        <f>IF($AV6=1,$E6+$F6+$G6+$H6,"")</f>
        <v/>
      </c>
      <c r="AA6" s="43">
        <f>IF($AV6=1,$Z6-$I6-$J6,"")</f>
        <v/>
      </c>
      <c r="AB6" s="43">
        <f>IF($AV6=1,$L6+$M6+$N6+$O6+$P6+$Q6,"")</f>
        <v/>
      </c>
      <c r="AC6" s="47">
        <f>IF($AV6=1,ROUND($AA6-$AB6,2),"")</f>
        <v/>
      </c>
      <c r="AD6" s="43">
        <f>IF($AV6=1,ROUND($E6/S_VATF,2),"")</f>
        <v/>
      </c>
      <c r="AE6" s="43">
        <f>IF($AV6=1,ROUND($F6/S_VATF,2),"")</f>
        <v/>
      </c>
      <c r="AF6" s="43">
        <f>IF($AV6=1,ROUND($G6/S_VATF,2),"")</f>
        <v/>
      </c>
      <c r="AG6" s="43">
        <f>IF($AV6=1,ROUND($H6/S_VATF,2),"")</f>
        <v/>
      </c>
      <c r="AH6" s="43">
        <f>IF($AV6=1,ROUND($I6/S_VATF,2),"")</f>
        <v/>
      </c>
      <c r="AI6" s="43">
        <f>IF($AV6=1,ROUND($J6/S_VATF,2),"")</f>
        <v/>
      </c>
      <c r="AJ6" s="43">
        <f>IF($AV6=1,ROUND($AA6+$AH6+$AI6-$AD6-$AE6-$AF6-$AG6,2),"")</f>
        <v/>
      </c>
      <c r="AK6" s="32">
        <f>IF(AND($AV6=1,N($L6)&gt;0),IFERROR(IF(IFERROR(INDEX(Payment_Methods!$C:$C,MATCH("CASH",Payment_Methods!$A:$A,0)),"")="نقدي",INDEX(Treasuries!$E:$E,MATCH(INDEX(Locations!$G:$G,MATCH($C6,Locations!$A:$A,0)),Treasuries!$A:$A,0)),INDEX(Payment_Methods!$D:$D,MATCH("CASH",Payment_Methods!$A:$A,0))),"؟"),"")</f>
        <v/>
      </c>
      <c r="AL6" s="32">
        <f>IF(AND($AV6=1,N($M6)&gt;0),IFERROR(IF(IFERROR(INDEX(Payment_Methods!$C:$C,MATCH("CARD",Payment_Methods!$A:$A,0)),"")="نقدي",INDEX(Treasuries!$E:$E,MATCH(INDEX(Locations!$G:$G,MATCH($C6,Locations!$A:$A,0)),Treasuries!$A:$A,0)),INDEX(Payment_Methods!$D:$D,MATCH("CARD",Payment_Methods!$A:$A,0))),"؟"),"")</f>
        <v/>
      </c>
      <c r="AM6" s="32">
        <f>IF(AND($AV6=1,N($N6)&gt;0),IFERROR(IF(IFERROR(INDEX(Payment_Methods!$C:$C,MATCH("TLB",Payment_Methods!$A:$A,0)),"")="نقدي",INDEX(Treasuries!$E:$E,MATCH(INDEX(Locations!$G:$G,MATCH($C6,Locations!$A:$A,0)),Treasuries!$A:$A,0)),INDEX(Payment_Methods!$D:$D,MATCH("TLB",Payment_Methods!$A:$A,0))),"؟"),"")</f>
        <v/>
      </c>
      <c r="AN6" s="32">
        <f>IF(AND($AV6=1,N($O6)&gt;0),IFERROR(IF(IFERROR(INDEX(Payment_Methods!$C:$C,MATCH("DLV2",Payment_Methods!$A:$A,0)),"")="نقدي",INDEX(Treasuries!$E:$E,MATCH(INDEX(Locations!$G:$G,MATCH($C6,Locations!$A:$A,0)),Treasuries!$A:$A,0)),INDEX(Payment_Methods!$D:$D,MATCH("DLV2",Payment_Methods!$A:$A,0))),"؟"),"")</f>
        <v/>
      </c>
      <c r="AO6" s="32">
        <f>IF(AND($AV6=1,N($P6)&gt;0),IFERROR(IF(IFERROR(INDEX(Payment_Methods!$C:$C,MATCH("INSTA",Payment_Methods!$A:$A,0)),"")="نقدي",INDEX(Treasuries!$E:$E,MATCH(INDEX(Locations!$G:$G,MATCH($C6,Locations!$A:$A,0)),Treasuries!$A:$A,0)),INDEX(Payment_Methods!$D:$D,MATCH("INSTA",Payment_Methods!$A:$A,0))),"؟"),"")</f>
        <v/>
      </c>
      <c r="AP6" s="32">
        <f>IF(AND($AV6=1,N($Q6)&gt;0),IFERROR(IF(IFERROR(INDEX(Payment_Methods!$C:$C,MATCH($R6,Payment_Methods!$A:$A,0)),"")="نقدي",INDEX(Treasuries!$E:$E,MATCH(INDEX(Locations!$G:$G,MATCH($C6,Locations!$A:$A,0)),Treasuries!$A:$A,0)),INDEX(Payment_Methods!$D:$D,MATCH($R6,Payment_Methods!$A:$A,0))),"؟"),"")</f>
        <v/>
      </c>
      <c r="AQ6" s="32">
        <f>INDEX(Lists!$U$5:$U$8,1)</f>
        <v/>
      </c>
      <c r="AR6" s="32">
        <f>INDEX(Lists!$U$5:$U$8,2)</f>
        <v/>
      </c>
      <c r="AS6" s="32">
        <f>INDEX(Lists!$U$5:$U$8,3)</f>
        <v/>
      </c>
      <c r="AT6" s="32">
        <f>INDEX(Lists!$U$5:$U$8,4)</f>
        <v/>
      </c>
      <c r="AU6" s="44">
        <f>IF($AV6=1,IF(COUNTIFS(Daily_Recon!$A:$A,$B6,Daily_Recon!$B:$B,$C6)&gt;0,"نعم","لا"),"")</f>
        <v/>
      </c>
      <c r="AV6" s="32">
        <f>IF(COUNTA($A6:$Y6)&gt;0,1,0)</f>
        <v/>
      </c>
      <c r="AW6" s="32">
        <f>IF($AV6=0,"",IF($A6="","رقم المستند ناقص",IF(COUNTIF(Doc_Register!$A:$A,$A6)&gt;1,"رقم مستند مكرر في السجل المركزي",IF(LEFT($A6,LEN("SAL")+1)&lt;&gt;"SAL"&amp;"-","بادئة الرقم لا تطابق نوع المستند",IF(NOT(ISNUMBER($B6)),"التاريخ ناقص أو غير صحيح",IF($S6="","حالة المستند ناقصة",IF($T6="","اسم المُعِد ناقص",IF(AND(OR($S6=ST_APPR,$S6=ST_POST),$U6=""),"لا يوجد معتمد",IF(AND($U6&lt;&gt;"",$U6=$T6),"المُعِد والمعتمد نفس الشخص (فصل المهام)",IF(AND($S6=ST_POST,$V6=""),"اسم المحاسب المرحِّل ناقص",IF(AND($S6=ST_POST,$V6&lt;&gt;"",OR($V6=$T6,$V6=$U6)),"المرحِّل يجب أن يختلف عن المُعِد والمعتمد",IF(AND($S6=ST_REV,$X6=""),"مرجع التصحيح/الإلغاء ناقص",IF(AND(ISNUMBER($B6),OR($S6=ST_DRAFT,$S6=ST_APPR),COUNTIFS(Period_Close!$A:$A,YEAR($B6)*100+MONTH($B6),Period_Close!$B:$B,"مقفلة")&gt;0),"الفترة مقفلة: لا يسمح بمستند جديد",IF(NOT(COUNTIF(Locations!$A:$A,$C6)&gt;0),"الفرع غير معرف",IF(IFERROR(INDEX(Locations!$C:$C,MATCH($C6,Locations!$A:$A,0)),"")&lt;&gt;"فرع","الموقع المختار ليس فرع بيع",IF(AND($S6&lt;&gt;ST_REV,$S6&lt;&gt;ST_CANC,COUNTIFS($B$4:$B5,$B6,$C$4:$C5,$C6,$S$4:$S5,"&lt;&gt;"&amp;ST_REV,$S$4:$S5,"&lt;&gt;"&amp;ST_CANC)&gt;0),"تقرير مبيعات مكرر لنفس الفرع واليوم",IF(MIN($E6,$F6,$G6,$H6,$I6,$J6,$L6,$M6,$N6,$O6,$P6,$Q6)&lt;0,"توجد مبالغ سالبة (استخدم مستند عكسي)",IF($Z6&lt;=0,"إجمالي المبيعات صفر",IF($AA6&lt;0,"الخصومات والمرتجعات أكبر من المبيعات",IF(AND(N($Q6)&gt;0,$R6=""),"كود وسيلة الدفع الأخرى ناقص",IF(ABS($AC6)&gt;S_Tol,"مجموع وسائل الدفع لا يساوي صافي المبيعات",IF(OR(AND(N($L6)&gt;0,COUNTIFS(COA!$A:$A,$AK6,COA!$R:$R,1)&lt;&gt;1),AND(N($M6)&gt;0,COUNTIFS(COA!$A:$A,$AL6,COA!$R:$R,1)&lt;&gt;1),AND(N($N6)&gt;0,COUNTIFS(COA!$A:$A,$AM6,COA!$R:$R,1)&lt;&gt;1),AND(N($O6)&gt;0,COUNTIFS(COA!$A:$A,$AN6,COA!$R:$R,1)&lt;&gt;1),AND(N($P6)&gt;0,COUNTIFS(COA!$A:$A,$AO6,COA!$R:$R,1)&lt;&gt;1),AND(N($Q6)&gt;0,COUNTIFS(COA!$A:$A,$AP6,COA!$R:$R,1)&lt;&gt;1),AND(N($E6)&gt;0,COUNTIFS(COA!$A:$A,$AQ6,COA!$R:$R,1)&lt;&gt;1),AND(N($F6)&gt;0,COUNTIFS(COA!$A:$A,$AR6,COA!$R:$R,1)&lt;&gt;1),AND(N($G6)&gt;0,COUNTIFS(COA!$A:$A,$AS6,COA!$R:$R,1)&lt;&gt;1),AND(N($H6)&gt;0,COUNTIFS(COA!$A:$A,$AT6,COA!$R:$R,1)&lt;&gt;1)),"حساب تسوية أو إيراد غير صالح",IF($AJ6&lt;-S_Tol,"الضريبة المحسوبة سالبة","")))))))))))))))))))))))</f>
        <v/>
      </c>
      <c r="AX6" s="32">
        <f>IF($AV6=1,IF($AW6&lt;&gt;"",1,0),0)</f>
        <v/>
      </c>
      <c r="AY6" s="32">
        <f>IF(AND($AV6=1,$AX6=0,$S6=ST_POST),1,0)</f>
        <v/>
      </c>
    </row>
    <row r="7">
      <c r="A7" s="29" t="n"/>
      <c r="B7" s="31" t="n"/>
      <c r="C7" s="39" t="n"/>
      <c r="D7" s="29" t="n"/>
      <c r="E7" s="42" t="n"/>
      <c r="F7" s="42" t="n"/>
      <c r="G7" s="42" t="n"/>
      <c r="H7" s="42" t="n"/>
      <c r="I7" s="42" t="n"/>
      <c r="J7" s="42" t="n"/>
      <c r="K7" s="42" t="n"/>
      <c r="L7" s="42" t="n"/>
      <c r="M7" s="42" t="n"/>
      <c r="N7" s="42" t="n"/>
      <c r="O7" s="42" t="n"/>
      <c r="P7" s="42" t="n"/>
      <c r="Q7" s="42" t="n"/>
      <c r="R7" s="39" t="n"/>
      <c r="S7" s="39" t="n"/>
      <c r="T7" s="29" t="n"/>
      <c r="U7" s="29" t="n"/>
      <c r="V7" s="29" t="n"/>
      <c r="W7" s="29" t="n"/>
      <c r="X7" s="29" t="n"/>
      <c r="Y7" s="29" t="n"/>
      <c r="Z7" s="43">
        <f>IF($AV7=1,$E7+$F7+$G7+$H7,"")</f>
        <v/>
      </c>
      <c r="AA7" s="43">
        <f>IF($AV7=1,$Z7-$I7-$J7,"")</f>
        <v/>
      </c>
      <c r="AB7" s="43">
        <f>IF($AV7=1,$L7+$M7+$N7+$O7+$P7+$Q7,"")</f>
        <v/>
      </c>
      <c r="AC7" s="47">
        <f>IF($AV7=1,ROUND($AA7-$AB7,2),"")</f>
        <v/>
      </c>
      <c r="AD7" s="43">
        <f>IF($AV7=1,ROUND($E7/S_VATF,2),"")</f>
        <v/>
      </c>
      <c r="AE7" s="43">
        <f>IF($AV7=1,ROUND($F7/S_VATF,2),"")</f>
        <v/>
      </c>
      <c r="AF7" s="43">
        <f>IF($AV7=1,ROUND($G7/S_VATF,2),"")</f>
        <v/>
      </c>
      <c r="AG7" s="43">
        <f>IF($AV7=1,ROUND($H7/S_VATF,2),"")</f>
        <v/>
      </c>
      <c r="AH7" s="43">
        <f>IF($AV7=1,ROUND($I7/S_VATF,2),"")</f>
        <v/>
      </c>
      <c r="AI7" s="43">
        <f>IF($AV7=1,ROUND($J7/S_VATF,2),"")</f>
        <v/>
      </c>
      <c r="AJ7" s="43">
        <f>IF($AV7=1,ROUND($AA7+$AH7+$AI7-$AD7-$AE7-$AF7-$AG7,2),"")</f>
        <v/>
      </c>
      <c r="AK7" s="32">
        <f>IF(AND($AV7=1,N($L7)&gt;0),IFERROR(IF(IFERROR(INDEX(Payment_Methods!$C:$C,MATCH("CASH",Payment_Methods!$A:$A,0)),"")="نقدي",INDEX(Treasuries!$E:$E,MATCH(INDEX(Locations!$G:$G,MATCH($C7,Locations!$A:$A,0)),Treasuries!$A:$A,0)),INDEX(Payment_Methods!$D:$D,MATCH("CASH",Payment_Methods!$A:$A,0))),"؟"),"")</f>
        <v/>
      </c>
      <c r="AL7" s="32">
        <f>IF(AND($AV7=1,N($M7)&gt;0),IFERROR(IF(IFERROR(INDEX(Payment_Methods!$C:$C,MATCH("CARD",Payment_Methods!$A:$A,0)),"")="نقدي",INDEX(Treasuries!$E:$E,MATCH(INDEX(Locations!$G:$G,MATCH($C7,Locations!$A:$A,0)),Treasuries!$A:$A,0)),INDEX(Payment_Methods!$D:$D,MATCH("CARD",Payment_Methods!$A:$A,0))),"؟"),"")</f>
        <v/>
      </c>
      <c r="AM7" s="32">
        <f>IF(AND($AV7=1,N($N7)&gt;0),IFERROR(IF(IFERROR(INDEX(Payment_Methods!$C:$C,MATCH("TLB",Payment_Methods!$A:$A,0)),"")="نقدي",INDEX(Treasuries!$E:$E,MATCH(INDEX(Locations!$G:$G,MATCH($C7,Locations!$A:$A,0)),Treasuries!$A:$A,0)),INDEX(Payment_Methods!$D:$D,MATCH("TLB",Payment_Methods!$A:$A,0))),"؟"),"")</f>
        <v/>
      </c>
      <c r="AN7" s="32">
        <f>IF(AND($AV7=1,N($O7)&gt;0),IFERROR(IF(IFERROR(INDEX(Payment_Methods!$C:$C,MATCH("DLV2",Payment_Methods!$A:$A,0)),"")="نقدي",INDEX(Treasuries!$E:$E,MATCH(INDEX(Locations!$G:$G,MATCH($C7,Locations!$A:$A,0)),Treasuries!$A:$A,0)),INDEX(Payment_Methods!$D:$D,MATCH("DLV2",Payment_Methods!$A:$A,0))),"؟"),"")</f>
        <v/>
      </c>
      <c r="AO7" s="32">
        <f>IF(AND($AV7=1,N($P7)&gt;0),IFERROR(IF(IFERROR(INDEX(Payment_Methods!$C:$C,MATCH("INSTA",Payment_Methods!$A:$A,0)),"")="نقدي",INDEX(Treasuries!$E:$E,MATCH(INDEX(Locations!$G:$G,MATCH($C7,Locations!$A:$A,0)),Treasuries!$A:$A,0)),INDEX(Payment_Methods!$D:$D,MATCH("INSTA",Payment_Methods!$A:$A,0))),"؟"),"")</f>
        <v/>
      </c>
      <c r="AP7" s="32">
        <f>IF(AND($AV7=1,N($Q7)&gt;0),IFERROR(IF(IFERROR(INDEX(Payment_Methods!$C:$C,MATCH($R7,Payment_Methods!$A:$A,0)),"")="نقدي",INDEX(Treasuries!$E:$E,MATCH(INDEX(Locations!$G:$G,MATCH($C7,Locations!$A:$A,0)),Treasuries!$A:$A,0)),INDEX(Payment_Methods!$D:$D,MATCH($R7,Payment_Methods!$A:$A,0))),"؟"),"")</f>
        <v/>
      </c>
      <c r="AQ7" s="32">
        <f>INDEX(Lists!$U$5:$U$8,1)</f>
        <v/>
      </c>
      <c r="AR7" s="32">
        <f>INDEX(Lists!$U$5:$U$8,2)</f>
        <v/>
      </c>
      <c r="AS7" s="32">
        <f>INDEX(Lists!$U$5:$U$8,3)</f>
        <v/>
      </c>
      <c r="AT7" s="32">
        <f>INDEX(Lists!$U$5:$U$8,4)</f>
        <v/>
      </c>
      <c r="AU7" s="44">
        <f>IF($AV7=1,IF(COUNTIFS(Daily_Recon!$A:$A,$B7,Daily_Recon!$B:$B,$C7)&gt;0,"نعم","لا"),"")</f>
        <v/>
      </c>
      <c r="AV7" s="32">
        <f>IF(COUNTA($A7:$Y7)&gt;0,1,0)</f>
        <v/>
      </c>
      <c r="AW7" s="32">
        <f>IF($AV7=0,"",IF($A7="","رقم المستند ناقص",IF(COUNTIF(Doc_Register!$A:$A,$A7)&gt;1,"رقم مستند مكرر في السجل المركزي",IF(LEFT($A7,LEN("SAL")+1)&lt;&gt;"SAL"&amp;"-","بادئة الرقم لا تطابق نوع المستند",IF(NOT(ISNUMBER($B7)),"التاريخ ناقص أو غير صحيح",IF($S7="","حالة المستند ناقصة",IF($T7="","اسم المُعِد ناقص",IF(AND(OR($S7=ST_APPR,$S7=ST_POST),$U7=""),"لا يوجد معتمد",IF(AND($U7&lt;&gt;"",$U7=$T7),"المُعِد والمعتمد نفس الشخص (فصل المهام)",IF(AND($S7=ST_POST,$V7=""),"اسم المحاسب المرحِّل ناقص",IF(AND($S7=ST_POST,$V7&lt;&gt;"",OR($V7=$T7,$V7=$U7)),"المرحِّل يجب أن يختلف عن المُعِد والمعتمد",IF(AND($S7=ST_REV,$X7=""),"مرجع التصحيح/الإلغاء ناقص",IF(AND(ISNUMBER($B7),OR($S7=ST_DRAFT,$S7=ST_APPR),COUNTIFS(Period_Close!$A:$A,YEAR($B7)*100+MONTH($B7),Period_Close!$B:$B,"مقفلة")&gt;0),"الفترة مقفلة: لا يسمح بمستند جديد",IF(NOT(COUNTIF(Locations!$A:$A,$C7)&gt;0),"الفرع غير معرف",IF(IFERROR(INDEX(Locations!$C:$C,MATCH($C7,Locations!$A:$A,0)),"")&lt;&gt;"فرع","الموقع المختار ليس فرع بيع",IF(AND($S7&lt;&gt;ST_REV,$S7&lt;&gt;ST_CANC,COUNTIFS($B$4:$B6,$B7,$C$4:$C6,$C7,$S$4:$S6,"&lt;&gt;"&amp;ST_REV,$S$4:$S6,"&lt;&gt;"&amp;ST_CANC)&gt;0),"تقرير مبيعات مكرر لنفس الفرع واليوم",IF(MIN($E7,$F7,$G7,$H7,$I7,$J7,$L7,$M7,$N7,$O7,$P7,$Q7)&lt;0,"توجد مبالغ سالبة (استخدم مستند عكسي)",IF($Z7&lt;=0,"إجمالي المبيعات صفر",IF($AA7&lt;0,"الخصومات والمرتجعات أكبر من المبيعات",IF(AND(N($Q7)&gt;0,$R7=""),"كود وسيلة الدفع الأخرى ناقص",IF(ABS($AC7)&gt;S_Tol,"مجموع وسائل الدفع لا يساوي صافي المبيعات",IF(OR(AND(N($L7)&gt;0,COUNTIFS(COA!$A:$A,$AK7,COA!$R:$R,1)&lt;&gt;1),AND(N($M7)&gt;0,COUNTIFS(COA!$A:$A,$AL7,COA!$R:$R,1)&lt;&gt;1),AND(N($N7)&gt;0,COUNTIFS(COA!$A:$A,$AM7,COA!$R:$R,1)&lt;&gt;1),AND(N($O7)&gt;0,COUNTIFS(COA!$A:$A,$AN7,COA!$R:$R,1)&lt;&gt;1),AND(N($P7)&gt;0,COUNTIFS(COA!$A:$A,$AO7,COA!$R:$R,1)&lt;&gt;1),AND(N($Q7)&gt;0,COUNTIFS(COA!$A:$A,$AP7,COA!$R:$R,1)&lt;&gt;1),AND(N($E7)&gt;0,COUNTIFS(COA!$A:$A,$AQ7,COA!$R:$R,1)&lt;&gt;1),AND(N($F7)&gt;0,COUNTIFS(COA!$A:$A,$AR7,COA!$R:$R,1)&lt;&gt;1),AND(N($G7)&gt;0,COUNTIFS(COA!$A:$A,$AS7,COA!$R:$R,1)&lt;&gt;1),AND(N($H7)&gt;0,COUNTIFS(COA!$A:$A,$AT7,COA!$R:$R,1)&lt;&gt;1)),"حساب تسوية أو إيراد غير صالح",IF($AJ7&lt;-S_Tol,"الضريبة المحسوبة سالبة","")))))))))))))))))))))))</f>
        <v/>
      </c>
      <c r="AX7" s="32">
        <f>IF($AV7=1,IF($AW7&lt;&gt;"",1,0),0)</f>
        <v/>
      </c>
      <c r="AY7" s="32">
        <f>IF(AND($AV7=1,$AX7=0,$S7=ST_POST),1,0)</f>
        <v/>
      </c>
    </row>
    <row r="8">
      <c r="A8" s="29" t="n"/>
      <c r="B8" s="31" t="n"/>
      <c r="C8" s="39" t="n"/>
      <c r="D8" s="29" t="n"/>
      <c r="E8" s="42" t="n"/>
      <c r="F8" s="42" t="n"/>
      <c r="G8" s="42" t="n"/>
      <c r="H8" s="42" t="n"/>
      <c r="I8" s="42" t="n"/>
      <c r="J8" s="42" t="n"/>
      <c r="K8" s="42" t="n"/>
      <c r="L8" s="42" t="n"/>
      <c r="M8" s="42" t="n"/>
      <c r="N8" s="42" t="n"/>
      <c r="O8" s="42" t="n"/>
      <c r="P8" s="42" t="n"/>
      <c r="Q8" s="42" t="n"/>
      <c r="R8" s="39" t="n"/>
      <c r="S8" s="39" t="n"/>
      <c r="T8" s="29" t="n"/>
      <c r="U8" s="29" t="n"/>
      <c r="V8" s="29" t="n"/>
      <c r="W8" s="29" t="n"/>
      <c r="X8" s="29" t="n"/>
      <c r="Y8" s="29" t="n"/>
      <c r="Z8" s="43">
        <f>IF($AV8=1,$E8+$F8+$G8+$H8,"")</f>
        <v/>
      </c>
      <c r="AA8" s="43">
        <f>IF($AV8=1,$Z8-$I8-$J8,"")</f>
        <v/>
      </c>
      <c r="AB8" s="43">
        <f>IF($AV8=1,$L8+$M8+$N8+$O8+$P8+$Q8,"")</f>
        <v/>
      </c>
      <c r="AC8" s="47">
        <f>IF($AV8=1,ROUND($AA8-$AB8,2),"")</f>
        <v/>
      </c>
      <c r="AD8" s="43">
        <f>IF($AV8=1,ROUND($E8/S_VATF,2),"")</f>
        <v/>
      </c>
      <c r="AE8" s="43">
        <f>IF($AV8=1,ROUND($F8/S_VATF,2),"")</f>
        <v/>
      </c>
      <c r="AF8" s="43">
        <f>IF($AV8=1,ROUND($G8/S_VATF,2),"")</f>
        <v/>
      </c>
      <c r="AG8" s="43">
        <f>IF($AV8=1,ROUND($H8/S_VATF,2),"")</f>
        <v/>
      </c>
      <c r="AH8" s="43">
        <f>IF($AV8=1,ROUND($I8/S_VATF,2),"")</f>
        <v/>
      </c>
      <c r="AI8" s="43">
        <f>IF($AV8=1,ROUND($J8/S_VATF,2),"")</f>
        <v/>
      </c>
      <c r="AJ8" s="43">
        <f>IF($AV8=1,ROUND($AA8+$AH8+$AI8-$AD8-$AE8-$AF8-$AG8,2),"")</f>
        <v/>
      </c>
      <c r="AK8" s="32">
        <f>IF(AND($AV8=1,N($L8)&gt;0),IFERROR(IF(IFERROR(INDEX(Payment_Methods!$C:$C,MATCH("CASH",Payment_Methods!$A:$A,0)),"")="نقدي",INDEX(Treasuries!$E:$E,MATCH(INDEX(Locations!$G:$G,MATCH($C8,Locations!$A:$A,0)),Treasuries!$A:$A,0)),INDEX(Payment_Methods!$D:$D,MATCH("CASH",Payment_Methods!$A:$A,0))),"؟"),"")</f>
        <v/>
      </c>
      <c r="AL8" s="32">
        <f>IF(AND($AV8=1,N($M8)&gt;0),IFERROR(IF(IFERROR(INDEX(Payment_Methods!$C:$C,MATCH("CARD",Payment_Methods!$A:$A,0)),"")="نقدي",INDEX(Treasuries!$E:$E,MATCH(INDEX(Locations!$G:$G,MATCH($C8,Locations!$A:$A,0)),Treasuries!$A:$A,0)),INDEX(Payment_Methods!$D:$D,MATCH("CARD",Payment_Methods!$A:$A,0))),"؟"),"")</f>
        <v/>
      </c>
      <c r="AM8" s="32">
        <f>IF(AND($AV8=1,N($N8)&gt;0),IFERROR(IF(IFERROR(INDEX(Payment_Methods!$C:$C,MATCH("TLB",Payment_Methods!$A:$A,0)),"")="نقدي",INDEX(Treasuries!$E:$E,MATCH(INDEX(Locations!$G:$G,MATCH($C8,Locations!$A:$A,0)),Treasuries!$A:$A,0)),INDEX(Payment_Methods!$D:$D,MATCH("TLB",Payment_Methods!$A:$A,0))),"؟"),"")</f>
        <v/>
      </c>
      <c r="AN8" s="32">
        <f>IF(AND($AV8=1,N($O8)&gt;0),IFERROR(IF(IFERROR(INDEX(Payment_Methods!$C:$C,MATCH("DLV2",Payment_Methods!$A:$A,0)),"")="نقدي",INDEX(Treasuries!$E:$E,MATCH(INDEX(Locations!$G:$G,MATCH($C8,Locations!$A:$A,0)),Treasuries!$A:$A,0)),INDEX(Payment_Methods!$D:$D,MATCH("DLV2",Payment_Methods!$A:$A,0))),"؟"),"")</f>
        <v/>
      </c>
      <c r="AO8" s="32">
        <f>IF(AND($AV8=1,N($P8)&gt;0),IFERROR(IF(IFERROR(INDEX(Payment_Methods!$C:$C,MATCH("INSTA",Payment_Methods!$A:$A,0)),"")="نقدي",INDEX(Treasuries!$E:$E,MATCH(INDEX(Locations!$G:$G,MATCH($C8,Locations!$A:$A,0)),Treasuries!$A:$A,0)),INDEX(Payment_Methods!$D:$D,MATCH("INSTA",Payment_Methods!$A:$A,0))),"؟"),"")</f>
        <v/>
      </c>
      <c r="AP8" s="32">
        <f>IF(AND($AV8=1,N($Q8)&gt;0),IFERROR(IF(IFERROR(INDEX(Payment_Methods!$C:$C,MATCH($R8,Payment_Methods!$A:$A,0)),"")="نقدي",INDEX(Treasuries!$E:$E,MATCH(INDEX(Locations!$G:$G,MATCH($C8,Locations!$A:$A,0)),Treasuries!$A:$A,0)),INDEX(Payment_Methods!$D:$D,MATCH($R8,Payment_Methods!$A:$A,0))),"؟"),"")</f>
        <v/>
      </c>
      <c r="AQ8" s="32">
        <f>INDEX(Lists!$U$5:$U$8,1)</f>
        <v/>
      </c>
      <c r="AR8" s="32">
        <f>INDEX(Lists!$U$5:$U$8,2)</f>
        <v/>
      </c>
      <c r="AS8" s="32">
        <f>INDEX(Lists!$U$5:$U$8,3)</f>
        <v/>
      </c>
      <c r="AT8" s="32">
        <f>INDEX(Lists!$U$5:$U$8,4)</f>
        <v/>
      </c>
      <c r="AU8" s="44">
        <f>IF($AV8=1,IF(COUNTIFS(Daily_Recon!$A:$A,$B8,Daily_Recon!$B:$B,$C8)&gt;0,"نعم","لا"),"")</f>
        <v/>
      </c>
      <c r="AV8" s="32">
        <f>IF(COUNTA($A8:$Y8)&gt;0,1,0)</f>
        <v/>
      </c>
      <c r="AW8" s="32">
        <f>IF($AV8=0,"",IF($A8="","رقم المستند ناقص",IF(COUNTIF(Doc_Register!$A:$A,$A8)&gt;1,"رقم مستند مكرر في السجل المركزي",IF(LEFT($A8,LEN("SAL")+1)&lt;&gt;"SAL"&amp;"-","بادئة الرقم لا تطابق نوع المستند",IF(NOT(ISNUMBER($B8)),"التاريخ ناقص أو غير صحيح",IF($S8="","حالة المستند ناقصة",IF($T8="","اسم المُعِد ناقص",IF(AND(OR($S8=ST_APPR,$S8=ST_POST),$U8=""),"لا يوجد معتمد",IF(AND($U8&lt;&gt;"",$U8=$T8),"المُعِد والمعتمد نفس الشخص (فصل المهام)",IF(AND($S8=ST_POST,$V8=""),"اسم المحاسب المرحِّل ناقص",IF(AND($S8=ST_POST,$V8&lt;&gt;"",OR($V8=$T8,$V8=$U8)),"المرحِّل يجب أن يختلف عن المُعِد والمعتمد",IF(AND($S8=ST_REV,$X8=""),"مرجع التصحيح/الإلغاء ناقص",IF(AND(ISNUMBER($B8),OR($S8=ST_DRAFT,$S8=ST_APPR),COUNTIFS(Period_Close!$A:$A,YEAR($B8)*100+MONTH($B8),Period_Close!$B:$B,"مقفلة")&gt;0),"الفترة مقفلة: لا يسمح بمستند جديد",IF(NOT(COUNTIF(Locations!$A:$A,$C8)&gt;0),"الفرع غير معرف",IF(IFERROR(INDEX(Locations!$C:$C,MATCH($C8,Locations!$A:$A,0)),"")&lt;&gt;"فرع","الموقع المختار ليس فرع بيع",IF(AND($S8&lt;&gt;ST_REV,$S8&lt;&gt;ST_CANC,COUNTIFS($B$4:$B7,$B8,$C$4:$C7,$C8,$S$4:$S7,"&lt;&gt;"&amp;ST_REV,$S$4:$S7,"&lt;&gt;"&amp;ST_CANC)&gt;0),"تقرير مبيعات مكرر لنفس الفرع واليوم",IF(MIN($E8,$F8,$G8,$H8,$I8,$J8,$L8,$M8,$N8,$O8,$P8,$Q8)&lt;0,"توجد مبالغ سالبة (استخدم مستند عكسي)",IF($Z8&lt;=0,"إجمالي المبيعات صفر",IF($AA8&lt;0,"الخصومات والمرتجعات أكبر من المبيعات",IF(AND(N($Q8)&gt;0,$R8=""),"كود وسيلة الدفع الأخرى ناقص",IF(ABS($AC8)&gt;S_Tol,"مجموع وسائل الدفع لا يساوي صافي المبيعات",IF(OR(AND(N($L8)&gt;0,COUNTIFS(COA!$A:$A,$AK8,COA!$R:$R,1)&lt;&gt;1),AND(N($M8)&gt;0,COUNTIFS(COA!$A:$A,$AL8,COA!$R:$R,1)&lt;&gt;1),AND(N($N8)&gt;0,COUNTIFS(COA!$A:$A,$AM8,COA!$R:$R,1)&lt;&gt;1),AND(N($O8)&gt;0,COUNTIFS(COA!$A:$A,$AN8,COA!$R:$R,1)&lt;&gt;1),AND(N($P8)&gt;0,COUNTIFS(COA!$A:$A,$AO8,COA!$R:$R,1)&lt;&gt;1),AND(N($Q8)&gt;0,COUNTIFS(COA!$A:$A,$AP8,COA!$R:$R,1)&lt;&gt;1),AND(N($E8)&gt;0,COUNTIFS(COA!$A:$A,$AQ8,COA!$R:$R,1)&lt;&gt;1),AND(N($F8)&gt;0,COUNTIFS(COA!$A:$A,$AR8,COA!$R:$R,1)&lt;&gt;1),AND(N($G8)&gt;0,COUNTIFS(COA!$A:$A,$AS8,COA!$R:$R,1)&lt;&gt;1),AND(N($H8)&gt;0,COUNTIFS(COA!$A:$A,$AT8,COA!$R:$R,1)&lt;&gt;1)),"حساب تسوية أو إيراد غير صالح",IF($AJ8&lt;-S_Tol,"الضريبة المحسوبة سالبة","")))))))))))))))))))))))</f>
        <v/>
      </c>
      <c r="AX8" s="32">
        <f>IF($AV8=1,IF($AW8&lt;&gt;"",1,0),0)</f>
        <v/>
      </c>
      <c r="AY8" s="32">
        <f>IF(AND($AV8=1,$AX8=0,$S8=ST_POST),1,0)</f>
        <v/>
      </c>
    </row>
    <row r="9">
      <c r="A9" s="29" t="n"/>
      <c r="B9" s="31" t="n"/>
      <c r="C9" s="39" t="n"/>
      <c r="D9" s="29" t="n"/>
      <c r="E9" s="42" t="n"/>
      <c r="F9" s="42" t="n"/>
      <c r="G9" s="42" t="n"/>
      <c r="H9" s="42" t="n"/>
      <c r="I9" s="42" t="n"/>
      <c r="J9" s="42" t="n"/>
      <c r="K9" s="42" t="n"/>
      <c r="L9" s="42" t="n"/>
      <c r="M9" s="42" t="n"/>
      <c r="N9" s="42" t="n"/>
      <c r="O9" s="42" t="n"/>
      <c r="P9" s="42" t="n"/>
      <c r="Q9" s="42" t="n"/>
      <c r="R9" s="39" t="n"/>
      <c r="S9" s="39" t="n"/>
      <c r="T9" s="29" t="n"/>
      <c r="U9" s="29" t="n"/>
      <c r="V9" s="29" t="n"/>
      <c r="W9" s="29" t="n"/>
      <c r="X9" s="29" t="n"/>
      <c r="Y9" s="29" t="n"/>
      <c r="Z9" s="43">
        <f>IF($AV9=1,$E9+$F9+$G9+$H9,"")</f>
        <v/>
      </c>
      <c r="AA9" s="43">
        <f>IF($AV9=1,$Z9-$I9-$J9,"")</f>
        <v/>
      </c>
      <c r="AB9" s="43">
        <f>IF($AV9=1,$L9+$M9+$N9+$O9+$P9+$Q9,"")</f>
        <v/>
      </c>
      <c r="AC9" s="47">
        <f>IF($AV9=1,ROUND($AA9-$AB9,2),"")</f>
        <v/>
      </c>
      <c r="AD9" s="43">
        <f>IF($AV9=1,ROUND($E9/S_VATF,2),"")</f>
        <v/>
      </c>
      <c r="AE9" s="43">
        <f>IF($AV9=1,ROUND($F9/S_VATF,2),"")</f>
        <v/>
      </c>
      <c r="AF9" s="43">
        <f>IF($AV9=1,ROUND($G9/S_VATF,2),"")</f>
        <v/>
      </c>
      <c r="AG9" s="43">
        <f>IF($AV9=1,ROUND($H9/S_VATF,2),"")</f>
        <v/>
      </c>
      <c r="AH9" s="43">
        <f>IF($AV9=1,ROUND($I9/S_VATF,2),"")</f>
        <v/>
      </c>
      <c r="AI9" s="43">
        <f>IF($AV9=1,ROUND($J9/S_VATF,2),"")</f>
        <v/>
      </c>
      <c r="AJ9" s="43">
        <f>IF($AV9=1,ROUND($AA9+$AH9+$AI9-$AD9-$AE9-$AF9-$AG9,2),"")</f>
        <v/>
      </c>
      <c r="AK9" s="32">
        <f>IF(AND($AV9=1,N($L9)&gt;0),IFERROR(IF(IFERROR(INDEX(Payment_Methods!$C:$C,MATCH("CASH",Payment_Methods!$A:$A,0)),"")="نقدي",INDEX(Treasuries!$E:$E,MATCH(INDEX(Locations!$G:$G,MATCH($C9,Locations!$A:$A,0)),Treasuries!$A:$A,0)),INDEX(Payment_Methods!$D:$D,MATCH("CASH",Payment_Methods!$A:$A,0))),"؟"),"")</f>
        <v/>
      </c>
      <c r="AL9" s="32">
        <f>IF(AND($AV9=1,N($M9)&gt;0),IFERROR(IF(IFERROR(INDEX(Payment_Methods!$C:$C,MATCH("CARD",Payment_Methods!$A:$A,0)),"")="نقدي",INDEX(Treasuries!$E:$E,MATCH(INDEX(Locations!$G:$G,MATCH($C9,Locations!$A:$A,0)),Treasuries!$A:$A,0)),INDEX(Payment_Methods!$D:$D,MATCH("CARD",Payment_Methods!$A:$A,0))),"؟"),"")</f>
        <v/>
      </c>
      <c r="AM9" s="32">
        <f>IF(AND($AV9=1,N($N9)&gt;0),IFERROR(IF(IFERROR(INDEX(Payment_Methods!$C:$C,MATCH("TLB",Payment_Methods!$A:$A,0)),"")="نقدي",INDEX(Treasuries!$E:$E,MATCH(INDEX(Locations!$G:$G,MATCH($C9,Locations!$A:$A,0)),Treasuries!$A:$A,0)),INDEX(Payment_Methods!$D:$D,MATCH("TLB",Payment_Methods!$A:$A,0))),"؟"),"")</f>
        <v/>
      </c>
      <c r="AN9" s="32">
        <f>IF(AND($AV9=1,N($O9)&gt;0),IFERROR(IF(IFERROR(INDEX(Payment_Methods!$C:$C,MATCH("DLV2",Payment_Methods!$A:$A,0)),"")="نقدي",INDEX(Treasuries!$E:$E,MATCH(INDEX(Locations!$G:$G,MATCH($C9,Locations!$A:$A,0)),Treasuries!$A:$A,0)),INDEX(Payment_Methods!$D:$D,MATCH("DLV2",Payment_Methods!$A:$A,0))),"؟"),"")</f>
        <v/>
      </c>
      <c r="AO9" s="32">
        <f>IF(AND($AV9=1,N($P9)&gt;0),IFERROR(IF(IFERROR(INDEX(Payment_Methods!$C:$C,MATCH("INSTA",Payment_Methods!$A:$A,0)),"")="نقدي",INDEX(Treasuries!$E:$E,MATCH(INDEX(Locations!$G:$G,MATCH($C9,Locations!$A:$A,0)),Treasuries!$A:$A,0)),INDEX(Payment_Methods!$D:$D,MATCH("INSTA",Payment_Methods!$A:$A,0))),"؟"),"")</f>
        <v/>
      </c>
      <c r="AP9" s="32">
        <f>IF(AND($AV9=1,N($Q9)&gt;0),IFERROR(IF(IFERROR(INDEX(Payment_Methods!$C:$C,MATCH($R9,Payment_Methods!$A:$A,0)),"")="نقدي",INDEX(Treasuries!$E:$E,MATCH(INDEX(Locations!$G:$G,MATCH($C9,Locations!$A:$A,0)),Treasuries!$A:$A,0)),INDEX(Payment_Methods!$D:$D,MATCH($R9,Payment_Methods!$A:$A,0))),"؟"),"")</f>
        <v/>
      </c>
      <c r="AQ9" s="32">
        <f>INDEX(Lists!$U$5:$U$8,1)</f>
        <v/>
      </c>
      <c r="AR9" s="32">
        <f>INDEX(Lists!$U$5:$U$8,2)</f>
        <v/>
      </c>
      <c r="AS9" s="32">
        <f>INDEX(Lists!$U$5:$U$8,3)</f>
        <v/>
      </c>
      <c r="AT9" s="32">
        <f>INDEX(Lists!$U$5:$U$8,4)</f>
        <v/>
      </c>
      <c r="AU9" s="44">
        <f>IF($AV9=1,IF(COUNTIFS(Daily_Recon!$A:$A,$B9,Daily_Recon!$B:$B,$C9)&gt;0,"نعم","لا"),"")</f>
        <v/>
      </c>
      <c r="AV9" s="32">
        <f>IF(COUNTA($A9:$Y9)&gt;0,1,0)</f>
        <v/>
      </c>
      <c r="AW9" s="32">
        <f>IF($AV9=0,"",IF($A9="","رقم المستند ناقص",IF(COUNTIF(Doc_Register!$A:$A,$A9)&gt;1,"رقم مستند مكرر في السجل المركزي",IF(LEFT($A9,LEN("SAL")+1)&lt;&gt;"SAL"&amp;"-","بادئة الرقم لا تطابق نوع المستند",IF(NOT(ISNUMBER($B9)),"التاريخ ناقص أو غير صحيح",IF($S9="","حالة المستند ناقصة",IF($T9="","اسم المُعِد ناقص",IF(AND(OR($S9=ST_APPR,$S9=ST_POST),$U9=""),"لا يوجد معتمد",IF(AND($U9&lt;&gt;"",$U9=$T9),"المُعِد والمعتمد نفس الشخص (فصل المهام)",IF(AND($S9=ST_POST,$V9=""),"اسم المحاسب المرحِّل ناقص",IF(AND($S9=ST_POST,$V9&lt;&gt;"",OR($V9=$T9,$V9=$U9)),"المرحِّل يجب أن يختلف عن المُعِد والمعتمد",IF(AND($S9=ST_REV,$X9=""),"مرجع التصحيح/الإلغاء ناقص",IF(AND(ISNUMBER($B9),OR($S9=ST_DRAFT,$S9=ST_APPR),COUNTIFS(Period_Close!$A:$A,YEAR($B9)*100+MONTH($B9),Period_Close!$B:$B,"مقفلة")&gt;0),"الفترة مقفلة: لا يسمح بمستند جديد",IF(NOT(COUNTIF(Locations!$A:$A,$C9)&gt;0),"الفرع غير معرف",IF(IFERROR(INDEX(Locations!$C:$C,MATCH($C9,Locations!$A:$A,0)),"")&lt;&gt;"فرع","الموقع المختار ليس فرع بيع",IF(AND($S9&lt;&gt;ST_REV,$S9&lt;&gt;ST_CANC,COUNTIFS($B$4:$B8,$B9,$C$4:$C8,$C9,$S$4:$S8,"&lt;&gt;"&amp;ST_REV,$S$4:$S8,"&lt;&gt;"&amp;ST_CANC)&gt;0),"تقرير مبيعات مكرر لنفس الفرع واليوم",IF(MIN($E9,$F9,$G9,$H9,$I9,$J9,$L9,$M9,$N9,$O9,$P9,$Q9)&lt;0,"توجد مبالغ سالبة (استخدم مستند عكسي)",IF($Z9&lt;=0,"إجمالي المبيعات صفر",IF($AA9&lt;0,"الخصومات والمرتجعات أكبر من المبيعات",IF(AND(N($Q9)&gt;0,$R9=""),"كود وسيلة الدفع الأخرى ناقص",IF(ABS($AC9)&gt;S_Tol,"مجموع وسائل الدفع لا يساوي صافي المبيعات",IF(OR(AND(N($L9)&gt;0,COUNTIFS(COA!$A:$A,$AK9,COA!$R:$R,1)&lt;&gt;1),AND(N($M9)&gt;0,COUNTIFS(COA!$A:$A,$AL9,COA!$R:$R,1)&lt;&gt;1),AND(N($N9)&gt;0,COUNTIFS(COA!$A:$A,$AM9,COA!$R:$R,1)&lt;&gt;1),AND(N($O9)&gt;0,COUNTIFS(COA!$A:$A,$AN9,COA!$R:$R,1)&lt;&gt;1),AND(N($P9)&gt;0,COUNTIFS(COA!$A:$A,$AO9,COA!$R:$R,1)&lt;&gt;1),AND(N($Q9)&gt;0,COUNTIFS(COA!$A:$A,$AP9,COA!$R:$R,1)&lt;&gt;1),AND(N($E9)&gt;0,COUNTIFS(COA!$A:$A,$AQ9,COA!$R:$R,1)&lt;&gt;1),AND(N($F9)&gt;0,COUNTIFS(COA!$A:$A,$AR9,COA!$R:$R,1)&lt;&gt;1),AND(N($G9)&gt;0,COUNTIFS(COA!$A:$A,$AS9,COA!$R:$R,1)&lt;&gt;1),AND(N($H9)&gt;0,COUNTIFS(COA!$A:$A,$AT9,COA!$R:$R,1)&lt;&gt;1)),"حساب تسوية أو إيراد غير صالح",IF($AJ9&lt;-S_Tol,"الضريبة المحسوبة سالبة","")))))))))))))))))))))))</f>
        <v/>
      </c>
      <c r="AX9" s="32">
        <f>IF($AV9=1,IF($AW9&lt;&gt;"",1,0),0)</f>
        <v/>
      </c>
      <c r="AY9" s="32">
        <f>IF(AND($AV9=1,$AX9=0,$S9=ST_POST),1,0)</f>
        <v/>
      </c>
    </row>
    <row r="10">
      <c r="A10" s="29" t="n"/>
      <c r="B10" s="31" t="n"/>
      <c r="C10" s="39" t="n"/>
      <c r="D10" s="29" t="n"/>
      <c r="E10" s="42" t="n"/>
      <c r="F10" s="42" t="n"/>
      <c r="G10" s="42" t="n"/>
      <c r="H10" s="42" t="n"/>
      <c r="I10" s="42" t="n"/>
      <c r="J10" s="42" t="n"/>
      <c r="K10" s="42" t="n"/>
      <c r="L10" s="42" t="n"/>
      <c r="M10" s="42" t="n"/>
      <c r="N10" s="42" t="n"/>
      <c r="O10" s="42" t="n"/>
      <c r="P10" s="42" t="n"/>
      <c r="Q10" s="42" t="n"/>
      <c r="R10" s="39" t="n"/>
      <c r="S10" s="39" t="n"/>
      <c r="T10" s="29" t="n"/>
      <c r="U10" s="29" t="n"/>
      <c r="V10" s="29" t="n"/>
      <c r="W10" s="29" t="n"/>
      <c r="X10" s="29" t="n"/>
      <c r="Y10" s="29" t="n"/>
      <c r="Z10" s="43">
        <f>IF($AV10=1,$E10+$F10+$G10+$H10,"")</f>
        <v/>
      </c>
      <c r="AA10" s="43">
        <f>IF($AV10=1,$Z10-$I10-$J10,"")</f>
        <v/>
      </c>
      <c r="AB10" s="43">
        <f>IF($AV10=1,$L10+$M10+$N10+$O10+$P10+$Q10,"")</f>
        <v/>
      </c>
      <c r="AC10" s="47">
        <f>IF($AV10=1,ROUND($AA10-$AB10,2),"")</f>
        <v/>
      </c>
      <c r="AD10" s="43">
        <f>IF($AV10=1,ROUND($E10/S_VATF,2),"")</f>
        <v/>
      </c>
      <c r="AE10" s="43">
        <f>IF($AV10=1,ROUND($F10/S_VATF,2),"")</f>
        <v/>
      </c>
      <c r="AF10" s="43">
        <f>IF($AV10=1,ROUND($G10/S_VATF,2),"")</f>
        <v/>
      </c>
      <c r="AG10" s="43">
        <f>IF($AV10=1,ROUND($H10/S_VATF,2),"")</f>
        <v/>
      </c>
      <c r="AH10" s="43">
        <f>IF($AV10=1,ROUND($I10/S_VATF,2),"")</f>
        <v/>
      </c>
      <c r="AI10" s="43">
        <f>IF($AV10=1,ROUND($J10/S_VATF,2),"")</f>
        <v/>
      </c>
      <c r="AJ10" s="43">
        <f>IF($AV10=1,ROUND($AA10+$AH10+$AI10-$AD10-$AE10-$AF10-$AG10,2),"")</f>
        <v/>
      </c>
      <c r="AK10" s="32">
        <f>IF(AND($AV10=1,N($L10)&gt;0),IFERROR(IF(IFERROR(INDEX(Payment_Methods!$C:$C,MATCH("CASH",Payment_Methods!$A:$A,0)),"")="نقدي",INDEX(Treasuries!$E:$E,MATCH(INDEX(Locations!$G:$G,MATCH($C10,Locations!$A:$A,0)),Treasuries!$A:$A,0)),INDEX(Payment_Methods!$D:$D,MATCH("CASH",Payment_Methods!$A:$A,0))),"؟"),"")</f>
        <v/>
      </c>
      <c r="AL10" s="32">
        <f>IF(AND($AV10=1,N($M10)&gt;0),IFERROR(IF(IFERROR(INDEX(Payment_Methods!$C:$C,MATCH("CARD",Payment_Methods!$A:$A,0)),"")="نقدي",INDEX(Treasuries!$E:$E,MATCH(INDEX(Locations!$G:$G,MATCH($C10,Locations!$A:$A,0)),Treasuries!$A:$A,0)),INDEX(Payment_Methods!$D:$D,MATCH("CARD",Payment_Methods!$A:$A,0))),"؟"),"")</f>
        <v/>
      </c>
      <c r="AM10" s="32">
        <f>IF(AND($AV10=1,N($N10)&gt;0),IFERROR(IF(IFERROR(INDEX(Payment_Methods!$C:$C,MATCH("TLB",Payment_Methods!$A:$A,0)),"")="نقدي",INDEX(Treasuries!$E:$E,MATCH(INDEX(Locations!$G:$G,MATCH($C10,Locations!$A:$A,0)),Treasuries!$A:$A,0)),INDEX(Payment_Methods!$D:$D,MATCH("TLB",Payment_Methods!$A:$A,0))),"؟"),"")</f>
        <v/>
      </c>
      <c r="AN10" s="32">
        <f>IF(AND($AV10=1,N($O10)&gt;0),IFERROR(IF(IFERROR(INDEX(Payment_Methods!$C:$C,MATCH("DLV2",Payment_Methods!$A:$A,0)),"")="نقدي",INDEX(Treasuries!$E:$E,MATCH(INDEX(Locations!$G:$G,MATCH($C10,Locations!$A:$A,0)),Treasuries!$A:$A,0)),INDEX(Payment_Methods!$D:$D,MATCH("DLV2",Payment_Methods!$A:$A,0))),"؟"),"")</f>
        <v/>
      </c>
      <c r="AO10" s="32">
        <f>IF(AND($AV10=1,N($P10)&gt;0),IFERROR(IF(IFERROR(INDEX(Payment_Methods!$C:$C,MATCH("INSTA",Payment_Methods!$A:$A,0)),"")="نقدي",INDEX(Treasuries!$E:$E,MATCH(INDEX(Locations!$G:$G,MATCH($C10,Locations!$A:$A,0)),Treasuries!$A:$A,0)),INDEX(Payment_Methods!$D:$D,MATCH("INSTA",Payment_Methods!$A:$A,0))),"؟"),"")</f>
        <v/>
      </c>
      <c r="AP10" s="32">
        <f>IF(AND($AV10=1,N($Q10)&gt;0),IFERROR(IF(IFERROR(INDEX(Payment_Methods!$C:$C,MATCH($R10,Payment_Methods!$A:$A,0)),"")="نقدي",INDEX(Treasuries!$E:$E,MATCH(INDEX(Locations!$G:$G,MATCH($C10,Locations!$A:$A,0)),Treasuries!$A:$A,0)),INDEX(Payment_Methods!$D:$D,MATCH($R10,Payment_Methods!$A:$A,0))),"؟"),"")</f>
        <v/>
      </c>
      <c r="AQ10" s="32">
        <f>INDEX(Lists!$U$5:$U$8,1)</f>
        <v/>
      </c>
      <c r="AR10" s="32">
        <f>INDEX(Lists!$U$5:$U$8,2)</f>
        <v/>
      </c>
      <c r="AS10" s="32">
        <f>INDEX(Lists!$U$5:$U$8,3)</f>
        <v/>
      </c>
      <c r="AT10" s="32">
        <f>INDEX(Lists!$U$5:$U$8,4)</f>
        <v/>
      </c>
      <c r="AU10" s="44">
        <f>IF($AV10=1,IF(COUNTIFS(Daily_Recon!$A:$A,$B10,Daily_Recon!$B:$B,$C10)&gt;0,"نعم","لا"),"")</f>
        <v/>
      </c>
      <c r="AV10" s="32">
        <f>IF(COUNTA($A10:$Y10)&gt;0,1,0)</f>
        <v/>
      </c>
      <c r="AW10" s="32">
        <f>IF($AV10=0,"",IF($A10="","رقم المستند ناقص",IF(COUNTIF(Doc_Register!$A:$A,$A10)&gt;1,"رقم مستند مكرر في السجل المركزي",IF(LEFT($A10,LEN("SAL")+1)&lt;&gt;"SAL"&amp;"-","بادئة الرقم لا تطابق نوع المستند",IF(NOT(ISNUMBER($B10)),"التاريخ ناقص أو غير صحيح",IF($S10="","حالة المستند ناقصة",IF($T10="","اسم المُعِد ناقص",IF(AND(OR($S10=ST_APPR,$S10=ST_POST),$U10=""),"لا يوجد معتمد",IF(AND($U10&lt;&gt;"",$U10=$T10),"المُعِد والمعتمد نفس الشخص (فصل المهام)",IF(AND($S10=ST_POST,$V10=""),"اسم المحاسب المرحِّل ناقص",IF(AND($S10=ST_POST,$V10&lt;&gt;"",OR($V10=$T10,$V10=$U10)),"المرحِّل يجب أن يختلف عن المُعِد والمعتمد",IF(AND($S10=ST_REV,$X10=""),"مرجع التصحيح/الإلغاء ناقص",IF(AND(ISNUMBER($B10),OR($S10=ST_DRAFT,$S10=ST_APPR),COUNTIFS(Period_Close!$A:$A,YEAR($B10)*100+MONTH($B10),Period_Close!$B:$B,"مقفلة")&gt;0),"الفترة مقفلة: لا يسمح بمستند جديد",IF(NOT(COUNTIF(Locations!$A:$A,$C10)&gt;0),"الفرع غير معرف",IF(IFERROR(INDEX(Locations!$C:$C,MATCH($C10,Locations!$A:$A,0)),"")&lt;&gt;"فرع","الموقع المختار ليس فرع بيع",IF(AND($S10&lt;&gt;ST_REV,$S10&lt;&gt;ST_CANC,COUNTIFS($B$4:$B9,$B10,$C$4:$C9,$C10,$S$4:$S9,"&lt;&gt;"&amp;ST_REV,$S$4:$S9,"&lt;&gt;"&amp;ST_CANC)&gt;0),"تقرير مبيعات مكرر لنفس الفرع واليوم",IF(MIN($E10,$F10,$G10,$H10,$I10,$J10,$L10,$M10,$N10,$O10,$P10,$Q10)&lt;0,"توجد مبالغ سالبة (استخدم مستند عكسي)",IF($Z10&lt;=0,"إجمالي المبيعات صفر",IF($AA10&lt;0,"الخصومات والمرتجعات أكبر من المبيعات",IF(AND(N($Q10)&gt;0,$R10=""),"كود وسيلة الدفع الأخرى ناقص",IF(ABS($AC10)&gt;S_Tol,"مجموع وسائل الدفع لا يساوي صافي المبيعات",IF(OR(AND(N($L10)&gt;0,COUNTIFS(COA!$A:$A,$AK10,COA!$R:$R,1)&lt;&gt;1),AND(N($M10)&gt;0,COUNTIFS(COA!$A:$A,$AL10,COA!$R:$R,1)&lt;&gt;1),AND(N($N10)&gt;0,COUNTIFS(COA!$A:$A,$AM10,COA!$R:$R,1)&lt;&gt;1),AND(N($O10)&gt;0,COUNTIFS(COA!$A:$A,$AN10,COA!$R:$R,1)&lt;&gt;1),AND(N($P10)&gt;0,COUNTIFS(COA!$A:$A,$AO10,COA!$R:$R,1)&lt;&gt;1),AND(N($Q10)&gt;0,COUNTIFS(COA!$A:$A,$AP10,COA!$R:$R,1)&lt;&gt;1),AND(N($E10)&gt;0,COUNTIFS(COA!$A:$A,$AQ10,COA!$R:$R,1)&lt;&gt;1),AND(N($F10)&gt;0,COUNTIFS(COA!$A:$A,$AR10,COA!$R:$R,1)&lt;&gt;1),AND(N($G10)&gt;0,COUNTIFS(COA!$A:$A,$AS10,COA!$R:$R,1)&lt;&gt;1),AND(N($H10)&gt;0,COUNTIFS(COA!$A:$A,$AT10,COA!$R:$R,1)&lt;&gt;1)),"حساب تسوية أو إيراد غير صالح",IF($AJ10&lt;-S_Tol,"الضريبة المحسوبة سالبة","")))))))))))))))))))))))</f>
        <v/>
      </c>
      <c r="AX10" s="32">
        <f>IF($AV10=1,IF($AW10&lt;&gt;"",1,0),0)</f>
        <v/>
      </c>
      <c r="AY10" s="32">
        <f>IF(AND($AV10=1,$AX10=0,$S10=ST_POST),1,0)</f>
        <v/>
      </c>
    </row>
    <row r="11">
      <c r="A11" s="29" t="n"/>
      <c r="B11" s="31" t="n"/>
      <c r="C11" s="39" t="n"/>
      <c r="D11" s="29" t="n"/>
      <c r="E11" s="42" t="n"/>
      <c r="F11" s="42" t="n"/>
      <c r="G11" s="42" t="n"/>
      <c r="H11" s="42" t="n"/>
      <c r="I11" s="42" t="n"/>
      <c r="J11" s="42" t="n"/>
      <c r="K11" s="42" t="n"/>
      <c r="L11" s="42" t="n"/>
      <c r="M11" s="42" t="n"/>
      <c r="N11" s="42" t="n"/>
      <c r="O11" s="42" t="n"/>
      <c r="P11" s="42" t="n"/>
      <c r="Q11" s="42" t="n"/>
      <c r="R11" s="39" t="n"/>
      <c r="S11" s="39" t="n"/>
      <c r="T11" s="29" t="n"/>
      <c r="U11" s="29" t="n"/>
      <c r="V11" s="29" t="n"/>
      <c r="W11" s="29" t="n"/>
      <c r="X11" s="29" t="n"/>
      <c r="Y11" s="29" t="n"/>
      <c r="Z11" s="43">
        <f>IF($AV11=1,$E11+$F11+$G11+$H11,"")</f>
        <v/>
      </c>
      <c r="AA11" s="43">
        <f>IF($AV11=1,$Z11-$I11-$J11,"")</f>
        <v/>
      </c>
      <c r="AB11" s="43">
        <f>IF($AV11=1,$L11+$M11+$N11+$O11+$P11+$Q11,"")</f>
        <v/>
      </c>
      <c r="AC11" s="47">
        <f>IF($AV11=1,ROUND($AA11-$AB11,2),"")</f>
        <v/>
      </c>
      <c r="AD11" s="43">
        <f>IF($AV11=1,ROUND($E11/S_VATF,2),"")</f>
        <v/>
      </c>
      <c r="AE11" s="43">
        <f>IF($AV11=1,ROUND($F11/S_VATF,2),"")</f>
        <v/>
      </c>
      <c r="AF11" s="43">
        <f>IF($AV11=1,ROUND($G11/S_VATF,2),"")</f>
        <v/>
      </c>
      <c r="AG11" s="43">
        <f>IF($AV11=1,ROUND($H11/S_VATF,2),"")</f>
        <v/>
      </c>
      <c r="AH11" s="43">
        <f>IF($AV11=1,ROUND($I11/S_VATF,2),"")</f>
        <v/>
      </c>
      <c r="AI11" s="43">
        <f>IF($AV11=1,ROUND($J11/S_VATF,2),"")</f>
        <v/>
      </c>
      <c r="AJ11" s="43">
        <f>IF($AV11=1,ROUND($AA11+$AH11+$AI11-$AD11-$AE11-$AF11-$AG11,2),"")</f>
        <v/>
      </c>
      <c r="AK11" s="32">
        <f>IF(AND($AV11=1,N($L11)&gt;0),IFERROR(IF(IFERROR(INDEX(Payment_Methods!$C:$C,MATCH("CASH",Payment_Methods!$A:$A,0)),"")="نقدي",INDEX(Treasuries!$E:$E,MATCH(INDEX(Locations!$G:$G,MATCH($C11,Locations!$A:$A,0)),Treasuries!$A:$A,0)),INDEX(Payment_Methods!$D:$D,MATCH("CASH",Payment_Methods!$A:$A,0))),"؟"),"")</f>
        <v/>
      </c>
      <c r="AL11" s="32">
        <f>IF(AND($AV11=1,N($M11)&gt;0),IFERROR(IF(IFERROR(INDEX(Payment_Methods!$C:$C,MATCH("CARD",Payment_Methods!$A:$A,0)),"")="نقدي",INDEX(Treasuries!$E:$E,MATCH(INDEX(Locations!$G:$G,MATCH($C11,Locations!$A:$A,0)),Treasuries!$A:$A,0)),INDEX(Payment_Methods!$D:$D,MATCH("CARD",Payment_Methods!$A:$A,0))),"؟"),"")</f>
        <v/>
      </c>
      <c r="AM11" s="32">
        <f>IF(AND($AV11=1,N($N11)&gt;0),IFERROR(IF(IFERROR(INDEX(Payment_Methods!$C:$C,MATCH("TLB",Payment_Methods!$A:$A,0)),"")="نقدي",INDEX(Treasuries!$E:$E,MATCH(INDEX(Locations!$G:$G,MATCH($C11,Locations!$A:$A,0)),Treasuries!$A:$A,0)),INDEX(Payment_Methods!$D:$D,MATCH("TLB",Payment_Methods!$A:$A,0))),"؟"),"")</f>
        <v/>
      </c>
      <c r="AN11" s="32">
        <f>IF(AND($AV11=1,N($O11)&gt;0),IFERROR(IF(IFERROR(INDEX(Payment_Methods!$C:$C,MATCH("DLV2",Payment_Methods!$A:$A,0)),"")="نقدي",INDEX(Treasuries!$E:$E,MATCH(INDEX(Locations!$G:$G,MATCH($C11,Locations!$A:$A,0)),Treasuries!$A:$A,0)),INDEX(Payment_Methods!$D:$D,MATCH("DLV2",Payment_Methods!$A:$A,0))),"؟"),"")</f>
        <v/>
      </c>
      <c r="AO11" s="32">
        <f>IF(AND($AV11=1,N($P11)&gt;0),IFERROR(IF(IFERROR(INDEX(Payment_Methods!$C:$C,MATCH("INSTA",Payment_Methods!$A:$A,0)),"")="نقدي",INDEX(Treasuries!$E:$E,MATCH(INDEX(Locations!$G:$G,MATCH($C11,Locations!$A:$A,0)),Treasuries!$A:$A,0)),INDEX(Payment_Methods!$D:$D,MATCH("INSTA",Payment_Methods!$A:$A,0))),"؟"),"")</f>
        <v/>
      </c>
      <c r="AP11" s="32">
        <f>IF(AND($AV11=1,N($Q11)&gt;0),IFERROR(IF(IFERROR(INDEX(Payment_Methods!$C:$C,MATCH($R11,Payment_Methods!$A:$A,0)),"")="نقدي",INDEX(Treasuries!$E:$E,MATCH(INDEX(Locations!$G:$G,MATCH($C11,Locations!$A:$A,0)),Treasuries!$A:$A,0)),INDEX(Payment_Methods!$D:$D,MATCH($R11,Payment_Methods!$A:$A,0))),"؟"),"")</f>
        <v/>
      </c>
      <c r="AQ11" s="32">
        <f>INDEX(Lists!$U$5:$U$8,1)</f>
        <v/>
      </c>
      <c r="AR11" s="32">
        <f>INDEX(Lists!$U$5:$U$8,2)</f>
        <v/>
      </c>
      <c r="AS11" s="32">
        <f>INDEX(Lists!$U$5:$U$8,3)</f>
        <v/>
      </c>
      <c r="AT11" s="32">
        <f>INDEX(Lists!$U$5:$U$8,4)</f>
        <v/>
      </c>
      <c r="AU11" s="44">
        <f>IF($AV11=1,IF(COUNTIFS(Daily_Recon!$A:$A,$B11,Daily_Recon!$B:$B,$C11)&gt;0,"نعم","لا"),"")</f>
        <v/>
      </c>
      <c r="AV11" s="32">
        <f>IF(COUNTA($A11:$Y11)&gt;0,1,0)</f>
        <v/>
      </c>
      <c r="AW11" s="32">
        <f>IF($AV11=0,"",IF($A11="","رقم المستند ناقص",IF(COUNTIF(Doc_Register!$A:$A,$A11)&gt;1,"رقم مستند مكرر في السجل المركزي",IF(LEFT($A11,LEN("SAL")+1)&lt;&gt;"SAL"&amp;"-","بادئة الرقم لا تطابق نوع المستند",IF(NOT(ISNUMBER($B11)),"التاريخ ناقص أو غير صحيح",IF($S11="","حالة المستند ناقصة",IF($T11="","اسم المُعِد ناقص",IF(AND(OR($S11=ST_APPR,$S11=ST_POST),$U11=""),"لا يوجد معتمد",IF(AND($U11&lt;&gt;"",$U11=$T11),"المُعِد والمعتمد نفس الشخص (فصل المهام)",IF(AND($S11=ST_POST,$V11=""),"اسم المحاسب المرحِّل ناقص",IF(AND($S11=ST_POST,$V11&lt;&gt;"",OR($V11=$T11,$V11=$U11)),"المرحِّل يجب أن يختلف عن المُعِد والمعتمد",IF(AND($S11=ST_REV,$X11=""),"مرجع التصحيح/الإلغاء ناقص",IF(AND(ISNUMBER($B11),OR($S11=ST_DRAFT,$S11=ST_APPR),COUNTIFS(Period_Close!$A:$A,YEAR($B11)*100+MONTH($B11),Period_Close!$B:$B,"مقفلة")&gt;0),"الفترة مقفلة: لا يسمح بمستند جديد",IF(NOT(COUNTIF(Locations!$A:$A,$C11)&gt;0),"الفرع غير معرف",IF(IFERROR(INDEX(Locations!$C:$C,MATCH($C11,Locations!$A:$A,0)),"")&lt;&gt;"فرع","الموقع المختار ليس فرع بيع",IF(AND($S11&lt;&gt;ST_REV,$S11&lt;&gt;ST_CANC,COUNTIFS($B$4:$B10,$B11,$C$4:$C10,$C11,$S$4:$S10,"&lt;&gt;"&amp;ST_REV,$S$4:$S10,"&lt;&gt;"&amp;ST_CANC)&gt;0),"تقرير مبيعات مكرر لنفس الفرع واليوم",IF(MIN($E11,$F11,$G11,$H11,$I11,$J11,$L11,$M11,$N11,$O11,$P11,$Q11)&lt;0,"توجد مبالغ سالبة (استخدم مستند عكسي)",IF($Z11&lt;=0,"إجمالي المبيعات صفر",IF($AA11&lt;0,"الخصومات والمرتجعات أكبر من المبيعات",IF(AND(N($Q11)&gt;0,$R11=""),"كود وسيلة الدفع الأخرى ناقص",IF(ABS($AC11)&gt;S_Tol,"مجموع وسائل الدفع لا يساوي صافي المبيعات",IF(OR(AND(N($L11)&gt;0,COUNTIFS(COA!$A:$A,$AK11,COA!$R:$R,1)&lt;&gt;1),AND(N($M11)&gt;0,COUNTIFS(COA!$A:$A,$AL11,COA!$R:$R,1)&lt;&gt;1),AND(N($N11)&gt;0,COUNTIFS(COA!$A:$A,$AM11,COA!$R:$R,1)&lt;&gt;1),AND(N($O11)&gt;0,COUNTIFS(COA!$A:$A,$AN11,COA!$R:$R,1)&lt;&gt;1),AND(N($P11)&gt;0,COUNTIFS(COA!$A:$A,$AO11,COA!$R:$R,1)&lt;&gt;1),AND(N($Q11)&gt;0,COUNTIFS(COA!$A:$A,$AP11,COA!$R:$R,1)&lt;&gt;1),AND(N($E11)&gt;0,COUNTIFS(COA!$A:$A,$AQ11,COA!$R:$R,1)&lt;&gt;1),AND(N($F11)&gt;0,COUNTIFS(COA!$A:$A,$AR11,COA!$R:$R,1)&lt;&gt;1),AND(N($G11)&gt;0,COUNTIFS(COA!$A:$A,$AS11,COA!$R:$R,1)&lt;&gt;1),AND(N($H11)&gt;0,COUNTIFS(COA!$A:$A,$AT11,COA!$R:$R,1)&lt;&gt;1)),"حساب تسوية أو إيراد غير صالح",IF($AJ11&lt;-S_Tol,"الضريبة المحسوبة سالبة","")))))))))))))))))))))))</f>
        <v/>
      </c>
      <c r="AX11" s="32">
        <f>IF($AV11=1,IF($AW11&lt;&gt;"",1,0),0)</f>
        <v/>
      </c>
      <c r="AY11" s="32">
        <f>IF(AND($AV11=1,$AX11=0,$S11=ST_POST),1,0)</f>
        <v/>
      </c>
    </row>
    <row r="12">
      <c r="A12" s="29" t="n"/>
      <c r="B12" s="31" t="n"/>
      <c r="C12" s="39" t="n"/>
      <c r="D12" s="29" t="n"/>
      <c r="E12" s="42" t="n"/>
      <c r="F12" s="42" t="n"/>
      <c r="G12" s="42" t="n"/>
      <c r="H12" s="42" t="n"/>
      <c r="I12" s="42" t="n"/>
      <c r="J12" s="42" t="n"/>
      <c r="K12" s="42" t="n"/>
      <c r="L12" s="42" t="n"/>
      <c r="M12" s="42" t="n"/>
      <c r="N12" s="42" t="n"/>
      <c r="O12" s="42" t="n"/>
      <c r="P12" s="42" t="n"/>
      <c r="Q12" s="42" t="n"/>
      <c r="R12" s="39" t="n"/>
      <c r="S12" s="39" t="n"/>
      <c r="T12" s="29" t="n"/>
      <c r="U12" s="29" t="n"/>
      <c r="V12" s="29" t="n"/>
      <c r="W12" s="29" t="n"/>
      <c r="X12" s="29" t="n"/>
      <c r="Y12" s="29" t="n"/>
      <c r="Z12" s="43">
        <f>IF($AV12=1,$E12+$F12+$G12+$H12,"")</f>
        <v/>
      </c>
      <c r="AA12" s="43">
        <f>IF($AV12=1,$Z12-$I12-$J12,"")</f>
        <v/>
      </c>
      <c r="AB12" s="43">
        <f>IF($AV12=1,$L12+$M12+$N12+$O12+$P12+$Q12,"")</f>
        <v/>
      </c>
      <c r="AC12" s="47">
        <f>IF($AV12=1,ROUND($AA12-$AB12,2),"")</f>
        <v/>
      </c>
      <c r="AD12" s="43">
        <f>IF($AV12=1,ROUND($E12/S_VATF,2),"")</f>
        <v/>
      </c>
      <c r="AE12" s="43">
        <f>IF($AV12=1,ROUND($F12/S_VATF,2),"")</f>
        <v/>
      </c>
      <c r="AF12" s="43">
        <f>IF($AV12=1,ROUND($G12/S_VATF,2),"")</f>
        <v/>
      </c>
      <c r="AG12" s="43">
        <f>IF($AV12=1,ROUND($H12/S_VATF,2),"")</f>
        <v/>
      </c>
      <c r="AH12" s="43">
        <f>IF($AV12=1,ROUND($I12/S_VATF,2),"")</f>
        <v/>
      </c>
      <c r="AI12" s="43">
        <f>IF($AV12=1,ROUND($J12/S_VATF,2),"")</f>
        <v/>
      </c>
      <c r="AJ12" s="43">
        <f>IF($AV12=1,ROUND($AA12+$AH12+$AI12-$AD12-$AE12-$AF12-$AG12,2),"")</f>
        <v/>
      </c>
      <c r="AK12" s="32">
        <f>IF(AND($AV12=1,N($L12)&gt;0),IFERROR(IF(IFERROR(INDEX(Payment_Methods!$C:$C,MATCH("CASH",Payment_Methods!$A:$A,0)),"")="نقدي",INDEX(Treasuries!$E:$E,MATCH(INDEX(Locations!$G:$G,MATCH($C12,Locations!$A:$A,0)),Treasuries!$A:$A,0)),INDEX(Payment_Methods!$D:$D,MATCH("CASH",Payment_Methods!$A:$A,0))),"؟"),"")</f>
        <v/>
      </c>
      <c r="AL12" s="32">
        <f>IF(AND($AV12=1,N($M12)&gt;0),IFERROR(IF(IFERROR(INDEX(Payment_Methods!$C:$C,MATCH("CARD",Payment_Methods!$A:$A,0)),"")="نقدي",INDEX(Treasuries!$E:$E,MATCH(INDEX(Locations!$G:$G,MATCH($C12,Locations!$A:$A,0)),Treasuries!$A:$A,0)),INDEX(Payment_Methods!$D:$D,MATCH("CARD",Payment_Methods!$A:$A,0))),"؟"),"")</f>
        <v/>
      </c>
      <c r="AM12" s="32">
        <f>IF(AND($AV12=1,N($N12)&gt;0),IFERROR(IF(IFERROR(INDEX(Payment_Methods!$C:$C,MATCH("TLB",Payment_Methods!$A:$A,0)),"")="نقدي",INDEX(Treasuries!$E:$E,MATCH(INDEX(Locations!$G:$G,MATCH($C12,Locations!$A:$A,0)),Treasuries!$A:$A,0)),INDEX(Payment_Methods!$D:$D,MATCH("TLB",Payment_Methods!$A:$A,0))),"؟"),"")</f>
        <v/>
      </c>
      <c r="AN12" s="32">
        <f>IF(AND($AV12=1,N($O12)&gt;0),IFERROR(IF(IFERROR(INDEX(Payment_Methods!$C:$C,MATCH("DLV2",Payment_Methods!$A:$A,0)),"")="نقدي",INDEX(Treasuries!$E:$E,MATCH(INDEX(Locations!$G:$G,MATCH($C12,Locations!$A:$A,0)),Treasuries!$A:$A,0)),INDEX(Payment_Methods!$D:$D,MATCH("DLV2",Payment_Methods!$A:$A,0))),"؟"),"")</f>
        <v/>
      </c>
      <c r="AO12" s="32">
        <f>IF(AND($AV12=1,N($P12)&gt;0),IFERROR(IF(IFERROR(INDEX(Payment_Methods!$C:$C,MATCH("INSTA",Payment_Methods!$A:$A,0)),"")="نقدي",INDEX(Treasuries!$E:$E,MATCH(INDEX(Locations!$G:$G,MATCH($C12,Locations!$A:$A,0)),Treasuries!$A:$A,0)),INDEX(Payment_Methods!$D:$D,MATCH("INSTA",Payment_Methods!$A:$A,0))),"؟"),"")</f>
        <v/>
      </c>
      <c r="AP12" s="32">
        <f>IF(AND($AV12=1,N($Q12)&gt;0),IFERROR(IF(IFERROR(INDEX(Payment_Methods!$C:$C,MATCH($R12,Payment_Methods!$A:$A,0)),"")="نقدي",INDEX(Treasuries!$E:$E,MATCH(INDEX(Locations!$G:$G,MATCH($C12,Locations!$A:$A,0)),Treasuries!$A:$A,0)),INDEX(Payment_Methods!$D:$D,MATCH($R12,Payment_Methods!$A:$A,0))),"؟"),"")</f>
        <v/>
      </c>
      <c r="AQ12" s="32">
        <f>INDEX(Lists!$U$5:$U$8,1)</f>
        <v/>
      </c>
      <c r="AR12" s="32">
        <f>INDEX(Lists!$U$5:$U$8,2)</f>
        <v/>
      </c>
      <c r="AS12" s="32">
        <f>INDEX(Lists!$U$5:$U$8,3)</f>
        <v/>
      </c>
      <c r="AT12" s="32">
        <f>INDEX(Lists!$U$5:$U$8,4)</f>
        <v/>
      </c>
      <c r="AU12" s="44">
        <f>IF($AV12=1,IF(COUNTIFS(Daily_Recon!$A:$A,$B12,Daily_Recon!$B:$B,$C12)&gt;0,"نعم","لا"),"")</f>
        <v/>
      </c>
      <c r="AV12" s="32">
        <f>IF(COUNTA($A12:$Y12)&gt;0,1,0)</f>
        <v/>
      </c>
      <c r="AW12" s="32">
        <f>IF($AV12=0,"",IF($A12="","رقم المستند ناقص",IF(COUNTIF(Doc_Register!$A:$A,$A12)&gt;1,"رقم مستند مكرر في السجل المركزي",IF(LEFT($A12,LEN("SAL")+1)&lt;&gt;"SAL"&amp;"-","بادئة الرقم لا تطابق نوع المستند",IF(NOT(ISNUMBER($B12)),"التاريخ ناقص أو غير صحيح",IF($S12="","حالة المستند ناقصة",IF($T12="","اسم المُعِد ناقص",IF(AND(OR($S12=ST_APPR,$S12=ST_POST),$U12=""),"لا يوجد معتمد",IF(AND($U12&lt;&gt;"",$U12=$T12),"المُعِد والمعتمد نفس الشخص (فصل المهام)",IF(AND($S12=ST_POST,$V12=""),"اسم المحاسب المرحِّل ناقص",IF(AND($S12=ST_POST,$V12&lt;&gt;"",OR($V12=$T12,$V12=$U12)),"المرحِّل يجب أن يختلف عن المُعِد والمعتمد",IF(AND($S12=ST_REV,$X12=""),"مرجع التصحيح/الإلغاء ناقص",IF(AND(ISNUMBER($B12),OR($S12=ST_DRAFT,$S12=ST_APPR),COUNTIFS(Period_Close!$A:$A,YEAR($B12)*100+MONTH($B12),Period_Close!$B:$B,"مقفلة")&gt;0),"الفترة مقفلة: لا يسمح بمستند جديد",IF(NOT(COUNTIF(Locations!$A:$A,$C12)&gt;0),"الفرع غير معرف",IF(IFERROR(INDEX(Locations!$C:$C,MATCH($C12,Locations!$A:$A,0)),"")&lt;&gt;"فرع","الموقع المختار ليس فرع بيع",IF(AND($S12&lt;&gt;ST_REV,$S12&lt;&gt;ST_CANC,COUNTIFS($B$4:$B11,$B12,$C$4:$C11,$C12,$S$4:$S11,"&lt;&gt;"&amp;ST_REV,$S$4:$S11,"&lt;&gt;"&amp;ST_CANC)&gt;0),"تقرير مبيعات مكرر لنفس الفرع واليوم",IF(MIN($E12,$F12,$G12,$H12,$I12,$J12,$L12,$M12,$N12,$O12,$P12,$Q12)&lt;0,"توجد مبالغ سالبة (استخدم مستند عكسي)",IF($Z12&lt;=0,"إجمالي المبيعات صفر",IF($AA12&lt;0,"الخصومات والمرتجعات أكبر من المبيعات",IF(AND(N($Q12)&gt;0,$R12=""),"كود وسيلة الدفع الأخرى ناقص",IF(ABS($AC12)&gt;S_Tol,"مجموع وسائل الدفع لا يساوي صافي المبيعات",IF(OR(AND(N($L12)&gt;0,COUNTIFS(COA!$A:$A,$AK12,COA!$R:$R,1)&lt;&gt;1),AND(N($M12)&gt;0,COUNTIFS(COA!$A:$A,$AL12,COA!$R:$R,1)&lt;&gt;1),AND(N($N12)&gt;0,COUNTIFS(COA!$A:$A,$AM12,COA!$R:$R,1)&lt;&gt;1),AND(N($O12)&gt;0,COUNTIFS(COA!$A:$A,$AN12,COA!$R:$R,1)&lt;&gt;1),AND(N($P12)&gt;0,COUNTIFS(COA!$A:$A,$AO12,COA!$R:$R,1)&lt;&gt;1),AND(N($Q12)&gt;0,COUNTIFS(COA!$A:$A,$AP12,COA!$R:$R,1)&lt;&gt;1),AND(N($E12)&gt;0,COUNTIFS(COA!$A:$A,$AQ12,COA!$R:$R,1)&lt;&gt;1),AND(N($F12)&gt;0,COUNTIFS(COA!$A:$A,$AR12,COA!$R:$R,1)&lt;&gt;1),AND(N($G12)&gt;0,COUNTIFS(COA!$A:$A,$AS12,COA!$R:$R,1)&lt;&gt;1),AND(N($H12)&gt;0,COUNTIFS(COA!$A:$A,$AT12,COA!$R:$R,1)&lt;&gt;1)),"حساب تسوية أو إيراد غير صالح",IF($AJ12&lt;-S_Tol,"الضريبة المحسوبة سالبة","")))))))))))))))))))))))</f>
        <v/>
      </c>
      <c r="AX12" s="32">
        <f>IF($AV12=1,IF($AW12&lt;&gt;"",1,0),0)</f>
        <v/>
      </c>
      <c r="AY12" s="32">
        <f>IF(AND($AV12=1,$AX12=0,$S12=ST_POST),1,0)</f>
        <v/>
      </c>
    </row>
    <row r="13">
      <c r="A13" s="29" t="n"/>
      <c r="B13" s="31" t="n"/>
      <c r="C13" s="39" t="n"/>
      <c r="D13" s="29" t="n"/>
      <c r="E13" s="42" t="n"/>
      <c r="F13" s="42" t="n"/>
      <c r="G13" s="42" t="n"/>
      <c r="H13" s="42" t="n"/>
      <c r="I13" s="42" t="n"/>
      <c r="J13" s="42" t="n"/>
      <c r="K13" s="42" t="n"/>
      <c r="L13" s="42" t="n"/>
      <c r="M13" s="42" t="n"/>
      <c r="N13" s="42" t="n"/>
      <c r="O13" s="42" t="n"/>
      <c r="P13" s="42" t="n"/>
      <c r="Q13" s="42" t="n"/>
      <c r="R13" s="39" t="n"/>
      <c r="S13" s="39" t="n"/>
      <c r="T13" s="29" t="n"/>
      <c r="U13" s="29" t="n"/>
      <c r="V13" s="29" t="n"/>
      <c r="W13" s="29" t="n"/>
      <c r="X13" s="29" t="n"/>
      <c r="Y13" s="29" t="n"/>
      <c r="Z13" s="43">
        <f>IF($AV13=1,$E13+$F13+$G13+$H13,"")</f>
        <v/>
      </c>
      <c r="AA13" s="43">
        <f>IF($AV13=1,$Z13-$I13-$J13,"")</f>
        <v/>
      </c>
      <c r="AB13" s="43">
        <f>IF($AV13=1,$L13+$M13+$N13+$O13+$P13+$Q13,"")</f>
        <v/>
      </c>
      <c r="AC13" s="47">
        <f>IF($AV13=1,ROUND($AA13-$AB13,2),"")</f>
        <v/>
      </c>
      <c r="AD13" s="43">
        <f>IF($AV13=1,ROUND($E13/S_VATF,2),"")</f>
        <v/>
      </c>
      <c r="AE13" s="43">
        <f>IF($AV13=1,ROUND($F13/S_VATF,2),"")</f>
        <v/>
      </c>
      <c r="AF13" s="43">
        <f>IF($AV13=1,ROUND($G13/S_VATF,2),"")</f>
        <v/>
      </c>
      <c r="AG13" s="43">
        <f>IF($AV13=1,ROUND($H13/S_VATF,2),"")</f>
        <v/>
      </c>
      <c r="AH13" s="43">
        <f>IF($AV13=1,ROUND($I13/S_VATF,2),"")</f>
        <v/>
      </c>
      <c r="AI13" s="43">
        <f>IF($AV13=1,ROUND($J13/S_VATF,2),"")</f>
        <v/>
      </c>
      <c r="AJ13" s="43">
        <f>IF($AV13=1,ROUND($AA13+$AH13+$AI13-$AD13-$AE13-$AF13-$AG13,2),"")</f>
        <v/>
      </c>
      <c r="AK13" s="32">
        <f>IF(AND($AV13=1,N($L13)&gt;0),IFERROR(IF(IFERROR(INDEX(Payment_Methods!$C:$C,MATCH("CASH",Payment_Methods!$A:$A,0)),"")="نقدي",INDEX(Treasuries!$E:$E,MATCH(INDEX(Locations!$G:$G,MATCH($C13,Locations!$A:$A,0)),Treasuries!$A:$A,0)),INDEX(Payment_Methods!$D:$D,MATCH("CASH",Payment_Methods!$A:$A,0))),"؟"),"")</f>
        <v/>
      </c>
      <c r="AL13" s="32">
        <f>IF(AND($AV13=1,N($M13)&gt;0),IFERROR(IF(IFERROR(INDEX(Payment_Methods!$C:$C,MATCH("CARD",Payment_Methods!$A:$A,0)),"")="نقدي",INDEX(Treasuries!$E:$E,MATCH(INDEX(Locations!$G:$G,MATCH($C13,Locations!$A:$A,0)),Treasuries!$A:$A,0)),INDEX(Payment_Methods!$D:$D,MATCH("CARD",Payment_Methods!$A:$A,0))),"؟"),"")</f>
        <v/>
      </c>
      <c r="AM13" s="32">
        <f>IF(AND($AV13=1,N($N13)&gt;0),IFERROR(IF(IFERROR(INDEX(Payment_Methods!$C:$C,MATCH("TLB",Payment_Methods!$A:$A,0)),"")="نقدي",INDEX(Treasuries!$E:$E,MATCH(INDEX(Locations!$G:$G,MATCH($C13,Locations!$A:$A,0)),Treasuries!$A:$A,0)),INDEX(Payment_Methods!$D:$D,MATCH("TLB",Payment_Methods!$A:$A,0))),"؟"),"")</f>
        <v/>
      </c>
      <c r="AN13" s="32">
        <f>IF(AND($AV13=1,N($O13)&gt;0),IFERROR(IF(IFERROR(INDEX(Payment_Methods!$C:$C,MATCH("DLV2",Payment_Methods!$A:$A,0)),"")="نقدي",INDEX(Treasuries!$E:$E,MATCH(INDEX(Locations!$G:$G,MATCH($C13,Locations!$A:$A,0)),Treasuries!$A:$A,0)),INDEX(Payment_Methods!$D:$D,MATCH("DLV2",Payment_Methods!$A:$A,0))),"؟"),"")</f>
        <v/>
      </c>
      <c r="AO13" s="32">
        <f>IF(AND($AV13=1,N($P13)&gt;0),IFERROR(IF(IFERROR(INDEX(Payment_Methods!$C:$C,MATCH("INSTA",Payment_Methods!$A:$A,0)),"")="نقدي",INDEX(Treasuries!$E:$E,MATCH(INDEX(Locations!$G:$G,MATCH($C13,Locations!$A:$A,0)),Treasuries!$A:$A,0)),INDEX(Payment_Methods!$D:$D,MATCH("INSTA",Payment_Methods!$A:$A,0))),"؟"),"")</f>
        <v/>
      </c>
      <c r="AP13" s="32">
        <f>IF(AND($AV13=1,N($Q13)&gt;0),IFERROR(IF(IFERROR(INDEX(Payment_Methods!$C:$C,MATCH($R13,Payment_Methods!$A:$A,0)),"")="نقدي",INDEX(Treasuries!$E:$E,MATCH(INDEX(Locations!$G:$G,MATCH($C13,Locations!$A:$A,0)),Treasuries!$A:$A,0)),INDEX(Payment_Methods!$D:$D,MATCH($R13,Payment_Methods!$A:$A,0))),"؟"),"")</f>
        <v/>
      </c>
      <c r="AQ13" s="32">
        <f>INDEX(Lists!$U$5:$U$8,1)</f>
        <v/>
      </c>
      <c r="AR13" s="32">
        <f>INDEX(Lists!$U$5:$U$8,2)</f>
        <v/>
      </c>
      <c r="AS13" s="32">
        <f>INDEX(Lists!$U$5:$U$8,3)</f>
        <v/>
      </c>
      <c r="AT13" s="32">
        <f>INDEX(Lists!$U$5:$U$8,4)</f>
        <v/>
      </c>
      <c r="AU13" s="44">
        <f>IF($AV13=1,IF(COUNTIFS(Daily_Recon!$A:$A,$B13,Daily_Recon!$B:$B,$C13)&gt;0,"نعم","لا"),"")</f>
        <v/>
      </c>
      <c r="AV13" s="32">
        <f>IF(COUNTA($A13:$Y13)&gt;0,1,0)</f>
        <v/>
      </c>
      <c r="AW13" s="32">
        <f>IF($AV13=0,"",IF($A13="","رقم المستند ناقص",IF(COUNTIF(Doc_Register!$A:$A,$A13)&gt;1,"رقم مستند مكرر في السجل المركزي",IF(LEFT($A13,LEN("SAL")+1)&lt;&gt;"SAL"&amp;"-","بادئة الرقم لا تطابق نوع المستند",IF(NOT(ISNUMBER($B13)),"التاريخ ناقص أو غير صحيح",IF($S13="","حالة المستند ناقصة",IF($T13="","اسم المُعِد ناقص",IF(AND(OR($S13=ST_APPR,$S13=ST_POST),$U13=""),"لا يوجد معتمد",IF(AND($U13&lt;&gt;"",$U13=$T13),"المُعِد والمعتمد نفس الشخص (فصل المهام)",IF(AND($S13=ST_POST,$V13=""),"اسم المحاسب المرحِّل ناقص",IF(AND($S13=ST_POST,$V13&lt;&gt;"",OR($V13=$T13,$V13=$U13)),"المرحِّل يجب أن يختلف عن المُعِد والمعتمد",IF(AND($S13=ST_REV,$X13=""),"مرجع التصحيح/الإلغاء ناقص",IF(AND(ISNUMBER($B13),OR($S13=ST_DRAFT,$S13=ST_APPR),COUNTIFS(Period_Close!$A:$A,YEAR($B13)*100+MONTH($B13),Period_Close!$B:$B,"مقفلة")&gt;0),"الفترة مقفلة: لا يسمح بمستند جديد",IF(NOT(COUNTIF(Locations!$A:$A,$C13)&gt;0),"الفرع غير معرف",IF(IFERROR(INDEX(Locations!$C:$C,MATCH($C13,Locations!$A:$A,0)),"")&lt;&gt;"فرع","الموقع المختار ليس فرع بيع",IF(AND($S13&lt;&gt;ST_REV,$S13&lt;&gt;ST_CANC,COUNTIFS($B$4:$B12,$B13,$C$4:$C12,$C13,$S$4:$S12,"&lt;&gt;"&amp;ST_REV,$S$4:$S12,"&lt;&gt;"&amp;ST_CANC)&gt;0),"تقرير مبيعات مكرر لنفس الفرع واليوم",IF(MIN($E13,$F13,$G13,$H13,$I13,$J13,$L13,$M13,$N13,$O13,$P13,$Q13)&lt;0,"توجد مبالغ سالبة (استخدم مستند عكسي)",IF($Z13&lt;=0,"إجمالي المبيعات صفر",IF($AA13&lt;0,"الخصومات والمرتجعات أكبر من المبيعات",IF(AND(N($Q13)&gt;0,$R13=""),"كود وسيلة الدفع الأخرى ناقص",IF(ABS($AC13)&gt;S_Tol,"مجموع وسائل الدفع لا يساوي صافي المبيعات",IF(OR(AND(N($L13)&gt;0,COUNTIFS(COA!$A:$A,$AK13,COA!$R:$R,1)&lt;&gt;1),AND(N($M13)&gt;0,COUNTIFS(COA!$A:$A,$AL13,COA!$R:$R,1)&lt;&gt;1),AND(N($N13)&gt;0,COUNTIFS(COA!$A:$A,$AM13,COA!$R:$R,1)&lt;&gt;1),AND(N($O13)&gt;0,COUNTIFS(COA!$A:$A,$AN13,COA!$R:$R,1)&lt;&gt;1),AND(N($P13)&gt;0,COUNTIFS(COA!$A:$A,$AO13,COA!$R:$R,1)&lt;&gt;1),AND(N($Q13)&gt;0,COUNTIFS(COA!$A:$A,$AP13,COA!$R:$R,1)&lt;&gt;1),AND(N($E13)&gt;0,COUNTIFS(COA!$A:$A,$AQ13,COA!$R:$R,1)&lt;&gt;1),AND(N($F13)&gt;0,COUNTIFS(COA!$A:$A,$AR13,COA!$R:$R,1)&lt;&gt;1),AND(N($G13)&gt;0,COUNTIFS(COA!$A:$A,$AS13,COA!$R:$R,1)&lt;&gt;1),AND(N($H13)&gt;0,COUNTIFS(COA!$A:$A,$AT13,COA!$R:$R,1)&lt;&gt;1)),"حساب تسوية أو إيراد غير صالح",IF($AJ13&lt;-S_Tol,"الضريبة المحسوبة سالبة","")))))))))))))))))))))))</f>
        <v/>
      </c>
      <c r="AX13" s="32">
        <f>IF($AV13=1,IF($AW13&lt;&gt;"",1,0),0)</f>
        <v/>
      </c>
      <c r="AY13" s="32">
        <f>IF(AND($AV13=1,$AX13=0,$S13=ST_POST),1,0)</f>
        <v/>
      </c>
    </row>
    <row r="14">
      <c r="A14" s="29" t="n"/>
      <c r="B14" s="31" t="n"/>
      <c r="C14" s="39" t="n"/>
      <c r="D14" s="29" t="n"/>
      <c r="E14" s="42" t="n"/>
      <c r="F14" s="42" t="n"/>
      <c r="G14" s="42" t="n"/>
      <c r="H14" s="42" t="n"/>
      <c r="I14" s="42" t="n"/>
      <c r="J14" s="42" t="n"/>
      <c r="K14" s="42" t="n"/>
      <c r="L14" s="42" t="n"/>
      <c r="M14" s="42" t="n"/>
      <c r="N14" s="42" t="n"/>
      <c r="O14" s="42" t="n"/>
      <c r="P14" s="42" t="n"/>
      <c r="Q14" s="42" t="n"/>
      <c r="R14" s="39" t="n"/>
      <c r="S14" s="39" t="n"/>
      <c r="T14" s="29" t="n"/>
      <c r="U14" s="29" t="n"/>
      <c r="V14" s="29" t="n"/>
      <c r="W14" s="29" t="n"/>
      <c r="X14" s="29" t="n"/>
      <c r="Y14" s="29" t="n"/>
      <c r="Z14" s="43">
        <f>IF($AV14=1,$E14+$F14+$G14+$H14,"")</f>
        <v/>
      </c>
      <c r="AA14" s="43">
        <f>IF($AV14=1,$Z14-$I14-$J14,"")</f>
        <v/>
      </c>
      <c r="AB14" s="43">
        <f>IF($AV14=1,$L14+$M14+$N14+$O14+$P14+$Q14,"")</f>
        <v/>
      </c>
      <c r="AC14" s="47">
        <f>IF($AV14=1,ROUND($AA14-$AB14,2),"")</f>
        <v/>
      </c>
      <c r="AD14" s="43">
        <f>IF($AV14=1,ROUND($E14/S_VATF,2),"")</f>
        <v/>
      </c>
      <c r="AE14" s="43">
        <f>IF($AV14=1,ROUND($F14/S_VATF,2),"")</f>
        <v/>
      </c>
      <c r="AF14" s="43">
        <f>IF($AV14=1,ROUND($G14/S_VATF,2),"")</f>
        <v/>
      </c>
      <c r="AG14" s="43">
        <f>IF($AV14=1,ROUND($H14/S_VATF,2),"")</f>
        <v/>
      </c>
      <c r="AH14" s="43">
        <f>IF($AV14=1,ROUND($I14/S_VATF,2),"")</f>
        <v/>
      </c>
      <c r="AI14" s="43">
        <f>IF($AV14=1,ROUND($J14/S_VATF,2),"")</f>
        <v/>
      </c>
      <c r="AJ14" s="43">
        <f>IF($AV14=1,ROUND($AA14+$AH14+$AI14-$AD14-$AE14-$AF14-$AG14,2),"")</f>
        <v/>
      </c>
      <c r="AK14" s="32">
        <f>IF(AND($AV14=1,N($L14)&gt;0),IFERROR(IF(IFERROR(INDEX(Payment_Methods!$C:$C,MATCH("CASH",Payment_Methods!$A:$A,0)),"")="نقدي",INDEX(Treasuries!$E:$E,MATCH(INDEX(Locations!$G:$G,MATCH($C14,Locations!$A:$A,0)),Treasuries!$A:$A,0)),INDEX(Payment_Methods!$D:$D,MATCH("CASH",Payment_Methods!$A:$A,0))),"؟"),"")</f>
        <v/>
      </c>
      <c r="AL14" s="32">
        <f>IF(AND($AV14=1,N($M14)&gt;0),IFERROR(IF(IFERROR(INDEX(Payment_Methods!$C:$C,MATCH("CARD",Payment_Methods!$A:$A,0)),"")="نقدي",INDEX(Treasuries!$E:$E,MATCH(INDEX(Locations!$G:$G,MATCH($C14,Locations!$A:$A,0)),Treasuries!$A:$A,0)),INDEX(Payment_Methods!$D:$D,MATCH("CARD",Payment_Methods!$A:$A,0))),"؟"),"")</f>
        <v/>
      </c>
      <c r="AM14" s="32">
        <f>IF(AND($AV14=1,N($N14)&gt;0),IFERROR(IF(IFERROR(INDEX(Payment_Methods!$C:$C,MATCH("TLB",Payment_Methods!$A:$A,0)),"")="نقدي",INDEX(Treasuries!$E:$E,MATCH(INDEX(Locations!$G:$G,MATCH($C14,Locations!$A:$A,0)),Treasuries!$A:$A,0)),INDEX(Payment_Methods!$D:$D,MATCH("TLB",Payment_Methods!$A:$A,0))),"؟"),"")</f>
        <v/>
      </c>
      <c r="AN14" s="32">
        <f>IF(AND($AV14=1,N($O14)&gt;0),IFERROR(IF(IFERROR(INDEX(Payment_Methods!$C:$C,MATCH("DLV2",Payment_Methods!$A:$A,0)),"")="نقدي",INDEX(Treasuries!$E:$E,MATCH(INDEX(Locations!$G:$G,MATCH($C14,Locations!$A:$A,0)),Treasuries!$A:$A,0)),INDEX(Payment_Methods!$D:$D,MATCH("DLV2",Payment_Methods!$A:$A,0))),"؟"),"")</f>
        <v/>
      </c>
      <c r="AO14" s="32">
        <f>IF(AND($AV14=1,N($P14)&gt;0),IFERROR(IF(IFERROR(INDEX(Payment_Methods!$C:$C,MATCH("INSTA",Payment_Methods!$A:$A,0)),"")="نقدي",INDEX(Treasuries!$E:$E,MATCH(INDEX(Locations!$G:$G,MATCH($C14,Locations!$A:$A,0)),Treasuries!$A:$A,0)),INDEX(Payment_Methods!$D:$D,MATCH("INSTA",Payment_Methods!$A:$A,0))),"؟"),"")</f>
        <v/>
      </c>
      <c r="AP14" s="32">
        <f>IF(AND($AV14=1,N($Q14)&gt;0),IFERROR(IF(IFERROR(INDEX(Payment_Methods!$C:$C,MATCH($R14,Payment_Methods!$A:$A,0)),"")="نقدي",INDEX(Treasuries!$E:$E,MATCH(INDEX(Locations!$G:$G,MATCH($C14,Locations!$A:$A,0)),Treasuries!$A:$A,0)),INDEX(Payment_Methods!$D:$D,MATCH($R14,Payment_Methods!$A:$A,0))),"؟"),"")</f>
        <v/>
      </c>
      <c r="AQ14" s="32">
        <f>INDEX(Lists!$U$5:$U$8,1)</f>
        <v/>
      </c>
      <c r="AR14" s="32">
        <f>INDEX(Lists!$U$5:$U$8,2)</f>
        <v/>
      </c>
      <c r="AS14" s="32">
        <f>INDEX(Lists!$U$5:$U$8,3)</f>
        <v/>
      </c>
      <c r="AT14" s="32">
        <f>INDEX(Lists!$U$5:$U$8,4)</f>
        <v/>
      </c>
      <c r="AU14" s="44">
        <f>IF($AV14=1,IF(COUNTIFS(Daily_Recon!$A:$A,$B14,Daily_Recon!$B:$B,$C14)&gt;0,"نعم","لا"),"")</f>
        <v/>
      </c>
      <c r="AV14" s="32">
        <f>IF(COUNTA($A14:$Y14)&gt;0,1,0)</f>
        <v/>
      </c>
      <c r="AW14" s="32">
        <f>IF($AV14=0,"",IF($A14="","رقم المستند ناقص",IF(COUNTIF(Doc_Register!$A:$A,$A14)&gt;1,"رقم مستند مكرر في السجل المركزي",IF(LEFT($A14,LEN("SAL")+1)&lt;&gt;"SAL"&amp;"-","بادئة الرقم لا تطابق نوع المستند",IF(NOT(ISNUMBER($B14)),"التاريخ ناقص أو غير صحيح",IF($S14="","حالة المستند ناقصة",IF($T14="","اسم المُعِد ناقص",IF(AND(OR($S14=ST_APPR,$S14=ST_POST),$U14=""),"لا يوجد معتمد",IF(AND($U14&lt;&gt;"",$U14=$T14),"المُعِد والمعتمد نفس الشخص (فصل المهام)",IF(AND($S14=ST_POST,$V14=""),"اسم المحاسب المرحِّل ناقص",IF(AND($S14=ST_POST,$V14&lt;&gt;"",OR($V14=$T14,$V14=$U14)),"المرحِّل يجب أن يختلف عن المُعِد والمعتمد",IF(AND($S14=ST_REV,$X14=""),"مرجع التصحيح/الإلغاء ناقص",IF(AND(ISNUMBER($B14),OR($S14=ST_DRAFT,$S14=ST_APPR),COUNTIFS(Period_Close!$A:$A,YEAR($B14)*100+MONTH($B14),Period_Close!$B:$B,"مقفلة")&gt;0),"الفترة مقفلة: لا يسمح بمستند جديد",IF(NOT(COUNTIF(Locations!$A:$A,$C14)&gt;0),"الفرع غير معرف",IF(IFERROR(INDEX(Locations!$C:$C,MATCH($C14,Locations!$A:$A,0)),"")&lt;&gt;"فرع","الموقع المختار ليس فرع بيع",IF(AND($S14&lt;&gt;ST_REV,$S14&lt;&gt;ST_CANC,COUNTIFS($B$4:$B13,$B14,$C$4:$C13,$C14,$S$4:$S13,"&lt;&gt;"&amp;ST_REV,$S$4:$S13,"&lt;&gt;"&amp;ST_CANC)&gt;0),"تقرير مبيعات مكرر لنفس الفرع واليوم",IF(MIN($E14,$F14,$G14,$H14,$I14,$J14,$L14,$M14,$N14,$O14,$P14,$Q14)&lt;0,"توجد مبالغ سالبة (استخدم مستند عكسي)",IF($Z14&lt;=0,"إجمالي المبيعات صفر",IF($AA14&lt;0,"الخصومات والمرتجعات أكبر من المبيعات",IF(AND(N($Q14)&gt;0,$R14=""),"كود وسيلة الدفع الأخرى ناقص",IF(ABS($AC14)&gt;S_Tol,"مجموع وسائل الدفع لا يساوي صافي المبيعات",IF(OR(AND(N($L14)&gt;0,COUNTIFS(COA!$A:$A,$AK14,COA!$R:$R,1)&lt;&gt;1),AND(N($M14)&gt;0,COUNTIFS(COA!$A:$A,$AL14,COA!$R:$R,1)&lt;&gt;1),AND(N($N14)&gt;0,COUNTIFS(COA!$A:$A,$AM14,COA!$R:$R,1)&lt;&gt;1),AND(N($O14)&gt;0,COUNTIFS(COA!$A:$A,$AN14,COA!$R:$R,1)&lt;&gt;1),AND(N($P14)&gt;0,COUNTIFS(COA!$A:$A,$AO14,COA!$R:$R,1)&lt;&gt;1),AND(N($Q14)&gt;0,COUNTIFS(COA!$A:$A,$AP14,COA!$R:$R,1)&lt;&gt;1),AND(N($E14)&gt;0,COUNTIFS(COA!$A:$A,$AQ14,COA!$R:$R,1)&lt;&gt;1),AND(N($F14)&gt;0,COUNTIFS(COA!$A:$A,$AR14,COA!$R:$R,1)&lt;&gt;1),AND(N($G14)&gt;0,COUNTIFS(COA!$A:$A,$AS14,COA!$R:$R,1)&lt;&gt;1),AND(N($H14)&gt;0,COUNTIFS(COA!$A:$A,$AT14,COA!$R:$R,1)&lt;&gt;1)),"حساب تسوية أو إيراد غير صالح",IF($AJ14&lt;-S_Tol,"الضريبة المحسوبة سالبة","")))))))))))))))))))))))</f>
        <v/>
      </c>
      <c r="AX14" s="32">
        <f>IF($AV14=1,IF($AW14&lt;&gt;"",1,0),0)</f>
        <v/>
      </c>
      <c r="AY14" s="32">
        <f>IF(AND($AV14=1,$AX14=0,$S14=ST_POST),1,0)</f>
        <v/>
      </c>
    </row>
    <row r="15">
      <c r="A15" s="29" t="n"/>
      <c r="B15" s="31" t="n"/>
      <c r="C15" s="39" t="n"/>
      <c r="D15" s="29" t="n"/>
      <c r="E15" s="42" t="n"/>
      <c r="F15" s="42" t="n"/>
      <c r="G15" s="42" t="n"/>
      <c r="H15" s="42" t="n"/>
      <c r="I15" s="42" t="n"/>
      <c r="J15" s="42" t="n"/>
      <c r="K15" s="42" t="n"/>
      <c r="L15" s="42" t="n"/>
      <c r="M15" s="42" t="n"/>
      <c r="N15" s="42" t="n"/>
      <c r="O15" s="42" t="n"/>
      <c r="P15" s="42" t="n"/>
      <c r="Q15" s="42" t="n"/>
      <c r="R15" s="39" t="n"/>
      <c r="S15" s="39" t="n"/>
      <c r="T15" s="29" t="n"/>
      <c r="U15" s="29" t="n"/>
      <c r="V15" s="29" t="n"/>
      <c r="W15" s="29" t="n"/>
      <c r="X15" s="29" t="n"/>
      <c r="Y15" s="29" t="n"/>
      <c r="Z15" s="43">
        <f>IF($AV15=1,$E15+$F15+$G15+$H15,"")</f>
        <v/>
      </c>
      <c r="AA15" s="43">
        <f>IF($AV15=1,$Z15-$I15-$J15,"")</f>
        <v/>
      </c>
      <c r="AB15" s="43">
        <f>IF($AV15=1,$L15+$M15+$N15+$O15+$P15+$Q15,"")</f>
        <v/>
      </c>
      <c r="AC15" s="47">
        <f>IF($AV15=1,ROUND($AA15-$AB15,2),"")</f>
        <v/>
      </c>
      <c r="AD15" s="43">
        <f>IF($AV15=1,ROUND($E15/S_VATF,2),"")</f>
        <v/>
      </c>
      <c r="AE15" s="43">
        <f>IF($AV15=1,ROUND($F15/S_VATF,2),"")</f>
        <v/>
      </c>
      <c r="AF15" s="43">
        <f>IF($AV15=1,ROUND($G15/S_VATF,2),"")</f>
        <v/>
      </c>
      <c r="AG15" s="43">
        <f>IF($AV15=1,ROUND($H15/S_VATF,2),"")</f>
        <v/>
      </c>
      <c r="AH15" s="43">
        <f>IF($AV15=1,ROUND($I15/S_VATF,2),"")</f>
        <v/>
      </c>
      <c r="AI15" s="43">
        <f>IF($AV15=1,ROUND($J15/S_VATF,2),"")</f>
        <v/>
      </c>
      <c r="AJ15" s="43">
        <f>IF($AV15=1,ROUND($AA15+$AH15+$AI15-$AD15-$AE15-$AF15-$AG15,2),"")</f>
        <v/>
      </c>
      <c r="AK15" s="32">
        <f>IF(AND($AV15=1,N($L15)&gt;0),IFERROR(IF(IFERROR(INDEX(Payment_Methods!$C:$C,MATCH("CASH",Payment_Methods!$A:$A,0)),"")="نقدي",INDEX(Treasuries!$E:$E,MATCH(INDEX(Locations!$G:$G,MATCH($C15,Locations!$A:$A,0)),Treasuries!$A:$A,0)),INDEX(Payment_Methods!$D:$D,MATCH("CASH",Payment_Methods!$A:$A,0))),"؟"),"")</f>
        <v/>
      </c>
      <c r="AL15" s="32">
        <f>IF(AND($AV15=1,N($M15)&gt;0),IFERROR(IF(IFERROR(INDEX(Payment_Methods!$C:$C,MATCH("CARD",Payment_Methods!$A:$A,0)),"")="نقدي",INDEX(Treasuries!$E:$E,MATCH(INDEX(Locations!$G:$G,MATCH($C15,Locations!$A:$A,0)),Treasuries!$A:$A,0)),INDEX(Payment_Methods!$D:$D,MATCH("CARD",Payment_Methods!$A:$A,0))),"؟"),"")</f>
        <v/>
      </c>
      <c r="AM15" s="32">
        <f>IF(AND($AV15=1,N($N15)&gt;0),IFERROR(IF(IFERROR(INDEX(Payment_Methods!$C:$C,MATCH("TLB",Payment_Methods!$A:$A,0)),"")="نقدي",INDEX(Treasuries!$E:$E,MATCH(INDEX(Locations!$G:$G,MATCH($C15,Locations!$A:$A,0)),Treasuries!$A:$A,0)),INDEX(Payment_Methods!$D:$D,MATCH("TLB",Payment_Methods!$A:$A,0))),"؟"),"")</f>
        <v/>
      </c>
      <c r="AN15" s="32">
        <f>IF(AND($AV15=1,N($O15)&gt;0),IFERROR(IF(IFERROR(INDEX(Payment_Methods!$C:$C,MATCH("DLV2",Payment_Methods!$A:$A,0)),"")="نقدي",INDEX(Treasuries!$E:$E,MATCH(INDEX(Locations!$G:$G,MATCH($C15,Locations!$A:$A,0)),Treasuries!$A:$A,0)),INDEX(Payment_Methods!$D:$D,MATCH("DLV2",Payment_Methods!$A:$A,0))),"؟"),"")</f>
        <v/>
      </c>
      <c r="AO15" s="32">
        <f>IF(AND($AV15=1,N($P15)&gt;0),IFERROR(IF(IFERROR(INDEX(Payment_Methods!$C:$C,MATCH("INSTA",Payment_Methods!$A:$A,0)),"")="نقدي",INDEX(Treasuries!$E:$E,MATCH(INDEX(Locations!$G:$G,MATCH($C15,Locations!$A:$A,0)),Treasuries!$A:$A,0)),INDEX(Payment_Methods!$D:$D,MATCH("INSTA",Payment_Methods!$A:$A,0))),"؟"),"")</f>
        <v/>
      </c>
      <c r="AP15" s="32">
        <f>IF(AND($AV15=1,N($Q15)&gt;0),IFERROR(IF(IFERROR(INDEX(Payment_Methods!$C:$C,MATCH($R15,Payment_Methods!$A:$A,0)),"")="نقدي",INDEX(Treasuries!$E:$E,MATCH(INDEX(Locations!$G:$G,MATCH($C15,Locations!$A:$A,0)),Treasuries!$A:$A,0)),INDEX(Payment_Methods!$D:$D,MATCH($R15,Payment_Methods!$A:$A,0))),"؟"),"")</f>
        <v/>
      </c>
      <c r="AQ15" s="32">
        <f>INDEX(Lists!$U$5:$U$8,1)</f>
        <v/>
      </c>
      <c r="AR15" s="32">
        <f>INDEX(Lists!$U$5:$U$8,2)</f>
        <v/>
      </c>
      <c r="AS15" s="32">
        <f>INDEX(Lists!$U$5:$U$8,3)</f>
        <v/>
      </c>
      <c r="AT15" s="32">
        <f>INDEX(Lists!$U$5:$U$8,4)</f>
        <v/>
      </c>
      <c r="AU15" s="44">
        <f>IF($AV15=1,IF(COUNTIFS(Daily_Recon!$A:$A,$B15,Daily_Recon!$B:$B,$C15)&gt;0,"نعم","لا"),"")</f>
        <v/>
      </c>
      <c r="AV15" s="32">
        <f>IF(COUNTA($A15:$Y15)&gt;0,1,0)</f>
        <v/>
      </c>
      <c r="AW15" s="32">
        <f>IF($AV15=0,"",IF($A15="","رقم المستند ناقص",IF(COUNTIF(Doc_Register!$A:$A,$A15)&gt;1,"رقم مستند مكرر في السجل المركزي",IF(LEFT($A15,LEN("SAL")+1)&lt;&gt;"SAL"&amp;"-","بادئة الرقم لا تطابق نوع المستند",IF(NOT(ISNUMBER($B15)),"التاريخ ناقص أو غير صحيح",IF($S15="","حالة المستند ناقصة",IF($T15="","اسم المُعِد ناقص",IF(AND(OR($S15=ST_APPR,$S15=ST_POST),$U15=""),"لا يوجد معتمد",IF(AND($U15&lt;&gt;"",$U15=$T15),"المُعِد والمعتمد نفس الشخص (فصل المهام)",IF(AND($S15=ST_POST,$V15=""),"اسم المحاسب المرحِّل ناقص",IF(AND($S15=ST_POST,$V15&lt;&gt;"",OR($V15=$T15,$V15=$U15)),"المرحِّل يجب أن يختلف عن المُعِد والمعتمد",IF(AND($S15=ST_REV,$X15=""),"مرجع التصحيح/الإلغاء ناقص",IF(AND(ISNUMBER($B15),OR($S15=ST_DRAFT,$S15=ST_APPR),COUNTIFS(Period_Close!$A:$A,YEAR($B15)*100+MONTH($B15),Period_Close!$B:$B,"مقفلة")&gt;0),"الفترة مقفلة: لا يسمح بمستند جديد",IF(NOT(COUNTIF(Locations!$A:$A,$C15)&gt;0),"الفرع غير معرف",IF(IFERROR(INDEX(Locations!$C:$C,MATCH($C15,Locations!$A:$A,0)),"")&lt;&gt;"فرع","الموقع المختار ليس فرع بيع",IF(AND($S15&lt;&gt;ST_REV,$S15&lt;&gt;ST_CANC,COUNTIFS($B$4:$B14,$B15,$C$4:$C14,$C15,$S$4:$S14,"&lt;&gt;"&amp;ST_REV,$S$4:$S14,"&lt;&gt;"&amp;ST_CANC)&gt;0),"تقرير مبيعات مكرر لنفس الفرع واليوم",IF(MIN($E15,$F15,$G15,$H15,$I15,$J15,$L15,$M15,$N15,$O15,$P15,$Q15)&lt;0,"توجد مبالغ سالبة (استخدم مستند عكسي)",IF($Z15&lt;=0,"إجمالي المبيعات صفر",IF($AA15&lt;0,"الخصومات والمرتجعات أكبر من المبيعات",IF(AND(N($Q15)&gt;0,$R15=""),"كود وسيلة الدفع الأخرى ناقص",IF(ABS($AC15)&gt;S_Tol,"مجموع وسائل الدفع لا يساوي صافي المبيعات",IF(OR(AND(N($L15)&gt;0,COUNTIFS(COA!$A:$A,$AK15,COA!$R:$R,1)&lt;&gt;1),AND(N($M15)&gt;0,COUNTIFS(COA!$A:$A,$AL15,COA!$R:$R,1)&lt;&gt;1),AND(N($N15)&gt;0,COUNTIFS(COA!$A:$A,$AM15,COA!$R:$R,1)&lt;&gt;1),AND(N($O15)&gt;0,COUNTIFS(COA!$A:$A,$AN15,COA!$R:$R,1)&lt;&gt;1),AND(N($P15)&gt;0,COUNTIFS(COA!$A:$A,$AO15,COA!$R:$R,1)&lt;&gt;1),AND(N($Q15)&gt;0,COUNTIFS(COA!$A:$A,$AP15,COA!$R:$R,1)&lt;&gt;1),AND(N($E15)&gt;0,COUNTIFS(COA!$A:$A,$AQ15,COA!$R:$R,1)&lt;&gt;1),AND(N($F15)&gt;0,COUNTIFS(COA!$A:$A,$AR15,COA!$R:$R,1)&lt;&gt;1),AND(N($G15)&gt;0,COUNTIFS(COA!$A:$A,$AS15,COA!$R:$R,1)&lt;&gt;1),AND(N($H15)&gt;0,COUNTIFS(COA!$A:$A,$AT15,COA!$R:$R,1)&lt;&gt;1)),"حساب تسوية أو إيراد غير صالح",IF($AJ15&lt;-S_Tol,"الضريبة المحسوبة سالبة","")))))))))))))))))))))))</f>
        <v/>
      </c>
      <c r="AX15" s="32">
        <f>IF($AV15=1,IF($AW15&lt;&gt;"",1,0),0)</f>
        <v/>
      </c>
      <c r="AY15" s="32">
        <f>IF(AND($AV15=1,$AX15=0,$S15=ST_POST),1,0)</f>
        <v/>
      </c>
    </row>
    <row r="16">
      <c r="A16" s="29" t="n"/>
      <c r="B16" s="31" t="n"/>
      <c r="C16" s="39" t="n"/>
      <c r="D16" s="29" t="n"/>
      <c r="E16" s="42" t="n"/>
      <c r="F16" s="42" t="n"/>
      <c r="G16" s="42" t="n"/>
      <c r="H16" s="42" t="n"/>
      <c r="I16" s="42" t="n"/>
      <c r="J16" s="42" t="n"/>
      <c r="K16" s="42" t="n"/>
      <c r="L16" s="42" t="n"/>
      <c r="M16" s="42" t="n"/>
      <c r="N16" s="42" t="n"/>
      <c r="O16" s="42" t="n"/>
      <c r="P16" s="42" t="n"/>
      <c r="Q16" s="42" t="n"/>
      <c r="R16" s="39" t="n"/>
      <c r="S16" s="39" t="n"/>
      <c r="T16" s="29" t="n"/>
      <c r="U16" s="29" t="n"/>
      <c r="V16" s="29" t="n"/>
      <c r="W16" s="29" t="n"/>
      <c r="X16" s="29" t="n"/>
      <c r="Y16" s="29" t="n"/>
      <c r="Z16" s="43">
        <f>IF($AV16=1,$E16+$F16+$G16+$H16,"")</f>
        <v/>
      </c>
      <c r="AA16" s="43">
        <f>IF($AV16=1,$Z16-$I16-$J16,"")</f>
        <v/>
      </c>
      <c r="AB16" s="43">
        <f>IF($AV16=1,$L16+$M16+$N16+$O16+$P16+$Q16,"")</f>
        <v/>
      </c>
      <c r="AC16" s="47">
        <f>IF($AV16=1,ROUND($AA16-$AB16,2),"")</f>
        <v/>
      </c>
      <c r="AD16" s="43">
        <f>IF($AV16=1,ROUND($E16/S_VATF,2),"")</f>
        <v/>
      </c>
      <c r="AE16" s="43">
        <f>IF($AV16=1,ROUND($F16/S_VATF,2),"")</f>
        <v/>
      </c>
      <c r="AF16" s="43">
        <f>IF($AV16=1,ROUND($G16/S_VATF,2),"")</f>
        <v/>
      </c>
      <c r="AG16" s="43">
        <f>IF($AV16=1,ROUND($H16/S_VATF,2),"")</f>
        <v/>
      </c>
      <c r="AH16" s="43">
        <f>IF($AV16=1,ROUND($I16/S_VATF,2),"")</f>
        <v/>
      </c>
      <c r="AI16" s="43">
        <f>IF($AV16=1,ROUND($J16/S_VATF,2),"")</f>
        <v/>
      </c>
      <c r="AJ16" s="43">
        <f>IF($AV16=1,ROUND($AA16+$AH16+$AI16-$AD16-$AE16-$AF16-$AG16,2),"")</f>
        <v/>
      </c>
      <c r="AK16" s="32">
        <f>IF(AND($AV16=1,N($L16)&gt;0),IFERROR(IF(IFERROR(INDEX(Payment_Methods!$C:$C,MATCH("CASH",Payment_Methods!$A:$A,0)),"")="نقدي",INDEX(Treasuries!$E:$E,MATCH(INDEX(Locations!$G:$G,MATCH($C16,Locations!$A:$A,0)),Treasuries!$A:$A,0)),INDEX(Payment_Methods!$D:$D,MATCH("CASH",Payment_Methods!$A:$A,0))),"؟"),"")</f>
        <v/>
      </c>
      <c r="AL16" s="32">
        <f>IF(AND($AV16=1,N($M16)&gt;0),IFERROR(IF(IFERROR(INDEX(Payment_Methods!$C:$C,MATCH("CARD",Payment_Methods!$A:$A,0)),"")="نقدي",INDEX(Treasuries!$E:$E,MATCH(INDEX(Locations!$G:$G,MATCH($C16,Locations!$A:$A,0)),Treasuries!$A:$A,0)),INDEX(Payment_Methods!$D:$D,MATCH("CARD",Payment_Methods!$A:$A,0))),"؟"),"")</f>
        <v/>
      </c>
      <c r="AM16" s="32">
        <f>IF(AND($AV16=1,N($N16)&gt;0),IFERROR(IF(IFERROR(INDEX(Payment_Methods!$C:$C,MATCH("TLB",Payment_Methods!$A:$A,0)),"")="نقدي",INDEX(Treasuries!$E:$E,MATCH(INDEX(Locations!$G:$G,MATCH($C16,Locations!$A:$A,0)),Treasuries!$A:$A,0)),INDEX(Payment_Methods!$D:$D,MATCH("TLB",Payment_Methods!$A:$A,0))),"؟"),"")</f>
        <v/>
      </c>
      <c r="AN16" s="32">
        <f>IF(AND($AV16=1,N($O16)&gt;0),IFERROR(IF(IFERROR(INDEX(Payment_Methods!$C:$C,MATCH("DLV2",Payment_Methods!$A:$A,0)),"")="نقدي",INDEX(Treasuries!$E:$E,MATCH(INDEX(Locations!$G:$G,MATCH($C16,Locations!$A:$A,0)),Treasuries!$A:$A,0)),INDEX(Payment_Methods!$D:$D,MATCH("DLV2",Payment_Methods!$A:$A,0))),"؟"),"")</f>
        <v/>
      </c>
      <c r="AO16" s="32">
        <f>IF(AND($AV16=1,N($P16)&gt;0),IFERROR(IF(IFERROR(INDEX(Payment_Methods!$C:$C,MATCH("INSTA",Payment_Methods!$A:$A,0)),"")="نقدي",INDEX(Treasuries!$E:$E,MATCH(INDEX(Locations!$G:$G,MATCH($C16,Locations!$A:$A,0)),Treasuries!$A:$A,0)),INDEX(Payment_Methods!$D:$D,MATCH("INSTA",Payment_Methods!$A:$A,0))),"؟"),"")</f>
        <v/>
      </c>
      <c r="AP16" s="32">
        <f>IF(AND($AV16=1,N($Q16)&gt;0),IFERROR(IF(IFERROR(INDEX(Payment_Methods!$C:$C,MATCH($R16,Payment_Methods!$A:$A,0)),"")="نقدي",INDEX(Treasuries!$E:$E,MATCH(INDEX(Locations!$G:$G,MATCH($C16,Locations!$A:$A,0)),Treasuries!$A:$A,0)),INDEX(Payment_Methods!$D:$D,MATCH($R16,Payment_Methods!$A:$A,0))),"؟"),"")</f>
        <v/>
      </c>
      <c r="AQ16" s="32">
        <f>INDEX(Lists!$U$5:$U$8,1)</f>
        <v/>
      </c>
      <c r="AR16" s="32">
        <f>INDEX(Lists!$U$5:$U$8,2)</f>
        <v/>
      </c>
      <c r="AS16" s="32">
        <f>INDEX(Lists!$U$5:$U$8,3)</f>
        <v/>
      </c>
      <c r="AT16" s="32">
        <f>INDEX(Lists!$U$5:$U$8,4)</f>
        <v/>
      </c>
      <c r="AU16" s="44">
        <f>IF($AV16=1,IF(COUNTIFS(Daily_Recon!$A:$A,$B16,Daily_Recon!$B:$B,$C16)&gt;0,"نعم","لا"),"")</f>
        <v/>
      </c>
      <c r="AV16" s="32">
        <f>IF(COUNTA($A16:$Y16)&gt;0,1,0)</f>
        <v/>
      </c>
      <c r="AW16" s="32">
        <f>IF($AV16=0,"",IF($A16="","رقم المستند ناقص",IF(COUNTIF(Doc_Register!$A:$A,$A16)&gt;1,"رقم مستند مكرر في السجل المركزي",IF(LEFT($A16,LEN("SAL")+1)&lt;&gt;"SAL"&amp;"-","بادئة الرقم لا تطابق نوع المستند",IF(NOT(ISNUMBER($B16)),"التاريخ ناقص أو غير صحيح",IF($S16="","حالة المستند ناقصة",IF($T16="","اسم المُعِد ناقص",IF(AND(OR($S16=ST_APPR,$S16=ST_POST),$U16=""),"لا يوجد معتمد",IF(AND($U16&lt;&gt;"",$U16=$T16),"المُعِد والمعتمد نفس الشخص (فصل المهام)",IF(AND($S16=ST_POST,$V16=""),"اسم المحاسب المرحِّل ناقص",IF(AND($S16=ST_POST,$V16&lt;&gt;"",OR($V16=$T16,$V16=$U16)),"المرحِّل يجب أن يختلف عن المُعِد والمعتمد",IF(AND($S16=ST_REV,$X16=""),"مرجع التصحيح/الإلغاء ناقص",IF(AND(ISNUMBER($B16),OR($S16=ST_DRAFT,$S16=ST_APPR),COUNTIFS(Period_Close!$A:$A,YEAR($B16)*100+MONTH($B16),Period_Close!$B:$B,"مقفلة")&gt;0),"الفترة مقفلة: لا يسمح بمستند جديد",IF(NOT(COUNTIF(Locations!$A:$A,$C16)&gt;0),"الفرع غير معرف",IF(IFERROR(INDEX(Locations!$C:$C,MATCH($C16,Locations!$A:$A,0)),"")&lt;&gt;"فرع","الموقع المختار ليس فرع بيع",IF(AND($S16&lt;&gt;ST_REV,$S16&lt;&gt;ST_CANC,COUNTIFS($B$4:$B15,$B16,$C$4:$C15,$C16,$S$4:$S15,"&lt;&gt;"&amp;ST_REV,$S$4:$S15,"&lt;&gt;"&amp;ST_CANC)&gt;0),"تقرير مبيعات مكرر لنفس الفرع واليوم",IF(MIN($E16,$F16,$G16,$H16,$I16,$J16,$L16,$M16,$N16,$O16,$P16,$Q16)&lt;0,"توجد مبالغ سالبة (استخدم مستند عكسي)",IF($Z16&lt;=0,"إجمالي المبيعات صفر",IF($AA16&lt;0,"الخصومات والمرتجعات أكبر من المبيعات",IF(AND(N($Q16)&gt;0,$R16=""),"كود وسيلة الدفع الأخرى ناقص",IF(ABS($AC16)&gt;S_Tol,"مجموع وسائل الدفع لا يساوي صافي المبيعات",IF(OR(AND(N($L16)&gt;0,COUNTIFS(COA!$A:$A,$AK16,COA!$R:$R,1)&lt;&gt;1),AND(N($M16)&gt;0,COUNTIFS(COA!$A:$A,$AL16,COA!$R:$R,1)&lt;&gt;1),AND(N($N16)&gt;0,COUNTIFS(COA!$A:$A,$AM16,COA!$R:$R,1)&lt;&gt;1),AND(N($O16)&gt;0,COUNTIFS(COA!$A:$A,$AN16,COA!$R:$R,1)&lt;&gt;1),AND(N($P16)&gt;0,COUNTIFS(COA!$A:$A,$AO16,COA!$R:$R,1)&lt;&gt;1),AND(N($Q16)&gt;0,COUNTIFS(COA!$A:$A,$AP16,COA!$R:$R,1)&lt;&gt;1),AND(N($E16)&gt;0,COUNTIFS(COA!$A:$A,$AQ16,COA!$R:$R,1)&lt;&gt;1),AND(N($F16)&gt;0,COUNTIFS(COA!$A:$A,$AR16,COA!$R:$R,1)&lt;&gt;1),AND(N($G16)&gt;0,COUNTIFS(COA!$A:$A,$AS16,COA!$R:$R,1)&lt;&gt;1),AND(N($H16)&gt;0,COUNTIFS(COA!$A:$A,$AT16,COA!$R:$R,1)&lt;&gt;1)),"حساب تسوية أو إيراد غير صالح",IF($AJ16&lt;-S_Tol,"الضريبة المحسوبة سالبة","")))))))))))))))))))))))</f>
        <v/>
      </c>
      <c r="AX16" s="32">
        <f>IF($AV16=1,IF($AW16&lt;&gt;"",1,0),0)</f>
        <v/>
      </c>
      <c r="AY16" s="32">
        <f>IF(AND($AV16=1,$AX16=0,$S16=ST_POST),1,0)</f>
        <v/>
      </c>
    </row>
    <row r="17">
      <c r="A17" s="29" t="n"/>
      <c r="B17" s="31" t="n"/>
      <c r="C17" s="39" t="n"/>
      <c r="D17" s="29" t="n"/>
      <c r="E17" s="42" t="n"/>
      <c r="F17" s="42" t="n"/>
      <c r="G17" s="42" t="n"/>
      <c r="H17" s="42" t="n"/>
      <c r="I17" s="42" t="n"/>
      <c r="J17" s="42" t="n"/>
      <c r="K17" s="42" t="n"/>
      <c r="L17" s="42" t="n"/>
      <c r="M17" s="42" t="n"/>
      <c r="N17" s="42" t="n"/>
      <c r="O17" s="42" t="n"/>
      <c r="P17" s="42" t="n"/>
      <c r="Q17" s="42" t="n"/>
      <c r="R17" s="39" t="n"/>
      <c r="S17" s="39" t="n"/>
      <c r="T17" s="29" t="n"/>
      <c r="U17" s="29" t="n"/>
      <c r="V17" s="29" t="n"/>
      <c r="W17" s="29" t="n"/>
      <c r="X17" s="29" t="n"/>
      <c r="Y17" s="29" t="n"/>
      <c r="Z17" s="43">
        <f>IF($AV17=1,$E17+$F17+$G17+$H17,"")</f>
        <v/>
      </c>
      <c r="AA17" s="43">
        <f>IF($AV17=1,$Z17-$I17-$J17,"")</f>
        <v/>
      </c>
      <c r="AB17" s="43">
        <f>IF($AV17=1,$L17+$M17+$N17+$O17+$P17+$Q17,"")</f>
        <v/>
      </c>
      <c r="AC17" s="47">
        <f>IF($AV17=1,ROUND($AA17-$AB17,2),"")</f>
        <v/>
      </c>
      <c r="AD17" s="43">
        <f>IF($AV17=1,ROUND($E17/S_VATF,2),"")</f>
        <v/>
      </c>
      <c r="AE17" s="43">
        <f>IF($AV17=1,ROUND($F17/S_VATF,2),"")</f>
        <v/>
      </c>
      <c r="AF17" s="43">
        <f>IF($AV17=1,ROUND($G17/S_VATF,2),"")</f>
        <v/>
      </c>
      <c r="AG17" s="43">
        <f>IF($AV17=1,ROUND($H17/S_VATF,2),"")</f>
        <v/>
      </c>
      <c r="AH17" s="43">
        <f>IF($AV17=1,ROUND($I17/S_VATF,2),"")</f>
        <v/>
      </c>
      <c r="AI17" s="43">
        <f>IF($AV17=1,ROUND($J17/S_VATF,2),"")</f>
        <v/>
      </c>
      <c r="AJ17" s="43">
        <f>IF($AV17=1,ROUND($AA17+$AH17+$AI17-$AD17-$AE17-$AF17-$AG17,2),"")</f>
        <v/>
      </c>
      <c r="AK17" s="32">
        <f>IF(AND($AV17=1,N($L17)&gt;0),IFERROR(IF(IFERROR(INDEX(Payment_Methods!$C:$C,MATCH("CASH",Payment_Methods!$A:$A,0)),"")="نقدي",INDEX(Treasuries!$E:$E,MATCH(INDEX(Locations!$G:$G,MATCH($C17,Locations!$A:$A,0)),Treasuries!$A:$A,0)),INDEX(Payment_Methods!$D:$D,MATCH("CASH",Payment_Methods!$A:$A,0))),"؟"),"")</f>
        <v/>
      </c>
      <c r="AL17" s="32">
        <f>IF(AND($AV17=1,N($M17)&gt;0),IFERROR(IF(IFERROR(INDEX(Payment_Methods!$C:$C,MATCH("CARD",Payment_Methods!$A:$A,0)),"")="نقدي",INDEX(Treasuries!$E:$E,MATCH(INDEX(Locations!$G:$G,MATCH($C17,Locations!$A:$A,0)),Treasuries!$A:$A,0)),INDEX(Payment_Methods!$D:$D,MATCH("CARD",Payment_Methods!$A:$A,0))),"؟"),"")</f>
        <v/>
      </c>
      <c r="AM17" s="32">
        <f>IF(AND($AV17=1,N($N17)&gt;0),IFERROR(IF(IFERROR(INDEX(Payment_Methods!$C:$C,MATCH("TLB",Payment_Methods!$A:$A,0)),"")="نقدي",INDEX(Treasuries!$E:$E,MATCH(INDEX(Locations!$G:$G,MATCH($C17,Locations!$A:$A,0)),Treasuries!$A:$A,0)),INDEX(Payment_Methods!$D:$D,MATCH("TLB",Payment_Methods!$A:$A,0))),"؟"),"")</f>
        <v/>
      </c>
      <c r="AN17" s="32">
        <f>IF(AND($AV17=1,N($O17)&gt;0),IFERROR(IF(IFERROR(INDEX(Payment_Methods!$C:$C,MATCH("DLV2",Payment_Methods!$A:$A,0)),"")="نقدي",INDEX(Treasuries!$E:$E,MATCH(INDEX(Locations!$G:$G,MATCH($C17,Locations!$A:$A,0)),Treasuries!$A:$A,0)),INDEX(Payment_Methods!$D:$D,MATCH("DLV2",Payment_Methods!$A:$A,0))),"؟"),"")</f>
        <v/>
      </c>
      <c r="AO17" s="32">
        <f>IF(AND($AV17=1,N($P17)&gt;0),IFERROR(IF(IFERROR(INDEX(Payment_Methods!$C:$C,MATCH("INSTA",Payment_Methods!$A:$A,0)),"")="نقدي",INDEX(Treasuries!$E:$E,MATCH(INDEX(Locations!$G:$G,MATCH($C17,Locations!$A:$A,0)),Treasuries!$A:$A,0)),INDEX(Payment_Methods!$D:$D,MATCH("INSTA",Payment_Methods!$A:$A,0))),"؟"),"")</f>
        <v/>
      </c>
      <c r="AP17" s="32">
        <f>IF(AND($AV17=1,N($Q17)&gt;0),IFERROR(IF(IFERROR(INDEX(Payment_Methods!$C:$C,MATCH($R17,Payment_Methods!$A:$A,0)),"")="نقدي",INDEX(Treasuries!$E:$E,MATCH(INDEX(Locations!$G:$G,MATCH($C17,Locations!$A:$A,0)),Treasuries!$A:$A,0)),INDEX(Payment_Methods!$D:$D,MATCH($R17,Payment_Methods!$A:$A,0))),"؟"),"")</f>
        <v/>
      </c>
      <c r="AQ17" s="32">
        <f>INDEX(Lists!$U$5:$U$8,1)</f>
        <v/>
      </c>
      <c r="AR17" s="32">
        <f>INDEX(Lists!$U$5:$U$8,2)</f>
        <v/>
      </c>
      <c r="AS17" s="32">
        <f>INDEX(Lists!$U$5:$U$8,3)</f>
        <v/>
      </c>
      <c r="AT17" s="32">
        <f>INDEX(Lists!$U$5:$U$8,4)</f>
        <v/>
      </c>
      <c r="AU17" s="44">
        <f>IF($AV17=1,IF(COUNTIFS(Daily_Recon!$A:$A,$B17,Daily_Recon!$B:$B,$C17)&gt;0,"نعم","لا"),"")</f>
        <v/>
      </c>
      <c r="AV17" s="32">
        <f>IF(COUNTA($A17:$Y17)&gt;0,1,0)</f>
        <v/>
      </c>
      <c r="AW17" s="32">
        <f>IF($AV17=0,"",IF($A17="","رقم المستند ناقص",IF(COUNTIF(Doc_Register!$A:$A,$A17)&gt;1,"رقم مستند مكرر في السجل المركزي",IF(LEFT($A17,LEN("SAL")+1)&lt;&gt;"SAL"&amp;"-","بادئة الرقم لا تطابق نوع المستند",IF(NOT(ISNUMBER($B17)),"التاريخ ناقص أو غير صحيح",IF($S17="","حالة المستند ناقصة",IF($T17="","اسم المُعِد ناقص",IF(AND(OR($S17=ST_APPR,$S17=ST_POST),$U17=""),"لا يوجد معتمد",IF(AND($U17&lt;&gt;"",$U17=$T17),"المُعِد والمعتمد نفس الشخص (فصل المهام)",IF(AND($S17=ST_POST,$V17=""),"اسم المحاسب المرحِّل ناقص",IF(AND($S17=ST_POST,$V17&lt;&gt;"",OR($V17=$T17,$V17=$U17)),"المرحِّل يجب أن يختلف عن المُعِد والمعتمد",IF(AND($S17=ST_REV,$X17=""),"مرجع التصحيح/الإلغاء ناقص",IF(AND(ISNUMBER($B17),OR($S17=ST_DRAFT,$S17=ST_APPR),COUNTIFS(Period_Close!$A:$A,YEAR($B17)*100+MONTH($B17),Period_Close!$B:$B,"مقفلة")&gt;0),"الفترة مقفلة: لا يسمح بمستند جديد",IF(NOT(COUNTIF(Locations!$A:$A,$C17)&gt;0),"الفرع غير معرف",IF(IFERROR(INDEX(Locations!$C:$C,MATCH($C17,Locations!$A:$A,0)),"")&lt;&gt;"فرع","الموقع المختار ليس فرع بيع",IF(AND($S17&lt;&gt;ST_REV,$S17&lt;&gt;ST_CANC,COUNTIFS($B$4:$B16,$B17,$C$4:$C16,$C17,$S$4:$S16,"&lt;&gt;"&amp;ST_REV,$S$4:$S16,"&lt;&gt;"&amp;ST_CANC)&gt;0),"تقرير مبيعات مكرر لنفس الفرع واليوم",IF(MIN($E17,$F17,$G17,$H17,$I17,$J17,$L17,$M17,$N17,$O17,$P17,$Q17)&lt;0,"توجد مبالغ سالبة (استخدم مستند عكسي)",IF($Z17&lt;=0,"إجمالي المبيعات صفر",IF($AA17&lt;0,"الخصومات والمرتجعات أكبر من المبيعات",IF(AND(N($Q17)&gt;0,$R17=""),"كود وسيلة الدفع الأخرى ناقص",IF(ABS($AC17)&gt;S_Tol,"مجموع وسائل الدفع لا يساوي صافي المبيعات",IF(OR(AND(N($L17)&gt;0,COUNTIFS(COA!$A:$A,$AK17,COA!$R:$R,1)&lt;&gt;1),AND(N($M17)&gt;0,COUNTIFS(COA!$A:$A,$AL17,COA!$R:$R,1)&lt;&gt;1),AND(N($N17)&gt;0,COUNTIFS(COA!$A:$A,$AM17,COA!$R:$R,1)&lt;&gt;1),AND(N($O17)&gt;0,COUNTIFS(COA!$A:$A,$AN17,COA!$R:$R,1)&lt;&gt;1),AND(N($P17)&gt;0,COUNTIFS(COA!$A:$A,$AO17,COA!$R:$R,1)&lt;&gt;1),AND(N($Q17)&gt;0,COUNTIFS(COA!$A:$A,$AP17,COA!$R:$R,1)&lt;&gt;1),AND(N($E17)&gt;0,COUNTIFS(COA!$A:$A,$AQ17,COA!$R:$R,1)&lt;&gt;1),AND(N($F17)&gt;0,COUNTIFS(COA!$A:$A,$AR17,COA!$R:$R,1)&lt;&gt;1),AND(N($G17)&gt;0,COUNTIFS(COA!$A:$A,$AS17,COA!$R:$R,1)&lt;&gt;1),AND(N($H17)&gt;0,COUNTIFS(COA!$A:$A,$AT17,COA!$R:$R,1)&lt;&gt;1)),"حساب تسوية أو إيراد غير صالح",IF($AJ17&lt;-S_Tol,"الضريبة المحسوبة سالبة","")))))))))))))))))))))))</f>
        <v/>
      </c>
      <c r="AX17" s="32">
        <f>IF($AV17=1,IF($AW17&lt;&gt;"",1,0),0)</f>
        <v/>
      </c>
      <c r="AY17" s="32">
        <f>IF(AND($AV17=1,$AX17=0,$S17=ST_POST),1,0)</f>
        <v/>
      </c>
    </row>
    <row r="18">
      <c r="A18" s="29" t="n"/>
      <c r="B18" s="31" t="n"/>
      <c r="C18" s="39" t="n"/>
      <c r="D18" s="29" t="n"/>
      <c r="E18" s="42" t="n"/>
      <c r="F18" s="42" t="n"/>
      <c r="G18" s="42" t="n"/>
      <c r="H18" s="42" t="n"/>
      <c r="I18" s="42" t="n"/>
      <c r="J18" s="42" t="n"/>
      <c r="K18" s="42" t="n"/>
      <c r="L18" s="42" t="n"/>
      <c r="M18" s="42" t="n"/>
      <c r="N18" s="42" t="n"/>
      <c r="O18" s="42" t="n"/>
      <c r="P18" s="42" t="n"/>
      <c r="Q18" s="42" t="n"/>
      <c r="R18" s="39" t="n"/>
      <c r="S18" s="39" t="n"/>
      <c r="T18" s="29" t="n"/>
      <c r="U18" s="29" t="n"/>
      <c r="V18" s="29" t="n"/>
      <c r="W18" s="29" t="n"/>
      <c r="X18" s="29" t="n"/>
      <c r="Y18" s="29" t="n"/>
      <c r="Z18" s="43">
        <f>IF($AV18=1,$E18+$F18+$G18+$H18,"")</f>
        <v/>
      </c>
      <c r="AA18" s="43">
        <f>IF($AV18=1,$Z18-$I18-$J18,"")</f>
        <v/>
      </c>
      <c r="AB18" s="43">
        <f>IF($AV18=1,$L18+$M18+$N18+$O18+$P18+$Q18,"")</f>
        <v/>
      </c>
      <c r="AC18" s="47">
        <f>IF($AV18=1,ROUND($AA18-$AB18,2),"")</f>
        <v/>
      </c>
      <c r="AD18" s="43">
        <f>IF($AV18=1,ROUND($E18/S_VATF,2),"")</f>
        <v/>
      </c>
      <c r="AE18" s="43">
        <f>IF($AV18=1,ROUND($F18/S_VATF,2),"")</f>
        <v/>
      </c>
      <c r="AF18" s="43">
        <f>IF($AV18=1,ROUND($G18/S_VATF,2),"")</f>
        <v/>
      </c>
      <c r="AG18" s="43">
        <f>IF($AV18=1,ROUND($H18/S_VATF,2),"")</f>
        <v/>
      </c>
      <c r="AH18" s="43">
        <f>IF($AV18=1,ROUND($I18/S_VATF,2),"")</f>
        <v/>
      </c>
      <c r="AI18" s="43">
        <f>IF($AV18=1,ROUND($J18/S_VATF,2),"")</f>
        <v/>
      </c>
      <c r="AJ18" s="43">
        <f>IF($AV18=1,ROUND($AA18+$AH18+$AI18-$AD18-$AE18-$AF18-$AG18,2),"")</f>
        <v/>
      </c>
      <c r="AK18" s="32">
        <f>IF(AND($AV18=1,N($L18)&gt;0),IFERROR(IF(IFERROR(INDEX(Payment_Methods!$C:$C,MATCH("CASH",Payment_Methods!$A:$A,0)),"")="نقدي",INDEX(Treasuries!$E:$E,MATCH(INDEX(Locations!$G:$G,MATCH($C18,Locations!$A:$A,0)),Treasuries!$A:$A,0)),INDEX(Payment_Methods!$D:$D,MATCH("CASH",Payment_Methods!$A:$A,0))),"؟"),"")</f>
        <v/>
      </c>
      <c r="AL18" s="32">
        <f>IF(AND($AV18=1,N($M18)&gt;0),IFERROR(IF(IFERROR(INDEX(Payment_Methods!$C:$C,MATCH("CARD",Payment_Methods!$A:$A,0)),"")="نقدي",INDEX(Treasuries!$E:$E,MATCH(INDEX(Locations!$G:$G,MATCH($C18,Locations!$A:$A,0)),Treasuries!$A:$A,0)),INDEX(Payment_Methods!$D:$D,MATCH("CARD",Payment_Methods!$A:$A,0))),"؟"),"")</f>
        <v/>
      </c>
      <c r="AM18" s="32">
        <f>IF(AND($AV18=1,N($N18)&gt;0),IFERROR(IF(IFERROR(INDEX(Payment_Methods!$C:$C,MATCH("TLB",Payment_Methods!$A:$A,0)),"")="نقدي",INDEX(Treasuries!$E:$E,MATCH(INDEX(Locations!$G:$G,MATCH($C18,Locations!$A:$A,0)),Treasuries!$A:$A,0)),INDEX(Payment_Methods!$D:$D,MATCH("TLB",Payment_Methods!$A:$A,0))),"؟"),"")</f>
        <v/>
      </c>
      <c r="AN18" s="32">
        <f>IF(AND($AV18=1,N($O18)&gt;0),IFERROR(IF(IFERROR(INDEX(Payment_Methods!$C:$C,MATCH("DLV2",Payment_Methods!$A:$A,0)),"")="نقدي",INDEX(Treasuries!$E:$E,MATCH(INDEX(Locations!$G:$G,MATCH($C18,Locations!$A:$A,0)),Treasuries!$A:$A,0)),INDEX(Payment_Methods!$D:$D,MATCH("DLV2",Payment_Methods!$A:$A,0))),"؟"),"")</f>
        <v/>
      </c>
      <c r="AO18" s="32">
        <f>IF(AND($AV18=1,N($P18)&gt;0),IFERROR(IF(IFERROR(INDEX(Payment_Methods!$C:$C,MATCH("INSTA",Payment_Methods!$A:$A,0)),"")="نقدي",INDEX(Treasuries!$E:$E,MATCH(INDEX(Locations!$G:$G,MATCH($C18,Locations!$A:$A,0)),Treasuries!$A:$A,0)),INDEX(Payment_Methods!$D:$D,MATCH("INSTA",Payment_Methods!$A:$A,0))),"؟"),"")</f>
        <v/>
      </c>
      <c r="AP18" s="32">
        <f>IF(AND($AV18=1,N($Q18)&gt;0),IFERROR(IF(IFERROR(INDEX(Payment_Methods!$C:$C,MATCH($R18,Payment_Methods!$A:$A,0)),"")="نقدي",INDEX(Treasuries!$E:$E,MATCH(INDEX(Locations!$G:$G,MATCH($C18,Locations!$A:$A,0)),Treasuries!$A:$A,0)),INDEX(Payment_Methods!$D:$D,MATCH($R18,Payment_Methods!$A:$A,0))),"؟"),"")</f>
        <v/>
      </c>
      <c r="AQ18" s="32">
        <f>INDEX(Lists!$U$5:$U$8,1)</f>
        <v/>
      </c>
      <c r="AR18" s="32">
        <f>INDEX(Lists!$U$5:$U$8,2)</f>
        <v/>
      </c>
      <c r="AS18" s="32">
        <f>INDEX(Lists!$U$5:$U$8,3)</f>
        <v/>
      </c>
      <c r="AT18" s="32">
        <f>INDEX(Lists!$U$5:$U$8,4)</f>
        <v/>
      </c>
      <c r="AU18" s="44">
        <f>IF($AV18=1,IF(COUNTIFS(Daily_Recon!$A:$A,$B18,Daily_Recon!$B:$B,$C18)&gt;0,"نعم","لا"),"")</f>
        <v/>
      </c>
      <c r="AV18" s="32">
        <f>IF(COUNTA($A18:$Y18)&gt;0,1,0)</f>
        <v/>
      </c>
      <c r="AW18" s="32">
        <f>IF($AV18=0,"",IF($A18="","رقم المستند ناقص",IF(COUNTIF(Doc_Register!$A:$A,$A18)&gt;1,"رقم مستند مكرر في السجل المركزي",IF(LEFT($A18,LEN("SAL")+1)&lt;&gt;"SAL"&amp;"-","بادئة الرقم لا تطابق نوع المستند",IF(NOT(ISNUMBER($B18)),"التاريخ ناقص أو غير صحيح",IF($S18="","حالة المستند ناقصة",IF($T18="","اسم المُعِد ناقص",IF(AND(OR($S18=ST_APPR,$S18=ST_POST),$U18=""),"لا يوجد معتمد",IF(AND($U18&lt;&gt;"",$U18=$T18),"المُعِد والمعتمد نفس الشخص (فصل المهام)",IF(AND($S18=ST_POST,$V18=""),"اسم المحاسب المرحِّل ناقص",IF(AND($S18=ST_POST,$V18&lt;&gt;"",OR($V18=$T18,$V18=$U18)),"المرحِّل يجب أن يختلف عن المُعِد والمعتمد",IF(AND($S18=ST_REV,$X18=""),"مرجع التصحيح/الإلغاء ناقص",IF(AND(ISNUMBER($B18),OR($S18=ST_DRAFT,$S18=ST_APPR),COUNTIFS(Period_Close!$A:$A,YEAR($B18)*100+MONTH($B18),Period_Close!$B:$B,"مقفلة")&gt;0),"الفترة مقفلة: لا يسمح بمستند جديد",IF(NOT(COUNTIF(Locations!$A:$A,$C18)&gt;0),"الفرع غير معرف",IF(IFERROR(INDEX(Locations!$C:$C,MATCH($C18,Locations!$A:$A,0)),"")&lt;&gt;"فرع","الموقع المختار ليس فرع بيع",IF(AND($S18&lt;&gt;ST_REV,$S18&lt;&gt;ST_CANC,COUNTIFS($B$4:$B17,$B18,$C$4:$C17,$C18,$S$4:$S17,"&lt;&gt;"&amp;ST_REV,$S$4:$S17,"&lt;&gt;"&amp;ST_CANC)&gt;0),"تقرير مبيعات مكرر لنفس الفرع واليوم",IF(MIN($E18,$F18,$G18,$H18,$I18,$J18,$L18,$M18,$N18,$O18,$P18,$Q18)&lt;0,"توجد مبالغ سالبة (استخدم مستند عكسي)",IF($Z18&lt;=0,"إجمالي المبيعات صفر",IF($AA18&lt;0,"الخصومات والمرتجعات أكبر من المبيعات",IF(AND(N($Q18)&gt;0,$R18=""),"كود وسيلة الدفع الأخرى ناقص",IF(ABS($AC18)&gt;S_Tol,"مجموع وسائل الدفع لا يساوي صافي المبيعات",IF(OR(AND(N($L18)&gt;0,COUNTIFS(COA!$A:$A,$AK18,COA!$R:$R,1)&lt;&gt;1),AND(N($M18)&gt;0,COUNTIFS(COA!$A:$A,$AL18,COA!$R:$R,1)&lt;&gt;1),AND(N($N18)&gt;0,COUNTIFS(COA!$A:$A,$AM18,COA!$R:$R,1)&lt;&gt;1),AND(N($O18)&gt;0,COUNTIFS(COA!$A:$A,$AN18,COA!$R:$R,1)&lt;&gt;1),AND(N($P18)&gt;0,COUNTIFS(COA!$A:$A,$AO18,COA!$R:$R,1)&lt;&gt;1),AND(N($Q18)&gt;0,COUNTIFS(COA!$A:$A,$AP18,COA!$R:$R,1)&lt;&gt;1),AND(N($E18)&gt;0,COUNTIFS(COA!$A:$A,$AQ18,COA!$R:$R,1)&lt;&gt;1),AND(N($F18)&gt;0,COUNTIFS(COA!$A:$A,$AR18,COA!$R:$R,1)&lt;&gt;1),AND(N($G18)&gt;0,COUNTIFS(COA!$A:$A,$AS18,COA!$R:$R,1)&lt;&gt;1),AND(N($H18)&gt;0,COUNTIFS(COA!$A:$A,$AT18,COA!$R:$R,1)&lt;&gt;1)),"حساب تسوية أو إيراد غير صالح",IF($AJ18&lt;-S_Tol,"الضريبة المحسوبة سالبة","")))))))))))))))))))))))</f>
        <v/>
      </c>
      <c r="AX18" s="32">
        <f>IF($AV18=1,IF($AW18&lt;&gt;"",1,0),0)</f>
        <v/>
      </c>
      <c r="AY18" s="32">
        <f>IF(AND($AV18=1,$AX18=0,$S18=ST_POST),1,0)</f>
        <v/>
      </c>
    </row>
    <row r="19">
      <c r="A19" s="29" t="n"/>
      <c r="B19" s="31" t="n"/>
      <c r="C19" s="39" t="n"/>
      <c r="D19" s="29" t="n"/>
      <c r="E19" s="42" t="n"/>
      <c r="F19" s="42" t="n"/>
      <c r="G19" s="42" t="n"/>
      <c r="H19" s="42" t="n"/>
      <c r="I19" s="42" t="n"/>
      <c r="J19" s="42" t="n"/>
      <c r="K19" s="42" t="n"/>
      <c r="L19" s="42" t="n"/>
      <c r="M19" s="42" t="n"/>
      <c r="N19" s="42" t="n"/>
      <c r="O19" s="42" t="n"/>
      <c r="P19" s="42" t="n"/>
      <c r="Q19" s="42" t="n"/>
      <c r="R19" s="39" t="n"/>
      <c r="S19" s="39" t="n"/>
      <c r="T19" s="29" t="n"/>
      <c r="U19" s="29" t="n"/>
      <c r="V19" s="29" t="n"/>
      <c r="W19" s="29" t="n"/>
      <c r="X19" s="29" t="n"/>
      <c r="Y19" s="29" t="n"/>
      <c r="Z19" s="43">
        <f>IF($AV19=1,$E19+$F19+$G19+$H19,"")</f>
        <v/>
      </c>
      <c r="AA19" s="43">
        <f>IF($AV19=1,$Z19-$I19-$J19,"")</f>
        <v/>
      </c>
      <c r="AB19" s="43">
        <f>IF($AV19=1,$L19+$M19+$N19+$O19+$P19+$Q19,"")</f>
        <v/>
      </c>
      <c r="AC19" s="47">
        <f>IF($AV19=1,ROUND($AA19-$AB19,2),"")</f>
        <v/>
      </c>
      <c r="AD19" s="43">
        <f>IF($AV19=1,ROUND($E19/S_VATF,2),"")</f>
        <v/>
      </c>
      <c r="AE19" s="43">
        <f>IF($AV19=1,ROUND($F19/S_VATF,2),"")</f>
        <v/>
      </c>
      <c r="AF19" s="43">
        <f>IF($AV19=1,ROUND($G19/S_VATF,2),"")</f>
        <v/>
      </c>
      <c r="AG19" s="43">
        <f>IF($AV19=1,ROUND($H19/S_VATF,2),"")</f>
        <v/>
      </c>
      <c r="AH19" s="43">
        <f>IF($AV19=1,ROUND($I19/S_VATF,2),"")</f>
        <v/>
      </c>
      <c r="AI19" s="43">
        <f>IF($AV19=1,ROUND($J19/S_VATF,2),"")</f>
        <v/>
      </c>
      <c r="AJ19" s="43">
        <f>IF($AV19=1,ROUND($AA19+$AH19+$AI19-$AD19-$AE19-$AF19-$AG19,2),"")</f>
        <v/>
      </c>
      <c r="AK19" s="32">
        <f>IF(AND($AV19=1,N($L19)&gt;0),IFERROR(IF(IFERROR(INDEX(Payment_Methods!$C:$C,MATCH("CASH",Payment_Methods!$A:$A,0)),"")="نقدي",INDEX(Treasuries!$E:$E,MATCH(INDEX(Locations!$G:$G,MATCH($C19,Locations!$A:$A,0)),Treasuries!$A:$A,0)),INDEX(Payment_Methods!$D:$D,MATCH("CASH",Payment_Methods!$A:$A,0))),"؟"),"")</f>
        <v/>
      </c>
      <c r="AL19" s="32">
        <f>IF(AND($AV19=1,N($M19)&gt;0),IFERROR(IF(IFERROR(INDEX(Payment_Methods!$C:$C,MATCH("CARD",Payment_Methods!$A:$A,0)),"")="نقدي",INDEX(Treasuries!$E:$E,MATCH(INDEX(Locations!$G:$G,MATCH($C19,Locations!$A:$A,0)),Treasuries!$A:$A,0)),INDEX(Payment_Methods!$D:$D,MATCH("CARD",Payment_Methods!$A:$A,0))),"؟"),"")</f>
        <v/>
      </c>
      <c r="AM19" s="32">
        <f>IF(AND($AV19=1,N($N19)&gt;0),IFERROR(IF(IFERROR(INDEX(Payment_Methods!$C:$C,MATCH("TLB",Payment_Methods!$A:$A,0)),"")="نقدي",INDEX(Treasuries!$E:$E,MATCH(INDEX(Locations!$G:$G,MATCH($C19,Locations!$A:$A,0)),Treasuries!$A:$A,0)),INDEX(Payment_Methods!$D:$D,MATCH("TLB",Payment_Methods!$A:$A,0))),"؟"),"")</f>
        <v/>
      </c>
      <c r="AN19" s="32">
        <f>IF(AND($AV19=1,N($O19)&gt;0),IFERROR(IF(IFERROR(INDEX(Payment_Methods!$C:$C,MATCH("DLV2",Payment_Methods!$A:$A,0)),"")="نقدي",INDEX(Treasuries!$E:$E,MATCH(INDEX(Locations!$G:$G,MATCH($C19,Locations!$A:$A,0)),Treasuries!$A:$A,0)),INDEX(Payment_Methods!$D:$D,MATCH("DLV2",Payment_Methods!$A:$A,0))),"؟"),"")</f>
        <v/>
      </c>
      <c r="AO19" s="32">
        <f>IF(AND($AV19=1,N($P19)&gt;0),IFERROR(IF(IFERROR(INDEX(Payment_Methods!$C:$C,MATCH("INSTA",Payment_Methods!$A:$A,0)),"")="نقدي",INDEX(Treasuries!$E:$E,MATCH(INDEX(Locations!$G:$G,MATCH($C19,Locations!$A:$A,0)),Treasuries!$A:$A,0)),INDEX(Payment_Methods!$D:$D,MATCH("INSTA",Payment_Methods!$A:$A,0))),"؟"),"")</f>
        <v/>
      </c>
      <c r="AP19" s="32">
        <f>IF(AND($AV19=1,N($Q19)&gt;0),IFERROR(IF(IFERROR(INDEX(Payment_Methods!$C:$C,MATCH($R19,Payment_Methods!$A:$A,0)),"")="نقدي",INDEX(Treasuries!$E:$E,MATCH(INDEX(Locations!$G:$G,MATCH($C19,Locations!$A:$A,0)),Treasuries!$A:$A,0)),INDEX(Payment_Methods!$D:$D,MATCH($R19,Payment_Methods!$A:$A,0))),"؟"),"")</f>
        <v/>
      </c>
      <c r="AQ19" s="32">
        <f>INDEX(Lists!$U$5:$U$8,1)</f>
        <v/>
      </c>
      <c r="AR19" s="32">
        <f>INDEX(Lists!$U$5:$U$8,2)</f>
        <v/>
      </c>
      <c r="AS19" s="32">
        <f>INDEX(Lists!$U$5:$U$8,3)</f>
        <v/>
      </c>
      <c r="AT19" s="32">
        <f>INDEX(Lists!$U$5:$U$8,4)</f>
        <v/>
      </c>
      <c r="AU19" s="44">
        <f>IF($AV19=1,IF(COUNTIFS(Daily_Recon!$A:$A,$B19,Daily_Recon!$B:$B,$C19)&gt;0,"نعم","لا"),"")</f>
        <v/>
      </c>
      <c r="AV19" s="32">
        <f>IF(COUNTA($A19:$Y19)&gt;0,1,0)</f>
        <v/>
      </c>
      <c r="AW19" s="32">
        <f>IF($AV19=0,"",IF($A19="","رقم المستند ناقص",IF(COUNTIF(Doc_Register!$A:$A,$A19)&gt;1,"رقم مستند مكرر في السجل المركزي",IF(LEFT($A19,LEN("SAL")+1)&lt;&gt;"SAL"&amp;"-","بادئة الرقم لا تطابق نوع المستند",IF(NOT(ISNUMBER($B19)),"التاريخ ناقص أو غير صحيح",IF($S19="","حالة المستند ناقصة",IF($T19="","اسم المُعِد ناقص",IF(AND(OR($S19=ST_APPR,$S19=ST_POST),$U19=""),"لا يوجد معتمد",IF(AND($U19&lt;&gt;"",$U19=$T19),"المُعِد والمعتمد نفس الشخص (فصل المهام)",IF(AND($S19=ST_POST,$V19=""),"اسم المحاسب المرحِّل ناقص",IF(AND($S19=ST_POST,$V19&lt;&gt;"",OR($V19=$T19,$V19=$U19)),"المرحِّل يجب أن يختلف عن المُعِد والمعتمد",IF(AND($S19=ST_REV,$X19=""),"مرجع التصحيح/الإلغاء ناقص",IF(AND(ISNUMBER($B19),OR($S19=ST_DRAFT,$S19=ST_APPR),COUNTIFS(Period_Close!$A:$A,YEAR($B19)*100+MONTH($B19),Period_Close!$B:$B,"مقفلة")&gt;0),"الفترة مقفلة: لا يسمح بمستند جديد",IF(NOT(COUNTIF(Locations!$A:$A,$C19)&gt;0),"الفرع غير معرف",IF(IFERROR(INDEX(Locations!$C:$C,MATCH($C19,Locations!$A:$A,0)),"")&lt;&gt;"فرع","الموقع المختار ليس فرع بيع",IF(AND($S19&lt;&gt;ST_REV,$S19&lt;&gt;ST_CANC,COUNTIFS($B$4:$B18,$B19,$C$4:$C18,$C19,$S$4:$S18,"&lt;&gt;"&amp;ST_REV,$S$4:$S18,"&lt;&gt;"&amp;ST_CANC)&gt;0),"تقرير مبيعات مكرر لنفس الفرع واليوم",IF(MIN($E19,$F19,$G19,$H19,$I19,$J19,$L19,$M19,$N19,$O19,$P19,$Q19)&lt;0,"توجد مبالغ سالبة (استخدم مستند عكسي)",IF($Z19&lt;=0,"إجمالي المبيعات صفر",IF($AA19&lt;0,"الخصومات والمرتجعات أكبر من المبيعات",IF(AND(N($Q19)&gt;0,$R19=""),"كود وسيلة الدفع الأخرى ناقص",IF(ABS($AC19)&gt;S_Tol,"مجموع وسائل الدفع لا يساوي صافي المبيعات",IF(OR(AND(N($L19)&gt;0,COUNTIFS(COA!$A:$A,$AK19,COA!$R:$R,1)&lt;&gt;1),AND(N($M19)&gt;0,COUNTIFS(COA!$A:$A,$AL19,COA!$R:$R,1)&lt;&gt;1),AND(N($N19)&gt;0,COUNTIFS(COA!$A:$A,$AM19,COA!$R:$R,1)&lt;&gt;1),AND(N($O19)&gt;0,COUNTIFS(COA!$A:$A,$AN19,COA!$R:$R,1)&lt;&gt;1),AND(N($P19)&gt;0,COUNTIFS(COA!$A:$A,$AO19,COA!$R:$R,1)&lt;&gt;1),AND(N($Q19)&gt;0,COUNTIFS(COA!$A:$A,$AP19,COA!$R:$R,1)&lt;&gt;1),AND(N($E19)&gt;0,COUNTIFS(COA!$A:$A,$AQ19,COA!$R:$R,1)&lt;&gt;1),AND(N($F19)&gt;0,COUNTIFS(COA!$A:$A,$AR19,COA!$R:$R,1)&lt;&gt;1),AND(N($G19)&gt;0,COUNTIFS(COA!$A:$A,$AS19,COA!$R:$R,1)&lt;&gt;1),AND(N($H19)&gt;0,COUNTIFS(COA!$A:$A,$AT19,COA!$R:$R,1)&lt;&gt;1)),"حساب تسوية أو إيراد غير صالح",IF($AJ19&lt;-S_Tol,"الضريبة المحسوبة سالبة","")))))))))))))))))))))))</f>
        <v/>
      </c>
      <c r="AX19" s="32">
        <f>IF($AV19=1,IF($AW19&lt;&gt;"",1,0),0)</f>
        <v/>
      </c>
      <c r="AY19" s="32">
        <f>IF(AND($AV19=1,$AX19=0,$S19=ST_POST),1,0)</f>
        <v/>
      </c>
    </row>
    <row r="20">
      <c r="A20" s="29" t="n"/>
      <c r="B20" s="31" t="n"/>
      <c r="C20" s="39" t="n"/>
      <c r="D20" s="29" t="n"/>
      <c r="E20" s="42" t="n"/>
      <c r="F20" s="42" t="n"/>
      <c r="G20" s="42" t="n"/>
      <c r="H20" s="42" t="n"/>
      <c r="I20" s="42" t="n"/>
      <c r="J20" s="42" t="n"/>
      <c r="K20" s="42" t="n"/>
      <c r="L20" s="42" t="n"/>
      <c r="M20" s="42" t="n"/>
      <c r="N20" s="42" t="n"/>
      <c r="O20" s="42" t="n"/>
      <c r="P20" s="42" t="n"/>
      <c r="Q20" s="42" t="n"/>
      <c r="R20" s="39" t="n"/>
      <c r="S20" s="39" t="n"/>
      <c r="T20" s="29" t="n"/>
      <c r="U20" s="29" t="n"/>
      <c r="V20" s="29" t="n"/>
      <c r="W20" s="29" t="n"/>
      <c r="X20" s="29" t="n"/>
      <c r="Y20" s="29" t="n"/>
      <c r="Z20" s="43">
        <f>IF($AV20=1,$E20+$F20+$G20+$H20,"")</f>
        <v/>
      </c>
      <c r="AA20" s="43">
        <f>IF($AV20=1,$Z20-$I20-$J20,"")</f>
        <v/>
      </c>
      <c r="AB20" s="43">
        <f>IF($AV20=1,$L20+$M20+$N20+$O20+$P20+$Q20,"")</f>
        <v/>
      </c>
      <c r="AC20" s="47">
        <f>IF($AV20=1,ROUND($AA20-$AB20,2),"")</f>
        <v/>
      </c>
      <c r="AD20" s="43">
        <f>IF($AV20=1,ROUND($E20/S_VATF,2),"")</f>
        <v/>
      </c>
      <c r="AE20" s="43">
        <f>IF($AV20=1,ROUND($F20/S_VATF,2),"")</f>
        <v/>
      </c>
      <c r="AF20" s="43">
        <f>IF($AV20=1,ROUND($G20/S_VATF,2),"")</f>
        <v/>
      </c>
      <c r="AG20" s="43">
        <f>IF($AV20=1,ROUND($H20/S_VATF,2),"")</f>
        <v/>
      </c>
      <c r="AH20" s="43">
        <f>IF($AV20=1,ROUND($I20/S_VATF,2),"")</f>
        <v/>
      </c>
      <c r="AI20" s="43">
        <f>IF($AV20=1,ROUND($J20/S_VATF,2),"")</f>
        <v/>
      </c>
      <c r="AJ20" s="43">
        <f>IF($AV20=1,ROUND($AA20+$AH20+$AI20-$AD20-$AE20-$AF20-$AG20,2),"")</f>
        <v/>
      </c>
      <c r="AK20" s="32">
        <f>IF(AND($AV20=1,N($L20)&gt;0),IFERROR(IF(IFERROR(INDEX(Payment_Methods!$C:$C,MATCH("CASH",Payment_Methods!$A:$A,0)),"")="نقدي",INDEX(Treasuries!$E:$E,MATCH(INDEX(Locations!$G:$G,MATCH($C20,Locations!$A:$A,0)),Treasuries!$A:$A,0)),INDEX(Payment_Methods!$D:$D,MATCH("CASH",Payment_Methods!$A:$A,0))),"؟"),"")</f>
        <v/>
      </c>
      <c r="AL20" s="32">
        <f>IF(AND($AV20=1,N($M20)&gt;0),IFERROR(IF(IFERROR(INDEX(Payment_Methods!$C:$C,MATCH("CARD",Payment_Methods!$A:$A,0)),"")="نقدي",INDEX(Treasuries!$E:$E,MATCH(INDEX(Locations!$G:$G,MATCH($C20,Locations!$A:$A,0)),Treasuries!$A:$A,0)),INDEX(Payment_Methods!$D:$D,MATCH("CARD",Payment_Methods!$A:$A,0))),"؟"),"")</f>
        <v/>
      </c>
      <c r="AM20" s="32">
        <f>IF(AND($AV20=1,N($N20)&gt;0),IFERROR(IF(IFERROR(INDEX(Payment_Methods!$C:$C,MATCH("TLB",Payment_Methods!$A:$A,0)),"")="نقدي",INDEX(Treasuries!$E:$E,MATCH(INDEX(Locations!$G:$G,MATCH($C20,Locations!$A:$A,0)),Treasuries!$A:$A,0)),INDEX(Payment_Methods!$D:$D,MATCH("TLB",Payment_Methods!$A:$A,0))),"؟"),"")</f>
        <v/>
      </c>
      <c r="AN20" s="32">
        <f>IF(AND($AV20=1,N($O20)&gt;0),IFERROR(IF(IFERROR(INDEX(Payment_Methods!$C:$C,MATCH("DLV2",Payment_Methods!$A:$A,0)),"")="نقدي",INDEX(Treasuries!$E:$E,MATCH(INDEX(Locations!$G:$G,MATCH($C20,Locations!$A:$A,0)),Treasuries!$A:$A,0)),INDEX(Payment_Methods!$D:$D,MATCH("DLV2",Payment_Methods!$A:$A,0))),"؟"),"")</f>
        <v/>
      </c>
      <c r="AO20" s="32">
        <f>IF(AND($AV20=1,N($P20)&gt;0),IFERROR(IF(IFERROR(INDEX(Payment_Methods!$C:$C,MATCH("INSTA",Payment_Methods!$A:$A,0)),"")="نقدي",INDEX(Treasuries!$E:$E,MATCH(INDEX(Locations!$G:$G,MATCH($C20,Locations!$A:$A,0)),Treasuries!$A:$A,0)),INDEX(Payment_Methods!$D:$D,MATCH("INSTA",Payment_Methods!$A:$A,0))),"؟"),"")</f>
        <v/>
      </c>
      <c r="AP20" s="32">
        <f>IF(AND($AV20=1,N($Q20)&gt;0),IFERROR(IF(IFERROR(INDEX(Payment_Methods!$C:$C,MATCH($R20,Payment_Methods!$A:$A,0)),"")="نقدي",INDEX(Treasuries!$E:$E,MATCH(INDEX(Locations!$G:$G,MATCH($C20,Locations!$A:$A,0)),Treasuries!$A:$A,0)),INDEX(Payment_Methods!$D:$D,MATCH($R20,Payment_Methods!$A:$A,0))),"؟"),"")</f>
        <v/>
      </c>
      <c r="AQ20" s="32">
        <f>INDEX(Lists!$U$5:$U$8,1)</f>
        <v/>
      </c>
      <c r="AR20" s="32">
        <f>INDEX(Lists!$U$5:$U$8,2)</f>
        <v/>
      </c>
      <c r="AS20" s="32">
        <f>INDEX(Lists!$U$5:$U$8,3)</f>
        <v/>
      </c>
      <c r="AT20" s="32">
        <f>INDEX(Lists!$U$5:$U$8,4)</f>
        <v/>
      </c>
      <c r="AU20" s="44">
        <f>IF($AV20=1,IF(COUNTIFS(Daily_Recon!$A:$A,$B20,Daily_Recon!$B:$B,$C20)&gt;0,"نعم","لا"),"")</f>
        <v/>
      </c>
      <c r="AV20" s="32">
        <f>IF(COUNTA($A20:$Y20)&gt;0,1,0)</f>
        <v/>
      </c>
      <c r="AW20" s="32">
        <f>IF($AV20=0,"",IF($A20="","رقم المستند ناقص",IF(COUNTIF(Doc_Register!$A:$A,$A20)&gt;1,"رقم مستند مكرر في السجل المركزي",IF(LEFT($A20,LEN("SAL")+1)&lt;&gt;"SAL"&amp;"-","بادئة الرقم لا تطابق نوع المستند",IF(NOT(ISNUMBER($B20)),"التاريخ ناقص أو غير صحيح",IF($S20="","حالة المستند ناقصة",IF($T20="","اسم المُعِد ناقص",IF(AND(OR($S20=ST_APPR,$S20=ST_POST),$U20=""),"لا يوجد معتمد",IF(AND($U20&lt;&gt;"",$U20=$T20),"المُعِد والمعتمد نفس الشخص (فصل المهام)",IF(AND($S20=ST_POST,$V20=""),"اسم المحاسب المرحِّل ناقص",IF(AND($S20=ST_POST,$V20&lt;&gt;"",OR($V20=$T20,$V20=$U20)),"المرحِّل يجب أن يختلف عن المُعِد والمعتمد",IF(AND($S20=ST_REV,$X20=""),"مرجع التصحيح/الإلغاء ناقص",IF(AND(ISNUMBER($B20),OR($S20=ST_DRAFT,$S20=ST_APPR),COUNTIFS(Period_Close!$A:$A,YEAR($B20)*100+MONTH($B20),Period_Close!$B:$B,"مقفلة")&gt;0),"الفترة مقفلة: لا يسمح بمستند جديد",IF(NOT(COUNTIF(Locations!$A:$A,$C20)&gt;0),"الفرع غير معرف",IF(IFERROR(INDEX(Locations!$C:$C,MATCH($C20,Locations!$A:$A,0)),"")&lt;&gt;"فرع","الموقع المختار ليس فرع بيع",IF(AND($S20&lt;&gt;ST_REV,$S20&lt;&gt;ST_CANC,COUNTIFS($B$4:$B19,$B20,$C$4:$C19,$C20,$S$4:$S19,"&lt;&gt;"&amp;ST_REV,$S$4:$S19,"&lt;&gt;"&amp;ST_CANC)&gt;0),"تقرير مبيعات مكرر لنفس الفرع واليوم",IF(MIN($E20,$F20,$G20,$H20,$I20,$J20,$L20,$M20,$N20,$O20,$P20,$Q20)&lt;0,"توجد مبالغ سالبة (استخدم مستند عكسي)",IF($Z20&lt;=0,"إجمالي المبيعات صفر",IF($AA20&lt;0,"الخصومات والمرتجعات أكبر من المبيعات",IF(AND(N($Q20)&gt;0,$R20=""),"كود وسيلة الدفع الأخرى ناقص",IF(ABS($AC20)&gt;S_Tol,"مجموع وسائل الدفع لا يساوي صافي المبيعات",IF(OR(AND(N($L20)&gt;0,COUNTIFS(COA!$A:$A,$AK20,COA!$R:$R,1)&lt;&gt;1),AND(N($M20)&gt;0,COUNTIFS(COA!$A:$A,$AL20,COA!$R:$R,1)&lt;&gt;1),AND(N($N20)&gt;0,COUNTIFS(COA!$A:$A,$AM20,COA!$R:$R,1)&lt;&gt;1),AND(N($O20)&gt;0,COUNTIFS(COA!$A:$A,$AN20,COA!$R:$R,1)&lt;&gt;1),AND(N($P20)&gt;0,COUNTIFS(COA!$A:$A,$AO20,COA!$R:$R,1)&lt;&gt;1),AND(N($Q20)&gt;0,COUNTIFS(COA!$A:$A,$AP20,COA!$R:$R,1)&lt;&gt;1),AND(N($E20)&gt;0,COUNTIFS(COA!$A:$A,$AQ20,COA!$R:$R,1)&lt;&gt;1),AND(N($F20)&gt;0,COUNTIFS(COA!$A:$A,$AR20,COA!$R:$R,1)&lt;&gt;1),AND(N($G20)&gt;0,COUNTIFS(COA!$A:$A,$AS20,COA!$R:$R,1)&lt;&gt;1),AND(N($H20)&gt;0,COUNTIFS(COA!$A:$A,$AT20,COA!$R:$R,1)&lt;&gt;1)),"حساب تسوية أو إيراد غير صالح",IF($AJ20&lt;-S_Tol,"الضريبة المحسوبة سالبة","")))))))))))))))))))))))</f>
        <v/>
      </c>
      <c r="AX20" s="32">
        <f>IF($AV20=1,IF($AW20&lt;&gt;"",1,0),0)</f>
        <v/>
      </c>
      <c r="AY20" s="32">
        <f>IF(AND($AV20=1,$AX20=0,$S20=ST_POST),1,0)</f>
        <v/>
      </c>
    </row>
    <row r="21">
      <c r="A21" s="29" t="n"/>
      <c r="B21" s="31" t="n"/>
      <c r="C21" s="39" t="n"/>
      <c r="D21" s="29" t="n"/>
      <c r="E21" s="42" t="n"/>
      <c r="F21" s="42" t="n"/>
      <c r="G21" s="42" t="n"/>
      <c r="H21" s="42" t="n"/>
      <c r="I21" s="42" t="n"/>
      <c r="J21" s="42" t="n"/>
      <c r="K21" s="42" t="n"/>
      <c r="L21" s="42" t="n"/>
      <c r="M21" s="42" t="n"/>
      <c r="N21" s="42" t="n"/>
      <c r="O21" s="42" t="n"/>
      <c r="P21" s="42" t="n"/>
      <c r="Q21" s="42" t="n"/>
      <c r="R21" s="39" t="n"/>
      <c r="S21" s="39" t="n"/>
      <c r="T21" s="29" t="n"/>
      <c r="U21" s="29" t="n"/>
      <c r="V21" s="29" t="n"/>
      <c r="W21" s="29" t="n"/>
      <c r="X21" s="29" t="n"/>
      <c r="Y21" s="29" t="n"/>
      <c r="Z21" s="43">
        <f>IF($AV21=1,$E21+$F21+$G21+$H21,"")</f>
        <v/>
      </c>
      <c r="AA21" s="43">
        <f>IF($AV21=1,$Z21-$I21-$J21,"")</f>
        <v/>
      </c>
      <c r="AB21" s="43">
        <f>IF($AV21=1,$L21+$M21+$N21+$O21+$P21+$Q21,"")</f>
        <v/>
      </c>
      <c r="AC21" s="47">
        <f>IF($AV21=1,ROUND($AA21-$AB21,2),"")</f>
        <v/>
      </c>
      <c r="AD21" s="43">
        <f>IF($AV21=1,ROUND($E21/S_VATF,2),"")</f>
        <v/>
      </c>
      <c r="AE21" s="43">
        <f>IF($AV21=1,ROUND($F21/S_VATF,2),"")</f>
        <v/>
      </c>
      <c r="AF21" s="43">
        <f>IF($AV21=1,ROUND($G21/S_VATF,2),"")</f>
        <v/>
      </c>
      <c r="AG21" s="43">
        <f>IF($AV21=1,ROUND($H21/S_VATF,2),"")</f>
        <v/>
      </c>
      <c r="AH21" s="43">
        <f>IF($AV21=1,ROUND($I21/S_VATF,2),"")</f>
        <v/>
      </c>
      <c r="AI21" s="43">
        <f>IF($AV21=1,ROUND($J21/S_VATF,2),"")</f>
        <v/>
      </c>
      <c r="AJ21" s="43">
        <f>IF($AV21=1,ROUND($AA21+$AH21+$AI21-$AD21-$AE21-$AF21-$AG21,2),"")</f>
        <v/>
      </c>
      <c r="AK21" s="32">
        <f>IF(AND($AV21=1,N($L21)&gt;0),IFERROR(IF(IFERROR(INDEX(Payment_Methods!$C:$C,MATCH("CASH",Payment_Methods!$A:$A,0)),"")="نقدي",INDEX(Treasuries!$E:$E,MATCH(INDEX(Locations!$G:$G,MATCH($C21,Locations!$A:$A,0)),Treasuries!$A:$A,0)),INDEX(Payment_Methods!$D:$D,MATCH("CASH",Payment_Methods!$A:$A,0))),"؟"),"")</f>
        <v/>
      </c>
      <c r="AL21" s="32">
        <f>IF(AND($AV21=1,N($M21)&gt;0),IFERROR(IF(IFERROR(INDEX(Payment_Methods!$C:$C,MATCH("CARD",Payment_Methods!$A:$A,0)),"")="نقدي",INDEX(Treasuries!$E:$E,MATCH(INDEX(Locations!$G:$G,MATCH($C21,Locations!$A:$A,0)),Treasuries!$A:$A,0)),INDEX(Payment_Methods!$D:$D,MATCH("CARD",Payment_Methods!$A:$A,0))),"؟"),"")</f>
        <v/>
      </c>
      <c r="AM21" s="32">
        <f>IF(AND($AV21=1,N($N21)&gt;0),IFERROR(IF(IFERROR(INDEX(Payment_Methods!$C:$C,MATCH("TLB",Payment_Methods!$A:$A,0)),"")="نقدي",INDEX(Treasuries!$E:$E,MATCH(INDEX(Locations!$G:$G,MATCH($C21,Locations!$A:$A,0)),Treasuries!$A:$A,0)),INDEX(Payment_Methods!$D:$D,MATCH("TLB",Payment_Methods!$A:$A,0))),"؟"),"")</f>
        <v/>
      </c>
      <c r="AN21" s="32">
        <f>IF(AND($AV21=1,N($O21)&gt;0),IFERROR(IF(IFERROR(INDEX(Payment_Methods!$C:$C,MATCH("DLV2",Payment_Methods!$A:$A,0)),"")="نقدي",INDEX(Treasuries!$E:$E,MATCH(INDEX(Locations!$G:$G,MATCH($C21,Locations!$A:$A,0)),Treasuries!$A:$A,0)),INDEX(Payment_Methods!$D:$D,MATCH("DLV2",Payment_Methods!$A:$A,0))),"؟"),"")</f>
        <v/>
      </c>
      <c r="AO21" s="32">
        <f>IF(AND($AV21=1,N($P21)&gt;0),IFERROR(IF(IFERROR(INDEX(Payment_Methods!$C:$C,MATCH("INSTA",Payment_Methods!$A:$A,0)),"")="نقدي",INDEX(Treasuries!$E:$E,MATCH(INDEX(Locations!$G:$G,MATCH($C21,Locations!$A:$A,0)),Treasuries!$A:$A,0)),INDEX(Payment_Methods!$D:$D,MATCH("INSTA",Payment_Methods!$A:$A,0))),"؟"),"")</f>
        <v/>
      </c>
      <c r="AP21" s="32">
        <f>IF(AND($AV21=1,N($Q21)&gt;0),IFERROR(IF(IFERROR(INDEX(Payment_Methods!$C:$C,MATCH($R21,Payment_Methods!$A:$A,0)),"")="نقدي",INDEX(Treasuries!$E:$E,MATCH(INDEX(Locations!$G:$G,MATCH($C21,Locations!$A:$A,0)),Treasuries!$A:$A,0)),INDEX(Payment_Methods!$D:$D,MATCH($R21,Payment_Methods!$A:$A,0))),"؟"),"")</f>
        <v/>
      </c>
      <c r="AQ21" s="32">
        <f>INDEX(Lists!$U$5:$U$8,1)</f>
        <v/>
      </c>
      <c r="AR21" s="32">
        <f>INDEX(Lists!$U$5:$U$8,2)</f>
        <v/>
      </c>
      <c r="AS21" s="32">
        <f>INDEX(Lists!$U$5:$U$8,3)</f>
        <v/>
      </c>
      <c r="AT21" s="32">
        <f>INDEX(Lists!$U$5:$U$8,4)</f>
        <v/>
      </c>
      <c r="AU21" s="44">
        <f>IF($AV21=1,IF(COUNTIFS(Daily_Recon!$A:$A,$B21,Daily_Recon!$B:$B,$C21)&gt;0,"نعم","لا"),"")</f>
        <v/>
      </c>
      <c r="AV21" s="32">
        <f>IF(COUNTA($A21:$Y21)&gt;0,1,0)</f>
        <v/>
      </c>
      <c r="AW21" s="32">
        <f>IF($AV21=0,"",IF($A21="","رقم المستند ناقص",IF(COUNTIF(Doc_Register!$A:$A,$A21)&gt;1,"رقم مستند مكرر في السجل المركزي",IF(LEFT($A21,LEN("SAL")+1)&lt;&gt;"SAL"&amp;"-","بادئة الرقم لا تطابق نوع المستند",IF(NOT(ISNUMBER($B21)),"التاريخ ناقص أو غير صحيح",IF($S21="","حالة المستند ناقصة",IF($T21="","اسم المُعِد ناقص",IF(AND(OR($S21=ST_APPR,$S21=ST_POST),$U21=""),"لا يوجد معتمد",IF(AND($U21&lt;&gt;"",$U21=$T21),"المُعِد والمعتمد نفس الشخص (فصل المهام)",IF(AND($S21=ST_POST,$V21=""),"اسم المحاسب المرحِّل ناقص",IF(AND($S21=ST_POST,$V21&lt;&gt;"",OR($V21=$T21,$V21=$U21)),"المرحِّل يجب أن يختلف عن المُعِد والمعتمد",IF(AND($S21=ST_REV,$X21=""),"مرجع التصحيح/الإلغاء ناقص",IF(AND(ISNUMBER($B21),OR($S21=ST_DRAFT,$S21=ST_APPR),COUNTIFS(Period_Close!$A:$A,YEAR($B21)*100+MONTH($B21),Period_Close!$B:$B,"مقفلة")&gt;0),"الفترة مقفلة: لا يسمح بمستند جديد",IF(NOT(COUNTIF(Locations!$A:$A,$C21)&gt;0),"الفرع غير معرف",IF(IFERROR(INDEX(Locations!$C:$C,MATCH($C21,Locations!$A:$A,0)),"")&lt;&gt;"فرع","الموقع المختار ليس فرع بيع",IF(AND($S21&lt;&gt;ST_REV,$S21&lt;&gt;ST_CANC,COUNTIFS($B$4:$B20,$B21,$C$4:$C20,$C21,$S$4:$S20,"&lt;&gt;"&amp;ST_REV,$S$4:$S20,"&lt;&gt;"&amp;ST_CANC)&gt;0),"تقرير مبيعات مكرر لنفس الفرع واليوم",IF(MIN($E21,$F21,$G21,$H21,$I21,$J21,$L21,$M21,$N21,$O21,$P21,$Q21)&lt;0,"توجد مبالغ سالبة (استخدم مستند عكسي)",IF($Z21&lt;=0,"إجمالي المبيعات صفر",IF($AA21&lt;0,"الخصومات والمرتجعات أكبر من المبيعات",IF(AND(N($Q21)&gt;0,$R21=""),"كود وسيلة الدفع الأخرى ناقص",IF(ABS($AC21)&gt;S_Tol,"مجموع وسائل الدفع لا يساوي صافي المبيعات",IF(OR(AND(N($L21)&gt;0,COUNTIFS(COA!$A:$A,$AK21,COA!$R:$R,1)&lt;&gt;1),AND(N($M21)&gt;0,COUNTIFS(COA!$A:$A,$AL21,COA!$R:$R,1)&lt;&gt;1),AND(N($N21)&gt;0,COUNTIFS(COA!$A:$A,$AM21,COA!$R:$R,1)&lt;&gt;1),AND(N($O21)&gt;0,COUNTIFS(COA!$A:$A,$AN21,COA!$R:$R,1)&lt;&gt;1),AND(N($P21)&gt;0,COUNTIFS(COA!$A:$A,$AO21,COA!$R:$R,1)&lt;&gt;1),AND(N($Q21)&gt;0,COUNTIFS(COA!$A:$A,$AP21,COA!$R:$R,1)&lt;&gt;1),AND(N($E21)&gt;0,COUNTIFS(COA!$A:$A,$AQ21,COA!$R:$R,1)&lt;&gt;1),AND(N($F21)&gt;0,COUNTIFS(COA!$A:$A,$AR21,COA!$R:$R,1)&lt;&gt;1),AND(N($G21)&gt;0,COUNTIFS(COA!$A:$A,$AS21,COA!$R:$R,1)&lt;&gt;1),AND(N($H21)&gt;0,COUNTIFS(COA!$A:$A,$AT21,COA!$R:$R,1)&lt;&gt;1)),"حساب تسوية أو إيراد غير صالح",IF($AJ21&lt;-S_Tol,"الضريبة المحسوبة سالبة","")))))))))))))))))))))))</f>
        <v/>
      </c>
      <c r="AX21" s="32">
        <f>IF($AV21=1,IF($AW21&lt;&gt;"",1,0),0)</f>
        <v/>
      </c>
      <c r="AY21" s="32">
        <f>IF(AND($AV21=1,$AX21=0,$S21=ST_POST),1,0)</f>
        <v/>
      </c>
    </row>
    <row r="22">
      <c r="A22" s="29" t="n"/>
      <c r="B22" s="31" t="n"/>
      <c r="C22" s="39" t="n"/>
      <c r="D22" s="29" t="n"/>
      <c r="E22" s="42" t="n"/>
      <c r="F22" s="42" t="n"/>
      <c r="G22" s="42" t="n"/>
      <c r="H22" s="42" t="n"/>
      <c r="I22" s="42" t="n"/>
      <c r="J22" s="42" t="n"/>
      <c r="K22" s="42" t="n"/>
      <c r="L22" s="42" t="n"/>
      <c r="M22" s="42" t="n"/>
      <c r="N22" s="42" t="n"/>
      <c r="O22" s="42" t="n"/>
      <c r="P22" s="42" t="n"/>
      <c r="Q22" s="42" t="n"/>
      <c r="R22" s="39" t="n"/>
      <c r="S22" s="39" t="n"/>
      <c r="T22" s="29" t="n"/>
      <c r="U22" s="29" t="n"/>
      <c r="V22" s="29" t="n"/>
      <c r="W22" s="29" t="n"/>
      <c r="X22" s="29" t="n"/>
      <c r="Y22" s="29" t="n"/>
      <c r="Z22" s="43">
        <f>IF($AV22=1,$E22+$F22+$G22+$H22,"")</f>
        <v/>
      </c>
      <c r="AA22" s="43">
        <f>IF($AV22=1,$Z22-$I22-$J22,"")</f>
        <v/>
      </c>
      <c r="AB22" s="43">
        <f>IF($AV22=1,$L22+$M22+$N22+$O22+$P22+$Q22,"")</f>
        <v/>
      </c>
      <c r="AC22" s="47">
        <f>IF($AV22=1,ROUND($AA22-$AB22,2),"")</f>
        <v/>
      </c>
      <c r="AD22" s="43">
        <f>IF($AV22=1,ROUND($E22/S_VATF,2),"")</f>
        <v/>
      </c>
      <c r="AE22" s="43">
        <f>IF($AV22=1,ROUND($F22/S_VATF,2),"")</f>
        <v/>
      </c>
      <c r="AF22" s="43">
        <f>IF($AV22=1,ROUND($G22/S_VATF,2),"")</f>
        <v/>
      </c>
      <c r="AG22" s="43">
        <f>IF($AV22=1,ROUND($H22/S_VATF,2),"")</f>
        <v/>
      </c>
      <c r="AH22" s="43">
        <f>IF($AV22=1,ROUND($I22/S_VATF,2),"")</f>
        <v/>
      </c>
      <c r="AI22" s="43">
        <f>IF($AV22=1,ROUND($J22/S_VATF,2),"")</f>
        <v/>
      </c>
      <c r="AJ22" s="43">
        <f>IF($AV22=1,ROUND($AA22+$AH22+$AI22-$AD22-$AE22-$AF22-$AG22,2),"")</f>
        <v/>
      </c>
      <c r="AK22" s="32">
        <f>IF(AND($AV22=1,N($L22)&gt;0),IFERROR(IF(IFERROR(INDEX(Payment_Methods!$C:$C,MATCH("CASH",Payment_Methods!$A:$A,0)),"")="نقدي",INDEX(Treasuries!$E:$E,MATCH(INDEX(Locations!$G:$G,MATCH($C22,Locations!$A:$A,0)),Treasuries!$A:$A,0)),INDEX(Payment_Methods!$D:$D,MATCH("CASH",Payment_Methods!$A:$A,0))),"؟"),"")</f>
        <v/>
      </c>
      <c r="AL22" s="32">
        <f>IF(AND($AV22=1,N($M22)&gt;0),IFERROR(IF(IFERROR(INDEX(Payment_Methods!$C:$C,MATCH("CARD",Payment_Methods!$A:$A,0)),"")="نقدي",INDEX(Treasuries!$E:$E,MATCH(INDEX(Locations!$G:$G,MATCH($C22,Locations!$A:$A,0)),Treasuries!$A:$A,0)),INDEX(Payment_Methods!$D:$D,MATCH("CARD",Payment_Methods!$A:$A,0))),"؟"),"")</f>
        <v/>
      </c>
      <c r="AM22" s="32">
        <f>IF(AND($AV22=1,N($N22)&gt;0),IFERROR(IF(IFERROR(INDEX(Payment_Methods!$C:$C,MATCH("TLB",Payment_Methods!$A:$A,0)),"")="نقدي",INDEX(Treasuries!$E:$E,MATCH(INDEX(Locations!$G:$G,MATCH($C22,Locations!$A:$A,0)),Treasuries!$A:$A,0)),INDEX(Payment_Methods!$D:$D,MATCH("TLB",Payment_Methods!$A:$A,0))),"؟"),"")</f>
        <v/>
      </c>
      <c r="AN22" s="32">
        <f>IF(AND($AV22=1,N($O22)&gt;0),IFERROR(IF(IFERROR(INDEX(Payment_Methods!$C:$C,MATCH("DLV2",Payment_Methods!$A:$A,0)),"")="نقدي",INDEX(Treasuries!$E:$E,MATCH(INDEX(Locations!$G:$G,MATCH($C22,Locations!$A:$A,0)),Treasuries!$A:$A,0)),INDEX(Payment_Methods!$D:$D,MATCH("DLV2",Payment_Methods!$A:$A,0))),"؟"),"")</f>
        <v/>
      </c>
      <c r="AO22" s="32">
        <f>IF(AND($AV22=1,N($P22)&gt;0),IFERROR(IF(IFERROR(INDEX(Payment_Methods!$C:$C,MATCH("INSTA",Payment_Methods!$A:$A,0)),"")="نقدي",INDEX(Treasuries!$E:$E,MATCH(INDEX(Locations!$G:$G,MATCH($C22,Locations!$A:$A,0)),Treasuries!$A:$A,0)),INDEX(Payment_Methods!$D:$D,MATCH("INSTA",Payment_Methods!$A:$A,0))),"؟"),"")</f>
        <v/>
      </c>
      <c r="AP22" s="32">
        <f>IF(AND($AV22=1,N($Q22)&gt;0),IFERROR(IF(IFERROR(INDEX(Payment_Methods!$C:$C,MATCH($R22,Payment_Methods!$A:$A,0)),"")="نقدي",INDEX(Treasuries!$E:$E,MATCH(INDEX(Locations!$G:$G,MATCH($C22,Locations!$A:$A,0)),Treasuries!$A:$A,0)),INDEX(Payment_Methods!$D:$D,MATCH($R22,Payment_Methods!$A:$A,0))),"؟"),"")</f>
        <v/>
      </c>
      <c r="AQ22" s="32">
        <f>INDEX(Lists!$U$5:$U$8,1)</f>
        <v/>
      </c>
      <c r="AR22" s="32">
        <f>INDEX(Lists!$U$5:$U$8,2)</f>
        <v/>
      </c>
      <c r="AS22" s="32">
        <f>INDEX(Lists!$U$5:$U$8,3)</f>
        <v/>
      </c>
      <c r="AT22" s="32">
        <f>INDEX(Lists!$U$5:$U$8,4)</f>
        <v/>
      </c>
      <c r="AU22" s="44">
        <f>IF($AV22=1,IF(COUNTIFS(Daily_Recon!$A:$A,$B22,Daily_Recon!$B:$B,$C22)&gt;0,"نعم","لا"),"")</f>
        <v/>
      </c>
      <c r="AV22" s="32">
        <f>IF(COUNTA($A22:$Y22)&gt;0,1,0)</f>
        <v/>
      </c>
      <c r="AW22" s="32">
        <f>IF($AV22=0,"",IF($A22="","رقم المستند ناقص",IF(COUNTIF(Doc_Register!$A:$A,$A22)&gt;1,"رقم مستند مكرر في السجل المركزي",IF(LEFT($A22,LEN("SAL")+1)&lt;&gt;"SAL"&amp;"-","بادئة الرقم لا تطابق نوع المستند",IF(NOT(ISNUMBER($B22)),"التاريخ ناقص أو غير صحيح",IF($S22="","حالة المستند ناقصة",IF($T22="","اسم المُعِد ناقص",IF(AND(OR($S22=ST_APPR,$S22=ST_POST),$U22=""),"لا يوجد معتمد",IF(AND($U22&lt;&gt;"",$U22=$T22),"المُعِد والمعتمد نفس الشخص (فصل المهام)",IF(AND($S22=ST_POST,$V22=""),"اسم المحاسب المرحِّل ناقص",IF(AND($S22=ST_POST,$V22&lt;&gt;"",OR($V22=$T22,$V22=$U22)),"المرحِّل يجب أن يختلف عن المُعِد والمعتمد",IF(AND($S22=ST_REV,$X22=""),"مرجع التصحيح/الإلغاء ناقص",IF(AND(ISNUMBER($B22),OR($S22=ST_DRAFT,$S22=ST_APPR),COUNTIFS(Period_Close!$A:$A,YEAR($B22)*100+MONTH($B22),Period_Close!$B:$B,"مقفلة")&gt;0),"الفترة مقفلة: لا يسمح بمستند جديد",IF(NOT(COUNTIF(Locations!$A:$A,$C22)&gt;0),"الفرع غير معرف",IF(IFERROR(INDEX(Locations!$C:$C,MATCH($C22,Locations!$A:$A,0)),"")&lt;&gt;"فرع","الموقع المختار ليس فرع بيع",IF(AND($S22&lt;&gt;ST_REV,$S22&lt;&gt;ST_CANC,COUNTIFS($B$4:$B21,$B22,$C$4:$C21,$C22,$S$4:$S21,"&lt;&gt;"&amp;ST_REV,$S$4:$S21,"&lt;&gt;"&amp;ST_CANC)&gt;0),"تقرير مبيعات مكرر لنفس الفرع واليوم",IF(MIN($E22,$F22,$G22,$H22,$I22,$J22,$L22,$M22,$N22,$O22,$P22,$Q22)&lt;0,"توجد مبالغ سالبة (استخدم مستند عكسي)",IF($Z22&lt;=0,"إجمالي المبيعات صفر",IF($AA22&lt;0,"الخصومات والمرتجعات أكبر من المبيعات",IF(AND(N($Q22)&gt;0,$R22=""),"كود وسيلة الدفع الأخرى ناقص",IF(ABS($AC22)&gt;S_Tol,"مجموع وسائل الدفع لا يساوي صافي المبيعات",IF(OR(AND(N($L22)&gt;0,COUNTIFS(COA!$A:$A,$AK22,COA!$R:$R,1)&lt;&gt;1),AND(N($M22)&gt;0,COUNTIFS(COA!$A:$A,$AL22,COA!$R:$R,1)&lt;&gt;1),AND(N($N22)&gt;0,COUNTIFS(COA!$A:$A,$AM22,COA!$R:$R,1)&lt;&gt;1),AND(N($O22)&gt;0,COUNTIFS(COA!$A:$A,$AN22,COA!$R:$R,1)&lt;&gt;1),AND(N($P22)&gt;0,COUNTIFS(COA!$A:$A,$AO22,COA!$R:$R,1)&lt;&gt;1),AND(N($Q22)&gt;0,COUNTIFS(COA!$A:$A,$AP22,COA!$R:$R,1)&lt;&gt;1),AND(N($E22)&gt;0,COUNTIFS(COA!$A:$A,$AQ22,COA!$R:$R,1)&lt;&gt;1),AND(N($F22)&gt;0,COUNTIFS(COA!$A:$A,$AR22,COA!$R:$R,1)&lt;&gt;1),AND(N($G22)&gt;0,COUNTIFS(COA!$A:$A,$AS22,COA!$R:$R,1)&lt;&gt;1),AND(N($H22)&gt;0,COUNTIFS(COA!$A:$A,$AT22,COA!$R:$R,1)&lt;&gt;1)),"حساب تسوية أو إيراد غير صالح",IF($AJ22&lt;-S_Tol,"الضريبة المحسوبة سالبة","")))))))))))))))))))))))</f>
        <v/>
      </c>
      <c r="AX22" s="32">
        <f>IF($AV22=1,IF($AW22&lt;&gt;"",1,0),0)</f>
        <v/>
      </c>
      <c r="AY22" s="32">
        <f>IF(AND($AV22=1,$AX22=0,$S22=ST_POST),1,0)</f>
        <v/>
      </c>
    </row>
    <row r="23">
      <c r="A23" s="29" t="n"/>
      <c r="B23" s="31" t="n"/>
      <c r="C23" s="39" t="n"/>
      <c r="D23" s="29" t="n"/>
      <c r="E23" s="42" t="n"/>
      <c r="F23" s="42" t="n"/>
      <c r="G23" s="42" t="n"/>
      <c r="H23" s="42" t="n"/>
      <c r="I23" s="42" t="n"/>
      <c r="J23" s="42" t="n"/>
      <c r="K23" s="42" t="n"/>
      <c r="L23" s="42" t="n"/>
      <c r="M23" s="42" t="n"/>
      <c r="N23" s="42" t="n"/>
      <c r="O23" s="42" t="n"/>
      <c r="P23" s="42" t="n"/>
      <c r="Q23" s="42" t="n"/>
      <c r="R23" s="39" t="n"/>
      <c r="S23" s="39" t="n"/>
      <c r="T23" s="29" t="n"/>
      <c r="U23" s="29" t="n"/>
      <c r="V23" s="29" t="n"/>
      <c r="W23" s="29" t="n"/>
      <c r="X23" s="29" t="n"/>
      <c r="Y23" s="29" t="n"/>
      <c r="Z23" s="43">
        <f>IF($AV23=1,$E23+$F23+$G23+$H23,"")</f>
        <v/>
      </c>
      <c r="AA23" s="43">
        <f>IF($AV23=1,$Z23-$I23-$J23,"")</f>
        <v/>
      </c>
      <c r="AB23" s="43">
        <f>IF($AV23=1,$L23+$M23+$N23+$O23+$P23+$Q23,"")</f>
        <v/>
      </c>
      <c r="AC23" s="47">
        <f>IF($AV23=1,ROUND($AA23-$AB23,2),"")</f>
        <v/>
      </c>
      <c r="AD23" s="43">
        <f>IF($AV23=1,ROUND($E23/S_VATF,2),"")</f>
        <v/>
      </c>
      <c r="AE23" s="43">
        <f>IF($AV23=1,ROUND($F23/S_VATF,2),"")</f>
        <v/>
      </c>
      <c r="AF23" s="43">
        <f>IF($AV23=1,ROUND($G23/S_VATF,2),"")</f>
        <v/>
      </c>
      <c r="AG23" s="43">
        <f>IF($AV23=1,ROUND($H23/S_VATF,2),"")</f>
        <v/>
      </c>
      <c r="AH23" s="43">
        <f>IF($AV23=1,ROUND($I23/S_VATF,2),"")</f>
        <v/>
      </c>
      <c r="AI23" s="43">
        <f>IF($AV23=1,ROUND($J23/S_VATF,2),"")</f>
        <v/>
      </c>
      <c r="AJ23" s="43">
        <f>IF($AV23=1,ROUND($AA23+$AH23+$AI23-$AD23-$AE23-$AF23-$AG23,2),"")</f>
        <v/>
      </c>
      <c r="AK23" s="32">
        <f>IF(AND($AV23=1,N($L23)&gt;0),IFERROR(IF(IFERROR(INDEX(Payment_Methods!$C:$C,MATCH("CASH",Payment_Methods!$A:$A,0)),"")="نقدي",INDEX(Treasuries!$E:$E,MATCH(INDEX(Locations!$G:$G,MATCH($C23,Locations!$A:$A,0)),Treasuries!$A:$A,0)),INDEX(Payment_Methods!$D:$D,MATCH("CASH",Payment_Methods!$A:$A,0))),"؟"),"")</f>
        <v/>
      </c>
      <c r="AL23" s="32">
        <f>IF(AND($AV23=1,N($M23)&gt;0),IFERROR(IF(IFERROR(INDEX(Payment_Methods!$C:$C,MATCH("CARD",Payment_Methods!$A:$A,0)),"")="نقدي",INDEX(Treasuries!$E:$E,MATCH(INDEX(Locations!$G:$G,MATCH($C23,Locations!$A:$A,0)),Treasuries!$A:$A,0)),INDEX(Payment_Methods!$D:$D,MATCH("CARD",Payment_Methods!$A:$A,0))),"؟"),"")</f>
        <v/>
      </c>
      <c r="AM23" s="32">
        <f>IF(AND($AV23=1,N($N23)&gt;0),IFERROR(IF(IFERROR(INDEX(Payment_Methods!$C:$C,MATCH("TLB",Payment_Methods!$A:$A,0)),"")="نقدي",INDEX(Treasuries!$E:$E,MATCH(INDEX(Locations!$G:$G,MATCH($C23,Locations!$A:$A,0)),Treasuries!$A:$A,0)),INDEX(Payment_Methods!$D:$D,MATCH("TLB",Payment_Methods!$A:$A,0))),"؟"),"")</f>
        <v/>
      </c>
      <c r="AN23" s="32">
        <f>IF(AND($AV23=1,N($O23)&gt;0),IFERROR(IF(IFERROR(INDEX(Payment_Methods!$C:$C,MATCH("DLV2",Payment_Methods!$A:$A,0)),"")="نقدي",INDEX(Treasuries!$E:$E,MATCH(INDEX(Locations!$G:$G,MATCH($C23,Locations!$A:$A,0)),Treasuries!$A:$A,0)),INDEX(Payment_Methods!$D:$D,MATCH("DLV2",Payment_Methods!$A:$A,0))),"؟"),"")</f>
        <v/>
      </c>
      <c r="AO23" s="32">
        <f>IF(AND($AV23=1,N($P23)&gt;0),IFERROR(IF(IFERROR(INDEX(Payment_Methods!$C:$C,MATCH("INSTA",Payment_Methods!$A:$A,0)),"")="نقدي",INDEX(Treasuries!$E:$E,MATCH(INDEX(Locations!$G:$G,MATCH($C23,Locations!$A:$A,0)),Treasuries!$A:$A,0)),INDEX(Payment_Methods!$D:$D,MATCH("INSTA",Payment_Methods!$A:$A,0))),"؟"),"")</f>
        <v/>
      </c>
      <c r="AP23" s="32">
        <f>IF(AND($AV23=1,N($Q23)&gt;0),IFERROR(IF(IFERROR(INDEX(Payment_Methods!$C:$C,MATCH($R23,Payment_Methods!$A:$A,0)),"")="نقدي",INDEX(Treasuries!$E:$E,MATCH(INDEX(Locations!$G:$G,MATCH($C23,Locations!$A:$A,0)),Treasuries!$A:$A,0)),INDEX(Payment_Methods!$D:$D,MATCH($R23,Payment_Methods!$A:$A,0))),"؟"),"")</f>
        <v/>
      </c>
      <c r="AQ23" s="32">
        <f>INDEX(Lists!$U$5:$U$8,1)</f>
        <v/>
      </c>
      <c r="AR23" s="32">
        <f>INDEX(Lists!$U$5:$U$8,2)</f>
        <v/>
      </c>
      <c r="AS23" s="32">
        <f>INDEX(Lists!$U$5:$U$8,3)</f>
        <v/>
      </c>
      <c r="AT23" s="32">
        <f>INDEX(Lists!$U$5:$U$8,4)</f>
        <v/>
      </c>
      <c r="AU23" s="44">
        <f>IF($AV23=1,IF(COUNTIFS(Daily_Recon!$A:$A,$B23,Daily_Recon!$B:$B,$C23)&gt;0,"نعم","لا"),"")</f>
        <v/>
      </c>
      <c r="AV23" s="32">
        <f>IF(COUNTA($A23:$Y23)&gt;0,1,0)</f>
        <v/>
      </c>
      <c r="AW23" s="32">
        <f>IF($AV23=0,"",IF($A23="","رقم المستند ناقص",IF(COUNTIF(Doc_Register!$A:$A,$A23)&gt;1,"رقم مستند مكرر في السجل المركزي",IF(LEFT($A23,LEN("SAL")+1)&lt;&gt;"SAL"&amp;"-","بادئة الرقم لا تطابق نوع المستند",IF(NOT(ISNUMBER($B23)),"التاريخ ناقص أو غير صحيح",IF($S23="","حالة المستند ناقصة",IF($T23="","اسم المُعِد ناقص",IF(AND(OR($S23=ST_APPR,$S23=ST_POST),$U23=""),"لا يوجد معتمد",IF(AND($U23&lt;&gt;"",$U23=$T23),"المُعِد والمعتمد نفس الشخص (فصل المهام)",IF(AND($S23=ST_POST,$V23=""),"اسم المحاسب المرحِّل ناقص",IF(AND($S23=ST_POST,$V23&lt;&gt;"",OR($V23=$T23,$V23=$U23)),"المرحِّل يجب أن يختلف عن المُعِد والمعتمد",IF(AND($S23=ST_REV,$X23=""),"مرجع التصحيح/الإلغاء ناقص",IF(AND(ISNUMBER($B23),OR($S23=ST_DRAFT,$S23=ST_APPR),COUNTIFS(Period_Close!$A:$A,YEAR($B23)*100+MONTH($B23),Period_Close!$B:$B,"مقفلة")&gt;0),"الفترة مقفلة: لا يسمح بمستند جديد",IF(NOT(COUNTIF(Locations!$A:$A,$C23)&gt;0),"الفرع غير معرف",IF(IFERROR(INDEX(Locations!$C:$C,MATCH($C23,Locations!$A:$A,0)),"")&lt;&gt;"فرع","الموقع المختار ليس فرع بيع",IF(AND($S23&lt;&gt;ST_REV,$S23&lt;&gt;ST_CANC,COUNTIFS($B$4:$B22,$B23,$C$4:$C22,$C23,$S$4:$S22,"&lt;&gt;"&amp;ST_REV,$S$4:$S22,"&lt;&gt;"&amp;ST_CANC)&gt;0),"تقرير مبيعات مكرر لنفس الفرع واليوم",IF(MIN($E23,$F23,$G23,$H23,$I23,$J23,$L23,$M23,$N23,$O23,$P23,$Q23)&lt;0,"توجد مبالغ سالبة (استخدم مستند عكسي)",IF($Z23&lt;=0,"إجمالي المبيعات صفر",IF($AA23&lt;0,"الخصومات والمرتجعات أكبر من المبيعات",IF(AND(N($Q23)&gt;0,$R23=""),"كود وسيلة الدفع الأخرى ناقص",IF(ABS($AC23)&gt;S_Tol,"مجموع وسائل الدفع لا يساوي صافي المبيعات",IF(OR(AND(N($L23)&gt;0,COUNTIFS(COA!$A:$A,$AK23,COA!$R:$R,1)&lt;&gt;1),AND(N($M23)&gt;0,COUNTIFS(COA!$A:$A,$AL23,COA!$R:$R,1)&lt;&gt;1),AND(N($N23)&gt;0,COUNTIFS(COA!$A:$A,$AM23,COA!$R:$R,1)&lt;&gt;1),AND(N($O23)&gt;0,COUNTIFS(COA!$A:$A,$AN23,COA!$R:$R,1)&lt;&gt;1),AND(N($P23)&gt;0,COUNTIFS(COA!$A:$A,$AO23,COA!$R:$R,1)&lt;&gt;1),AND(N($Q23)&gt;0,COUNTIFS(COA!$A:$A,$AP23,COA!$R:$R,1)&lt;&gt;1),AND(N($E23)&gt;0,COUNTIFS(COA!$A:$A,$AQ23,COA!$R:$R,1)&lt;&gt;1),AND(N($F23)&gt;0,COUNTIFS(COA!$A:$A,$AR23,COA!$R:$R,1)&lt;&gt;1),AND(N($G23)&gt;0,COUNTIFS(COA!$A:$A,$AS23,COA!$R:$R,1)&lt;&gt;1),AND(N($H23)&gt;0,COUNTIFS(COA!$A:$A,$AT23,COA!$R:$R,1)&lt;&gt;1)),"حساب تسوية أو إيراد غير صالح",IF($AJ23&lt;-S_Tol,"الضريبة المحسوبة سالبة","")))))))))))))))))))))))</f>
        <v/>
      </c>
      <c r="AX23" s="32">
        <f>IF($AV23=1,IF($AW23&lt;&gt;"",1,0),0)</f>
        <v/>
      </c>
      <c r="AY23" s="32">
        <f>IF(AND($AV23=1,$AX23=0,$S23=ST_POST),1,0)</f>
        <v/>
      </c>
    </row>
    <row r="24">
      <c r="A24" s="29" t="n"/>
      <c r="B24" s="31" t="n"/>
      <c r="C24" s="39" t="n"/>
      <c r="D24" s="29" t="n"/>
      <c r="E24" s="42" t="n"/>
      <c r="F24" s="42" t="n"/>
      <c r="G24" s="42" t="n"/>
      <c r="H24" s="42" t="n"/>
      <c r="I24" s="42" t="n"/>
      <c r="J24" s="42" t="n"/>
      <c r="K24" s="42" t="n"/>
      <c r="L24" s="42" t="n"/>
      <c r="M24" s="42" t="n"/>
      <c r="N24" s="42" t="n"/>
      <c r="O24" s="42" t="n"/>
      <c r="P24" s="42" t="n"/>
      <c r="Q24" s="42" t="n"/>
      <c r="R24" s="39" t="n"/>
      <c r="S24" s="39" t="n"/>
      <c r="T24" s="29" t="n"/>
      <c r="U24" s="29" t="n"/>
      <c r="V24" s="29" t="n"/>
      <c r="W24" s="29" t="n"/>
      <c r="X24" s="29" t="n"/>
      <c r="Y24" s="29" t="n"/>
      <c r="Z24" s="43">
        <f>IF($AV24=1,$E24+$F24+$G24+$H24,"")</f>
        <v/>
      </c>
      <c r="AA24" s="43">
        <f>IF($AV24=1,$Z24-$I24-$J24,"")</f>
        <v/>
      </c>
      <c r="AB24" s="43">
        <f>IF($AV24=1,$L24+$M24+$N24+$O24+$P24+$Q24,"")</f>
        <v/>
      </c>
      <c r="AC24" s="47">
        <f>IF($AV24=1,ROUND($AA24-$AB24,2),"")</f>
        <v/>
      </c>
      <c r="AD24" s="43">
        <f>IF($AV24=1,ROUND($E24/S_VATF,2),"")</f>
        <v/>
      </c>
      <c r="AE24" s="43">
        <f>IF($AV24=1,ROUND($F24/S_VATF,2),"")</f>
        <v/>
      </c>
      <c r="AF24" s="43">
        <f>IF($AV24=1,ROUND($G24/S_VATF,2),"")</f>
        <v/>
      </c>
      <c r="AG24" s="43">
        <f>IF($AV24=1,ROUND($H24/S_VATF,2),"")</f>
        <v/>
      </c>
      <c r="AH24" s="43">
        <f>IF($AV24=1,ROUND($I24/S_VATF,2),"")</f>
        <v/>
      </c>
      <c r="AI24" s="43">
        <f>IF($AV24=1,ROUND($J24/S_VATF,2),"")</f>
        <v/>
      </c>
      <c r="AJ24" s="43">
        <f>IF($AV24=1,ROUND($AA24+$AH24+$AI24-$AD24-$AE24-$AF24-$AG24,2),"")</f>
        <v/>
      </c>
      <c r="AK24" s="32">
        <f>IF(AND($AV24=1,N($L24)&gt;0),IFERROR(IF(IFERROR(INDEX(Payment_Methods!$C:$C,MATCH("CASH",Payment_Methods!$A:$A,0)),"")="نقدي",INDEX(Treasuries!$E:$E,MATCH(INDEX(Locations!$G:$G,MATCH($C24,Locations!$A:$A,0)),Treasuries!$A:$A,0)),INDEX(Payment_Methods!$D:$D,MATCH("CASH",Payment_Methods!$A:$A,0))),"؟"),"")</f>
        <v/>
      </c>
      <c r="AL24" s="32">
        <f>IF(AND($AV24=1,N($M24)&gt;0),IFERROR(IF(IFERROR(INDEX(Payment_Methods!$C:$C,MATCH("CARD",Payment_Methods!$A:$A,0)),"")="نقدي",INDEX(Treasuries!$E:$E,MATCH(INDEX(Locations!$G:$G,MATCH($C24,Locations!$A:$A,0)),Treasuries!$A:$A,0)),INDEX(Payment_Methods!$D:$D,MATCH("CARD",Payment_Methods!$A:$A,0))),"؟"),"")</f>
        <v/>
      </c>
      <c r="AM24" s="32">
        <f>IF(AND($AV24=1,N($N24)&gt;0),IFERROR(IF(IFERROR(INDEX(Payment_Methods!$C:$C,MATCH("TLB",Payment_Methods!$A:$A,0)),"")="نقدي",INDEX(Treasuries!$E:$E,MATCH(INDEX(Locations!$G:$G,MATCH($C24,Locations!$A:$A,0)),Treasuries!$A:$A,0)),INDEX(Payment_Methods!$D:$D,MATCH("TLB",Payment_Methods!$A:$A,0))),"؟"),"")</f>
        <v/>
      </c>
      <c r="AN24" s="32">
        <f>IF(AND($AV24=1,N($O24)&gt;0),IFERROR(IF(IFERROR(INDEX(Payment_Methods!$C:$C,MATCH("DLV2",Payment_Methods!$A:$A,0)),"")="نقدي",INDEX(Treasuries!$E:$E,MATCH(INDEX(Locations!$G:$G,MATCH($C24,Locations!$A:$A,0)),Treasuries!$A:$A,0)),INDEX(Payment_Methods!$D:$D,MATCH("DLV2",Payment_Methods!$A:$A,0))),"؟"),"")</f>
        <v/>
      </c>
      <c r="AO24" s="32">
        <f>IF(AND($AV24=1,N($P24)&gt;0),IFERROR(IF(IFERROR(INDEX(Payment_Methods!$C:$C,MATCH("INSTA",Payment_Methods!$A:$A,0)),"")="نقدي",INDEX(Treasuries!$E:$E,MATCH(INDEX(Locations!$G:$G,MATCH($C24,Locations!$A:$A,0)),Treasuries!$A:$A,0)),INDEX(Payment_Methods!$D:$D,MATCH("INSTA",Payment_Methods!$A:$A,0))),"؟"),"")</f>
        <v/>
      </c>
      <c r="AP24" s="32">
        <f>IF(AND($AV24=1,N($Q24)&gt;0),IFERROR(IF(IFERROR(INDEX(Payment_Methods!$C:$C,MATCH($R24,Payment_Methods!$A:$A,0)),"")="نقدي",INDEX(Treasuries!$E:$E,MATCH(INDEX(Locations!$G:$G,MATCH($C24,Locations!$A:$A,0)),Treasuries!$A:$A,0)),INDEX(Payment_Methods!$D:$D,MATCH($R24,Payment_Methods!$A:$A,0))),"؟"),"")</f>
        <v/>
      </c>
      <c r="AQ24" s="32">
        <f>INDEX(Lists!$U$5:$U$8,1)</f>
        <v/>
      </c>
      <c r="AR24" s="32">
        <f>INDEX(Lists!$U$5:$U$8,2)</f>
        <v/>
      </c>
      <c r="AS24" s="32">
        <f>INDEX(Lists!$U$5:$U$8,3)</f>
        <v/>
      </c>
      <c r="AT24" s="32">
        <f>INDEX(Lists!$U$5:$U$8,4)</f>
        <v/>
      </c>
      <c r="AU24" s="44">
        <f>IF($AV24=1,IF(COUNTIFS(Daily_Recon!$A:$A,$B24,Daily_Recon!$B:$B,$C24)&gt;0,"نعم","لا"),"")</f>
        <v/>
      </c>
      <c r="AV24" s="32">
        <f>IF(COUNTA($A24:$Y24)&gt;0,1,0)</f>
        <v/>
      </c>
      <c r="AW24" s="32">
        <f>IF($AV24=0,"",IF($A24="","رقم المستند ناقص",IF(COUNTIF(Doc_Register!$A:$A,$A24)&gt;1,"رقم مستند مكرر في السجل المركزي",IF(LEFT($A24,LEN("SAL")+1)&lt;&gt;"SAL"&amp;"-","بادئة الرقم لا تطابق نوع المستند",IF(NOT(ISNUMBER($B24)),"التاريخ ناقص أو غير صحيح",IF($S24="","حالة المستند ناقصة",IF($T24="","اسم المُعِد ناقص",IF(AND(OR($S24=ST_APPR,$S24=ST_POST),$U24=""),"لا يوجد معتمد",IF(AND($U24&lt;&gt;"",$U24=$T24),"المُعِد والمعتمد نفس الشخص (فصل المهام)",IF(AND($S24=ST_POST,$V24=""),"اسم المحاسب المرحِّل ناقص",IF(AND($S24=ST_POST,$V24&lt;&gt;"",OR($V24=$T24,$V24=$U24)),"المرحِّل يجب أن يختلف عن المُعِد والمعتمد",IF(AND($S24=ST_REV,$X24=""),"مرجع التصحيح/الإلغاء ناقص",IF(AND(ISNUMBER($B24),OR($S24=ST_DRAFT,$S24=ST_APPR),COUNTIFS(Period_Close!$A:$A,YEAR($B24)*100+MONTH($B24),Period_Close!$B:$B,"مقفلة")&gt;0),"الفترة مقفلة: لا يسمح بمستند جديد",IF(NOT(COUNTIF(Locations!$A:$A,$C24)&gt;0),"الفرع غير معرف",IF(IFERROR(INDEX(Locations!$C:$C,MATCH($C24,Locations!$A:$A,0)),"")&lt;&gt;"فرع","الموقع المختار ليس فرع بيع",IF(AND($S24&lt;&gt;ST_REV,$S24&lt;&gt;ST_CANC,COUNTIFS($B$4:$B23,$B24,$C$4:$C23,$C24,$S$4:$S23,"&lt;&gt;"&amp;ST_REV,$S$4:$S23,"&lt;&gt;"&amp;ST_CANC)&gt;0),"تقرير مبيعات مكرر لنفس الفرع واليوم",IF(MIN($E24,$F24,$G24,$H24,$I24,$J24,$L24,$M24,$N24,$O24,$P24,$Q24)&lt;0,"توجد مبالغ سالبة (استخدم مستند عكسي)",IF($Z24&lt;=0,"إجمالي المبيعات صفر",IF($AA24&lt;0,"الخصومات والمرتجعات أكبر من المبيعات",IF(AND(N($Q24)&gt;0,$R24=""),"كود وسيلة الدفع الأخرى ناقص",IF(ABS($AC24)&gt;S_Tol,"مجموع وسائل الدفع لا يساوي صافي المبيعات",IF(OR(AND(N($L24)&gt;0,COUNTIFS(COA!$A:$A,$AK24,COA!$R:$R,1)&lt;&gt;1),AND(N($M24)&gt;0,COUNTIFS(COA!$A:$A,$AL24,COA!$R:$R,1)&lt;&gt;1),AND(N($N24)&gt;0,COUNTIFS(COA!$A:$A,$AM24,COA!$R:$R,1)&lt;&gt;1),AND(N($O24)&gt;0,COUNTIFS(COA!$A:$A,$AN24,COA!$R:$R,1)&lt;&gt;1),AND(N($P24)&gt;0,COUNTIFS(COA!$A:$A,$AO24,COA!$R:$R,1)&lt;&gt;1),AND(N($Q24)&gt;0,COUNTIFS(COA!$A:$A,$AP24,COA!$R:$R,1)&lt;&gt;1),AND(N($E24)&gt;0,COUNTIFS(COA!$A:$A,$AQ24,COA!$R:$R,1)&lt;&gt;1),AND(N($F24)&gt;0,COUNTIFS(COA!$A:$A,$AR24,COA!$R:$R,1)&lt;&gt;1),AND(N($G24)&gt;0,COUNTIFS(COA!$A:$A,$AS24,COA!$R:$R,1)&lt;&gt;1),AND(N($H24)&gt;0,COUNTIFS(COA!$A:$A,$AT24,COA!$R:$R,1)&lt;&gt;1)),"حساب تسوية أو إيراد غير صالح",IF($AJ24&lt;-S_Tol,"الضريبة المحسوبة سالبة","")))))))))))))))))))))))</f>
        <v/>
      </c>
      <c r="AX24" s="32">
        <f>IF($AV24=1,IF($AW24&lt;&gt;"",1,0),0)</f>
        <v/>
      </c>
      <c r="AY24" s="32">
        <f>IF(AND($AV24=1,$AX24=0,$S24=ST_POST),1,0)</f>
        <v/>
      </c>
    </row>
    <row r="25">
      <c r="A25" s="29" t="n"/>
      <c r="B25" s="31" t="n"/>
      <c r="C25" s="39" t="n"/>
      <c r="D25" s="29" t="n"/>
      <c r="E25" s="42" t="n"/>
      <c r="F25" s="42" t="n"/>
      <c r="G25" s="42" t="n"/>
      <c r="H25" s="42" t="n"/>
      <c r="I25" s="42" t="n"/>
      <c r="J25" s="42" t="n"/>
      <c r="K25" s="42" t="n"/>
      <c r="L25" s="42" t="n"/>
      <c r="M25" s="42" t="n"/>
      <c r="N25" s="42" t="n"/>
      <c r="O25" s="42" t="n"/>
      <c r="P25" s="42" t="n"/>
      <c r="Q25" s="42" t="n"/>
      <c r="R25" s="39" t="n"/>
      <c r="S25" s="39" t="n"/>
      <c r="T25" s="29" t="n"/>
      <c r="U25" s="29" t="n"/>
      <c r="V25" s="29" t="n"/>
      <c r="W25" s="29" t="n"/>
      <c r="X25" s="29" t="n"/>
      <c r="Y25" s="29" t="n"/>
      <c r="Z25" s="43">
        <f>IF($AV25=1,$E25+$F25+$G25+$H25,"")</f>
        <v/>
      </c>
      <c r="AA25" s="43">
        <f>IF($AV25=1,$Z25-$I25-$J25,"")</f>
        <v/>
      </c>
      <c r="AB25" s="43">
        <f>IF($AV25=1,$L25+$M25+$N25+$O25+$P25+$Q25,"")</f>
        <v/>
      </c>
      <c r="AC25" s="47">
        <f>IF($AV25=1,ROUND($AA25-$AB25,2),"")</f>
        <v/>
      </c>
      <c r="AD25" s="43">
        <f>IF($AV25=1,ROUND($E25/S_VATF,2),"")</f>
        <v/>
      </c>
      <c r="AE25" s="43">
        <f>IF($AV25=1,ROUND($F25/S_VATF,2),"")</f>
        <v/>
      </c>
      <c r="AF25" s="43">
        <f>IF($AV25=1,ROUND($G25/S_VATF,2),"")</f>
        <v/>
      </c>
      <c r="AG25" s="43">
        <f>IF($AV25=1,ROUND($H25/S_VATF,2),"")</f>
        <v/>
      </c>
      <c r="AH25" s="43">
        <f>IF($AV25=1,ROUND($I25/S_VATF,2),"")</f>
        <v/>
      </c>
      <c r="AI25" s="43">
        <f>IF($AV25=1,ROUND($J25/S_VATF,2),"")</f>
        <v/>
      </c>
      <c r="AJ25" s="43">
        <f>IF($AV25=1,ROUND($AA25+$AH25+$AI25-$AD25-$AE25-$AF25-$AG25,2),"")</f>
        <v/>
      </c>
      <c r="AK25" s="32">
        <f>IF(AND($AV25=1,N($L25)&gt;0),IFERROR(IF(IFERROR(INDEX(Payment_Methods!$C:$C,MATCH("CASH",Payment_Methods!$A:$A,0)),"")="نقدي",INDEX(Treasuries!$E:$E,MATCH(INDEX(Locations!$G:$G,MATCH($C25,Locations!$A:$A,0)),Treasuries!$A:$A,0)),INDEX(Payment_Methods!$D:$D,MATCH("CASH",Payment_Methods!$A:$A,0))),"؟"),"")</f>
        <v/>
      </c>
      <c r="AL25" s="32">
        <f>IF(AND($AV25=1,N($M25)&gt;0),IFERROR(IF(IFERROR(INDEX(Payment_Methods!$C:$C,MATCH("CARD",Payment_Methods!$A:$A,0)),"")="نقدي",INDEX(Treasuries!$E:$E,MATCH(INDEX(Locations!$G:$G,MATCH($C25,Locations!$A:$A,0)),Treasuries!$A:$A,0)),INDEX(Payment_Methods!$D:$D,MATCH("CARD",Payment_Methods!$A:$A,0))),"؟"),"")</f>
        <v/>
      </c>
      <c r="AM25" s="32">
        <f>IF(AND($AV25=1,N($N25)&gt;0),IFERROR(IF(IFERROR(INDEX(Payment_Methods!$C:$C,MATCH("TLB",Payment_Methods!$A:$A,0)),"")="نقدي",INDEX(Treasuries!$E:$E,MATCH(INDEX(Locations!$G:$G,MATCH($C25,Locations!$A:$A,0)),Treasuries!$A:$A,0)),INDEX(Payment_Methods!$D:$D,MATCH("TLB",Payment_Methods!$A:$A,0))),"؟"),"")</f>
        <v/>
      </c>
      <c r="AN25" s="32">
        <f>IF(AND($AV25=1,N($O25)&gt;0),IFERROR(IF(IFERROR(INDEX(Payment_Methods!$C:$C,MATCH("DLV2",Payment_Methods!$A:$A,0)),"")="نقدي",INDEX(Treasuries!$E:$E,MATCH(INDEX(Locations!$G:$G,MATCH($C25,Locations!$A:$A,0)),Treasuries!$A:$A,0)),INDEX(Payment_Methods!$D:$D,MATCH("DLV2",Payment_Methods!$A:$A,0))),"؟"),"")</f>
        <v/>
      </c>
      <c r="AO25" s="32">
        <f>IF(AND($AV25=1,N($P25)&gt;0),IFERROR(IF(IFERROR(INDEX(Payment_Methods!$C:$C,MATCH("INSTA",Payment_Methods!$A:$A,0)),"")="نقدي",INDEX(Treasuries!$E:$E,MATCH(INDEX(Locations!$G:$G,MATCH($C25,Locations!$A:$A,0)),Treasuries!$A:$A,0)),INDEX(Payment_Methods!$D:$D,MATCH("INSTA",Payment_Methods!$A:$A,0))),"؟"),"")</f>
        <v/>
      </c>
      <c r="AP25" s="32">
        <f>IF(AND($AV25=1,N($Q25)&gt;0),IFERROR(IF(IFERROR(INDEX(Payment_Methods!$C:$C,MATCH($R25,Payment_Methods!$A:$A,0)),"")="نقدي",INDEX(Treasuries!$E:$E,MATCH(INDEX(Locations!$G:$G,MATCH($C25,Locations!$A:$A,0)),Treasuries!$A:$A,0)),INDEX(Payment_Methods!$D:$D,MATCH($R25,Payment_Methods!$A:$A,0))),"؟"),"")</f>
        <v/>
      </c>
      <c r="AQ25" s="32">
        <f>INDEX(Lists!$U$5:$U$8,1)</f>
        <v/>
      </c>
      <c r="AR25" s="32">
        <f>INDEX(Lists!$U$5:$U$8,2)</f>
        <v/>
      </c>
      <c r="AS25" s="32">
        <f>INDEX(Lists!$U$5:$U$8,3)</f>
        <v/>
      </c>
      <c r="AT25" s="32">
        <f>INDEX(Lists!$U$5:$U$8,4)</f>
        <v/>
      </c>
      <c r="AU25" s="44">
        <f>IF($AV25=1,IF(COUNTIFS(Daily_Recon!$A:$A,$B25,Daily_Recon!$B:$B,$C25)&gt;0,"نعم","لا"),"")</f>
        <v/>
      </c>
      <c r="AV25" s="32">
        <f>IF(COUNTA($A25:$Y25)&gt;0,1,0)</f>
        <v/>
      </c>
      <c r="AW25" s="32">
        <f>IF($AV25=0,"",IF($A25="","رقم المستند ناقص",IF(COUNTIF(Doc_Register!$A:$A,$A25)&gt;1,"رقم مستند مكرر في السجل المركزي",IF(LEFT($A25,LEN("SAL")+1)&lt;&gt;"SAL"&amp;"-","بادئة الرقم لا تطابق نوع المستند",IF(NOT(ISNUMBER($B25)),"التاريخ ناقص أو غير صحيح",IF($S25="","حالة المستند ناقصة",IF($T25="","اسم المُعِد ناقص",IF(AND(OR($S25=ST_APPR,$S25=ST_POST),$U25=""),"لا يوجد معتمد",IF(AND($U25&lt;&gt;"",$U25=$T25),"المُعِد والمعتمد نفس الشخص (فصل المهام)",IF(AND($S25=ST_POST,$V25=""),"اسم المحاسب المرحِّل ناقص",IF(AND($S25=ST_POST,$V25&lt;&gt;"",OR($V25=$T25,$V25=$U25)),"المرحِّل يجب أن يختلف عن المُعِد والمعتمد",IF(AND($S25=ST_REV,$X25=""),"مرجع التصحيح/الإلغاء ناقص",IF(AND(ISNUMBER($B25),OR($S25=ST_DRAFT,$S25=ST_APPR),COUNTIFS(Period_Close!$A:$A,YEAR($B25)*100+MONTH($B25),Period_Close!$B:$B,"مقفلة")&gt;0),"الفترة مقفلة: لا يسمح بمستند جديد",IF(NOT(COUNTIF(Locations!$A:$A,$C25)&gt;0),"الفرع غير معرف",IF(IFERROR(INDEX(Locations!$C:$C,MATCH($C25,Locations!$A:$A,0)),"")&lt;&gt;"فرع","الموقع المختار ليس فرع بيع",IF(AND($S25&lt;&gt;ST_REV,$S25&lt;&gt;ST_CANC,COUNTIFS($B$4:$B24,$B25,$C$4:$C24,$C25,$S$4:$S24,"&lt;&gt;"&amp;ST_REV,$S$4:$S24,"&lt;&gt;"&amp;ST_CANC)&gt;0),"تقرير مبيعات مكرر لنفس الفرع واليوم",IF(MIN($E25,$F25,$G25,$H25,$I25,$J25,$L25,$M25,$N25,$O25,$P25,$Q25)&lt;0,"توجد مبالغ سالبة (استخدم مستند عكسي)",IF($Z25&lt;=0,"إجمالي المبيعات صفر",IF($AA25&lt;0,"الخصومات والمرتجعات أكبر من المبيعات",IF(AND(N($Q25)&gt;0,$R25=""),"كود وسيلة الدفع الأخرى ناقص",IF(ABS($AC25)&gt;S_Tol,"مجموع وسائل الدفع لا يساوي صافي المبيعات",IF(OR(AND(N($L25)&gt;0,COUNTIFS(COA!$A:$A,$AK25,COA!$R:$R,1)&lt;&gt;1),AND(N($M25)&gt;0,COUNTIFS(COA!$A:$A,$AL25,COA!$R:$R,1)&lt;&gt;1),AND(N($N25)&gt;0,COUNTIFS(COA!$A:$A,$AM25,COA!$R:$R,1)&lt;&gt;1),AND(N($O25)&gt;0,COUNTIFS(COA!$A:$A,$AN25,COA!$R:$R,1)&lt;&gt;1),AND(N($P25)&gt;0,COUNTIFS(COA!$A:$A,$AO25,COA!$R:$R,1)&lt;&gt;1),AND(N($Q25)&gt;0,COUNTIFS(COA!$A:$A,$AP25,COA!$R:$R,1)&lt;&gt;1),AND(N($E25)&gt;0,COUNTIFS(COA!$A:$A,$AQ25,COA!$R:$R,1)&lt;&gt;1),AND(N($F25)&gt;0,COUNTIFS(COA!$A:$A,$AR25,COA!$R:$R,1)&lt;&gt;1),AND(N($G25)&gt;0,COUNTIFS(COA!$A:$A,$AS25,COA!$R:$R,1)&lt;&gt;1),AND(N($H25)&gt;0,COUNTIFS(COA!$A:$A,$AT25,COA!$R:$R,1)&lt;&gt;1)),"حساب تسوية أو إيراد غير صالح",IF($AJ25&lt;-S_Tol,"الضريبة المحسوبة سالبة","")))))))))))))))))))))))</f>
        <v/>
      </c>
      <c r="AX25" s="32">
        <f>IF($AV25=1,IF($AW25&lt;&gt;"",1,0),0)</f>
        <v/>
      </c>
      <c r="AY25" s="32">
        <f>IF(AND($AV25=1,$AX25=0,$S25=ST_POST),1,0)</f>
        <v/>
      </c>
    </row>
    <row r="26">
      <c r="A26" s="29" t="n"/>
      <c r="B26" s="31" t="n"/>
      <c r="C26" s="39" t="n"/>
      <c r="D26" s="29" t="n"/>
      <c r="E26" s="42" t="n"/>
      <c r="F26" s="42" t="n"/>
      <c r="G26" s="42" t="n"/>
      <c r="H26" s="42" t="n"/>
      <c r="I26" s="42" t="n"/>
      <c r="J26" s="42" t="n"/>
      <c r="K26" s="42" t="n"/>
      <c r="L26" s="42" t="n"/>
      <c r="M26" s="42" t="n"/>
      <c r="N26" s="42" t="n"/>
      <c r="O26" s="42" t="n"/>
      <c r="P26" s="42" t="n"/>
      <c r="Q26" s="42" t="n"/>
      <c r="R26" s="39" t="n"/>
      <c r="S26" s="39" t="n"/>
      <c r="T26" s="29" t="n"/>
      <c r="U26" s="29" t="n"/>
      <c r="V26" s="29" t="n"/>
      <c r="W26" s="29" t="n"/>
      <c r="X26" s="29" t="n"/>
      <c r="Y26" s="29" t="n"/>
      <c r="Z26" s="43">
        <f>IF($AV26=1,$E26+$F26+$G26+$H26,"")</f>
        <v/>
      </c>
      <c r="AA26" s="43">
        <f>IF($AV26=1,$Z26-$I26-$J26,"")</f>
        <v/>
      </c>
      <c r="AB26" s="43">
        <f>IF($AV26=1,$L26+$M26+$N26+$O26+$P26+$Q26,"")</f>
        <v/>
      </c>
      <c r="AC26" s="47">
        <f>IF($AV26=1,ROUND($AA26-$AB26,2),"")</f>
        <v/>
      </c>
      <c r="AD26" s="43">
        <f>IF($AV26=1,ROUND($E26/S_VATF,2),"")</f>
        <v/>
      </c>
      <c r="AE26" s="43">
        <f>IF($AV26=1,ROUND($F26/S_VATF,2),"")</f>
        <v/>
      </c>
      <c r="AF26" s="43">
        <f>IF($AV26=1,ROUND($G26/S_VATF,2),"")</f>
        <v/>
      </c>
      <c r="AG26" s="43">
        <f>IF($AV26=1,ROUND($H26/S_VATF,2),"")</f>
        <v/>
      </c>
      <c r="AH26" s="43">
        <f>IF($AV26=1,ROUND($I26/S_VATF,2),"")</f>
        <v/>
      </c>
      <c r="AI26" s="43">
        <f>IF($AV26=1,ROUND($J26/S_VATF,2),"")</f>
        <v/>
      </c>
      <c r="AJ26" s="43">
        <f>IF($AV26=1,ROUND($AA26+$AH26+$AI26-$AD26-$AE26-$AF26-$AG26,2),"")</f>
        <v/>
      </c>
      <c r="AK26" s="32">
        <f>IF(AND($AV26=1,N($L26)&gt;0),IFERROR(IF(IFERROR(INDEX(Payment_Methods!$C:$C,MATCH("CASH",Payment_Methods!$A:$A,0)),"")="نقدي",INDEX(Treasuries!$E:$E,MATCH(INDEX(Locations!$G:$G,MATCH($C26,Locations!$A:$A,0)),Treasuries!$A:$A,0)),INDEX(Payment_Methods!$D:$D,MATCH("CASH",Payment_Methods!$A:$A,0))),"؟"),"")</f>
        <v/>
      </c>
      <c r="AL26" s="32">
        <f>IF(AND($AV26=1,N($M26)&gt;0),IFERROR(IF(IFERROR(INDEX(Payment_Methods!$C:$C,MATCH("CARD",Payment_Methods!$A:$A,0)),"")="نقدي",INDEX(Treasuries!$E:$E,MATCH(INDEX(Locations!$G:$G,MATCH($C26,Locations!$A:$A,0)),Treasuries!$A:$A,0)),INDEX(Payment_Methods!$D:$D,MATCH("CARD",Payment_Methods!$A:$A,0))),"؟"),"")</f>
        <v/>
      </c>
      <c r="AM26" s="32">
        <f>IF(AND($AV26=1,N($N26)&gt;0),IFERROR(IF(IFERROR(INDEX(Payment_Methods!$C:$C,MATCH("TLB",Payment_Methods!$A:$A,0)),"")="نقدي",INDEX(Treasuries!$E:$E,MATCH(INDEX(Locations!$G:$G,MATCH($C26,Locations!$A:$A,0)),Treasuries!$A:$A,0)),INDEX(Payment_Methods!$D:$D,MATCH("TLB",Payment_Methods!$A:$A,0))),"؟"),"")</f>
        <v/>
      </c>
      <c r="AN26" s="32">
        <f>IF(AND($AV26=1,N($O26)&gt;0),IFERROR(IF(IFERROR(INDEX(Payment_Methods!$C:$C,MATCH("DLV2",Payment_Methods!$A:$A,0)),"")="نقدي",INDEX(Treasuries!$E:$E,MATCH(INDEX(Locations!$G:$G,MATCH($C26,Locations!$A:$A,0)),Treasuries!$A:$A,0)),INDEX(Payment_Methods!$D:$D,MATCH("DLV2",Payment_Methods!$A:$A,0))),"؟"),"")</f>
        <v/>
      </c>
      <c r="AO26" s="32">
        <f>IF(AND($AV26=1,N($P26)&gt;0),IFERROR(IF(IFERROR(INDEX(Payment_Methods!$C:$C,MATCH("INSTA",Payment_Methods!$A:$A,0)),"")="نقدي",INDEX(Treasuries!$E:$E,MATCH(INDEX(Locations!$G:$G,MATCH($C26,Locations!$A:$A,0)),Treasuries!$A:$A,0)),INDEX(Payment_Methods!$D:$D,MATCH("INSTA",Payment_Methods!$A:$A,0))),"؟"),"")</f>
        <v/>
      </c>
      <c r="AP26" s="32">
        <f>IF(AND($AV26=1,N($Q26)&gt;0),IFERROR(IF(IFERROR(INDEX(Payment_Methods!$C:$C,MATCH($R26,Payment_Methods!$A:$A,0)),"")="نقدي",INDEX(Treasuries!$E:$E,MATCH(INDEX(Locations!$G:$G,MATCH($C26,Locations!$A:$A,0)),Treasuries!$A:$A,0)),INDEX(Payment_Methods!$D:$D,MATCH($R26,Payment_Methods!$A:$A,0))),"؟"),"")</f>
        <v/>
      </c>
      <c r="AQ26" s="32">
        <f>INDEX(Lists!$U$5:$U$8,1)</f>
        <v/>
      </c>
      <c r="AR26" s="32">
        <f>INDEX(Lists!$U$5:$U$8,2)</f>
        <v/>
      </c>
      <c r="AS26" s="32">
        <f>INDEX(Lists!$U$5:$U$8,3)</f>
        <v/>
      </c>
      <c r="AT26" s="32">
        <f>INDEX(Lists!$U$5:$U$8,4)</f>
        <v/>
      </c>
      <c r="AU26" s="44">
        <f>IF($AV26=1,IF(COUNTIFS(Daily_Recon!$A:$A,$B26,Daily_Recon!$B:$B,$C26)&gt;0,"نعم","لا"),"")</f>
        <v/>
      </c>
      <c r="AV26" s="32">
        <f>IF(COUNTA($A26:$Y26)&gt;0,1,0)</f>
        <v/>
      </c>
      <c r="AW26" s="32">
        <f>IF($AV26=0,"",IF($A26="","رقم المستند ناقص",IF(COUNTIF(Doc_Register!$A:$A,$A26)&gt;1,"رقم مستند مكرر في السجل المركزي",IF(LEFT($A26,LEN("SAL")+1)&lt;&gt;"SAL"&amp;"-","بادئة الرقم لا تطابق نوع المستند",IF(NOT(ISNUMBER($B26)),"التاريخ ناقص أو غير صحيح",IF($S26="","حالة المستند ناقصة",IF($T26="","اسم المُعِد ناقص",IF(AND(OR($S26=ST_APPR,$S26=ST_POST),$U26=""),"لا يوجد معتمد",IF(AND($U26&lt;&gt;"",$U26=$T26),"المُعِد والمعتمد نفس الشخص (فصل المهام)",IF(AND($S26=ST_POST,$V26=""),"اسم المحاسب المرحِّل ناقص",IF(AND($S26=ST_POST,$V26&lt;&gt;"",OR($V26=$T26,$V26=$U26)),"المرحِّل يجب أن يختلف عن المُعِد والمعتمد",IF(AND($S26=ST_REV,$X26=""),"مرجع التصحيح/الإلغاء ناقص",IF(AND(ISNUMBER($B26),OR($S26=ST_DRAFT,$S26=ST_APPR),COUNTIFS(Period_Close!$A:$A,YEAR($B26)*100+MONTH($B26),Period_Close!$B:$B,"مقفلة")&gt;0),"الفترة مقفلة: لا يسمح بمستند جديد",IF(NOT(COUNTIF(Locations!$A:$A,$C26)&gt;0),"الفرع غير معرف",IF(IFERROR(INDEX(Locations!$C:$C,MATCH($C26,Locations!$A:$A,0)),"")&lt;&gt;"فرع","الموقع المختار ليس فرع بيع",IF(AND($S26&lt;&gt;ST_REV,$S26&lt;&gt;ST_CANC,COUNTIFS($B$4:$B25,$B26,$C$4:$C25,$C26,$S$4:$S25,"&lt;&gt;"&amp;ST_REV,$S$4:$S25,"&lt;&gt;"&amp;ST_CANC)&gt;0),"تقرير مبيعات مكرر لنفس الفرع واليوم",IF(MIN($E26,$F26,$G26,$H26,$I26,$J26,$L26,$M26,$N26,$O26,$P26,$Q26)&lt;0,"توجد مبالغ سالبة (استخدم مستند عكسي)",IF($Z26&lt;=0,"إجمالي المبيعات صفر",IF($AA26&lt;0,"الخصومات والمرتجعات أكبر من المبيعات",IF(AND(N($Q26)&gt;0,$R26=""),"كود وسيلة الدفع الأخرى ناقص",IF(ABS($AC26)&gt;S_Tol,"مجموع وسائل الدفع لا يساوي صافي المبيعات",IF(OR(AND(N($L26)&gt;0,COUNTIFS(COA!$A:$A,$AK26,COA!$R:$R,1)&lt;&gt;1),AND(N($M26)&gt;0,COUNTIFS(COA!$A:$A,$AL26,COA!$R:$R,1)&lt;&gt;1),AND(N($N26)&gt;0,COUNTIFS(COA!$A:$A,$AM26,COA!$R:$R,1)&lt;&gt;1),AND(N($O26)&gt;0,COUNTIFS(COA!$A:$A,$AN26,COA!$R:$R,1)&lt;&gt;1),AND(N($P26)&gt;0,COUNTIFS(COA!$A:$A,$AO26,COA!$R:$R,1)&lt;&gt;1),AND(N($Q26)&gt;0,COUNTIFS(COA!$A:$A,$AP26,COA!$R:$R,1)&lt;&gt;1),AND(N($E26)&gt;0,COUNTIFS(COA!$A:$A,$AQ26,COA!$R:$R,1)&lt;&gt;1),AND(N($F26)&gt;0,COUNTIFS(COA!$A:$A,$AR26,COA!$R:$R,1)&lt;&gt;1),AND(N($G26)&gt;0,COUNTIFS(COA!$A:$A,$AS26,COA!$R:$R,1)&lt;&gt;1),AND(N($H26)&gt;0,COUNTIFS(COA!$A:$A,$AT26,COA!$R:$R,1)&lt;&gt;1)),"حساب تسوية أو إيراد غير صالح",IF($AJ26&lt;-S_Tol,"الضريبة المحسوبة سالبة","")))))))))))))))))))))))</f>
        <v/>
      </c>
      <c r="AX26" s="32">
        <f>IF($AV26=1,IF($AW26&lt;&gt;"",1,0),0)</f>
        <v/>
      </c>
      <c r="AY26" s="32">
        <f>IF(AND($AV26=1,$AX26=0,$S26=ST_POST),1,0)</f>
        <v/>
      </c>
    </row>
    <row r="27">
      <c r="A27" s="29" t="n"/>
      <c r="B27" s="31" t="n"/>
      <c r="C27" s="39" t="n"/>
      <c r="D27" s="29" t="n"/>
      <c r="E27" s="42" t="n"/>
      <c r="F27" s="42" t="n"/>
      <c r="G27" s="42" t="n"/>
      <c r="H27" s="42" t="n"/>
      <c r="I27" s="42" t="n"/>
      <c r="J27" s="42" t="n"/>
      <c r="K27" s="42" t="n"/>
      <c r="L27" s="42" t="n"/>
      <c r="M27" s="42" t="n"/>
      <c r="N27" s="42" t="n"/>
      <c r="O27" s="42" t="n"/>
      <c r="P27" s="42" t="n"/>
      <c r="Q27" s="42" t="n"/>
      <c r="R27" s="39" t="n"/>
      <c r="S27" s="39" t="n"/>
      <c r="T27" s="29" t="n"/>
      <c r="U27" s="29" t="n"/>
      <c r="V27" s="29" t="n"/>
      <c r="W27" s="29" t="n"/>
      <c r="X27" s="29" t="n"/>
      <c r="Y27" s="29" t="n"/>
      <c r="Z27" s="43">
        <f>IF($AV27=1,$E27+$F27+$G27+$H27,"")</f>
        <v/>
      </c>
      <c r="AA27" s="43">
        <f>IF($AV27=1,$Z27-$I27-$J27,"")</f>
        <v/>
      </c>
      <c r="AB27" s="43">
        <f>IF($AV27=1,$L27+$M27+$N27+$O27+$P27+$Q27,"")</f>
        <v/>
      </c>
      <c r="AC27" s="47">
        <f>IF($AV27=1,ROUND($AA27-$AB27,2),"")</f>
        <v/>
      </c>
      <c r="AD27" s="43">
        <f>IF($AV27=1,ROUND($E27/S_VATF,2),"")</f>
        <v/>
      </c>
      <c r="AE27" s="43">
        <f>IF($AV27=1,ROUND($F27/S_VATF,2),"")</f>
        <v/>
      </c>
      <c r="AF27" s="43">
        <f>IF($AV27=1,ROUND($G27/S_VATF,2),"")</f>
        <v/>
      </c>
      <c r="AG27" s="43">
        <f>IF($AV27=1,ROUND($H27/S_VATF,2),"")</f>
        <v/>
      </c>
      <c r="AH27" s="43">
        <f>IF($AV27=1,ROUND($I27/S_VATF,2),"")</f>
        <v/>
      </c>
      <c r="AI27" s="43">
        <f>IF($AV27=1,ROUND($J27/S_VATF,2),"")</f>
        <v/>
      </c>
      <c r="AJ27" s="43">
        <f>IF($AV27=1,ROUND($AA27+$AH27+$AI27-$AD27-$AE27-$AF27-$AG27,2),"")</f>
        <v/>
      </c>
      <c r="AK27" s="32">
        <f>IF(AND($AV27=1,N($L27)&gt;0),IFERROR(IF(IFERROR(INDEX(Payment_Methods!$C:$C,MATCH("CASH",Payment_Methods!$A:$A,0)),"")="نقدي",INDEX(Treasuries!$E:$E,MATCH(INDEX(Locations!$G:$G,MATCH($C27,Locations!$A:$A,0)),Treasuries!$A:$A,0)),INDEX(Payment_Methods!$D:$D,MATCH("CASH",Payment_Methods!$A:$A,0))),"؟"),"")</f>
        <v/>
      </c>
      <c r="AL27" s="32">
        <f>IF(AND($AV27=1,N($M27)&gt;0),IFERROR(IF(IFERROR(INDEX(Payment_Methods!$C:$C,MATCH("CARD",Payment_Methods!$A:$A,0)),"")="نقدي",INDEX(Treasuries!$E:$E,MATCH(INDEX(Locations!$G:$G,MATCH($C27,Locations!$A:$A,0)),Treasuries!$A:$A,0)),INDEX(Payment_Methods!$D:$D,MATCH("CARD",Payment_Methods!$A:$A,0))),"؟"),"")</f>
        <v/>
      </c>
      <c r="AM27" s="32">
        <f>IF(AND($AV27=1,N($N27)&gt;0),IFERROR(IF(IFERROR(INDEX(Payment_Methods!$C:$C,MATCH("TLB",Payment_Methods!$A:$A,0)),"")="نقدي",INDEX(Treasuries!$E:$E,MATCH(INDEX(Locations!$G:$G,MATCH($C27,Locations!$A:$A,0)),Treasuries!$A:$A,0)),INDEX(Payment_Methods!$D:$D,MATCH("TLB",Payment_Methods!$A:$A,0))),"؟"),"")</f>
        <v/>
      </c>
      <c r="AN27" s="32">
        <f>IF(AND($AV27=1,N($O27)&gt;0),IFERROR(IF(IFERROR(INDEX(Payment_Methods!$C:$C,MATCH("DLV2",Payment_Methods!$A:$A,0)),"")="نقدي",INDEX(Treasuries!$E:$E,MATCH(INDEX(Locations!$G:$G,MATCH($C27,Locations!$A:$A,0)),Treasuries!$A:$A,0)),INDEX(Payment_Methods!$D:$D,MATCH("DLV2",Payment_Methods!$A:$A,0))),"؟"),"")</f>
        <v/>
      </c>
      <c r="AO27" s="32">
        <f>IF(AND($AV27=1,N($P27)&gt;0),IFERROR(IF(IFERROR(INDEX(Payment_Methods!$C:$C,MATCH("INSTA",Payment_Methods!$A:$A,0)),"")="نقدي",INDEX(Treasuries!$E:$E,MATCH(INDEX(Locations!$G:$G,MATCH($C27,Locations!$A:$A,0)),Treasuries!$A:$A,0)),INDEX(Payment_Methods!$D:$D,MATCH("INSTA",Payment_Methods!$A:$A,0))),"؟"),"")</f>
        <v/>
      </c>
      <c r="AP27" s="32">
        <f>IF(AND($AV27=1,N($Q27)&gt;0),IFERROR(IF(IFERROR(INDEX(Payment_Methods!$C:$C,MATCH($R27,Payment_Methods!$A:$A,0)),"")="نقدي",INDEX(Treasuries!$E:$E,MATCH(INDEX(Locations!$G:$G,MATCH($C27,Locations!$A:$A,0)),Treasuries!$A:$A,0)),INDEX(Payment_Methods!$D:$D,MATCH($R27,Payment_Methods!$A:$A,0))),"؟"),"")</f>
        <v/>
      </c>
      <c r="AQ27" s="32">
        <f>INDEX(Lists!$U$5:$U$8,1)</f>
        <v/>
      </c>
      <c r="AR27" s="32">
        <f>INDEX(Lists!$U$5:$U$8,2)</f>
        <v/>
      </c>
      <c r="AS27" s="32">
        <f>INDEX(Lists!$U$5:$U$8,3)</f>
        <v/>
      </c>
      <c r="AT27" s="32">
        <f>INDEX(Lists!$U$5:$U$8,4)</f>
        <v/>
      </c>
      <c r="AU27" s="44">
        <f>IF($AV27=1,IF(COUNTIFS(Daily_Recon!$A:$A,$B27,Daily_Recon!$B:$B,$C27)&gt;0,"نعم","لا"),"")</f>
        <v/>
      </c>
      <c r="AV27" s="32">
        <f>IF(COUNTA($A27:$Y27)&gt;0,1,0)</f>
        <v/>
      </c>
      <c r="AW27" s="32">
        <f>IF($AV27=0,"",IF($A27="","رقم المستند ناقص",IF(COUNTIF(Doc_Register!$A:$A,$A27)&gt;1,"رقم مستند مكرر في السجل المركزي",IF(LEFT($A27,LEN("SAL")+1)&lt;&gt;"SAL"&amp;"-","بادئة الرقم لا تطابق نوع المستند",IF(NOT(ISNUMBER($B27)),"التاريخ ناقص أو غير صحيح",IF($S27="","حالة المستند ناقصة",IF($T27="","اسم المُعِد ناقص",IF(AND(OR($S27=ST_APPR,$S27=ST_POST),$U27=""),"لا يوجد معتمد",IF(AND($U27&lt;&gt;"",$U27=$T27),"المُعِد والمعتمد نفس الشخص (فصل المهام)",IF(AND($S27=ST_POST,$V27=""),"اسم المحاسب المرحِّل ناقص",IF(AND($S27=ST_POST,$V27&lt;&gt;"",OR($V27=$T27,$V27=$U27)),"المرحِّل يجب أن يختلف عن المُعِد والمعتمد",IF(AND($S27=ST_REV,$X27=""),"مرجع التصحيح/الإلغاء ناقص",IF(AND(ISNUMBER($B27),OR($S27=ST_DRAFT,$S27=ST_APPR),COUNTIFS(Period_Close!$A:$A,YEAR($B27)*100+MONTH($B27),Period_Close!$B:$B,"مقفلة")&gt;0),"الفترة مقفلة: لا يسمح بمستند جديد",IF(NOT(COUNTIF(Locations!$A:$A,$C27)&gt;0),"الفرع غير معرف",IF(IFERROR(INDEX(Locations!$C:$C,MATCH($C27,Locations!$A:$A,0)),"")&lt;&gt;"فرع","الموقع المختار ليس فرع بيع",IF(AND($S27&lt;&gt;ST_REV,$S27&lt;&gt;ST_CANC,COUNTIFS($B$4:$B26,$B27,$C$4:$C26,$C27,$S$4:$S26,"&lt;&gt;"&amp;ST_REV,$S$4:$S26,"&lt;&gt;"&amp;ST_CANC)&gt;0),"تقرير مبيعات مكرر لنفس الفرع واليوم",IF(MIN($E27,$F27,$G27,$H27,$I27,$J27,$L27,$M27,$N27,$O27,$P27,$Q27)&lt;0,"توجد مبالغ سالبة (استخدم مستند عكسي)",IF($Z27&lt;=0,"إجمالي المبيعات صفر",IF($AA27&lt;0,"الخصومات والمرتجعات أكبر من المبيعات",IF(AND(N($Q27)&gt;0,$R27=""),"كود وسيلة الدفع الأخرى ناقص",IF(ABS($AC27)&gt;S_Tol,"مجموع وسائل الدفع لا يساوي صافي المبيعات",IF(OR(AND(N($L27)&gt;0,COUNTIFS(COA!$A:$A,$AK27,COA!$R:$R,1)&lt;&gt;1),AND(N($M27)&gt;0,COUNTIFS(COA!$A:$A,$AL27,COA!$R:$R,1)&lt;&gt;1),AND(N($N27)&gt;0,COUNTIFS(COA!$A:$A,$AM27,COA!$R:$R,1)&lt;&gt;1),AND(N($O27)&gt;0,COUNTIFS(COA!$A:$A,$AN27,COA!$R:$R,1)&lt;&gt;1),AND(N($P27)&gt;0,COUNTIFS(COA!$A:$A,$AO27,COA!$R:$R,1)&lt;&gt;1),AND(N($Q27)&gt;0,COUNTIFS(COA!$A:$A,$AP27,COA!$R:$R,1)&lt;&gt;1),AND(N($E27)&gt;0,COUNTIFS(COA!$A:$A,$AQ27,COA!$R:$R,1)&lt;&gt;1),AND(N($F27)&gt;0,COUNTIFS(COA!$A:$A,$AR27,COA!$R:$R,1)&lt;&gt;1),AND(N($G27)&gt;0,COUNTIFS(COA!$A:$A,$AS27,COA!$R:$R,1)&lt;&gt;1),AND(N($H27)&gt;0,COUNTIFS(COA!$A:$A,$AT27,COA!$R:$R,1)&lt;&gt;1)),"حساب تسوية أو إيراد غير صالح",IF($AJ27&lt;-S_Tol,"الضريبة المحسوبة سالبة","")))))))))))))))))))))))</f>
        <v/>
      </c>
      <c r="AX27" s="32">
        <f>IF($AV27=1,IF($AW27&lt;&gt;"",1,0),0)</f>
        <v/>
      </c>
      <c r="AY27" s="32">
        <f>IF(AND($AV27=1,$AX27=0,$S27=ST_POST),1,0)</f>
        <v/>
      </c>
    </row>
    <row r="28">
      <c r="A28" s="29" t="n"/>
      <c r="B28" s="31" t="n"/>
      <c r="C28" s="39" t="n"/>
      <c r="D28" s="29" t="n"/>
      <c r="E28" s="42" t="n"/>
      <c r="F28" s="42" t="n"/>
      <c r="G28" s="42" t="n"/>
      <c r="H28" s="42" t="n"/>
      <c r="I28" s="42" t="n"/>
      <c r="J28" s="42" t="n"/>
      <c r="K28" s="42" t="n"/>
      <c r="L28" s="42" t="n"/>
      <c r="M28" s="42" t="n"/>
      <c r="N28" s="42" t="n"/>
      <c r="O28" s="42" t="n"/>
      <c r="P28" s="42" t="n"/>
      <c r="Q28" s="42" t="n"/>
      <c r="R28" s="39" t="n"/>
      <c r="S28" s="39" t="n"/>
      <c r="T28" s="29" t="n"/>
      <c r="U28" s="29" t="n"/>
      <c r="V28" s="29" t="n"/>
      <c r="W28" s="29" t="n"/>
      <c r="X28" s="29" t="n"/>
      <c r="Y28" s="29" t="n"/>
      <c r="Z28" s="43">
        <f>IF($AV28=1,$E28+$F28+$G28+$H28,"")</f>
        <v/>
      </c>
      <c r="AA28" s="43">
        <f>IF($AV28=1,$Z28-$I28-$J28,"")</f>
        <v/>
      </c>
      <c r="AB28" s="43">
        <f>IF($AV28=1,$L28+$M28+$N28+$O28+$P28+$Q28,"")</f>
        <v/>
      </c>
      <c r="AC28" s="47">
        <f>IF($AV28=1,ROUND($AA28-$AB28,2),"")</f>
        <v/>
      </c>
      <c r="AD28" s="43">
        <f>IF($AV28=1,ROUND($E28/S_VATF,2),"")</f>
        <v/>
      </c>
      <c r="AE28" s="43">
        <f>IF($AV28=1,ROUND($F28/S_VATF,2),"")</f>
        <v/>
      </c>
      <c r="AF28" s="43">
        <f>IF($AV28=1,ROUND($G28/S_VATF,2),"")</f>
        <v/>
      </c>
      <c r="AG28" s="43">
        <f>IF($AV28=1,ROUND($H28/S_VATF,2),"")</f>
        <v/>
      </c>
      <c r="AH28" s="43">
        <f>IF($AV28=1,ROUND($I28/S_VATF,2),"")</f>
        <v/>
      </c>
      <c r="AI28" s="43">
        <f>IF($AV28=1,ROUND($J28/S_VATF,2),"")</f>
        <v/>
      </c>
      <c r="AJ28" s="43">
        <f>IF($AV28=1,ROUND($AA28+$AH28+$AI28-$AD28-$AE28-$AF28-$AG28,2),"")</f>
        <v/>
      </c>
      <c r="AK28" s="32">
        <f>IF(AND($AV28=1,N($L28)&gt;0),IFERROR(IF(IFERROR(INDEX(Payment_Methods!$C:$C,MATCH("CASH",Payment_Methods!$A:$A,0)),"")="نقدي",INDEX(Treasuries!$E:$E,MATCH(INDEX(Locations!$G:$G,MATCH($C28,Locations!$A:$A,0)),Treasuries!$A:$A,0)),INDEX(Payment_Methods!$D:$D,MATCH("CASH",Payment_Methods!$A:$A,0))),"؟"),"")</f>
        <v/>
      </c>
      <c r="AL28" s="32">
        <f>IF(AND($AV28=1,N($M28)&gt;0),IFERROR(IF(IFERROR(INDEX(Payment_Methods!$C:$C,MATCH("CARD",Payment_Methods!$A:$A,0)),"")="نقدي",INDEX(Treasuries!$E:$E,MATCH(INDEX(Locations!$G:$G,MATCH($C28,Locations!$A:$A,0)),Treasuries!$A:$A,0)),INDEX(Payment_Methods!$D:$D,MATCH("CARD",Payment_Methods!$A:$A,0))),"؟"),"")</f>
        <v/>
      </c>
      <c r="AM28" s="32">
        <f>IF(AND($AV28=1,N($N28)&gt;0),IFERROR(IF(IFERROR(INDEX(Payment_Methods!$C:$C,MATCH("TLB",Payment_Methods!$A:$A,0)),"")="نقدي",INDEX(Treasuries!$E:$E,MATCH(INDEX(Locations!$G:$G,MATCH($C28,Locations!$A:$A,0)),Treasuries!$A:$A,0)),INDEX(Payment_Methods!$D:$D,MATCH("TLB",Payment_Methods!$A:$A,0))),"؟"),"")</f>
        <v/>
      </c>
      <c r="AN28" s="32">
        <f>IF(AND($AV28=1,N($O28)&gt;0),IFERROR(IF(IFERROR(INDEX(Payment_Methods!$C:$C,MATCH("DLV2",Payment_Methods!$A:$A,0)),"")="نقدي",INDEX(Treasuries!$E:$E,MATCH(INDEX(Locations!$G:$G,MATCH($C28,Locations!$A:$A,0)),Treasuries!$A:$A,0)),INDEX(Payment_Methods!$D:$D,MATCH("DLV2",Payment_Methods!$A:$A,0))),"؟"),"")</f>
        <v/>
      </c>
      <c r="AO28" s="32">
        <f>IF(AND($AV28=1,N($P28)&gt;0),IFERROR(IF(IFERROR(INDEX(Payment_Methods!$C:$C,MATCH("INSTA",Payment_Methods!$A:$A,0)),"")="نقدي",INDEX(Treasuries!$E:$E,MATCH(INDEX(Locations!$G:$G,MATCH($C28,Locations!$A:$A,0)),Treasuries!$A:$A,0)),INDEX(Payment_Methods!$D:$D,MATCH("INSTA",Payment_Methods!$A:$A,0))),"؟"),"")</f>
        <v/>
      </c>
      <c r="AP28" s="32">
        <f>IF(AND($AV28=1,N($Q28)&gt;0),IFERROR(IF(IFERROR(INDEX(Payment_Methods!$C:$C,MATCH($R28,Payment_Methods!$A:$A,0)),"")="نقدي",INDEX(Treasuries!$E:$E,MATCH(INDEX(Locations!$G:$G,MATCH($C28,Locations!$A:$A,0)),Treasuries!$A:$A,0)),INDEX(Payment_Methods!$D:$D,MATCH($R28,Payment_Methods!$A:$A,0))),"؟"),"")</f>
        <v/>
      </c>
      <c r="AQ28" s="32">
        <f>INDEX(Lists!$U$5:$U$8,1)</f>
        <v/>
      </c>
      <c r="AR28" s="32">
        <f>INDEX(Lists!$U$5:$U$8,2)</f>
        <v/>
      </c>
      <c r="AS28" s="32">
        <f>INDEX(Lists!$U$5:$U$8,3)</f>
        <v/>
      </c>
      <c r="AT28" s="32">
        <f>INDEX(Lists!$U$5:$U$8,4)</f>
        <v/>
      </c>
      <c r="AU28" s="44">
        <f>IF($AV28=1,IF(COUNTIFS(Daily_Recon!$A:$A,$B28,Daily_Recon!$B:$B,$C28)&gt;0,"نعم","لا"),"")</f>
        <v/>
      </c>
      <c r="AV28" s="32">
        <f>IF(COUNTA($A28:$Y28)&gt;0,1,0)</f>
        <v/>
      </c>
      <c r="AW28" s="32">
        <f>IF($AV28=0,"",IF($A28="","رقم المستند ناقص",IF(COUNTIF(Doc_Register!$A:$A,$A28)&gt;1,"رقم مستند مكرر في السجل المركزي",IF(LEFT($A28,LEN("SAL")+1)&lt;&gt;"SAL"&amp;"-","بادئة الرقم لا تطابق نوع المستند",IF(NOT(ISNUMBER($B28)),"التاريخ ناقص أو غير صحيح",IF($S28="","حالة المستند ناقصة",IF($T28="","اسم المُعِد ناقص",IF(AND(OR($S28=ST_APPR,$S28=ST_POST),$U28=""),"لا يوجد معتمد",IF(AND($U28&lt;&gt;"",$U28=$T28),"المُعِد والمعتمد نفس الشخص (فصل المهام)",IF(AND($S28=ST_POST,$V28=""),"اسم المحاسب المرحِّل ناقص",IF(AND($S28=ST_POST,$V28&lt;&gt;"",OR($V28=$T28,$V28=$U28)),"المرحِّل يجب أن يختلف عن المُعِد والمعتمد",IF(AND($S28=ST_REV,$X28=""),"مرجع التصحيح/الإلغاء ناقص",IF(AND(ISNUMBER($B28),OR($S28=ST_DRAFT,$S28=ST_APPR),COUNTIFS(Period_Close!$A:$A,YEAR($B28)*100+MONTH($B28),Period_Close!$B:$B,"مقفلة")&gt;0),"الفترة مقفلة: لا يسمح بمستند جديد",IF(NOT(COUNTIF(Locations!$A:$A,$C28)&gt;0),"الفرع غير معرف",IF(IFERROR(INDEX(Locations!$C:$C,MATCH($C28,Locations!$A:$A,0)),"")&lt;&gt;"فرع","الموقع المختار ليس فرع بيع",IF(AND($S28&lt;&gt;ST_REV,$S28&lt;&gt;ST_CANC,COUNTIFS($B$4:$B27,$B28,$C$4:$C27,$C28,$S$4:$S27,"&lt;&gt;"&amp;ST_REV,$S$4:$S27,"&lt;&gt;"&amp;ST_CANC)&gt;0),"تقرير مبيعات مكرر لنفس الفرع واليوم",IF(MIN($E28,$F28,$G28,$H28,$I28,$J28,$L28,$M28,$N28,$O28,$P28,$Q28)&lt;0,"توجد مبالغ سالبة (استخدم مستند عكسي)",IF($Z28&lt;=0,"إجمالي المبيعات صفر",IF($AA28&lt;0,"الخصومات والمرتجعات أكبر من المبيعات",IF(AND(N($Q28)&gt;0,$R28=""),"كود وسيلة الدفع الأخرى ناقص",IF(ABS($AC28)&gt;S_Tol,"مجموع وسائل الدفع لا يساوي صافي المبيعات",IF(OR(AND(N($L28)&gt;0,COUNTIFS(COA!$A:$A,$AK28,COA!$R:$R,1)&lt;&gt;1),AND(N($M28)&gt;0,COUNTIFS(COA!$A:$A,$AL28,COA!$R:$R,1)&lt;&gt;1),AND(N($N28)&gt;0,COUNTIFS(COA!$A:$A,$AM28,COA!$R:$R,1)&lt;&gt;1),AND(N($O28)&gt;0,COUNTIFS(COA!$A:$A,$AN28,COA!$R:$R,1)&lt;&gt;1),AND(N($P28)&gt;0,COUNTIFS(COA!$A:$A,$AO28,COA!$R:$R,1)&lt;&gt;1),AND(N($Q28)&gt;0,COUNTIFS(COA!$A:$A,$AP28,COA!$R:$R,1)&lt;&gt;1),AND(N($E28)&gt;0,COUNTIFS(COA!$A:$A,$AQ28,COA!$R:$R,1)&lt;&gt;1),AND(N($F28)&gt;0,COUNTIFS(COA!$A:$A,$AR28,COA!$R:$R,1)&lt;&gt;1),AND(N($G28)&gt;0,COUNTIFS(COA!$A:$A,$AS28,COA!$R:$R,1)&lt;&gt;1),AND(N($H28)&gt;0,COUNTIFS(COA!$A:$A,$AT28,COA!$R:$R,1)&lt;&gt;1)),"حساب تسوية أو إيراد غير صالح",IF($AJ28&lt;-S_Tol,"الضريبة المحسوبة سالبة","")))))))))))))))))))))))</f>
        <v/>
      </c>
      <c r="AX28" s="32">
        <f>IF($AV28=1,IF($AW28&lt;&gt;"",1,0),0)</f>
        <v/>
      </c>
      <c r="AY28" s="32">
        <f>IF(AND($AV28=1,$AX28=0,$S28=ST_POST),1,0)</f>
        <v/>
      </c>
    </row>
    <row r="29">
      <c r="A29" s="29" t="n"/>
      <c r="B29" s="31" t="n"/>
      <c r="C29" s="39" t="n"/>
      <c r="D29" s="29" t="n"/>
      <c r="E29" s="42" t="n"/>
      <c r="F29" s="42" t="n"/>
      <c r="G29" s="42" t="n"/>
      <c r="H29" s="42" t="n"/>
      <c r="I29" s="42" t="n"/>
      <c r="J29" s="42" t="n"/>
      <c r="K29" s="42" t="n"/>
      <c r="L29" s="42" t="n"/>
      <c r="M29" s="42" t="n"/>
      <c r="N29" s="42" t="n"/>
      <c r="O29" s="42" t="n"/>
      <c r="P29" s="42" t="n"/>
      <c r="Q29" s="42" t="n"/>
      <c r="R29" s="39" t="n"/>
      <c r="S29" s="39" t="n"/>
      <c r="T29" s="29" t="n"/>
      <c r="U29" s="29" t="n"/>
      <c r="V29" s="29" t="n"/>
      <c r="W29" s="29" t="n"/>
      <c r="X29" s="29" t="n"/>
      <c r="Y29" s="29" t="n"/>
      <c r="Z29" s="43">
        <f>IF($AV29=1,$E29+$F29+$G29+$H29,"")</f>
        <v/>
      </c>
      <c r="AA29" s="43">
        <f>IF($AV29=1,$Z29-$I29-$J29,"")</f>
        <v/>
      </c>
      <c r="AB29" s="43">
        <f>IF($AV29=1,$L29+$M29+$N29+$O29+$P29+$Q29,"")</f>
        <v/>
      </c>
      <c r="AC29" s="47">
        <f>IF($AV29=1,ROUND($AA29-$AB29,2),"")</f>
        <v/>
      </c>
      <c r="AD29" s="43">
        <f>IF($AV29=1,ROUND($E29/S_VATF,2),"")</f>
        <v/>
      </c>
      <c r="AE29" s="43">
        <f>IF($AV29=1,ROUND($F29/S_VATF,2),"")</f>
        <v/>
      </c>
      <c r="AF29" s="43">
        <f>IF($AV29=1,ROUND($G29/S_VATF,2),"")</f>
        <v/>
      </c>
      <c r="AG29" s="43">
        <f>IF($AV29=1,ROUND($H29/S_VATF,2),"")</f>
        <v/>
      </c>
      <c r="AH29" s="43">
        <f>IF($AV29=1,ROUND($I29/S_VATF,2),"")</f>
        <v/>
      </c>
      <c r="AI29" s="43">
        <f>IF($AV29=1,ROUND($J29/S_VATF,2),"")</f>
        <v/>
      </c>
      <c r="AJ29" s="43">
        <f>IF($AV29=1,ROUND($AA29+$AH29+$AI29-$AD29-$AE29-$AF29-$AG29,2),"")</f>
        <v/>
      </c>
      <c r="AK29" s="32">
        <f>IF(AND($AV29=1,N($L29)&gt;0),IFERROR(IF(IFERROR(INDEX(Payment_Methods!$C:$C,MATCH("CASH",Payment_Methods!$A:$A,0)),"")="نقدي",INDEX(Treasuries!$E:$E,MATCH(INDEX(Locations!$G:$G,MATCH($C29,Locations!$A:$A,0)),Treasuries!$A:$A,0)),INDEX(Payment_Methods!$D:$D,MATCH("CASH",Payment_Methods!$A:$A,0))),"؟"),"")</f>
        <v/>
      </c>
      <c r="AL29" s="32">
        <f>IF(AND($AV29=1,N($M29)&gt;0),IFERROR(IF(IFERROR(INDEX(Payment_Methods!$C:$C,MATCH("CARD",Payment_Methods!$A:$A,0)),"")="نقدي",INDEX(Treasuries!$E:$E,MATCH(INDEX(Locations!$G:$G,MATCH($C29,Locations!$A:$A,0)),Treasuries!$A:$A,0)),INDEX(Payment_Methods!$D:$D,MATCH("CARD",Payment_Methods!$A:$A,0))),"؟"),"")</f>
        <v/>
      </c>
      <c r="AM29" s="32">
        <f>IF(AND($AV29=1,N($N29)&gt;0),IFERROR(IF(IFERROR(INDEX(Payment_Methods!$C:$C,MATCH("TLB",Payment_Methods!$A:$A,0)),"")="نقدي",INDEX(Treasuries!$E:$E,MATCH(INDEX(Locations!$G:$G,MATCH($C29,Locations!$A:$A,0)),Treasuries!$A:$A,0)),INDEX(Payment_Methods!$D:$D,MATCH("TLB",Payment_Methods!$A:$A,0))),"؟"),"")</f>
        <v/>
      </c>
      <c r="AN29" s="32">
        <f>IF(AND($AV29=1,N($O29)&gt;0),IFERROR(IF(IFERROR(INDEX(Payment_Methods!$C:$C,MATCH("DLV2",Payment_Methods!$A:$A,0)),"")="نقدي",INDEX(Treasuries!$E:$E,MATCH(INDEX(Locations!$G:$G,MATCH($C29,Locations!$A:$A,0)),Treasuries!$A:$A,0)),INDEX(Payment_Methods!$D:$D,MATCH("DLV2",Payment_Methods!$A:$A,0))),"؟"),"")</f>
        <v/>
      </c>
      <c r="AO29" s="32">
        <f>IF(AND($AV29=1,N($P29)&gt;0),IFERROR(IF(IFERROR(INDEX(Payment_Methods!$C:$C,MATCH("INSTA",Payment_Methods!$A:$A,0)),"")="نقدي",INDEX(Treasuries!$E:$E,MATCH(INDEX(Locations!$G:$G,MATCH($C29,Locations!$A:$A,0)),Treasuries!$A:$A,0)),INDEX(Payment_Methods!$D:$D,MATCH("INSTA",Payment_Methods!$A:$A,0))),"؟"),"")</f>
        <v/>
      </c>
      <c r="AP29" s="32">
        <f>IF(AND($AV29=1,N($Q29)&gt;0),IFERROR(IF(IFERROR(INDEX(Payment_Methods!$C:$C,MATCH($R29,Payment_Methods!$A:$A,0)),"")="نقدي",INDEX(Treasuries!$E:$E,MATCH(INDEX(Locations!$G:$G,MATCH($C29,Locations!$A:$A,0)),Treasuries!$A:$A,0)),INDEX(Payment_Methods!$D:$D,MATCH($R29,Payment_Methods!$A:$A,0))),"؟"),"")</f>
        <v/>
      </c>
      <c r="AQ29" s="32">
        <f>INDEX(Lists!$U$5:$U$8,1)</f>
        <v/>
      </c>
      <c r="AR29" s="32">
        <f>INDEX(Lists!$U$5:$U$8,2)</f>
        <v/>
      </c>
      <c r="AS29" s="32">
        <f>INDEX(Lists!$U$5:$U$8,3)</f>
        <v/>
      </c>
      <c r="AT29" s="32">
        <f>INDEX(Lists!$U$5:$U$8,4)</f>
        <v/>
      </c>
      <c r="AU29" s="44">
        <f>IF($AV29=1,IF(COUNTIFS(Daily_Recon!$A:$A,$B29,Daily_Recon!$B:$B,$C29)&gt;0,"نعم","لا"),"")</f>
        <v/>
      </c>
      <c r="AV29" s="32">
        <f>IF(COUNTA($A29:$Y29)&gt;0,1,0)</f>
        <v/>
      </c>
      <c r="AW29" s="32">
        <f>IF($AV29=0,"",IF($A29="","رقم المستند ناقص",IF(COUNTIF(Doc_Register!$A:$A,$A29)&gt;1,"رقم مستند مكرر في السجل المركزي",IF(LEFT($A29,LEN("SAL")+1)&lt;&gt;"SAL"&amp;"-","بادئة الرقم لا تطابق نوع المستند",IF(NOT(ISNUMBER($B29)),"التاريخ ناقص أو غير صحيح",IF($S29="","حالة المستند ناقصة",IF($T29="","اسم المُعِد ناقص",IF(AND(OR($S29=ST_APPR,$S29=ST_POST),$U29=""),"لا يوجد معتمد",IF(AND($U29&lt;&gt;"",$U29=$T29),"المُعِد والمعتمد نفس الشخص (فصل المهام)",IF(AND($S29=ST_POST,$V29=""),"اسم المحاسب المرحِّل ناقص",IF(AND($S29=ST_POST,$V29&lt;&gt;"",OR($V29=$T29,$V29=$U29)),"المرحِّل يجب أن يختلف عن المُعِد والمعتمد",IF(AND($S29=ST_REV,$X29=""),"مرجع التصحيح/الإلغاء ناقص",IF(AND(ISNUMBER($B29),OR($S29=ST_DRAFT,$S29=ST_APPR),COUNTIFS(Period_Close!$A:$A,YEAR($B29)*100+MONTH($B29),Period_Close!$B:$B,"مقفلة")&gt;0),"الفترة مقفلة: لا يسمح بمستند جديد",IF(NOT(COUNTIF(Locations!$A:$A,$C29)&gt;0),"الفرع غير معرف",IF(IFERROR(INDEX(Locations!$C:$C,MATCH($C29,Locations!$A:$A,0)),"")&lt;&gt;"فرع","الموقع المختار ليس فرع بيع",IF(AND($S29&lt;&gt;ST_REV,$S29&lt;&gt;ST_CANC,COUNTIFS($B$4:$B28,$B29,$C$4:$C28,$C29,$S$4:$S28,"&lt;&gt;"&amp;ST_REV,$S$4:$S28,"&lt;&gt;"&amp;ST_CANC)&gt;0),"تقرير مبيعات مكرر لنفس الفرع واليوم",IF(MIN($E29,$F29,$G29,$H29,$I29,$J29,$L29,$M29,$N29,$O29,$P29,$Q29)&lt;0,"توجد مبالغ سالبة (استخدم مستند عكسي)",IF($Z29&lt;=0,"إجمالي المبيعات صفر",IF($AA29&lt;0,"الخصومات والمرتجعات أكبر من المبيعات",IF(AND(N($Q29)&gt;0,$R29=""),"كود وسيلة الدفع الأخرى ناقص",IF(ABS($AC29)&gt;S_Tol,"مجموع وسائل الدفع لا يساوي صافي المبيعات",IF(OR(AND(N($L29)&gt;0,COUNTIFS(COA!$A:$A,$AK29,COA!$R:$R,1)&lt;&gt;1),AND(N($M29)&gt;0,COUNTIFS(COA!$A:$A,$AL29,COA!$R:$R,1)&lt;&gt;1),AND(N($N29)&gt;0,COUNTIFS(COA!$A:$A,$AM29,COA!$R:$R,1)&lt;&gt;1),AND(N($O29)&gt;0,COUNTIFS(COA!$A:$A,$AN29,COA!$R:$R,1)&lt;&gt;1),AND(N($P29)&gt;0,COUNTIFS(COA!$A:$A,$AO29,COA!$R:$R,1)&lt;&gt;1),AND(N($Q29)&gt;0,COUNTIFS(COA!$A:$A,$AP29,COA!$R:$R,1)&lt;&gt;1),AND(N($E29)&gt;0,COUNTIFS(COA!$A:$A,$AQ29,COA!$R:$R,1)&lt;&gt;1),AND(N($F29)&gt;0,COUNTIFS(COA!$A:$A,$AR29,COA!$R:$R,1)&lt;&gt;1),AND(N($G29)&gt;0,COUNTIFS(COA!$A:$A,$AS29,COA!$R:$R,1)&lt;&gt;1),AND(N($H29)&gt;0,COUNTIFS(COA!$A:$A,$AT29,COA!$R:$R,1)&lt;&gt;1)),"حساب تسوية أو إيراد غير صالح",IF($AJ29&lt;-S_Tol,"الضريبة المحسوبة سالبة","")))))))))))))))))))))))</f>
        <v/>
      </c>
      <c r="AX29" s="32">
        <f>IF($AV29=1,IF($AW29&lt;&gt;"",1,0),0)</f>
        <v/>
      </c>
      <c r="AY29" s="32">
        <f>IF(AND($AV29=1,$AX29=0,$S29=ST_POST),1,0)</f>
        <v/>
      </c>
    </row>
    <row r="30">
      <c r="A30" s="29" t="n"/>
      <c r="B30" s="31" t="n"/>
      <c r="C30" s="39" t="n"/>
      <c r="D30" s="29" t="n"/>
      <c r="E30" s="42" t="n"/>
      <c r="F30" s="42" t="n"/>
      <c r="G30" s="42" t="n"/>
      <c r="H30" s="42" t="n"/>
      <c r="I30" s="42" t="n"/>
      <c r="J30" s="42" t="n"/>
      <c r="K30" s="42" t="n"/>
      <c r="L30" s="42" t="n"/>
      <c r="M30" s="42" t="n"/>
      <c r="N30" s="42" t="n"/>
      <c r="O30" s="42" t="n"/>
      <c r="P30" s="42" t="n"/>
      <c r="Q30" s="42" t="n"/>
      <c r="R30" s="39" t="n"/>
      <c r="S30" s="39" t="n"/>
      <c r="T30" s="29" t="n"/>
      <c r="U30" s="29" t="n"/>
      <c r="V30" s="29" t="n"/>
      <c r="W30" s="29" t="n"/>
      <c r="X30" s="29" t="n"/>
      <c r="Y30" s="29" t="n"/>
      <c r="Z30" s="43">
        <f>IF($AV30=1,$E30+$F30+$G30+$H30,"")</f>
        <v/>
      </c>
      <c r="AA30" s="43">
        <f>IF($AV30=1,$Z30-$I30-$J30,"")</f>
        <v/>
      </c>
      <c r="AB30" s="43">
        <f>IF($AV30=1,$L30+$M30+$N30+$O30+$P30+$Q30,"")</f>
        <v/>
      </c>
      <c r="AC30" s="47">
        <f>IF($AV30=1,ROUND($AA30-$AB30,2),"")</f>
        <v/>
      </c>
      <c r="AD30" s="43">
        <f>IF($AV30=1,ROUND($E30/S_VATF,2),"")</f>
        <v/>
      </c>
      <c r="AE30" s="43">
        <f>IF($AV30=1,ROUND($F30/S_VATF,2),"")</f>
        <v/>
      </c>
      <c r="AF30" s="43">
        <f>IF($AV30=1,ROUND($G30/S_VATF,2),"")</f>
        <v/>
      </c>
      <c r="AG30" s="43">
        <f>IF($AV30=1,ROUND($H30/S_VATF,2),"")</f>
        <v/>
      </c>
      <c r="AH30" s="43">
        <f>IF($AV30=1,ROUND($I30/S_VATF,2),"")</f>
        <v/>
      </c>
      <c r="AI30" s="43">
        <f>IF($AV30=1,ROUND($J30/S_VATF,2),"")</f>
        <v/>
      </c>
      <c r="AJ30" s="43">
        <f>IF($AV30=1,ROUND($AA30+$AH30+$AI30-$AD30-$AE30-$AF30-$AG30,2),"")</f>
        <v/>
      </c>
      <c r="AK30" s="32">
        <f>IF(AND($AV30=1,N($L30)&gt;0),IFERROR(IF(IFERROR(INDEX(Payment_Methods!$C:$C,MATCH("CASH",Payment_Methods!$A:$A,0)),"")="نقدي",INDEX(Treasuries!$E:$E,MATCH(INDEX(Locations!$G:$G,MATCH($C30,Locations!$A:$A,0)),Treasuries!$A:$A,0)),INDEX(Payment_Methods!$D:$D,MATCH("CASH",Payment_Methods!$A:$A,0))),"؟"),"")</f>
        <v/>
      </c>
      <c r="AL30" s="32">
        <f>IF(AND($AV30=1,N($M30)&gt;0),IFERROR(IF(IFERROR(INDEX(Payment_Methods!$C:$C,MATCH("CARD",Payment_Methods!$A:$A,0)),"")="نقدي",INDEX(Treasuries!$E:$E,MATCH(INDEX(Locations!$G:$G,MATCH($C30,Locations!$A:$A,0)),Treasuries!$A:$A,0)),INDEX(Payment_Methods!$D:$D,MATCH("CARD",Payment_Methods!$A:$A,0))),"؟"),"")</f>
        <v/>
      </c>
      <c r="AM30" s="32">
        <f>IF(AND($AV30=1,N($N30)&gt;0),IFERROR(IF(IFERROR(INDEX(Payment_Methods!$C:$C,MATCH("TLB",Payment_Methods!$A:$A,0)),"")="نقدي",INDEX(Treasuries!$E:$E,MATCH(INDEX(Locations!$G:$G,MATCH($C30,Locations!$A:$A,0)),Treasuries!$A:$A,0)),INDEX(Payment_Methods!$D:$D,MATCH("TLB",Payment_Methods!$A:$A,0))),"؟"),"")</f>
        <v/>
      </c>
      <c r="AN30" s="32">
        <f>IF(AND($AV30=1,N($O30)&gt;0),IFERROR(IF(IFERROR(INDEX(Payment_Methods!$C:$C,MATCH("DLV2",Payment_Methods!$A:$A,0)),"")="نقدي",INDEX(Treasuries!$E:$E,MATCH(INDEX(Locations!$G:$G,MATCH($C30,Locations!$A:$A,0)),Treasuries!$A:$A,0)),INDEX(Payment_Methods!$D:$D,MATCH("DLV2",Payment_Methods!$A:$A,0))),"؟"),"")</f>
        <v/>
      </c>
      <c r="AO30" s="32">
        <f>IF(AND($AV30=1,N($P30)&gt;0),IFERROR(IF(IFERROR(INDEX(Payment_Methods!$C:$C,MATCH("INSTA",Payment_Methods!$A:$A,0)),"")="نقدي",INDEX(Treasuries!$E:$E,MATCH(INDEX(Locations!$G:$G,MATCH($C30,Locations!$A:$A,0)),Treasuries!$A:$A,0)),INDEX(Payment_Methods!$D:$D,MATCH("INSTA",Payment_Methods!$A:$A,0))),"؟"),"")</f>
        <v/>
      </c>
      <c r="AP30" s="32">
        <f>IF(AND($AV30=1,N($Q30)&gt;0),IFERROR(IF(IFERROR(INDEX(Payment_Methods!$C:$C,MATCH($R30,Payment_Methods!$A:$A,0)),"")="نقدي",INDEX(Treasuries!$E:$E,MATCH(INDEX(Locations!$G:$G,MATCH($C30,Locations!$A:$A,0)),Treasuries!$A:$A,0)),INDEX(Payment_Methods!$D:$D,MATCH($R30,Payment_Methods!$A:$A,0))),"؟"),"")</f>
        <v/>
      </c>
      <c r="AQ30" s="32">
        <f>INDEX(Lists!$U$5:$U$8,1)</f>
        <v/>
      </c>
      <c r="AR30" s="32">
        <f>INDEX(Lists!$U$5:$U$8,2)</f>
        <v/>
      </c>
      <c r="AS30" s="32">
        <f>INDEX(Lists!$U$5:$U$8,3)</f>
        <v/>
      </c>
      <c r="AT30" s="32">
        <f>INDEX(Lists!$U$5:$U$8,4)</f>
        <v/>
      </c>
      <c r="AU30" s="44">
        <f>IF($AV30=1,IF(COUNTIFS(Daily_Recon!$A:$A,$B30,Daily_Recon!$B:$B,$C30)&gt;0,"نعم","لا"),"")</f>
        <v/>
      </c>
      <c r="AV30" s="32">
        <f>IF(COUNTA($A30:$Y30)&gt;0,1,0)</f>
        <v/>
      </c>
      <c r="AW30" s="32">
        <f>IF($AV30=0,"",IF($A30="","رقم المستند ناقص",IF(COUNTIF(Doc_Register!$A:$A,$A30)&gt;1,"رقم مستند مكرر في السجل المركزي",IF(LEFT($A30,LEN("SAL")+1)&lt;&gt;"SAL"&amp;"-","بادئة الرقم لا تطابق نوع المستند",IF(NOT(ISNUMBER($B30)),"التاريخ ناقص أو غير صحيح",IF($S30="","حالة المستند ناقصة",IF($T30="","اسم المُعِد ناقص",IF(AND(OR($S30=ST_APPR,$S30=ST_POST),$U30=""),"لا يوجد معتمد",IF(AND($U30&lt;&gt;"",$U30=$T30),"المُعِد والمعتمد نفس الشخص (فصل المهام)",IF(AND($S30=ST_POST,$V30=""),"اسم المحاسب المرحِّل ناقص",IF(AND($S30=ST_POST,$V30&lt;&gt;"",OR($V30=$T30,$V30=$U30)),"المرحِّل يجب أن يختلف عن المُعِد والمعتمد",IF(AND($S30=ST_REV,$X30=""),"مرجع التصحيح/الإلغاء ناقص",IF(AND(ISNUMBER($B30),OR($S30=ST_DRAFT,$S30=ST_APPR),COUNTIFS(Period_Close!$A:$A,YEAR($B30)*100+MONTH($B30),Period_Close!$B:$B,"مقفلة")&gt;0),"الفترة مقفلة: لا يسمح بمستند جديد",IF(NOT(COUNTIF(Locations!$A:$A,$C30)&gt;0),"الفرع غير معرف",IF(IFERROR(INDEX(Locations!$C:$C,MATCH($C30,Locations!$A:$A,0)),"")&lt;&gt;"فرع","الموقع المختار ليس فرع بيع",IF(AND($S30&lt;&gt;ST_REV,$S30&lt;&gt;ST_CANC,COUNTIFS($B$4:$B29,$B30,$C$4:$C29,$C30,$S$4:$S29,"&lt;&gt;"&amp;ST_REV,$S$4:$S29,"&lt;&gt;"&amp;ST_CANC)&gt;0),"تقرير مبيعات مكرر لنفس الفرع واليوم",IF(MIN($E30,$F30,$G30,$H30,$I30,$J30,$L30,$M30,$N30,$O30,$P30,$Q30)&lt;0,"توجد مبالغ سالبة (استخدم مستند عكسي)",IF($Z30&lt;=0,"إجمالي المبيعات صفر",IF($AA30&lt;0,"الخصومات والمرتجعات أكبر من المبيعات",IF(AND(N($Q30)&gt;0,$R30=""),"كود وسيلة الدفع الأخرى ناقص",IF(ABS($AC30)&gt;S_Tol,"مجموع وسائل الدفع لا يساوي صافي المبيعات",IF(OR(AND(N($L30)&gt;0,COUNTIFS(COA!$A:$A,$AK30,COA!$R:$R,1)&lt;&gt;1),AND(N($M30)&gt;0,COUNTIFS(COA!$A:$A,$AL30,COA!$R:$R,1)&lt;&gt;1),AND(N($N30)&gt;0,COUNTIFS(COA!$A:$A,$AM30,COA!$R:$R,1)&lt;&gt;1),AND(N($O30)&gt;0,COUNTIFS(COA!$A:$A,$AN30,COA!$R:$R,1)&lt;&gt;1),AND(N($P30)&gt;0,COUNTIFS(COA!$A:$A,$AO30,COA!$R:$R,1)&lt;&gt;1),AND(N($Q30)&gt;0,COUNTIFS(COA!$A:$A,$AP30,COA!$R:$R,1)&lt;&gt;1),AND(N($E30)&gt;0,COUNTIFS(COA!$A:$A,$AQ30,COA!$R:$R,1)&lt;&gt;1),AND(N($F30)&gt;0,COUNTIFS(COA!$A:$A,$AR30,COA!$R:$R,1)&lt;&gt;1),AND(N($G30)&gt;0,COUNTIFS(COA!$A:$A,$AS30,COA!$R:$R,1)&lt;&gt;1),AND(N($H30)&gt;0,COUNTIFS(COA!$A:$A,$AT30,COA!$R:$R,1)&lt;&gt;1)),"حساب تسوية أو إيراد غير صالح",IF($AJ30&lt;-S_Tol,"الضريبة المحسوبة سالبة","")))))))))))))))))))))))</f>
        <v/>
      </c>
      <c r="AX30" s="32">
        <f>IF($AV30=1,IF($AW30&lt;&gt;"",1,0),0)</f>
        <v/>
      </c>
      <c r="AY30" s="32">
        <f>IF(AND($AV30=1,$AX30=0,$S30=ST_POST),1,0)</f>
        <v/>
      </c>
    </row>
    <row r="31">
      <c r="A31" s="29" t="n"/>
      <c r="B31" s="31" t="n"/>
      <c r="C31" s="39" t="n"/>
      <c r="D31" s="29" t="n"/>
      <c r="E31" s="42" t="n"/>
      <c r="F31" s="42" t="n"/>
      <c r="G31" s="42" t="n"/>
      <c r="H31" s="42" t="n"/>
      <c r="I31" s="42" t="n"/>
      <c r="J31" s="42" t="n"/>
      <c r="K31" s="42" t="n"/>
      <c r="L31" s="42" t="n"/>
      <c r="M31" s="42" t="n"/>
      <c r="N31" s="42" t="n"/>
      <c r="O31" s="42" t="n"/>
      <c r="P31" s="42" t="n"/>
      <c r="Q31" s="42" t="n"/>
      <c r="R31" s="39" t="n"/>
      <c r="S31" s="39" t="n"/>
      <c r="T31" s="29" t="n"/>
      <c r="U31" s="29" t="n"/>
      <c r="V31" s="29" t="n"/>
      <c r="W31" s="29" t="n"/>
      <c r="X31" s="29" t="n"/>
      <c r="Y31" s="29" t="n"/>
      <c r="Z31" s="43">
        <f>IF($AV31=1,$E31+$F31+$G31+$H31,"")</f>
        <v/>
      </c>
      <c r="AA31" s="43">
        <f>IF($AV31=1,$Z31-$I31-$J31,"")</f>
        <v/>
      </c>
      <c r="AB31" s="43">
        <f>IF($AV31=1,$L31+$M31+$N31+$O31+$P31+$Q31,"")</f>
        <v/>
      </c>
      <c r="AC31" s="47">
        <f>IF($AV31=1,ROUND($AA31-$AB31,2),"")</f>
        <v/>
      </c>
      <c r="AD31" s="43">
        <f>IF($AV31=1,ROUND($E31/S_VATF,2),"")</f>
        <v/>
      </c>
      <c r="AE31" s="43">
        <f>IF($AV31=1,ROUND($F31/S_VATF,2),"")</f>
        <v/>
      </c>
      <c r="AF31" s="43">
        <f>IF($AV31=1,ROUND($G31/S_VATF,2),"")</f>
        <v/>
      </c>
      <c r="AG31" s="43">
        <f>IF($AV31=1,ROUND($H31/S_VATF,2),"")</f>
        <v/>
      </c>
      <c r="AH31" s="43">
        <f>IF($AV31=1,ROUND($I31/S_VATF,2),"")</f>
        <v/>
      </c>
      <c r="AI31" s="43">
        <f>IF($AV31=1,ROUND($J31/S_VATF,2),"")</f>
        <v/>
      </c>
      <c r="AJ31" s="43">
        <f>IF($AV31=1,ROUND($AA31+$AH31+$AI31-$AD31-$AE31-$AF31-$AG31,2),"")</f>
        <v/>
      </c>
      <c r="AK31" s="32">
        <f>IF(AND($AV31=1,N($L31)&gt;0),IFERROR(IF(IFERROR(INDEX(Payment_Methods!$C:$C,MATCH("CASH",Payment_Methods!$A:$A,0)),"")="نقدي",INDEX(Treasuries!$E:$E,MATCH(INDEX(Locations!$G:$G,MATCH($C31,Locations!$A:$A,0)),Treasuries!$A:$A,0)),INDEX(Payment_Methods!$D:$D,MATCH("CASH",Payment_Methods!$A:$A,0))),"؟"),"")</f>
        <v/>
      </c>
      <c r="AL31" s="32">
        <f>IF(AND($AV31=1,N($M31)&gt;0),IFERROR(IF(IFERROR(INDEX(Payment_Methods!$C:$C,MATCH("CARD",Payment_Methods!$A:$A,0)),"")="نقدي",INDEX(Treasuries!$E:$E,MATCH(INDEX(Locations!$G:$G,MATCH($C31,Locations!$A:$A,0)),Treasuries!$A:$A,0)),INDEX(Payment_Methods!$D:$D,MATCH("CARD",Payment_Methods!$A:$A,0))),"؟"),"")</f>
        <v/>
      </c>
      <c r="AM31" s="32">
        <f>IF(AND($AV31=1,N($N31)&gt;0),IFERROR(IF(IFERROR(INDEX(Payment_Methods!$C:$C,MATCH("TLB",Payment_Methods!$A:$A,0)),"")="نقدي",INDEX(Treasuries!$E:$E,MATCH(INDEX(Locations!$G:$G,MATCH($C31,Locations!$A:$A,0)),Treasuries!$A:$A,0)),INDEX(Payment_Methods!$D:$D,MATCH("TLB",Payment_Methods!$A:$A,0))),"؟"),"")</f>
        <v/>
      </c>
      <c r="AN31" s="32">
        <f>IF(AND($AV31=1,N($O31)&gt;0),IFERROR(IF(IFERROR(INDEX(Payment_Methods!$C:$C,MATCH("DLV2",Payment_Methods!$A:$A,0)),"")="نقدي",INDEX(Treasuries!$E:$E,MATCH(INDEX(Locations!$G:$G,MATCH($C31,Locations!$A:$A,0)),Treasuries!$A:$A,0)),INDEX(Payment_Methods!$D:$D,MATCH("DLV2",Payment_Methods!$A:$A,0))),"؟"),"")</f>
        <v/>
      </c>
      <c r="AO31" s="32">
        <f>IF(AND($AV31=1,N($P31)&gt;0),IFERROR(IF(IFERROR(INDEX(Payment_Methods!$C:$C,MATCH("INSTA",Payment_Methods!$A:$A,0)),"")="نقدي",INDEX(Treasuries!$E:$E,MATCH(INDEX(Locations!$G:$G,MATCH($C31,Locations!$A:$A,0)),Treasuries!$A:$A,0)),INDEX(Payment_Methods!$D:$D,MATCH("INSTA",Payment_Methods!$A:$A,0))),"؟"),"")</f>
        <v/>
      </c>
      <c r="AP31" s="32">
        <f>IF(AND($AV31=1,N($Q31)&gt;0),IFERROR(IF(IFERROR(INDEX(Payment_Methods!$C:$C,MATCH($R31,Payment_Methods!$A:$A,0)),"")="نقدي",INDEX(Treasuries!$E:$E,MATCH(INDEX(Locations!$G:$G,MATCH($C31,Locations!$A:$A,0)),Treasuries!$A:$A,0)),INDEX(Payment_Methods!$D:$D,MATCH($R31,Payment_Methods!$A:$A,0))),"؟"),"")</f>
        <v/>
      </c>
      <c r="AQ31" s="32">
        <f>INDEX(Lists!$U$5:$U$8,1)</f>
        <v/>
      </c>
      <c r="AR31" s="32">
        <f>INDEX(Lists!$U$5:$U$8,2)</f>
        <v/>
      </c>
      <c r="AS31" s="32">
        <f>INDEX(Lists!$U$5:$U$8,3)</f>
        <v/>
      </c>
      <c r="AT31" s="32">
        <f>INDEX(Lists!$U$5:$U$8,4)</f>
        <v/>
      </c>
      <c r="AU31" s="44">
        <f>IF($AV31=1,IF(COUNTIFS(Daily_Recon!$A:$A,$B31,Daily_Recon!$B:$B,$C31)&gt;0,"نعم","لا"),"")</f>
        <v/>
      </c>
      <c r="AV31" s="32">
        <f>IF(COUNTA($A31:$Y31)&gt;0,1,0)</f>
        <v/>
      </c>
      <c r="AW31" s="32">
        <f>IF($AV31=0,"",IF($A31="","رقم المستند ناقص",IF(COUNTIF(Doc_Register!$A:$A,$A31)&gt;1,"رقم مستند مكرر في السجل المركزي",IF(LEFT($A31,LEN("SAL")+1)&lt;&gt;"SAL"&amp;"-","بادئة الرقم لا تطابق نوع المستند",IF(NOT(ISNUMBER($B31)),"التاريخ ناقص أو غير صحيح",IF($S31="","حالة المستند ناقصة",IF($T31="","اسم المُعِد ناقص",IF(AND(OR($S31=ST_APPR,$S31=ST_POST),$U31=""),"لا يوجد معتمد",IF(AND($U31&lt;&gt;"",$U31=$T31),"المُعِد والمعتمد نفس الشخص (فصل المهام)",IF(AND($S31=ST_POST,$V31=""),"اسم المحاسب المرحِّل ناقص",IF(AND($S31=ST_POST,$V31&lt;&gt;"",OR($V31=$T31,$V31=$U31)),"المرحِّل يجب أن يختلف عن المُعِد والمعتمد",IF(AND($S31=ST_REV,$X31=""),"مرجع التصحيح/الإلغاء ناقص",IF(AND(ISNUMBER($B31),OR($S31=ST_DRAFT,$S31=ST_APPR),COUNTIFS(Period_Close!$A:$A,YEAR($B31)*100+MONTH($B31),Period_Close!$B:$B,"مقفلة")&gt;0),"الفترة مقفلة: لا يسمح بمستند جديد",IF(NOT(COUNTIF(Locations!$A:$A,$C31)&gt;0),"الفرع غير معرف",IF(IFERROR(INDEX(Locations!$C:$C,MATCH($C31,Locations!$A:$A,0)),"")&lt;&gt;"فرع","الموقع المختار ليس فرع بيع",IF(AND($S31&lt;&gt;ST_REV,$S31&lt;&gt;ST_CANC,COUNTIFS($B$4:$B30,$B31,$C$4:$C30,$C31,$S$4:$S30,"&lt;&gt;"&amp;ST_REV,$S$4:$S30,"&lt;&gt;"&amp;ST_CANC)&gt;0),"تقرير مبيعات مكرر لنفس الفرع واليوم",IF(MIN($E31,$F31,$G31,$H31,$I31,$J31,$L31,$M31,$N31,$O31,$P31,$Q31)&lt;0,"توجد مبالغ سالبة (استخدم مستند عكسي)",IF($Z31&lt;=0,"إجمالي المبيعات صفر",IF($AA31&lt;0,"الخصومات والمرتجعات أكبر من المبيعات",IF(AND(N($Q31)&gt;0,$R31=""),"كود وسيلة الدفع الأخرى ناقص",IF(ABS($AC31)&gt;S_Tol,"مجموع وسائل الدفع لا يساوي صافي المبيعات",IF(OR(AND(N($L31)&gt;0,COUNTIFS(COA!$A:$A,$AK31,COA!$R:$R,1)&lt;&gt;1),AND(N($M31)&gt;0,COUNTIFS(COA!$A:$A,$AL31,COA!$R:$R,1)&lt;&gt;1),AND(N($N31)&gt;0,COUNTIFS(COA!$A:$A,$AM31,COA!$R:$R,1)&lt;&gt;1),AND(N($O31)&gt;0,COUNTIFS(COA!$A:$A,$AN31,COA!$R:$R,1)&lt;&gt;1),AND(N($P31)&gt;0,COUNTIFS(COA!$A:$A,$AO31,COA!$R:$R,1)&lt;&gt;1),AND(N($Q31)&gt;0,COUNTIFS(COA!$A:$A,$AP31,COA!$R:$R,1)&lt;&gt;1),AND(N($E31)&gt;0,COUNTIFS(COA!$A:$A,$AQ31,COA!$R:$R,1)&lt;&gt;1),AND(N($F31)&gt;0,COUNTIFS(COA!$A:$A,$AR31,COA!$R:$R,1)&lt;&gt;1),AND(N($G31)&gt;0,COUNTIFS(COA!$A:$A,$AS31,COA!$R:$R,1)&lt;&gt;1),AND(N($H31)&gt;0,COUNTIFS(COA!$A:$A,$AT31,COA!$R:$R,1)&lt;&gt;1)),"حساب تسوية أو إيراد غير صالح",IF($AJ31&lt;-S_Tol,"الضريبة المحسوبة سالبة","")))))))))))))))))))))))</f>
        <v/>
      </c>
      <c r="AX31" s="32">
        <f>IF($AV31=1,IF($AW31&lt;&gt;"",1,0),0)</f>
        <v/>
      </c>
      <c r="AY31" s="32">
        <f>IF(AND($AV31=1,$AX31=0,$S31=ST_POST),1,0)</f>
        <v/>
      </c>
    </row>
    <row r="32">
      <c r="A32" s="29" t="n"/>
      <c r="B32" s="31" t="n"/>
      <c r="C32" s="39" t="n"/>
      <c r="D32" s="29" t="n"/>
      <c r="E32" s="42" t="n"/>
      <c r="F32" s="42" t="n"/>
      <c r="G32" s="42" t="n"/>
      <c r="H32" s="42" t="n"/>
      <c r="I32" s="42" t="n"/>
      <c r="J32" s="42" t="n"/>
      <c r="K32" s="42" t="n"/>
      <c r="L32" s="42" t="n"/>
      <c r="M32" s="42" t="n"/>
      <c r="N32" s="42" t="n"/>
      <c r="O32" s="42" t="n"/>
      <c r="P32" s="42" t="n"/>
      <c r="Q32" s="42" t="n"/>
      <c r="R32" s="39" t="n"/>
      <c r="S32" s="39" t="n"/>
      <c r="T32" s="29" t="n"/>
      <c r="U32" s="29" t="n"/>
      <c r="V32" s="29" t="n"/>
      <c r="W32" s="29" t="n"/>
      <c r="X32" s="29" t="n"/>
      <c r="Y32" s="29" t="n"/>
      <c r="Z32" s="43">
        <f>IF($AV32=1,$E32+$F32+$G32+$H32,"")</f>
        <v/>
      </c>
      <c r="AA32" s="43">
        <f>IF($AV32=1,$Z32-$I32-$J32,"")</f>
        <v/>
      </c>
      <c r="AB32" s="43">
        <f>IF($AV32=1,$L32+$M32+$N32+$O32+$P32+$Q32,"")</f>
        <v/>
      </c>
      <c r="AC32" s="47">
        <f>IF($AV32=1,ROUND($AA32-$AB32,2),"")</f>
        <v/>
      </c>
      <c r="AD32" s="43">
        <f>IF($AV32=1,ROUND($E32/S_VATF,2),"")</f>
        <v/>
      </c>
      <c r="AE32" s="43">
        <f>IF($AV32=1,ROUND($F32/S_VATF,2),"")</f>
        <v/>
      </c>
      <c r="AF32" s="43">
        <f>IF($AV32=1,ROUND($G32/S_VATF,2),"")</f>
        <v/>
      </c>
      <c r="AG32" s="43">
        <f>IF($AV32=1,ROUND($H32/S_VATF,2),"")</f>
        <v/>
      </c>
      <c r="AH32" s="43">
        <f>IF($AV32=1,ROUND($I32/S_VATF,2),"")</f>
        <v/>
      </c>
      <c r="AI32" s="43">
        <f>IF($AV32=1,ROUND($J32/S_VATF,2),"")</f>
        <v/>
      </c>
      <c r="AJ32" s="43">
        <f>IF($AV32=1,ROUND($AA32+$AH32+$AI32-$AD32-$AE32-$AF32-$AG32,2),"")</f>
        <v/>
      </c>
      <c r="AK32" s="32">
        <f>IF(AND($AV32=1,N($L32)&gt;0),IFERROR(IF(IFERROR(INDEX(Payment_Methods!$C:$C,MATCH("CASH",Payment_Methods!$A:$A,0)),"")="نقدي",INDEX(Treasuries!$E:$E,MATCH(INDEX(Locations!$G:$G,MATCH($C32,Locations!$A:$A,0)),Treasuries!$A:$A,0)),INDEX(Payment_Methods!$D:$D,MATCH("CASH",Payment_Methods!$A:$A,0))),"؟"),"")</f>
        <v/>
      </c>
      <c r="AL32" s="32">
        <f>IF(AND($AV32=1,N($M32)&gt;0),IFERROR(IF(IFERROR(INDEX(Payment_Methods!$C:$C,MATCH("CARD",Payment_Methods!$A:$A,0)),"")="نقدي",INDEX(Treasuries!$E:$E,MATCH(INDEX(Locations!$G:$G,MATCH($C32,Locations!$A:$A,0)),Treasuries!$A:$A,0)),INDEX(Payment_Methods!$D:$D,MATCH("CARD",Payment_Methods!$A:$A,0))),"؟"),"")</f>
        <v/>
      </c>
      <c r="AM32" s="32">
        <f>IF(AND($AV32=1,N($N32)&gt;0),IFERROR(IF(IFERROR(INDEX(Payment_Methods!$C:$C,MATCH("TLB",Payment_Methods!$A:$A,0)),"")="نقدي",INDEX(Treasuries!$E:$E,MATCH(INDEX(Locations!$G:$G,MATCH($C32,Locations!$A:$A,0)),Treasuries!$A:$A,0)),INDEX(Payment_Methods!$D:$D,MATCH("TLB",Payment_Methods!$A:$A,0))),"؟"),"")</f>
        <v/>
      </c>
      <c r="AN32" s="32">
        <f>IF(AND($AV32=1,N($O32)&gt;0),IFERROR(IF(IFERROR(INDEX(Payment_Methods!$C:$C,MATCH("DLV2",Payment_Methods!$A:$A,0)),"")="نقدي",INDEX(Treasuries!$E:$E,MATCH(INDEX(Locations!$G:$G,MATCH($C32,Locations!$A:$A,0)),Treasuries!$A:$A,0)),INDEX(Payment_Methods!$D:$D,MATCH("DLV2",Payment_Methods!$A:$A,0))),"؟"),"")</f>
        <v/>
      </c>
      <c r="AO32" s="32">
        <f>IF(AND($AV32=1,N($P32)&gt;0),IFERROR(IF(IFERROR(INDEX(Payment_Methods!$C:$C,MATCH("INSTA",Payment_Methods!$A:$A,0)),"")="نقدي",INDEX(Treasuries!$E:$E,MATCH(INDEX(Locations!$G:$G,MATCH($C32,Locations!$A:$A,0)),Treasuries!$A:$A,0)),INDEX(Payment_Methods!$D:$D,MATCH("INSTA",Payment_Methods!$A:$A,0))),"؟"),"")</f>
        <v/>
      </c>
      <c r="AP32" s="32">
        <f>IF(AND($AV32=1,N($Q32)&gt;0),IFERROR(IF(IFERROR(INDEX(Payment_Methods!$C:$C,MATCH($R32,Payment_Methods!$A:$A,0)),"")="نقدي",INDEX(Treasuries!$E:$E,MATCH(INDEX(Locations!$G:$G,MATCH($C32,Locations!$A:$A,0)),Treasuries!$A:$A,0)),INDEX(Payment_Methods!$D:$D,MATCH($R32,Payment_Methods!$A:$A,0))),"؟"),"")</f>
        <v/>
      </c>
      <c r="AQ32" s="32">
        <f>INDEX(Lists!$U$5:$U$8,1)</f>
        <v/>
      </c>
      <c r="AR32" s="32">
        <f>INDEX(Lists!$U$5:$U$8,2)</f>
        <v/>
      </c>
      <c r="AS32" s="32">
        <f>INDEX(Lists!$U$5:$U$8,3)</f>
        <v/>
      </c>
      <c r="AT32" s="32">
        <f>INDEX(Lists!$U$5:$U$8,4)</f>
        <v/>
      </c>
      <c r="AU32" s="44">
        <f>IF($AV32=1,IF(COUNTIFS(Daily_Recon!$A:$A,$B32,Daily_Recon!$B:$B,$C32)&gt;0,"نعم","لا"),"")</f>
        <v/>
      </c>
      <c r="AV32" s="32">
        <f>IF(COUNTA($A32:$Y32)&gt;0,1,0)</f>
        <v/>
      </c>
      <c r="AW32" s="32">
        <f>IF($AV32=0,"",IF($A32="","رقم المستند ناقص",IF(COUNTIF(Doc_Register!$A:$A,$A32)&gt;1,"رقم مستند مكرر في السجل المركزي",IF(LEFT($A32,LEN("SAL")+1)&lt;&gt;"SAL"&amp;"-","بادئة الرقم لا تطابق نوع المستند",IF(NOT(ISNUMBER($B32)),"التاريخ ناقص أو غير صحيح",IF($S32="","حالة المستند ناقصة",IF($T32="","اسم المُعِد ناقص",IF(AND(OR($S32=ST_APPR,$S32=ST_POST),$U32=""),"لا يوجد معتمد",IF(AND($U32&lt;&gt;"",$U32=$T32),"المُعِد والمعتمد نفس الشخص (فصل المهام)",IF(AND($S32=ST_POST,$V32=""),"اسم المحاسب المرحِّل ناقص",IF(AND($S32=ST_POST,$V32&lt;&gt;"",OR($V32=$T32,$V32=$U32)),"المرحِّل يجب أن يختلف عن المُعِد والمعتمد",IF(AND($S32=ST_REV,$X32=""),"مرجع التصحيح/الإلغاء ناقص",IF(AND(ISNUMBER($B32),OR($S32=ST_DRAFT,$S32=ST_APPR),COUNTIFS(Period_Close!$A:$A,YEAR($B32)*100+MONTH($B32),Period_Close!$B:$B,"مقفلة")&gt;0),"الفترة مقفلة: لا يسمح بمستند جديد",IF(NOT(COUNTIF(Locations!$A:$A,$C32)&gt;0),"الفرع غير معرف",IF(IFERROR(INDEX(Locations!$C:$C,MATCH($C32,Locations!$A:$A,0)),"")&lt;&gt;"فرع","الموقع المختار ليس فرع بيع",IF(AND($S32&lt;&gt;ST_REV,$S32&lt;&gt;ST_CANC,COUNTIFS($B$4:$B31,$B32,$C$4:$C31,$C32,$S$4:$S31,"&lt;&gt;"&amp;ST_REV,$S$4:$S31,"&lt;&gt;"&amp;ST_CANC)&gt;0),"تقرير مبيعات مكرر لنفس الفرع واليوم",IF(MIN($E32,$F32,$G32,$H32,$I32,$J32,$L32,$M32,$N32,$O32,$P32,$Q32)&lt;0,"توجد مبالغ سالبة (استخدم مستند عكسي)",IF($Z32&lt;=0,"إجمالي المبيعات صفر",IF($AA32&lt;0,"الخصومات والمرتجعات أكبر من المبيعات",IF(AND(N($Q32)&gt;0,$R32=""),"كود وسيلة الدفع الأخرى ناقص",IF(ABS($AC32)&gt;S_Tol,"مجموع وسائل الدفع لا يساوي صافي المبيعات",IF(OR(AND(N($L32)&gt;0,COUNTIFS(COA!$A:$A,$AK32,COA!$R:$R,1)&lt;&gt;1),AND(N($M32)&gt;0,COUNTIFS(COA!$A:$A,$AL32,COA!$R:$R,1)&lt;&gt;1),AND(N($N32)&gt;0,COUNTIFS(COA!$A:$A,$AM32,COA!$R:$R,1)&lt;&gt;1),AND(N($O32)&gt;0,COUNTIFS(COA!$A:$A,$AN32,COA!$R:$R,1)&lt;&gt;1),AND(N($P32)&gt;0,COUNTIFS(COA!$A:$A,$AO32,COA!$R:$R,1)&lt;&gt;1),AND(N($Q32)&gt;0,COUNTIFS(COA!$A:$A,$AP32,COA!$R:$R,1)&lt;&gt;1),AND(N($E32)&gt;0,COUNTIFS(COA!$A:$A,$AQ32,COA!$R:$R,1)&lt;&gt;1),AND(N($F32)&gt;0,COUNTIFS(COA!$A:$A,$AR32,COA!$R:$R,1)&lt;&gt;1),AND(N($G32)&gt;0,COUNTIFS(COA!$A:$A,$AS32,COA!$R:$R,1)&lt;&gt;1),AND(N($H32)&gt;0,COUNTIFS(COA!$A:$A,$AT32,COA!$R:$R,1)&lt;&gt;1)),"حساب تسوية أو إيراد غير صالح",IF($AJ32&lt;-S_Tol,"الضريبة المحسوبة سالبة","")))))))))))))))))))))))</f>
        <v/>
      </c>
      <c r="AX32" s="32">
        <f>IF($AV32=1,IF($AW32&lt;&gt;"",1,0),0)</f>
        <v/>
      </c>
      <c r="AY32" s="32">
        <f>IF(AND($AV32=1,$AX32=0,$S32=ST_POST),1,0)</f>
        <v/>
      </c>
    </row>
    <row r="33">
      <c r="A33" s="29" t="n"/>
      <c r="B33" s="31" t="n"/>
      <c r="C33" s="39" t="n"/>
      <c r="D33" s="29" t="n"/>
      <c r="E33" s="42" t="n"/>
      <c r="F33" s="42" t="n"/>
      <c r="G33" s="42" t="n"/>
      <c r="H33" s="42" t="n"/>
      <c r="I33" s="42" t="n"/>
      <c r="J33" s="42" t="n"/>
      <c r="K33" s="42" t="n"/>
      <c r="L33" s="42" t="n"/>
      <c r="M33" s="42" t="n"/>
      <c r="N33" s="42" t="n"/>
      <c r="O33" s="42" t="n"/>
      <c r="P33" s="42" t="n"/>
      <c r="Q33" s="42" t="n"/>
      <c r="R33" s="39" t="n"/>
      <c r="S33" s="39" t="n"/>
      <c r="T33" s="29" t="n"/>
      <c r="U33" s="29" t="n"/>
      <c r="V33" s="29" t="n"/>
      <c r="W33" s="29" t="n"/>
      <c r="X33" s="29" t="n"/>
      <c r="Y33" s="29" t="n"/>
      <c r="Z33" s="43">
        <f>IF($AV33=1,$E33+$F33+$G33+$H33,"")</f>
        <v/>
      </c>
      <c r="AA33" s="43">
        <f>IF($AV33=1,$Z33-$I33-$J33,"")</f>
        <v/>
      </c>
      <c r="AB33" s="43">
        <f>IF($AV33=1,$L33+$M33+$N33+$O33+$P33+$Q33,"")</f>
        <v/>
      </c>
      <c r="AC33" s="47">
        <f>IF($AV33=1,ROUND($AA33-$AB33,2),"")</f>
        <v/>
      </c>
      <c r="AD33" s="43">
        <f>IF($AV33=1,ROUND($E33/S_VATF,2),"")</f>
        <v/>
      </c>
      <c r="AE33" s="43">
        <f>IF($AV33=1,ROUND($F33/S_VATF,2),"")</f>
        <v/>
      </c>
      <c r="AF33" s="43">
        <f>IF($AV33=1,ROUND($G33/S_VATF,2),"")</f>
        <v/>
      </c>
      <c r="AG33" s="43">
        <f>IF($AV33=1,ROUND($H33/S_VATF,2),"")</f>
        <v/>
      </c>
      <c r="AH33" s="43">
        <f>IF($AV33=1,ROUND($I33/S_VATF,2),"")</f>
        <v/>
      </c>
      <c r="AI33" s="43">
        <f>IF($AV33=1,ROUND($J33/S_VATF,2),"")</f>
        <v/>
      </c>
      <c r="AJ33" s="43">
        <f>IF($AV33=1,ROUND($AA33+$AH33+$AI33-$AD33-$AE33-$AF33-$AG33,2),"")</f>
        <v/>
      </c>
      <c r="AK33" s="32">
        <f>IF(AND($AV33=1,N($L33)&gt;0),IFERROR(IF(IFERROR(INDEX(Payment_Methods!$C:$C,MATCH("CASH",Payment_Methods!$A:$A,0)),"")="نقدي",INDEX(Treasuries!$E:$E,MATCH(INDEX(Locations!$G:$G,MATCH($C33,Locations!$A:$A,0)),Treasuries!$A:$A,0)),INDEX(Payment_Methods!$D:$D,MATCH("CASH",Payment_Methods!$A:$A,0))),"؟"),"")</f>
        <v/>
      </c>
      <c r="AL33" s="32">
        <f>IF(AND($AV33=1,N($M33)&gt;0),IFERROR(IF(IFERROR(INDEX(Payment_Methods!$C:$C,MATCH("CARD",Payment_Methods!$A:$A,0)),"")="نقدي",INDEX(Treasuries!$E:$E,MATCH(INDEX(Locations!$G:$G,MATCH($C33,Locations!$A:$A,0)),Treasuries!$A:$A,0)),INDEX(Payment_Methods!$D:$D,MATCH("CARD",Payment_Methods!$A:$A,0))),"؟"),"")</f>
        <v/>
      </c>
      <c r="AM33" s="32">
        <f>IF(AND($AV33=1,N($N33)&gt;0),IFERROR(IF(IFERROR(INDEX(Payment_Methods!$C:$C,MATCH("TLB",Payment_Methods!$A:$A,0)),"")="نقدي",INDEX(Treasuries!$E:$E,MATCH(INDEX(Locations!$G:$G,MATCH($C33,Locations!$A:$A,0)),Treasuries!$A:$A,0)),INDEX(Payment_Methods!$D:$D,MATCH("TLB",Payment_Methods!$A:$A,0))),"؟"),"")</f>
        <v/>
      </c>
      <c r="AN33" s="32">
        <f>IF(AND($AV33=1,N($O33)&gt;0),IFERROR(IF(IFERROR(INDEX(Payment_Methods!$C:$C,MATCH("DLV2",Payment_Methods!$A:$A,0)),"")="نقدي",INDEX(Treasuries!$E:$E,MATCH(INDEX(Locations!$G:$G,MATCH($C33,Locations!$A:$A,0)),Treasuries!$A:$A,0)),INDEX(Payment_Methods!$D:$D,MATCH("DLV2",Payment_Methods!$A:$A,0))),"؟"),"")</f>
        <v/>
      </c>
      <c r="AO33" s="32">
        <f>IF(AND($AV33=1,N($P33)&gt;0),IFERROR(IF(IFERROR(INDEX(Payment_Methods!$C:$C,MATCH("INSTA",Payment_Methods!$A:$A,0)),"")="نقدي",INDEX(Treasuries!$E:$E,MATCH(INDEX(Locations!$G:$G,MATCH($C33,Locations!$A:$A,0)),Treasuries!$A:$A,0)),INDEX(Payment_Methods!$D:$D,MATCH("INSTA",Payment_Methods!$A:$A,0))),"؟"),"")</f>
        <v/>
      </c>
      <c r="AP33" s="32">
        <f>IF(AND($AV33=1,N($Q33)&gt;0),IFERROR(IF(IFERROR(INDEX(Payment_Methods!$C:$C,MATCH($R33,Payment_Methods!$A:$A,0)),"")="نقدي",INDEX(Treasuries!$E:$E,MATCH(INDEX(Locations!$G:$G,MATCH($C33,Locations!$A:$A,0)),Treasuries!$A:$A,0)),INDEX(Payment_Methods!$D:$D,MATCH($R33,Payment_Methods!$A:$A,0))),"؟"),"")</f>
        <v/>
      </c>
      <c r="AQ33" s="32">
        <f>INDEX(Lists!$U$5:$U$8,1)</f>
        <v/>
      </c>
      <c r="AR33" s="32">
        <f>INDEX(Lists!$U$5:$U$8,2)</f>
        <v/>
      </c>
      <c r="AS33" s="32">
        <f>INDEX(Lists!$U$5:$U$8,3)</f>
        <v/>
      </c>
      <c r="AT33" s="32">
        <f>INDEX(Lists!$U$5:$U$8,4)</f>
        <v/>
      </c>
      <c r="AU33" s="44">
        <f>IF($AV33=1,IF(COUNTIFS(Daily_Recon!$A:$A,$B33,Daily_Recon!$B:$B,$C33)&gt;0,"نعم","لا"),"")</f>
        <v/>
      </c>
      <c r="AV33" s="32">
        <f>IF(COUNTA($A33:$Y33)&gt;0,1,0)</f>
        <v/>
      </c>
      <c r="AW33" s="32">
        <f>IF($AV33=0,"",IF($A33="","رقم المستند ناقص",IF(COUNTIF(Doc_Register!$A:$A,$A33)&gt;1,"رقم مستند مكرر في السجل المركزي",IF(LEFT($A33,LEN("SAL")+1)&lt;&gt;"SAL"&amp;"-","بادئة الرقم لا تطابق نوع المستند",IF(NOT(ISNUMBER($B33)),"التاريخ ناقص أو غير صحيح",IF($S33="","حالة المستند ناقصة",IF($T33="","اسم المُعِد ناقص",IF(AND(OR($S33=ST_APPR,$S33=ST_POST),$U33=""),"لا يوجد معتمد",IF(AND($U33&lt;&gt;"",$U33=$T33),"المُعِد والمعتمد نفس الشخص (فصل المهام)",IF(AND($S33=ST_POST,$V33=""),"اسم المحاسب المرحِّل ناقص",IF(AND($S33=ST_POST,$V33&lt;&gt;"",OR($V33=$T33,$V33=$U33)),"المرحِّل يجب أن يختلف عن المُعِد والمعتمد",IF(AND($S33=ST_REV,$X33=""),"مرجع التصحيح/الإلغاء ناقص",IF(AND(ISNUMBER($B33),OR($S33=ST_DRAFT,$S33=ST_APPR),COUNTIFS(Period_Close!$A:$A,YEAR($B33)*100+MONTH($B33),Period_Close!$B:$B,"مقفلة")&gt;0),"الفترة مقفلة: لا يسمح بمستند جديد",IF(NOT(COUNTIF(Locations!$A:$A,$C33)&gt;0),"الفرع غير معرف",IF(IFERROR(INDEX(Locations!$C:$C,MATCH($C33,Locations!$A:$A,0)),"")&lt;&gt;"فرع","الموقع المختار ليس فرع بيع",IF(AND($S33&lt;&gt;ST_REV,$S33&lt;&gt;ST_CANC,COUNTIFS($B$4:$B32,$B33,$C$4:$C32,$C33,$S$4:$S32,"&lt;&gt;"&amp;ST_REV,$S$4:$S32,"&lt;&gt;"&amp;ST_CANC)&gt;0),"تقرير مبيعات مكرر لنفس الفرع واليوم",IF(MIN($E33,$F33,$G33,$H33,$I33,$J33,$L33,$M33,$N33,$O33,$P33,$Q33)&lt;0,"توجد مبالغ سالبة (استخدم مستند عكسي)",IF($Z33&lt;=0,"إجمالي المبيعات صفر",IF($AA33&lt;0,"الخصومات والمرتجعات أكبر من المبيعات",IF(AND(N($Q33)&gt;0,$R33=""),"كود وسيلة الدفع الأخرى ناقص",IF(ABS($AC33)&gt;S_Tol,"مجموع وسائل الدفع لا يساوي صافي المبيعات",IF(OR(AND(N($L33)&gt;0,COUNTIFS(COA!$A:$A,$AK33,COA!$R:$R,1)&lt;&gt;1),AND(N($M33)&gt;0,COUNTIFS(COA!$A:$A,$AL33,COA!$R:$R,1)&lt;&gt;1),AND(N($N33)&gt;0,COUNTIFS(COA!$A:$A,$AM33,COA!$R:$R,1)&lt;&gt;1),AND(N($O33)&gt;0,COUNTIFS(COA!$A:$A,$AN33,COA!$R:$R,1)&lt;&gt;1),AND(N($P33)&gt;0,COUNTIFS(COA!$A:$A,$AO33,COA!$R:$R,1)&lt;&gt;1),AND(N($Q33)&gt;0,COUNTIFS(COA!$A:$A,$AP33,COA!$R:$R,1)&lt;&gt;1),AND(N($E33)&gt;0,COUNTIFS(COA!$A:$A,$AQ33,COA!$R:$R,1)&lt;&gt;1),AND(N($F33)&gt;0,COUNTIFS(COA!$A:$A,$AR33,COA!$R:$R,1)&lt;&gt;1),AND(N($G33)&gt;0,COUNTIFS(COA!$A:$A,$AS33,COA!$R:$R,1)&lt;&gt;1),AND(N($H33)&gt;0,COUNTIFS(COA!$A:$A,$AT33,COA!$R:$R,1)&lt;&gt;1)),"حساب تسوية أو إيراد غير صالح",IF($AJ33&lt;-S_Tol,"الضريبة المحسوبة سالبة","")))))))))))))))))))))))</f>
        <v/>
      </c>
      <c r="AX33" s="32">
        <f>IF($AV33=1,IF($AW33&lt;&gt;"",1,0),0)</f>
        <v/>
      </c>
      <c r="AY33" s="32">
        <f>IF(AND($AV33=1,$AX33=0,$S33=ST_POST),1,0)</f>
        <v/>
      </c>
    </row>
    <row r="34">
      <c r="A34" s="29" t="n"/>
      <c r="B34" s="31" t="n"/>
      <c r="C34" s="39" t="n"/>
      <c r="D34" s="29" t="n"/>
      <c r="E34" s="42" t="n"/>
      <c r="F34" s="42" t="n"/>
      <c r="G34" s="42" t="n"/>
      <c r="H34" s="42" t="n"/>
      <c r="I34" s="42" t="n"/>
      <c r="J34" s="42" t="n"/>
      <c r="K34" s="42" t="n"/>
      <c r="L34" s="42" t="n"/>
      <c r="M34" s="42" t="n"/>
      <c r="N34" s="42" t="n"/>
      <c r="O34" s="42" t="n"/>
      <c r="P34" s="42" t="n"/>
      <c r="Q34" s="42" t="n"/>
      <c r="R34" s="39" t="n"/>
      <c r="S34" s="39" t="n"/>
      <c r="T34" s="29" t="n"/>
      <c r="U34" s="29" t="n"/>
      <c r="V34" s="29" t="n"/>
      <c r="W34" s="29" t="n"/>
      <c r="X34" s="29" t="n"/>
      <c r="Y34" s="29" t="n"/>
      <c r="Z34" s="43">
        <f>IF($AV34=1,$E34+$F34+$G34+$H34,"")</f>
        <v/>
      </c>
      <c r="AA34" s="43">
        <f>IF($AV34=1,$Z34-$I34-$J34,"")</f>
        <v/>
      </c>
      <c r="AB34" s="43">
        <f>IF($AV34=1,$L34+$M34+$N34+$O34+$P34+$Q34,"")</f>
        <v/>
      </c>
      <c r="AC34" s="47">
        <f>IF($AV34=1,ROUND($AA34-$AB34,2),"")</f>
        <v/>
      </c>
      <c r="AD34" s="43">
        <f>IF($AV34=1,ROUND($E34/S_VATF,2),"")</f>
        <v/>
      </c>
      <c r="AE34" s="43">
        <f>IF($AV34=1,ROUND($F34/S_VATF,2),"")</f>
        <v/>
      </c>
      <c r="AF34" s="43">
        <f>IF($AV34=1,ROUND($G34/S_VATF,2),"")</f>
        <v/>
      </c>
      <c r="AG34" s="43">
        <f>IF($AV34=1,ROUND($H34/S_VATF,2),"")</f>
        <v/>
      </c>
      <c r="AH34" s="43">
        <f>IF($AV34=1,ROUND($I34/S_VATF,2),"")</f>
        <v/>
      </c>
      <c r="AI34" s="43">
        <f>IF($AV34=1,ROUND($J34/S_VATF,2),"")</f>
        <v/>
      </c>
      <c r="AJ34" s="43">
        <f>IF($AV34=1,ROUND($AA34+$AH34+$AI34-$AD34-$AE34-$AF34-$AG34,2),"")</f>
        <v/>
      </c>
      <c r="AK34" s="32">
        <f>IF(AND($AV34=1,N($L34)&gt;0),IFERROR(IF(IFERROR(INDEX(Payment_Methods!$C:$C,MATCH("CASH",Payment_Methods!$A:$A,0)),"")="نقدي",INDEX(Treasuries!$E:$E,MATCH(INDEX(Locations!$G:$G,MATCH($C34,Locations!$A:$A,0)),Treasuries!$A:$A,0)),INDEX(Payment_Methods!$D:$D,MATCH("CASH",Payment_Methods!$A:$A,0))),"؟"),"")</f>
        <v/>
      </c>
      <c r="AL34" s="32">
        <f>IF(AND($AV34=1,N($M34)&gt;0),IFERROR(IF(IFERROR(INDEX(Payment_Methods!$C:$C,MATCH("CARD",Payment_Methods!$A:$A,0)),"")="نقدي",INDEX(Treasuries!$E:$E,MATCH(INDEX(Locations!$G:$G,MATCH($C34,Locations!$A:$A,0)),Treasuries!$A:$A,0)),INDEX(Payment_Methods!$D:$D,MATCH("CARD",Payment_Methods!$A:$A,0))),"؟"),"")</f>
        <v/>
      </c>
      <c r="AM34" s="32">
        <f>IF(AND($AV34=1,N($N34)&gt;0),IFERROR(IF(IFERROR(INDEX(Payment_Methods!$C:$C,MATCH("TLB",Payment_Methods!$A:$A,0)),"")="نقدي",INDEX(Treasuries!$E:$E,MATCH(INDEX(Locations!$G:$G,MATCH($C34,Locations!$A:$A,0)),Treasuries!$A:$A,0)),INDEX(Payment_Methods!$D:$D,MATCH("TLB",Payment_Methods!$A:$A,0))),"؟"),"")</f>
        <v/>
      </c>
      <c r="AN34" s="32">
        <f>IF(AND($AV34=1,N($O34)&gt;0),IFERROR(IF(IFERROR(INDEX(Payment_Methods!$C:$C,MATCH("DLV2",Payment_Methods!$A:$A,0)),"")="نقدي",INDEX(Treasuries!$E:$E,MATCH(INDEX(Locations!$G:$G,MATCH($C34,Locations!$A:$A,0)),Treasuries!$A:$A,0)),INDEX(Payment_Methods!$D:$D,MATCH("DLV2",Payment_Methods!$A:$A,0))),"؟"),"")</f>
        <v/>
      </c>
      <c r="AO34" s="32">
        <f>IF(AND($AV34=1,N($P34)&gt;0),IFERROR(IF(IFERROR(INDEX(Payment_Methods!$C:$C,MATCH("INSTA",Payment_Methods!$A:$A,0)),"")="نقدي",INDEX(Treasuries!$E:$E,MATCH(INDEX(Locations!$G:$G,MATCH($C34,Locations!$A:$A,0)),Treasuries!$A:$A,0)),INDEX(Payment_Methods!$D:$D,MATCH("INSTA",Payment_Methods!$A:$A,0))),"؟"),"")</f>
        <v/>
      </c>
      <c r="AP34" s="32">
        <f>IF(AND($AV34=1,N($Q34)&gt;0),IFERROR(IF(IFERROR(INDEX(Payment_Methods!$C:$C,MATCH($R34,Payment_Methods!$A:$A,0)),"")="نقدي",INDEX(Treasuries!$E:$E,MATCH(INDEX(Locations!$G:$G,MATCH($C34,Locations!$A:$A,0)),Treasuries!$A:$A,0)),INDEX(Payment_Methods!$D:$D,MATCH($R34,Payment_Methods!$A:$A,0))),"؟"),"")</f>
        <v/>
      </c>
      <c r="AQ34" s="32">
        <f>INDEX(Lists!$U$5:$U$8,1)</f>
        <v/>
      </c>
      <c r="AR34" s="32">
        <f>INDEX(Lists!$U$5:$U$8,2)</f>
        <v/>
      </c>
      <c r="AS34" s="32">
        <f>INDEX(Lists!$U$5:$U$8,3)</f>
        <v/>
      </c>
      <c r="AT34" s="32">
        <f>INDEX(Lists!$U$5:$U$8,4)</f>
        <v/>
      </c>
      <c r="AU34" s="44">
        <f>IF($AV34=1,IF(COUNTIFS(Daily_Recon!$A:$A,$B34,Daily_Recon!$B:$B,$C34)&gt;0,"نعم","لا"),"")</f>
        <v/>
      </c>
      <c r="AV34" s="32">
        <f>IF(COUNTA($A34:$Y34)&gt;0,1,0)</f>
        <v/>
      </c>
      <c r="AW34" s="32">
        <f>IF($AV34=0,"",IF($A34="","رقم المستند ناقص",IF(COUNTIF(Doc_Register!$A:$A,$A34)&gt;1,"رقم مستند مكرر في السجل المركزي",IF(LEFT($A34,LEN("SAL")+1)&lt;&gt;"SAL"&amp;"-","بادئة الرقم لا تطابق نوع المستند",IF(NOT(ISNUMBER($B34)),"التاريخ ناقص أو غير صحيح",IF($S34="","حالة المستند ناقصة",IF($T34="","اسم المُعِد ناقص",IF(AND(OR($S34=ST_APPR,$S34=ST_POST),$U34=""),"لا يوجد معتمد",IF(AND($U34&lt;&gt;"",$U34=$T34),"المُعِد والمعتمد نفس الشخص (فصل المهام)",IF(AND($S34=ST_POST,$V34=""),"اسم المحاسب المرحِّل ناقص",IF(AND($S34=ST_POST,$V34&lt;&gt;"",OR($V34=$T34,$V34=$U34)),"المرحِّل يجب أن يختلف عن المُعِد والمعتمد",IF(AND($S34=ST_REV,$X34=""),"مرجع التصحيح/الإلغاء ناقص",IF(AND(ISNUMBER($B34),OR($S34=ST_DRAFT,$S34=ST_APPR),COUNTIFS(Period_Close!$A:$A,YEAR($B34)*100+MONTH($B34),Period_Close!$B:$B,"مقفلة")&gt;0),"الفترة مقفلة: لا يسمح بمستند جديد",IF(NOT(COUNTIF(Locations!$A:$A,$C34)&gt;0),"الفرع غير معرف",IF(IFERROR(INDEX(Locations!$C:$C,MATCH($C34,Locations!$A:$A,0)),"")&lt;&gt;"فرع","الموقع المختار ليس فرع بيع",IF(AND($S34&lt;&gt;ST_REV,$S34&lt;&gt;ST_CANC,COUNTIFS($B$4:$B33,$B34,$C$4:$C33,$C34,$S$4:$S33,"&lt;&gt;"&amp;ST_REV,$S$4:$S33,"&lt;&gt;"&amp;ST_CANC)&gt;0),"تقرير مبيعات مكرر لنفس الفرع واليوم",IF(MIN($E34,$F34,$G34,$H34,$I34,$J34,$L34,$M34,$N34,$O34,$P34,$Q34)&lt;0,"توجد مبالغ سالبة (استخدم مستند عكسي)",IF($Z34&lt;=0,"إجمالي المبيعات صفر",IF($AA34&lt;0,"الخصومات والمرتجعات أكبر من المبيعات",IF(AND(N($Q34)&gt;0,$R34=""),"كود وسيلة الدفع الأخرى ناقص",IF(ABS($AC34)&gt;S_Tol,"مجموع وسائل الدفع لا يساوي صافي المبيعات",IF(OR(AND(N($L34)&gt;0,COUNTIFS(COA!$A:$A,$AK34,COA!$R:$R,1)&lt;&gt;1),AND(N($M34)&gt;0,COUNTIFS(COA!$A:$A,$AL34,COA!$R:$R,1)&lt;&gt;1),AND(N($N34)&gt;0,COUNTIFS(COA!$A:$A,$AM34,COA!$R:$R,1)&lt;&gt;1),AND(N($O34)&gt;0,COUNTIFS(COA!$A:$A,$AN34,COA!$R:$R,1)&lt;&gt;1),AND(N($P34)&gt;0,COUNTIFS(COA!$A:$A,$AO34,COA!$R:$R,1)&lt;&gt;1),AND(N($Q34)&gt;0,COUNTIFS(COA!$A:$A,$AP34,COA!$R:$R,1)&lt;&gt;1),AND(N($E34)&gt;0,COUNTIFS(COA!$A:$A,$AQ34,COA!$R:$R,1)&lt;&gt;1),AND(N($F34)&gt;0,COUNTIFS(COA!$A:$A,$AR34,COA!$R:$R,1)&lt;&gt;1),AND(N($G34)&gt;0,COUNTIFS(COA!$A:$A,$AS34,COA!$R:$R,1)&lt;&gt;1),AND(N($H34)&gt;0,COUNTIFS(COA!$A:$A,$AT34,COA!$R:$R,1)&lt;&gt;1)),"حساب تسوية أو إيراد غير صالح",IF($AJ34&lt;-S_Tol,"الضريبة المحسوبة سالبة","")))))))))))))))))))))))</f>
        <v/>
      </c>
      <c r="AX34" s="32">
        <f>IF($AV34=1,IF($AW34&lt;&gt;"",1,0),0)</f>
        <v/>
      </c>
      <c r="AY34" s="32">
        <f>IF(AND($AV34=1,$AX34=0,$S34=ST_POST),1,0)</f>
        <v/>
      </c>
    </row>
    <row r="35">
      <c r="A35" s="29" t="n"/>
      <c r="B35" s="31" t="n"/>
      <c r="C35" s="39" t="n"/>
      <c r="D35" s="29" t="n"/>
      <c r="E35" s="42" t="n"/>
      <c r="F35" s="42" t="n"/>
      <c r="G35" s="42" t="n"/>
      <c r="H35" s="42" t="n"/>
      <c r="I35" s="42" t="n"/>
      <c r="J35" s="42" t="n"/>
      <c r="K35" s="42" t="n"/>
      <c r="L35" s="42" t="n"/>
      <c r="M35" s="42" t="n"/>
      <c r="N35" s="42" t="n"/>
      <c r="O35" s="42" t="n"/>
      <c r="P35" s="42" t="n"/>
      <c r="Q35" s="42" t="n"/>
      <c r="R35" s="39" t="n"/>
      <c r="S35" s="39" t="n"/>
      <c r="T35" s="29" t="n"/>
      <c r="U35" s="29" t="n"/>
      <c r="V35" s="29" t="n"/>
      <c r="W35" s="29" t="n"/>
      <c r="X35" s="29" t="n"/>
      <c r="Y35" s="29" t="n"/>
      <c r="Z35" s="43">
        <f>IF($AV35=1,$E35+$F35+$G35+$H35,"")</f>
        <v/>
      </c>
      <c r="AA35" s="43">
        <f>IF($AV35=1,$Z35-$I35-$J35,"")</f>
        <v/>
      </c>
      <c r="AB35" s="43">
        <f>IF($AV35=1,$L35+$M35+$N35+$O35+$P35+$Q35,"")</f>
        <v/>
      </c>
      <c r="AC35" s="47">
        <f>IF($AV35=1,ROUND($AA35-$AB35,2),"")</f>
        <v/>
      </c>
      <c r="AD35" s="43">
        <f>IF($AV35=1,ROUND($E35/S_VATF,2),"")</f>
        <v/>
      </c>
      <c r="AE35" s="43">
        <f>IF($AV35=1,ROUND($F35/S_VATF,2),"")</f>
        <v/>
      </c>
      <c r="AF35" s="43">
        <f>IF($AV35=1,ROUND($G35/S_VATF,2),"")</f>
        <v/>
      </c>
      <c r="AG35" s="43">
        <f>IF($AV35=1,ROUND($H35/S_VATF,2),"")</f>
        <v/>
      </c>
      <c r="AH35" s="43">
        <f>IF($AV35=1,ROUND($I35/S_VATF,2),"")</f>
        <v/>
      </c>
      <c r="AI35" s="43">
        <f>IF($AV35=1,ROUND($J35/S_VATF,2),"")</f>
        <v/>
      </c>
      <c r="AJ35" s="43">
        <f>IF($AV35=1,ROUND($AA35+$AH35+$AI35-$AD35-$AE35-$AF35-$AG35,2),"")</f>
        <v/>
      </c>
      <c r="AK35" s="32">
        <f>IF(AND($AV35=1,N($L35)&gt;0),IFERROR(IF(IFERROR(INDEX(Payment_Methods!$C:$C,MATCH("CASH",Payment_Methods!$A:$A,0)),"")="نقدي",INDEX(Treasuries!$E:$E,MATCH(INDEX(Locations!$G:$G,MATCH($C35,Locations!$A:$A,0)),Treasuries!$A:$A,0)),INDEX(Payment_Methods!$D:$D,MATCH("CASH",Payment_Methods!$A:$A,0))),"؟"),"")</f>
        <v/>
      </c>
      <c r="AL35" s="32">
        <f>IF(AND($AV35=1,N($M35)&gt;0),IFERROR(IF(IFERROR(INDEX(Payment_Methods!$C:$C,MATCH("CARD",Payment_Methods!$A:$A,0)),"")="نقدي",INDEX(Treasuries!$E:$E,MATCH(INDEX(Locations!$G:$G,MATCH($C35,Locations!$A:$A,0)),Treasuries!$A:$A,0)),INDEX(Payment_Methods!$D:$D,MATCH("CARD",Payment_Methods!$A:$A,0))),"؟"),"")</f>
        <v/>
      </c>
      <c r="AM35" s="32">
        <f>IF(AND($AV35=1,N($N35)&gt;0),IFERROR(IF(IFERROR(INDEX(Payment_Methods!$C:$C,MATCH("TLB",Payment_Methods!$A:$A,0)),"")="نقدي",INDEX(Treasuries!$E:$E,MATCH(INDEX(Locations!$G:$G,MATCH($C35,Locations!$A:$A,0)),Treasuries!$A:$A,0)),INDEX(Payment_Methods!$D:$D,MATCH("TLB",Payment_Methods!$A:$A,0))),"؟"),"")</f>
        <v/>
      </c>
      <c r="AN35" s="32">
        <f>IF(AND($AV35=1,N($O35)&gt;0),IFERROR(IF(IFERROR(INDEX(Payment_Methods!$C:$C,MATCH("DLV2",Payment_Methods!$A:$A,0)),"")="نقدي",INDEX(Treasuries!$E:$E,MATCH(INDEX(Locations!$G:$G,MATCH($C35,Locations!$A:$A,0)),Treasuries!$A:$A,0)),INDEX(Payment_Methods!$D:$D,MATCH("DLV2",Payment_Methods!$A:$A,0))),"؟"),"")</f>
        <v/>
      </c>
      <c r="AO35" s="32">
        <f>IF(AND($AV35=1,N($P35)&gt;0),IFERROR(IF(IFERROR(INDEX(Payment_Methods!$C:$C,MATCH("INSTA",Payment_Methods!$A:$A,0)),"")="نقدي",INDEX(Treasuries!$E:$E,MATCH(INDEX(Locations!$G:$G,MATCH($C35,Locations!$A:$A,0)),Treasuries!$A:$A,0)),INDEX(Payment_Methods!$D:$D,MATCH("INSTA",Payment_Methods!$A:$A,0))),"؟"),"")</f>
        <v/>
      </c>
      <c r="AP35" s="32">
        <f>IF(AND($AV35=1,N($Q35)&gt;0),IFERROR(IF(IFERROR(INDEX(Payment_Methods!$C:$C,MATCH($R35,Payment_Methods!$A:$A,0)),"")="نقدي",INDEX(Treasuries!$E:$E,MATCH(INDEX(Locations!$G:$G,MATCH($C35,Locations!$A:$A,0)),Treasuries!$A:$A,0)),INDEX(Payment_Methods!$D:$D,MATCH($R35,Payment_Methods!$A:$A,0))),"؟"),"")</f>
        <v/>
      </c>
      <c r="AQ35" s="32">
        <f>INDEX(Lists!$U$5:$U$8,1)</f>
        <v/>
      </c>
      <c r="AR35" s="32">
        <f>INDEX(Lists!$U$5:$U$8,2)</f>
        <v/>
      </c>
      <c r="AS35" s="32">
        <f>INDEX(Lists!$U$5:$U$8,3)</f>
        <v/>
      </c>
      <c r="AT35" s="32">
        <f>INDEX(Lists!$U$5:$U$8,4)</f>
        <v/>
      </c>
      <c r="AU35" s="44">
        <f>IF($AV35=1,IF(COUNTIFS(Daily_Recon!$A:$A,$B35,Daily_Recon!$B:$B,$C35)&gt;0,"نعم","لا"),"")</f>
        <v/>
      </c>
      <c r="AV35" s="32">
        <f>IF(COUNTA($A35:$Y35)&gt;0,1,0)</f>
        <v/>
      </c>
      <c r="AW35" s="32">
        <f>IF($AV35=0,"",IF($A35="","رقم المستند ناقص",IF(COUNTIF(Doc_Register!$A:$A,$A35)&gt;1,"رقم مستند مكرر في السجل المركزي",IF(LEFT($A35,LEN("SAL")+1)&lt;&gt;"SAL"&amp;"-","بادئة الرقم لا تطابق نوع المستند",IF(NOT(ISNUMBER($B35)),"التاريخ ناقص أو غير صحيح",IF($S35="","حالة المستند ناقصة",IF($T35="","اسم المُعِد ناقص",IF(AND(OR($S35=ST_APPR,$S35=ST_POST),$U35=""),"لا يوجد معتمد",IF(AND($U35&lt;&gt;"",$U35=$T35),"المُعِد والمعتمد نفس الشخص (فصل المهام)",IF(AND($S35=ST_POST,$V35=""),"اسم المحاسب المرحِّل ناقص",IF(AND($S35=ST_POST,$V35&lt;&gt;"",OR($V35=$T35,$V35=$U35)),"المرحِّل يجب أن يختلف عن المُعِد والمعتمد",IF(AND($S35=ST_REV,$X35=""),"مرجع التصحيح/الإلغاء ناقص",IF(AND(ISNUMBER($B35),OR($S35=ST_DRAFT,$S35=ST_APPR),COUNTIFS(Period_Close!$A:$A,YEAR($B35)*100+MONTH($B35),Period_Close!$B:$B,"مقفلة")&gt;0),"الفترة مقفلة: لا يسمح بمستند جديد",IF(NOT(COUNTIF(Locations!$A:$A,$C35)&gt;0),"الفرع غير معرف",IF(IFERROR(INDEX(Locations!$C:$C,MATCH($C35,Locations!$A:$A,0)),"")&lt;&gt;"فرع","الموقع المختار ليس فرع بيع",IF(AND($S35&lt;&gt;ST_REV,$S35&lt;&gt;ST_CANC,COUNTIFS($B$4:$B34,$B35,$C$4:$C34,$C35,$S$4:$S34,"&lt;&gt;"&amp;ST_REV,$S$4:$S34,"&lt;&gt;"&amp;ST_CANC)&gt;0),"تقرير مبيعات مكرر لنفس الفرع واليوم",IF(MIN($E35,$F35,$G35,$H35,$I35,$J35,$L35,$M35,$N35,$O35,$P35,$Q35)&lt;0,"توجد مبالغ سالبة (استخدم مستند عكسي)",IF($Z35&lt;=0,"إجمالي المبيعات صفر",IF($AA35&lt;0,"الخصومات والمرتجعات أكبر من المبيعات",IF(AND(N($Q35)&gt;0,$R35=""),"كود وسيلة الدفع الأخرى ناقص",IF(ABS($AC35)&gt;S_Tol,"مجموع وسائل الدفع لا يساوي صافي المبيعات",IF(OR(AND(N($L35)&gt;0,COUNTIFS(COA!$A:$A,$AK35,COA!$R:$R,1)&lt;&gt;1),AND(N($M35)&gt;0,COUNTIFS(COA!$A:$A,$AL35,COA!$R:$R,1)&lt;&gt;1),AND(N($N35)&gt;0,COUNTIFS(COA!$A:$A,$AM35,COA!$R:$R,1)&lt;&gt;1),AND(N($O35)&gt;0,COUNTIFS(COA!$A:$A,$AN35,COA!$R:$R,1)&lt;&gt;1),AND(N($P35)&gt;0,COUNTIFS(COA!$A:$A,$AO35,COA!$R:$R,1)&lt;&gt;1),AND(N($Q35)&gt;0,COUNTIFS(COA!$A:$A,$AP35,COA!$R:$R,1)&lt;&gt;1),AND(N($E35)&gt;0,COUNTIFS(COA!$A:$A,$AQ35,COA!$R:$R,1)&lt;&gt;1),AND(N($F35)&gt;0,COUNTIFS(COA!$A:$A,$AR35,COA!$R:$R,1)&lt;&gt;1),AND(N($G35)&gt;0,COUNTIFS(COA!$A:$A,$AS35,COA!$R:$R,1)&lt;&gt;1),AND(N($H35)&gt;0,COUNTIFS(COA!$A:$A,$AT35,COA!$R:$R,1)&lt;&gt;1)),"حساب تسوية أو إيراد غير صالح",IF($AJ35&lt;-S_Tol,"الضريبة المحسوبة سالبة","")))))))))))))))))))))))</f>
        <v/>
      </c>
      <c r="AX35" s="32">
        <f>IF($AV35=1,IF($AW35&lt;&gt;"",1,0),0)</f>
        <v/>
      </c>
      <c r="AY35" s="32">
        <f>IF(AND($AV35=1,$AX35=0,$S35=ST_POST),1,0)</f>
        <v/>
      </c>
    </row>
    <row r="36">
      <c r="A36" s="29" t="n"/>
      <c r="B36" s="31" t="n"/>
      <c r="C36" s="39" t="n"/>
      <c r="D36" s="29" t="n"/>
      <c r="E36" s="42" t="n"/>
      <c r="F36" s="42" t="n"/>
      <c r="G36" s="42" t="n"/>
      <c r="H36" s="42" t="n"/>
      <c r="I36" s="42" t="n"/>
      <c r="J36" s="42" t="n"/>
      <c r="K36" s="42" t="n"/>
      <c r="L36" s="42" t="n"/>
      <c r="M36" s="42" t="n"/>
      <c r="N36" s="42" t="n"/>
      <c r="O36" s="42" t="n"/>
      <c r="P36" s="42" t="n"/>
      <c r="Q36" s="42" t="n"/>
      <c r="R36" s="39" t="n"/>
      <c r="S36" s="39" t="n"/>
      <c r="T36" s="29" t="n"/>
      <c r="U36" s="29" t="n"/>
      <c r="V36" s="29" t="n"/>
      <c r="W36" s="29" t="n"/>
      <c r="X36" s="29" t="n"/>
      <c r="Y36" s="29" t="n"/>
      <c r="Z36" s="43">
        <f>IF($AV36=1,$E36+$F36+$G36+$H36,"")</f>
        <v/>
      </c>
      <c r="AA36" s="43">
        <f>IF($AV36=1,$Z36-$I36-$J36,"")</f>
        <v/>
      </c>
      <c r="AB36" s="43">
        <f>IF($AV36=1,$L36+$M36+$N36+$O36+$P36+$Q36,"")</f>
        <v/>
      </c>
      <c r="AC36" s="47">
        <f>IF($AV36=1,ROUND($AA36-$AB36,2),"")</f>
        <v/>
      </c>
      <c r="AD36" s="43">
        <f>IF($AV36=1,ROUND($E36/S_VATF,2),"")</f>
        <v/>
      </c>
      <c r="AE36" s="43">
        <f>IF($AV36=1,ROUND($F36/S_VATF,2),"")</f>
        <v/>
      </c>
      <c r="AF36" s="43">
        <f>IF($AV36=1,ROUND($G36/S_VATF,2),"")</f>
        <v/>
      </c>
      <c r="AG36" s="43">
        <f>IF($AV36=1,ROUND($H36/S_VATF,2),"")</f>
        <v/>
      </c>
      <c r="AH36" s="43">
        <f>IF($AV36=1,ROUND($I36/S_VATF,2),"")</f>
        <v/>
      </c>
      <c r="AI36" s="43">
        <f>IF($AV36=1,ROUND($J36/S_VATF,2),"")</f>
        <v/>
      </c>
      <c r="AJ36" s="43">
        <f>IF($AV36=1,ROUND($AA36+$AH36+$AI36-$AD36-$AE36-$AF36-$AG36,2),"")</f>
        <v/>
      </c>
      <c r="AK36" s="32">
        <f>IF(AND($AV36=1,N($L36)&gt;0),IFERROR(IF(IFERROR(INDEX(Payment_Methods!$C:$C,MATCH("CASH",Payment_Methods!$A:$A,0)),"")="نقدي",INDEX(Treasuries!$E:$E,MATCH(INDEX(Locations!$G:$G,MATCH($C36,Locations!$A:$A,0)),Treasuries!$A:$A,0)),INDEX(Payment_Methods!$D:$D,MATCH("CASH",Payment_Methods!$A:$A,0))),"؟"),"")</f>
        <v/>
      </c>
      <c r="AL36" s="32">
        <f>IF(AND($AV36=1,N($M36)&gt;0),IFERROR(IF(IFERROR(INDEX(Payment_Methods!$C:$C,MATCH("CARD",Payment_Methods!$A:$A,0)),"")="نقدي",INDEX(Treasuries!$E:$E,MATCH(INDEX(Locations!$G:$G,MATCH($C36,Locations!$A:$A,0)),Treasuries!$A:$A,0)),INDEX(Payment_Methods!$D:$D,MATCH("CARD",Payment_Methods!$A:$A,0))),"؟"),"")</f>
        <v/>
      </c>
      <c r="AM36" s="32">
        <f>IF(AND($AV36=1,N($N36)&gt;0),IFERROR(IF(IFERROR(INDEX(Payment_Methods!$C:$C,MATCH("TLB",Payment_Methods!$A:$A,0)),"")="نقدي",INDEX(Treasuries!$E:$E,MATCH(INDEX(Locations!$G:$G,MATCH($C36,Locations!$A:$A,0)),Treasuries!$A:$A,0)),INDEX(Payment_Methods!$D:$D,MATCH("TLB",Payment_Methods!$A:$A,0))),"؟"),"")</f>
        <v/>
      </c>
      <c r="AN36" s="32">
        <f>IF(AND($AV36=1,N($O36)&gt;0),IFERROR(IF(IFERROR(INDEX(Payment_Methods!$C:$C,MATCH("DLV2",Payment_Methods!$A:$A,0)),"")="نقدي",INDEX(Treasuries!$E:$E,MATCH(INDEX(Locations!$G:$G,MATCH($C36,Locations!$A:$A,0)),Treasuries!$A:$A,0)),INDEX(Payment_Methods!$D:$D,MATCH("DLV2",Payment_Methods!$A:$A,0))),"؟"),"")</f>
        <v/>
      </c>
      <c r="AO36" s="32">
        <f>IF(AND($AV36=1,N($P36)&gt;0),IFERROR(IF(IFERROR(INDEX(Payment_Methods!$C:$C,MATCH("INSTA",Payment_Methods!$A:$A,0)),"")="نقدي",INDEX(Treasuries!$E:$E,MATCH(INDEX(Locations!$G:$G,MATCH($C36,Locations!$A:$A,0)),Treasuries!$A:$A,0)),INDEX(Payment_Methods!$D:$D,MATCH("INSTA",Payment_Methods!$A:$A,0))),"؟"),"")</f>
        <v/>
      </c>
      <c r="AP36" s="32">
        <f>IF(AND($AV36=1,N($Q36)&gt;0),IFERROR(IF(IFERROR(INDEX(Payment_Methods!$C:$C,MATCH($R36,Payment_Methods!$A:$A,0)),"")="نقدي",INDEX(Treasuries!$E:$E,MATCH(INDEX(Locations!$G:$G,MATCH($C36,Locations!$A:$A,0)),Treasuries!$A:$A,0)),INDEX(Payment_Methods!$D:$D,MATCH($R36,Payment_Methods!$A:$A,0))),"؟"),"")</f>
        <v/>
      </c>
      <c r="AQ36" s="32">
        <f>INDEX(Lists!$U$5:$U$8,1)</f>
        <v/>
      </c>
      <c r="AR36" s="32">
        <f>INDEX(Lists!$U$5:$U$8,2)</f>
        <v/>
      </c>
      <c r="AS36" s="32">
        <f>INDEX(Lists!$U$5:$U$8,3)</f>
        <v/>
      </c>
      <c r="AT36" s="32">
        <f>INDEX(Lists!$U$5:$U$8,4)</f>
        <v/>
      </c>
      <c r="AU36" s="44">
        <f>IF($AV36=1,IF(COUNTIFS(Daily_Recon!$A:$A,$B36,Daily_Recon!$B:$B,$C36)&gt;0,"نعم","لا"),"")</f>
        <v/>
      </c>
      <c r="AV36" s="32">
        <f>IF(COUNTA($A36:$Y36)&gt;0,1,0)</f>
        <v/>
      </c>
      <c r="AW36" s="32">
        <f>IF($AV36=0,"",IF($A36="","رقم المستند ناقص",IF(COUNTIF(Doc_Register!$A:$A,$A36)&gt;1,"رقم مستند مكرر في السجل المركزي",IF(LEFT($A36,LEN("SAL")+1)&lt;&gt;"SAL"&amp;"-","بادئة الرقم لا تطابق نوع المستند",IF(NOT(ISNUMBER($B36)),"التاريخ ناقص أو غير صحيح",IF($S36="","حالة المستند ناقصة",IF($T36="","اسم المُعِد ناقص",IF(AND(OR($S36=ST_APPR,$S36=ST_POST),$U36=""),"لا يوجد معتمد",IF(AND($U36&lt;&gt;"",$U36=$T36),"المُعِد والمعتمد نفس الشخص (فصل المهام)",IF(AND($S36=ST_POST,$V36=""),"اسم المحاسب المرحِّل ناقص",IF(AND($S36=ST_POST,$V36&lt;&gt;"",OR($V36=$T36,$V36=$U36)),"المرحِّل يجب أن يختلف عن المُعِد والمعتمد",IF(AND($S36=ST_REV,$X36=""),"مرجع التصحيح/الإلغاء ناقص",IF(AND(ISNUMBER($B36),OR($S36=ST_DRAFT,$S36=ST_APPR),COUNTIFS(Period_Close!$A:$A,YEAR($B36)*100+MONTH($B36),Period_Close!$B:$B,"مقفلة")&gt;0),"الفترة مقفلة: لا يسمح بمستند جديد",IF(NOT(COUNTIF(Locations!$A:$A,$C36)&gt;0),"الفرع غير معرف",IF(IFERROR(INDEX(Locations!$C:$C,MATCH($C36,Locations!$A:$A,0)),"")&lt;&gt;"فرع","الموقع المختار ليس فرع بيع",IF(AND($S36&lt;&gt;ST_REV,$S36&lt;&gt;ST_CANC,COUNTIFS($B$4:$B35,$B36,$C$4:$C35,$C36,$S$4:$S35,"&lt;&gt;"&amp;ST_REV,$S$4:$S35,"&lt;&gt;"&amp;ST_CANC)&gt;0),"تقرير مبيعات مكرر لنفس الفرع واليوم",IF(MIN($E36,$F36,$G36,$H36,$I36,$J36,$L36,$M36,$N36,$O36,$P36,$Q36)&lt;0,"توجد مبالغ سالبة (استخدم مستند عكسي)",IF($Z36&lt;=0,"إجمالي المبيعات صفر",IF($AA36&lt;0,"الخصومات والمرتجعات أكبر من المبيعات",IF(AND(N($Q36)&gt;0,$R36=""),"كود وسيلة الدفع الأخرى ناقص",IF(ABS($AC36)&gt;S_Tol,"مجموع وسائل الدفع لا يساوي صافي المبيعات",IF(OR(AND(N($L36)&gt;0,COUNTIFS(COA!$A:$A,$AK36,COA!$R:$R,1)&lt;&gt;1),AND(N($M36)&gt;0,COUNTIFS(COA!$A:$A,$AL36,COA!$R:$R,1)&lt;&gt;1),AND(N($N36)&gt;0,COUNTIFS(COA!$A:$A,$AM36,COA!$R:$R,1)&lt;&gt;1),AND(N($O36)&gt;0,COUNTIFS(COA!$A:$A,$AN36,COA!$R:$R,1)&lt;&gt;1),AND(N($P36)&gt;0,COUNTIFS(COA!$A:$A,$AO36,COA!$R:$R,1)&lt;&gt;1),AND(N($Q36)&gt;0,COUNTIFS(COA!$A:$A,$AP36,COA!$R:$R,1)&lt;&gt;1),AND(N($E36)&gt;0,COUNTIFS(COA!$A:$A,$AQ36,COA!$R:$R,1)&lt;&gt;1),AND(N($F36)&gt;0,COUNTIFS(COA!$A:$A,$AR36,COA!$R:$R,1)&lt;&gt;1),AND(N($G36)&gt;0,COUNTIFS(COA!$A:$A,$AS36,COA!$R:$R,1)&lt;&gt;1),AND(N($H36)&gt;0,COUNTIFS(COA!$A:$A,$AT36,COA!$R:$R,1)&lt;&gt;1)),"حساب تسوية أو إيراد غير صالح",IF($AJ36&lt;-S_Tol,"الضريبة المحسوبة سالبة","")))))))))))))))))))))))</f>
        <v/>
      </c>
      <c r="AX36" s="32">
        <f>IF($AV36=1,IF($AW36&lt;&gt;"",1,0),0)</f>
        <v/>
      </c>
      <c r="AY36" s="32">
        <f>IF(AND($AV36=1,$AX36=0,$S36=ST_POST),1,0)</f>
        <v/>
      </c>
    </row>
    <row r="37">
      <c r="A37" s="29" t="n"/>
      <c r="B37" s="31" t="n"/>
      <c r="C37" s="39" t="n"/>
      <c r="D37" s="29" t="n"/>
      <c r="E37" s="42" t="n"/>
      <c r="F37" s="42" t="n"/>
      <c r="G37" s="42" t="n"/>
      <c r="H37" s="42" t="n"/>
      <c r="I37" s="42" t="n"/>
      <c r="J37" s="42" t="n"/>
      <c r="K37" s="42" t="n"/>
      <c r="L37" s="42" t="n"/>
      <c r="M37" s="42" t="n"/>
      <c r="N37" s="42" t="n"/>
      <c r="O37" s="42" t="n"/>
      <c r="P37" s="42" t="n"/>
      <c r="Q37" s="42" t="n"/>
      <c r="R37" s="39" t="n"/>
      <c r="S37" s="39" t="n"/>
      <c r="T37" s="29" t="n"/>
      <c r="U37" s="29" t="n"/>
      <c r="V37" s="29" t="n"/>
      <c r="W37" s="29" t="n"/>
      <c r="X37" s="29" t="n"/>
      <c r="Y37" s="29" t="n"/>
      <c r="Z37" s="43">
        <f>IF($AV37=1,$E37+$F37+$G37+$H37,"")</f>
        <v/>
      </c>
      <c r="AA37" s="43">
        <f>IF($AV37=1,$Z37-$I37-$J37,"")</f>
        <v/>
      </c>
      <c r="AB37" s="43">
        <f>IF($AV37=1,$L37+$M37+$N37+$O37+$P37+$Q37,"")</f>
        <v/>
      </c>
      <c r="AC37" s="47">
        <f>IF($AV37=1,ROUND($AA37-$AB37,2),"")</f>
        <v/>
      </c>
      <c r="AD37" s="43">
        <f>IF($AV37=1,ROUND($E37/S_VATF,2),"")</f>
        <v/>
      </c>
      <c r="AE37" s="43">
        <f>IF($AV37=1,ROUND($F37/S_VATF,2),"")</f>
        <v/>
      </c>
      <c r="AF37" s="43">
        <f>IF($AV37=1,ROUND($G37/S_VATF,2),"")</f>
        <v/>
      </c>
      <c r="AG37" s="43">
        <f>IF($AV37=1,ROUND($H37/S_VATF,2),"")</f>
        <v/>
      </c>
      <c r="AH37" s="43">
        <f>IF($AV37=1,ROUND($I37/S_VATF,2),"")</f>
        <v/>
      </c>
      <c r="AI37" s="43">
        <f>IF($AV37=1,ROUND($J37/S_VATF,2),"")</f>
        <v/>
      </c>
      <c r="AJ37" s="43">
        <f>IF($AV37=1,ROUND($AA37+$AH37+$AI37-$AD37-$AE37-$AF37-$AG37,2),"")</f>
        <v/>
      </c>
      <c r="AK37" s="32">
        <f>IF(AND($AV37=1,N($L37)&gt;0),IFERROR(IF(IFERROR(INDEX(Payment_Methods!$C:$C,MATCH("CASH",Payment_Methods!$A:$A,0)),"")="نقدي",INDEX(Treasuries!$E:$E,MATCH(INDEX(Locations!$G:$G,MATCH($C37,Locations!$A:$A,0)),Treasuries!$A:$A,0)),INDEX(Payment_Methods!$D:$D,MATCH("CASH",Payment_Methods!$A:$A,0))),"؟"),"")</f>
        <v/>
      </c>
      <c r="AL37" s="32">
        <f>IF(AND($AV37=1,N($M37)&gt;0),IFERROR(IF(IFERROR(INDEX(Payment_Methods!$C:$C,MATCH("CARD",Payment_Methods!$A:$A,0)),"")="نقدي",INDEX(Treasuries!$E:$E,MATCH(INDEX(Locations!$G:$G,MATCH($C37,Locations!$A:$A,0)),Treasuries!$A:$A,0)),INDEX(Payment_Methods!$D:$D,MATCH("CARD",Payment_Methods!$A:$A,0))),"؟"),"")</f>
        <v/>
      </c>
      <c r="AM37" s="32">
        <f>IF(AND($AV37=1,N($N37)&gt;0),IFERROR(IF(IFERROR(INDEX(Payment_Methods!$C:$C,MATCH("TLB",Payment_Methods!$A:$A,0)),"")="نقدي",INDEX(Treasuries!$E:$E,MATCH(INDEX(Locations!$G:$G,MATCH($C37,Locations!$A:$A,0)),Treasuries!$A:$A,0)),INDEX(Payment_Methods!$D:$D,MATCH("TLB",Payment_Methods!$A:$A,0))),"؟"),"")</f>
        <v/>
      </c>
      <c r="AN37" s="32">
        <f>IF(AND($AV37=1,N($O37)&gt;0),IFERROR(IF(IFERROR(INDEX(Payment_Methods!$C:$C,MATCH("DLV2",Payment_Methods!$A:$A,0)),"")="نقدي",INDEX(Treasuries!$E:$E,MATCH(INDEX(Locations!$G:$G,MATCH($C37,Locations!$A:$A,0)),Treasuries!$A:$A,0)),INDEX(Payment_Methods!$D:$D,MATCH("DLV2",Payment_Methods!$A:$A,0))),"؟"),"")</f>
        <v/>
      </c>
      <c r="AO37" s="32">
        <f>IF(AND($AV37=1,N($P37)&gt;0),IFERROR(IF(IFERROR(INDEX(Payment_Methods!$C:$C,MATCH("INSTA",Payment_Methods!$A:$A,0)),"")="نقدي",INDEX(Treasuries!$E:$E,MATCH(INDEX(Locations!$G:$G,MATCH($C37,Locations!$A:$A,0)),Treasuries!$A:$A,0)),INDEX(Payment_Methods!$D:$D,MATCH("INSTA",Payment_Methods!$A:$A,0))),"؟"),"")</f>
        <v/>
      </c>
      <c r="AP37" s="32">
        <f>IF(AND($AV37=1,N($Q37)&gt;0),IFERROR(IF(IFERROR(INDEX(Payment_Methods!$C:$C,MATCH($R37,Payment_Methods!$A:$A,0)),"")="نقدي",INDEX(Treasuries!$E:$E,MATCH(INDEX(Locations!$G:$G,MATCH($C37,Locations!$A:$A,0)),Treasuries!$A:$A,0)),INDEX(Payment_Methods!$D:$D,MATCH($R37,Payment_Methods!$A:$A,0))),"؟"),"")</f>
        <v/>
      </c>
      <c r="AQ37" s="32">
        <f>INDEX(Lists!$U$5:$U$8,1)</f>
        <v/>
      </c>
      <c r="AR37" s="32">
        <f>INDEX(Lists!$U$5:$U$8,2)</f>
        <v/>
      </c>
      <c r="AS37" s="32">
        <f>INDEX(Lists!$U$5:$U$8,3)</f>
        <v/>
      </c>
      <c r="AT37" s="32">
        <f>INDEX(Lists!$U$5:$U$8,4)</f>
        <v/>
      </c>
      <c r="AU37" s="44">
        <f>IF($AV37=1,IF(COUNTIFS(Daily_Recon!$A:$A,$B37,Daily_Recon!$B:$B,$C37)&gt;0,"نعم","لا"),"")</f>
        <v/>
      </c>
      <c r="AV37" s="32">
        <f>IF(COUNTA($A37:$Y37)&gt;0,1,0)</f>
        <v/>
      </c>
      <c r="AW37" s="32">
        <f>IF($AV37=0,"",IF($A37="","رقم المستند ناقص",IF(COUNTIF(Doc_Register!$A:$A,$A37)&gt;1,"رقم مستند مكرر في السجل المركزي",IF(LEFT($A37,LEN("SAL")+1)&lt;&gt;"SAL"&amp;"-","بادئة الرقم لا تطابق نوع المستند",IF(NOT(ISNUMBER($B37)),"التاريخ ناقص أو غير صحيح",IF($S37="","حالة المستند ناقصة",IF($T37="","اسم المُعِد ناقص",IF(AND(OR($S37=ST_APPR,$S37=ST_POST),$U37=""),"لا يوجد معتمد",IF(AND($U37&lt;&gt;"",$U37=$T37),"المُعِد والمعتمد نفس الشخص (فصل المهام)",IF(AND($S37=ST_POST,$V37=""),"اسم المحاسب المرحِّل ناقص",IF(AND($S37=ST_POST,$V37&lt;&gt;"",OR($V37=$T37,$V37=$U37)),"المرحِّل يجب أن يختلف عن المُعِد والمعتمد",IF(AND($S37=ST_REV,$X37=""),"مرجع التصحيح/الإلغاء ناقص",IF(AND(ISNUMBER($B37),OR($S37=ST_DRAFT,$S37=ST_APPR),COUNTIFS(Period_Close!$A:$A,YEAR($B37)*100+MONTH($B37),Period_Close!$B:$B,"مقفلة")&gt;0),"الفترة مقفلة: لا يسمح بمستند جديد",IF(NOT(COUNTIF(Locations!$A:$A,$C37)&gt;0),"الفرع غير معرف",IF(IFERROR(INDEX(Locations!$C:$C,MATCH($C37,Locations!$A:$A,0)),"")&lt;&gt;"فرع","الموقع المختار ليس فرع بيع",IF(AND($S37&lt;&gt;ST_REV,$S37&lt;&gt;ST_CANC,COUNTIFS($B$4:$B36,$B37,$C$4:$C36,$C37,$S$4:$S36,"&lt;&gt;"&amp;ST_REV,$S$4:$S36,"&lt;&gt;"&amp;ST_CANC)&gt;0),"تقرير مبيعات مكرر لنفس الفرع واليوم",IF(MIN($E37,$F37,$G37,$H37,$I37,$J37,$L37,$M37,$N37,$O37,$P37,$Q37)&lt;0,"توجد مبالغ سالبة (استخدم مستند عكسي)",IF($Z37&lt;=0,"إجمالي المبيعات صفر",IF($AA37&lt;0,"الخصومات والمرتجعات أكبر من المبيعات",IF(AND(N($Q37)&gt;0,$R37=""),"كود وسيلة الدفع الأخرى ناقص",IF(ABS($AC37)&gt;S_Tol,"مجموع وسائل الدفع لا يساوي صافي المبيعات",IF(OR(AND(N($L37)&gt;0,COUNTIFS(COA!$A:$A,$AK37,COA!$R:$R,1)&lt;&gt;1),AND(N($M37)&gt;0,COUNTIFS(COA!$A:$A,$AL37,COA!$R:$R,1)&lt;&gt;1),AND(N($N37)&gt;0,COUNTIFS(COA!$A:$A,$AM37,COA!$R:$R,1)&lt;&gt;1),AND(N($O37)&gt;0,COUNTIFS(COA!$A:$A,$AN37,COA!$R:$R,1)&lt;&gt;1),AND(N($P37)&gt;0,COUNTIFS(COA!$A:$A,$AO37,COA!$R:$R,1)&lt;&gt;1),AND(N($Q37)&gt;0,COUNTIFS(COA!$A:$A,$AP37,COA!$R:$R,1)&lt;&gt;1),AND(N($E37)&gt;0,COUNTIFS(COA!$A:$A,$AQ37,COA!$R:$R,1)&lt;&gt;1),AND(N($F37)&gt;0,COUNTIFS(COA!$A:$A,$AR37,COA!$R:$R,1)&lt;&gt;1),AND(N($G37)&gt;0,COUNTIFS(COA!$A:$A,$AS37,COA!$R:$R,1)&lt;&gt;1),AND(N($H37)&gt;0,COUNTIFS(COA!$A:$A,$AT37,COA!$R:$R,1)&lt;&gt;1)),"حساب تسوية أو إيراد غير صالح",IF($AJ37&lt;-S_Tol,"الضريبة المحسوبة سالبة","")))))))))))))))))))))))</f>
        <v/>
      </c>
      <c r="AX37" s="32">
        <f>IF($AV37=1,IF($AW37&lt;&gt;"",1,0),0)</f>
        <v/>
      </c>
      <c r="AY37" s="32">
        <f>IF(AND($AV37=1,$AX37=0,$S37=ST_POST),1,0)</f>
        <v/>
      </c>
    </row>
    <row r="38">
      <c r="A38" s="29" t="n"/>
      <c r="B38" s="31" t="n"/>
      <c r="C38" s="39" t="n"/>
      <c r="D38" s="29" t="n"/>
      <c r="E38" s="42" t="n"/>
      <c r="F38" s="42" t="n"/>
      <c r="G38" s="42" t="n"/>
      <c r="H38" s="42" t="n"/>
      <c r="I38" s="42" t="n"/>
      <c r="J38" s="42" t="n"/>
      <c r="K38" s="42" t="n"/>
      <c r="L38" s="42" t="n"/>
      <c r="M38" s="42" t="n"/>
      <c r="N38" s="42" t="n"/>
      <c r="O38" s="42" t="n"/>
      <c r="P38" s="42" t="n"/>
      <c r="Q38" s="42" t="n"/>
      <c r="R38" s="39" t="n"/>
      <c r="S38" s="39" t="n"/>
      <c r="T38" s="29" t="n"/>
      <c r="U38" s="29" t="n"/>
      <c r="V38" s="29" t="n"/>
      <c r="W38" s="29" t="n"/>
      <c r="X38" s="29" t="n"/>
      <c r="Y38" s="29" t="n"/>
      <c r="Z38" s="43">
        <f>IF($AV38=1,$E38+$F38+$G38+$H38,"")</f>
        <v/>
      </c>
      <c r="AA38" s="43">
        <f>IF($AV38=1,$Z38-$I38-$J38,"")</f>
        <v/>
      </c>
      <c r="AB38" s="43">
        <f>IF($AV38=1,$L38+$M38+$N38+$O38+$P38+$Q38,"")</f>
        <v/>
      </c>
      <c r="AC38" s="47">
        <f>IF($AV38=1,ROUND($AA38-$AB38,2),"")</f>
        <v/>
      </c>
      <c r="AD38" s="43">
        <f>IF($AV38=1,ROUND($E38/S_VATF,2),"")</f>
        <v/>
      </c>
      <c r="AE38" s="43">
        <f>IF($AV38=1,ROUND($F38/S_VATF,2),"")</f>
        <v/>
      </c>
      <c r="AF38" s="43">
        <f>IF($AV38=1,ROUND($G38/S_VATF,2),"")</f>
        <v/>
      </c>
      <c r="AG38" s="43">
        <f>IF($AV38=1,ROUND($H38/S_VATF,2),"")</f>
        <v/>
      </c>
      <c r="AH38" s="43">
        <f>IF($AV38=1,ROUND($I38/S_VATF,2),"")</f>
        <v/>
      </c>
      <c r="AI38" s="43">
        <f>IF($AV38=1,ROUND($J38/S_VATF,2),"")</f>
        <v/>
      </c>
      <c r="AJ38" s="43">
        <f>IF($AV38=1,ROUND($AA38+$AH38+$AI38-$AD38-$AE38-$AF38-$AG38,2),"")</f>
        <v/>
      </c>
      <c r="AK38" s="32">
        <f>IF(AND($AV38=1,N($L38)&gt;0),IFERROR(IF(IFERROR(INDEX(Payment_Methods!$C:$C,MATCH("CASH",Payment_Methods!$A:$A,0)),"")="نقدي",INDEX(Treasuries!$E:$E,MATCH(INDEX(Locations!$G:$G,MATCH($C38,Locations!$A:$A,0)),Treasuries!$A:$A,0)),INDEX(Payment_Methods!$D:$D,MATCH("CASH",Payment_Methods!$A:$A,0))),"؟"),"")</f>
        <v/>
      </c>
      <c r="AL38" s="32">
        <f>IF(AND($AV38=1,N($M38)&gt;0),IFERROR(IF(IFERROR(INDEX(Payment_Methods!$C:$C,MATCH("CARD",Payment_Methods!$A:$A,0)),"")="نقدي",INDEX(Treasuries!$E:$E,MATCH(INDEX(Locations!$G:$G,MATCH($C38,Locations!$A:$A,0)),Treasuries!$A:$A,0)),INDEX(Payment_Methods!$D:$D,MATCH("CARD",Payment_Methods!$A:$A,0))),"؟"),"")</f>
        <v/>
      </c>
      <c r="AM38" s="32">
        <f>IF(AND($AV38=1,N($N38)&gt;0),IFERROR(IF(IFERROR(INDEX(Payment_Methods!$C:$C,MATCH("TLB",Payment_Methods!$A:$A,0)),"")="نقدي",INDEX(Treasuries!$E:$E,MATCH(INDEX(Locations!$G:$G,MATCH($C38,Locations!$A:$A,0)),Treasuries!$A:$A,0)),INDEX(Payment_Methods!$D:$D,MATCH("TLB",Payment_Methods!$A:$A,0))),"؟"),"")</f>
        <v/>
      </c>
      <c r="AN38" s="32">
        <f>IF(AND($AV38=1,N($O38)&gt;0),IFERROR(IF(IFERROR(INDEX(Payment_Methods!$C:$C,MATCH("DLV2",Payment_Methods!$A:$A,0)),"")="نقدي",INDEX(Treasuries!$E:$E,MATCH(INDEX(Locations!$G:$G,MATCH($C38,Locations!$A:$A,0)),Treasuries!$A:$A,0)),INDEX(Payment_Methods!$D:$D,MATCH("DLV2",Payment_Methods!$A:$A,0))),"؟"),"")</f>
        <v/>
      </c>
      <c r="AO38" s="32">
        <f>IF(AND($AV38=1,N($P38)&gt;0),IFERROR(IF(IFERROR(INDEX(Payment_Methods!$C:$C,MATCH("INSTA",Payment_Methods!$A:$A,0)),"")="نقدي",INDEX(Treasuries!$E:$E,MATCH(INDEX(Locations!$G:$G,MATCH($C38,Locations!$A:$A,0)),Treasuries!$A:$A,0)),INDEX(Payment_Methods!$D:$D,MATCH("INSTA",Payment_Methods!$A:$A,0))),"؟"),"")</f>
        <v/>
      </c>
      <c r="AP38" s="32">
        <f>IF(AND($AV38=1,N($Q38)&gt;0),IFERROR(IF(IFERROR(INDEX(Payment_Methods!$C:$C,MATCH($R38,Payment_Methods!$A:$A,0)),"")="نقدي",INDEX(Treasuries!$E:$E,MATCH(INDEX(Locations!$G:$G,MATCH($C38,Locations!$A:$A,0)),Treasuries!$A:$A,0)),INDEX(Payment_Methods!$D:$D,MATCH($R38,Payment_Methods!$A:$A,0))),"؟"),"")</f>
        <v/>
      </c>
      <c r="AQ38" s="32">
        <f>INDEX(Lists!$U$5:$U$8,1)</f>
        <v/>
      </c>
      <c r="AR38" s="32">
        <f>INDEX(Lists!$U$5:$U$8,2)</f>
        <v/>
      </c>
      <c r="AS38" s="32">
        <f>INDEX(Lists!$U$5:$U$8,3)</f>
        <v/>
      </c>
      <c r="AT38" s="32">
        <f>INDEX(Lists!$U$5:$U$8,4)</f>
        <v/>
      </c>
      <c r="AU38" s="44">
        <f>IF($AV38=1,IF(COUNTIFS(Daily_Recon!$A:$A,$B38,Daily_Recon!$B:$B,$C38)&gt;0,"نعم","لا"),"")</f>
        <v/>
      </c>
      <c r="AV38" s="32">
        <f>IF(COUNTA($A38:$Y38)&gt;0,1,0)</f>
        <v/>
      </c>
      <c r="AW38" s="32">
        <f>IF($AV38=0,"",IF($A38="","رقم المستند ناقص",IF(COUNTIF(Doc_Register!$A:$A,$A38)&gt;1,"رقم مستند مكرر في السجل المركزي",IF(LEFT($A38,LEN("SAL")+1)&lt;&gt;"SAL"&amp;"-","بادئة الرقم لا تطابق نوع المستند",IF(NOT(ISNUMBER($B38)),"التاريخ ناقص أو غير صحيح",IF($S38="","حالة المستند ناقصة",IF($T38="","اسم المُعِد ناقص",IF(AND(OR($S38=ST_APPR,$S38=ST_POST),$U38=""),"لا يوجد معتمد",IF(AND($U38&lt;&gt;"",$U38=$T38),"المُعِد والمعتمد نفس الشخص (فصل المهام)",IF(AND($S38=ST_POST,$V38=""),"اسم المحاسب المرحِّل ناقص",IF(AND($S38=ST_POST,$V38&lt;&gt;"",OR($V38=$T38,$V38=$U38)),"المرحِّل يجب أن يختلف عن المُعِد والمعتمد",IF(AND($S38=ST_REV,$X38=""),"مرجع التصحيح/الإلغاء ناقص",IF(AND(ISNUMBER($B38),OR($S38=ST_DRAFT,$S38=ST_APPR),COUNTIFS(Period_Close!$A:$A,YEAR($B38)*100+MONTH($B38),Period_Close!$B:$B,"مقفلة")&gt;0),"الفترة مقفلة: لا يسمح بمستند جديد",IF(NOT(COUNTIF(Locations!$A:$A,$C38)&gt;0),"الفرع غير معرف",IF(IFERROR(INDEX(Locations!$C:$C,MATCH($C38,Locations!$A:$A,0)),"")&lt;&gt;"فرع","الموقع المختار ليس فرع بيع",IF(AND($S38&lt;&gt;ST_REV,$S38&lt;&gt;ST_CANC,COUNTIFS($B$4:$B37,$B38,$C$4:$C37,$C38,$S$4:$S37,"&lt;&gt;"&amp;ST_REV,$S$4:$S37,"&lt;&gt;"&amp;ST_CANC)&gt;0),"تقرير مبيعات مكرر لنفس الفرع واليوم",IF(MIN($E38,$F38,$G38,$H38,$I38,$J38,$L38,$M38,$N38,$O38,$P38,$Q38)&lt;0,"توجد مبالغ سالبة (استخدم مستند عكسي)",IF($Z38&lt;=0,"إجمالي المبيعات صفر",IF($AA38&lt;0,"الخصومات والمرتجعات أكبر من المبيعات",IF(AND(N($Q38)&gt;0,$R38=""),"كود وسيلة الدفع الأخرى ناقص",IF(ABS($AC38)&gt;S_Tol,"مجموع وسائل الدفع لا يساوي صافي المبيعات",IF(OR(AND(N($L38)&gt;0,COUNTIFS(COA!$A:$A,$AK38,COA!$R:$R,1)&lt;&gt;1),AND(N($M38)&gt;0,COUNTIFS(COA!$A:$A,$AL38,COA!$R:$R,1)&lt;&gt;1),AND(N($N38)&gt;0,COUNTIFS(COA!$A:$A,$AM38,COA!$R:$R,1)&lt;&gt;1),AND(N($O38)&gt;0,COUNTIFS(COA!$A:$A,$AN38,COA!$R:$R,1)&lt;&gt;1),AND(N($P38)&gt;0,COUNTIFS(COA!$A:$A,$AO38,COA!$R:$R,1)&lt;&gt;1),AND(N($Q38)&gt;0,COUNTIFS(COA!$A:$A,$AP38,COA!$R:$R,1)&lt;&gt;1),AND(N($E38)&gt;0,COUNTIFS(COA!$A:$A,$AQ38,COA!$R:$R,1)&lt;&gt;1),AND(N($F38)&gt;0,COUNTIFS(COA!$A:$A,$AR38,COA!$R:$R,1)&lt;&gt;1),AND(N($G38)&gt;0,COUNTIFS(COA!$A:$A,$AS38,COA!$R:$R,1)&lt;&gt;1),AND(N($H38)&gt;0,COUNTIFS(COA!$A:$A,$AT38,COA!$R:$R,1)&lt;&gt;1)),"حساب تسوية أو إيراد غير صالح",IF($AJ38&lt;-S_Tol,"الضريبة المحسوبة سالبة","")))))))))))))))))))))))</f>
        <v/>
      </c>
      <c r="AX38" s="32">
        <f>IF($AV38=1,IF($AW38&lt;&gt;"",1,0),0)</f>
        <v/>
      </c>
      <c r="AY38" s="32">
        <f>IF(AND($AV38=1,$AX38=0,$S38=ST_POST),1,0)</f>
        <v/>
      </c>
    </row>
    <row r="39">
      <c r="A39" s="29" t="n"/>
      <c r="B39" s="31" t="n"/>
      <c r="C39" s="39" t="n"/>
      <c r="D39" s="29" t="n"/>
      <c r="E39" s="42" t="n"/>
      <c r="F39" s="42" t="n"/>
      <c r="G39" s="42" t="n"/>
      <c r="H39" s="42" t="n"/>
      <c r="I39" s="42" t="n"/>
      <c r="J39" s="42" t="n"/>
      <c r="K39" s="42" t="n"/>
      <c r="L39" s="42" t="n"/>
      <c r="M39" s="42" t="n"/>
      <c r="N39" s="42" t="n"/>
      <c r="O39" s="42" t="n"/>
      <c r="P39" s="42" t="n"/>
      <c r="Q39" s="42" t="n"/>
      <c r="R39" s="39" t="n"/>
      <c r="S39" s="39" t="n"/>
      <c r="T39" s="29" t="n"/>
      <c r="U39" s="29" t="n"/>
      <c r="V39" s="29" t="n"/>
      <c r="W39" s="29" t="n"/>
      <c r="X39" s="29" t="n"/>
      <c r="Y39" s="29" t="n"/>
      <c r="Z39" s="43">
        <f>IF($AV39=1,$E39+$F39+$G39+$H39,"")</f>
        <v/>
      </c>
      <c r="AA39" s="43">
        <f>IF($AV39=1,$Z39-$I39-$J39,"")</f>
        <v/>
      </c>
      <c r="AB39" s="43">
        <f>IF($AV39=1,$L39+$M39+$N39+$O39+$P39+$Q39,"")</f>
        <v/>
      </c>
      <c r="AC39" s="47">
        <f>IF($AV39=1,ROUND($AA39-$AB39,2),"")</f>
        <v/>
      </c>
      <c r="AD39" s="43">
        <f>IF($AV39=1,ROUND($E39/S_VATF,2),"")</f>
        <v/>
      </c>
      <c r="AE39" s="43">
        <f>IF($AV39=1,ROUND($F39/S_VATF,2),"")</f>
        <v/>
      </c>
      <c r="AF39" s="43">
        <f>IF($AV39=1,ROUND($G39/S_VATF,2),"")</f>
        <v/>
      </c>
      <c r="AG39" s="43">
        <f>IF($AV39=1,ROUND($H39/S_VATF,2),"")</f>
        <v/>
      </c>
      <c r="AH39" s="43">
        <f>IF($AV39=1,ROUND($I39/S_VATF,2),"")</f>
        <v/>
      </c>
      <c r="AI39" s="43">
        <f>IF($AV39=1,ROUND($J39/S_VATF,2),"")</f>
        <v/>
      </c>
      <c r="AJ39" s="43">
        <f>IF($AV39=1,ROUND($AA39+$AH39+$AI39-$AD39-$AE39-$AF39-$AG39,2),"")</f>
        <v/>
      </c>
      <c r="AK39" s="32">
        <f>IF(AND($AV39=1,N($L39)&gt;0),IFERROR(IF(IFERROR(INDEX(Payment_Methods!$C:$C,MATCH("CASH",Payment_Methods!$A:$A,0)),"")="نقدي",INDEX(Treasuries!$E:$E,MATCH(INDEX(Locations!$G:$G,MATCH($C39,Locations!$A:$A,0)),Treasuries!$A:$A,0)),INDEX(Payment_Methods!$D:$D,MATCH("CASH",Payment_Methods!$A:$A,0))),"؟"),"")</f>
        <v/>
      </c>
      <c r="AL39" s="32">
        <f>IF(AND($AV39=1,N($M39)&gt;0),IFERROR(IF(IFERROR(INDEX(Payment_Methods!$C:$C,MATCH("CARD",Payment_Methods!$A:$A,0)),"")="نقدي",INDEX(Treasuries!$E:$E,MATCH(INDEX(Locations!$G:$G,MATCH($C39,Locations!$A:$A,0)),Treasuries!$A:$A,0)),INDEX(Payment_Methods!$D:$D,MATCH("CARD",Payment_Methods!$A:$A,0))),"؟"),"")</f>
        <v/>
      </c>
      <c r="AM39" s="32">
        <f>IF(AND($AV39=1,N($N39)&gt;0),IFERROR(IF(IFERROR(INDEX(Payment_Methods!$C:$C,MATCH("TLB",Payment_Methods!$A:$A,0)),"")="نقدي",INDEX(Treasuries!$E:$E,MATCH(INDEX(Locations!$G:$G,MATCH($C39,Locations!$A:$A,0)),Treasuries!$A:$A,0)),INDEX(Payment_Methods!$D:$D,MATCH("TLB",Payment_Methods!$A:$A,0))),"؟"),"")</f>
        <v/>
      </c>
      <c r="AN39" s="32">
        <f>IF(AND($AV39=1,N($O39)&gt;0),IFERROR(IF(IFERROR(INDEX(Payment_Methods!$C:$C,MATCH("DLV2",Payment_Methods!$A:$A,0)),"")="نقدي",INDEX(Treasuries!$E:$E,MATCH(INDEX(Locations!$G:$G,MATCH($C39,Locations!$A:$A,0)),Treasuries!$A:$A,0)),INDEX(Payment_Methods!$D:$D,MATCH("DLV2",Payment_Methods!$A:$A,0))),"؟"),"")</f>
        <v/>
      </c>
      <c r="AO39" s="32">
        <f>IF(AND($AV39=1,N($P39)&gt;0),IFERROR(IF(IFERROR(INDEX(Payment_Methods!$C:$C,MATCH("INSTA",Payment_Methods!$A:$A,0)),"")="نقدي",INDEX(Treasuries!$E:$E,MATCH(INDEX(Locations!$G:$G,MATCH($C39,Locations!$A:$A,0)),Treasuries!$A:$A,0)),INDEX(Payment_Methods!$D:$D,MATCH("INSTA",Payment_Methods!$A:$A,0))),"؟"),"")</f>
        <v/>
      </c>
      <c r="AP39" s="32">
        <f>IF(AND($AV39=1,N($Q39)&gt;0),IFERROR(IF(IFERROR(INDEX(Payment_Methods!$C:$C,MATCH($R39,Payment_Methods!$A:$A,0)),"")="نقدي",INDEX(Treasuries!$E:$E,MATCH(INDEX(Locations!$G:$G,MATCH($C39,Locations!$A:$A,0)),Treasuries!$A:$A,0)),INDEX(Payment_Methods!$D:$D,MATCH($R39,Payment_Methods!$A:$A,0))),"؟"),"")</f>
        <v/>
      </c>
      <c r="AQ39" s="32">
        <f>INDEX(Lists!$U$5:$U$8,1)</f>
        <v/>
      </c>
      <c r="AR39" s="32">
        <f>INDEX(Lists!$U$5:$U$8,2)</f>
        <v/>
      </c>
      <c r="AS39" s="32">
        <f>INDEX(Lists!$U$5:$U$8,3)</f>
        <v/>
      </c>
      <c r="AT39" s="32">
        <f>INDEX(Lists!$U$5:$U$8,4)</f>
        <v/>
      </c>
      <c r="AU39" s="44">
        <f>IF($AV39=1,IF(COUNTIFS(Daily_Recon!$A:$A,$B39,Daily_Recon!$B:$B,$C39)&gt;0,"نعم","لا"),"")</f>
        <v/>
      </c>
      <c r="AV39" s="32">
        <f>IF(COUNTA($A39:$Y39)&gt;0,1,0)</f>
        <v/>
      </c>
      <c r="AW39" s="32">
        <f>IF($AV39=0,"",IF($A39="","رقم المستند ناقص",IF(COUNTIF(Doc_Register!$A:$A,$A39)&gt;1,"رقم مستند مكرر في السجل المركزي",IF(LEFT($A39,LEN("SAL")+1)&lt;&gt;"SAL"&amp;"-","بادئة الرقم لا تطابق نوع المستند",IF(NOT(ISNUMBER($B39)),"التاريخ ناقص أو غير صحيح",IF($S39="","حالة المستند ناقصة",IF($T39="","اسم المُعِد ناقص",IF(AND(OR($S39=ST_APPR,$S39=ST_POST),$U39=""),"لا يوجد معتمد",IF(AND($U39&lt;&gt;"",$U39=$T39),"المُعِد والمعتمد نفس الشخص (فصل المهام)",IF(AND($S39=ST_POST,$V39=""),"اسم المحاسب المرحِّل ناقص",IF(AND($S39=ST_POST,$V39&lt;&gt;"",OR($V39=$T39,$V39=$U39)),"المرحِّل يجب أن يختلف عن المُعِد والمعتمد",IF(AND($S39=ST_REV,$X39=""),"مرجع التصحيح/الإلغاء ناقص",IF(AND(ISNUMBER($B39),OR($S39=ST_DRAFT,$S39=ST_APPR),COUNTIFS(Period_Close!$A:$A,YEAR($B39)*100+MONTH($B39),Period_Close!$B:$B,"مقفلة")&gt;0),"الفترة مقفلة: لا يسمح بمستند جديد",IF(NOT(COUNTIF(Locations!$A:$A,$C39)&gt;0),"الفرع غير معرف",IF(IFERROR(INDEX(Locations!$C:$C,MATCH($C39,Locations!$A:$A,0)),"")&lt;&gt;"فرع","الموقع المختار ليس فرع بيع",IF(AND($S39&lt;&gt;ST_REV,$S39&lt;&gt;ST_CANC,COUNTIFS($B$4:$B38,$B39,$C$4:$C38,$C39,$S$4:$S38,"&lt;&gt;"&amp;ST_REV,$S$4:$S38,"&lt;&gt;"&amp;ST_CANC)&gt;0),"تقرير مبيعات مكرر لنفس الفرع واليوم",IF(MIN($E39,$F39,$G39,$H39,$I39,$J39,$L39,$M39,$N39,$O39,$P39,$Q39)&lt;0,"توجد مبالغ سالبة (استخدم مستند عكسي)",IF($Z39&lt;=0,"إجمالي المبيعات صفر",IF($AA39&lt;0,"الخصومات والمرتجعات أكبر من المبيعات",IF(AND(N($Q39)&gt;0,$R39=""),"كود وسيلة الدفع الأخرى ناقص",IF(ABS($AC39)&gt;S_Tol,"مجموع وسائل الدفع لا يساوي صافي المبيعات",IF(OR(AND(N($L39)&gt;0,COUNTIFS(COA!$A:$A,$AK39,COA!$R:$R,1)&lt;&gt;1),AND(N($M39)&gt;0,COUNTIFS(COA!$A:$A,$AL39,COA!$R:$R,1)&lt;&gt;1),AND(N($N39)&gt;0,COUNTIFS(COA!$A:$A,$AM39,COA!$R:$R,1)&lt;&gt;1),AND(N($O39)&gt;0,COUNTIFS(COA!$A:$A,$AN39,COA!$R:$R,1)&lt;&gt;1),AND(N($P39)&gt;0,COUNTIFS(COA!$A:$A,$AO39,COA!$R:$R,1)&lt;&gt;1),AND(N($Q39)&gt;0,COUNTIFS(COA!$A:$A,$AP39,COA!$R:$R,1)&lt;&gt;1),AND(N($E39)&gt;0,COUNTIFS(COA!$A:$A,$AQ39,COA!$R:$R,1)&lt;&gt;1),AND(N($F39)&gt;0,COUNTIFS(COA!$A:$A,$AR39,COA!$R:$R,1)&lt;&gt;1),AND(N($G39)&gt;0,COUNTIFS(COA!$A:$A,$AS39,COA!$R:$R,1)&lt;&gt;1),AND(N($H39)&gt;0,COUNTIFS(COA!$A:$A,$AT39,COA!$R:$R,1)&lt;&gt;1)),"حساب تسوية أو إيراد غير صالح",IF($AJ39&lt;-S_Tol,"الضريبة المحسوبة سالبة","")))))))))))))))))))))))</f>
        <v/>
      </c>
      <c r="AX39" s="32">
        <f>IF($AV39=1,IF($AW39&lt;&gt;"",1,0),0)</f>
        <v/>
      </c>
      <c r="AY39" s="32">
        <f>IF(AND($AV39=1,$AX39=0,$S39=ST_POST),1,0)</f>
        <v/>
      </c>
    </row>
    <row r="40">
      <c r="A40" s="29" t="n"/>
      <c r="B40" s="31" t="n"/>
      <c r="C40" s="39" t="n"/>
      <c r="D40" s="29" t="n"/>
      <c r="E40" s="42" t="n"/>
      <c r="F40" s="42" t="n"/>
      <c r="G40" s="42" t="n"/>
      <c r="H40" s="42" t="n"/>
      <c r="I40" s="42" t="n"/>
      <c r="J40" s="42" t="n"/>
      <c r="K40" s="42" t="n"/>
      <c r="L40" s="42" t="n"/>
      <c r="M40" s="42" t="n"/>
      <c r="N40" s="42" t="n"/>
      <c r="O40" s="42" t="n"/>
      <c r="P40" s="42" t="n"/>
      <c r="Q40" s="42" t="n"/>
      <c r="R40" s="39" t="n"/>
      <c r="S40" s="39" t="n"/>
      <c r="T40" s="29" t="n"/>
      <c r="U40" s="29" t="n"/>
      <c r="V40" s="29" t="n"/>
      <c r="W40" s="29" t="n"/>
      <c r="X40" s="29" t="n"/>
      <c r="Y40" s="29" t="n"/>
      <c r="Z40" s="43">
        <f>IF($AV40=1,$E40+$F40+$G40+$H40,"")</f>
        <v/>
      </c>
      <c r="AA40" s="43">
        <f>IF($AV40=1,$Z40-$I40-$J40,"")</f>
        <v/>
      </c>
      <c r="AB40" s="43">
        <f>IF($AV40=1,$L40+$M40+$N40+$O40+$P40+$Q40,"")</f>
        <v/>
      </c>
      <c r="AC40" s="47">
        <f>IF($AV40=1,ROUND($AA40-$AB40,2),"")</f>
        <v/>
      </c>
      <c r="AD40" s="43">
        <f>IF($AV40=1,ROUND($E40/S_VATF,2),"")</f>
        <v/>
      </c>
      <c r="AE40" s="43">
        <f>IF($AV40=1,ROUND($F40/S_VATF,2),"")</f>
        <v/>
      </c>
      <c r="AF40" s="43">
        <f>IF($AV40=1,ROUND($G40/S_VATF,2),"")</f>
        <v/>
      </c>
      <c r="AG40" s="43">
        <f>IF($AV40=1,ROUND($H40/S_VATF,2),"")</f>
        <v/>
      </c>
      <c r="AH40" s="43">
        <f>IF($AV40=1,ROUND($I40/S_VATF,2),"")</f>
        <v/>
      </c>
      <c r="AI40" s="43">
        <f>IF($AV40=1,ROUND($J40/S_VATF,2),"")</f>
        <v/>
      </c>
      <c r="AJ40" s="43">
        <f>IF($AV40=1,ROUND($AA40+$AH40+$AI40-$AD40-$AE40-$AF40-$AG40,2),"")</f>
        <v/>
      </c>
      <c r="AK40" s="32">
        <f>IF(AND($AV40=1,N($L40)&gt;0),IFERROR(IF(IFERROR(INDEX(Payment_Methods!$C:$C,MATCH("CASH",Payment_Methods!$A:$A,0)),"")="نقدي",INDEX(Treasuries!$E:$E,MATCH(INDEX(Locations!$G:$G,MATCH($C40,Locations!$A:$A,0)),Treasuries!$A:$A,0)),INDEX(Payment_Methods!$D:$D,MATCH("CASH",Payment_Methods!$A:$A,0))),"؟"),"")</f>
        <v/>
      </c>
      <c r="AL40" s="32">
        <f>IF(AND($AV40=1,N($M40)&gt;0),IFERROR(IF(IFERROR(INDEX(Payment_Methods!$C:$C,MATCH("CARD",Payment_Methods!$A:$A,0)),"")="نقدي",INDEX(Treasuries!$E:$E,MATCH(INDEX(Locations!$G:$G,MATCH($C40,Locations!$A:$A,0)),Treasuries!$A:$A,0)),INDEX(Payment_Methods!$D:$D,MATCH("CARD",Payment_Methods!$A:$A,0))),"؟"),"")</f>
        <v/>
      </c>
      <c r="AM40" s="32">
        <f>IF(AND($AV40=1,N($N40)&gt;0),IFERROR(IF(IFERROR(INDEX(Payment_Methods!$C:$C,MATCH("TLB",Payment_Methods!$A:$A,0)),"")="نقدي",INDEX(Treasuries!$E:$E,MATCH(INDEX(Locations!$G:$G,MATCH($C40,Locations!$A:$A,0)),Treasuries!$A:$A,0)),INDEX(Payment_Methods!$D:$D,MATCH("TLB",Payment_Methods!$A:$A,0))),"؟"),"")</f>
        <v/>
      </c>
      <c r="AN40" s="32">
        <f>IF(AND($AV40=1,N($O40)&gt;0),IFERROR(IF(IFERROR(INDEX(Payment_Methods!$C:$C,MATCH("DLV2",Payment_Methods!$A:$A,0)),"")="نقدي",INDEX(Treasuries!$E:$E,MATCH(INDEX(Locations!$G:$G,MATCH($C40,Locations!$A:$A,0)),Treasuries!$A:$A,0)),INDEX(Payment_Methods!$D:$D,MATCH("DLV2",Payment_Methods!$A:$A,0))),"؟"),"")</f>
        <v/>
      </c>
      <c r="AO40" s="32">
        <f>IF(AND($AV40=1,N($P40)&gt;0),IFERROR(IF(IFERROR(INDEX(Payment_Methods!$C:$C,MATCH("INSTA",Payment_Methods!$A:$A,0)),"")="نقدي",INDEX(Treasuries!$E:$E,MATCH(INDEX(Locations!$G:$G,MATCH($C40,Locations!$A:$A,0)),Treasuries!$A:$A,0)),INDEX(Payment_Methods!$D:$D,MATCH("INSTA",Payment_Methods!$A:$A,0))),"؟"),"")</f>
        <v/>
      </c>
      <c r="AP40" s="32">
        <f>IF(AND($AV40=1,N($Q40)&gt;0),IFERROR(IF(IFERROR(INDEX(Payment_Methods!$C:$C,MATCH($R40,Payment_Methods!$A:$A,0)),"")="نقدي",INDEX(Treasuries!$E:$E,MATCH(INDEX(Locations!$G:$G,MATCH($C40,Locations!$A:$A,0)),Treasuries!$A:$A,0)),INDEX(Payment_Methods!$D:$D,MATCH($R40,Payment_Methods!$A:$A,0))),"؟"),"")</f>
        <v/>
      </c>
      <c r="AQ40" s="32">
        <f>INDEX(Lists!$U$5:$U$8,1)</f>
        <v/>
      </c>
      <c r="AR40" s="32">
        <f>INDEX(Lists!$U$5:$U$8,2)</f>
        <v/>
      </c>
      <c r="AS40" s="32">
        <f>INDEX(Lists!$U$5:$U$8,3)</f>
        <v/>
      </c>
      <c r="AT40" s="32">
        <f>INDEX(Lists!$U$5:$U$8,4)</f>
        <v/>
      </c>
      <c r="AU40" s="44">
        <f>IF($AV40=1,IF(COUNTIFS(Daily_Recon!$A:$A,$B40,Daily_Recon!$B:$B,$C40)&gt;0,"نعم","لا"),"")</f>
        <v/>
      </c>
      <c r="AV40" s="32">
        <f>IF(COUNTA($A40:$Y40)&gt;0,1,0)</f>
        <v/>
      </c>
      <c r="AW40" s="32">
        <f>IF($AV40=0,"",IF($A40="","رقم المستند ناقص",IF(COUNTIF(Doc_Register!$A:$A,$A40)&gt;1,"رقم مستند مكرر في السجل المركزي",IF(LEFT($A40,LEN("SAL")+1)&lt;&gt;"SAL"&amp;"-","بادئة الرقم لا تطابق نوع المستند",IF(NOT(ISNUMBER($B40)),"التاريخ ناقص أو غير صحيح",IF($S40="","حالة المستند ناقصة",IF($T40="","اسم المُعِد ناقص",IF(AND(OR($S40=ST_APPR,$S40=ST_POST),$U40=""),"لا يوجد معتمد",IF(AND($U40&lt;&gt;"",$U40=$T40),"المُعِد والمعتمد نفس الشخص (فصل المهام)",IF(AND($S40=ST_POST,$V40=""),"اسم المحاسب المرحِّل ناقص",IF(AND($S40=ST_POST,$V40&lt;&gt;"",OR($V40=$T40,$V40=$U40)),"المرحِّل يجب أن يختلف عن المُعِد والمعتمد",IF(AND($S40=ST_REV,$X40=""),"مرجع التصحيح/الإلغاء ناقص",IF(AND(ISNUMBER($B40),OR($S40=ST_DRAFT,$S40=ST_APPR),COUNTIFS(Period_Close!$A:$A,YEAR($B40)*100+MONTH($B40),Period_Close!$B:$B,"مقفلة")&gt;0),"الفترة مقفلة: لا يسمح بمستند جديد",IF(NOT(COUNTIF(Locations!$A:$A,$C40)&gt;0),"الفرع غير معرف",IF(IFERROR(INDEX(Locations!$C:$C,MATCH($C40,Locations!$A:$A,0)),"")&lt;&gt;"فرع","الموقع المختار ليس فرع بيع",IF(AND($S40&lt;&gt;ST_REV,$S40&lt;&gt;ST_CANC,COUNTIFS($B$4:$B39,$B40,$C$4:$C39,$C40,$S$4:$S39,"&lt;&gt;"&amp;ST_REV,$S$4:$S39,"&lt;&gt;"&amp;ST_CANC)&gt;0),"تقرير مبيعات مكرر لنفس الفرع واليوم",IF(MIN($E40,$F40,$G40,$H40,$I40,$J40,$L40,$M40,$N40,$O40,$P40,$Q40)&lt;0,"توجد مبالغ سالبة (استخدم مستند عكسي)",IF($Z40&lt;=0,"إجمالي المبيعات صفر",IF($AA40&lt;0,"الخصومات والمرتجعات أكبر من المبيعات",IF(AND(N($Q40)&gt;0,$R40=""),"كود وسيلة الدفع الأخرى ناقص",IF(ABS($AC40)&gt;S_Tol,"مجموع وسائل الدفع لا يساوي صافي المبيعات",IF(OR(AND(N($L40)&gt;0,COUNTIFS(COA!$A:$A,$AK40,COA!$R:$R,1)&lt;&gt;1),AND(N($M40)&gt;0,COUNTIFS(COA!$A:$A,$AL40,COA!$R:$R,1)&lt;&gt;1),AND(N($N40)&gt;0,COUNTIFS(COA!$A:$A,$AM40,COA!$R:$R,1)&lt;&gt;1),AND(N($O40)&gt;0,COUNTIFS(COA!$A:$A,$AN40,COA!$R:$R,1)&lt;&gt;1),AND(N($P40)&gt;0,COUNTIFS(COA!$A:$A,$AO40,COA!$R:$R,1)&lt;&gt;1),AND(N($Q40)&gt;0,COUNTIFS(COA!$A:$A,$AP40,COA!$R:$R,1)&lt;&gt;1),AND(N($E40)&gt;0,COUNTIFS(COA!$A:$A,$AQ40,COA!$R:$R,1)&lt;&gt;1),AND(N($F40)&gt;0,COUNTIFS(COA!$A:$A,$AR40,COA!$R:$R,1)&lt;&gt;1),AND(N($G40)&gt;0,COUNTIFS(COA!$A:$A,$AS40,COA!$R:$R,1)&lt;&gt;1),AND(N($H40)&gt;0,COUNTIFS(COA!$A:$A,$AT40,COA!$R:$R,1)&lt;&gt;1)),"حساب تسوية أو إيراد غير صالح",IF($AJ40&lt;-S_Tol,"الضريبة المحسوبة سالبة","")))))))))))))))))))))))</f>
        <v/>
      </c>
      <c r="AX40" s="32">
        <f>IF($AV40=1,IF($AW40&lt;&gt;"",1,0),0)</f>
        <v/>
      </c>
      <c r="AY40" s="32">
        <f>IF(AND($AV40=1,$AX40=0,$S40=ST_POST),1,0)</f>
        <v/>
      </c>
    </row>
    <row r="41">
      <c r="A41" s="29" t="n"/>
      <c r="B41" s="31" t="n"/>
      <c r="C41" s="39" t="n"/>
      <c r="D41" s="29" t="n"/>
      <c r="E41" s="42" t="n"/>
      <c r="F41" s="42" t="n"/>
      <c r="G41" s="42" t="n"/>
      <c r="H41" s="42" t="n"/>
      <c r="I41" s="42" t="n"/>
      <c r="J41" s="42" t="n"/>
      <c r="K41" s="42" t="n"/>
      <c r="L41" s="42" t="n"/>
      <c r="M41" s="42" t="n"/>
      <c r="N41" s="42" t="n"/>
      <c r="O41" s="42" t="n"/>
      <c r="P41" s="42" t="n"/>
      <c r="Q41" s="42" t="n"/>
      <c r="R41" s="39" t="n"/>
      <c r="S41" s="39" t="n"/>
      <c r="T41" s="29" t="n"/>
      <c r="U41" s="29" t="n"/>
      <c r="V41" s="29" t="n"/>
      <c r="W41" s="29" t="n"/>
      <c r="X41" s="29" t="n"/>
      <c r="Y41" s="29" t="n"/>
      <c r="Z41" s="43">
        <f>IF($AV41=1,$E41+$F41+$G41+$H41,"")</f>
        <v/>
      </c>
      <c r="AA41" s="43">
        <f>IF($AV41=1,$Z41-$I41-$J41,"")</f>
        <v/>
      </c>
      <c r="AB41" s="43">
        <f>IF($AV41=1,$L41+$M41+$N41+$O41+$P41+$Q41,"")</f>
        <v/>
      </c>
      <c r="AC41" s="47">
        <f>IF($AV41=1,ROUND($AA41-$AB41,2),"")</f>
        <v/>
      </c>
      <c r="AD41" s="43">
        <f>IF($AV41=1,ROUND($E41/S_VATF,2),"")</f>
        <v/>
      </c>
      <c r="AE41" s="43">
        <f>IF($AV41=1,ROUND($F41/S_VATF,2),"")</f>
        <v/>
      </c>
      <c r="AF41" s="43">
        <f>IF($AV41=1,ROUND($G41/S_VATF,2),"")</f>
        <v/>
      </c>
      <c r="AG41" s="43">
        <f>IF($AV41=1,ROUND($H41/S_VATF,2),"")</f>
        <v/>
      </c>
      <c r="AH41" s="43">
        <f>IF($AV41=1,ROUND($I41/S_VATF,2),"")</f>
        <v/>
      </c>
      <c r="AI41" s="43">
        <f>IF($AV41=1,ROUND($J41/S_VATF,2),"")</f>
        <v/>
      </c>
      <c r="AJ41" s="43">
        <f>IF($AV41=1,ROUND($AA41+$AH41+$AI41-$AD41-$AE41-$AF41-$AG41,2),"")</f>
        <v/>
      </c>
      <c r="AK41" s="32">
        <f>IF(AND($AV41=1,N($L41)&gt;0),IFERROR(IF(IFERROR(INDEX(Payment_Methods!$C:$C,MATCH("CASH",Payment_Methods!$A:$A,0)),"")="نقدي",INDEX(Treasuries!$E:$E,MATCH(INDEX(Locations!$G:$G,MATCH($C41,Locations!$A:$A,0)),Treasuries!$A:$A,0)),INDEX(Payment_Methods!$D:$D,MATCH("CASH",Payment_Methods!$A:$A,0))),"؟"),"")</f>
        <v/>
      </c>
      <c r="AL41" s="32">
        <f>IF(AND($AV41=1,N($M41)&gt;0),IFERROR(IF(IFERROR(INDEX(Payment_Methods!$C:$C,MATCH("CARD",Payment_Methods!$A:$A,0)),"")="نقدي",INDEX(Treasuries!$E:$E,MATCH(INDEX(Locations!$G:$G,MATCH($C41,Locations!$A:$A,0)),Treasuries!$A:$A,0)),INDEX(Payment_Methods!$D:$D,MATCH("CARD",Payment_Methods!$A:$A,0))),"؟"),"")</f>
        <v/>
      </c>
      <c r="AM41" s="32">
        <f>IF(AND($AV41=1,N($N41)&gt;0),IFERROR(IF(IFERROR(INDEX(Payment_Methods!$C:$C,MATCH("TLB",Payment_Methods!$A:$A,0)),"")="نقدي",INDEX(Treasuries!$E:$E,MATCH(INDEX(Locations!$G:$G,MATCH($C41,Locations!$A:$A,0)),Treasuries!$A:$A,0)),INDEX(Payment_Methods!$D:$D,MATCH("TLB",Payment_Methods!$A:$A,0))),"؟"),"")</f>
        <v/>
      </c>
      <c r="AN41" s="32">
        <f>IF(AND($AV41=1,N($O41)&gt;0),IFERROR(IF(IFERROR(INDEX(Payment_Methods!$C:$C,MATCH("DLV2",Payment_Methods!$A:$A,0)),"")="نقدي",INDEX(Treasuries!$E:$E,MATCH(INDEX(Locations!$G:$G,MATCH($C41,Locations!$A:$A,0)),Treasuries!$A:$A,0)),INDEX(Payment_Methods!$D:$D,MATCH("DLV2",Payment_Methods!$A:$A,0))),"؟"),"")</f>
        <v/>
      </c>
      <c r="AO41" s="32">
        <f>IF(AND($AV41=1,N($P41)&gt;0),IFERROR(IF(IFERROR(INDEX(Payment_Methods!$C:$C,MATCH("INSTA",Payment_Methods!$A:$A,0)),"")="نقدي",INDEX(Treasuries!$E:$E,MATCH(INDEX(Locations!$G:$G,MATCH($C41,Locations!$A:$A,0)),Treasuries!$A:$A,0)),INDEX(Payment_Methods!$D:$D,MATCH("INSTA",Payment_Methods!$A:$A,0))),"؟"),"")</f>
        <v/>
      </c>
      <c r="AP41" s="32">
        <f>IF(AND($AV41=1,N($Q41)&gt;0),IFERROR(IF(IFERROR(INDEX(Payment_Methods!$C:$C,MATCH($R41,Payment_Methods!$A:$A,0)),"")="نقدي",INDEX(Treasuries!$E:$E,MATCH(INDEX(Locations!$G:$G,MATCH($C41,Locations!$A:$A,0)),Treasuries!$A:$A,0)),INDEX(Payment_Methods!$D:$D,MATCH($R41,Payment_Methods!$A:$A,0))),"؟"),"")</f>
        <v/>
      </c>
      <c r="AQ41" s="32">
        <f>INDEX(Lists!$U$5:$U$8,1)</f>
        <v/>
      </c>
      <c r="AR41" s="32">
        <f>INDEX(Lists!$U$5:$U$8,2)</f>
        <v/>
      </c>
      <c r="AS41" s="32">
        <f>INDEX(Lists!$U$5:$U$8,3)</f>
        <v/>
      </c>
      <c r="AT41" s="32">
        <f>INDEX(Lists!$U$5:$U$8,4)</f>
        <v/>
      </c>
      <c r="AU41" s="44">
        <f>IF($AV41=1,IF(COUNTIFS(Daily_Recon!$A:$A,$B41,Daily_Recon!$B:$B,$C41)&gt;0,"نعم","لا"),"")</f>
        <v/>
      </c>
      <c r="AV41" s="32">
        <f>IF(COUNTA($A41:$Y41)&gt;0,1,0)</f>
        <v/>
      </c>
      <c r="AW41" s="32">
        <f>IF($AV41=0,"",IF($A41="","رقم المستند ناقص",IF(COUNTIF(Doc_Register!$A:$A,$A41)&gt;1,"رقم مستند مكرر في السجل المركزي",IF(LEFT($A41,LEN("SAL")+1)&lt;&gt;"SAL"&amp;"-","بادئة الرقم لا تطابق نوع المستند",IF(NOT(ISNUMBER($B41)),"التاريخ ناقص أو غير صحيح",IF($S41="","حالة المستند ناقصة",IF($T41="","اسم المُعِد ناقص",IF(AND(OR($S41=ST_APPR,$S41=ST_POST),$U41=""),"لا يوجد معتمد",IF(AND($U41&lt;&gt;"",$U41=$T41),"المُعِد والمعتمد نفس الشخص (فصل المهام)",IF(AND($S41=ST_POST,$V41=""),"اسم المحاسب المرحِّل ناقص",IF(AND($S41=ST_POST,$V41&lt;&gt;"",OR($V41=$T41,$V41=$U41)),"المرحِّل يجب أن يختلف عن المُعِد والمعتمد",IF(AND($S41=ST_REV,$X41=""),"مرجع التصحيح/الإلغاء ناقص",IF(AND(ISNUMBER($B41),OR($S41=ST_DRAFT,$S41=ST_APPR),COUNTIFS(Period_Close!$A:$A,YEAR($B41)*100+MONTH($B41),Period_Close!$B:$B,"مقفلة")&gt;0),"الفترة مقفلة: لا يسمح بمستند جديد",IF(NOT(COUNTIF(Locations!$A:$A,$C41)&gt;0),"الفرع غير معرف",IF(IFERROR(INDEX(Locations!$C:$C,MATCH($C41,Locations!$A:$A,0)),"")&lt;&gt;"فرع","الموقع المختار ليس فرع بيع",IF(AND($S41&lt;&gt;ST_REV,$S41&lt;&gt;ST_CANC,COUNTIFS($B$4:$B40,$B41,$C$4:$C40,$C41,$S$4:$S40,"&lt;&gt;"&amp;ST_REV,$S$4:$S40,"&lt;&gt;"&amp;ST_CANC)&gt;0),"تقرير مبيعات مكرر لنفس الفرع واليوم",IF(MIN($E41,$F41,$G41,$H41,$I41,$J41,$L41,$M41,$N41,$O41,$P41,$Q41)&lt;0,"توجد مبالغ سالبة (استخدم مستند عكسي)",IF($Z41&lt;=0,"إجمالي المبيعات صفر",IF($AA41&lt;0,"الخصومات والمرتجعات أكبر من المبيعات",IF(AND(N($Q41)&gt;0,$R41=""),"كود وسيلة الدفع الأخرى ناقص",IF(ABS($AC41)&gt;S_Tol,"مجموع وسائل الدفع لا يساوي صافي المبيعات",IF(OR(AND(N($L41)&gt;0,COUNTIFS(COA!$A:$A,$AK41,COA!$R:$R,1)&lt;&gt;1),AND(N($M41)&gt;0,COUNTIFS(COA!$A:$A,$AL41,COA!$R:$R,1)&lt;&gt;1),AND(N($N41)&gt;0,COUNTIFS(COA!$A:$A,$AM41,COA!$R:$R,1)&lt;&gt;1),AND(N($O41)&gt;0,COUNTIFS(COA!$A:$A,$AN41,COA!$R:$R,1)&lt;&gt;1),AND(N($P41)&gt;0,COUNTIFS(COA!$A:$A,$AO41,COA!$R:$R,1)&lt;&gt;1),AND(N($Q41)&gt;0,COUNTIFS(COA!$A:$A,$AP41,COA!$R:$R,1)&lt;&gt;1),AND(N($E41)&gt;0,COUNTIFS(COA!$A:$A,$AQ41,COA!$R:$R,1)&lt;&gt;1),AND(N($F41)&gt;0,COUNTIFS(COA!$A:$A,$AR41,COA!$R:$R,1)&lt;&gt;1),AND(N($G41)&gt;0,COUNTIFS(COA!$A:$A,$AS41,COA!$R:$R,1)&lt;&gt;1),AND(N($H41)&gt;0,COUNTIFS(COA!$A:$A,$AT41,COA!$R:$R,1)&lt;&gt;1)),"حساب تسوية أو إيراد غير صالح",IF($AJ41&lt;-S_Tol,"الضريبة المحسوبة سالبة","")))))))))))))))))))))))</f>
        <v/>
      </c>
      <c r="AX41" s="32">
        <f>IF($AV41=1,IF($AW41&lt;&gt;"",1,0),0)</f>
        <v/>
      </c>
      <c r="AY41" s="32">
        <f>IF(AND($AV41=1,$AX41=0,$S41=ST_POST),1,0)</f>
        <v/>
      </c>
    </row>
    <row r="42">
      <c r="A42" s="29" t="n"/>
      <c r="B42" s="31" t="n"/>
      <c r="C42" s="39" t="n"/>
      <c r="D42" s="29" t="n"/>
      <c r="E42" s="42" t="n"/>
      <c r="F42" s="42" t="n"/>
      <c r="G42" s="42" t="n"/>
      <c r="H42" s="42" t="n"/>
      <c r="I42" s="42" t="n"/>
      <c r="J42" s="42" t="n"/>
      <c r="K42" s="42" t="n"/>
      <c r="L42" s="42" t="n"/>
      <c r="M42" s="42" t="n"/>
      <c r="N42" s="42" t="n"/>
      <c r="O42" s="42" t="n"/>
      <c r="P42" s="42" t="n"/>
      <c r="Q42" s="42" t="n"/>
      <c r="R42" s="39" t="n"/>
      <c r="S42" s="39" t="n"/>
      <c r="T42" s="29" t="n"/>
      <c r="U42" s="29" t="n"/>
      <c r="V42" s="29" t="n"/>
      <c r="W42" s="29" t="n"/>
      <c r="X42" s="29" t="n"/>
      <c r="Y42" s="29" t="n"/>
      <c r="Z42" s="43">
        <f>IF($AV42=1,$E42+$F42+$G42+$H42,"")</f>
        <v/>
      </c>
      <c r="AA42" s="43">
        <f>IF($AV42=1,$Z42-$I42-$J42,"")</f>
        <v/>
      </c>
      <c r="AB42" s="43">
        <f>IF($AV42=1,$L42+$M42+$N42+$O42+$P42+$Q42,"")</f>
        <v/>
      </c>
      <c r="AC42" s="47">
        <f>IF($AV42=1,ROUND($AA42-$AB42,2),"")</f>
        <v/>
      </c>
      <c r="AD42" s="43">
        <f>IF($AV42=1,ROUND($E42/S_VATF,2),"")</f>
        <v/>
      </c>
      <c r="AE42" s="43">
        <f>IF($AV42=1,ROUND($F42/S_VATF,2),"")</f>
        <v/>
      </c>
      <c r="AF42" s="43">
        <f>IF($AV42=1,ROUND($G42/S_VATF,2),"")</f>
        <v/>
      </c>
      <c r="AG42" s="43">
        <f>IF($AV42=1,ROUND($H42/S_VATF,2),"")</f>
        <v/>
      </c>
      <c r="AH42" s="43">
        <f>IF($AV42=1,ROUND($I42/S_VATF,2),"")</f>
        <v/>
      </c>
      <c r="AI42" s="43">
        <f>IF($AV42=1,ROUND($J42/S_VATF,2),"")</f>
        <v/>
      </c>
      <c r="AJ42" s="43">
        <f>IF($AV42=1,ROUND($AA42+$AH42+$AI42-$AD42-$AE42-$AF42-$AG42,2),"")</f>
        <v/>
      </c>
      <c r="AK42" s="32">
        <f>IF(AND($AV42=1,N($L42)&gt;0),IFERROR(IF(IFERROR(INDEX(Payment_Methods!$C:$C,MATCH("CASH",Payment_Methods!$A:$A,0)),"")="نقدي",INDEX(Treasuries!$E:$E,MATCH(INDEX(Locations!$G:$G,MATCH($C42,Locations!$A:$A,0)),Treasuries!$A:$A,0)),INDEX(Payment_Methods!$D:$D,MATCH("CASH",Payment_Methods!$A:$A,0))),"؟"),"")</f>
        <v/>
      </c>
      <c r="AL42" s="32">
        <f>IF(AND($AV42=1,N($M42)&gt;0),IFERROR(IF(IFERROR(INDEX(Payment_Methods!$C:$C,MATCH("CARD",Payment_Methods!$A:$A,0)),"")="نقدي",INDEX(Treasuries!$E:$E,MATCH(INDEX(Locations!$G:$G,MATCH($C42,Locations!$A:$A,0)),Treasuries!$A:$A,0)),INDEX(Payment_Methods!$D:$D,MATCH("CARD",Payment_Methods!$A:$A,0))),"؟"),"")</f>
        <v/>
      </c>
      <c r="AM42" s="32">
        <f>IF(AND($AV42=1,N($N42)&gt;0),IFERROR(IF(IFERROR(INDEX(Payment_Methods!$C:$C,MATCH("TLB",Payment_Methods!$A:$A,0)),"")="نقدي",INDEX(Treasuries!$E:$E,MATCH(INDEX(Locations!$G:$G,MATCH($C42,Locations!$A:$A,0)),Treasuries!$A:$A,0)),INDEX(Payment_Methods!$D:$D,MATCH("TLB",Payment_Methods!$A:$A,0))),"؟"),"")</f>
        <v/>
      </c>
      <c r="AN42" s="32">
        <f>IF(AND($AV42=1,N($O42)&gt;0),IFERROR(IF(IFERROR(INDEX(Payment_Methods!$C:$C,MATCH("DLV2",Payment_Methods!$A:$A,0)),"")="نقدي",INDEX(Treasuries!$E:$E,MATCH(INDEX(Locations!$G:$G,MATCH($C42,Locations!$A:$A,0)),Treasuries!$A:$A,0)),INDEX(Payment_Methods!$D:$D,MATCH("DLV2",Payment_Methods!$A:$A,0))),"؟"),"")</f>
        <v/>
      </c>
      <c r="AO42" s="32">
        <f>IF(AND($AV42=1,N($P42)&gt;0),IFERROR(IF(IFERROR(INDEX(Payment_Methods!$C:$C,MATCH("INSTA",Payment_Methods!$A:$A,0)),"")="نقدي",INDEX(Treasuries!$E:$E,MATCH(INDEX(Locations!$G:$G,MATCH($C42,Locations!$A:$A,0)),Treasuries!$A:$A,0)),INDEX(Payment_Methods!$D:$D,MATCH("INSTA",Payment_Methods!$A:$A,0))),"؟"),"")</f>
        <v/>
      </c>
      <c r="AP42" s="32">
        <f>IF(AND($AV42=1,N($Q42)&gt;0),IFERROR(IF(IFERROR(INDEX(Payment_Methods!$C:$C,MATCH($R42,Payment_Methods!$A:$A,0)),"")="نقدي",INDEX(Treasuries!$E:$E,MATCH(INDEX(Locations!$G:$G,MATCH($C42,Locations!$A:$A,0)),Treasuries!$A:$A,0)),INDEX(Payment_Methods!$D:$D,MATCH($R42,Payment_Methods!$A:$A,0))),"؟"),"")</f>
        <v/>
      </c>
      <c r="AQ42" s="32">
        <f>INDEX(Lists!$U$5:$U$8,1)</f>
        <v/>
      </c>
      <c r="AR42" s="32">
        <f>INDEX(Lists!$U$5:$U$8,2)</f>
        <v/>
      </c>
      <c r="AS42" s="32">
        <f>INDEX(Lists!$U$5:$U$8,3)</f>
        <v/>
      </c>
      <c r="AT42" s="32">
        <f>INDEX(Lists!$U$5:$U$8,4)</f>
        <v/>
      </c>
      <c r="AU42" s="44">
        <f>IF($AV42=1,IF(COUNTIFS(Daily_Recon!$A:$A,$B42,Daily_Recon!$B:$B,$C42)&gt;0,"نعم","لا"),"")</f>
        <v/>
      </c>
      <c r="AV42" s="32">
        <f>IF(COUNTA($A42:$Y42)&gt;0,1,0)</f>
        <v/>
      </c>
      <c r="AW42" s="32">
        <f>IF($AV42=0,"",IF($A42="","رقم المستند ناقص",IF(COUNTIF(Doc_Register!$A:$A,$A42)&gt;1,"رقم مستند مكرر في السجل المركزي",IF(LEFT($A42,LEN("SAL")+1)&lt;&gt;"SAL"&amp;"-","بادئة الرقم لا تطابق نوع المستند",IF(NOT(ISNUMBER($B42)),"التاريخ ناقص أو غير صحيح",IF($S42="","حالة المستند ناقصة",IF($T42="","اسم المُعِد ناقص",IF(AND(OR($S42=ST_APPR,$S42=ST_POST),$U42=""),"لا يوجد معتمد",IF(AND($U42&lt;&gt;"",$U42=$T42),"المُعِد والمعتمد نفس الشخص (فصل المهام)",IF(AND($S42=ST_POST,$V42=""),"اسم المحاسب المرحِّل ناقص",IF(AND($S42=ST_POST,$V42&lt;&gt;"",OR($V42=$T42,$V42=$U42)),"المرحِّل يجب أن يختلف عن المُعِد والمعتمد",IF(AND($S42=ST_REV,$X42=""),"مرجع التصحيح/الإلغاء ناقص",IF(AND(ISNUMBER($B42),OR($S42=ST_DRAFT,$S42=ST_APPR),COUNTIFS(Period_Close!$A:$A,YEAR($B42)*100+MONTH($B42),Period_Close!$B:$B,"مقفلة")&gt;0),"الفترة مقفلة: لا يسمح بمستند جديد",IF(NOT(COUNTIF(Locations!$A:$A,$C42)&gt;0),"الفرع غير معرف",IF(IFERROR(INDEX(Locations!$C:$C,MATCH($C42,Locations!$A:$A,0)),"")&lt;&gt;"فرع","الموقع المختار ليس فرع بيع",IF(AND($S42&lt;&gt;ST_REV,$S42&lt;&gt;ST_CANC,COUNTIFS($B$4:$B41,$B42,$C$4:$C41,$C42,$S$4:$S41,"&lt;&gt;"&amp;ST_REV,$S$4:$S41,"&lt;&gt;"&amp;ST_CANC)&gt;0),"تقرير مبيعات مكرر لنفس الفرع واليوم",IF(MIN($E42,$F42,$G42,$H42,$I42,$J42,$L42,$M42,$N42,$O42,$P42,$Q42)&lt;0,"توجد مبالغ سالبة (استخدم مستند عكسي)",IF($Z42&lt;=0,"إجمالي المبيعات صفر",IF($AA42&lt;0,"الخصومات والمرتجعات أكبر من المبيعات",IF(AND(N($Q42)&gt;0,$R42=""),"كود وسيلة الدفع الأخرى ناقص",IF(ABS($AC42)&gt;S_Tol,"مجموع وسائل الدفع لا يساوي صافي المبيعات",IF(OR(AND(N($L42)&gt;0,COUNTIFS(COA!$A:$A,$AK42,COA!$R:$R,1)&lt;&gt;1),AND(N($M42)&gt;0,COUNTIFS(COA!$A:$A,$AL42,COA!$R:$R,1)&lt;&gt;1),AND(N($N42)&gt;0,COUNTIFS(COA!$A:$A,$AM42,COA!$R:$R,1)&lt;&gt;1),AND(N($O42)&gt;0,COUNTIFS(COA!$A:$A,$AN42,COA!$R:$R,1)&lt;&gt;1),AND(N($P42)&gt;0,COUNTIFS(COA!$A:$A,$AO42,COA!$R:$R,1)&lt;&gt;1),AND(N($Q42)&gt;0,COUNTIFS(COA!$A:$A,$AP42,COA!$R:$R,1)&lt;&gt;1),AND(N($E42)&gt;0,COUNTIFS(COA!$A:$A,$AQ42,COA!$R:$R,1)&lt;&gt;1),AND(N($F42)&gt;0,COUNTIFS(COA!$A:$A,$AR42,COA!$R:$R,1)&lt;&gt;1),AND(N($G42)&gt;0,COUNTIFS(COA!$A:$A,$AS42,COA!$R:$R,1)&lt;&gt;1),AND(N($H42)&gt;0,COUNTIFS(COA!$A:$A,$AT42,COA!$R:$R,1)&lt;&gt;1)),"حساب تسوية أو إيراد غير صالح",IF($AJ42&lt;-S_Tol,"الضريبة المحسوبة سالبة","")))))))))))))))))))))))</f>
        <v/>
      </c>
      <c r="AX42" s="32">
        <f>IF($AV42=1,IF($AW42&lt;&gt;"",1,0),0)</f>
        <v/>
      </c>
      <c r="AY42" s="32">
        <f>IF(AND($AV42=1,$AX42=0,$S42=ST_POST),1,0)</f>
        <v/>
      </c>
    </row>
    <row r="43">
      <c r="A43" s="29" t="n"/>
      <c r="B43" s="31" t="n"/>
      <c r="C43" s="39" t="n"/>
      <c r="D43" s="29" t="n"/>
      <c r="E43" s="42" t="n"/>
      <c r="F43" s="42" t="n"/>
      <c r="G43" s="42" t="n"/>
      <c r="H43" s="42" t="n"/>
      <c r="I43" s="42" t="n"/>
      <c r="J43" s="42" t="n"/>
      <c r="K43" s="42" t="n"/>
      <c r="L43" s="42" t="n"/>
      <c r="M43" s="42" t="n"/>
      <c r="N43" s="42" t="n"/>
      <c r="O43" s="42" t="n"/>
      <c r="P43" s="42" t="n"/>
      <c r="Q43" s="42" t="n"/>
      <c r="R43" s="39" t="n"/>
      <c r="S43" s="39" t="n"/>
      <c r="T43" s="29" t="n"/>
      <c r="U43" s="29" t="n"/>
      <c r="V43" s="29" t="n"/>
      <c r="W43" s="29" t="n"/>
      <c r="X43" s="29" t="n"/>
      <c r="Y43" s="29" t="n"/>
      <c r="Z43" s="43">
        <f>IF($AV43=1,$E43+$F43+$G43+$H43,"")</f>
        <v/>
      </c>
      <c r="AA43" s="43">
        <f>IF($AV43=1,$Z43-$I43-$J43,"")</f>
        <v/>
      </c>
      <c r="AB43" s="43">
        <f>IF($AV43=1,$L43+$M43+$N43+$O43+$P43+$Q43,"")</f>
        <v/>
      </c>
      <c r="AC43" s="47">
        <f>IF($AV43=1,ROUND($AA43-$AB43,2),"")</f>
        <v/>
      </c>
      <c r="AD43" s="43">
        <f>IF($AV43=1,ROUND($E43/S_VATF,2),"")</f>
        <v/>
      </c>
      <c r="AE43" s="43">
        <f>IF($AV43=1,ROUND($F43/S_VATF,2),"")</f>
        <v/>
      </c>
      <c r="AF43" s="43">
        <f>IF($AV43=1,ROUND($G43/S_VATF,2),"")</f>
        <v/>
      </c>
      <c r="AG43" s="43">
        <f>IF($AV43=1,ROUND($H43/S_VATF,2),"")</f>
        <v/>
      </c>
      <c r="AH43" s="43">
        <f>IF($AV43=1,ROUND($I43/S_VATF,2),"")</f>
        <v/>
      </c>
      <c r="AI43" s="43">
        <f>IF($AV43=1,ROUND($J43/S_VATF,2),"")</f>
        <v/>
      </c>
      <c r="AJ43" s="43">
        <f>IF($AV43=1,ROUND($AA43+$AH43+$AI43-$AD43-$AE43-$AF43-$AG43,2),"")</f>
        <v/>
      </c>
      <c r="AK43" s="32">
        <f>IF(AND($AV43=1,N($L43)&gt;0),IFERROR(IF(IFERROR(INDEX(Payment_Methods!$C:$C,MATCH("CASH",Payment_Methods!$A:$A,0)),"")="نقدي",INDEX(Treasuries!$E:$E,MATCH(INDEX(Locations!$G:$G,MATCH($C43,Locations!$A:$A,0)),Treasuries!$A:$A,0)),INDEX(Payment_Methods!$D:$D,MATCH("CASH",Payment_Methods!$A:$A,0))),"؟"),"")</f>
        <v/>
      </c>
      <c r="AL43" s="32">
        <f>IF(AND($AV43=1,N($M43)&gt;0),IFERROR(IF(IFERROR(INDEX(Payment_Methods!$C:$C,MATCH("CARD",Payment_Methods!$A:$A,0)),"")="نقدي",INDEX(Treasuries!$E:$E,MATCH(INDEX(Locations!$G:$G,MATCH($C43,Locations!$A:$A,0)),Treasuries!$A:$A,0)),INDEX(Payment_Methods!$D:$D,MATCH("CARD",Payment_Methods!$A:$A,0))),"؟"),"")</f>
        <v/>
      </c>
      <c r="AM43" s="32">
        <f>IF(AND($AV43=1,N($N43)&gt;0),IFERROR(IF(IFERROR(INDEX(Payment_Methods!$C:$C,MATCH("TLB",Payment_Methods!$A:$A,0)),"")="نقدي",INDEX(Treasuries!$E:$E,MATCH(INDEX(Locations!$G:$G,MATCH($C43,Locations!$A:$A,0)),Treasuries!$A:$A,0)),INDEX(Payment_Methods!$D:$D,MATCH("TLB",Payment_Methods!$A:$A,0))),"؟"),"")</f>
        <v/>
      </c>
      <c r="AN43" s="32">
        <f>IF(AND($AV43=1,N($O43)&gt;0),IFERROR(IF(IFERROR(INDEX(Payment_Methods!$C:$C,MATCH("DLV2",Payment_Methods!$A:$A,0)),"")="نقدي",INDEX(Treasuries!$E:$E,MATCH(INDEX(Locations!$G:$G,MATCH($C43,Locations!$A:$A,0)),Treasuries!$A:$A,0)),INDEX(Payment_Methods!$D:$D,MATCH("DLV2",Payment_Methods!$A:$A,0))),"؟"),"")</f>
        <v/>
      </c>
      <c r="AO43" s="32">
        <f>IF(AND($AV43=1,N($P43)&gt;0),IFERROR(IF(IFERROR(INDEX(Payment_Methods!$C:$C,MATCH("INSTA",Payment_Methods!$A:$A,0)),"")="نقدي",INDEX(Treasuries!$E:$E,MATCH(INDEX(Locations!$G:$G,MATCH($C43,Locations!$A:$A,0)),Treasuries!$A:$A,0)),INDEX(Payment_Methods!$D:$D,MATCH("INSTA",Payment_Methods!$A:$A,0))),"؟"),"")</f>
        <v/>
      </c>
      <c r="AP43" s="32">
        <f>IF(AND($AV43=1,N($Q43)&gt;0),IFERROR(IF(IFERROR(INDEX(Payment_Methods!$C:$C,MATCH($R43,Payment_Methods!$A:$A,0)),"")="نقدي",INDEX(Treasuries!$E:$E,MATCH(INDEX(Locations!$G:$G,MATCH($C43,Locations!$A:$A,0)),Treasuries!$A:$A,0)),INDEX(Payment_Methods!$D:$D,MATCH($R43,Payment_Methods!$A:$A,0))),"؟"),"")</f>
        <v/>
      </c>
      <c r="AQ43" s="32">
        <f>INDEX(Lists!$U$5:$U$8,1)</f>
        <v/>
      </c>
      <c r="AR43" s="32">
        <f>INDEX(Lists!$U$5:$U$8,2)</f>
        <v/>
      </c>
      <c r="AS43" s="32">
        <f>INDEX(Lists!$U$5:$U$8,3)</f>
        <v/>
      </c>
      <c r="AT43" s="32">
        <f>INDEX(Lists!$U$5:$U$8,4)</f>
        <v/>
      </c>
      <c r="AU43" s="44">
        <f>IF($AV43=1,IF(COUNTIFS(Daily_Recon!$A:$A,$B43,Daily_Recon!$B:$B,$C43)&gt;0,"نعم","لا"),"")</f>
        <v/>
      </c>
      <c r="AV43" s="32">
        <f>IF(COUNTA($A43:$Y43)&gt;0,1,0)</f>
        <v/>
      </c>
      <c r="AW43" s="32">
        <f>IF($AV43=0,"",IF($A43="","رقم المستند ناقص",IF(COUNTIF(Doc_Register!$A:$A,$A43)&gt;1,"رقم مستند مكرر في السجل المركزي",IF(LEFT($A43,LEN("SAL")+1)&lt;&gt;"SAL"&amp;"-","بادئة الرقم لا تطابق نوع المستند",IF(NOT(ISNUMBER($B43)),"التاريخ ناقص أو غير صحيح",IF($S43="","حالة المستند ناقصة",IF($T43="","اسم المُعِد ناقص",IF(AND(OR($S43=ST_APPR,$S43=ST_POST),$U43=""),"لا يوجد معتمد",IF(AND($U43&lt;&gt;"",$U43=$T43),"المُعِد والمعتمد نفس الشخص (فصل المهام)",IF(AND($S43=ST_POST,$V43=""),"اسم المحاسب المرحِّل ناقص",IF(AND($S43=ST_POST,$V43&lt;&gt;"",OR($V43=$T43,$V43=$U43)),"المرحِّل يجب أن يختلف عن المُعِد والمعتمد",IF(AND($S43=ST_REV,$X43=""),"مرجع التصحيح/الإلغاء ناقص",IF(AND(ISNUMBER($B43),OR($S43=ST_DRAFT,$S43=ST_APPR),COUNTIFS(Period_Close!$A:$A,YEAR($B43)*100+MONTH($B43),Period_Close!$B:$B,"مقفلة")&gt;0),"الفترة مقفلة: لا يسمح بمستند جديد",IF(NOT(COUNTIF(Locations!$A:$A,$C43)&gt;0),"الفرع غير معرف",IF(IFERROR(INDEX(Locations!$C:$C,MATCH($C43,Locations!$A:$A,0)),"")&lt;&gt;"فرع","الموقع المختار ليس فرع بيع",IF(AND($S43&lt;&gt;ST_REV,$S43&lt;&gt;ST_CANC,COUNTIFS($B$4:$B42,$B43,$C$4:$C42,$C43,$S$4:$S42,"&lt;&gt;"&amp;ST_REV,$S$4:$S42,"&lt;&gt;"&amp;ST_CANC)&gt;0),"تقرير مبيعات مكرر لنفس الفرع واليوم",IF(MIN($E43,$F43,$G43,$H43,$I43,$J43,$L43,$M43,$N43,$O43,$P43,$Q43)&lt;0,"توجد مبالغ سالبة (استخدم مستند عكسي)",IF($Z43&lt;=0,"إجمالي المبيعات صفر",IF($AA43&lt;0,"الخصومات والمرتجعات أكبر من المبيعات",IF(AND(N($Q43)&gt;0,$R43=""),"كود وسيلة الدفع الأخرى ناقص",IF(ABS($AC43)&gt;S_Tol,"مجموع وسائل الدفع لا يساوي صافي المبيعات",IF(OR(AND(N($L43)&gt;0,COUNTIFS(COA!$A:$A,$AK43,COA!$R:$R,1)&lt;&gt;1),AND(N($M43)&gt;0,COUNTIFS(COA!$A:$A,$AL43,COA!$R:$R,1)&lt;&gt;1),AND(N($N43)&gt;0,COUNTIFS(COA!$A:$A,$AM43,COA!$R:$R,1)&lt;&gt;1),AND(N($O43)&gt;0,COUNTIFS(COA!$A:$A,$AN43,COA!$R:$R,1)&lt;&gt;1),AND(N($P43)&gt;0,COUNTIFS(COA!$A:$A,$AO43,COA!$R:$R,1)&lt;&gt;1),AND(N($Q43)&gt;0,COUNTIFS(COA!$A:$A,$AP43,COA!$R:$R,1)&lt;&gt;1),AND(N($E43)&gt;0,COUNTIFS(COA!$A:$A,$AQ43,COA!$R:$R,1)&lt;&gt;1),AND(N($F43)&gt;0,COUNTIFS(COA!$A:$A,$AR43,COA!$R:$R,1)&lt;&gt;1),AND(N($G43)&gt;0,COUNTIFS(COA!$A:$A,$AS43,COA!$R:$R,1)&lt;&gt;1),AND(N($H43)&gt;0,COUNTIFS(COA!$A:$A,$AT43,COA!$R:$R,1)&lt;&gt;1)),"حساب تسوية أو إيراد غير صالح",IF($AJ43&lt;-S_Tol,"الضريبة المحسوبة سالبة","")))))))))))))))))))))))</f>
        <v/>
      </c>
      <c r="AX43" s="32">
        <f>IF($AV43=1,IF($AW43&lt;&gt;"",1,0),0)</f>
        <v/>
      </c>
      <c r="AY43" s="32">
        <f>IF(AND($AV43=1,$AX43=0,$S43=ST_POST),1,0)</f>
        <v/>
      </c>
    </row>
    <row r="44">
      <c r="A44" s="29" t="n"/>
      <c r="B44" s="31" t="n"/>
      <c r="C44" s="39" t="n"/>
      <c r="D44" s="29" t="n"/>
      <c r="E44" s="42" t="n"/>
      <c r="F44" s="42" t="n"/>
      <c r="G44" s="42" t="n"/>
      <c r="H44" s="42" t="n"/>
      <c r="I44" s="42" t="n"/>
      <c r="J44" s="42" t="n"/>
      <c r="K44" s="42" t="n"/>
      <c r="L44" s="42" t="n"/>
      <c r="M44" s="42" t="n"/>
      <c r="N44" s="42" t="n"/>
      <c r="O44" s="42" t="n"/>
      <c r="P44" s="42" t="n"/>
      <c r="Q44" s="42" t="n"/>
      <c r="R44" s="39" t="n"/>
      <c r="S44" s="39" t="n"/>
      <c r="T44" s="29" t="n"/>
      <c r="U44" s="29" t="n"/>
      <c r="V44" s="29" t="n"/>
      <c r="W44" s="29" t="n"/>
      <c r="X44" s="29" t="n"/>
      <c r="Y44" s="29" t="n"/>
      <c r="Z44" s="43">
        <f>IF($AV44=1,$E44+$F44+$G44+$H44,"")</f>
        <v/>
      </c>
      <c r="AA44" s="43">
        <f>IF($AV44=1,$Z44-$I44-$J44,"")</f>
        <v/>
      </c>
      <c r="AB44" s="43">
        <f>IF($AV44=1,$L44+$M44+$N44+$O44+$P44+$Q44,"")</f>
        <v/>
      </c>
      <c r="AC44" s="47">
        <f>IF($AV44=1,ROUND($AA44-$AB44,2),"")</f>
        <v/>
      </c>
      <c r="AD44" s="43">
        <f>IF($AV44=1,ROUND($E44/S_VATF,2),"")</f>
        <v/>
      </c>
      <c r="AE44" s="43">
        <f>IF($AV44=1,ROUND($F44/S_VATF,2),"")</f>
        <v/>
      </c>
      <c r="AF44" s="43">
        <f>IF($AV44=1,ROUND($G44/S_VATF,2),"")</f>
        <v/>
      </c>
      <c r="AG44" s="43">
        <f>IF($AV44=1,ROUND($H44/S_VATF,2),"")</f>
        <v/>
      </c>
      <c r="AH44" s="43">
        <f>IF($AV44=1,ROUND($I44/S_VATF,2),"")</f>
        <v/>
      </c>
      <c r="AI44" s="43">
        <f>IF($AV44=1,ROUND($J44/S_VATF,2),"")</f>
        <v/>
      </c>
      <c r="AJ44" s="43">
        <f>IF($AV44=1,ROUND($AA44+$AH44+$AI44-$AD44-$AE44-$AF44-$AG44,2),"")</f>
        <v/>
      </c>
      <c r="AK44" s="32">
        <f>IF(AND($AV44=1,N($L44)&gt;0),IFERROR(IF(IFERROR(INDEX(Payment_Methods!$C:$C,MATCH("CASH",Payment_Methods!$A:$A,0)),"")="نقدي",INDEX(Treasuries!$E:$E,MATCH(INDEX(Locations!$G:$G,MATCH($C44,Locations!$A:$A,0)),Treasuries!$A:$A,0)),INDEX(Payment_Methods!$D:$D,MATCH("CASH",Payment_Methods!$A:$A,0))),"؟"),"")</f>
        <v/>
      </c>
      <c r="AL44" s="32">
        <f>IF(AND($AV44=1,N($M44)&gt;0),IFERROR(IF(IFERROR(INDEX(Payment_Methods!$C:$C,MATCH("CARD",Payment_Methods!$A:$A,0)),"")="نقدي",INDEX(Treasuries!$E:$E,MATCH(INDEX(Locations!$G:$G,MATCH($C44,Locations!$A:$A,0)),Treasuries!$A:$A,0)),INDEX(Payment_Methods!$D:$D,MATCH("CARD",Payment_Methods!$A:$A,0))),"؟"),"")</f>
        <v/>
      </c>
      <c r="AM44" s="32">
        <f>IF(AND($AV44=1,N($N44)&gt;0),IFERROR(IF(IFERROR(INDEX(Payment_Methods!$C:$C,MATCH("TLB",Payment_Methods!$A:$A,0)),"")="نقدي",INDEX(Treasuries!$E:$E,MATCH(INDEX(Locations!$G:$G,MATCH($C44,Locations!$A:$A,0)),Treasuries!$A:$A,0)),INDEX(Payment_Methods!$D:$D,MATCH("TLB",Payment_Methods!$A:$A,0))),"؟"),"")</f>
        <v/>
      </c>
      <c r="AN44" s="32">
        <f>IF(AND($AV44=1,N($O44)&gt;0),IFERROR(IF(IFERROR(INDEX(Payment_Methods!$C:$C,MATCH("DLV2",Payment_Methods!$A:$A,0)),"")="نقدي",INDEX(Treasuries!$E:$E,MATCH(INDEX(Locations!$G:$G,MATCH($C44,Locations!$A:$A,0)),Treasuries!$A:$A,0)),INDEX(Payment_Methods!$D:$D,MATCH("DLV2",Payment_Methods!$A:$A,0))),"؟"),"")</f>
        <v/>
      </c>
      <c r="AO44" s="32">
        <f>IF(AND($AV44=1,N($P44)&gt;0),IFERROR(IF(IFERROR(INDEX(Payment_Methods!$C:$C,MATCH("INSTA",Payment_Methods!$A:$A,0)),"")="نقدي",INDEX(Treasuries!$E:$E,MATCH(INDEX(Locations!$G:$G,MATCH($C44,Locations!$A:$A,0)),Treasuries!$A:$A,0)),INDEX(Payment_Methods!$D:$D,MATCH("INSTA",Payment_Methods!$A:$A,0))),"؟"),"")</f>
        <v/>
      </c>
      <c r="AP44" s="32">
        <f>IF(AND($AV44=1,N($Q44)&gt;0),IFERROR(IF(IFERROR(INDEX(Payment_Methods!$C:$C,MATCH($R44,Payment_Methods!$A:$A,0)),"")="نقدي",INDEX(Treasuries!$E:$E,MATCH(INDEX(Locations!$G:$G,MATCH($C44,Locations!$A:$A,0)),Treasuries!$A:$A,0)),INDEX(Payment_Methods!$D:$D,MATCH($R44,Payment_Methods!$A:$A,0))),"؟"),"")</f>
        <v/>
      </c>
      <c r="AQ44" s="32">
        <f>INDEX(Lists!$U$5:$U$8,1)</f>
        <v/>
      </c>
      <c r="AR44" s="32">
        <f>INDEX(Lists!$U$5:$U$8,2)</f>
        <v/>
      </c>
      <c r="AS44" s="32">
        <f>INDEX(Lists!$U$5:$U$8,3)</f>
        <v/>
      </c>
      <c r="AT44" s="32">
        <f>INDEX(Lists!$U$5:$U$8,4)</f>
        <v/>
      </c>
      <c r="AU44" s="44">
        <f>IF($AV44=1,IF(COUNTIFS(Daily_Recon!$A:$A,$B44,Daily_Recon!$B:$B,$C44)&gt;0,"نعم","لا"),"")</f>
        <v/>
      </c>
      <c r="AV44" s="32">
        <f>IF(COUNTA($A44:$Y44)&gt;0,1,0)</f>
        <v/>
      </c>
      <c r="AW44" s="32">
        <f>IF($AV44=0,"",IF($A44="","رقم المستند ناقص",IF(COUNTIF(Doc_Register!$A:$A,$A44)&gt;1,"رقم مستند مكرر في السجل المركزي",IF(LEFT($A44,LEN("SAL")+1)&lt;&gt;"SAL"&amp;"-","بادئة الرقم لا تطابق نوع المستند",IF(NOT(ISNUMBER($B44)),"التاريخ ناقص أو غير صحيح",IF($S44="","حالة المستند ناقصة",IF($T44="","اسم المُعِد ناقص",IF(AND(OR($S44=ST_APPR,$S44=ST_POST),$U44=""),"لا يوجد معتمد",IF(AND($U44&lt;&gt;"",$U44=$T44),"المُعِد والمعتمد نفس الشخص (فصل المهام)",IF(AND($S44=ST_POST,$V44=""),"اسم المحاسب المرحِّل ناقص",IF(AND($S44=ST_POST,$V44&lt;&gt;"",OR($V44=$T44,$V44=$U44)),"المرحِّل يجب أن يختلف عن المُعِد والمعتمد",IF(AND($S44=ST_REV,$X44=""),"مرجع التصحيح/الإلغاء ناقص",IF(AND(ISNUMBER($B44),OR($S44=ST_DRAFT,$S44=ST_APPR),COUNTIFS(Period_Close!$A:$A,YEAR($B44)*100+MONTH($B44),Period_Close!$B:$B,"مقفلة")&gt;0),"الفترة مقفلة: لا يسمح بمستند جديد",IF(NOT(COUNTIF(Locations!$A:$A,$C44)&gt;0),"الفرع غير معرف",IF(IFERROR(INDEX(Locations!$C:$C,MATCH($C44,Locations!$A:$A,0)),"")&lt;&gt;"فرع","الموقع المختار ليس فرع بيع",IF(AND($S44&lt;&gt;ST_REV,$S44&lt;&gt;ST_CANC,COUNTIFS($B$4:$B43,$B44,$C$4:$C43,$C44,$S$4:$S43,"&lt;&gt;"&amp;ST_REV,$S$4:$S43,"&lt;&gt;"&amp;ST_CANC)&gt;0),"تقرير مبيعات مكرر لنفس الفرع واليوم",IF(MIN($E44,$F44,$G44,$H44,$I44,$J44,$L44,$M44,$N44,$O44,$P44,$Q44)&lt;0,"توجد مبالغ سالبة (استخدم مستند عكسي)",IF($Z44&lt;=0,"إجمالي المبيعات صفر",IF($AA44&lt;0,"الخصومات والمرتجعات أكبر من المبيعات",IF(AND(N($Q44)&gt;0,$R44=""),"كود وسيلة الدفع الأخرى ناقص",IF(ABS($AC44)&gt;S_Tol,"مجموع وسائل الدفع لا يساوي صافي المبيعات",IF(OR(AND(N($L44)&gt;0,COUNTIFS(COA!$A:$A,$AK44,COA!$R:$R,1)&lt;&gt;1),AND(N($M44)&gt;0,COUNTIFS(COA!$A:$A,$AL44,COA!$R:$R,1)&lt;&gt;1),AND(N($N44)&gt;0,COUNTIFS(COA!$A:$A,$AM44,COA!$R:$R,1)&lt;&gt;1),AND(N($O44)&gt;0,COUNTIFS(COA!$A:$A,$AN44,COA!$R:$R,1)&lt;&gt;1),AND(N($P44)&gt;0,COUNTIFS(COA!$A:$A,$AO44,COA!$R:$R,1)&lt;&gt;1),AND(N($Q44)&gt;0,COUNTIFS(COA!$A:$A,$AP44,COA!$R:$R,1)&lt;&gt;1),AND(N($E44)&gt;0,COUNTIFS(COA!$A:$A,$AQ44,COA!$R:$R,1)&lt;&gt;1),AND(N($F44)&gt;0,COUNTIFS(COA!$A:$A,$AR44,COA!$R:$R,1)&lt;&gt;1),AND(N($G44)&gt;0,COUNTIFS(COA!$A:$A,$AS44,COA!$R:$R,1)&lt;&gt;1),AND(N($H44)&gt;0,COUNTIFS(COA!$A:$A,$AT44,COA!$R:$R,1)&lt;&gt;1)),"حساب تسوية أو إيراد غير صالح",IF($AJ44&lt;-S_Tol,"الضريبة المحسوبة سالبة","")))))))))))))))))))))))</f>
        <v/>
      </c>
      <c r="AX44" s="32">
        <f>IF($AV44=1,IF($AW44&lt;&gt;"",1,0),0)</f>
        <v/>
      </c>
      <c r="AY44" s="32">
        <f>IF(AND($AV44=1,$AX44=0,$S44=ST_POST),1,0)</f>
        <v/>
      </c>
    </row>
    <row r="45">
      <c r="A45" s="29" t="n"/>
      <c r="B45" s="31" t="n"/>
      <c r="C45" s="39" t="n"/>
      <c r="D45" s="29" t="n"/>
      <c r="E45" s="42" t="n"/>
      <c r="F45" s="42" t="n"/>
      <c r="G45" s="42" t="n"/>
      <c r="H45" s="42" t="n"/>
      <c r="I45" s="42" t="n"/>
      <c r="J45" s="42" t="n"/>
      <c r="K45" s="42" t="n"/>
      <c r="L45" s="42" t="n"/>
      <c r="M45" s="42" t="n"/>
      <c r="N45" s="42" t="n"/>
      <c r="O45" s="42" t="n"/>
      <c r="P45" s="42" t="n"/>
      <c r="Q45" s="42" t="n"/>
      <c r="R45" s="39" t="n"/>
      <c r="S45" s="39" t="n"/>
      <c r="T45" s="29" t="n"/>
      <c r="U45" s="29" t="n"/>
      <c r="V45" s="29" t="n"/>
      <c r="W45" s="29" t="n"/>
      <c r="X45" s="29" t="n"/>
      <c r="Y45" s="29" t="n"/>
      <c r="Z45" s="43">
        <f>IF($AV45=1,$E45+$F45+$G45+$H45,"")</f>
        <v/>
      </c>
      <c r="AA45" s="43">
        <f>IF($AV45=1,$Z45-$I45-$J45,"")</f>
        <v/>
      </c>
      <c r="AB45" s="43">
        <f>IF($AV45=1,$L45+$M45+$N45+$O45+$P45+$Q45,"")</f>
        <v/>
      </c>
      <c r="AC45" s="47">
        <f>IF($AV45=1,ROUND($AA45-$AB45,2),"")</f>
        <v/>
      </c>
      <c r="AD45" s="43">
        <f>IF($AV45=1,ROUND($E45/S_VATF,2),"")</f>
        <v/>
      </c>
      <c r="AE45" s="43">
        <f>IF($AV45=1,ROUND($F45/S_VATF,2),"")</f>
        <v/>
      </c>
      <c r="AF45" s="43">
        <f>IF($AV45=1,ROUND($G45/S_VATF,2),"")</f>
        <v/>
      </c>
      <c r="AG45" s="43">
        <f>IF($AV45=1,ROUND($H45/S_VATF,2),"")</f>
        <v/>
      </c>
      <c r="AH45" s="43">
        <f>IF($AV45=1,ROUND($I45/S_VATF,2),"")</f>
        <v/>
      </c>
      <c r="AI45" s="43">
        <f>IF($AV45=1,ROUND($J45/S_VATF,2),"")</f>
        <v/>
      </c>
      <c r="AJ45" s="43">
        <f>IF($AV45=1,ROUND($AA45+$AH45+$AI45-$AD45-$AE45-$AF45-$AG45,2),"")</f>
        <v/>
      </c>
      <c r="AK45" s="32">
        <f>IF(AND($AV45=1,N($L45)&gt;0),IFERROR(IF(IFERROR(INDEX(Payment_Methods!$C:$C,MATCH("CASH",Payment_Methods!$A:$A,0)),"")="نقدي",INDEX(Treasuries!$E:$E,MATCH(INDEX(Locations!$G:$G,MATCH($C45,Locations!$A:$A,0)),Treasuries!$A:$A,0)),INDEX(Payment_Methods!$D:$D,MATCH("CASH",Payment_Methods!$A:$A,0))),"؟"),"")</f>
        <v/>
      </c>
      <c r="AL45" s="32">
        <f>IF(AND($AV45=1,N($M45)&gt;0),IFERROR(IF(IFERROR(INDEX(Payment_Methods!$C:$C,MATCH("CARD",Payment_Methods!$A:$A,0)),"")="نقدي",INDEX(Treasuries!$E:$E,MATCH(INDEX(Locations!$G:$G,MATCH($C45,Locations!$A:$A,0)),Treasuries!$A:$A,0)),INDEX(Payment_Methods!$D:$D,MATCH("CARD",Payment_Methods!$A:$A,0))),"؟"),"")</f>
        <v/>
      </c>
      <c r="AM45" s="32">
        <f>IF(AND($AV45=1,N($N45)&gt;0),IFERROR(IF(IFERROR(INDEX(Payment_Methods!$C:$C,MATCH("TLB",Payment_Methods!$A:$A,0)),"")="نقدي",INDEX(Treasuries!$E:$E,MATCH(INDEX(Locations!$G:$G,MATCH($C45,Locations!$A:$A,0)),Treasuries!$A:$A,0)),INDEX(Payment_Methods!$D:$D,MATCH("TLB",Payment_Methods!$A:$A,0))),"؟"),"")</f>
        <v/>
      </c>
      <c r="AN45" s="32">
        <f>IF(AND($AV45=1,N($O45)&gt;0),IFERROR(IF(IFERROR(INDEX(Payment_Methods!$C:$C,MATCH("DLV2",Payment_Methods!$A:$A,0)),"")="نقدي",INDEX(Treasuries!$E:$E,MATCH(INDEX(Locations!$G:$G,MATCH($C45,Locations!$A:$A,0)),Treasuries!$A:$A,0)),INDEX(Payment_Methods!$D:$D,MATCH("DLV2",Payment_Methods!$A:$A,0))),"؟"),"")</f>
        <v/>
      </c>
      <c r="AO45" s="32">
        <f>IF(AND($AV45=1,N($P45)&gt;0),IFERROR(IF(IFERROR(INDEX(Payment_Methods!$C:$C,MATCH("INSTA",Payment_Methods!$A:$A,0)),"")="نقدي",INDEX(Treasuries!$E:$E,MATCH(INDEX(Locations!$G:$G,MATCH($C45,Locations!$A:$A,0)),Treasuries!$A:$A,0)),INDEX(Payment_Methods!$D:$D,MATCH("INSTA",Payment_Methods!$A:$A,0))),"؟"),"")</f>
        <v/>
      </c>
      <c r="AP45" s="32">
        <f>IF(AND($AV45=1,N($Q45)&gt;0),IFERROR(IF(IFERROR(INDEX(Payment_Methods!$C:$C,MATCH($R45,Payment_Methods!$A:$A,0)),"")="نقدي",INDEX(Treasuries!$E:$E,MATCH(INDEX(Locations!$G:$G,MATCH($C45,Locations!$A:$A,0)),Treasuries!$A:$A,0)),INDEX(Payment_Methods!$D:$D,MATCH($R45,Payment_Methods!$A:$A,0))),"؟"),"")</f>
        <v/>
      </c>
      <c r="AQ45" s="32">
        <f>INDEX(Lists!$U$5:$U$8,1)</f>
        <v/>
      </c>
      <c r="AR45" s="32">
        <f>INDEX(Lists!$U$5:$U$8,2)</f>
        <v/>
      </c>
      <c r="AS45" s="32">
        <f>INDEX(Lists!$U$5:$U$8,3)</f>
        <v/>
      </c>
      <c r="AT45" s="32">
        <f>INDEX(Lists!$U$5:$U$8,4)</f>
        <v/>
      </c>
      <c r="AU45" s="44">
        <f>IF($AV45=1,IF(COUNTIFS(Daily_Recon!$A:$A,$B45,Daily_Recon!$B:$B,$C45)&gt;0,"نعم","لا"),"")</f>
        <v/>
      </c>
      <c r="AV45" s="32">
        <f>IF(COUNTA($A45:$Y45)&gt;0,1,0)</f>
        <v/>
      </c>
      <c r="AW45" s="32">
        <f>IF($AV45=0,"",IF($A45="","رقم المستند ناقص",IF(COUNTIF(Doc_Register!$A:$A,$A45)&gt;1,"رقم مستند مكرر في السجل المركزي",IF(LEFT($A45,LEN("SAL")+1)&lt;&gt;"SAL"&amp;"-","بادئة الرقم لا تطابق نوع المستند",IF(NOT(ISNUMBER($B45)),"التاريخ ناقص أو غير صحيح",IF($S45="","حالة المستند ناقصة",IF($T45="","اسم المُعِد ناقص",IF(AND(OR($S45=ST_APPR,$S45=ST_POST),$U45=""),"لا يوجد معتمد",IF(AND($U45&lt;&gt;"",$U45=$T45),"المُعِد والمعتمد نفس الشخص (فصل المهام)",IF(AND($S45=ST_POST,$V45=""),"اسم المحاسب المرحِّل ناقص",IF(AND($S45=ST_POST,$V45&lt;&gt;"",OR($V45=$T45,$V45=$U45)),"المرحِّل يجب أن يختلف عن المُعِد والمعتمد",IF(AND($S45=ST_REV,$X45=""),"مرجع التصحيح/الإلغاء ناقص",IF(AND(ISNUMBER($B45),OR($S45=ST_DRAFT,$S45=ST_APPR),COUNTIFS(Period_Close!$A:$A,YEAR($B45)*100+MONTH($B45),Period_Close!$B:$B,"مقفلة")&gt;0),"الفترة مقفلة: لا يسمح بمستند جديد",IF(NOT(COUNTIF(Locations!$A:$A,$C45)&gt;0),"الفرع غير معرف",IF(IFERROR(INDEX(Locations!$C:$C,MATCH($C45,Locations!$A:$A,0)),"")&lt;&gt;"فرع","الموقع المختار ليس فرع بيع",IF(AND($S45&lt;&gt;ST_REV,$S45&lt;&gt;ST_CANC,COUNTIFS($B$4:$B44,$B45,$C$4:$C44,$C45,$S$4:$S44,"&lt;&gt;"&amp;ST_REV,$S$4:$S44,"&lt;&gt;"&amp;ST_CANC)&gt;0),"تقرير مبيعات مكرر لنفس الفرع واليوم",IF(MIN($E45,$F45,$G45,$H45,$I45,$J45,$L45,$M45,$N45,$O45,$P45,$Q45)&lt;0,"توجد مبالغ سالبة (استخدم مستند عكسي)",IF($Z45&lt;=0,"إجمالي المبيعات صفر",IF($AA45&lt;0,"الخصومات والمرتجعات أكبر من المبيعات",IF(AND(N($Q45)&gt;0,$R45=""),"كود وسيلة الدفع الأخرى ناقص",IF(ABS($AC45)&gt;S_Tol,"مجموع وسائل الدفع لا يساوي صافي المبيعات",IF(OR(AND(N($L45)&gt;0,COUNTIFS(COA!$A:$A,$AK45,COA!$R:$R,1)&lt;&gt;1),AND(N($M45)&gt;0,COUNTIFS(COA!$A:$A,$AL45,COA!$R:$R,1)&lt;&gt;1),AND(N($N45)&gt;0,COUNTIFS(COA!$A:$A,$AM45,COA!$R:$R,1)&lt;&gt;1),AND(N($O45)&gt;0,COUNTIFS(COA!$A:$A,$AN45,COA!$R:$R,1)&lt;&gt;1),AND(N($P45)&gt;0,COUNTIFS(COA!$A:$A,$AO45,COA!$R:$R,1)&lt;&gt;1),AND(N($Q45)&gt;0,COUNTIFS(COA!$A:$A,$AP45,COA!$R:$R,1)&lt;&gt;1),AND(N($E45)&gt;0,COUNTIFS(COA!$A:$A,$AQ45,COA!$R:$R,1)&lt;&gt;1),AND(N($F45)&gt;0,COUNTIFS(COA!$A:$A,$AR45,COA!$R:$R,1)&lt;&gt;1),AND(N($G45)&gt;0,COUNTIFS(COA!$A:$A,$AS45,COA!$R:$R,1)&lt;&gt;1),AND(N($H45)&gt;0,COUNTIFS(COA!$A:$A,$AT45,COA!$R:$R,1)&lt;&gt;1)),"حساب تسوية أو إيراد غير صالح",IF($AJ45&lt;-S_Tol,"الضريبة المحسوبة سالبة","")))))))))))))))))))))))</f>
        <v/>
      </c>
      <c r="AX45" s="32">
        <f>IF($AV45=1,IF($AW45&lt;&gt;"",1,0),0)</f>
        <v/>
      </c>
      <c r="AY45" s="32">
        <f>IF(AND($AV45=1,$AX45=0,$S45=ST_POST),1,0)</f>
        <v/>
      </c>
    </row>
    <row r="46">
      <c r="A46" s="29" t="n"/>
      <c r="B46" s="31" t="n"/>
      <c r="C46" s="39" t="n"/>
      <c r="D46" s="29" t="n"/>
      <c r="E46" s="42" t="n"/>
      <c r="F46" s="42" t="n"/>
      <c r="G46" s="42" t="n"/>
      <c r="H46" s="42" t="n"/>
      <c r="I46" s="42" t="n"/>
      <c r="J46" s="42" t="n"/>
      <c r="K46" s="42" t="n"/>
      <c r="L46" s="42" t="n"/>
      <c r="M46" s="42" t="n"/>
      <c r="N46" s="42" t="n"/>
      <c r="O46" s="42" t="n"/>
      <c r="P46" s="42" t="n"/>
      <c r="Q46" s="42" t="n"/>
      <c r="R46" s="39" t="n"/>
      <c r="S46" s="39" t="n"/>
      <c r="T46" s="29" t="n"/>
      <c r="U46" s="29" t="n"/>
      <c r="V46" s="29" t="n"/>
      <c r="W46" s="29" t="n"/>
      <c r="X46" s="29" t="n"/>
      <c r="Y46" s="29" t="n"/>
      <c r="Z46" s="43">
        <f>IF($AV46=1,$E46+$F46+$G46+$H46,"")</f>
        <v/>
      </c>
      <c r="AA46" s="43">
        <f>IF($AV46=1,$Z46-$I46-$J46,"")</f>
        <v/>
      </c>
      <c r="AB46" s="43">
        <f>IF($AV46=1,$L46+$M46+$N46+$O46+$P46+$Q46,"")</f>
        <v/>
      </c>
      <c r="AC46" s="47">
        <f>IF($AV46=1,ROUND($AA46-$AB46,2),"")</f>
        <v/>
      </c>
      <c r="AD46" s="43">
        <f>IF($AV46=1,ROUND($E46/S_VATF,2),"")</f>
        <v/>
      </c>
      <c r="AE46" s="43">
        <f>IF($AV46=1,ROUND($F46/S_VATF,2),"")</f>
        <v/>
      </c>
      <c r="AF46" s="43">
        <f>IF($AV46=1,ROUND($G46/S_VATF,2),"")</f>
        <v/>
      </c>
      <c r="AG46" s="43">
        <f>IF($AV46=1,ROUND($H46/S_VATF,2),"")</f>
        <v/>
      </c>
      <c r="AH46" s="43">
        <f>IF($AV46=1,ROUND($I46/S_VATF,2),"")</f>
        <v/>
      </c>
      <c r="AI46" s="43">
        <f>IF($AV46=1,ROUND($J46/S_VATF,2),"")</f>
        <v/>
      </c>
      <c r="AJ46" s="43">
        <f>IF($AV46=1,ROUND($AA46+$AH46+$AI46-$AD46-$AE46-$AF46-$AG46,2),"")</f>
        <v/>
      </c>
      <c r="AK46" s="32">
        <f>IF(AND($AV46=1,N($L46)&gt;0),IFERROR(IF(IFERROR(INDEX(Payment_Methods!$C:$C,MATCH("CASH",Payment_Methods!$A:$A,0)),"")="نقدي",INDEX(Treasuries!$E:$E,MATCH(INDEX(Locations!$G:$G,MATCH($C46,Locations!$A:$A,0)),Treasuries!$A:$A,0)),INDEX(Payment_Methods!$D:$D,MATCH("CASH",Payment_Methods!$A:$A,0))),"؟"),"")</f>
        <v/>
      </c>
      <c r="AL46" s="32">
        <f>IF(AND($AV46=1,N($M46)&gt;0),IFERROR(IF(IFERROR(INDEX(Payment_Methods!$C:$C,MATCH("CARD",Payment_Methods!$A:$A,0)),"")="نقدي",INDEX(Treasuries!$E:$E,MATCH(INDEX(Locations!$G:$G,MATCH($C46,Locations!$A:$A,0)),Treasuries!$A:$A,0)),INDEX(Payment_Methods!$D:$D,MATCH("CARD",Payment_Methods!$A:$A,0))),"؟"),"")</f>
        <v/>
      </c>
      <c r="AM46" s="32">
        <f>IF(AND($AV46=1,N($N46)&gt;0),IFERROR(IF(IFERROR(INDEX(Payment_Methods!$C:$C,MATCH("TLB",Payment_Methods!$A:$A,0)),"")="نقدي",INDEX(Treasuries!$E:$E,MATCH(INDEX(Locations!$G:$G,MATCH($C46,Locations!$A:$A,0)),Treasuries!$A:$A,0)),INDEX(Payment_Methods!$D:$D,MATCH("TLB",Payment_Methods!$A:$A,0))),"؟"),"")</f>
        <v/>
      </c>
      <c r="AN46" s="32">
        <f>IF(AND($AV46=1,N($O46)&gt;0),IFERROR(IF(IFERROR(INDEX(Payment_Methods!$C:$C,MATCH("DLV2",Payment_Methods!$A:$A,0)),"")="نقدي",INDEX(Treasuries!$E:$E,MATCH(INDEX(Locations!$G:$G,MATCH($C46,Locations!$A:$A,0)),Treasuries!$A:$A,0)),INDEX(Payment_Methods!$D:$D,MATCH("DLV2",Payment_Methods!$A:$A,0))),"؟"),"")</f>
        <v/>
      </c>
      <c r="AO46" s="32">
        <f>IF(AND($AV46=1,N($P46)&gt;0),IFERROR(IF(IFERROR(INDEX(Payment_Methods!$C:$C,MATCH("INSTA",Payment_Methods!$A:$A,0)),"")="نقدي",INDEX(Treasuries!$E:$E,MATCH(INDEX(Locations!$G:$G,MATCH($C46,Locations!$A:$A,0)),Treasuries!$A:$A,0)),INDEX(Payment_Methods!$D:$D,MATCH("INSTA",Payment_Methods!$A:$A,0))),"؟"),"")</f>
        <v/>
      </c>
      <c r="AP46" s="32">
        <f>IF(AND($AV46=1,N($Q46)&gt;0),IFERROR(IF(IFERROR(INDEX(Payment_Methods!$C:$C,MATCH($R46,Payment_Methods!$A:$A,0)),"")="نقدي",INDEX(Treasuries!$E:$E,MATCH(INDEX(Locations!$G:$G,MATCH($C46,Locations!$A:$A,0)),Treasuries!$A:$A,0)),INDEX(Payment_Methods!$D:$D,MATCH($R46,Payment_Methods!$A:$A,0))),"؟"),"")</f>
        <v/>
      </c>
      <c r="AQ46" s="32">
        <f>INDEX(Lists!$U$5:$U$8,1)</f>
        <v/>
      </c>
      <c r="AR46" s="32">
        <f>INDEX(Lists!$U$5:$U$8,2)</f>
        <v/>
      </c>
      <c r="AS46" s="32">
        <f>INDEX(Lists!$U$5:$U$8,3)</f>
        <v/>
      </c>
      <c r="AT46" s="32">
        <f>INDEX(Lists!$U$5:$U$8,4)</f>
        <v/>
      </c>
      <c r="AU46" s="44">
        <f>IF($AV46=1,IF(COUNTIFS(Daily_Recon!$A:$A,$B46,Daily_Recon!$B:$B,$C46)&gt;0,"نعم","لا"),"")</f>
        <v/>
      </c>
      <c r="AV46" s="32">
        <f>IF(COUNTA($A46:$Y46)&gt;0,1,0)</f>
        <v/>
      </c>
      <c r="AW46" s="32">
        <f>IF($AV46=0,"",IF($A46="","رقم المستند ناقص",IF(COUNTIF(Doc_Register!$A:$A,$A46)&gt;1,"رقم مستند مكرر في السجل المركزي",IF(LEFT($A46,LEN("SAL")+1)&lt;&gt;"SAL"&amp;"-","بادئة الرقم لا تطابق نوع المستند",IF(NOT(ISNUMBER($B46)),"التاريخ ناقص أو غير صحيح",IF($S46="","حالة المستند ناقصة",IF($T46="","اسم المُعِد ناقص",IF(AND(OR($S46=ST_APPR,$S46=ST_POST),$U46=""),"لا يوجد معتمد",IF(AND($U46&lt;&gt;"",$U46=$T46),"المُعِد والمعتمد نفس الشخص (فصل المهام)",IF(AND($S46=ST_POST,$V46=""),"اسم المحاسب المرحِّل ناقص",IF(AND($S46=ST_POST,$V46&lt;&gt;"",OR($V46=$T46,$V46=$U46)),"المرحِّل يجب أن يختلف عن المُعِد والمعتمد",IF(AND($S46=ST_REV,$X46=""),"مرجع التصحيح/الإلغاء ناقص",IF(AND(ISNUMBER($B46),OR($S46=ST_DRAFT,$S46=ST_APPR),COUNTIFS(Period_Close!$A:$A,YEAR($B46)*100+MONTH($B46),Period_Close!$B:$B,"مقفلة")&gt;0),"الفترة مقفلة: لا يسمح بمستند جديد",IF(NOT(COUNTIF(Locations!$A:$A,$C46)&gt;0),"الفرع غير معرف",IF(IFERROR(INDEX(Locations!$C:$C,MATCH($C46,Locations!$A:$A,0)),"")&lt;&gt;"فرع","الموقع المختار ليس فرع بيع",IF(AND($S46&lt;&gt;ST_REV,$S46&lt;&gt;ST_CANC,COUNTIFS($B$4:$B45,$B46,$C$4:$C45,$C46,$S$4:$S45,"&lt;&gt;"&amp;ST_REV,$S$4:$S45,"&lt;&gt;"&amp;ST_CANC)&gt;0),"تقرير مبيعات مكرر لنفس الفرع واليوم",IF(MIN($E46,$F46,$G46,$H46,$I46,$J46,$L46,$M46,$N46,$O46,$P46,$Q46)&lt;0,"توجد مبالغ سالبة (استخدم مستند عكسي)",IF($Z46&lt;=0,"إجمالي المبيعات صفر",IF($AA46&lt;0,"الخصومات والمرتجعات أكبر من المبيعات",IF(AND(N($Q46)&gt;0,$R46=""),"كود وسيلة الدفع الأخرى ناقص",IF(ABS($AC46)&gt;S_Tol,"مجموع وسائل الدفع لا يساوي صافي المبيعات",IF(OR(AND(N($L46)&gt;0,COUNTIFS(COA!$A:$A,$AK46,COA!$R:$R,1)&lt;&gt;1),AND(N($M46)&gt;0,COUNTIFS(COA!$A:$A,$AL46,COA!$R:$R,1)&lt;&gt;1),AND(N($N46)&gt;0,COUNTIFS(COA!$A:$A,$AM46,COA!$R:$R,1)&lt;&gt;1),AND(N($O46)&gt;0,COUNTIFS(COA!$A:$A,$AN46,COA!$R:$R,1)&lt;&gt;1),AND(N($P46)&gt;0,COUNTIFS(COA!$A:$A,$AO46,COA!$R:$R,1)&lt;&gt;1),AND(N($Q46)&gt;0,COUNTIFS(COA!$A:$A,$AP46,COA!$R:$R,1)&lt;&gt;1),AND(N($E46)&gt;0,COUNTIFS(COA!$A:$A,$AQ46,COA!$R:$R,1)&lt;&gt;1),AND(N($F46)&gt;0,COUNTIFS(COA!$A:$A,$AR46,COA!$R:$R,1)&lt;&gt;1),AND(N($G46)&gt;0,COUNTIFS(COA!$A:$A,$AS46,COA!$R:$R,1)&lt;&gt;1),AND(N($H46)&gt;0,COUNTIFS(COA!$A:$A,$AT46,COA!$R:$R,1)&lt;&gt;1)),"حساب تسوية أو إيراد غير صالح",IF($AJ46&lt;-S_Tol,"الضريبة المحسوبة سالبة","")))))))))))))))))))))))</f>
        <v/>
      </c>
      <c r="AX46" s="32">
        <f>IF($AV46=1,IF($AW46&lt;&gt;"",1,0),0)</f>
        <v/>
      </c>
      <c r="AY46" s="32">
        <f>IF(AND($AV46=1,$AX46=0,$S46=ST_POST),1,0)</f>
        <v/>
      </c>
    </row>
    <row r="47">
      <c r="A47" s="29" t="n"/>
      <c r="B47" s="31" t="n"/>
      <c r="C47" s="39" t="n"/>
      <c r="D47" s="29" t="n"/>
      <c r="E47" s="42" t="n"/>
      <c r="F47" s="42" t="n"/>
      <c r="G47" s="42" t="n"/>
      <c r="H47" s="42" t="n"/>
      <c r="I47" s="42" t="n"/>
      <c r="J47" s="42" t="n"/>
      <c r="K47" s="42" t="n"/>
      <c r="L47" s="42" t="n"/>
      <c r="M47" s="42" t="n"/>
      <c r="N47" s="42" t="n"/>
      <c r="O47" s="42" t="n"/>
      <c r="P47" s="42" t="n"/>
      <c r="Q47" s="42" t="n"/>
      <c r="R47" s="39" t="n"/>
      <c r="S47" s="39" t="n"/>
      <c r="T47" s="29" t="n"/>
      <c r="U47" s="29" t="n"/>
      <c r="V47" s="29" t="n"/>
      <c r="W47" s="29" t="n"/>
      <c r="X47" s="29" t="n"/>
      <c r="Y47" s="29" t="n"/>
      <c r="Z47" s="43">
        <f>IF($AV47=1,$E47+$F47+$G47+$H47,"")</f>
        <v/>
      </c>
      <c r="AA47" s="43">
        <f>IF($AV47=1,$Z47-$I47-$J47,"")</f>
        <v/>
      </c>
      <c r="AB47" s="43">
        <f>IF($AV47=1,$L47+$M47+$N47+$O47+$P47+$Q47,"")</f>
        <v/>
      </c>
      <c r="AC47" s="47">
        <f>IF($AV47=1,ROUND($AA47-$AB47,2),"")</f>
        <v/>
      </c>
      <c r="AD47" s="43">
        <f>IF($AV47=1,ROUND($E47/S_VATF,2),"")</f>
        <v/>
      </c>
      <c r="AE47" s="43">
        <f>IF($AV47=1,ROUND($F47/S_VATF,2),"")</f>
        <v/>
      </c>
      <c r="AF47" s="43">
        <f>IF($AV47=1,ROUND($G47/S_VATF,2),"")</f>
        <v/>
      </c>
      <c r="AG47" s="43">
        <f>IF($AV47=1,ROUND($H47/S_VATF,2),"")</f>
        <v/>
      </c>
      <c r="AH47" s="43">
        <f>IF($AV47=1,ROUND($I47/S_VATF,2),"")</f>
        <v/>
      </c>
      <c r="AI47" s="43">
        <f>IF($AV47=1,ROUND($J47/S_VATF,2),"")</f>
        <v/>
      </c>
      <c r="AJ47" s="43">
        <f>IF($AV47=1,ROUND($AA47+$AH47+$AI47-$AD47-$AE47-$AF47-$AG47,2),"")</f>
        <v/>
      </c>
      <c r="AK47" s="32">
        <f>IF(AND($AV47=1,N($L47)&gt;0),IFERROR(IF(IFERROR(INDEX(Payment_Methods!$C:$C,MATCH("CASH",Payment_Methods!$A:$A,0)),"")="نقدي",INDEX(Treasuries!$E:$E,MATCH(INDEX(Locations!$G:$G,MATCH($C47,Locations!$A:$A,0)),Treasuries!$A:$A,0)),INDEX(Payment_Methods!$D:$D,MATCH("CASH",Payment_Methods!$A:$A,0))),"؟"),"")</f>
        <v/>
      </c>
      <c r="AL47" s="32">
        <f>IF(AND($AV47=1,N($M47)&gt;0),IFERROR(IF(IFERROR(INDEX(Payment_Methods!$C:$C,MATCH("CARD",Payment_Methods!$A:$A,0)),"")="نقدي",INDEX(Treasuries!$E:$E,MATCH(INDEX(Locations!$G:$G,MATCH($C47,Locations!$A:$A,0)),Treasuries!$A:$A,0)),INDEX(Payment_Methods!$D:$D,MATCH("CARD",Payment_Methods!$A:$A,0))),"؟"),"")</f>
        <v/>
      </c>
      <c r="AM47" s="32">
        <f>IF(AND($AV47=1,N($N47)&gt;0),IFERROR(IF(IFERROR(INDEX(Payment_Methods!$C:$C,MATCH("TLB",Payment_Methods!$A:$A,0)),"")="نقدي",INDEX(Treasuries!$E:$E,MATCH(INDEX(Locations!$G:$G,MATCH($C47,Locations!$A:$A,0)),Treasuries!$A:$A,0)),INDEX(Payment_Methods!$D:$D,MATCH("TLB",Payment_Methods!$A:$A,0))),"؟"),"")</f>
        <v/>
      </c>
      <c r="AN47" s="32">
        <f>IF(AND($AV47=1,N($O47)&gt;0),IFERROR(IF(IFERROR(INDEX(Payment_Methods!$C:$C,MATCH("DLV2",Payment_Methods!$A:$A,0)),"")="نقدي",INDEX(Treasuries!$E:$E,MATCH(INDEX(Locations!$G:$G,MATCH($C47,Locations!$A:$A,0)),Treasuries!$A:$A,0)),INDEX(Payment_Methods!$D:$D,MATCH("DLV2",Payment_Methods!$A:$A,0))),"؟"),"")</f>
        <v/>
      </c>
      <c r="AO47" s="32">
        <f>IF(AND($AV47=1,N($P47)&gt;0),IFERROR(IF(IFERROR(INDEX(Payment_Methods!$C:$C,MATCH("INSTA",Payment_Methods!$A:$A,0)),"")="نقدي",INDEX(Treasuries!$E:$E,MATCH(INDEX(Locations!$G:$G,MATCH($C47,Locations!$A:$A,0)),Treasuries!$A:$A,0)),INDEX(Payment_Methods!$D:$D,MATCH("INSTA",Payment_Methods!$A:$A,0))),"؟"),"")</f>
        <v/>
      </c>
      <c r="AP47" s="32">
        <f>IF(AND($AV47=1,N($Q47)&gt;0),IFERROR(IF(IFERROR(INDEX(Payment_Methods!$C:$C,MATCH($R47,Payment_Methods!$A:$A,0)),"")="نقدي",INDEX(Treasuries!$E:$E,MATCH(INDEX(Locations!$G:$G,MATCH($C47,Locations!$A:$A,0)),Treasuries!$A:$A,0)),INDEX(Payment_Methods!$D:$D,MATCH($R47,Payment_Methods!$A:$A,0))),"؟"),"")</f>
        <v/>
      </c>
      <c r="AQ47" s="32">
        <f>INDEX(Lists!$U$5:$U$8,1)</f>
        <v/>
      </c>
      <c r="AR47" s="32">
        <f>INDEX(Lists!$U$5:$U$8,2)</f>
        <v/>
      </c>
      <c r="AS47" s="32">
        <f>INDEX(Lists!$U$5:$U$8,3)</f>
        <v/>
      </c>
      <c r="AT47" s="32">
        <f>INDEX(Lists!$U$5:$U$8,4)</f>
        <v/>
      </c>
      <c r="AU47" s="44">
        <f>IF($AV47=1,IF(COUNTIFS(Daily_Recon!$A:$A,$B47,Daily_Recon!$B:$B,$C47)&gt;0,"نعم","لا"),"")</f>
        <v/>
      </c>
      <c r="AV47" s="32">
        <f>IF(COUNTA($A47:$Y47)&gt;0,1,0)</f>
        <v/>
      </c>
      <c r="AW47" s="32">
        <f>IF($AV47=0,"",IF($A47="","رقم المستند ناقص",IF(COUNTIF(Doc_Register!$A:$A,$A47)&gt;1,"رقم مستند مكرر في السجل المركزي",IF(LEFT($A47,LEN("SAL")+1)&lt;&gt;"SAL"&amp;"-","بادئة الرقم لا تطابق نوع المستند",IF(NOT(ISNUMBER($B47)),"التاريخ ناقص أو غير صحيح",IF($S47="","حالة المستند ناقصة",IF($T47="","اسم المُعِد ناقص",IF(AND(OR($S47=ST_APPR,$S47=ST_POST),$U47=""),"لا يوجد معتمد",IF(AND($U47&lt;&gt;"",$U47=$T47),"المُعِد والمعتمد نفس الشخص (فصل المهام)",IF(AND($S47=ST_POST,$V47=""),"اسم المحاسب المرحِّل ناقص",IF(AND($S47=ST_POST,$V47&lt;&gt;"",OR($V47=$T47,$V47=$U47)),"المرحِّل يجب أن يختلف عن المُعِد والمعتمد",IF(AND($S47=ST_REV,$X47=""),"مرجع التصحيح/الإلغاء ناقص",IF(AND(ISNUMBER($B47),OR($S47=ST_DRAFT,$S47=ST_APPR),COUNTIFS(Period_Close!$A:$A,YEAR($B47)*100+MONTH($B47),Period_Close!$B:$B,"مقفلة")&gt;0),"الفترة مقفلة: لا يسمح بمستند جديد",IF(NOT(COUNTIF(Locations!$A:$A,$C47)&gt;0),"الفرع غير معرف",IF(IFERROR(INDEX(Locations!$C:$C,MATCH($C47,Locations!$A:$A,0)),"")&lt;&gt;"فرع","الموقع المختار ليس فرع بيع",IF(AND($S47&lt;&gt;ST_REV,$S47&lt;&gt;ST_CANC,COUNTIFS($B$4:$B46,$B47,$C$4:$C46,$C47,$S$4:$S46,"&lt;&gt;"&amp;ST_REV,$S$4:$S46,"&lt;&gt;"&amp;ST_CANC)&gt;0),"تقرير مبيعات مكرر لنفس الفرع واليوم",IF(MIN($E47,$F47,$G47,$H47,$I47,$J47,$L47,$M47,$N47,$O47,$P47,$Q47)&lt;0,"توجد مبالغ سالبة (استخدم مستند عكسي)",IF($Z47&lt;=0,"إجمالي المبيعات صفر",IF($AA47&lt;0,"الخصومات والمرتجعات أكبر من المبيعات",IF(AND(N($Q47)&gt;0,$R47=""),"كود وسيلة الدفع الأخرى ناقص",IF(ABS($AC47)&gt;S_Tol,"مجموع وسائل الدفع لا يساوي صافي المبيعات",IF(OR(AND(N($L47)&gt;0,COUNTIFS(COA!$A:$A,$AK47,COA!$R:$R,1)&lt;&gt;1),AND(N($M47)&gt;0,COUNTIFS(COA!$A:$A,$AL47,COA!$R:$R,1)&lt;&gt;1),AND(N($N47)&gt;0,COUNTIFS(COA!$A:$A,$AM47,COA!$R:$R,1)&lt;&gt;1),AND(N($O47)&gt;0,COUNTIFS(COA!$A:$A,$AN47,COA!$R:$R,1)&lt;&gt;1),AND(N($P47)&gt;0,COUNTIFS(COA!$A:$A,$AO47,COA!$R:$R,1)&lt;&gt;1),AND(N($Q47)&gt;0,COUNTIFS(COA!$A:$A,$AP47,COA!$R:$R,1)&lt;&gt;1),AND(N($E47)&gt;0,COUNTIFS(COA!$A:$A,$AQ47,COA!$R:$R,1)&lt;&gt;1),AND(N($F47)&gt;0,COUNTIFS(COA!$A:$A,$AR47,COA!$R:$R,1)&lt;&gt;1),AND(N($G47)&gt;0,COUNTIFS(COA!$A:$A,$AS47,COA!$R:$R,1)&lt;&gt;1),AND(N($H47)&gt;0,COUNTIFS(COA!$A:$A,$AT47,COA!$R:$R,1)&lt;&gt;1)),"حساب تسوية أو إيراد غير صالح",IF($AJ47&lt;-S_Tol,"الضريبة المحسوبة سالبة","")))))))))))))))))))))))</f>
        <v/>
      </c>
      <c r="AX47" s="32">
        <f>IF($AV47=1,IF($AW47&lt;&gt;"",1,0),0)</f>
        <v/>
      </c>
      <c r="AY47" s="32">
        <f>IF(AND($AV47=1,$AX47=0,$S47=ST_POST),1,0)</f>
        <v/>
      </c>
    </row>
    <row r="48">
      <c r="A48" s="29" t="n"/>
      <c r="B48" s="31" t="n"/>
      <c r="C48" s="39" t="n"/>
      <c r="D48" s="29" t="n"/>
      <c r="E48" s="42" t="n"/>
      <c r="F48" s="42" t="n"/>
      <c r="G48" s="42" t="n"/>
      <c r="H48" s="42" t="n"/>
      <c r="I48" s="42" t="n"/>
      <c r="J48" s="42" t="n"/>
      <c r="K48" s="42" t="n"/>
      <c r="L48" s="42" t="n"/>
      <c r="M48" s="42" t="n"/>
      <c r="N48" s="42" t="n"/>
      <c r="O48" s="42" t="n"/>
      <c r="P48" s="42" t="n"/>
      <c r="Q48" s="42" t="n"/>
      <c r="R48" s="39" t="n"/>
      <c r="S48" s="39" t="n"/>
      <c r="T48" s="29" t="n"/>
      <c r="U48" s="29" t="n"/>
      <c r="V48" s="29" t="n"/>
      <c r="W48" s="29" t="n"/>
      <c r="X48" s="29" t="n"/>
      <c r="Y48" s="29" t="n"/>
      <c r="Z48" s="43">
        <f>IF($AV48=1,$E48+$F48+$G48+$H48,"")</f>
        <v/>
      </c>
      <c r="AA48" s="43">
        <f>IF($AV48=1,$Z48-$I48-$J48,"")</f>
        <v/>
      </c>
      <c r="AB48" s="43">
        <f>IF($AV48=1,$L48+$M48+$N48+$O48+$P48+$Q48,"")</f>
        <v/>
      </c>
      <c r="AC48" s="47">
        <f>IF($AV48=1,ROUND($AA48-$AB48,2),"")</f>
        <v/>
      </c>
      <c r="AD48" s="43">
        <f>IF($AV48=1,ROUND($E48/S_VATF,2),"")</f>
        <v/>
      </c>
      <c r="AE48" s="43">
        <f>IF($AV48=1,ROUND($F48/S_VATF,2),"")</f>
        <v/>
      </c>
      <c r="AF48" s="43">
        <f>IF($AV48=1,ROUND($G48/S_VATF,2),"")</f>
        <v/>
      </c>
      <c r="AG48" s="43">
        <f>IF($AV48=1,ROUND($H48/S_VATF,2),"")</f>
        <v/>
      </c>
      <c r="AH48" s="43">
        <f>IF($AV48=1,ROUND($I48/S_VATF,2),"")</f>
        <v/>
      </c>
      <c r="AI48" s="43">
        <f>IF($AV48=1,ROUND($J48/S_VATF,2),"")</f>
        <v/>
      </c>
      <c r="AJ48" s="43">
        <f>IF($AV48=1,ROUND($AA48+$AH48+$AI48-$AD48-$AE48-$AF48-$AG48,2),"")</f>
        <v/>
      </c>
      <c r="AK48" s="32">
        <f>IF(AND($AV48=1,N($L48)&gt;0),IFERROR(IF(IFERROR(INDEX(Payment_Methods!$C:$C,MATCH("CASH",Payment_Methods!$A:$A,0)),"")="نقدي",INDEX(Treasuries!$E:$E,MATCH(INDEX(Locations!$G:$G,MATCH($C48,Locations!$A:$A,0)),Treasuries!$A:$A,0)),INDEX(Payment_Methods!$D:$D,MATCH("CASH",Payment_Methods!$A:$A,0))),"؟"),"")</f>
        <v/>
      </c>
      <c r="AL48" s="32">
        <f>IF(AND($AV48=1,N($M48)&gt;0),IFERROR(IF(IFERROR(INDEX(Payment_Methods!$C:$C,MATCH("CARD",Payment_Methods!$A:$A,0)),"")="نقدي",INDEX(Treasuries!$E:$E,MATCH(INDEX(Locations!$G:$G,MATCH($C48,Locations!$A:$A,0)),Treasuries!$A:$A,0)),INDEX(Payment_Methods!$D:$D,MATCH("CARD",Payment_Methods!$A:$A,0))),"؟"),"")</f>
        <v/>
      </c>
      <c r="AM48" s="32">
        <f>IF(AND($AV48=1,N($N48)&gt;0),IFERROR(IF(IFERROR(INDEX(Payment_Methods!$C:$C,MATCH("TLB",Payment_Methods!$A:$A,0)),"")="نقدي",INDEX(Treasuries!$E:$E,MATCH(INDEX(Locations!$G:$G,MATCH($C48,Locations!$A:$A,0)),Treasuries!$A:$A,0)),INDEX(Payment_Methods!$D:$D,MATCH("TLB",Payment_Methods!$A:$A,0))),"؟"),"")</f>
        <v/>
      </c>
      <c r="AN48" s="32">
        <f>IF(AND($AV48=1,N($O48)&gt;0),IFERROR(IF(IFERROR(INDEX(Payment_Methods!$C:$C,MATCH("DLV2",Payment_Methods!$A:$A,0)),"")="نقدي",INDEX(Treasuries!$E:$E,MATCH(INDEX(Locations!$G:$G,MATCH($C48,Locations!$A:$A,0)),Treasuries!$A:$A,0)),INDEX(Payment_Methods!$D:$D,MATCH("DLV2",Payment_Methods!$A:$A,0))),"؟"),"")</f>
        <v/>
      </c>
      <c r="AO48" s="32">
        <f>IF(AND($AV48=1,N($P48)&gt;0),IFERROR(IF(IFERROR(INDEX(Payment_Methods!$C:$C,MATCH("INSTA",Payment_Methods!$A:$A,0)),"")="نقدي",INDEX(Treasuries!$E:$E,MATCH(INDEX(Locations!$G:$G,MATCH($C48,Locations!$A:$A,0)),Treasuries!$A:$A,0)),INDEX(Payment_Methods!$D:$D,MATCH("INSTA",Payment_Methods!$A:$A,0))),"؟"),"")</f>
        <v/>
      </c>
      <c r="AP48" s="32">
        <f>IF(AND($AV48=1,N($Q48)&gt;0),IFERROR(IF(IFERROR(INDEX(Payment_Methods!$C:$C,MATCH($R48,Payment_Methods!$A:$A,0)),"")="نقدي",INDEX(Treasuries!$E:$E,MATCH(INDEX(Locations!$G:$G,MATCH($C48,Locations!$A:$A,0)),Treasuries!$A:$A,0)),INDEX(Payment_Methods!$D:$D,MATCH($R48,Payment_Methods!$A:$A,0))),"؟"),"")</f>
        <v/>
      </c>
      <c r="AQ48" s="32">
        <f>INDEX(Lists!$U$5:$U$8,1)</f>
        <v/>
      </c>
      <c r="AR48" s="32">
        <f>INDEX(Lists!$U$5:$U$8,2)</f>
        <v/>
      </c>
      <c r="AS48" s="32">
        <f>INDEX(Lists!$U$5:$U$8,3)</f>
        <v/>
      </c>
      <c r="AT48" s="32">
        <f>INDEX(Lists!$U$5:$U$8,4)</f>
        <v/>
      </c>
      <c r="AU48" s="44">
        <f>IF($AV48=1,IF(COUNTIFS(Daily_Recon!$A:$A,$B48,Daily_Recon!$B:$B,$C48)&gt;0,"نعم","لا"),"")</f>
        <v/>
      </c>
      <c r="AV48" s="32">
        <f>IF(COUNTA($A48:$Y48)&gt;0,1,0)</f>
        <v/>
      </c>
      <c r="AW48" s="32">
        <f>IF($AV48=0,"",IF($A48="","رقم المستند ناقص",IF(COUNTIF(Doc_Register!$A:$A,$A48)&gt;1,"رقم مستند مكرر في السجل المركزي",IF(LEFT($A48,LEN("SAL")+1)&lt;&gt;"SAL"&amp;"-","بادئة الرقم لا تطابق نوع المستند",IF(NOT(ISNUMBER($B48)),"التاريخ ناقص أو غير صحيح",IF($S48="","حالة المستند ناقصة",IF($T48="","اسم المُعِد ناقص",IF(AND(OR($S48=ST_APPR,$S48=ST_POST),$U48=""),"لا يوجد معتمد",IF(AND($U48&lt;&gt;"",$U48=$T48),"المُعِد والمعتمد نفس الشخص (فصل المهام)",IF(AND($S48=ST_POST,$V48=""),"اسم المحاسب المرحِّل ناقص",IF(AND($S48=ST_POST,$V48&lt;&gt;"",OR($V48=$T48,$V48=$U48)),"المرحِّل يجب أن يختلف عن المُعِد والمعتمد",IF(AND($S48=ST_REV,$X48=""),"مرجع التصحيح/الإلغاء ناقص",IF(AND(ISNUMBER($B48),OR($S48=ST_DRAFT,$S48=ST_APPR),COUNTIFS(Period_Close!$A:$A,YEAR($B48)*100+MONTH($B48),Period_Close!$B:$B,"مقفلة")&gt;0),"الفترة مقفلة: لا يسمح بمستند جديد",IF(NOT(COUNTIF(Locations!$A:$A,$C48)&gt;0),"الفرع غير معرف",IF(IFERROR(INDEX(Locations!$C:$C,MATCH($C48,Locations!$A:$A,0)),"")&lt;&gt;"فرع","الموقع المختار ليس فرع بيع",IF(AND($S48&lt;&gt;ST_REV,$S48&lt;&gt;ST_CANC,COUNTIFS($B$4:$B47,$B48,$C$4:$C47,$C48,$S$4:$S47,"&lt;&gt;"&amp;ST_REV,$S$4:$S47,"&lt;&gt;"&amp;ST_CANC)&gt;0),"تقرير مبيعات مكرر لنفس الفرع واليوم",IF(MIN($E48,$F48,$G48,$H48,$I48,$J48,$L48,$M48,$N48,$O48,$P48,$Q48)&lt;0,"توجد مبالغ سالبة (استخدم مستند عكسي)",IF($Z48&lt;=0,"إجمالي المبيعات صفر",IF($AA48&lt;0,"الخصومات والمرتجعات أكبر من المبيعات",IF(AND(N($Q48)&gt;0,$R48=""),"كود وسيلة الدفع الأخرى ناقص",IF(ABS($AC48)&gt;S_Tol,"مجموع وسائل الدفع لا يساوي صافي المبيعات",IF(OR(AND(N($L48)&gt;0,COUNTIFS(COA!$A:$A,$AK48,COA!$R:$R,1)&lt;&gt;1),AND(N($M48)&gt;0,COUNTIFS(COA!$A:$A,$AL48,COA!$R:$R,1)&lt;&gt;1),AND(N($N48)&gt;0,COUNTIFS(COA!$A:$A,$AM48,COA!$R:$R,1)&lt;&gt;1),AND(N($O48)&gt;0,COUNTIFS(COA!$A:$A,$AN48,COA!$R:$R,1)&lt;&gt;1),AND(N($P48)&gt;0,COUNTIFS(COA!$A:$A,$AO48,COA!$R:$R,1)&lt;&gt;1),AND(N($Q48)&gt;0,COUNTIFS(COA!$A:$A,$AP48,COA!$R:$R,1)&lt;&gt;1),AND(N($E48)&gt;0,COUNTIFS(COA!$A:$A,$AQ48,COA!$R:$R,1)&lt;&gt;1),AND(N($F48)&gt;0,COUNTIFS(COA!$A:$A,$AR48,COA!$R:$R,1)&lt;&gt;1),AND(N($G48)&gt;0,COUNTIFS(COA!$A:$A,$AS48,COA!$R:$R,1)&lt;&gt;1),AND(N($H48)&gt;0,COUNTIFS(COA!$A:$A,$AT48,COA!$R:$R,1)&lt;&gt;1)),"حساب تسوية أو إيراد غير صالح",IF($AJ48&lt;-S_Tol,"الضريبة المحسوبة سالبة","")))))))))))))))))))))))</f>
        <v/>
      </c>
      <c r="AX48" s="32">
        <f>IF($AV48=1,IF($AW48&lt;&gt;"",1,0),0)</f>
        <v/>
      </c>
      <c r="AY48" s="32">
        <f>IF(AND($AV48=1,$AX48=0,$S48=ST_POST),1,0)</f>
        <v/>
      </c>
    </row>
    <row r="49">
      <c r="A49" s="29" t="n"/>
      <c r="B49" s="31" t="n"/>
      <c r="C49" s="39" t="n"/>
      <c r="D49" s="29" t="n"/>
      <c r="E49" s="42" t="n"/>
      <c r="F49" s="42" t="n"/>
      <c r="G49" s="42" t="n"/>
      <c r="H49" s="42" t="n"/>
      <c r="I49" s="42" t="n"/>
      <c r="J49" s="42" t="n"/>
      <c r="K49" s="42" t="n"/>
      <c r="L49" s="42" t="n"/>
      <c r="M49" s="42" t="n"/>
      <c r="N49" s="42" t="n"/>
      <c r="O49" s="42" t="n"/>
      <c r="P49" s="42" t="n"/>
      <c r="Q49" s="42" t="n"/>
      <c r="R49" s="39" t="n"/>
      <c r="S49" s="39" t="n"/>
      <c r="T49" s="29" t="n"/>
      <c r="U49" s="29" t="n"/>
      <c r="V49" s="29" t="n"/>
      <c r="W49" s="29" t="n"/>
      <c r="X49" s="29" t="n"/>
      <c r="Y49" s="29" t="n"/>
      <c r="Z49" s="43">
        <f>IF($AV49=1,$E49+$F49+$G49+$H49,"")</f>
        <v/>
      </c>
      <c r="AA49" s="43">
        <f>IF($AV49=1,$Z49-$I49-$J49,"")</f>
        <v/>
      </c>
      <c r="AB49" s="43">
        <f>IF($AV49=1,$L49+$M49+$N49+$O49+$P49+$Q49,"")</f>
        <v/>
      </c>
      <c r="AC49" s="47">
        <f>IF($AV49=1,ROUND($AA49-$AB49,2),"")</f>
        <v/>
      </c>
      <c r="AD49" s="43">
        <f>IF($AV49=1,ROUND($E49/S_VATF,2),"")</f>
        <v/>
      </c>
      <c r="AE49" s="43">
        <f>IF($AV49=1,ROUND($F49/S_VATF,2),"")</f>
        <v/>
      </c>
      <c r="AF49" s="43">
        <f>IF($AV49=1,ROUND($G49/S_VATF,2),"")</f>
        <v/>
      </c>
      <c r="AG49" s="43">
        <f>IF($AV49=1,ROUND($H49/S_VATF,2),"")</f>
        <v/>
      </c>
      <c r="AH49" s="43">
        <f>IF($AV49=1,ROUND($I49/S_VATF,2),"")</f>
        <v/>
      </c>
      <c r="AI49" s="43">
        <f>IF($AV49=1,ROUND($J49/S_VATF,2),"")</f>
        <v/>
      </c>
      <c r="AJ49" s="43">
        <f>IF($AV49=1,ROUND($AA49+$AH49+$AI49-$AD49-$AE49-$AF49-$AG49,2),"")</f>
        <v/>
      </c>
      <c r="AK49" s="32">
        <f>IF(AND($AV49=1,N($L49)&gt;0),IFERROR(IF(IFERROR(INDEX(Payment_Methods!$C:$C,MATCH("CASH",Payment_Methods!$A:$A,0)),"")="نقدي",INDEX(Treasuries!$E:$E,MATCH(INDEX(Locations!$G:$G,MATCH($C49,Locations!$A:$A,0)),Treasuries!$A:$A,0)),INDEX(Payment_Methods!$D:$D,MATCH("CASH",Payment_Methods!$A:$A,0))),"؟"),"")</f>
        <v/>
      </c>
      <c r="AL49" s="32">
        <f>IF(AND($AV49=1,N($M49)&gt;0),IFERROR(IF(IFERROR(INDEX(Payment_Methods!$C:$C,MATCH("CARD",Payment_Methods!$A:$A,0)),"")="نقدي",INDEX(Treasuries!$E:$E,MATCH(INDEX(Locations!$G:$G,MATCH($C49,Locations!$A:$A,0)),Treasuries!$A:$A,0)),INDEX(Payment_Methods!$D:$D,MATCH("CARD",Payment_Methods!$A:$A,0))),"؟"),"")</f>
        <v/>
      </c>
      <c r="AM49" s="32">
        <f>IF(AND($AV49=1,N($N49)&gt;0),IFERROR(IF(IFERROR(INDEX(Payment_Methods!$C:$C,MATCH("TLB",Payment_Methods!$A:$A,0)),"")="نقدي",INDEX(Treasuries!$E:$E,MATCH(INDEX(Locations!$G:$G,MATCH($C49,Locations!$A:$A,0)),Treasuries!$A:$A,0)),INDEX(Payment_Methods!$D:$D,MATCH("TLB",Payment_Methods!$A:$A,0))),"؟"),"")</f>
        <v/>
      </c>
      <c r="AN49" s="32">
        <f>IF(AND($AV49=1,N($O49)&gt;0),IFERROR(IF(IFERROR(INDEX(Payment_Methods!$C:$C,MATCH("DLV2",Payment_Methods!$A:$A,0)),"")="نقدي",INDEX(Treasuries!$E:$E,MATCH(INDEX(Locations!$G:$G,MATCH($C49,Locations!$A:$A,0)),Treasuries!$A:$A,0)),INDEX(Payment_Methods!$D:$D,MATCH("DLV2",Payment_Methods!$A:$A,0))),"؟"),"")</f>
        <v/>
      </c>
      <c r="AO49" s="32">
        <f>IF(AND($AV49=1,N($P49)&gt;0),IFERROR(IF(IFERROR(INDEX(Payment_Methods!$C:$C,MATCH("INSTA",Payment_Methods!$A:$A,0)),"")="نقدي",INDEX(Treasuries!$E:$E,MATCH(INDEX(Locations!$G:$G,MATCH($C49,Locations!$A:$A,0)),Treasuries!$A:$A,0)),INDEX(Payment_Methods!$D:$D,MATCH("INSTA",Payment_Methods!$A:$A,0))),"؟"),"")</f>
        <v/>
      </c>
      <c r="AP49" s="32">
        <f>IF(AND($AV49=1,N($Q49)&gt;0),IFERROR(IF(IFERROR(INDEX(Payment_Methods!$C:$C,MATCH($R49,Payment_Methods!$A:$A,0)),"")="نقدي",INDEX(Treasuries!$E:$E,MATCH(INDEX(Locations!$G:$G,MATCH($C49,Locations!$A:$A,0)),Treasuries!$A:$A,0)),INDEX(Payment_Methods!$D:$D,MATCH($R49,Payment_Methods!$A:$A,0))),"؟"),"")</f>
        <v/>
      </c>
      <c r="AQ49" s="32">
        <f>INDEX(Lists!$U$5:$U$8,1)</f>
        <v/>
      </c>
      <c r="AR49" s="32">
        <f>INDEX(Lists!$U$5:$U$8,2)</f>
        <v/>
      </c>
      <c r="AS49" s="32">
        <f>INDEX(Lists!$U$5:$U$8,3)</f>
        <v/>
      </c>
      <c r="AT49" s="32">
        <f>INDEX(Lists!$U$5:$U$8,4)</f>
        <v/>
      </c>
      <c r="AU49" s="44">
        <f>IF($AV49=1,IF(COUNTIFS(Daily_Recon!$A:$A,$B49,Daily_Recon!$B:$B,$C49)&gt;0,"نعم","لا"),"")</f>
        <v/>
      </c>
      <c r="AV49" s="32">
        <f>IF(COUNTA($A49:$Y49)&gt;0,1,0)</f>
        <v/>
      </c>
      <c r="AW49" s="32">
        <f>IF($AV49=0,"",IF($A49="","رقم المستند ناقص",IF(COUNTIF(Doc_Register!$A:$A,$A49)&gt;1,"رقم مستند مكرر في السجل المركزي",IF(LEFT($A49,LEN("SAL")+1)&lt;&gt;"SAL"&amp;"-","بادئة الرقم لا تطابق نوع المستند",IF(NOT(ISNUMBER($B49)),"التاريخ ناقص أو غير صحيح",IF($S49="","حالة المستند ناقصة",IF($T49="","اسم المُعِد ناقص",IF(AND(OR($S49=ST_APPR,$S49=ST_POST),$U49=""),"لا يوجد معتمد",IF(AND($U49&lt;&gt;"",$U49=$T49),"المُعِد والمعتمد نفس الشخص (فصل المهام)",IF(AND($S49=ST_POST,$V49=""),"اسم المحاسب المرحِّل ناقص",IF(AND($S49=ST_POST,$V49&lt;&gt;"",OR($V49=$T49,$V49=$U49)),"المرحِّل يجب أن يختلف عن المُعِد والمعتمد",IF(AND($S49=ST_REV,$X49=""),"مرجع التصحيح/الإلغاء ناقص",IF(AND(ISNUMBER($B49),OR($S49=ST_DRAFT,$S49=ST_APPR),COUNTIFS(Period_Close!$A:$A,YEAR($B49)*100+MONTH($B49),Period_Close!$B:$B,"مقفلة")&gt;0),"الفترة مقفلة: لا يسمح بمستند جديد",IF(NOT(COUNTIF(Locations!$A:$A,$C49)&gt;0),"الفرع غير معرف",IF(IFERROR(INDEX(Locations!$C:$C,MATCH($C49,Locations!$A:$A,0)),"")&lt;&gt;"فرع","الموقع المختار ليس فرع بيع",IF(AND($S49&lt;&gt;ST_REV,$S49&lt;&gt;ST_CANC,COUNTIFS($B$4:$B48,$B49,$C$4:$C48,$C49,$S$4:$S48,"&lt;&gt;"&amp;ST_REV,$S$4:$S48,"&lt;&gt;"&amp;ST_CANC)&gt;0),"تقرير مبيعات مكرر لنفس الفرع واليوم",IF(MIN($E49,$F49,$G49,$H49,$I49,$J49,$L49,$M49,$N49,$O49,$P49,$Q49)&lt;0,"توجد مبالغ سالبة (استخدم مستند عكسي)",IF($Z49&lt;=0,"إجمالي المبيعات صفر",IF($AA49&lt;0,"الخصومات والمرتجعات أكبر من المبيعات",IF(AND(N($Q49)&gt;0,$R49=""),"كود وسيلة الدفع الأخرى ناقص",IF(ABS($AC49)&gt;S_Tol,"مجموع وسائل الدفع لا يساوي صافي المبيعات",IF(OR(AND(N($L49)&gt;0,COUNTIFS(COA!$A:$A,$AK49,COA!$R:$R,1)&lt;&gt;1),AND(N($M49)&gt;0,COUNTIFS(COA!$A:$A,$AL49,COA!$R:$R,1)&lt;&gt;1),AND(N($N49)&gt;0,COUNTIFS(COA!$A:$A,$AM49,COA!$R:$R,1)&lt;&gt;1),AND(N($O49)&gt;0,COUNTIFS(COA!$A:$A,$AN49,COA!$R:$R,1)&lt;&gt;1),AND(N($P49)&gt;0,COUNTIFS(COA!$A:$A,$AO49,COA!$R:$R,1)&lt;&gt;1),AND(N($Q49)&gt;0,COUNTIFS(COA!$A:$A,$AP49,COA!$R:$R,1)&lt;&gt;1),AND(N($E49)&gt;0,COUNTIFS(COA!$A:$A,$AQ49,COA!$R:$R,1)&lt;&gt;1),AND(N($F49)&gt;0,COUNTIFS(COA!$A:$A,$AR49,COA!$R:$R,1)&lt;&gt;1),AND(N($G49)&gt;0,COUNTIFS(COA!$A:$A,$AS49,COA!$R:$R,1)&lt;&gt;1),AND(N($H49)&gt;0,COUNTIFS(COA!$A:$A,$AT49,COA!$R:$R,1)&lt;&gt;1)),"حساب تسوية أو إيراد غير صالح",IF($AJ49&lt;-S_Tol,"الضريبة المحسوبة سالبة","")))))))))))))))))))))))</f>
        <v/>
      </c>
      <c r="AX49" s="32">
        <f>IF($AV49=1,IF($AW49&lt;&gt;"",1,0),0)</f>
        <v/>
      </c>
      <c r="AY49" s="32">
        <f>IF(AND($AV49=1,$AX49=0,$S49=ST_POST),1,0)</f>
        <v/>
      </c>
    </row>
    <row r="50">
      <c r="A50" s="29" t="n"/>
      <c r="B50" s="31" t="n"/>
      <c r="C50" s="39" t="n"/>
      <c r="D50" s="29" t="n"/>
      <c r="E50" s="42" t="n"/>
      <c r="F50" s="42" t="n"/>
      <c r="G50" s="42" t="n"/>
      <c r="H50" s="42" t="n"/>
      <c r="I50" s="42" t="n"/>
      <c r="J50" s="42" t="n"/>
      <c r="K50" s="42" t="n"/>
      <c r="L50" s="42" t="n"/>
      <c r="M50" s="42" t="n"/>
      <c r="N50" s="42" t="n"/>
      <c r="O50" s="42" t="n"/>
      <c r="P50" s="42" t="n"/>
      <c r="Q50" s="42" t="n"/>
      <c r="R50" s="39" t="n"/>
      <c r="S50" s="39" t="n"/>
      <c r="T50" s="29" t="n"/>
      <c r="U50" s="29" t="n"/>
      <c r="V50" s="29" t="n"/>
      <c r="W50" s="29" t="n"/>
      <c r="X50" s="29" t="n"/>
      <c r="Y50" s="29" t="n"/>
      <c r="Z50" s="43">
        <f>IF($AV50=1,$E50+$F50+$G50+$H50,"")</f>
        <v/>
      </c>
      <c r="AA50" s="43">
        <f>IF($AV50=1,$Z50-$I50-$J50,"")</f>
        <v/>
      </c>
      <c r="AB50" s="43">
        <f>IF($AV50=1,$L50+$M50+$N50+$O50+$P50+$Q50,"")</f>
        <v/>
      </c>
      <c r="AC50" s="47">
        <f>IF($AV50=1,ROUND($AA50-$AB50,2),"")</f>
        <v/>
      </c>
      <c r="AD50" s="43">
        <f>IF($AV50=1,ROUND($E50/S_VATF,2),"")</f>
        <v/>
      </c>
      <c r="AE50" s="43">
        <f>IF($AV50=1,ROUND($F50/S_VATF,2),"")</f>
        <v/>
      </c>
      <c r="AF50" s="43">
        <f>IF($AV50=1,ROUND($G50/S_VATF,2),"")</f>
        <v/>
      </c>
      <c r="AG50" s="43">
        <f>IF($AV50=1,ROUND($H50/S_VATF,2),"")</f>
        <v/>
      </c>
      <c r="AH50" s="43">
        <f>IF($AV50=1,ROUND($I50/S_VATF,2),"")</f>
        <v/>
      </c>
      <c r="AI50" s="43">
        <f>IF($AV50=1,ROUND($J50/S_VATF,2),"")</f>
        <v/>
      </c>
      <c r="AJ50" s="43">
        <f>IF($AV50=1,ROUND($AA50+$AH50+$AI50-$AD50-$AE50-$AF50-$AG50,2),"")</f>
        <v/>
      </c>
      <c r="AK50" s="32">
        <f>IF(AND($AV50=1,N($L50)&gt;0),IFERROR(IF(IFERROR(INDEX(Payment_Methods!$C:$C,MATCH("CASH",Payment_Methods!$A:$A,0)),"")="نقدي",INDEX(Treasuries!$E:$E,MATCH(INDEX(Locations!$G:$G,MATCH($C50,Locations!$A:$A,0)),Treasuries!$A:$A,0)),INDEX(Payment_Methods!$D:$D,MATCH("CASH",Payment_Methods!$A:$A,0))),"؟"),"")</f>
        <v/>
      </c>
      <c r="AL50" s="32">
        <f>IF(AND($AV50=1,N($M50)&gt;0),IFERROR(IF(IFERROR(INDEX(Payment_Methods!$C:$C,MATCH("CARD",Payment_Methods!$A:$A,0)),"")="نقدي",INDEX(Treasuries!$E:$E,MATCH(INDEX(Locations!$G:$G,MATCH($C50,Locations!$A:$A,0)),Treasuries!$A:$A,0)),INDEX(Payment_Methods!$D:$D,MATCH("CARD",Payment_Methods!$A:$A,0))),"؟"),"")</f>
        <v/>
      </c>
      <c r="AM50" s="32">
        <f>IF(AND($AV50=1,N($N50)&gt;0),IFERROR(IF(IFERROR(INDEX(Payment_Methods!$C:$C,MATCH("TLB",Payment_Methods!$A:$A,0)),"")="نقدي",INDEX(Treasuries!$E:$E,MATCH(INDEX(Locations!$G:$G,MATCH($C50,Locations!$A:$A,0)),Treasuries!$A:$A,0)),INDEX(Payment_Methods!$D:$D,MATCH("TLB",Payment_Methods!$A:$A,0))),"؟"),"")</f>
        <v/>
      </c>
      <c r="AN50" s="32">
        <f>IF(AND($AV50=1,N($O50)&gt;0),IFERROR(IF(IFERROR(INDEX(Payment_Methods!$C:$C,MATCH("DLV2",Payment_Methods!$A:$A,0)),"")="نقدي",INDEX(Treasuries!$E:$E,MATCH(INDEX(Locations!$G:$G,MATCH($C50,Locations!$A:$A,0)),Treasuries!$A:$A,0)),INDEX(Payment_Methods!$D:$D,MATCH("DLV2",Payment_Methods!$A:$A,0))),"؟"),"")</f>
        <v/>
      </c>
      <c r="AO50" s="32">
        <f>IF(AND($AV50=1,N($P50)&gt;0),IFERROR(IF(IFERROR(INDEX(Payment_Methods!$C:$C,MATCH("INSTA",Payment_Methods!$A:$A,0)),"")="نقدي",INDEX(Treasuries!$E:$E,MATCH(INDEX(Locations!$G:$G,MATCH($C50,Locations!$A:$A,0)),Treasuries!$A:$A,0)),INDEX(Payment_Methods!$D:$D,MATCH("INSTA",Payment_Methods!$A:$A,0))),"؟"),"")</f>
        <v/>
      </c>
      <c r="AP50" s="32">
        <f>IF(AND($AV50=1,N($Q50)&gt;0),IFERROR(IF(IFERROR(INDEX(Payment_Methods!$C:$C,MATCH($R50,Payment_Methods!$A:$A,0)),"")="نقدي",INDEX(Treasuries!$E:$E,MATCH(INDEX(Locations!$G:$G,MATCH($C50,Locations!$A:$A,0)),Treasuries!$A:$A,0)),INDEX(Payment_Methods!$D:$D,MATCH($R50,Payment_Methods!$A:$A,0))),"؟"),"")</f>
        <v/>
      </c>
      <c r="AQ50" s="32">
        <f>INDEX(Lists!$U$5:$U$8,1)</f>
        <v/>
      </c>
      <c r="AR50" s="32">
        <f>INDEX(Lists!$U$5:$U$8,2)</f>
        <v/>
      </c>
      <c r="AS50" s="32">
        <f>INDEX(Lists!$U$5:$U$8,3)</f>
        <v/>
      </c>
      <c r="AT50" s="32">
        <f>INDEX(Lists!$U$5:$U$8,4)</f>
        <v/>
      </c>
      <c r="AU50" s="44">
        <f>IF($AV50=1,IF(COUNTIFS(Daily_Recon!$A:$A,$B50,Daily_Recon!$B:$B,$C50)&gt;0,"نعم","لا"),"")</f>
        <v/>
      </c>
      <c r="AV50" s="32">
        <f>IF(COUNTA($A50:$Y50)&gt;0,1,0)</f>
        <v/>
      </c>
      <c r="AW50" s="32">
        <f>IF($AV50=0,"",IF($A50="","رقم المستند ناقص",IF(COUNTIF(Doc_Register!$A:$A,$A50)&gt;1,"رقم مستند مكرر في السجل المركزي",IF(LEFT($A50,LEN("SAL")+1)&lt;&gt;"SAL"&amp;"-","بادئة الرقم لا تطابق نوع المستند",IF(NOT(ISNUMBER($B50)),"التاريخ ناقص أو غير صحيح",IF($S50="","حالة المستند ناقصة",IF($T50="","اسم المُعِد ناقص",IF(AND(OR($S50=ST_APPR,$S50=ST_POST),$U50=""),"لا يوجد معتمد",IF(AND($U50&lt;&gt;"",$U50=$T50),"المُعِد والمعتمد نفس الشخص (فصل المهام)",IF(AND($S50=ST_POST,$V50=""),"اسم المحاسب المرحِّل ناقص",IF(AND($S50=ST_POST,$V50&lt;&gt;"",OR($V50=$T50,$V50=$U50)),"المرحِّل يجب أن يختلف عن المُعِد والمعتمد",IF(AND($S50=ST_REV,$X50=""),"مرجع التصحيح/الإلغاء ناقص",IF(AND(ISNUMBER($B50),OR($S50=ST_DRAFT,$S50=ST_APPR),COUNTIFS(Period_Close!$A:$A,YEAR($B50)*100+MONTH($B50),Period_Close!$B:$B,"مقفلة")&gt;0),"الفترة مقفلة: لا يسمح بمستند جديد",IF(NOT(COUNTIF(Locations!$A:$A,$C50)&gt;0),"الفرع غير معرف",IF(IFERROR(INDEX(Locations!$C:$C,MATCH($C50,Locations!$A:$A,0)),"")&lt;&gt;"فرع","الموقع المختار ليس فرع بيع",IF(AND($S50&lt;&gt;ST_REV,$S50&lt;&gt;ST_CANC,COUNTIFS($B$4:$B49,$B50,$C$4:$C49,$C50,$S$4:$S49,"&lt;&gt;"&amp;ST_REV,$S$4:$S49,"&lt;&gt;"&amp;ST_CANC)&gt;0),"تقرير مبيعات مكرر لنفس الفرع واليوم",IF(MIN($E50,$F50,$G50,$H50,$I50,$J50,$L50,$M50,$N50,$O50,$P50,$Q50)&lt;0,"توجد مبالغ سالبة (استخدم مستند عكسي)",IF($Z50&lt;=0,"إجمالي المبيعات صفر",IF($AA50&lt;0,"الخصومات والمرتجعات أكبر من المبيعات",IF(AND(N($Q50)&gt;0,$R50=""),"كود وسيلة الدفع الأخرى ناقص",IF(ABS($AC50)&gt;S_Tol,"مجموع وسائل الدفع لا يساوي صافي المبيعات",IF(OR(AND(N($L50)&gt;0,COUNTIFS(COA!$A:$A,$AK50,COA!$R:$R,1)&lt;&gt;1),AND(N($M50)&gt;0,COUNTIFS(COA!$A:$A,$AL50,COA!$R:$R,1)&lt;&gt;1),AND(N($N50)&gt;0,COUNTIFS(COA!$A:$A,$AM50,COA!$R:$R,1)&lt;&gt;1),AND(N($O50)&gt;0,COUNTIFS(COA!$A:$A,$AN50,COA!$R:$R,1)&lt;&gt;1),AND(N($P50)&gt;0,COUNTIFS(COA!$A:$A,$AO50,COA!$R:$R,1)&lt;&gt;1),AND(N($Q50)&gt;0,COUNTIFS(COA!$A:$A,$AP50,COA!$R:$R,1)&lt;&gt;1),AND(N($E50)&gt;0,COUNTIFS(COA!$A:$A,$AQ50,COA!$R:$R,1)&lt;&gt;1),AND(N($F50)&gt;0,COUNTIFS(COA!$A:$A,$AR50,COA!$R:$R,1)&lt;&gt;1),AND(N($G50)&gt;0,COUNTIFS(COA!$A:$A,$AS50,COA!$R:$R,1)&lt;&gt;1),AND(N($H50)&gt;0,COUNTIFS(COA!$A:$A,$AT50,COA!$R:$R,1)&lt;&gt;1)),"حساب تسوية أو إيراد غير صالح",IF($AJ50&lt;-S_Tol,"الضريبة المحسوبة سالبة","")))))))))))))))))))))))</f>
        <v/>
      </c>
      <c r="AX50" s="32">
        <f>IF($AV50=1,IF($AW50&lt;&gt;"",1,0),0)</f>
        <v/>
      </c>
      <c r="AY50" s="32">
        <f>IF(AND($AV50=1,$AX50=0,$S50=ST_POST),1,0)</f>
        <v/>
      </c>
    </row>
    <row r="51">
      <c r="A51" s="29" t="n"/>
      <c r="B51" s="31" t="n"/>
      <c r="C51" s="39" t="n"/>
      <c r="D51" s="29" t="n"/>
      <c r="E51" s="42" t="n"/>
      <c r="F51" s="42" t="n"/>
      <c r="G51" s="42" t="n"/>
      <c r="H51" s="42" t="n"/>
      <c r="I51" s="42" t="n"/>
      <c r="J51" s="42" t="n"/>
      <c r="K51" s="42" t="n"/>
      <c r="L51" s="42" t="n"/>
      <c r="M51" s="42" t="n"/>
      <c r="N51" s="42" t="n"/>
      <c r="O51" s="42" t="n"/>
      <c r="P51" s="42" t="n"/>
      <c r="Q51" s="42" t="n"/>
      <c r="R51" s="39" t="n"/>
      <c r="S51" s="39" t="n"/>
      <c r="T51" s="29" t="n"/>
      <c r="U51" s="29" t="n"/>
      <c r="V51" s="29" t="n"/>
      <c r="W51" s="29" t="n"/>
      <c r="X51" s="29" t="n"/>
      <c r="Y51" s="29" t="n"/>
      <c r="Z51" s="43">
        <f>IF($AV51=1,$E51+$F51+$G51+$H51,"")</f>
        <v/>
      </c>
      <c r="AA51" s="43">
        <f>IF($AV51=1,$Z51-$I51-$J51,"")</f>
        <v/>
      </c>
      <c r="AB51" s="43">
        <f>IF($AV51=1,$L51+$M51+$N51+$O51+$P51+$Q51,"")</f>
        <v/>
      </c>
      <c r="AC51" s="47">
        <f>IF($AV51=1,ROUND($AA51-$AB51,2),"")</f>
        <v/>
      </c>
      <c r="AD51" s="43">
        <f>IF($AV51=1,ROUND($E51/S_VATF,2),"")</f>
        <v/>
      </c>
      <c r="AE51" s="43">
        <f>IF($AV51=1,ROUND($F51/S_VATF,2),"")</f>
        <v/>
      </c>
      <c r="AF51" s="43">
        <f>IF($AV51=1,ROUND($G51/S_VATF,2),"")</f>
        <v/>
      </c>
      <c r="AG51" s="43">
        <f>IF($AV51=1,ROUND($H51/S_VATF,2),"")</f>
        <v/>
      </c>
      <c r="AH51" s="43">
        <f>IF($AV51=1,ROUND($I51/S_VATF,2),"")</f>
        <v/>
      </c>
      <c r="AI51" s="43">
        <f>IF($AV51=1,ROUND($J51/S_VATF,2),"")</f>
        <v/>
      </c>
      <c r="AJ51" s="43">
        <f>IF($AV51=1,ROUND($AA51+$AH51+$AI51-$AD51-$AE51-$AF51-$AG51,2),"")</f>
        <v/>
      </c>
      <c r="AK51" s="32">
        <f>IF(AND($AV51=1,N($L51)&gt;0),IFERROR(IF(IFERROR(INDEX(Payment_Methods!$C:$C,MATCH("CASH",Payment_Methods!$A:$A,0)),"")="نقدي",INDEX(Treasuries!$E:$E,MATCH(INDEX(Locations!$G:$G,MATCH($C51,Locations!$A:$A,0)),Treasuries!$A:$A,0)),INDEX(Payment_Methods!$D:$D,MATCH("CASH",Payment_Methods!$A:$A,0))),"؟"),"")</f>
        <v/>
      </c>
      <c r="AL51" s="32">
        <f>IF(AND($AV51=1,N($M51)&gt;0),IFERROR(IF(IFERROR(INDEX(Payment_Methods!$C:$C,MATCH("CARD",Payment_Methods!$A:$A,0)),"")="نقدي",INDEX(Treasuries!$E:$E,MATCH(INDEX(Locations!$G:$G,MATCH($C51,Locations!$A:$A,0)),Treasuries!$A:$A,0)),INDEX(Payment_Methods!$D:$D,MATCH("CARD",Payment_Methods!$A:$A,0))),"؟"),"")</f>
        <v/>
      </c>
      <c r="AM51" s="32">
        <f>IF(AND($AV51=1,N($N51)&gt;0),IFERROR(IF(IFERROR(INDEX(Payment_Methods!$C:$C,MATCH("TLB",Payment_Methods!$A:$A,0)),"")="نقدي",INDEX(Treasuries!$E:$E,MATCH(INDEX(Locations!$G:$G,MATCH($C51,Locations!$A:$A,0)),Treasuries!$A:$A,0)),INDEX(Payment_Methods!$D:$D,MATCH("TLB",Payment_Methods!$A:$A,0))),"؟"),"")</f>
        <v/>
      </c>
      <c r="AN51" s="32">
        <f>IF(AND($AV51=1,N($O51)&gt;0),IFERROR(IF(IFERROR(INDEX(Payment_Methods!$C:$C,MATCH("DLV2",Payment_Methods!$A:$A,0)),"")="نقدي",INDEX(Treasuries!$E:$E,MATCH(INDEX(Locations!$G:$G,MATCH($C51,Locations!$A:$A,0)),Treasuries!$A:$A,0)),INDEX(Payment_Methods!$D:$D,MATCH("DLV2",Payment_Methods!$A:$A,0))),"؟"),"")</f>
        <v/>
      </c>
      <c r="AO51" s="32">
        <f>IF(AND($AV51=1,N($P51)&gt;0),IFERROR(IF(IFERROR(INDEX(Payment_Methods!$C:$C,MATCH("INSTA",Payment_Methods!$A:$A,0)),"")="نقدي",INDEX(Treasuries!$E:$E,MATCH(INDEX(Locations!$G:$G,MATCH($C51,Locations!$A:$A,0)),Treasuries!$A:$A,0)),INDEX(Payment_Methods!$D:$D,MATCH("INSTA",Payment_Methods!$A:$A,0))),"؟"),"")</f>
        <v/>
      </c>
      <c r="AP51" s="32">
        <f>IF(AND($AV51=1,N($Q51)&gt;0),IFERROR(IF(IFERROR(INDEX(Payment_Methods!$C:$C,MATCH($R51,Payment_Methods!$A:$A,0)),"")="نقدي",INDEX(Treasuries!$E:$E,MATCH(INDEX(Locations!$G:$G,MATCH($C51,Locations!$A:$A,0)),Treasuries!$A:$A,0)),INDEX(Payment_Methods!$D:$D,MATCH($R51,Payment_Methods!$A:$A,0))),"؟"),"")</f>
        <v/>
      </c>
      <c r="AQ51" s="32">
        <f>INDEX(Lists!$U$5:$U$8,1)</f>
        <v/>
      </c>
      <c r="AR51" s="32">
        <f>INDEX(Lists!$U$5:$U$8,2)</f>
        <v/>
      </c>
      <c r="AS51" s="32">
        <f>INDEX(Lists!$U$5:$U$8,3)</f>
        <v/>
      </c>
      <c r="AT51" s="32">
        <f>INDEX(Lists!$U$5:$U$8,4)</f>
        <v/>
      </c>
      <c r="AU51" s="44">
        <f>IF($AV51=1,IF(COUNTIFS(Daily_Recon!$A:$A,$B51,Daily_Recon!$B:$B,$C51)&gt;0,"نعم","لا"),"")</f>
        <v/>
      </c>
      <c r="AV51" s="32">
        <f>IF(COUNTA($A51:$Y51)&gt;0,1,0)</f>
        <v/>
      </c>
      <c r="AW51" s="32">
        <f>IF($AV51=0,"",IF($A51="","رقم المستند ناقص",IF(COUNTIF(Doc_Register!$A:$A,$A51)&gt;1,"رقم مستند مكرر في السجل المركزي",IF(LEFT($A51,LEN("SAL")+1)&lt;&gt;"SAL"&amp;"-","بادئة الرقم لا تطابق نوع المستند",IF(NOT(ISNUMBER($B51)),"التاريخ ناقص أو غير صحيح",IF($S51="","حالة المستند ناقصة",IF($T51="","اسم المُعِد ناقص",IF(AND(OR($S51=ST_APPR,$S51=ST_POST),$U51=""),"لا يوجد معتمد",IF(AND($U51&lt;&gt;"",$U51=$T51),"المُعِد والمعتمد نفس الشخص (فصل المهام)",IF(AND($S51=ST_POST,$V51=""),"اسم المحاسب المرحِّل ناقص",IF(AND($S51=ST_POST,$V51&lt;&gt;"",OR($V51=$T51,$V51=$U51)),"المرحِّل يجب أن يختلف عن المُعِد والمعتمد",IF(AND($S51=ST_REV,$X51=""),"مرجع التصحيح/الإلغاء ناقص",IF(AND(ISNUMBER($B51),OR($S51=ST_DRAFT,$S51=ST_APPR),COUNTIFS(Period_Close!$A:$A,YEAR($B51)*100+MONTH($B51),Period_Close!$B:$B,"مقفلة")&gt;0),"الفترة مقفلة: لا يسمح بمستند جديد",IF(NOT(COUNTIF(Locations!$A:$A,$C51)&gt;0),"الفرع غير معرف",IF(IFERROR(INDEX(Locations!$C:$C,MATCH($C51,Locations!$A:$A,0)),"")&lt;&gt;"فرع","الموقع المختار ليس فرع بيع",IF(AND($S51&lt;&gt;ST_REV,$S51&lt;&gt;ST_CANC,COUNTIFS($B$4:$B50,$B51,$C$4:$C50,$C51,$S$4:$S50,"&lt;&gt;"&amp;ST_REV,$S$4:$S50,"&lt;&gt;"&amp;ST_CANC)&gt;0),"تقرير مبيعات مكرر لنفس الفرع واليوم",IF(MIN($E51,$F51,$G51,$H51,$I51,$J51,$L51,$M51,$N51,$O51,$P51,$Q51)&lt;0,"توجد مبالغ سالبة (استخدم مستند عكسي)",IF($Z51&lt;=0,"إجمالي المبيعات صفر",IF($AA51&lt;0,"الخصومات والمرتجعات أكبر من المبيعات",IF(AND(N($Q51)&gt;0,$R51=""),"كود وسيلة الدفع الأخرى ناقص",IF(ABS($AC51)&gt;S_Tol,"مجموع وسائل الدفع لا يساوي صافي المبيعات",IF(OR(AND(N($L51)&gt;0,COUNTIFS(COA!$A:$A,$AK51,COA!$R:$R,1)&lt;&gt;1),AND(N($M51)&gt;0,COUNTIFS(COA!$A:$A,$AL51,COA!$R:$R,1)&lt;&gt;1),AND(N($N51)&gt;0,COUNTIFS(COA!$A:$A,$AM51,COA!$R:$R,1)&lt;&gt;1),AND(N($O51)&gt;0,COUNTIFS(COA!$A:$A,$AN51,COA!$R:$R,1)&lt;&gt;1),AND(N($P51)&gt;0,COUNTIFS(COA!$A:$A,$AO51,COA!$R:$R,1)&lt;&gt;1),AND(N($Q51)&gt;0,COUNTIFS(COA!$A:$A,$AP51,COA!$R:$R,1)&lt;&gt;1),AND(N($E51)&gt;0,COUNTIFS(COA!$A:$A,$AQ51,COA!$R:$R,1)&lt;&gt;1),AND(N($F51)&gt;0,COUNTIFS(COA!$A:$A,$AR51,COA!$R:$R,1)&lt;&gt;1),AND(N($G51)&gt;0,COUNTIFS(COA!$A:$A,$AS51,COA!$R:$R,1)&lt;&gt;1),AND(N($H51)&gt;0,COUNTIFS(COA!$A:$A,$AT51,COA!$R:$R,1)&lt;&gt;1)),"حساب تسوية أو إيراد غير صالح",IF($AJ51&lt;-S_Tol,"الضريبة المحسوبة سالبة","")))))))))))))))))))))))</f>
        <v/>
      </c>
      <c r="AX51" s="32">
        <f>IF($AV51=1,IF($AW51&lt;&gt;"",1,0),0)</f>
        <v/>
      </c>
      <c r="AY51" s="32">
        <f>IF(AND($AV51=1,$AX51=0,$S51=ST_POST),1,0)</f>
        <v/>
      </c>
    </row>
    <row r="52">
      <c r="A52" s="29" t="n"/>
      <c r="B52" s="31" t="n"/>
      <c r="C52" s="39" t="n"/>
      <c r="D52" s="29" t="n"/>
      <c r="E52" s="42" t="n"/>
      <c r="F52" s="42" t="n"/>
      <c r="G52" s="42" t="n"/>
      <c r="H52" s="42" t="n"/>
      <c r="I52" s="42" t="n"/>
      <c r="J52" s="42" t="n"/>
      <c r="K52" s="42" t="n"/>
      <c r="L52" s="42" t="n"/>
      <c r="M52" s="42" t="n"/>
      <c r="N52" s="42" t="n"/>
      <c r="O52" s="42" t="n"/>
      <c r="P52" s="42" t="n"/>
      <c r="Q52" s="42" t="n"/>
      <c r="R52" s="39" t="n"/>
      <c r="S52" s="39" t="n"/>
      <c r="T52" s="29" t="n"/>
      <c r="U52" s="29" t="n"/>
      <c r="V52" s="29" t="n"/>
      <c r="W52" s="29" t="n"/>
      <c r="X52" s="29" t="n"/>
      <c r="Y52" s="29" t="n"/>
      <c r="Z52" s="43">
        <f>IF($AV52=1,$E52+$F52+$G52+$H52,"")</f>
        <v/>
      </c>
      <c r="AA52" s="43">
        <f>IF($AV52=1,$Z52-$I52-$J52,"")</f>
        <v/>
      </c>
      <c r="AB52" s="43">
        <f>IF($AV52=1,$L52+$M52+$N52+$O52+$P52+$Q52,"")</f>
        <v/>
      </c>
      <c r="AC52" s="47">
        <f>IF($AV52=1,ROUND($AA52-$AB52,2),"")</f>
        <v/>
      </c>
      <c r="AD52" s="43">
        <f>IF($AV52=1,ROUND($E52/S_VATF,2),"")</f>
        <v/>
      </c>
      <c r="AE52" s="43">
        <f>IF($AV52=1,ROUND($F52/S_VATF,2),"")</f>
        <v/>
      </c>
      <c r="AF52" s="43">
        <f>IF($AV52=1,ROUND($G52/S_VATF,2),"")</f>
        <v/>
      </c>
      <c r="AG52" s="43">
        <f>IF($AV52=1,ROUND($H52/S_VATF,2),"")</f>
        <v/>
      </c>
      <c r="AH52" s="43">
        <f>IF($AV52=1,ROUND($I52/S_VATF,2),"")</f>
        <v/>
      </c>
      <c r="AI52" s="43">
        <f>IF($AV52=1,ROUND($J52/S_VATF,2),"")</f>
        <v/>
      </c>
      <c r="AJ52" s="43">
        <f>IF($AV52=1,ROUND($AA52+$AH52+$AI52-$AD52-$AE52-$AF52-$AG52,2),"")</f>
        <v/>
      </c>
      <c r="AK52" s="32">
        <f>IF(AND($AV52=1,N($L52)&gt;0),IFERROR(IF(IFERROR(INDEX(Payment_Methods!$C:$C,MATCH("CASH",Payment_Methods!$A:$A,0)),"")="نقدي",INDEX(Treasuries!$E:$E,MATCH(INDEX(Locations!$G:$G,MATCH($C52,Locations!$A:$A,0)),Treasuries!$A:$A,0)),INDEX(Payment_Methods!$D:$D,MATCH("CASH",Payment_Methods!$A:$A,0))),"؟"),"")</f>
        <v/>
      </c>
      <c r="AL52" s="32">
        <f>IF(AND($AV52=1,N($M52)&gt;0),IFERROR(IF(IFERROR(INDEX(Payment_Methods!$C:$C,MATCH("CARD",Payment_Methods!$A:$A,0)),"")="نقدي",INDEX(Treasuries!$E:$E,MATCH(INDEX(Locations!$G:$G,MATCH($C52,Locations!$A:$A,0)),Treasuries!$A:$A,0)),INDEX(Payment_Methods!$D:$D,MATCH("CARD",Payment_Methods!$A:$A,0))),"؟"),"")</f>
        <v/>
      </c>
      <c r="AM52" s="32">
        <f>IF(AND($AV52=1,N($N52)&gt;0),IFERROR(IF(IFERROR(INDEX(Payment_Methods!$C:$C,MATCH("TLB",Payment_Methods!$A:$A,0)),"")="نقدي",INDEX(Treasuries!$E:$E,MATCH(INDEX(Locations!$G:$G,MATCH($C52,Locations!$A:$A,0)),Treasuries!$A:$A,0)),INDEX(Payment_Methods!$D:$D,MATCH("TLB",Payment_Methods!$A:$A,0))),"؟"),"")</f>
        <v/>
      </c>
      <c r="AN52" s="32">
        <f>IF(AND($AV52=1,N($O52)&gt;0),IFERROR(IF(IFERROR(INDEX(Payment_Methods!$C:$C,MATCH("DLV2",Payment_Methods!$A:$A,0)),"")="نقدي",INDEX(Treasuries!$E:$E,MATCH(INDEX(Locations!$G:$G,MATCH($C52,Locations!$A:$A,0)),Treasuries!$A:$A,0)),INDEX(Payment_Methods!$D:$D,MATCH("DLV2",Payment_Methods!$A:$A,0))),"؟"),"")</f>
        <v/>
      </c>
      <c r="AO52" s="32">
        <f>IF(AND($AV52=1,N($P52)&gt;0),IFERROR(IF(IFERROR(INDEX(Payment_Methods!$C:$C,MATCH("INSTA",Payment_Methods!$A:$A,0)),"")="نقدي",INDEX(Treasuries!$E:$E,MATCH(INDEX(Locations!$G:$G,MATCH($C52,Locations!$A:$A,0)),Treasuries!$A:$A,0)),INDEX(Payment_Methods!$D:$D,MATCH("INSTA",Payment_Methods!$A:$A,0))),"؟"),"")</f>
        <v/>
      </c>
      <c r="AP52" s="32">
        <f>IF(AND($AV52=1,N($Q52)&gt;0),IFERROR(IF(IFERROR(INDEX(Payment_Methods!$C:$C,MATCH($R52,Payment_Methods!$A:$A,0)),"")="نقدي",INDEX(Treasuries!$E:$E,MATCH(INDEX(Locations!$G:$G,MATCH($C52,Locations!$A:$A,0)),Treasuries!$A:$A,0)),INDEX(Payment_Methods!$D:$D,MATCH($R52,Payment_Methods!$A:$A,0))),"؟"),"")</f>
        <v/>
      </c>
      <c r="AQ52" s="32">
        <f>INDEX(Lists!$U$5:$U$8,1)</f>
        <v/>
      </c>
      <c r="AR52" s="32">
        <f>INDEX(Lists!$U$5:$U$8,2)</f>
        <v/>
      </c>
      <c r="AS52" s="32">
        <f>INDEX(Lists!$U$5:$U$8,3)</f>
        <v/>
      </c>
      <c r="AT52" s="32">
        <f>INDEX(Lists!$U$5:$U$8,4)</f>
        <v/>
      </c>
      <c r="AU52" s="44">
        <f>IF($AV52=1,IF(COUNTIFS(Daily_Recon!$A:$A,$B52,Daily_Recon!$B:$B,$C52)&gt;0,"نعم","لا"),"")</f>
        <v/>
      </c>
      <c r="AV52" s="32">
        <f>IF(COUNTA($A52:$Y52)&gt;0,1,0)</f>
        <v/>
      </c>
      <c r="AW52" s="32">
        <f>IF($AV52=0,"",IF($A52="","رقم المستند ناقص",IF(COUNTIF(Doc_Register!$A:$A,$A52)&gt;1,"رقم مستند مكرر في السجل المركزي",IF(LEFT($A52,LEN("SAL")+1)&lt;&gt;"SAL"&amp;"-","بادئة الرقم لا تطابق نوع المستند",IF(NOT(ISNUMBER($B52)),"التاريخ ناقص أو غير صحيح",IF($S52="","حالة المستند ناقصة",IF($T52="","اسم المُعِد ناقص",IF(AND(OR($S52=ST_APPR,$S52=ST_POST),$U52=""),"لا يوجد معتمد",IF(AND($U52&lt;&gt;"",$U52=$T52),"المُعِد والمعتمد نفس الشخص (فصل المهام)",IF(AND($S52=ST_POST,$V52=""),"اسم المحاسب المرحِّل ناقص",IF(AND($S52=ST_POST,$V52&lt;&gt;"",OR($V52=$T52,$V52=$U52)),"المرحِّل يجب أن يختلف عن المُعِد والمعتمد",IF(AND($S52=ST_REV,$X52=""),"مرجع التصحيح/الإلغاء ناقص",IF(AND(ISNUMBER($B52),OR($S52=ST_DRAFT,$S52=ST_APPR),COUNTIFS(Period_Close!$A:$A,YEAR($B52)*100+MONTH($B52),Period_Close!$B:$B,"مقفلة")&gt;0),"الفترة مقفلة: لا يسمح بمستند جديد",IF(NOT(COUNTIF(Locations!$A:$A,$C52)&gt;0),"الفرع غير معرف",IF(IFERROR(INDEX(Locations!$C:$C,MATCH($C52,Locations!$A:$A,0)),"")&lt;&gt;"فرع","الموقع المختار ليس فرع بيع",IF(AND($S52&lt;&gt;ST_REV,$S52&lt;&gt;ST_CANC,COUNTIFS($B$4:$B51,$B52,$C$4:$C51,$C52,$S$4:$S51,"&lt;&gt;"&amp;ST_REV,$S$4:$S51,"&lt;&gt;"&amp;ST_CANC)&gt;0),"تقرير مبيعات مكرر لنفس الفرع واليوم",IF(MIN($E52,$F52,$G52,$H52,$I52,$J52,$L52,$M52,$N52,$O52,$P52,$Q52)&lt;0,"توجد مبالغ سالبة (استخدم مستند عكسي)",IF($Z52&lt;=0,"إجمالي المبيعات صفر",IF($AA52&lt;0,"الخصومات والمرتجعات أكبر من المبيعات",IF(AND(N($Q52)&gt;0,$R52=""),"كود وسيلة الدفع الأخرى ناقص",IF(ABS($AC52)&gt;S_Tol,"مجموع وسائل الدفع لا يساوي صافي المبيعات",IF(OR(AND(N($L52)&gt;0,COUNTIFS(COA!$A:$A,$AK52,COA!$R:$R,1)&lt;&gt;1),AND(N($M52)&gt;0,COUNTIFS(COA!$A:$A,$AL52,COA!$R:$R,1)&lt;&gt;1),AND(N($N52)&gt;0,COUNTIFS(COA!$A:$A,$AM52,COA!$R:$R,1)&lt;&gt;1),AND(N($O52)&gt;0,COUNTIFS(COA!$A:$A,$AN52,COA!$R:$R,1)&lt;&gt;1),AND(N($P52)&gt;0,COUNTIFS(COA!$A:$A,$AO52,COA!$R:$R,1)&lt;&gt;1),AND(N($Q52)&gt;0,COUNTIFS(COA!$A:$A,$AP52,COA!$R:$R,1)&lt;&gt;1),AND(N($E52)&gt;0,COUNTIFS(COA!$A:$A,$AQ52,COA!$R:$R,1)&lt;&gt;1),AND(N($F52)&gt;0,COUNTIFS(COA!$A:$A,$AR52,COA!$R:$R,1)&lt;&gt;1),AND(N($G52)&gt;0,COUNTIFS(COA!$A:$A,$AS52,COA!$R:$R,1)&lt;&gt;1),AND(N($H52)&gt;0,COUNTIFS(COA!$A:$A,$AT52,COA!$R:$R,1)&lt;&gt;1)),"حساب تسوية أو إيراد غير صالح",IF($AJ52&lt;-S_Tol,"الضريبة المحسوبة سالبة","")))))))))))))))))))))))</f>
        <v/>
      </c>
      <c r="AX52" s="32">
        <f>IF($AV52=1,IF($AW52&lt;&gt;"",1,0),0)</f>
        <v/>
      </c>
      <c r="AY52" s="32">
        <f>IF(AND($AV52=1,$AX52=0,$S52=ST_POST),1,0)</f>
        <v/>
      </c>
    </row>
    <row r="53">
      <c r="A53" s="29" t="n"/>
      <c r="B53" s="31" t="n"/>
      <c r="C53" s="39" t="n"/>
      <c r="D53" s="29" t="n"/>
      <c r="E53" s="42" t="n"/>
      <c r="F53" s="42" t="n"/>
      <c r="G53" s="42" t="n"/>
      <c r="H53" s="42" t="n"/>
      <c r="I53" s="42" t="n"/>
      <c r="J53" s="42" t="n"/>
      <c r="K53" s="42" t="n"/>
      <c r="L53" s="42" t="n"/>
      <c r="M53" s="42" t="n"/>
      <c r="N53" s="42" t="n"/>
      <c r="O53" s="42" t="n"/>
      <c r="P53" s="42" t="n"/>
      <c r="Q53" s="42" t="n"/>
      <c r="R53" s="39" t="n"/>
      <c r="S53" s="39" t="n"/>
      <c r="T53" s="29" t="n"/>
      <c r="U53" s="29" t="n"/>
      <c r="V53" s="29" t="n"/>
      <c r="W53" s="29" t="n"/>
      <c r="X53" s="29" t="n"/>
      <c r="Y53" s="29" t="n"/>
      <c r="Z53" s="43">
        <f>IF($AV53=1,$E53+$F53+$G53+$H53,"")</f>
        <v/>
      </c>
      <c r="AA53" s="43">
        <f>IF($AV53=1,$Z53-$I53-$J53,"")</f>
        <v/>
      </c>
      <c r="AB53" s="43">
        <f>IF($AV53=1,$L53+$M53+$N53+$O53+$P53+$Q53,"")</f>
        <v/>
      </c>
      <c r="AC53" s="47">
        <f>IF($AV53=1,ROUND($AA53-$AB53,2),"")</f>
        <v/>
      </c>
      <c r="AD53" s="43">
        <f>IF($AV53=1,ROUND($E53/S_VATF,2),"")</f>
        <v/>
      </c>
      <c r="AE53" s="43">
        <f>IF($AV53=1,ROUND($F53/S_VATF,2),"")</f>
        <v/>
      </c>
      <c r="AF53" s="43">
        <f>IF($AV53=1,ROUND($G53/S_VATF,2),"")</f>
        <v/>
      </c>
      <c r="AG53" s="43">
        <f>IF($AV53=1,ROUND($H53/S_VATF,2),"")</f>
        <v/>
      </c>
      <c r="AH53" s="43">
        <f>IF($AV53=1,ROUND($I53/S_VATF,2),"")</f>
        <v/>
      </c>
      <c r="AI53" s="43">
        <f>IF($AV53=1,ROUND($J53/S_VATF,2),"")</f>
        <v/>
      </c>
      <c r="AJ53" s="43">
        <f>IF($AV53=1,ROUND($AA53+$AH53+$AI53-$AD53-$AE53-$AF53-$AG53,2),"")</f>
        <v/>
      </c>
      <c r="AK53" s="32">
        <f>IF(AND($AV53=1,N($L53)&gt;0),IFERROR(IF(IFERROR(INDEX(Payment_Methods!$C:$C,MATCH("CASH",Payment_Methods!$A:$A,0)),"")="نقدي",INDEX(Treasuries!$E:$E,MATCH(INDEX(Locations!$G:$G,MATCH($C53,Locations!$A:$A,0)),Treasuries!$A:$A,0)),INDEX(Payment_Methods!$D:$D,MATCH("CASH",Payment_Methods!$A:$A,0))),"؟"),"")</f>
        <v/>
      </c>
      <c r="AL53" s="32">
        <f>IF(AND($AV53=1,N($M53)&gt;0),IFERROR(IF(IFERROR(INDEX(Payment_Methods!$C:$C,MATCH("CARD",Payment_Methods!$A:$A,0)),"")="نقدي",INDEX(Treasuries!$E:$E,MATCH(INDEX(Locations!$G:$G,MATCH($C53,Locations!$A:$A,0)),Treasuries!$A:$A,0)),INDEX(Payment_Methods!$D:$D,MATCH("CARD",Payment_Methods!$A:$A,0))),"؟"),"")</f>
        <v/>
      </c>
      <c r="AM53" s="32">
        <f>IF(AND($AV53=1,N($N53)&gt;0),IFERROR(IF(IFERROR(INDEX(Payment_Methods!$C:$C,MATCH("TLB",Payment_Methods!$A:$A,0)),"")="نقدي",INDEX(Treasuries!$E:$E,MATCH(INDEX(Locations!$G:$G,MATCH($C53,Locations!$A:$A,0)),Treasuries!$A:$A,0)),INDEX(Payment_Methods!$D:$D,MATCH("TLB",Payment_Methods!$A:$A,0))),"؟"),"")</f>
        <v/>
      </c>
      <c r="AN53" s="32">
        <f>IF(AND($AV53=1,N($O53)&gt;0),IFERROR(IF(IFERROR(INDEX(Payment_Methods!$C:$C,MATCH("DLV2",Payment_Methods!$A:$A,0)),"")="نقدي",INDEX(Treasuries!$E:$E,MATCH(INDEX(Locations!$G:$G,MATCH($C53,Locations!$A:$A,0)),Treasuries!$A:$A,0)),INDEX(Payment_Methods!$D:$D,MATCH("DLV2",Payment_Methods!$A:$A,0))),"؟"),"")</f>
        <v/>
      </c>
      <c r="AO53" s="32">
        <f>IF(AND($AV53=1,N($P53)&gt;0),IFERROR(IF(IFERROR(INDEX(Payment_Methods!$C:$C,MATCH("INSTA",Payment_Methods!$A:$A,0)),"")="نقدي",INDEX(Treasuries!$E:$E,MATCH(INDEX(Locations!$G:$G,MATCH($C53,Locations!$A:$A,0)),Treasuries!$A:$A,0)),INDEX(Payment_Methods!$D:$D,MATCH("INSTA",Payment_Methods!$A:$A,0))),"؟"),"")</f>
        <v/>
      </c>
      <c r="AP53" s="32">
        <f>IF(AND($AV53=1,N($Q53)&gt;0),IFERROR(IF(IFERROR(INDEX(Payment_Methods!$C:$C,MATCH($R53,Payment_Methods!$A:$A,0)),"")="نقدي",INDEX(Treasuries!$E:$E,MATCH(INDEX(Locations!$G:$G,MATCH($C53,Locations!$A:$A,0)),Treasuries!$A:$A,0)),INDEX(Payment_Methods!$D:$D,MATCH($R53,Payment_Methods!$A:$A,0))),"؟"),"")</f>
        <v/>
      </c>
      <c r="AQ53" s="32">
        <f>INDEX(Lists!$U$5:$U$8,1)</f>
        <v/>
      </c>
      <c r="AR53" s="32">
        <f>INDEX(Lists!$U$5:$U$8,2)</f>
        <v/>
      </c>
      <c r="AS53" s="32">
        <f>INDEX(Lists!$U$5:$U$8,3)</f>
        <v/>
      </c>
      <c r="AT53" s="32">
        <f>INDEX(Lists!$U$5:$U$8,4)</f>
        <v/>
      </c>
      <c r="AU53" s="44">
        <f>IF($AV53=1,IF(COUNTIFS(Daily_Recon!$A:$A,$B53,Daily_Recon!$B:$B,$C53)&gt;0,"نعم","لا"),"")</f>
        <v/>
      </c>
      <c r="AV53" s="32">
        <f>IF(COUNTA($A53:$Y53)&gt;0,1,0)</f>
        <v/>
      </c>
      <c r="AW53" s="32">
        <f>IF($AV53=0,"",IF($A53="","رقم المستند ناقص",IF(COUNTIF(Doc_Register!$A:$A,$A53)&gt;1,"رقم مستند مكرر في السجل المركزي",IF(LEFT($A53,LEN("SAL")+1)&lt;&gt;"SAL"&amp;"-","بادئة الرقم لا تطابق نوع المستند",IF(NOT(ISNUMBER($B53)),"التاريخ ناقص أو غير صحيح",IF($S53="","حالة المستند ناقصة",IF($T53="","اسم المُعِد ناقص",IF(AND(OR($S53=ST_APPR,$S53=ST_POST),$U53=""),"لا يوجد معتمد",IF(AND($U53&lt;&gt;"",$U53=$T53),"المُعِد والمعتمد نفس الشخص (فصل المهام)",IF(AND($S53=ST_POST,$V53=""),"اسم المحاسب المرحِّل ناقص",IF(AND($S53=ST_POST,$V53&lt;&gt;"",OR($V53=$T53,$V53=$U53)),"المرحِّل يجب أن يختلف عن المُعِد والمعتمد",IF(AND($S53=ST_REV,$X53=""),"مرجع التصحيح/الإلغاء ناقص",IF(AND(ISNUMBER($B53),OR($S53=ST_DRAFT,$S53=ST_APPR),COUNTIFS(Period_Close!$A:$A,YEAR($B53)*100+MONTH($B53),Period_Close!$B:$B,"مقفلة")&gt;0),"الفترة مقفلة: لا يسمح بمستند جديد",IF(NOT(COUNTIF(Locations!$A:$A,$C53)&gt;0),"الفرع غير معرف",IF(IFERROR(INDEX(Locations!$C:$C,MATCH($C53,Locations!$A:$A,0)),"")&lt;&gt;"فرع","الموقع المختار ليس فرع بيع",IF(AND($S53&lt;&gt;ST_REV,$S53&lt;&gt;ST_CANC,COUNTIFS($B$4:$B52,$B53,$C$4:$C52,$C53,$S$4:$S52,"&lt;&gt;"&amp;ST_REV,$S$4:$S52,"&lt;&gt;"&amp;ST_CANC)&gt;0),"تقرير مبيعات مكرر لنفس الفرع واليوم",IF(MIN($E53,$F53,$G53,$H53,$I53,$J53,$L53,$M53,$N53,$O53,$P53,$Q53)&lt;0,"توجد مبالغ سالبة (استخدم مستند عكسي)",IF($Z53&lt;=0,"إجمالي المبيعات صفر",IF($AA53&lt;0,"الخصومات والمرتجعات أكبر من المبيعات",IF(AND(N($Q53)&gt;0,$R53=""),"كود وسيلة الدفع الأخرى ناقص",IF(ABS($AC53)&gt;S_Tol,"مجموع وسائل الدفع لا يساوي صافي المبيعات",IF(OR(AND(N($L53)&gt;0,COUNTIFS(COA!$A:$A,$AK53,COA!$R:$R,1)&lt;&gt;1),AND(N($M53)&gt;0,COUNTIFS(COA!$A:$A,$AL53,COA!$R:$R,1)&lt;&gt;1),AND(N($N53)&gt;0,COUNTIFS(COA!$A:$A,$AM53,COA!$R:$R,1)&lt;&gt;1),AND(N($O53)&gt;0,COUNTIFS(COA!$A:$A,$AN53,COA!$R:$R,1)&lt;&gt;1),AND(N($P53)&gt;0,COUNTIFS(COA!$A:$A,$AO53,COA!$R:$R,1)&lt;&gt;1),AND(N($Q53)&gt;0,COUNTIFS(COA!$A:$A,$AP53,COA!$R:$R,1)&lt;&gt;1),AND(N($E53)&gt;0,COUNTIFS(COA!$A:$A,$AQ53,COA!$R:$R,1)&lt;&gt;1),AND(N($F53)&gt;0,COUNTIFS(COA!$A:$A,$AR53,COA!$R:$R,1)&lt;&gt;1),AND(N($G53)&gt;0,COUNTIFS(COA!$A:$A,$AS53,COA!$R:$R,1)&lt;&gt;1),AND(N($H53)&gt;0,COUNTIFS(COA!$A:$A,$AT53,COA!$R:$R,1)&lt;&gt;1)),"حساب تسوية أو إيراد غير صالح",IF($AJ53&lt;-S_Tol,"الضريبة المحسوبة سالبة","")))))))))))))))))))))))</f>
        <v/>
      </c>
      <c r="AX53" s="32">
        <f>IF($AV53=1,IF($AW53&lt;&gt;"",1,0),0)</f>
        <v/>
      </c>
      <c r="AY53" s="32">
        <f>IF(AND($AV53=1,$AX53=0,$S53=ST_POST),1,0)</f>
        <v/>
      </c>
    </row>
    <row r="54">
      <c r="A54" s="29" t="n"/>
      <c r="B54" s="31" t="n"/>
      <c r="C54" s="39" t="n"/>
      <c r="D54" s="29" t="n"/>
      <c r="E54" s="42" t="n"/>
      <c r="F54" s="42" t="n"/>
      <c r="G54" s="42" t="n"/>
      <c r="H54" s="42" t="n"/>
      <c r="I54" s="42" t="n"/>
      <c r="J54" s="42" t="n"/>
      <c r="K54" s="42" t="n"/>
      <c r="L54" s="42" t="n"/>
      <c r="M54" s="42" t="n"/>
      <c r="N54" s="42" t="n"/>
      <c r="O54" s="42" t="n"/>
      <c r="P54" s="42" t="n"/>
      <c r="Q54" s="42" t="n"/>
      <c r="R54" s="39" t="n"/>
      <c r="S54" s="39" t="n"/>
      <c r="T54" s="29" t="n"/>
      <c r="U54" s="29" t="n"/>
      <c r="V54" s="29" t="n"/>
      <c r="W54" s="29" t="n"/>
      <c r="X54" s="29" t="n"/>
      <c r="Y54" s="29" t="n"/>
      <c r="Z54" s="43">
        <f>IF($AV54=1,$E54+$F54+$G54+$H54,"")</f>
        <v/>
      </c>
      <c r="AA54" s="43">
        <f>IF($AV54=1,$Z54-$I54-$J54,"")</f>
        <v/>
      </c>
      <c r="AB54" s="43">
        <f>IF($AV54=1,$L54+$M54+$N54+$O54+$P54+$Q54,"")</f>
        <v/>
      </c>
      <c r="AC54" s="47">
        <f>IF($AV54=1,ROUND($AA54-$AB54,2),"")</f>
        <v/>
      </c>
      <c r="AD54" s="43">
        <f>IF($AV54=1,ROUND($E54/S_VATF,2),"")</f>
        <v/>
      </c>
      <c r="AE54" s="43">
        <f>IF($AV54=1,ROUND($F54/S_VATF,2),"")</f>
        <v/>
      </c>
      <c r="AF54" s="43">
        <f>IF($AV54=1,ROUND($G54/S_VATF,2),"")</f>
        <v/>
      </c>
      <c r="AG54" s="43">
        <f>IF($AV54=1,ROUND($H54/S_VATF,2),"")</f>
        <v/>
      </c>
      <c r="AH54" s="43">
        <f>IF($AV54=1,ROUND($I54/S_VATF,2),"")</f>
        <v/>
      </c>
      <c r="AI54" s="43">
        <f>IF($AV54=1,ROUND($J54/S_VATF,2),"")</f>
        <v/>
      </c>
      <c r="AJ54" s="43">
        <f>IF($AV54=1,ROUND($AA54+$AH54+$AI54-$AD54-$AE54-$AF54-$AG54,2),"")</f>
        <v/>
      </c>
      <c r="AK54" s="32">
        <f>IF(AND($AV54=1,N($L54)&gt;0),IFERROR(IF(IFERROR(INDEX(Payment_Methods!$C:$C,MATCH("CASH",Payment_Methods!$A:$A,0)),"")="نقدي",INDEX(Treasuries!$E:$E,MATCH(INDEX(Locations!$G:$G,MATCH($C54,Locations!$A:$A,0)),Treasuries!$A:$A,0)),INDEX(Payment_Methods!$D:$D,MATCH("CASH",Payment_Methods!$A:$A,0))),"؟"),"")</f>
        <v/>
      </c>
      <c r="AL54" s="32">
        <f>IF(AND($AV54=1,N($M54)&gt;0),IFERROR(IF(IFERROR(INDEX(Payment_Methods!$C:$C,MATCH("CARD",Payment_Methods!$A:$A,0)),"")="نقدي",INDEX(Treasuries!$E:$E,MATCH(INDEX(Locations!$G:$G,MATCH($C54,Locations!$A:$A,0)),Treasuries!$A:$A,0)),INDEX(Payment_Methods!$D:$D,MATCH("CARD",Payment_Methods!$A:$A,0))),"؟"),"")</f>
        <v/>
      </c>
      <c r="AM54" s="32">
        <f>IF(AND($AV54=1,N($N54)&gt;0),IFERROR(IF(IFERROR(INDEX(Payment_Methods!$C:$C,MATCH("TLB",Payment_Methods!$A:$A,0)),"")="نقدي",INDEX(Treasuries!$E:$E,MATCH(INDEX(Locations!$G:$G,MATCH($C54,Locations!$A:$A,0)),Treasuries!$A:$A,0)),INDEX(Payment_Methods!$D:$D,MATCH("TLB",Payment_Methods!$A:$A,0))),"؟"),"")</f>
        <v/>
      </c>
      <c r="AN54" s="32">
        <f>IF(AND($AV54=1,N($O54)&gt;0),IFERROR(IF(IFERROR(INDEX(Payment_Methods!$C:$C,MATCH("DLV2",Payment_Methods!$A:$A,0)),"")="نقدي",INDEX(Treasuries!$E:$E,MATCH(INDEX(Locations!$G:$G,MATCH($C54,Locations!$A:$A,0)),Treasuries!$A:$A,0)),INDEX(Payment_Methods!$D:$D,MATCH("DLV2",Payment_Methods!$A:$A,0))),"؟"),"")</f>
        <v/>
      </c>
      <c r="AO54" s="32">
        <f>IF(AND($AV54=1,N($P54)&gt;0),IFERROR(IF(IFERROR(INDEX(Payment_Methods!$C:$C,MATCH("INSTA",Payment_Methods!$A:$A,0)),"")="نقدي",INDEX(Treasuries!$E:$E,MATCH(INDEX(Locations!$G:$G,MATCH($C54,Locations!$A:$A,0)),Treasuries!$A:$A,0)),INDEX(Payment_Methods!$D:$D,MATCH("INSTA",Payment_Methods!$A:$A,0))),"؟"),"")</f>
        <v/>
      </c>
      <c r="AP54" s="32">
        <f>IF(AND($AV54=1,N($Q54)&gt;0),IFERROR(IF(IFERROR(INDEX(Payment_Methods!$C:$C,MATCH($R54,Payment_Methods!$A:$A,0)),"")="نقدي",INDEX(Treasuries!$E:$E,MATCH(INDEX(Locations!$G:$G,MATCH($C54,Locations!$A:$A,0)),Treasuries!$A:$A,0)),INDEX(Payment_Methods!$D:$D,MATCH($R54,Payment_Methods!$A:$A,0))),"؟"),"")</f>
        <v/>
      </c>
      <c r="AQ54" s="32">
        <f>INDEX(Lists!$U$5:$U$8,1)</f>
        <v/>
      </c>
      <c r="AR54" s="32">
        <f>INDEX(Lists!$U$5:$U$8,2)</f>
        <v/>
      </c>
      <c r="AS54" s="32">
        <f>INDEX(Lists!$U$5:$U$8,3)</f>
        <v/>
      </c>
      <c r="AT54" s="32">
        <f>INDEX(Lists!$U$5:$U$8,4)</f>
        <v/>
      </c>
      <c r="AU54" s="44">
        <f>IF($AV54=1,IF(COUNTIFS(Daily_Recon!$A:$A,$B54,Daily_Recon!$B:$B,$C54)&gt;0,"نعم","لا"),"")</f>
        <v/>
      </c>
      <c r="AV54" s="32">
        <f>IF(COUNTA($A54:$Y54)&gt;0,1,0)</f>
        <v/>
      </c>
      <c r="AW54" s="32">
        <f>IF($AV54=0,"",IF($A54="","رقم المستند ناقص",IF(COUNTIF(Doc_Register!$A:$A,$A54)&gt;1,"رقم مستند مكرر في السجل المركزي",IF(LEFT($A54,LEN("SAL")+1)&lt;&gt;"SAL"&amp;"-","بادئة الرقم لا تطابق نوع المستند",IF(NOT(ISNUMBER($B54)),"التاريخ ناقص أو غير صحيح",IF($S54="","حالة المستند ناقصة",IF($T54="","اسم المُعِد ناقص",IF(AND(OR($S54=ST_APPR,$S54=ST_POST),$U54=""),"لا يوجد معتمد",IF(AND($U54&lt;&gt;"",$U54=$T54),"المُعِد والمعتمد نفس الشخص (فصل المهام)",IF(AND($S54=ST_POST,$V54=""),"اسم المحاسب المرحِّل ناقص",IF(AND($S54=ST_POST,$V54&lt;&gt;"",OR($V54=$T54,$V54=$U54)),"المرحِّل يجب أن يختلف عن المُعِد والمعتمد",IF(AND($S54=ST_REV,$X54=""),"مرجع التصحيح/الإلغاء ناقص",IF(AND(ISNUMBER($B54),OR($S54=ST_DRAFT,$S54=ST_APPR),COUNTIFS(Period_Close!$A:$A,YEAR($B54)*100+MONTH($B54),Period_Close!$B:$B,"مقفلة")&gt;0),"الفترة مقفلة: لا يسمح بمستند جديد",IF(NOT(COUNTIF(Locations!$A:$A,$C54)&gt;0),"الفرع غير معرف",IF(IFERROR(INDEX(Locations!$C:$C,MATCH($C54,Locations!$A:$A,0)),"")&lt;&gt;"فرع","الموقع المختار ليس فرع بيع",IF(AND($S54&lt;&gt;ST_REV,$S54&lt;&gt;ST_CANC,COUNTIFS($B$4:$B53,$B54,$C$4:$C53,$C54,$S$4:$S53,"&lt;&gt;"&amp;ST_REV,$S$4:$S53,"&lt;&gt;"&amp;ST_CANC)&gt;0),"تقرير مبيعات مكرر لنفس الفرع واليوم",IF(MIN($E54,$F54,$G54,$H54,$I54,$J54,$L54,$M54,$N54,$O54,$P54,$Q54)&lt;0,"توجد مبالغ سالبة (استخدم مستند عكسي)",IF($Z54&lt;=0,"إجمالي المبيعات صفر",IF($AA54&lt;0,"الخصومات والمرتجعات أكبر من المبيعات",IF(AND(N($Q54)&gt;0,$R54=""),"كود وسيلة الدفع الأخرى ناقص",IF(ABS($AC54)&gt;S_Tol,"مجموع وسائل الدفع لا يساوي صافي المبيعات",IF(OR(AND(N($L54)&gt;0,COUNTIFS(COA!$A:$A,$AK54,COA!$R:$R,1)&lt;&gt;1),AND(N($M54)&gt;0,COUNTIFS(COA!$A:$A,$AL54,COA!$R:$R,1)&lt;&gt;1),AND(N($N54)&gt;0,COUNTIFS(COA!$A:$A,$AM54,COA!$R:$R,1)&lt;&gt;1),AND(N($O54)&gt;0,COUNTIFS(COA!$A:$A,$AN54,COA!$R:$R,1)&lt;&gt;1),AND(N($P54)&gt;0,COUNTIFS(COA!$A:$A,$AO54,COA!$R:$R,1)&lt;&gt;1),AND(N($Q54)&gt;0,COUNTIFS(COA!$A:$A,$AP54,COA!$R:$R,1)&lt;&gt;1),AND(N($E54)&gt;0,COUNTIFS(COA!$A:$A,$AQ54,COA!$R:$R,1)&lt;&gt;1),AND(N($F54)&gt;0,COUNTIFS(COA!$A:$A,$AR54,COA!$R:$R,1)&lt;&gt;1),AND(N($G54)&gt;0,COUNTIFS(COA!$A:$A,$AS54,COA!$R:$R,1)&lt;&gt;1),AND(N($H54)&gt;0,COUNTIFS(COA!$A:$A,$AT54,COA!$R:$R,1)&lt;&gt;1)),"حساب تسوية أو إيراد غير صالح",IF($AJ54&lt;-S_Tol,"الضريبة المحسوبة سالبة","")))))))))))))))))))))))</f>
        <v/>
      </c>
      <c r="AX54" s="32">
        <f>IF($AV54=1,IF($AW54&lt;&gt;"",1,0),0)</f>
        <v/>
      </c>
      <c r="AY54" s="32">
        <f>IF(AND($AV54=1,$AX54=0,$S54=ST_POST),1,0)</f>
        <v/>
      </c>
    </row>
    <row r="55">
      <c r="A55" s="29" t="n"/>
      <c r="B55" s="31" t="n"/>
      <c r="C55" s="39" t="n"/>
      <c r="D55" s="29" t="n"/>
      <c r="E55" s="42" t="n"/>
      <c r="F55" s="42" t="n"/>
      <c r="G55" s="42" t="n"/>
      <c r="H55" s="42" t="n"/>
      <c r="I55" s="42" t="n"/>
      <c r="J55" s="42" t="n"/>
      <c r="K55" s="42" t="n"/>
      <c r="L55" s="42" t="n"/>
      <c r="M55" s="42" t="n"/>
      <c r="N55" s="42" t="n"/>
      <c r="O55" s="42" t="n"/>
      <c r="P55" s="42" t="n"/>
      <c r="Q55" s="42" t="n"/>
      <c r="R55" s="39" t="n"/>
      <c r="S55" s="39" t="n"/>
      <c r="T55" s="29" t="n"/>
      <c r="U55" s="29" t="n"/>
      <c r="V55" s="29" t="n"/>
      <c r="W55" s="29" t="n"/>
      <c r="X55" s="29" t="n"/>
      <c r="Y55" s="29" t="n"/>
      <c r="Z55" s="43">
        <f>IF($AV55=1,$E55+$F55+$G55+$H55,"")</f>
        <v/>
      </c>
      <c r="AA55" s="43">
        <f>IF($AV55=1,$Z55-$I55-$J55,"")</f>
        <v/>
      </c>
      <c r="AB55" s="43">
        <f>IF($AV55=1,$L55+$M55+$N55+$O55+$P55+$Q55,"")</f>
        <v/>
      </c>
      <c r="AC55" s="47">
        <f>IF($AV55=1,ROUND($AA55-$AB55,2),"")</f>
        <v/>
      </c>
      <c r="AD55" s="43">
        <f>IF($AV55=1,ROUND($E55/S_VATF,2),"")</f>
        <v/>
      </c>
      <c r="AE55" s="43">
        <f>IF($AV55=1,ROUND($F55/S_VATF,2),"")</f>
        <v/>
      </c>
      <c r="AF55" s="43">
        <f>IF($AV55=1,ROUND($G55/S_VATF,2),"")</f>
        <v/>
      </c>
      <c r="AG55" s="43">
        <f>IF($AV55=1,ROUND($H55/S_VATF,2),"")</f>
        <v/>
      </c>
      <c r="AH55" s="43">
        <f>IF($AV55=1,ROUND($I55/S_VATF,2),"")</f>
        <v/>
      </c>
      <c r="AI55" s="43">
        <f>IF($AV55=1,ROUND($J55/S_VATF,2),"")</f>
        <v/>
      </c>
      <c r="AJ55" s="43">
        <f>IF($AV55=1,ROUND($AA55+$AH55+$AI55-$AD55-$AE55-$AF55-$AG55,2),"")</f>
        <v/>
      </c>
      <c r="AK55" s="32">
        <f>IF(AND($AV55=1,N($L55)&gt;0),IFERROR(IF(IFERROR(INDEX(Payment_Methods!$C:$C,MATCH("CASH",Payment_Methods!$A:$A,0)),"")="نقدي",INDEX(Treasuries!$E:$E,MATCH(INDEX(Locations!$G:$G,MATCH($C55,Locations!$A:$A,0)),Treasuries!$A:$A,0)),INDEX(Payment_Methods!$D:$D,MATCH("CASH",Payment_Methods!$A:$A,0))),"؟"),"")</f>
        <v/>
      </c>
      <c r="AL55" s="32">
        <f>IF(AND($AV55=1,N($M55)&gt;0),IFERROR(IF(IFERROR(INDEX(Payment_Methods!$C:$C,MATCH("CARD",Payment_Methods!$A:$A,0)),"")="نقدي",INDEX(Treasuries!$E:$E,MATCH(INDEX(Locations!$G:$G,MATCH($C55,Locations!$A:$A,0)),Treasuries!$A:$A,0)),INDEX(Payment_Methods!$D:$D,MATCH("CARD",Payment_Methods!$A:$A,0))),"؟"),"")</f>
        <v/>
      </c>
      <c r="AM55" s="32">
        <f>IF(AND($AV55=1,N($N55)&gt;0),IFERROR(IF(IFERROR(INDEX(Payment_Methods!$C:$C,MATCH("TLB",Payment_Methods!$A:$A,0)),"")="نقدي",INDEX(Treasuries!$E:$E,MATCH(INDEX(Locations!$G:$G,MATCH($C55,Locations!$A:$A,0)),Treasuries!$A:$A,0)),INDEX(Payment_Methods!$D:$D,MATCH("TLB",Payment_Methods!$A:$A,0))),"؟"),"")</f>
        <v/>
      </c>
      <c r="AN55" s="32">
        <f>IF(AND($AV55=1,N($O55)&gt;0),IFERROR(IF(IFERROR(INDEX(Payment_Methods!$C:$C,MATCH("DLV2",Payment_Methods!$A:$A,0)),"")="نقدي",INDEX(Treasuries!$E:$E,MATCH(INDEX(Locations!$G:$G,MATCH($C55,Locations!$A:$A,0)),Treasuries!$A:$A,0)),INDEX(Payment_Methods!$D:$D,MATCH("DLV2",Payment_Methods!$A:$A,0))),"؟"),"")</f>
        <v/>
      </c>
      <c r="AO55" s="32">
        <f>IF(AND($AV55=1,N($P55)&gt;0),IFERROR(IF(IFERROR(INDEX(Payment_Methods!$C:$C,MATCH("INSTA",Payment_Methods!$A:$A,0)),"")="نقدي",INDEX(Treasuries!$E:$E,MATCH(INDEX(Locations!$G:$G,MATCH($C55,Locations!$A:$A,0)),Treasuries!$A:$A,0)),INDEX(Payment_Methods!$D:$D,MATCH("INSTA",Payment_Methods!$A:$A,0))),"؟"),"")</f>
        <v/>
      </c>
      <c r="AP55" s="32">
        <f>IF(AND($AV55=1,N($Q55)&gt;0),IFERROR(IF(IFERROR(INDEX(Payment_Methods!$C:$C,MATCH($R55,Payment_Methods!$A:$A,0)),"")="نقدي",INDEX(Treasuries!$E:$E,MATCH(INDEX(Locations!$G:$G,MATCH($C55,Locations!$A:$A,0)),Treasuries!$A:$A,0)),INDEX(Payment_Methods!$D:$D,MATCH($R55,Payment_Methods!$A:$A,0))),"؟"),"")</f>
        <v/>
      </c>
      <c r="AQ55" s="32">
        <f>INDEX(Lists!$U$5:$U$8,1)</f>
        <v/>
      </c>
      <c r="AR55" s="32">
        <f>INDEX(Lists!$U$5:$U$8,2)</f>
        <v/>
      </c>
      <c r="AS55" s="32">
        <f>INDEX(Lists!$U$5:$U$8,3)</f>
        <v/>
      </c>
      <c r="AT55" s="32">
        <f>INDEX(Lists!$U$5:$U$8,4)</f>
        <v/>
      </c>
      <c r="AU55" s="44">
        <f>IF($AV55=1,IF(COUNTIFS(Daily_Recon!$A:$A,$B55,Daily_Recon!$B:$B,$C55)&gt;0,"نعم","لا"),"")</f>
        <v/>
      </c>
      <c r="AV55" s="32">
        <f>IF(COUNTA($A55:$Y55)&gt;0,1,0)</f>
        <v/>
      </c>
      <c r="AW55" s="32">
        <f>IF($AV55=0,"",IF($A55="","رقم المستند ناقص",IF(COUNTIF(Doc_Register!$A:$A,$A55)&gt;1,"رقم مستند مكرر في السجل المركزي",IF(LEFT($A55,LEN("SAL")+1)&lt;&gt;"SAL"&amp;"-","بادئة الرقم لا تطابق نوع المستند",IF(NOT(ISNUMBER($B55)),"التاريخ ناقص أو غير صحيح",IF($S55="","حالة المستند ناقصة",IF($T55="","اسم المُعِد ناقص",IF(AND(OR($S55=ST_APPR,$S55=ST_POST),$U55=""),"لا يوجد معتمد",IF(AND($U55&lt;&gt;"",$U55=$T55),"المُعِد والمعتمد نفس الشخص (فصل المهام)",IF(AND($S55=ST_POST,$V55=""),"اسم المحاسب المرحِّل ناقص",IF(AND($S55=ST_POST,$V55&lt;&gt;"",OR($V55=$T55,$V55=$U55)),"المرحِّل يجب أن يختلف عن المُعِد والمعتمد",IF(AND($S55=ST_REV,$X55=""),"مرجع التصحيح/الإلغاء ناقص",IF(AND(ISNUMBER($B55),OR($S55=ST_DRAFT,$S55=ST_APPR),COUNTIFS(Period_Close!$A:$A,YEAR($B55)*100+MONTH($B55),Period_Close!$B:$B,"مقفلة")&gt;0),"الفترة مقفلة: لا يسمح بمستند جديد",IF(NOT(COUNTIF(Locations!$A:$A,$C55)&gt;0),"الفرع غير معرف",IF(IFERROR(INDEX(Locations!$C:$C,MATCH($C55,Locations!$A:$A,0)),"")&lt;&gt;"فرع","الموقع المختار ليس فرع بيع",IF(AND($S55&lt;&gt;ST_REV,$S55&lt;&gt;ST_CANC,COUNTIFS($B$4:$B54,$B55,$C$4:$C54,$C55,$S$4:$S54,"&lt;&gt;"&amp;ST_REV,$S$4:$S54,"&lt;&gt;"&amp;ST_CANC)&gt;0),"تقرير مبيعات مكرر لنفس الفرع واليوم",IF(MIN($E55,$F55,$G55,$H55,$I55,$J55,$L55,$M55,$N55,$O55,$P55,$Q55)&lt;0,"توجد مبالغ سالبة (استخدم مستند عكسي)",IF($Z55&lt;=0,"إجمالي المبيعات صفر",IF($AA55&lt;0,"الخصومات والمرتجعات أكبر من المبيعات",IF(AND(N($Q55)&gt;0,$R55=""),"كود وسيلة الدفع الأخرى ناقص",IF(ABS($AC55)&gt;S_Tol,"مجموع وسائل الدفع لا يساوي صافي المبيعات",IF(OR(AND(N($L55)&gt;0,COUNTIFS(COA!$A:$A,$AK55,COA!$R:$R,1)&lt;&gt;1),AND(N($M55)&gt;0,COUNTIFS(COA!$A:$A,$AL55,COA!$R:$R,1)&lt;&gt;1),AND(N($N55)&gt;0,COUNTIFS(COA!$A:$A,$AM55,COA!$R:$R,1)&lt;&gt;1),AND(N($O55)&gt;0,COUNTIFS(COA!$A:$A,$AN55,COA!$R:$R,1)&lt;&gt;1),AND(N($P55)&gt;0,COUNTIFS(COA!$A:$A,$AO55,COA!$R:$R,1)&lt;&gt;1),AND(N($Q55)&gt;0,COUNTIFS(COA!$A:$A,$AP55,COA!$R:$R,1)&lt;&gt;1),AND(N($E55)&gt;0,COUNTIFS(COA!$A:$A,$AQ55,COA!$R:$R,1)&lt;&gt;1),AND(N($F55)&gt;0,COUNTIFS(COA!$A:$A,$AR55,COA!$R:$R,1)&lt;&gt;1),AND(N($G55)&gt;0,COUNTIFS(COA!$A:$A,$AS55,COA!$R:$R,1)&lt;&gt;1),AND(N($H55)&gt;0,COUNTIFS(COA!$A:$A,$AT55,COA!$R:$R,1)&lt;&gt;1)),"حساب تسوية أو إيراد غير صالح",IF($AJ55&lt;-S_Tol,"الضريبة المحسوبة سالبة","")))))))))))))))))))))))</f>
        <v/>
      </c>
      <c r="AX55" s="32">
        <f>IF($AV55=1,IF($AW55&lt;&gt;"",1,0),0)</f>
        <v/>
      </c>
      <c r="AY55" s="32">
        <f>IF(AND($AV55=1,$AX55=0,$S55=ST_POST),1,0)</f>
        <v/>
      </c>
    </row>
    <row r="56">
      <c r="A56" s="29" t="n"/>
      <c r="B56" s="31" t="n"/>
      <c r="C56" s="39" t="n"/>
      <c r="D56" s="29" t="n"/>
      <c r="E56" s="42" t="n"/>
      <c r="F56" s="42" t="n"/>
      <c r="G56" s="42" t="n"/>
      <c r="H56" s="42" t="n"/>
      <c r="I56" s="42" t="n"/>
      <c r="J56" s="42" t="n"/>
      <c r="K56" s="42" t="n"/>
      <c r="L56" s="42" t="n"/>
      <c r="M56" s="42" t="n"/>
      <c r="N56" s="42" t="n"/>
      <c r="O56" s="42" t="n"/>
      <c r="P56" s="42" t="n"/>
      <c r="Q56" s="42" t="n"/>
      <c r="R56" s="39" t="n"/>
      <c r="S56" s="39" t="n"/>
      <c r="T56" s="29" t="n"/>
      <c r="U56" s="29" t="n"/>
      <c r="V56" s="29" t="n"/>
      <c r="W56" s="29" t="n"/>
      <c r="X56" s="29" t="n"/>
      <c r="Y56" s="29" t="n"/>
      <c r="Z56" s="43">
        <f>IF($AV56=1,$E56+$F56+$G56+$H56,"")</f>
        <v/>
      </c>
      <c r="AA56" s="43">
        <f>IF($AV56=1,$Z56-$I56-$J56,"")</f>
        <v/>
      </c>
      <c r="AB56" s="43">
        <f>IF($AV56=1,$L56+$M56+$N56+$O56+$P56+$Q56,"")</f>
        <v/>
      </c>
      <c r="AC56" s="47">
        <f>IF($AV56=1,ROUND($AA56-$AB56,2),"")</f>
        <v/>
      </c>
      <c r="AD56" s="43">
        <f>IF($AV56=1,ROUND($E56/S_VATF,2),"")</f>
        <v/>
      </c>
      <c r="AE56" s="43">
        <f>IF($AV56=1,ROUND($F56/S_VATF,2),"")</f>
        <v/>
      </c>
      <c r="AF56" s="43">
        <f>IF($AV56=1,ROUND($G56/S_VATF,2),"")</f>
        <v/>
      </c>
      <c r="AG56" s="43">
        <f>IF($AV56=1,ROUND($H56/S_VATF,2),"")</f>
        <v/>
      </c>
      <c r="AH56" s="43">
        <f>IF($AV56=1,ROUND($I56/S_VATF,2),"")</f>
        <v/>
      </c>
      <c r="AI56" s="43">
        <f>IF($AV56=1,ROUND($J56/S_VATF,2),"")</f>
        <v/>
      </c>
      <c r="AJ56" s="43">
        <f>IF($AV56=1,ROUND($AA56+$AH56+$AI56-$AD56-$AE56-$AF56-$AG56,2),"")</f>
        <v/>
      </c>
      <c r="AK56" s="32">
        <f>IF(AND($AV56=1,N($L56)&gt;0),IFERROR(IF(IFERROR(INDEX(Payment_Methods!$C:$C,MATCH("CASH",Payment_Methods!$A:$A,0)),"")="نقدي",INDEX(Treasuries!$E:$E,MATCH(INDEX(Locations!$G:$G,MATCH($C56,Locations!$A:$A,0)),Treasuries!$A:$A,0)),INDEX(Payment_Methods!$D:$D,MATCH("CASH",Payment_Methods!$A:$A,0))),"؟"),"")</f>
        <v/>
      </c>
      <c r="AL56" s="32">
        <f>IF(AND($AV56=1,N($M56)&gt;0),IFERROR(IF(IFERROR(INDEX(Payment_Methods!$C:$C,MATCH("CARD",Payment_Methods!$A:$A,0)),"")="نقدي",INDEX(Treasuries!$E:$E,MATCH(INDEX(Locations!$G:$G,MATCH($C56,Locations!$A:$A,0)),Treasuries!$A:$A,0)),INDEX(Payment_Methods!$D:$D,MATCH("CARD",Payment_Methods!$A:$A,0))),"؟"),"")</f>
        <v/>
      </c>
      <c r="AM56" s="32">
        <f>IF(AND($AV56=1,N($N56)&gt;0),IFERROR(IF(IFERROR(INDEX(Payment_Methods!$C:$C,MATCH("TLB",Payment_Methods!$A:$A,0)),"")="نقدي",INDEX(Treasuries!$E:$E,MATCH(INDEX(Locations!$G:$G,MATCH($C56,Locations!$A:$A,0)),Treasuries!$A:$A,0)),INDEX(Payment_Methods!$D:$D,MATCH("TLB",Payment_Methods!$A:$A,0))),"؟"),"")</f>
        <v/>
      </c>
      <c r="AN56" s="32">
        <f>IF(AND($AV56=1,N($O56)&gt;0),IFERROR(IF(IFERROR(INDEX(Payment_Methods!$C:$C,MATCH("DLV2",Payment_Methods!$A:$A,0)),"")="نقدي",INDEX(Treasuries!$E:$E,MATCH(INDEX(Locations!$G:$G,MATCH($C56,Locations!$A:$A,0)),Treasuries!$A:$A,0)),INDEX(Payment_Methods!$D:$D,MATCH("DLV2",Payment_Methods!$A:$A,0))),"؟"),"")</f>
        <v/>
      </c>
      <c r="AO56" s="32">
        <f>IF(AND($AV56=1,N($P56)&gt;0),IFERROR(IF(IFERROR(INDEX(Payment_Methods!$C:$C,MATCH("INSTA",Payment_Methods!$A:$A,0)),"")="نقدي",INDEX(Treasuries!$E:$E,MATCH(INDEX(Locations!$G:$G,MATCH($C56,Locations!$A:$A,0)),Treasuries!$A:$A,0)),INDEX(Payment_Methods!$D:$D,MATCH("INSTA",Payment_Methods!$A:$A,0))),"؟"),"")</f>
        <v/>
      </c>
      <c r="AP56" s="32">
        <f>IF(AND($AV56=1,N($Q56)&gt;0),IFERROR(IF(IFERROR(INDEX(Payment_Methods!$C:$C,MATCH($R56,Payment_Methods!$A:$A,0)),"")="نقدي",INDEX(Treasuries!$E:$E,MATCH(INDEX(Locations!$G:$G,MATCH($C56,Locations!$A:$A,0)),Treasuries!$A:$A,0)),INDEX(Payment_Methods!$D:$D,MATCH($R56,Payment_Methods!$A:$A,0))),"؟"),"")</f>
        <v/>
      </c>
      <c r="AQ56" s="32">
        <f>INDEX(Lists!$U$5:$U$8,1)</f>
        <v/>
      </c>
      <c r="AR56" s="32">
        <f>INDEX(Lists!$U$5:$U$8,2)</f>
        <v/>
      </c>
      <c r="AS56" s="32">
        <f>INDEX(Lists!$U$5:$U$8,3)</f>
        <v/>
      </c>
      <c r="AT56" s="32">
        <f>INDEX(Lists!$U$5:$U$8,4)</f>
        <v/>
      </c>
      <c r="AU56" s="44">
        <f>IF($AV56=1,IF(COUNTIFS(Daily_Recon!$A:$A,$B56,Daily_Recon!$B:$B,$C56)&gt;0,"نعم","لا"),"")</f>
        <v/>
      </c>
      <c r="AV56" s="32">
        <f>IF(COUNTA($A56:$Y56)&gt;0,1,0)</f>
        <v/>
      </c>
      <c r="AW56" s="32">
        <f>IF($AV56=0,"",IF($A56="","رقم المستند ناقص",IF(COUNTIF(Doc_Register!$A:$A,$A56)&gt;1,"رقم مستند مكرر في السجل المركزي",IF(LEFT($A56,LEN("SAL")+1)&lt;&gt;"SAL"&amp;"-","بادئة الرقم لا تطابق نوع المستند",IF(NOT(ISNUMBER($B56)),"التاريخ ناقص أو غير صحيح",IF($S56="","حالة المستند ناقصة",IF($T56="","اسم المُعِد ناقص",IF(AND(OR($S56=ST_APPR,$S56=ST_POST),$U56=""),"لا يوجد معتمد",IF(AND($U56&lt;&gt;"",$U56=$T56),"المُعِد والمعتمد نفس الشخص (فصل المهام)",IF(AND($S56=ST_POST,$V56=""),"اسم المحاسب المرحِّل ناقص",IF(AND($S56=ST_POST,$V56&lt;&gt;"",OR($V56=$T56,$V56=$U56)),"المرحِّل يجب أن يختلف عن المُعِد والمعتمد",IF(AND($S56=ST_REV,$X56=""),"مرجع التصحيح/الإلغاء ناقص",IF(AND(ISNUMBER($B56),OR($S56=ST_DRAFT,$S56=ST_APPR),COUNTIFS(Period_Close!$A:$A,YEAR($B56)*100+MONTH($B56),Period_Close!$B:$B,"مقفلة")&gt;0),"الفترة مقفلة: لا يسمح بمستند جديد",IF(NOT(COUNTIF(Locations!$A:$A,$C56)&gt;0),"الفرع غير معرف",IF(IFERROR(INDEX(Locations!$C:$C,MATCH($C56,Locations!$A:$A,0)),"")&lt;&gt;"فرع","الموقع المختار ليس فرع بيع",IF(AND($S56&lt;&gt;ST_REV,$S56&lt;&gt;ST_CANC,COUNTIFS($B$4:$B55,$B56,$C$4:$C55,$C56,$S$4:$S55,"&lt;&gt;"&amp;ST_REV,$S$4:$S55,"&lt;&gt;"&amp;ST_CANC)&gt;0),"تقرير مبيعات مكرر لنفس الفرع واليوم",IF(MIN($E56,$F56,$G56,$H56,$I56,$J56,$L56,$M56,$N56,$O56,$P56,$Q56)&lt;0,"توجد مبالغ سالبة (استخدم مستند عكسي)",IF($Z56&lt;=0,"إجمالي المبيعات صفر",IF($AA56&lt;0,"الخصومات والمرتجعات أكبر من المبيعات",IF(AND(N($Q56)&gt;0,$R56=""),"كود وسيلة الدفع الأخرى ناقص",IF(ABS($AC56)&gt;S_Tol,"مجموع وسائل الدفع لا يساوي صافي المبيعات",IF(OR(AND(N($L56)&gt;0,COUNTIFS(COA!$A:$A,$AK56,COA!$R:$R,1)&lt;&gt;1),AND(N($M56)&gt;0,COUNTIFS(COA!$A:$A,$AL56,COA!$R:$R,1)&lt;&gt;1),AND(N($N56)&gt;0,COUNTIFS(COA!$A:$A,$AM56,COA!$R:$R,1)&lt;&gt;1),AND(N($O56)&gt;0,COUNTIFS(COA!$A:$A,$AN56,COA!$R:$R,1)&lt;&gt;1),AND(N($P56)&gt;0,COUNTIFS(COA!$A:$A,$AO56,COA!$R:$R,1)&lt;&gt;1),AND(N($Q56)&gt;0,COUNTIFS(COA!$A:$A,$AP56,COA!$R:$R,1)&lt;&gt;1),AND(N($E56)&gt;0,COUNTIFS(COA!$A:$A,$AQ56,COA!$R:$R,1)&lt;&gt;1),AND(N($F56)&gt;0,COUNTIFS(COA!$A:$A,$AR56,COA!$R:$R,1)&lt;&gt;1),AND(N($G56)&gt;0,COUNTIFS(COA!$A:$A,$AS56,COA!$R:$R,1)&lt;&gt;1),AND(N($H56)&gt;0,COUNTIFS(COA!$A:$A,$AT56,COA!$R:$R,1)&lt;&gt;1)),"حساب تسوية أو إيراد غير صالح",IF($AJ56&lt;-S_Tol,"الضريبة المحسوبة سالبة","")))))))))))))))))))))))</f>
        <v/>
      </c>
      <c r="AX56" s="32">
        <f>IF($AV56=1,IF($AW56&lt;&gt;"",1,0),0)</f>
        <v/>
      </c>
      <c r="AY56" s="32">
        <f>IF(AND($AV56=1,$AX56=0,$S56=ST_POST),1,0)</f>
        <v/>
      </c>
    </row>
    <row r="57">
      <c r="A57" s="29" t="n"/>
      <c r="B57" s="31" t="n"/>
      <c r="C57" s="39" t="n"/>
      <c r="D57" s="29" t="n"/>
      <c r="E57" s="42" t="n"/>
      <c r="F57" s="42" t="n"/>
      <c r="G57" s="42" t="n"/>
      <c r="H57" s="42" t="n"/>
      <c r="I57" s="42" t="n"/>
      <c r="J57" s="42" t="n"/>
      <c r="K57" s="42" t="n"/>
      <c r="L57" s="42" t="n"/>
      <c r="M57" s="42" t="n"/>
      <c r="N57" s="42" t="n"/>
      <c r="O57" s="42" t="n"/>
      <c r="P57" s="42" t="n"/>
      <c r="Q57" s="42" t="n"/>
      <c r="R57" s="39" t="n"/>
      <c r="S57" s="39" t="n"/>
      <c r="T57" s="29" t="n"/>
      <c r="U57" s="29" t="n"/>
      <c r="V57" s="29" t="n"/>
      <c r="W57" s="29" t="n"/>
      <c r="X57" s="29" t="n"/>
      <c r="Y57" s="29" t="n"/>
      <c r="Z57" s="43">
        <f>IF($AV57=1,$E57+$F57+$G57+$H57,"")</f>
        <v/>
      </c>
      <c r="AA57" s="43">
        <f>IF($AV57=1,$Z57-$I57-$J57,"")</f>
        <v/>
      </c>
      <c r="AB57" s="43">
        <f>IF($AV57=1,$L57+$M57+$N57+$O57+$P57+$Q57,"")</f>
        <v/>
      </c>
      <c r="AC57" s="47">
        <f>IF($AV57=1,ROUND($AA57-$AB57,2),"")</f>
        <v/>
      </c>
      <c r="AD57" s="43">
        <f>IF($AV57=1,ROUND($E57/S_VATF,2),"")</f>
        <v/>
      </c>
      <c r="AE57" s="43">
        <f>IF($AV57=1,ROUND($F57/S_VATF,2),"")</f>
        <v/>
      </c>
      <c r="AF57" s="43">
        <f>IF($AV57=1,ROUND($G57/S_VATF,2),"")</f>
        <v/>
      </c>
      <c r="AG57" s="43">
        <f>IF($AV57=1,ROUND($H57/S_VATF,2),"")</f>
        <v/>
      </c>
      <c r="AH57" s="43">
        <f>IF($AV57=1,ROUND($I57/S_VATF,2),"")</f>
        <v/>
      </c>
      <c r="AI57" s="43">
        <f>IF($AV57=1,ROUND($J57/S_VATF,2),"")</f>
        <v/>
      </c>
      <c r="AJ57" s="43">
        <f>IF($AV57=1,ROUND($AA57+$AH57+$AI57-$AD57-$AE57-$AF57-$AG57,2),"")</f>
        <v/>
      </c>
      <c r="AK57" s="32">
        <f>IF(AND($AV57=1,N($L57)&gt;0),IFERROR(IF(IFERROR(INDEX(Payment_Methods!$C:$C,MATCH("CASH",Payment_Methods!$A:$A,0)),"")="نقدي",INDEX(Treasuries!$E:$E,MATCH(INDEX(Locations!$G:$G,MATCH($C57,Locations!$A:$A,0)),Treasuries!$A:$A,0)),INDEX(Payment_Methods!$D:$D,MATCH("CASH",Payment_Methods!$A:$A,0))),"؟"),"")</f>
        <v/>
      </c>
      <c r="AL57" s="32">
        <f>IF(AND($AV57=1,N($M57)&gt;0),IFERROR(IF(IFERROR(INDEX(Payment_Methods!$C:$C,MATCH("CARD",Payment_Methods!$A:$A,0)),"")="نقدي",INDEX(Treasuries!$E:$E,MATCH(INDEX(Locations!$G:$G,MATCH($C57,Locations!$A:$A,0)),Treasuries!$A:$A,0)),INDEX(Payment_Methods!$D:$D,MATCH("CARD",Payment_Methods!$A:$A,0))),"؟"),"")</f>
        <v/>
      </c>
      <c r="AM57" s="32">
        <f>IF(AND($AV57=1,N($N57)&gt;0),IFERROR(IF(IFERROR(INDEX(Payment_Methods!$C:$C,MATCH("TLB",Payment_Methods!$A:$A,0)),"")="نقدي",INDEX(Treasuries!$E:$E,MATCH(INDEX(Locations!$G:$G,MATCH($C57,Locations!$A:$A,0)),Treasuries!$A:$A,0)),INDEX(Payment_Methods!$D:$D,MATCH("TLB",Payment_Methods!$A:$A,0))),"؟"),"")</f>
        <v/>
      </c>
      <c r="AN57" s="32">
        <f>IF(AND($AV57=1,N($O57)&gt;0),IFERROR(IF(IFERROR(INDEX(Payment_Methods!$C:$C,MATCH("DLV2",Payment_Methods!$A:$A,0)),"")="نقدي",INDEX(Treasuries!$E:$E,MATCH(INDEX(Locations!$G:$G,MATCH($C57,Locations!$A:$A,0)),Treasuries!$A:$A,0)),INDEX(Payment_Methods!$D:$D,MATCH("DLV2",Payment_Methods!$A:$A,0))),"؟"),"")</f>
        <v/>
      </c>
      <c r="AO57" s="32">
        <f>IF(AND($AV57=1,N($P57)&gt;0),IFERROR(IF(IFERROR(INDEX(Payment_Methods!$C:$C,MATCH("INSTA",Payment_Methods!$A:$A,0)),"")="نقدي",INDEX(Treasuries!$E:$E,MATCH(INDEX(Locations!$G:$G,MATCH($C57,Locations!$A:$A,0)),Treasuries!$A:$A,0)),INDEX(Payment_Methods!$D:$D,MATCH("INSTA",Payment_Methods!$A:$A,0))),"؟"),"")</f>
        <v/>
      </c>
      <c r="AP57" s="32">
        <f>IF(AND($AV57=1,N($Q57)&gt;0),IFERROR(IF(IFERROR(INDEX(Payment_Methods!$C:$C,MATCH($R57,Payment_Methods!$A:$A,0)),"")="نقدي",INDEX(Treasuries!$E:$E,MATCH(INDEX(Locations!$G:$G,MATCH($C57,Locations!$A:$A,0)),Treasuries!$A:$A,0)),INDEX(Payment_Methods!$D:$D,MATCH($R57,Payment_Methods!$A:$A,0))),"؟"),"")</f>
        <v/>
      </c>
      <c r="AQ57" s="32">
        <f>INDEX(Lists!$U$5:$U$8,1)</f>
        <v/>
      </c>
      <c r="AR57" s="32">
        <f>INDEX(Lists!$U$5:$U$8,2)</f>
        <v/>
      </c>
      <c r="AS57" s="32">
        <f>INDEX(Lists!$U$5:$U$8,3)</f>
        <v/>
      </c>
      <c r="AT57" s="32">
        <f>INDEX(Lists!$U$5:$U$8,4)</f>
        <v/>
      </c>
      <c r="AU57" s="44">
        <f>IF($AV57=1,IF(COUNTIFS(Daily_Recon!$A:$A,$B57,Daily_Recon!$B:$B,$C57)&gt;0,"نعم","لا"),"")</f>
        <v/>
      </c>
      <c r="AV57" s="32">
        <f>IF(COUNTA($A57:$Y57)&gt;0,1,0)</f>
        <v/>
      </c>
      <c r="AW57" s="32">
        <f>IF($AV57=0,"",IF($A57="","رقم المستند ناقص",IF(COUNTIF(Doc_Register!$A:$A,$A57)&gt;1,"رقم مستند مكرر في السجل المركزي",IF(LEFT($A57,LEN("SAL")+1)&lt;&gt;"SAL"&amp;"-","بادئة الرقم لا تطابق نوع المستند",IF(NOT(ISNUMBER($B57)),"التاريخ ناقص أو غير صحيح",IF($S57="","حالة المستند ناقصة",IF($T57="","اسم المُعِد ناقص",IF(AND(OR($S57=ST_APPR,$S57=ST_POST),$U57=""),"لا يوجد معتمد",IF(AND($U57&lt;&gt;"",$U57=$T57),"المُعِد والمعتمد نفس الشخص (فصل المهام)",IF(AND($S57=ST_POST,$V57=""),"اسم المحاسب المرحِّل ناقص",IF(AND($S57=ST_POST,$V57&lt;&gt;"",OR($V57=$T57,$V57=$U57)),"المرحِّل يجب أن يختلف عن المُعِد والمعتمد",IF(AND($S57=ST_REV,$X57=""),"مرجع التصحيح/الإلغاء ناقص",IF(AND(ISNUMBER($B57),OR($S57=ST_DRAFT,$S57=ST_APPR),COUNTIFS(Period_Close!$A:$A,YEAR($B57)*100+MONTH($B57),Period_Close!$B:$B,"مقفلة")&gt;0),"الفترة مقفلة: لا يسمح بمستند جديد",IF(NOT(COUNTIF(Locations!$A:$A,$C57)&gt;0),"الفرع غير معرف",IF(IFERROR(INDEX(Locations!$C:$C,MATCH($C57,Locations!$A:$A,0)),"")&lt;&gt;"فرع","الموقع المختار ليس فرع بيع",IF(AND($S57&lt;&gt;ST_REV,$S57&lt;&gt;ST_CANC,COUNTIFS($B$4:$B56,$B57,$C$4:$C56,$C57,$S$4:$S56,"&lt;&gt;"&amp;ST_REV,$S$4:$S56,"&lt;&gt;"&amp;ST_CANC)&gt;0),"تقرير مبيعات مكرر لنفس الفرع واليوم",IF(MIN($E57,$F57,$G57,$H57,$I57,$J57,$L57,$M57,$N57,$O57,$P57,$Q57)&lt;0,"توجد مبالغ سالبة (استخدم مستند عكسي)",IF($Z57&lt;=0,"إجمالي المبيعات صفر",IF($AA57&lt;0,"الخصومات والمرتجعات أكبر من المبيعات",IF(AND(N($Q57)&gt;0,$R57=""),"كود وسيلة الدفع الأخرى ناقص",IF(ABS($AC57)&gt;S_Tol,"مجموع وسائل الدفع لا يساوي صافي المبيعات",IF(OR(AND(N($L57)&gt;0,COUNTIFS(COA!$A:$A,$AK57,COA!$R:$R,1)&lt;&gt;1),AND(N($M57)&gt;0,COUNTIFS(COA!$A:$A,$AL57,COA!$R:$R,1)&lt;&gt;1),AND(N($N57)&gt;0,COUNTIFS(COA!$A:$A,$AM57,COA!$R:$R,1)&lt;&gt;1),AND(N($O57)&gt;0,COUNTIFS(COA!$A:$A,$AN57,COA!$R:$R,1)&lt;&gt;1),AND(N($P57)&gt;0,COUNTIFS(COA!$A:$A,$AO57,COA!$R:$R,1)&lt;&gt;1),AND(N($Q57)&gt;0,COUNTIFS(COA!$A:$A,$AP57,COA!$R:$R,1)&lt;&gt;1),AND(N($E57)&gt;0,COUNTIFS(COA!$A:$A,$AQ57,COA!$R:$R,1)&lt;&gt;1),AND(N($F57)&gt;0,COUNTIFS(COA!$A:$A,$AR57,COA!$R:$R,1)&lt;&gt;1),AND(N($G57)&gt;0,COUNTIFS(COA!$A:$A,$AS57,COA!$R:$R,1)&lt;&gt;1),AND(N($H57)&gt;0,COUNTIFS(COA!$A:$A,$AT57,COA!$R:$R,1)&lt;&gt;1)),"حساب تسوية أو إيراد غير صالح",IF($AJ57&lt;-S_Tol,"الضريبة المحسوبة سالبة","")))))))))))))))))))))))</f>
        <v/>
      </c>
      <c r="AX57" s="32">
        <f>IF($AV57=1,IF($AW57&lt;&gt;"",1,0),0)</f>
        <v/>
      </c>
      <c r="AY57" s="32">
        <f>IF(AND($AV57=1,$AX57=0,$S57=ST_POST),1,0)</f>
        <v/>
      </c>
    </row>
    <row r="58">
      <c r="A58" s="29" t="n"/>
      <c r="B58" s="31" t="n"/>
      <c r="C58" s="39" t="n"/>
      <c r="D58" s="29" t="n"/>
      <c r="E58" s="42" t="n"/>
      <c r="F58" s="42" t="n"/>
      <c r="G58" s="42" t="n"/>
      <c r="H58" s="42" t="n"/>
      <c r="I58" s="42" t="n"/>
      <c r="J58" s="42" t="n"/>
      <c r="K58" s="42" t="n"/>
      <c r="L58" s="42" t="n"/>
      <c r="M58" s="42" t="n"/>
      <c r="N58" s="42" t="n"/>
      <c r="O58" s="42" t="n"/>
      <c r="P58" s="42" t="n"/>
      <c r="Q58" s="42" t="n"/>
      <c r="R58" s="39" t="n"/>
      <c r="S58" s="39" t="n"/>
      <c r="T58" s="29" t="n"/>
      <c r="U58" s="29" t="n"/>
      <c r="V58" s="29" t="n"/>
      <c r="W58" s="29" t="n"/>
      <c r="X58" s="29" t="n"/>
      <c r="Y58" s="29" t="n"/>
      <c r="Z58" s="43">
        <f>IF($AV58=1,$E58+$F58+$G58+$H58,"")</f>
        <v/>
      </c>
      <c r="AA58" s="43">
        <f>IF($AV58=1,$Z58-$I58-$J58,"")</f>
        <v/>
      </c>
      <c r="AB58" s="43">
        <f>IF($AV58=1,$L58+$M58+$N58+$O58+$P58+$Q58,"")</f>
        <v/>
      </c>
      <c r="AC58" s="47">
        <f>IF($AV58=1,ROUND($AA58-$AB58,2),"")</f>
        <v/>
      </c>
      <c r="AD58" s="43">
        <f>IF($AV58=1,ROUND($E58/S_VATF,2),"")</f>
        <v/>
      </c>
      <c r="AE58" s="43">
        <f>IF($AV58=1,ROUND($F58/S_VATF,2),"")</f>
        <v/>
      </c>
      <c r="AF58" s="43">
        <f>IF($AV58=1,ROUND($G58/S_VATF,2),"")</f>
        <v/>
      </c>
      <c r="AG58" s="43">
        <f>IF($AV58=1,ROUND($H58/S_VATF,2),"")</f>
        <v/>
      </c>
      <c r="AH58" s="43">
        <f>IF($AV58=1,ROUND($I58/S_VATF,2),"")</f>
        <v/>
      </c>
      <c r="AI58" s="43">
        <f>IF($AV58=1,ROUND($J58/S_VATF,2),"")</f>
        <v/>
      </c>
      <c r="AJ58" s="43">
        <f>IF($AV58=1,ROUND($AA58+$AH58+$AI58-$AD58-$AE58-$AF58-$AG58,2),"")</f>
        <v/>
      </c>
      <c r="AK58" s="32">
        <f>IF(AND($AV58=1,N($L58)&gt;0),IFERROR(IF(IFERROR(INDEX(Payment_Methods!$C:$C,MATCH("CASH",Payment_Methods!$A:$A,0)),"")="نقدي",INDEX(Treasuries!$E:$E,MATCH(INDEX(Locations!$G:$G,MATCH($C58,Locations!$A:$A,0)),Treasuries!$A:$A,0)),INDEX(Payment_Methods!$D:$D,MATCH("CASH",Payment_Methods!$A:$A,0))),"؟"),"")</f>
        <v/>
      </c>
      <c r="AL58" s="32">
        <f>IF(AND($AV58=1,N($M58)&gt;0),IFERROR(IF(IFERROR(INDEX(Payment_Methods!$C:$C,MATCH("CARD",Payment_Methods!$A:$A,0)),"")="نقدي",INDEX(Treasuries!$E:$E,MATCH(INDEX(Locations!$G:$G,MATCH($C58,Locations!$A:$A,0)),Treasuries!$A:$A,0)),INDEX(Payment_Methods!$D:$D,MATCH("CARD",Payment_Methods!$A:$A,0))),"؟"),"")</f>
        <v/>
      </c>
      <c r="AM58" s="32">
        <f>IF(AND($AV58=1,N($N58)&gt;0),IFERROR(IF(IFERROR(INDEX(Payment_Methods!$C:$C,MATCH("TLB",Payment_Methods!$A:$A,0)),"")="نقدي",INDEX(Treasuries!$E:$E,MATCH(INDEX(Locations!$G:$G,MATCH($C58,Locations!$A:$A,0)),Treasuries!$A:$A,0)),INDEX(Payment_Methods!$D:$D,MATCH("TLB",Payment_Methods!$A:$A,0))),"؟"),"")</f>
        <v/>
      </c>
      <c r="AN58" s="32">
        <f>IF(AND($AV58=1,N($O58)&gt;0),IFERROR(IF(IFERROR(INDEX(Payment_Methods!$C:$C,MATCH("DLV2",Payment_Methods!$A:$A,0)),"")="نقدي",INDEX(Treasuries!$E:$E,MATCH(INDEX(Locations!$G:$G,MATCH($C58,Locations!$A:$A,0)),Treasuries!$A:$A,0)),INDEX(Payment_Methods!$D:$D,MATCH("DLV2",Payment_Methods!$A:$A,0))),"؟"),"")</f>
        <v/>
      </c>
      <c r="AO58" s="32">
        <f>IF(AND($AV58=1,N($P58)&gt;0),IFERROR(IF(IFERROR(INDEX(Payment_Methods!$C:$C,MATCH("INSTA",Payment_Methods!$A:$A,0)),"")="نقدي",INDEX(Treasuries!$E:$E,MATCH(INDEX(Locations!$G:$G,MATCH($C58,Locations!$A:$A,0)),Treasuries!$A:$A,0)),INDEX(Payment_Methods!$D:$D,MATCH("INSTA",Payment_Methods!$A:$A,0))),"؟"),"")</f>
        <v/>
      </c>
      <c r="AP58" s="32">
        <f>IF(AND($AV58=1,N($Q58)&gt;0),IFERROR(IF(IFERROR(INDEX(Payment_Methods!$C:$C,MATCH($R58,Payment_Methods!$A:$A,0)),"")="نقدي",INDEX(Treasuries!$E:$E,MATCH(INDEX(Locations!$G:$G,MATCH($C58,Locations!$A:$A,0)),Treasuries!$A:$A,0)),INDEX(Payment_Methods!$D:$D,MATCH($R58,Payment_Methods!$A:$A,0))),"؟"),"")</f>
        <v/>
      </c>
      <c r="AQ58" s="32">
        <f>INDEX(Lists!$U$5:$U$8,1)</f>
        <v/>
      </c>
      <c r="AR58" s="32">
        <f>INDEX(Lists!$U$5:$U$8,2)</f>
        <v/>
      </c>
      <c r="AS58" s="32">
        <f>INDEX(Lists!$U$5:$U$8,3)</f>
        <v/>
      </c>
      <c r="AT58" s="32">
        <f>INDEX(Lists!$U$5:$U$8,4)</f>
        <v/>
      </c>
      <c r="AU58" s="44">
        <f>IF($AV58=1,IF(COUNTIFS(Daily_Recon!$A:$A,$B58,Daily_Recon!$B:$B,$C58)&gt;0,"نعم","لا"),"")</f>
        <v/>
      </c>
      <c r="AV58" s="32">
        <f>IF(COUNTA($A58:$Y58)&gt;0,1,0)</f>
        <v/>
      </c>
      <c r="AW58" s="32">
        <f>IF($AV58=0,"",IF($A58="","رقم المستند ناقص",IF(COUNTIF(Doc_Register!$A:$A,$A58)&gt;1,"رقم مستند مكرر في السجل المركزي",IF(LEFT($A58,LEN("SAL")+1)&lt;&gt;"SAL"&amp;"-","بادئة الرقم لا تطابق نوع المستند",IF(NOT(ISNUMBER($B58)),"التاريخ ناقص أو غير صحيح",IF($S58="","حالة المستند ناقصة",IF($T58="","اسم المُعِد ناقص",IF(AND(OR($S58=ST_APPR,$S58=ST_POST),$U58=""),"لا يوجد معتمد",IF(AND($U58&lt;&gt;"",$U58=$T58),"المُعِد والمعتمد نفس الشخص (فصل المهام)",IF(AND($S58=ST_POST,$V58=""),"اسم المحاسب المرحِّل ناقص",IF(AND($S58=ST_POST,$V58&lt;&gt;"",OR($V58=$T58,$V58=$U58)),"المرحِّل يجب أن يختلف عن المُعِد والمعتمد",IF(AND($S58=ST_REV,$X58=""),"مرجع التصحيح/الإلغاء ناقص",IF(AND(ISNUMBER($B58),OR($S58=ST_DRAFT,$S58=ST_APPR),COUNTIFS(Period_Close!$A:$A,YEAR($B58)*100+MONTH($B58),Period_Close!$B:$B,"مقفلة")&gt;0),"الفترة مقفلة: لا يسمح بمستند جديد",IF(NOT(COUNTIF(Locations!$A:$A,$C58)&gt;0),"الفرع غير معرف",IF(IFERROR(INDEX(Locations!$C:$C,MATCH($C58,Locations!$A:$A,0)),"")&lt;&gt;"فرع","الموقع المختار ليس فرع بيع",IF(AND($S58&lt;&gt;ST_REV,$S58&lt;&gt;ST_CANC,COUNTIFS($B$4:$B57,$B58,$C$4:$C57,$C58,$S$4:$S57,"&lt;&gt;"&amp;ST_REV,$S$4:$S57,"&lt;&gt;"&amp;ST_CANC)&gt;0),"تقرير مبيعات مكرر لنفس الفرع واليوم",IF(MIN($E58,$F58,$G58,$H58,$I58,$J58,$L58,$M58,$N58,$O58,$P58,$Q58)&lt;0,"توجد مبالغ سالبة (استخدم مستند عكسي)",IF($Z58&lt;=0,"إجمالي المبيعات صفر",IF($AA58&lt;0,"الخصومات والمرتجعات أكبر من المبيعات",IF(AND(N($Q58)&gt;0,$R58=""),"كود وسيلة الدفع الأخرى ناقص",IF(ABS($AC58)&gt;S_Tol,"مجموع وسائل الدفع لا يساوي صافي المبيعات",IF(OR(AND(N($L58)&gt;0,COUNTIFS(COA!$A:$A,$AK58,COA!$R:$R,1)&lt;&gt;1),AND(N($M58)&gt;0,COUNTIFS(COA!$A:$A,$AL58,COA!$R:$R,1)&lt;&gt;1),AND(N($N58)&gt;0,COUNTIFS(COA!$A:$A,$AM58,COA!$R:$R,1)&lt;&gt;1),AND(N($O58)&gt;0,COUNTIFS(COA!$A:$A,$AN58,COA!$R:$R,1)&lt;&gt;1),AND(N($P58)&gt;0,COUNTIFS(COA!$A:$A,$AO58,COA!$R:$R,1)&lt;&gt;1),AND(N($Q58)&gt;0,COUNTIFS(COA!$A:$A,$AP58,COA!$R:$R,1)&lt;&gt;1),AND(N($E58)&gt;0,COUNTIFS(COA!$A:$A,$AQ58,COA!$R:$R,1)&lt;&gt;1),AND(N($F58)&gt;0,COUNTIFS(COA!$A:$A,$AR58,COA!$R:$R,1)&lt;&gt;1),AND(N($G58)&gt;0,COUNTIFS(COA!$A:$A,$AS58,COA!$R:$R,1)&lt;&gt;1),AND(N($H58)&gt;0,COUNTIFS(COA!$A:$A,$AT58,COA!$R:$R,1)&lt;&gt;1)),"حساب تسوية أو إيراد غير صالح",IF($AJ58&lt;-S_Tol,"الضريبة المحسوبة سالبة","")))))))))))))))))))))))</f>
        <v/>
      </c>
      <c r="AX58" s="32">
        <f>IF($AV58=1,IF($AW58&lt;&gt;"",1,0),0)</f>
        <v/>
      </c>
      <c r="AY58" s="32">
        <f>IF(AND($AV58=1,$AX58=0,$S58=ST_POST),1,0)</f>
        <v/>
      </c>
    </row>
    <row r="59">
      <c r="A59" s="29" t="n"/>
      <c r="B59" s="31" t="n"/>
      <c r="C59" s="39" t="n"/>
      <c r="D59" s="29" t="n"/>
      <c r="E59" s="42" t="n"/>
      <c r="F59" s="42" t="n"/>
      <c r="G59" s="42" t="n"/>
      <c r="H59" s="42" t="n"/>
      <c r="I59" s="42" t="n"/>
      <c r="J59" s="42" t="n"/>
      <c r="K59" s="42" t="n"/>
      <c r="L59" s="42" t="n"/>
      <c r="M59" s="42" t="n"/>
      <c r="N59" s="42" t="n"/>
      <c r="O59" s="42" t="n"/>
      <c r="P59" s="42" t="n"/>
      <c r="Q59" s="42" t="n"/>
      <c r="R59" s="39" t="n"/>
      <c r="S59" s="39" t="n"/>
      <c r="T59" s="29" t="n"/>
      <c r="U59" s="29" t="n"/>
      <c r="V59" s="29" t="n"/>
      <c r="W59" s="29" t="n"/>
      <c r="X59" s="29" t="n"/>
      <c r="Y59" s="29" t="n"/>
      <c r="Z59" s="43">
        <f>IF($AV59=1,$E59+$F59+$G59+$H59,"")</f>
        <v/>
      </c>
      <c r="AA59" s="43">
        <f>IF($AV59=1,$Z59-$I59-$J59,"")</f>
        <v/>
      </c>
      <c r="AB59" s="43">
        <f>IF($AV59=1,$L59+$M59+$N59+$O59+$P59+$Q59,"")</f>
        <v/>
      </c>
      <c r="AC59" s="47">
        <f>IF($AV59=1,ROUND($AA59-$AB59,2),"")</f>
        <v/>
      </c>
      <c r="AD59" s="43">
        <f>IF($AV59=1,ROUND($E59/S_VATF,2),"")</f>
        <v/>
      </c>
      <c r="AE59" s="43">
        <f>IF($AV59=1,ROUND($F59/S_VATF,2),"")</f>
        <v/>
      </c>
      <c r="AF59" s="43">
        <f>IF($AV59=1,ROUND($G59/S_VATF,2),"")</f>
        <v/>
      </c>
      <c r="AG59" s="43">
        <f>IF($AV59=1,ROUND($H59/S_VATF,2),"")</f>
        <v/>
      </c>
      <c r="AH59" s="43">
        <f>IF($AV59=1,ROUND($I59/S_VATF,2),"")</f>
        <v/>
      </c>
      <c r="AI59" s="43">
        <f>IF($AV59=1,ROUND($J59/S_VATF,2),"")</f>
        <v/>
      </c>
      <c r="AJ59" s="43">
        <f>IF($AV59=1,ROUND($AA59+$AH59+$AI59-$AD59-$AE59-$AF59-$AG59,2),"")</f>
        <v/>
      </c>
      <c r="AK59" s="32">
        <f>IF(AND($AV59=1,N($L59)&gt;0),IFERROR(IF(IFERROR(INDEX(Payment_Methods!$C:$C,MATCH("CASH",Payment_Methods!$A:$A,0)),"")="نقدي",INDEX(Treasuries!$E:$E,MATCH(INDEX(Locations!$G:$G,MATCH($C59,Locations!$A:$A,0)),Treasuries!$A:$A,0)),INDEX(Payment_Methods!$D:$D,MATCH("CASH",Payment_Methods!$A:$A,0))),"؟"),"")</f>
        <v/>
      </c>
      <c r="AL59" s="32">
        <f>IF(AND($AV59=1,N($M59)&gt;0),IFERROR(IF(IFERROR(INDEX(Payment_Methods!$C:$C,MATCH("CARD",Payment_Methods!$A:$A,0)),"")="نقدي",INDEX(Treasuries!$E:$E,MATCH(INDEX(Locations!$G:$G,MATCH($C59,Locations!$A:$A,0)),Treasuries!$A:$A,0)),INDEX(Payment_Methods!$D:$D,MATCH("CARD",Payment_Methods!$A:$A,0))),"؟"),"")</f>
        <v/>
      </c>
      <c r="AM59" s="32">
        <f>IF(AND($AV59=1,N($N59)&gt;0),IFERROR(IF(IFERROR(INDEX(Payment_Methods!$C:$C,MATCH("TLB",Payment_Methods!$A:$A,0)),"")="نقدي",INDEX(Treasuries!$E:$E,MATCH(INDEX(Locations!$G:$G,MATCH($C59,Locations!$A:$A,0)),Treasuries!$A:$A,0)),INDEX(Payment_Methods!$D:$D,MATCH("TLB",Payment_Methods!$A:$A,0))),"؟"),"")</f>
        <v/>
      </c>
      <c r="AN59" s="32">
        <f>IF(AND($AV59=1,N($O59)&gt;0),IFERROR(IF(IFERROR(INDEX(Payment_Methods!$C:$C,MATCH("DLV2",Payment_Methods!$A:$A,0)),"")="نقدي",INDEX(Treasuries!$E:$E,MATCH(INDEX(Locations!$G:$G,MATCH($C59,Locations!$A:$A,0)),Treasuries!$A:$A,0)),INDEX(Payment_Methods!$D:$D,MATCH("DLV2",Payment_Methods!$A:$A,0))),"؟"),"")</f>
        <v/>
      </c>
      <c r="AO59" s="32">
        <f>IF(AND($AV59=1,N($P59)&gt;0),IFERROR(IF(IFERROR(INDEX(Payment_Methods!$C:$C,MATCH("INSTA",Payment_Methods!$A:$A,0)),"")="نقدي",INDEX(Treasuries!$E:$E,MATCH(INDEX(Locations!$G:$G,MATCH($C59,Locations!$A:$A,0)),Treasuries!$A:$A,0)),INDEX(Payment_Methods!$D:$D,MATCH("INSTA",Payment_Methods!$A:$A,0))),"؟"),"")</f>
        <v/>
      </c>
      <c r="AP59" s="32">
        <f>IF(AND($AV59=1,N($Q59)&gt;0),IFERROR(IF(IFERROR(INDEX(Payment_Methods!$C:$C,MATCH($R59,Payment_Methods!$A:$A,0)),"")="نقدي",INDEX(Treasuries!$E:$E,MATCH(INDEX(Locations!$G:$G,MATCH($C59,Locations!$A:$A,0)),Treasuries!$A:$A,0)),INDEX(Payment_Methods!$D:$D,MATCH($R59,Payment_Methods!$A:$A,0))),"؟"),"")</f>
        <v/>
      </c>
      <c r="AQ59" s="32">
        <f>INDEX(Lists!$U$5:$U$8,1)</f>
        <v/>
      </c>
      <c r="AR59" s="32">
        <f>INDEX(Lists!$U$5:$U$8,2)</f>
        <v/>
      </c>
      <c r="AS59" s="32">
        <f>INDEX(Lists!$U$5:$U$8,3)</f>
        <v/>
      </c>
      <c r="AT59" s="32">
        <f>INDEX(Lists!$U$5:$U$8,4)</f>
        <v/>
      </c>
      <c r="AU59" s="44">
        <f>IF($AV59=1,IF(COUNTIFS(Daily_Recon!$A:$A,$B59,Daily_Recon!$B:$B,$C59)&gt;0,"نعم","لا"),"")</f>
        <v/>
      </c>
      <c r="AV59" s="32">
        <f>IF(COUNTA($A59:$Y59)&gt;0,1,0)</f>
        <v/>
      </c>
      <c r="AW59" s="32">
        <f>IF($AV59=0,"",IF($A59="","رقم المستند ناقص",IF(COUNTIF(Doc_Register!$A:$A,$A59)&gt;1,"رقم مستند مكرر في السجل المركزي",IF(LEFT($A59,LEN("SAL")+1)&lt;&gt;"SAL"&amp;"-","بادئة الرقم لا تطابق نوع المستند",IF(NOT(ISNUMBER($B59)),"التاريخ ناقص أو غير صحيح",IF($S59="","حالة المستند ناقصة",IF($T59="","اسم المُعِد ناقص",IF(AND(OR($S59=ST_APPR,$S59=ST_POST),$U59=""),"لا يوجد معتمد",IF(AND($U59&lt;&gt;"",$U59=$T59),"المُعِد والمعتمد نفس الشخص (فصل المهام)",IF(AND($S59=ST_POST,$V59=""),"اسم المحاسب المرحِّل ناقص",IF(AND($S59=ST_POST,$V59&lt;&gt;"",OR($V59=$T59,$V59=$U59)),"المرحِّل يجب أن يختلف عن المُعِد والمعتمد",IF(AND($S59=ST_REV,$X59=""),"مرجع التصحيح/الإلغاء ناقص",IF(AND(ISNUMBER($B59),OR($S59=ST_DRAFT,$S59=ST_APPR),COUNTIFS(Period_Close!$A:$A,YEAR($B59)*100+MONTH($B59),Period_Close!$B:$B,"مقفلة")&gt;0),"الفترة مقفلة: لا يسمح بمستند جديد",IF(NOT(COUNTIF(Locations!$A:$A,$C59)&gt;0),"الفرع غير معرف",IF(IFERROR(INDEX(Locations!$C:$C,MATCH($C59,Locations!$A:$A,0)),"")&lt;&gt;"فرع","الموقع المختار ليس فرع بيع",IF(AND($S59&lt;&gt;ST_REV,$S59&lt;&gt;ST_CANC,COUNTIFS($B$4:$B58,$B59,$C$4:$C58,$C59,$S$4:$S58,"&lt;&gt;"&amp;ST_REV,$S$4:$S58,"&lt;&gt;"&amp;ST_CANC)&gt;0),"تقرير مبيعات مكرر لنفس الفرع واليوم",IF(MIN($E59,$F59,$G59,$H59,$I59,$J59,$L59,$M59,$N59,$O59,$P59,$Q59)&lt;0,"توجد مبالغ سالبة (استخدم مستند عكسي)",IF($Z59&lt;=0,"إجمالي المبيعات صفر",IF($AA59&lt;0,"الخصومات والمرتجعات أكبر من المبيعات",IF(AND(N($Q59)&gt;0,$R59=""),"كود وسيلة الدفع الأخرى ناقص",IF(ABS($AC59)&gt;S_Tol,"مجموع وسائل الدفع لا يساوي صافي المبيعات",IF(OR(AND(N($L59)&gt;0,COUNTIFS(COA!$A:$A,$AK59,COA!$R:$R,1)&lt;&gt;1),AND(N($M59)&gt;0,COUNTIFS(COA!$A:$A,$AL59,COA!$R:$R,1)&lt;&gt;1),AND(N($N59)&gt;0,COUNTIFS(COA!$A:$A,$AM59,COA!$R:$R,1)&lt;&gt;1),AND(N($O59)&gt;0,COUNTIFS(COA!$A:$A,$AN59,COA!$R:$R,1)&lt;&gt;1),AND(N($P59)&gt;0,COUNTIFS(COA!$A:$A,$AO59,COA!$R:$R,1)&lt;&gt;1),AND(N($Q59)&gt;0,COUNTIFS(COA!$A:$A,$AP59,COA!$R:$R,1)&lt;&gt;1),AND(N($E59)&gt;0,COUNTIFS(COA!$A:$A,$AQ59,COA!$R:$R,1)&lt;&gt;1),AND(N($F59)&gt;0,COUNTIFS(COA!$A:$A,$AR59,COA!$R:$R,1)&lt;&gt;1),AND(N($G59)&gt;0,COUNTIFS(COA!$A:$A,$AS59,COA!$R:$R,1)&lt;&gt;1),AND(N($H59)&gt;0,COUNTIFS(COA!$A:$A,$AT59,COA!$R:$R,1)&lt;&gt;1)),"حساب تسوية أو إيراد غير صالح",IF($AJ59&lt;-S_Tol,"الضريبة المحسوبة سالبة","")))))))))))))))))))))))</f>
        <v/>
      </c>
      <c r="AX59" s="32">
        <f>IF($AV59=1,IF($AW59&lt;&gt;"",1,0),0)</f>
        <v/>
      </c>
      <c r="AY59" s="32">
        <f>IF(AND($AV59=1,$AX59=0,$S59=ST_POST),1,0)</f>
        <v/>
      </c>
    </row>
    <row r="60">
      <c r="A60" s="29" t="n"/>
      <c r="B60" s="31" t="n"/>
      <c r="C60" s="39" t="n"/>
      <c r="D60" s="29" t="n"/>
      <c r="E60" s="42" t="n"/>
      <c r="F60" s="42" t="n"/>
      <c r="G60" s="42" t="n"/>
      <c r="H60" s="42" t="n"/>
      <c r="I60" s="42" t="n"/>
      <c r="J60" s="42" t="n"/>
      <c r="K60" s="42" t="n"/>
      <c r="L60" s="42" t="n"/>
      <c r="M60" s="42" t="n"/>
      <c r="N60" s="42" t="n"/>
      <c r="O60" s="42" t="n"/>
      <c r="P60" s="42" t="n"/>
      <c r="Q60" s="42" t="n"/>
      <c r="R60" s="39" t="n"/>
      <c r="S60" s="39" t="n"/>
      <c r="T60" s="29" t="n"/>
      <c r="U60" s="29" t="n"/>
      <c r="V60" s="29" t="n"/>
      <c r="W60" s="29" t="n"/>
      <c r="X60" s="29" t="n"/>
      <c r="Y60" s="29" t="n"/>
      <c r="Z60" s="43">
        <f>IF($AV60=1,$E60+$F60+$G60+$H60,"")</f>
        <v/>
      </c>
      <c r="AA60" s="43">
        <f>IF($AV60=1,$Z60-$I60-$J60,"")</f>
        <v/>
      </c>
      <c r="AB60" s="43">
        <f>IF($AV60=1,$L60+$M60+$N60+$O60+$P60+$Q60,"")</f>
        <v/>
      </c>
      <c r="AC60" s="47">
        <f>IF($AV60=1,ROUND($AA60-$AB60,2),"")</f>
        <v/>
      </c>
      <c r="AD60" s="43">
        <f>IF($AV60=1,ROUND($E60/S_VATF,2),"")</f>
        <v/>
      </c>
      <c r="AE60" s="43">
        <f>IF($AV60=1,ROUND($F60/S_VATF,2),"")</f>
        <v/>
      </c>
      <c r="AF60" s="43">
        <f>IF($AV60=1,ROUND($G60/S_VATF,2),"")</f>
        <v/>
      </c>
      <c r="AG60" s="43">
        <f>IF($AV60=1,ROUND($H60/S_VATF,2),"")</f>
        <v/>
      </c>
      <c r="AH60" s="43">
        <f>IF($AV60=1,ROUND($I60/S_VATF,2),"")</f>
        <v/>
      </c>
      <c r="AI60" s="43">
        <f>IF($AV60=1,ROUND($J60/S_VATF,2),"")</f>
        <v/>
      </c>
      <c r="AJ60" s="43">
        <f>IF($AV60=1,ROUND($AA60+$AH60+$AI60-$AD60-$AE60-$AF60-$AG60,2),"")</f>
        <v/>
      </c>
      <c r="AK60" s="32">
        <f>IF(AND($AV60=1,N($L60)&gt;0),IFERROR(IF(IFERROR(INDEX(Payment_Methods!$C:$C,MATCH("CASH",Payment_Methods!$A:$A,0)),"")="نقدي",INDEX(Treasuries!$E:$E,MATCH(INDEX(Locations!$G:$G,MATCH($C60,Locations!$A:$A,0)),Treasuries!$A:$A,0)),INDEX(Payment_Methods!$D:$D,MATCH("CASH",Payment_Methods!$A:$A,0))),"؟"),"")</f>
        <v/>
      </c>
      <c r="AL60" s="32">
        <f>IF(AND($AV60=1,N($M60)&gt;0),IFERROR(IF(IFERROR(INDEX(Payment_Methods!$C:$C,MATCH("CARD",Payment_Methods!$A:$A,0)),"")="نقدي",INDEX(Treasuries!$E:$E,MATCH(INDEX(Locations!$G:$G,MATCH($C60,Locations!$A:$A,0)),Treasuries!$A:$A,0)),INDEX(Payment_Methods!$D:$D,MATCH("CARD",Payment_Methods!$A:$A,0))),"؟"),"")</f>
        <v/>
      </c>
      <c r="AM60" s="32">
        <f>IF(AND($AV60=1,N($N60)&gt;0),IFERROR(IF(IFERROR(INDEX(Payment_Methods!$C:$C,MATCH("TLB",Payment_Methods!$A:$A,0)),"")="نقدي",INDEX(Treasuries!$E:$E,MATCH(INDEX(Locations!$G:$G,MATCH($C60,Locations!$A:$A,0)),Treasuries!$A:$A,0)),INDEX(Payment_Methods!$D:$D,MATCH("TLB",Payment_Methods!$A:$A,0))),"؟"),"")</f>
        <v/>
      </c>
      <c r="AN60" s="32">
        <f>IF(AND($AV60=1,N($O60)&gt;0),IFERROR(IF(IFERROR(INDEX(Payment_Methods!$C:$C,MATCH("DLV2",Payment_Methods!$A:$A,0)),"")="نقدي",INDEX(Treasuries!$E:$E,MATCH(INDEX(Locations!$G:$G,MATCH($C60,Locations!$A:$A,0)),Treasuries!$A:$A,0)),INDEX(Payment_Methods!$D:$D,MATCH("DLV2",Payment_Methods!$A:$A,0))),"؟"),"")</f>
        <v/>
      </c>
      <c r="AO60" s="32">
        <f>IF(AND($AV60=1,N($P60)&gt;0),IFERROR(IF(IFERROR(INDEX(Payment_Methods!$C:$C,MATCH("INSTA",Payment_Methods!$A:$A,0)),"")="نقدي",INDEX(Treasuries!$E:$E,MATCH(INDEX(Locations!$G:$G,MATCH($C60,Locations!$A:$A,0)),Treasuries!$A:$A,0)),INDEX(Payment_Methods!$D:$D,MATCH("INSTA",Payment_Methods!$A:$A,0))),"؟"),"")</f>
        <v/>
      </c>
      <c r="AP60" s="32">
        <f>IF(AND($AV60=1,N($Q60)&gt;0),IFERROR(IF(IFERROR(INDEX(Payment_Methods!$C:$C,MATCH($R60,Payment_Methods!$A:$A,0)),"")="نقدي",INDEX(Treasuries!$E:$E,MATCH(INDEX(Locations!$G:$G,MATCH($C60,Locations!$A:$A,0)),Treasuries!$A:$A,0)),INDEX(Payment_Methods!$D:$D,MATCH($R60,Payment_Methods!$A:$A,0))),"؟"),"")</f>
        <v/>
      </c>
      <c r="AQ60" s="32">
        <f>INDEX(Lists!$U$5:$U$8,1)</f>
        <v/>
      </c>
      <c r="AR60" s="32">
        <f>INDEX(Lists!$U$5:$U$8,2)</f>
        <v/>
      </c>
      <c r="AS60" s="32">
        <f>INDEX(Lists!$U$5:$U$8,3)</f>
        <v/>
      </c>
      <c r="AT60" s="32">
        <f>INDEX(Lists!$U$5:$U$8,4)</f>
        <v/>
      </c>
      <c r="AU60" s="44">
        <f>IF($AV60=1,IF(COUNTIFS(Daily_Recon!$A:$A,$B60,Daily_Recon!$B:$B,$C60)&gt;0,"نعم","لا"),"")</f>
        <v/>
      </c>
      <c r="AV60" s="32">
        <f>IF(COUNTA($A60:$Y60)&gt;0,1,0)</f>
        <v/>
      </c>
      <c r="AW60" s="32">
        <f>IF($AV60=0,"",IF($A60="","رقم المستند ناقص",IF(COUNTIF(Doc_Register!$A:$A,$A60)&gt;1,"رقم مستند مكرر في السجل المركزي",IF(LEFT($A60,LEN("SAL")+1)&lt;&gt;"SAL"&amp;"-","بادئة الرقم لا تطابق نوع المستند",IF(NOT(ISNUMBER($B60)),"التاريخ ناقص أو غير صحيح",IF($S60="","حالة المستند ناقصة",IF($T60="","اسم المُعِد ناقص",IF(AND(OR($S60=ST_APPR,$S60=ST_POST),$U60=""),"لا يوجد معتمد",IF(AND($U60&lt;&gt;"",$U60=$T60),"المُعِد والمعتمد نفس الشخص (فصل المهام)",IF(AND($S60=ST_POST,$V60=""),"اسم المحاسب المرحِّل ناقص",IF(AND($S60=ST_POST,$V60&lt;&gt;"",OR($V60=$T60,$V60=$U60)),"المرحِّل يجب أن يختلف عن المُعِد والمعتمد",IF(AND($S60=ST_REV,$X60=""),"مرجع التصحيح/الإلغاء ناقص",IF(AND(ISNUMBER($B60),OR($S60=ST_DRAFT,$S60=ST_APPR),COUNTIFS(Period_Close!$A:$A,YEAR($B60)*100+MONTH($B60),Period_Close!$B:$B,"مقفلة")&gt;0),"الفترة مقفلة: لا يسمح بمستند جديد",IF(NOT(COUNTIF(Locations!$A:$A,$C60)&gt;0),"الفرع غير معرف",IF(IFERROR(INDEX(Locations!$C:$C,MATCH($C60,Locations!$A:$A,0)),"")&lt;&gt;"فرع","الموقع المختار ليس فرع بيع",IF(AND($S60&lt;&gt;ST_REV,$S60&lt;&gt;ST_CANC,COUNTIFS($B$4:$B59,$B60,$C$4:$C59,$C60,$S$4:$S59,"&lt;&gt;"&amp;ST_REV,$S$4:$S59,"&lt;&gt;"&amp;ST_CANC)&gt;0),"تقرير مبيعات مكرر لنفس الفرع واليوم",IF(MIN($E60,$F60,$G60,$H60,$I60,$J60,$L60,$M60,$N60,$O60,$P60,$Q60)&lt;0,"توجد مبالغ سالبة (استخدم مستند عكسي)",IF($Z60&lt;=0,"إجمالي المبيعات صفر",IF($AA60&lt;0,"الخصومات والمرتجعات أكبر من المبيعات",IF(AND(N($Q60)&gt;0,$R60=""),"كود وسيلة الدفع الأخرى ناقص",IF(ABS($AC60)&gt;S_Tol,"مجموع وسائل الدفع لا يساوي صافي المبيعات",IF(OR(AND(N($L60)&gt;0,COUNTIFS(COA!$A:$A,$AK60,COA!$R:$R,1)&lt;&gt;1),AND(N($M60)&gt;0,COUNTIFS(COA!$A:$A,$AL60,COA!$R:$R,1)&lt;&gt;1),AND(N($N60)&gt;0,COUNTIFS(COA!$A:$A,$AM60,COA!$R:$R,1)&lt;&gt;1),AND(N($O60)&gt;0,COUNTIFS(COA!$A:$A,$AN60,COA!$R:$R,1)&lt;&gt;1),AND(N($P60)&gt;0,COUNTIFS(COA!$A:$A,$AO60,COA!$R:$R,1)&lt;&gt;1),AND(N($Q60)&gt;0,COUNTIFS(COA!$A:$A,$AP60,COA!$R:$R,1)&lt;&gt;1),AND(N($E60)&gt;0,COUNTIFS(COA!$A:$A,$AQ60,COA!$R:$R,1)&lt;&gt;1),AND(N($F60)&gt;0,COUNTIFS(COA!$A:$A,$AR60,COA!$R:$R,1)&lt;&gt;1),AND(N($G60)&gt;0,COUNTIFS(COA!$A:$A,$AS60,COA!$R:$R,1)&lt;&gt;1),AND(N($H60)&gt;0,COUNTIFS(COA!$A:$A,$AT60,COA!$R:$R,1)&lt;&gt;1)),"حساب تسوية أو إيراد غير صالح",IF($AJ60&lt;-S_Tol,"الضريبة المحسوبة سالبة","")))))))))))))))))))))))</f>
        <v/>
      </c>
      <c r="AX60" s="32">
        <f>IF($AV60=1,IF($AW60&lt;&gt;"",1,0),0)</f>
        <v/>
      </c>
      <c r="AY60" s="32">
        <f>IF(AND($AV60=1,$AX60=0,$S60=ST_POST),1,0)</f>
        <v/>
      </c>
    </row>
  </sheetData>
  <sheetProtection selectLockedCells="0" selectUnlockedCells="0" sheet="1" objects="0" insertRows="1" insertHyperlinks="1" autoFilter="0" scenarios="0" formatColumns="0" deleteColumns="1" insertColumns="1" pivotTables="1" deleteRows="1" formatCells="0" formatRows="0" sort="1"/>
  <autoFilter ref="A4:AY60"/>
  <conditionalFormatting sqref="S5:S60">
    <cfRule type="expression" priority="1" dxfId="1">
      <formula>S5="مرحل"</formula>
    </cfRule>
    <cfRule type="expression" priority="2" dxfId="0">
      <formula>S5="معكوس"</formula>
    </cfRule>
  </conditionalFormatting>
  <conditionalFormatting sqref="AC5:AC60">
    <cfRule type="expression" priority="3" dxfId="2">
      <formula>AND(ISNUMBER(AC5),ABS(AC5)&gt;0.005)</formula>
    </cfRule>
  </conditionalFormatting>
  <conditionalFormatting sqref="AW5:AW60">
    <cfRule type="expression" priority="4" dxfId="3">
      <formula>LEN(AW5)&gt;0</formula>
    </cfRule>
  </conditionalFormatting>
  <dataValidations count="21">
    <dataValidation sqref="B5:B60" showDropDown="0" showInputMessage="0" showErrorMessage="1" allowBlank="1" errorTitle="تاريخ غير صحيح" error="أدخل تاريخًا صحيحًا." type="date" operator="greaterThan">
      <formula1>36526</formula1>
    </dataValidation>
    <dataValidation sqref="C5:C60" showDropDown="0" showInputMessage="0" showErrorMessage="1" allowBlank="1" errorTitle="قيمة غير مسموحة" error="اختر قيمة من القائمة المنسدلة." type="list">
      <formula1>=Locations!$A$5:$A$34</formula1>
    </dataValidation>
    <dataValidation sqref="D5:D60" showDropDown="0" showInputMessage="0" showErrorMessage="1" allowBlank="1" error="أدخل عددًا صحيحًا موجبًا." type="whole" operator="greaterThanOrEqual">
      <formula1>0</formula1>
    </dataValidation>
    <dataValidation sqref="E5:E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F5:F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G5:G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H5:H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I5:I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J5:J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K5:K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L5:L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M5:M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N5:N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O5:O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P5:P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Q5:Q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R5:R60" showDropDown="0" showInputMessage="0" showErrorMessage="1" allowBlank="1" errorTitle="قيمة غير مسموحة" error="اختر قيمة من القائمة المنسدلة." type="list">
      <formula1>=Payment_Methods!$A$5:$A$19</formula1>
    </dataValidation>
    <dataValidation sqref="S5:S60" showDropDown="0" showInputMessage="0" showErrorMessage="1" allowBlank="1" errorTitle="قيمة غير مسموحة" error="اختر قيمة من القائمة المنسدلة." type="list">
      <formula1>=Lists!$A$5:$A$9</formula1>
    </dataValidation>
    <dataValidation sqref="T5:T60" showDropDown="0" showInputMessage="0" showErrorMessage="1" allowBlank="1" errorTitle="قيمة غير مسموحة" error="اختر قيمة من القائمة المنسدلة." type="list">
      <formula1>=Users!$B$5:$B$44</formula1>
    </dataValidation>
    <dataValidation sqref="U5:U60" showDropDown="0" showInputMessage="0" showErrorMessage="1" allowBlank="1" errorTitle="قيمة غير مسموحة" error="اختر قيمة من القائمة المنسدلة." type="list">
      <formula1>=Users!$B$5:$B$44</formula1>
    </dataValidation>
    <dataValidation sqref="V5:V60" showDropDown="0" showInputMessage="0" showErrorMessage="1" allowBlank="1" errorTitle="قيمة غير مسموحة" error="اختر قيمة من القائمة المنسدلة." type="list">
      <formula1>=Users!$B$5:$B$44</formula1>
    </dataValidation>
  </dataValidations>
  <pageMargins left="0.75" right="0.75" top="1" bottom="1" header="0.5" footer="0.5"/>
  <pageSetup orientation="landscape" fitToHeight="0" fitToWidth="1"/>
</worksheet>
</file>

<file path=xl/worksheets/sheet26.xml><?xml version="1.0" encoding="utf-8"?>
<worksheet xmlns="http://schemas.openxmlformats.org/spreadsheetml/2006/main">
  <sheetPr>
    <tabColor rgb="00548235"/>
    <outlinePr summaryBelow="1" summaryRight="1"/>
    <pageSetUpPr fitToPage="1"/>
  </sheetPr>
  <dimension ref="A1:AA20"/>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0" customWidth="1" min="3" max="3"/>
    <col width="9" customWidth="1" min="4" max="4"/>
    <col width="11" customWidth="1" min="5" max="5"/>
    <col width="11" customWidth="1" min="6" max="6"/>
    <col width="14" customWidth="1" min="7" max="7"/>
    <col width="12" customWidth="1" min="8" max="8"/>
    <col width="12" customWidth="1" min="9" max="9"/>
    <col width="14" customWidth="1" min="10" max="10"/>
    <col width="12" customWidth="1" min="11" max="11"/>
    <col width="11" customWidth="1" min="12" max="12"/>
    <col width="22" customWidth="1" min="13" max="13"/>
    <col width="22" customWidth="1" min="14" max="14"/>
    <col width="22" customWidth="1" min="15" max="15"/>
    <col width="16" customWidth="1" min="16" max="16"/>
    <col width="18" customWidth="1" min="17" max="17"/>
    <col width="24" customWidth="1" min="18" max="18"/>
    <col width="13" customWidth="1" min="19" max="19"/>
    <col width="12" customWidth="1" min="20" max="20"/>
    <col hidden="1" width="9" customWidth="1" min="21" max="21"/>
    <col hidden="1" width="9" customWidth="1" min="22" max="22"/>
    <col hidden="1" width="9" customWidth="1" min="23" max="23"/>
    <col hidden="1" width="7" customWidth="1" min="24" max="24"/>
    <col width="44" customWidth="1" min="25" max="25"/>
    <col hidden="1" width="6" customWidth="1" min="26" max="26"/>
    <col hidden="1" width="7" customWidth="1" min="27" max="27"/>
  </cols>
  <sheetData>
    <row r="1" ht="26" customHeight="1">
      <c r="A1" s="22" t="inlineStr">
        <is>
          <t>تسويات المنصات والبطاقات (Platform &amp; Card Settlements)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c r="A2" s="35" t="inlineStr">
        <is>
          <t>مصدر المستند: نموذج كشف تسوية منصة توصيل (16). سجّل (إجمالي المستحق المسدَّد) ثم العمولة والخصومات الأخرى ثم المبلغ الفعلي الذي دخل البنك. الفرق يذهب لحساب مراجعة 1309 وليس إلى مصروف.</t>
        </is>
      </c>
    </row>
    <row r="3">
      <c r="A3" s="36" t="inlineStr">
        <is>
          <t>خلايا الإدخال</t>
        </is>
      </c>
      <c r="B3" s="37" t="inlineStr">
        <is>
          <t>معادلات (لا تعدّل)</t>
        </is>
      </c>
    </row>
    <row r="4" ht="34" customHeight="1">
      <c r="A4" s="24" t="inlineStr">
        <is>
          <t>رقم كشف التسوية</t>
        </is>
      </c>
      <c r="B4" s="24" t="inlineStr">
        <is>
          <t>تاريخ التسوية/الاستلام</t>
        </is>
      </c>
      <c r="C4" s="24" t="inlineStr">
        <is>
          <t>المنصة / الوسيلة</t>
        </is>
      </c>
      <c r="D4" s="24" t="inlineStr">
        <is>
          <t>الفرع</t>
        </is>
      </c>
      <c r="E4" s="24" t="inlineStr">
        <is>
          <t>الفترة من</t>
        </is>
      </c>
      <c r="F4" s="24" t="inlineStr">
        <is>
          <t>الفترة إلى</t>
        </is>
      </c>
      <c r="G4" s="24" t="inlineStr">
        <is>
          <t>قيمة الطلبات المسدَّدة (إجمالي)</t>
        </is>
      </c>
      <c r="H4" s="24" t="inlineStr">
        <is>
          <t>عمولة المنصة (-)</t>
        </is>
      </c>
      <c r="I4" s="24" t="inlineStr">
        <is>
          <t>خصومات/غرامات أخرى (-)</t>
        </is>
      </c>
      <c r="J4" s="24" t="inlineStr">
        <is>
          <t>المبلغ المستلم فعليًا</t>
        </is>
      </c>
      <c r="K4" s="24" t="inlineStr">
        <is>
          <t>حساب الاستلام (بنك/خزينة)</t>
        </is>
      </c>
      <c r="L4" s="24" t="inlineStr">
        <is>
          <t>حالة المستند</t>
        </is>
      </c>
      <c r="M4" s="24" t="inlineStr">
        <is>
          <t>المُعِد / مقدم الطلب</t>
        </is>
      </c>
      <c r="N4" s="24" t="inlineStr">
        <is>
          <t>المعتمد</t>
        </is>
      </c>
      <c r="O4" s="24" t="inlineStr">
        <is>
          <t>المحاسب المرحِّل</t>
        </is>
      </c>
      <c r="P4" s="24" t="inlineStr">
        <is>
          <t>مرفق / مرجع ورقي</t>
        </is>
      </c>
      <c r="Q4" s="24" t="inlineStr">
        <is>
          <t>مرجع التصحيح / الإلغاء</t>
        </is>
      </c>
      <c r="R4" s="24" t="inlineStr">
        <is>
          <t>ملاحظات</t>
        </is>
      </c>
      <c r="S4" s="38" t="inlineStr">
        <is>
          <t>الصافي المتوقع</t>
        </is>
      </c>
      <c r="T4" s="38" t="inlineStr">
        <is>
          <t>الفرق (متوقع - فعلي)</t>
        </is>
      </c>
      <c r="U4" s="38" t="inlineStr">
        <is>
          <t>حساب المستحقات</t>
        </is>
      </c>
      <c r="V4" s="38" t="inlineStr">
        <is>
          <t>حساب العمولة</t>
        </is>
      </c>
      <c r="W4" s="38" t="inlineStr">
        <is>
          <t>حساب الاستلام</t>
        </is>
      </c>
      <c r="X4" s="38" t="inlineStr">
        <is>
          <t>مستخدم</t>
        </is>
      </c>
      <c r="Y4" s="38" t="inlineStr">
        <is>
          <t>فحص المستند (أول خطأ)</t>
        </is>
      </c>
      <c r="Z4" s="38" t="inlineStr">
        <is>
          <t>خطأ؟</t>
        </is>
      </c>
      <c r="AA4" s="38" t="inlineStr">
        <is>
          <t>يُرحَّل؟</t>
        </is>
      </c>
    </row>
    <row r="5">
      <c r="A5" s="29" t="n"/>
      <c r="B5" s="31" t="n"/>
      <c r="C5" s="39" t="n"/>
      <c r="D5" s="39" t="n"/>
      <c r="E5" s="31" t="n"/>
      <c r="F5" s="31" t="n"/>
      <c r="G5" s="42" t="n"/>
      <c r="H5" s="42" t="n"/>
      <c r="I5" s="42" t="n"/>
      <c r="J5" s="42" t="n"/>
      <c r="K5" s="39" t="n"/>
      <c r="L5" s="39" t="n"/>
      <c r="M5" s="29" t="n"/>
      <c r="N5" s="29" t="n"/>
      <c r="O5" s="29" t="n"/>
      <c r="P5" s="29" t="n"/>
      <c r="Q5" s="29" t="n"/>
      <c r="R5" s="29" t="n"/>
      <c r="S5" s="43">
        <f>IF($X5=1,$G5-$H5-$I5,"")</f>
        <v/>
      </c>
      <c r="T5" s="47">
        <f>IF($X5=1,ROUND($S5-$J5,2),"")</f>
        <v/>
      </c>
      <c r="U5" s="32">
        <f>IF($X5=1,IFERROR(INDEX(Payment_Methods!$D:$D,MATCH($C5,Payment_Methods!$A:$A,0)),"؟"),"")</f>
        <v/>
      </c>
      <c r="V5" s="32">
        <f>IF($X5=1,IFERROR(INDEX(Payment_Methods!$E:$E,MATCH($C5,Payment_Methods!$A:$A,0)),"؟"),"")</f>
        <v/>
      </c>
      <c r="W5" s="32">
        <f>IF($X5=1,IFERROR(INDEX(Treasuries!$E:$E,MATCH($K5,Treasuries!$A:$A,0)),"؟"),"")</f>
        <v/>
      </c>
      <c r="X5" s="32">
        <f>IF(COUNTA($A5:$R5)&gt;0,1,0)</f>
        <v/>
      </c>
      <c r="Y5" s="32">
        <f>IF($X5=0,"",IF($A5="","رقم المستند ناقص",IF(COUNTIF(Doc_Register!$A:$A,$A5)&gt;1,"رقم مستند مكرر في السجل المركزي",IF(LEFT($A5,LEN("PLT")+1)&lt;&gt;"PLT"&amp;"-","بادئة الرقم لا تطابق نوع المستند",IF(NOT(ISNUMBER($B5)),"التاريخ ناقص أو غير صحيح",IF($L5="","حالة المستند ناقصة",IF($M5="","اسم المُعِد ناقص",IF(AND(OR($L5=ST_APPR,$L5=ST_POST),$N5=""),"لا يوجد معتمد",IF(AND($N5&lt;&gt;"",$N5=$M5),"المُعِد والمعتمد نفس الشخص (فصل المهام)",IF(AND($L5=ST_POST,$O5=""),"اسم المحاسب المرحِّل ناقص",IF(AND($L5=ST_POST,$O5&lt;&gt;"",OR($O5=$M5,$O5=$N5)),"المرحِّل يجب أن يختلف عن المُعِد والمعتمد",IF(AND($L5=ST_REV,$Q5=""),"مرجع التصحيح/الإلغاء ناقص",IF(AND(ISNUMBER($B5),OR($L5=ST_DRAFT,$L5=ST_APPR),COUNTIFS(Period_Close!$A:$A,YEAR($B5)*100+MONTH($B5),Period_Close!$B:$B,"مقفلة")&gt;0),"الفترة مقفلة: لا يسمح بمستند جديد",IF(IFERROR(INDEX(Payment_Methods!$C:$C,MATCH($C5,Payment_Methods!$A:$A,0)),"")="","المنصة/الوسيلة غير معرفة",IF(IFERROR(INDEX(Payment_Methods!$C:$C,MATCH($C5,Payment_Methods!$A:$A,0)),"")="نقدي","الوسيلة نقدية: لا تحتاج كشف تسوية",IF(NOT(COUNTIF(Locations!$A:$A,$D5)&gt;0),"الفرع غير معرف",IF(NOT(AND($G5&gt;0,$J5&gt;=0)),"قيمة الطلبات يجب أن تكون موجبة والمستلم غير سالب",IF(OR($H5&lt;0,$I5&lt;0),"العمولة/الخصومات لا تكون سالبة",IF($S5&lt;0,"العمولة والخصومات أكبر من قيمة الطلبات",IF(AND(ISNUMBER($E5),ISNUMBER($F5),$E5&gt;$F5),"بداية الفترة بعد نهايتها",IF(OR(NOT(ISNUMBER($E5)),NOT(ISNUMBER($F5))),"فترة الكشف ناقصة",IF(COUNTIFS(COA!$A:$A,$U5,COA!$R:$R,1)&lt;&gt;1,"حساب المستحقات غير صالح",IF(COUNTIFS(COA!$A:$A,$W5,COA!$R:$R,1)&lt;&gt;1,"حساب الاستلام غير صالح",IF(AND($H5&gt;0,COUNTIFS(COA!$A:$A,$V5,COA!$R:$R,1)&lt;&gt;1),"حساب العمولة غير صالح",""))))))))))))))))))))))))</f>
        <v/>
      </c>
      <c r="Z5" s="32">
        <f>IF($X5=1,IF($Y5&lt;&gt;"",1,0),0)</f>
        <v/>
      </c>
      <c r="AA5" s="32">
        <f>IF(AND($X5=1,$Z5=0,$L5=ST_POST),1,0)</f>
        <v/>
      </c>
    </row>
    <row r="6">
      <c r="A6" s="29" t="n"/>
      <c r="B6" s="31" t="n"/>
      <c r="C6" s="39" t="n"/>
      <c r="D6" s="39" t="n"/>
      <c r="E6" s="31" t="n"/>
      <c r="F6" s="31" t="n"/>
      <c r="G6" s="42" t="n"/>
      <c r="H6" s="42" t="n"/>
      <c r="I6" s="42" t="n"/>
      <c r="J6" s="42" t="n"/>
      <c r="K6" s="39" t="n"/>
      <c r="L6" s="39" t="n"/>
      <c r="M6" s="29" t="n"/>
      <c r="N6" s="29" t="n"/>
      <c r="O6" s="29" t="n"/>
      <c r="P6" s="29" t="n"/>
      <c r="Q6" s="29" t="n"/>
      <c r="R6" s="29" t="n"/>
      <c r="S6" s="43">
        <f>IF($X6=1,$G6-$H6-$I6,"")</f>
        <v/>
      </c>
      <c r="T6" s="47">
        <f>IF($X6=1,ROUND($S6-$J6,2),"")</f>
        <v/>
      </c>
      <c r="U6" s="32">
        <f>IF($X6=1,IFERROR(INDEX(Payment_Methods!$D:$D,MATCH($C6,Payment_Methods!$A:$A,0)),"؟"),"")</f>
        <v/>
      </c>
      <c r="V6" s="32">
        <f>IF($X6=1,IFERROR(INDEX(Payment_Methods!$E:$E,MATCH($C6,Payment_Methods!$A:$A,0)),"؟"),"")</f>
        <v/>
      </c>
      <c r="W6" s="32">
        <f>IF($X6=1,IFERROR(INDEX(Treasuries!$E:$E,MATCH($K6,Treasuries!$A:$A,0)),"؟"),"")</f>
        <v/>
      </c>
      <c r="X6" s="32">
        <f>IF(COUNTA($A6:$R6)&gt;0,1,0)</f>
        <v/>
      </c>
      <c r="Y6" s="32">
        <f>IF($X6=0,"",IF($A6="","رقم المستند ناقص",IF(COUNTIF(Doc_Register!$A:$A,$A6)&gt;1,"رقم مستند مكرر في السجل المركزي",IF(LEFT($A6,LEN("PLT")+1)&lt;&gt;"PLT"&amp;"-","بادئة الرقم لا تطابق نوع المستند",IF(NOT(ISNUMBER($B6)),"التاريخ ناقص أو غير صحيح",IF($L6="","حالة المستند ناقصة",IF($M6="","اسم المُعِد ناقص",IF(AND(OR($L6=ST_APPR,$L6=ST_POST),$N6=""),"لا يوجد معتمد",IF(AND($N6&lt;&gt;"",$N6=$M6),"المُعِد والمعتمد نفس الشخص (فصل المهام)",IF(AND($L6=ST_POST,$O6=""),"اسم المحاسب المرحِّل ناقص",IF(AND($L6=ST_POST,$O6&lt;&gt;"",OR($O6=$M6,$O6=$N6)),"المرحِّل يجب أن يختلف عن المُعِد والمعتمد",IF(AND($L6=ST_REV,$Q6=""),"مرجع التصحيح/الإلغاء ناقص",IF(AND(ISNUMBER($B6),OR($L6=ST_DRAFT,$L6=ST_APPR),COUNTIFS(Period_Close!$A:$A,YEAR($B6)*100+MONTH($B6),Period_Close!$B:$B,"مقفلة")&gt;0),"الفترة مقفلة: لا يسمح بمستند جديد",IF(IFERROR(INDEX(Payment_Methods!$C:$C,MATCH($C6,Payment_Methods!$A:$A,0)),"")="","المنصة/الوسيلة غير معرفة",IF(IFERROR(INDEX(Payment_Methods!$C:$C,MATCH($C6,Payment_Methods!$A:$A,0)),"")="نقدي","الوسيلة نقدية: لا تحتاج كشف تسوية",IF(NOT(COUNTIF(Locations!$A:$A,$D6)&gt;0),"الفرع غير معرف",IF(NOT(AND($G6&gt;0,$J6&gt;=0)),"قيمة الطلبات يجب أن تكون موجبة والمستلم غير سالب",IF(OR($H6&lt;0,$I6&lt;0),"العمولة/الخصومات لا تكون سالبة",IF($S6&lt;0,"العمولة والخصومات أكبر من قيمة الطلبات",IF(AND(ISNUMBER($E6),ISNUMBER($F6),$E6&gt;$F6),"بداية الفترة بعد نهايتها",IF(OR(NOT(ISNUMBER($E6)),NOT(ISNUMBER($F6))),"فترة الكشف ناقصة",IF(COUNTIFS(COA!$A:$A,$U6,COA!$R:$R,1)&lt;&gt;1,"حساب المستحقات غير صالح",IF(COUNTIFS(COA!$A:$A,$W6,COA!$R:$R,1)&lt;&gt;1,"حساب الاستلام غير صالح",IF(AND($H6&gt;0,COUNTIFS(COA!$A:$A,$V6,COA!$R:$R,1)&lt;&gt;1),"حساب العمولة غير صالح",""))))))))))))))))))))))))</f>
        <v/>
      </c>
      <c r="Z6" s="32">
        <f>IF($X6=1,IF($Y6&lt;&gt;"",1,0),0)</f>
        <v/>
      </c>
      <c r="AA6" s="32">
        <f>IF(AND($X6=1,$Z6=0,$L6=ST_POST),1,0)</f>
        <v/>
      </c>
    </row>
    <row r="7">
      <c r="A7" s="29" t="n"/>
      <c r="B7" s="31" t="n"/>
      <c r="C7" s="39" t="n"/>
      <c r="D7" s="39" t="n"/>
      <c r="E7" s="31" t="n"/>
      <c r="F7" s="31" t="n"/>
      <c r="G7" s="42" t="n"/>
      <c r="H7" s="42" t="n"/>
      <c r="I7" s="42" t="n"/>
      <c r="J7" s="42" t="n"/>
      <c r="K7" s="39" t="n"/>
      <c r="L7" s="39" t="n"/>
      <c r="M7" s="29" t="n"/>
      <c r="N7" s="29" t="n"/>
      <c r="O7" s="29" t="n"/>
      <c r="P7" s="29" t="n"/>
      <c r="Q7" s="29" t="n"/>
      <c r="R7" s="29" t="n"/>
      <c r="S7" s="43">
        <f>IF($X7=1,$G7-$H7-$I7,"")</f>
        <v/>
      </c>
      <c r="T7" s="47">
        <f>IF($X7=1,ROUND($S7-$J7,2),"")</f>
        <v/>
      </c>
      <c r="U7" s="32">
        <f>IF($X7=1,IFERROR(INDEX(Payment_Methods!$D:$D,MATCH($C7,Payment_Methods!$A:$A,0)),"؟"),"")</f>
        <v/>
      </c>
      <c r="V7" s="32">
        <f>IF($X7=1,IFERROR(INDEX(Payment_Methods!$E:$E,MATCH($C7,Payment_Methods!$A:$A,0)),"؟"),"")</f>
        <v/>
      </c>
      <c r="W7" s="32">
        <f>IF($X7=1,IFERROR(INDEX(Treasuries!$E:$E,MATCH($K7,Treasuries!$A:$A,0)),"؟"),"")</f>
        <v/>
      </c>
      <c r="X7" s="32">
        <f>IF(COUNTA($A7:$R7)&gt;0,1,0)</f>
        <v/>
      </c>
      <c r="Y7" s="32">
        <f>IF($X7=0,"",IF($A7="","رقم المستند ناقص",IF(COUNTIF(Doc_Register!$A:$A,$A7)&gt;1,"رقم مستند مكرر في السجل المركزي",IF(LEFT($A7,LEN("PLT")+1)&lt;&gt;"PLT"&amp;"-","بادئة الرقم لا تطابق نوع المستند",IF(NOT(ISNUMBER($B7)),"التاريخ ناقص أو غير صحيح",IF($L7="","حالة المستند ناقصة",IF($M7="","اسم المُعِد ناقص",IF(AND(OR($L7=ST_APPR,$L7=ST_POST),$N7=""),"لا يوجد معتمد",IF(AND($N7&lt;&gt;"",$N7=$M7),"المُعِد والمعتمد نفس الشخص (فصل المهام)",IF(AND($L7=ST_POST,$O7=""),"اسم المحاسب المرحِّل ناقص",IF(AND($L7=ST_POST,$O7&lt;&gt;"",OR($O7=$M7,$O7=$N7)),"المرحِّل يجب أن يختلف عن المُعِد والمعتمد",IF(AND($L7=ST_REV,$Q7=""),"مرجع التصحيح/الإلغاء ناقص",IF(AND(ISNUMBER($B7),OR($L7=ST_DRAFT,$L7=ST_APPR),COUNTIFS(Period_Close!$A:$A,YEAR($B7)*100+MONTH($B7),Period_Close!$B:$B,"مقفلة")&gt;0),"الفترة مقفلة: لا يسمح بمستند جديد",IF(IFERROR(INDEX(Payment_Methods!$C:$C,MATCH($C7,Payment_Methods!$A:$A,0)),"")="","المنصة/الوسيلة غير معرفة",IF(IFERROR(INDEX(Payment_Methods!$C:$C,MATCH($C7,Payment_Methods!$A:$A,0)),"")="نقدي","الوسيلة نقدية: لا تحتاج كشف تسوية",IF(NOT(COUNTIF(Locations!$A:$A,$D7)&gt;0),"الفرع غير معرف",IF(NOT(AND($G7&gt;0,$J7&gt;=0)),"قيمة الطلبات يجب أن تكون موجبة والمستلم غير سالب",IF(OR($H7&lt;0,$I7&lt;0),"العمولة/الخصومات لا تكون سالبة",IF($S7&lt;0,"العمولة والخصومات أكبر من قيمة الطلبات",IF(AND(ISNUMBER($E7),ISNUMBER($F7),$E7&gt;$F7),"بداية الفترة بعد نهايتها",IF(OR(NOT(ISNUMBER($E7)),NOT(ISNUMBER($F7))),"فترة الكشف ناقصة",IF(COUNTIFS(COA!$A:$A,$U7,COA!$R:$R,1)&lt;&gt;1,"حساب المستحقات غير صالح",IF(COUNTIFS(COA!$A:$A,$W7,COA!$R:$R,1)&lt;&gt;1,"حساب الاستلام غير صالح",IF(AND($H7&gt;0,COUNTIFS(COA!$A:$A,$V7,COA!$R:$R,1)&lt;&gt;1),"حساب العمولة غير صالح",""))))))))))))))))))))))))</f>
        <v/>
      </c>
      <c r="Z7" s="32">
        <f>IF($X7=1,IF($Y7&lt;&gt;"",1,0),0)</f>
        <v/>
      </c>
      <c r="AA7" s="32">
        <f>IF(AND($X7=1,$Z7=0,$L7=ST_POST),1,0)</f>
        <v/>
      </c>
    </row>
    <row r="8">
      <c r="A8" s="29" t="n"/>
      <c r="B8" s="31" t="n"/>
      <c r="C8" s="39" t="n"/>
      <c r="D8" s="39" t="n"/>
      <c r="E8" s="31" t="n"/>
      <c r="F8" s="31" t="n"/>
      <c r="G8" s="42" t="n"/>
      <c r="H8" s="42" t="n"/>
      <c r="I8" s="42" t="n"/>
      <c r="J8" s="42" t="n"/>
      <c r="K8" s="39" t="n"/>
      <c r="L8" s="39" t="n"/>
      <c r="M8" s="29" t="n"/>
      <c r="N8" s="29" t="n"/>
      <c r="O8" s="29" t="n"/>
      <c r="P8" s="29" t="n"/>
      <c r="Q8" s="29" t="n"/>
      <c r="R8" s="29" t="n"/>
      <c r="S8" s="43">
        <f>IF($X8=1,$G8-$H8-$I8,"")</f>
        <v/>
      </c>
      <c r="T8" s="47">
        <f>IF($X8=1,ROUND($S8-$J8,2),"")</f>
        <v/>
      </c>
      <c r="U8" s="32">
        <f>IF($X8=1,IFERROR(INDEX(Payment_Methods!$D:$D,MATCH($C8,Payment_Methods!$A:$A,0)),"؟"),"")</f>
        <v/>
      </c>
      <c r="V8" s="32">
        <f>IF($X8=1,IFERROR(INDEX(Payment_Methods!$E:$E,MATCH($C8,Payment_Methods!$A:$A,0)),"؟"),"")</f>
        <v/>
      </c>
      <c r="W8" s="32">
        <f>IF($X8=1,IFERROR(INDEX(Treasuries!$E:$E,MATCH($K8,Treasuries!$A:$A,0)),"؟"),"")</f>
        <v/>
      </c>
      <c r="X8" s="32">
        <f>IF(COUNTA($A8:$R8)&gt;0,1,0)</f>
        <v/>
      </c>
      <c r="Y8" s="32">
        <f>IF($X8=0,"",IF($A8="","رقم المستند ناقص",IF(COUNTIF(Doc_Register!$A:$A,$A8)&gt;1,"رقم مستند مكرر في السجل المركزي",IF(LEFT($A8,LEN("PLT")+1)&lt;&gt;"PLT"&amp;"-","بادئة الرقم لا تطابق نوع المستند",IF(NOT(ISNUMBER($B8)),"التاريخ ناقص أو غير صحيح",IF($L8="","حالة المستند ناقصة",IF($M8="","اسم المُعِد ناقص",IF(AND(OR($L8=ST_APPR,$L8=ST_POST),$N8=""),"لا يوجد معتمد",IF(AND($N8&lt;&gt;"",$N8=$M8),"المُعِد والمعتمد نفس الشخص (فصل المهام)",IF(AND($L8=ST_POST,$O8=""),"اسم المحاسب المرحِّل ناقص",IF(AND($L8=ST_POST,$O8&lt;&gt;"",OR($O8=$M8,$O8=$N8)),"المرحِّل يجب أن يختلف عن المُعِد والمعتمد",IF(AND($L8=ST_REV,$Q8=""),"مرجع التصحيح/الإلغاء ناقص",IF(AND(ISNUMBER($B8),OR($L8=ST_DRAFT,$L8=ST_APPR),COUNTIFS(Period_Close!$A:$A,YEAR($B8)*100+MONTH($B8),Period_Close!$B:$B,"مقفلة")&gt;0),"الفترة مقفلة: لا يسمح بمستند جديد",IF(IFERROR(INDEX(Payment_Methods!$C:$C,MATCH($C8,Payment_Methods!$A:$A,0)),"")="","المنصة/الوسيلة غير معرفة",IF(IFERROR(INDEX(Payment_Methods!$C:$C,MATCH($C8,Payment_Methods!$A:$A,0)),"")="نقدي","الوسيلة نقدية: لا تحتاج كشف تسوية",IF(NOT(COUNTIF(Locations!$A:$A,$D8)&gt;0),"الفرع غير معرف",IF(NOT(AND($G8&gt;0,$J8&gt;=0)),"قيمة الطلبات يجب أن تكون موجبة والمستلم غير سالب",IF(OR($H8&lt;0,$I8&lt;0),"العمولة/الخصومات لا تكون سالبة",IF($S8&lt;0,"العمولة والخصومات أكبر من قيمة الطلبات",IF(AND(ISNUMBER($E8),ISNUMBER($F8),$E8&gt;$F8),"بداية الفترة بعد نهايتها",IF(OR(NOT(ISNUMBER($E8)),NOT(ISNUMBER($F8))),"فترة الكشف ناقصة",IF(COUNTIFS(COA!$A:$A,$U8,COA!$R:$R,1)&lt;&gt;1,"حساب المستحقات غير صالح",IF(COUNTIFS(COA!$A:$A,$W8,COA!$R:$R,1)&lt;&gt;1,"حساب الاستلام غير صالح",IF(AND($H8&gt;0,COUNTIFS(COA!$A:$A,$V8,COA!$R:$R,1)&lt;&gt;1),"حساب العمولة غير صالح",""))))))))))))))))))))))))</f>
        <v/>
      </c>
      <c r="Z8" s="32">
        <f>IF($X8=1,IF($Y8&lt;&gt;"",1,0),0)</f>
        <v/>
      </c>
      <c r="AA8" s="32">
        <f>IF(AND($X8=1,$Z8=0,$L8=ST_POST),1,0)</f>
        <v/>
      </c>
    </row>
    <row r="9">
      <c r="A9" s="29" t="n"/>
      <c r="B9" s="31" t="n"/>
      <c r="C9" s="39" t="n"/>
      <c r="D9" s="39" t="n"/>
      <c r="E9" s="31" t="n"/>
      <c r="F9" s="31" t="n"/>
      <c r="G9" s="42" t="n"/>
      <c r="H9" s="42" t="n"/>
      <c r="I9" s="42" t="n"/>
      <c r="J9" s="42" t="n"/>
      <c r="K9" s="39" t="n"/>
      <c r="L9" s="39" t="n"/>
      <c r="M9" s="29" t="n"/>
      <c r="N9" s="29" t="n"/>
      <c r="O9" s="29" t="n"/>
      <c r="P9" s="29" t="n"/>
      <c r="Q9" s="29" t="n"/>
      <c r="R9" s="29" t="n"/>
      <c r="S9" s="43">
        <f>IF($X9=1,$G9-$H9-$I9,"")</f>
        <v/>
      </c>
      <c r="T9" s="47">
        <f>IF($X9=1,ROUND($S9-$J9,2),"")</f>
        <v/>
      </c>
      <c r="U9" s="32">
        <f>IF($X9=1,IFERROR(INDEX(Payment_Methods!$D:$D,MATCH($C9,Payment_Methods!$A:$A,0)),"؟"),"")</f>
        <v/>
      </c>
      <c r="V9" s="32">
        <f>IF($X9=1,IFERROR(INDEX(Payment_Methods!$E:$E,MATCH($C9,Payment_Methods!$A:$A,0)),"؟"),"")</f>
        <v/>
      </c>
      <c r="W9" s="32">
        <f>IF($X9=1,IFERROR(INDEX(Treasuries!$E:$E,MATCH($K9,Treasuries!$A:$A,0)),"؟"),"")</f>
        <v/>
      </c>
      <c r="X9" s="32">
        <f>IF(COUNTA($A9:$R9)&gt;0,1,0)</f>
        <v/>
      </c>
      <c r="Y9" s="32">
        <f>IF($X9=0,"",IF($A9="","رقم المستند ناقص",IF(COUNTIF(Doc_Register!$A:$A,$A9)&gt;1,"رقم مستند مكرر في السجل المركزي",IF(LEFT($A9,LEN("PLT")+1)&lt;&gt;"PLT"&amp;"-","بادئة الرقم لا تطابق نوع المستند",IF(NOT(ISNUMBER($B9)),"التاريخ ناقص أو غير صحيح",IF($L9="","حالة المستند ناقصة",IF($M9="","اسم المُعِد ناقص",IF(AND(OR($L9=ST_APPR,$L9=ST_POST),$N9=""),"لا يوجد معتمد",IF(AND($N9&lt;&gt;"",$N9=$M9),"المُعِد والمعتمد نفس الشخص (فصل المهام)",IF(AND($L9=ST_POST,$O9=""),"اسم المحاسب المرحِّل ناقص",IF(AND($L9=ST_POST,$O9&lt;&gt;"",OR($O9=$M9,$O9=$N9)),"المرحِّل يجب أن يختلف عن المُعِد والمعتمد",IF(AND($L9=ST_REV,$Q9=""),"مرجع التصحيح/الإلغاء ناقص",IF(AND(ISNUMBER($B9),OR($L9=ST_DRAFT,$L9=ST_APPR),COUNTIFS(Period_Close!$A:$A,YEAR($B9)*100+MONTH($B9),Period_Close!$B:$B,"مقفلة")&gt;0),"الفترة مقفلة: لا يسمح بمستند جديد",IF(IFERROR(INDEX(Payment_Methods!$C:$C,MATCH($C9,Payment_Methods!$A:$A,0)),"")="","المنصة/الوسيلة غير معرفة",IF(IFERROR(INDEX(Payment_Methods!$C:$C,MATCH($C9,Payment_Methods!$A:$A,0)),"")="نقدي","الوسيلة نقدية: لا تحتاج كشف تسوية",IF(NOT(COUNTIF(Locations!$A:$A,$D9)&gt;0),"الفرع غير معرف",IF(NOT(AND($G9&gt;0,$J9&gt;=0)),"قيمة الطلبات يجب أن تكون موجبة والمستلم غير سالب",IF(OR($H9&lt;0,$I9&lt;0),"العمولة/الخصومات لا تكون سالبة",IF($S9&lt;0,"العمولة والخصومات أكبر من قيمة الطلبات",IF(AND(ISNUMBER($E9),ISNUMBER($F9),$E9&gt;$F9),"بداية الفترة بعد نهايتها",IF(OR(NOT(ISNUMBER($E9)),NOT(ISNUMBER($F9))),"فترة الكشف ناقصة",IF(COUNTIFS(COA!$A:$A,$U9,COA!$R:$R,1)&lt;&gt;1,"حساب المستحقات غير صالح",IF(COUNTIFS(COA!$A:$A,$W9,COA!$R:$R,1)&lt;&gt;1,"حساب الاستلام غير صالح",IF(AND($H9&gt;0,COUNTIFS(COA!$A:$A,$V9,COA!$R:$R,1)&lt;&gt;1),"حساب العمولة غير صالح",""))))))))))))))))))))))))</f>
        <v/>
      </c>
      <c r="Z9" s="32">
        <f>IF($X9=1,IF($Y9&lt;&gt;"",1,0),0)</f>
        <v/>
      </c>
      <c r="AA9" s="32">
        <f>IF(AND($X9=1,$Z9=0,$L9=ST_POST),1,0)</f>
        <v/>
      </c>
    </row>
    <row r="10">
      <c r="A10" s="29" t="n"/>
      <c r="B10" s="31" t="n"/>
      <c r="C10" s="39" t="n"/>
      <c r="D10" s="39" t="n"/>
      <c r="E10" s="31" t="n"/>
      <c r="F10" s="31" t="n"/>
      <c r="G10" s="42" t="n"/>
      <c r="H10" s="42" t="n"/>
      <c r="I10" s="42" t="n"/>
      <c r="J10" s="42" t="n"/>
      <c r="K10" s="39" t="n"/>
      <c r="L10" s="39" t="n"/>
      <c r="M10" s="29" t="n"/>
      <c r="N10" s="29" t="n"/>
      <c r="O10" s="29" t="n"/>
      <c r="P10" s="29" t="n"/>
      <c r="Q10" s="29" t="n"/>
      <c r="R10" s="29" t="n"/>
      <c r="S10" s="43">
        <f>IF($X10=1,$G10-$H10-$I10,"")</f>
        <v/>
      </c>
      <c r="T10" s="47">
        <f>IF($X10=1,ROUND($S10-$J10,2),"")</f>
        <v/>
      </c>
      <c r="U10" s="32">
        <f>IF($X10=1,IFERROR(INDEX(Payment_Methods!$D:$D,MATCH($C10,Payment_Methods!$A:$A,0)),"؟"),"")</f>
        <v/>
      </c>
      <c r="V10" s="32">
        <f>IF($X10=1,IFERROR(INDEX(Payment_Methods!$E:$E,MATCH($C10,Payment_Methods!$A:$A,0)),"؟"),"")</f>
        <v/>
      </c>
      <c r="W10" s="32">
        <f>IF($X10=1,IFERROR(INDEX(Treasuries!$E:$E,MATCH($K10,Treasuries!$A:$A,0)),"؟"),"")</f>
        <v/>
      </c>
      <c r="X10" s="32">
        <f>IF(COUNTA($A10:$R10)&gt;0,1,0)</f>
        <v/>
      </c>
      <c r="Y10" s="32">
        <f>IF($X10=0,"",IF($A10="","رقم المستند ناقص",IF(COUNTIF(Doc_Register!$A:$A,$A10)&gt;1,"رقم مستند مكرر في السجل المركزي",IF(LEFT($A10,LEN("PLT")+1)&lt;&gt;"PLT"&amp;"-","بادئة الرقم لا تطابق نوع المستند",IF(NOT(ISNUMBER($B10)),"التاريخ ناقص أو غير صحيح",IF($L10="","حالة المستند ناقصة",IF($M10="","اسم المُعِد ناقص",IF(AND(OR($L10=ST_APPR,$L10=ST_POST),$N10=""),"لا يوجد معتمد",IF(AND($N10&lt;&gt;"",$N10=$M10),"المُعِد والمعتمد نفس الشخص (فصل المهام)",IF(AND($L10=ST_POST,$O10=""),"اسم المحاسب المرحِّل ناقص",IF(AND($L10=ST_POST,$O10&lt;&gt;"",OR($O10=$M10,$O10=$N10)),"المرحِّل يجب أن يختلف عن المُعِد والمعتمد",IF(AND($L10=ST_REV,$Q10=""),"مرجع التصحيح/الإلغاء ناقص",IF(AND(ISNUMBER($B10),OR($L10=ST_DRAFT,$L10=ST_APPR),COUNTIFS(Period_Close!$A:$A,YEAR($B10)*100+MONTH($B10),Period_Close!$B:$B,"مقفلة")&gt;0),"الفترة مقفلة: لا يسمح بمستند جديد",IF(IFERROR(INDEX(Payment_Methods!$C:$C,MATCH($C10,Payment_Methods!$A:$A,0)),"")="","المنصة/الوسيلة غير معرفة",IF(IFERROR(INDEX(Payment_Methods!$C:$C,MATCH($C10,Payment_Methods!$A:$A,0)),"")="نقدي","الوسيلة نقدية: لا تحتاج كشف تسوية",IF(NOT(COUNTIF(Locations!$A:$A,$D10)&gt;0),"الفرع غير معرف",IF(NOT(AND($G10&gt;0,$J10&gt;=0)),"قيمة الطلبات يجب أن تكون موجبة والمستلم غير سالب",IF(OR($H10&lt;0,$I10&lt;0),"العمولة/الخصومات لا تكون سالبة",IF($S10&lt;0,"العمولة والخصومات أكبر من قيمة الطلبات",IF(AND(ISNUMBER($E10),ISNUMBER($F10),$E10&gt;$F10),"بداية الفترة بعد نهايتها",IF(OR(NOT(ISNUMBER($E10)),NOT(ISNUMBER($F10))),"فترة الكشف ناقصة",IF(COUNTIFS(COA!$A:$A,$U10,COA!$R:$R,1)&lt;&gt;1,"حساب المستحقات غير صالح",IF(COUNTIFS(COA!$A:$A,$W10,COA!$R:$R,1)&lt;&gt;1,"حساب الاستلام غير صالح",IF(AND($H10&gt;0,COUNTIFS(COA!$A:$A,$V10,COA!$R:$R,1)&lt;&gt;1),"حساب العمولة غير صالح",""))))))))))))))))))))))))</f>
        <v/>
      </c>
      <c r="Z10" s="32">
        <f>IF($X10=1,IF($Y10&lt;&gt;"",1,0),0)</f>
        <v/>
      </c>
      <c r="AA10" s="32">
        <f>IF(AND($X10=1,$Z10=0,$L10=ST_POST),1,0)</f>
        <v/>
      </c>
    </row>
    <row r="11">
      <c r="A11" s="29" t="n"/>
      <c r="B11" s="31" t="n"/>
      <c r="C11" s="39" t="n"/>
      <c r="D11" s="39" t="n"/>
      <c r="E11" s="31" t="n"/>
      <c r="F11" s="31" t="n"/>
      <c r="G11" s="42" t="n"/>
      <c r="H11" s="42" t="n"/>
      <c r="I11" s="42" t="n"/>
      <c r="J11" s="42" t="n"/>
      <c r="K11" s="39" t="n"/>
      <c r="L11" s="39" t="n"/>
      <c r="M11" s="29" t="n"/>
      <c r="N11" s="29" t="n"/>
      <c r="O11" s="29" t="n"/>
      <c r="P11" s="29" t="n"/>
      <c r="Q11" s="29" t="n"/>
      <c r="R11" s="29" t="n"/>
      <c r="S11" s="43">
        <f>IF($X11=1,$G11-$H11-$I11,"")</f>
        <v/>
      </c>
      <c r="T11" s="47">
        <f>IF($X11=1,ROUND($S11-$J11,2),"")</f>
        <v/>
      </c>
      <c r="U11" s="32">
        <f>IF($X11=1,IFERROR(INDEX(Payment_Methods!$D:$D,MATCH($C11,Payment_Methods!$A:$A,0)),"؟"),"")</f>
        <v/>
      </c>
      <c r="V11" s="32">
        <f>IF($X11=1,IFERROR(INDEX(Payment_Methods!$E:$E,MATCH($C11,Payment_Methods!$A:$A,0)),"؟"),"")</f>
        <v/>
      </c>
      <c r="W11" s="32">
        <f>IF($X11=1,IFERROR(INDEX(Treasuries!$E:$E,MATCH($K11,Treasuries!$A:$A,0)),"؟"),"")</f>
        <v/>
      </c>
      <c r="X11" s="32">
        <f>IF(COUNTA($A11:$R11)&gt;0,1,0)</f>
        <v/>
      </c>
      <c r="Y11" s="32">
        <f>IF($X11=0,"",IF($A11="","رقم المستند ناقص",IF(COUNTIF(Doc_Register!$A:$A,$A11)&gt;1,"رقم مستند مكرر في السجل المركزي",IF(LEFT($A11,LEN("PLT")+1)&lt;&gt;"PLT"&amp;"-","بادئة الرقم لا تطابق نوع المستند",IF(NOT(ISNUMBER($B11)),"التاريخ ناقص أو غير صحيح",IF($L11="","حالة المستند ناقصة",IF($M11="","اسم المُعِد ناقص",IF(AND(OR($L11=ST_APPR,$L11=ST_POST),$N11=""),"لا يوجد معتمد",IF(AND($N11&lt;&gt;"",$N11=$M11),"المُعِد والمعتمد نفس الشخص (فصل المهام)",IF(AND($L11=ST_POST,$O11=""),"اسم المحاسب المرحِّل ناقص",IF(AND($L11=ST_POST,$O11&lt;&gt;"",OR($O11=$M11,$O11=$N11)),"المرحِّل يجب أن يختلف عن المُعِد والمعتمد",IF(AND($L11=ST_REV,$Q11=""),"مرجع التصحيح/الإلغاء ناقص",IF(AND(ISNUMBER($B11),OR($L11=ST_DRAFT,$L11=ST_APPR),COUNTIFS(Period_Close!$A:$A,YEAR($B11)*100+MONTH($B11),Period_Close!$B:$B,"مقفلة")&gt;0),"الفترة مقفلة: لا يسمح بمستند جديد",IF(IFERROR(INDEX(Payment_Methods!$C:$C,MATCH($C11,Payment_Methods!$A:$A,0)),"")="","المنصة/الوسيلة غير معرفة",IF(IFERROR(INDEX(Payment_Methods!$C:$C,MATCH($C11,Payment_Methods!$A:$A,0)),"")="نقدي","الوسيلة نقدية: لا تحتاج كشف تسوية",IF(NOT(COUNTIF(Locations!$A:$A,$D11)&gt;0),"الفرع غير معرف",IF(NOT(AND($G11&gt;0,$J11&gt;=0)),"قيمة الطلبات يجب أن تكون موجبة والمستلم غير سالب",IF(OR($H11&lt;0,$I11&lt;0),"العمولة/الخصومات لا تكون سالبة",IF($S11&lt;0,"العمولة والخصومات أكبر من قيمة الطلبات",IF(AND(ISNUMBER($E11),ISNUMBER($F11),$E11&gt;$F11),"بداية الفترة بعد نهايتها",IF(OR(NOT(ISNUMBER($E11)),NOT(ISNUMBER($F11))),"فترة الكشف ناقصة",IF(COUNTIFS(COA!$A:$A,$U11,COA!$R:$R,1)&lt;&gt;1,"حساب المستحقات غير صالح",IF(COUNTIFS(COA!$A:$A,$W11,COA!$R:$R,1)&lt;&gt;1,"حساب الاستلام غير صالح",IF(AND($H11&gt;0,COUNTIFS(COA!$A:$A,$V11,COA!$R:$R,1)&lt;&gt;1),"حساب العمولة غير صالح",""))))))))))))))))))))))))</f>
        <v/>
      </c>
      <c r="Z11" s="32">
        <f>IF($X11=1,IF($Y11&lt;&gt;"",1,0),0)</f>
        <v/>
      </c>
      <c r="AA11" s="32">
        <f>IF(AND($X11=1,$Z11=0,$L11=ST_POST),1,0)</f>
        <v/>
      </c>
    </row>
    <row r="12">
      <c r="A12" s="29" t="n"/>
      <c r="B12" s="31" t="n"/>
      <c r="C12" s="39" t="n"/>
      <c r="D12" s="39" t="n"/>
      <c r="E12" s="31" t="n"/>
      <c r="F12" s="31" t="n"/>
      <c r="G12" s="42" t="n"/>
      <c r="H12" s="42" t="n"/>
      <c r="I12" s="42" t="n"/>
      <c r="J12" s="42" t="n"/>
      <c r="K12" s="39" t="n"/>
      <c r="L12" s="39" t="n"/>
      <c r="M12" s="29" t="n"/>
      <c r="N12" s="29" t="n"/>
      <c r="O12" s="29" t="n"/>
      <c r="P12" s="29" t="n"/>
      <c r="Q12" s="29" t="n"/>
      <c r="R12" s="29" t="n"/>
      <c r="S12" s="43">
        <f>IF($X12=1,$G12-$H12-$I12,"")</f>
        <v/>
      </c>
      <c r="T12" s="47">
        <f>IF($X12=1,ROUND($S12-$J12,2),"")</f>
        <v/>
      </c>
      <c r="U12" s="32">
        <f>IF($X12=1,IFERROR(INDEX(Payment_Methods!$D:$D,MATCH($C12,Payment_Methods!$A:$A,0)),"؟"),"")</f>
        <v/>
      </c>
      <c r="V12" s="32">
        <f>IF($X12=1,IFERROR(INDEX(Payment_Methods!$E:$E,MATCH($C12,Payment_Methods!$A:$A,0)),"؟"),"")</f>
        <v/>
      </c>
      <c r="W12" s="32">
        <f>IF($X12=1,IFERROR(INDEX(Treasuries!$E:$E,MATCH($K12,Treasuries!$A:$A,0)),"؟"),"")</f>
        <v/>
      </c>
      <c r="X12" s="32">
        <f>IF(COUNTA($A12:$R12)&gt;0,1,0)</f>
        <v/>
      </c>
      <c r="Y12" s="32">
        <f>IF($X12=0,"",IF($A12="","رقم المستند ناقص",IF(COUNTIF(Doc_Register!$A:$A,$A12)&gt;1,"رقم مستند مكرر في السجل المركزي",IF(LEFT($A12,LEN("PLT")+1)&lt;&gt;"PLT"&amp;"-","بادئة الرقم لا تطابق نوع المستند",IF(NOT(ISNUMBER($B12)),"التاريخ ناقص أو غير صحيح",IF($L12="","حالة المستند ناقصة",IF($M12="","اسم المُعِد ناقص",IF(AND(OR($L12=ST_APPR,$L12=ST_POST),$N12=""),"لا يوجد معتمد",IF(AND($N12&lt;&gt;"",$N12=$M12),"المُعِد والمعتمد نفس الشخص (فصل المهام)",IF(AND($L12=ST_POST,$O12=""),"اسم المحاسب المرحِّل ناقص",IF(AND($L12=ST_POST,$O12&lt;&gt;"",OR($O12=$M12,$O12=$N12)),"المرحِّل يجب أن يختلف عن المُعِد والمعتمد",IF(AND($L12=ST_REV,$Q12=""),"مرجع التصحيح/الإلغاء ناقص",IF(AND(ISNUMBER($B12),OR($L12=ST_DRAFT,$L12=ST_APPR),COUNTIFS(Period_Close!$A:$A,YEAR($B12)*100+MONTH($B12),Period_Close!$B:$B,"مقفلة")&gt;0),"الفترة مقفلة: لا يسمح بمستند جديد",IF(IFERROR(INDEX(Payment_Methods!$C:$C,MATCH($C12,Payment_Methods!$A:$A,0)),"")="","المنصة/الوسيلة غير معرفة",IF(IFERROR(INDEX(Payment_Methods!$C:$C,MATCH($C12,Payment_Methods!$A:$A,0)),"")="نقدي","الوسيلة نقدية: لا تحتاج كشف تسوية",IF(NOT(COUNTIF(Locations!$A:$A,$D12)&gt;0),"الفرع غير معرف",IF(NOT(AND($G12&gt;0,$J12&gt;=0)),"قيمة الطلبات يجب أن تكون موجبة والمستلم غير سالب",IF(OR($H12&lt;0,$I12&lt;0),"العمولة/الخصومات لا تكون سالبة",IF($S12&lt;0,"العمولة والخصومات أكبر من قيمة الطلبات",IF(AND(ISNUMBER($E12),ISNUMBER($F12),$E12&gt;$F12),"بداية الفترة بعد نهايتها",IF(OR(NOT(ISNUMBER($E12)),NOT(ISNUMBER($F12))),"فترة الكشف ناقصة",IF(COUNTIFS(COA!$A:$A,$U12,COA!$R:$R,1)&lt;&gt;1,"حساب المستحقات غير صالح",IF(COUNTIFS(COA!$A:$A,$W12,COA!$R:$R,1)&lt;&gt;1,"حساب الاستلام غير صالح",IF(AND($H12&gt;0,COUNTIFS(COA!$A:$A,$V12,COA!$R:$R,1)&lt;&gt;1),"حساب العمولة غير صالح",""))))))))))))))))))))))))</f>
        <v/>
      </c>
      <c r="Z12" s="32">
        <f>IF($X12=1,IF($Y12&lt;&gt;"",1,0),0)</f>
        <v/>
      </c>
      <c r="AA12" s="32">
        <f>IF(AND($X12=1,$Z12=0,$L12=ST_POST),1,0)</f>
        <v/>
      </c>
    </row>
    <row r="13">
      <c r="A13" s="29" t="n"/>
      <c r="B13" s="31" t="n"/>
      <c r="C13" s="39" t="n"/>
      <c r="D13" s="39" t="n"/>
      <c r="E13" s="31" t="n"/>
      <c r="F13" s="31" t="n"/>
      <c r="G13" s="42" t="n"/>
      <c r="H13" s="42" t="n"/>
      <c r="I13" s="42" t="n"/>
      <c r="J13" s="42" t="n"/>
      <c r="K13" s="39" t="n"/>
      <c r="L13" s="39" t="n"/>
      <c r="M13" s="29" t="n"/>
      <c r="N13" s="29" t="n"/>
      <c r="O13" s="29" t="n"/>
      <c r="P13" s="29" t="n"/>
      <c r="Q13" s="29" t="n"/>
      <c r="R13" s="29" t="n"/>
      <c r="S13" s="43">
        <f>IF($X13=1,$G13-$H13-$I13,"")</f>
        <v/>
      </c>
      <c r="T13" s="47">
        <f>IF($X13=1,ROUND($S13-$J13,2),"")</f>
        <v/>
      </c>
      <c r="U13" s="32">
        <f>IF($X13=1,IFERROR(INDEX(Payment_Methods!$D:$D,MATCH($C13,Payment_Methods!$A:$A,0)),"؟"),"")</f>
        <v/>
      </c>
      <c r="V13" s="32">
        <f>IF($X13=1,IFERROR(INDEX(Payment_Methods!$E:$E,MATCH($C13,Payment_Methods!$A:$A,0)),"؟"),"")</f>
        <v/>
      </c>
      <c r="W13" s="32">
        <f>IF($X13=1,IFERROR(INDEX(Treasuries!$E:$E,MATCH($K13,Treasuries!$A:$A,0)),"؟"),"")</f>
        <v/>
      </c>
      <c r="X13" s="32">
        <f>IF(COUNTA($A13:$R13)&gt;0,1,0)</f>
        <v/>
      </c>
      <c r="Y13" s="32">
        <f>IF($X13=0,"",IF($A13="","رقم المستند ناقص",IF(COUNTIF(Doc_Register!$A:$A,$A13)&gt;1,"رقم مستند مكرر في السجل المركزي",IF(LEFT($A13,LEN("PLT")+1)&lt;&gt;"PLT"&amp;"-","بادئة الرقم لا تطابق نوع المستند",IF(NOT(ISNUMBER($B13)),"التاريخ ناقص أو غير صحيح",IF($L13="","حالة المستند ناقصة",IF($M13="","اسم المُعِد ناقص",IF(AND(OR($L13=ST_APPR,$L13=ST_POST),$N13=""),"لا يوجد معتمد",IF(AND($N13&lt;&gt;"",$N13=$M13),"المُعِد والمعتمد نفس الشخص (فصل المهام)",IF(AND($L13=ST_POST,$O13=""),"اسم المحاسب المرحِّل ناقص",IF(AND($L13=ST_POST,$O13&lt;&gt;"",OR($O13=$M13,$O13=$N13)),"المرحِّل يجب أن يختلف عن المُعِد والمعتمد",IF(AND($L13=ST_REV,$Q13=""),"مرجع التصحيح/الإلغاء ناقص",IF(AND(ISNUMBER($B13),OR($L13=ST_DRAFT,$L13=ST_APPR),COUNTIFS(Period_Close!$A:$A,YEAR($B13)*100+MONTH($B13),Period_Close!$B:$B,"مقفلة")&gt;0),"الفترة مقفلة: لا يسمح بمستند جديد",IF(IFERROR(INDEX(Payment_Methods!$C:$C,MATCH($C13,Payment_Methods!$A:$A,0)),"")="","المنصة/الوسيلة غير معرفة",IF(IFERROR(INDEX(Payment_Methods!$C:$C,MATCH($C13,Payment_Methods!$A:$A,0)),"")="نقدي","الوسيلة نقدية: لا تحتاج كشف تسوية",IF(NOT(COUNTIF(Locations!$A:$A,$D13)&gt;0),"الفرع غير معرف",IF(NOT(AND($G13&gt;0,$J13&gt;=0)),"قيمة الطلبات يجب أن تكون موجبة والمستلم غير سالب",IF(OR($H13&lt;0,$I13&lt;0),"العمولة/الخصومات لا تكون سالبة",IF($S13&lt;0,"العمولة والخصومات أكبر من قيمة الطلبات",IF(AND(ISNUMBER($E13),ISNUMBER($F13),$E13&gt;$F13),"بداية الفترة بعد نهايتها",IF(OR(NOT(ISNUMBER($E13)),NOT(ISNUMBER($F13))),"فترة الكشف ناقصة",IF(COUNTIFS(COA!$A:$A,$U13,COA!$R:$R,1)&lt;&gt;1,"حساب المستحقات غير صالح",IF(COUNTIFS(COA!$A:$A,$W13,COA!$R:$R,1)&lt;&gt;1,"حساب الاستلام غير صالح",IF(AND($H13&gt;0,COUNTIFS(COA!$A:$A,$V13,COA!$R:$R,1)&lt;&gt;1),"حساب العمولة غير صالح",""))))))))))))))))))))))))</f>
        <v/>
      </c>
      <c r="Z13" s="32">
        <f>IF($X13=1,IF($Y13&lt;&gt;"",1,0),0)</f>
        <v/>
      </c>
      <c r="AA13" s="32">
        <f>IF(AND($X13=1,$Z13=0,$L13=ST_POST),1,0)</f>
        <v/>
      </c>
    </row>
    <row r="14">
      <c r="A14" s="29" t="n"/>
      <c r="B14" s="31" t="n"/>
      <c r="C14" s="39" t="n"/>
      <c r="D14" s="39" t="n"/>
      <c r="E14" s="31" t="n"/>
      <c r="F14" s="31" t="n"/>
      <c r="G14" s="42" t="n"/>
      <c r="H14" s="42" t="n"/>
      <c r="I14" s="42" t="n"/>
      <c r="J14" s="42" t="n"/>
      <c r="K14" s="39" t="n"/>
      <c r="L14" s="39" t="n"/>
      <c r="M14" s="29" t="n"/>
      <c r="N14" s="29" t="n"/>
      <c r="O14" s="29" t="n"/>
      <c r="P14" s="29" t="n"/>
      <c r="Q14" s="29" t="n"/>
      <c r="R14" s="29" t="n"/>
      <c r="S14" s="43">
        <f>IF($X14=1,$G14-$H14-$I14,"")</f>
        <v/>
      </c>
      <c r="T14" s="47">
        <f>IF($X14=1,ROUND($S14-$J14,2),"")</f>
        <v/>
      </c>
      <c r="U14" s="32">
        <f>IF($X14=1,IFERROR(INDEX(Payment_Methods!$D:$D,MATCH($C14,Payment_Methods!$A:$A,0)),"؟"),"")</f>
        <v/>
      </c>
      <c r="V14" s="32">
        <f>IF($X14=1,IFERROR(INDEX(Payment_Methods!$E:$E,MATCH($C14,Payment_Methods!$A:$A,0)),"؟"),"")</f>
        <v/>
      </c>
      <c r="W14" s="32">
        <f>IF($X14=1,IFERROR(INDEX(Treasuries!$E:$E,MATCH($K14,Treasuries!$A:$A,0)),"؟"),"")</f>
        <v/>
      </c>
      <c r="X14" s="32">
        <f>IF(COUNTA($A14:$R14)&gt;0,1,0)</f>
        <v/>
      </c>
      <c r="Y14" s="32">
        <f>IF($X14=0,"",IF($A14="","رقم المستند ناقص",IF(COUNTIF(Doc_Register!$A:$A,$A14)&gt;1,"رقم مستند مكرر في السجل المركزي",IF(LEFT($A14,LEN("PLT")+1)&lt;&gt;"PLT"&amp;"-","بادئة الرقم لا تطابق نوع المستند",IF(NOT(ISNUMBER($B14)),"التاريخ ناقص أو غير صحيح",IF($L14="","حالة المستند ناقصة",IF($M14="","اسم المُعِد ناقص",IF(AND(OR($L14=ST_APPR,$L14=ST_POST),$N14=""),"لا يوجد معتمد",IF(AND($N14&lt;&gt;"",$N14=$M14),"المُعِد والمعتمد نفس الشخص (فصل المهام)",IF(AND($L14=ST_POST,$O14=""),"اسم المحاسب المرحِّل ناقص",IF(AND($L14=ST_POST,$O14&lt;&gt;"",OR($O14=$M14,$O14=$N14)),"المرحِّل يجب أن يختلف عن المُعِد والمعتمد",IF(AND($L14=ST_REV,$Q14=""),"مرجع التصحيح/الإلغاء ناقص",IF(AND(ISNUMBER($B14),OR($L14=ST_DRAFT,$L14=ST_APPR),COUNTIFS(Period_Close!$A:$A,YEAR($B14)*100+MONTH($B14),Period_Close!$B:$B,"مقفلة")&gt;0),"الفترة مقفلة: لا يسمح بمستند جديد",IF(IFERROR(INDEX(Payment_Methods!$C:$C,MATCH($C14,Payment_Methods!$A:$A,0)),"")="","المنصة/الوسيلة غير معرفة",IF(IFERROR(INDEX(Payment_Methods!$C:$C,MATCH($C14,Payment_Methods!$A:$A,0)),"")="نقدي","الوسيلة نقدية: لا تحتاج كشف تسوية",IF(NOT(COUNTIF(Locations!$A:$A,$D14)&gt;0),"الفرع غير معرف",IF(NOT(AND($G14&gt;0,$J14&gt;=0)),"قيمة الطلبات يجب أن تكون موجبة والمستلم غير سالب",IF(OR($H14&lt;0,$I14&lt;0),"العمولة/الخصومات لا تكون سالبة",IF($S14&lt;0,"العمولة والخصومات أكبر من قيمة الطلبات",IF(AND(ISNUMBER($E14),ISNUMBER($F14),$E14&gt;$F14),"بداية الفترة بعد نهايتها",IF(OR(NOT(ISNUMBER($E14)),NOT(ISNUMBER($F14))),"فترة الكشف ناقصة",IF(COUNTIFS(COA!$A:$A,$U14,COA!$R:$R,1)&lt;&gt;1,"حساب المستحقات غير صالح",IF(COUNTIFS(COA!$A:$A,$W14,COA!$R:$R,1)&lt;&gt;1,"حساب الاستلام غير صالح",IF(AND($H14&gt;0,COUNTIFS(COA!$A:$A,$V14,COA!$R:$R,1)&lt;&gt;1),"حساب العمولة غير صالح",""))))))))))))))))))))))))</f>
        <v/>
      </c>
      <c r="Z14" s="32">
        <f>IF($X14=1,IF($Y14&lt;&gt;"",1,0),0)</f>
        <v/>
      </c>
      <c r="AA14" s="32">
        <f>IF(AND($X14=1,$Z14=0,$L14=ST_POST),1,0)</f>
        <v/>
      </c>
    </row>
    <row r="15">
      <c r="A15" s="29" t="n"/>
      <c r="B15" s="31" t="n"/>
      <c r="C15" s="39" t="n"/>
      <c r="D15" s="39" t="n"/>
      <c r="E15" s="31" t="n"/>
      <c r="F15" s="31" t="n"/>
      <c r="G15" s="42" t="n"/>
      <c r="H15" s="42" t="n"/>
      <c r="I15" s="42" t="n"/>
      <c r="J15" s="42" t="n"/>
      <c r="K15" s="39" t="n"/>
      <c r="L15" s="39" t="n"/>
      <c r="M15" s="29" t="n"/>
      <c r="N15" s="29" t="n"/>
      <c r="O15" s="29" t="n"/>
      <c r="P15" s="29" t="n"/>
      <c r="Q15" s="29" t="n"/>
      <c r="R15" s="29" t="n"/>
      <c r="S15" s="43">
        <f>IF($X15=1,$G15-$H15-$I15,"")</f>
        <v/>
      </c>
      <c r="T15" s="47">
        <f>IF($X15=1,ROUND($S15-$J15,2),"")</f>
        <v/>
      </c>
      <c r="U15" s="32">
        <f>IF($X15=1,IFERROR(INDEX(Payment_Methods!$D:$D,MATCH($C15,Payment_Methods!$A:$A,0)),"؟"),"")</f>
        <v/>
      </c>
      <c r="V15" s="32">
        <f>IF($X15=1,IFERROR(INDEX(Payment_Methods!$E:$E,MATCH($C15,Payment_Methods!$A:$A,0)),"؟"),"")</f>
        <v/>
      </c>
      <c r="W15" s="32">
        <f>IF($X15=1,IFERROR(INDEX(Treasuries!$E:$E,MATCH($K15,Treasuries!$A:$A,0)),"؟"),"")</f>
        <v/>
      </c>
      <c r="X15" s="32">
        <f>IF(COUNTA($A15:$R15)&gt;0,1,0)</f>
        <v/>
      </c>
      <c r="Y15" s="32">
        <f>IF($X15=0,"",IF($A15="","رقم المستند ناقص",IF(COUNTIF(Doc_Register!$A:$A,$A15)&gt;1,"رقم مستند مكرر في السجل المركزي",IF(LEFT($A15,LEN("PLT")+1)&lt;&gt;"PLT"&amp;"-","بادئة الرقم لا تطابق نوع المستند",IF(NOT(ISNUMBER($B15)),"التاريخ ناقص أو غير صحيح",IF($L15="","حالة المستند ناقصة",IF($M15="","اسم المُعِد ناقص",IF(AND(OR($L15=ST_APPR,$L15=ST_POST),$N15=""),"لا يوجد معتمد",IF(AND($N15&lt;&gt;"",$N15=$M15),"المُعِد والمعتمد نفس الشخص (فصل المهام)",IF(AND($L15=ST_POST,$O15=""),"اسم المحاسب المرحِّل ناقص",IF(AND($L15=ST_POST,$O15&lt;&gt;"",OR($O15=$M15,$O15=$N15)),"المرحِّل يجب أن يختلف عن المُعِد والمعتمد",IF(AND($L15=ST_REV,$Q15=""),"مرجع التصحيح/الإلغاء ناقص",IF(AND(ISNUMBER($B15),OR($L15=ST_DRAFT,$L15=ST_APPR),COUNTIFS(Period_Close!$A:$A,YEAR($B15)*100+MONTH($B15),Period_Close!$B:$B,"مقفلة")&gt;0),"الفترة مقفلة: لا يسمح بمستند جديد",IF(IFERROR(INDEX(Payment_Methods!$C:$C,MATCH($C15,Payment_Methods!$A:$A,0)),"")="","المنصة/الوسيلة غير معرفة",IF(IFERROR(INDEX(Payment_Methods!$C:$C,MATCH($C15,Payment_Methods!$A:$A,0)),"")="نقدي","الوسيلة نقدية: لا تحتاج كشف تسوية",IF(NOT(COUNTIF(Locations!$A:$A,$D15)&gt;0),"الفرع غير معرف",IF(NOT(AND($G15&gt;0,$J15&gt;=0)),"قيمة الطلبات يجب أن تكون موجبة والمستلم غير سالب",IF(OR($H15&lt;0,$I15&lt;0),"العمولة/الخصومات لا تكون سالبة",IF($S15&lt;0,"العمولة والخصومات أكبر من قيمة الطلبات",IF(AND(ISNUMBER($E15),ISNUMBER($F15),$E15&gt;$F15),"بداية الفترة بعد نهايتها",IF(OR(NOT(ISNUMBER($E15)),NOT(ISNUMBER($F15))),"فترة الكشف ناقصة",IF(COUNTIFS(COA!$A:$A,$U15,COA!$R:$R,1)&lt;&gt;1,"حساب المستحقات غير صالح",IF(COUNTIFS(COA!$A:$A,$W15,COA!$R:$R,1)&lt;&gt;1,"حساب الاستلام غير صالح",IF(AND($H15&gt;0,COUNTIFS(COA!$A:$A,$V15,COA!$R:$R,1)&lt;&gt;1),"حساب العمولة غير صالح",""))))))))))))))))))))))))</f>
        <v/>
      </c>
      <c r="Z15" s="32">
        <f>IF($X15=1,IF($Y15&lt;&gt;"",1,0),0)</f>
        <v/>
      </c>
      <c r="AA15" s="32">
        <f>IF(AND($X15=1,$Z15=0,$L15=ST_POST),1,0)</f>
        <v/>
      </c>
    </row>
    <row r="16">
      <c r="A16" s="29" t="n"/>
      <c r="B16" s="31" t="n"/>
      <c r="C16" s="39" t="n"/>
      <c r="D16" s="39" t="n"/>
      <c r="E16" s="31" t="n"/>
      <c r="F16" s="31" t="n"/>
      <c r="G16" s="42" t="n"/>
      <c r="H16" s="42" t="n"/>
      <c r="I16" s="42" t="n"/>
      <c r="J16" s="42" t="n"/>
      <c r="K16" s="39" t="n"/>
      <c r="L16" s="39" t="n"/>
      <c r="M16" s="29" t="n"/>
      <c r="N16" s="29" t="n"/>
      <c r="O16" s="29" t="n"/>
      <c r="P16" s="29" t="n"/>
      <c r="Q16" s="29" t="n"/>
      <c r="R16" s="29" t="n"/>
      <c r="S16" s="43">
        <f>IF($X16=1,$G16-$H16-$I16,"")</f>
        <v/>
      </c>
      <c r="T16" s="47">
        <f>IF($X16=1,ROUND($S16-$J16,2),"")</f>
        <v/>
      </c>
      <c r="U16" s="32">
        <f>IF($X16=1,IFERROR(INDEX(Payment_Methods!$D:$D,MATCH($C16,Payment_Methods!$A:$A,0)),"؟"),"")</f>
        <v/>
      </c>
      <c r="V16" s="32">
        <f>IF($X16=1,IFERROR(INDEX(Payment_Methods!$E:$E,MATCH($C16,Payment_Methods!$A:$A,0)),"؟"),"")</f>
        <v/>
      </c>
      <c r="W16" s="32">
        <f>IF($X16=1,IFERROR(INDEX(Treasuries!$E:$E,MATCH($K16,Treasuries!$A:$A,0)),"؟"),"")</f>
        <v/>
      </c>
      <c r="X16" s="32">
        <f>IF(COUNTA($A16:$R16)&gt;0,1,0)</f>
        <v/>
      </c>
      <c r="Y16" s="32">
        <f>IF($X16=0,"",IF($A16="","رقم المستند ناقص",IF(COUNTIF(Doc_Register!$A:$A,$A16)&gt;1,"رقم مستند مكرر في السجل المركزي",IF(LEFT($A16,LEN("PLT")+1)&lt;&gt;"PLT"&amp;"-","بادئة الرقم لا تطابق نوع المستند",IF(NOT(ISNUMBER($B16)),"التاريخ ناقص أو غير صحيح",IF($L16="","حالة المستند ناقصة",IF($M16="","اسم المُعِد ناقص",IF(AND(OR($L16=ST_APPR,$L16=ST_POST),$N16=""),"لا يوجد معتمد",IF(AND($N16&lt;&gt;"",$N16=$M16),"المُعِد والمعتمد نفس الشخص (فصل المهام)",IF(AND($L16=ST_POST,$O16=""),"اسم المحاسب المرحِّل ناقص",IF(AND($L16=ST_POST,$O16&lt;&gt;"",OR($O16=$M16,$O16=$N16)),"المرحِّل يجب أن يختلف عن المُعِد والمعتمد",IF(AND($L16=ST_REV,$Q16=""),"مرجع التصحيح/الإلغاء ناقص",IF(AND(ISNUMBER($B16),OR($L16=ST_DRAFT,$L16=ST_APPR),COUNTIFS(Period_Close!$A:$A,YEAR($B16)*100+MONTH($B16),Period_Close!$B:$B,"مقفلة")&gt;0),"الفترة مقفلة: لا يسمح بمستند جديد",IF(IFERROR(INDEX(Payment_Methods!$C:$C,MATCH($C16,Payment_Methods!$A:$A,0)),"")="","المنصة/الوسيلة غير معرفة",IF(IFERROR(INDEX(Payment_Methods!$C:$C,MATCH($C16,Payment_Methods!$A:$A,0)),"")="نقدي","الوسيلة نقدية: لا تحتاج كشف تسوية",IF(NOT(COUNTIF(Locations!$A:$A,$D16)&gt;0),"الفرع غير معرف",IF(NOT(AND($G16&gt;0,$J16&gt;=0)),"قيمة الطلبات يجب أن تكون موجبة والمستلم غير سالب",IF(OR($H16&lt;0,$I16&lt;0),"العمولة/الخصومات لا تكون سالبة",IF($S16&lt;0,"العمولة والخصومات أكبر من قيمة الطلبات",IF(AND(ISNUMBER($E16),ISNUMBER($F16),$E16&gt;$F16),"بداية الفترة بعد نهايتها",IF(OR(NOT(ISNUMBER($E16)),NOT(ISNUMBER($F16))),"فترة الكشف ناقصة",IF(COUNTIFS(COA!$A:$A,$U16,COA!$R:$R,1)&lt;&gt;1,"حساب المستحقات غير صالح",IF(COUNTIFS(COA!$A:$A,$W16,COA!$R:$R,1)&lt;&gt;1,"حساب الاستلام غير صالح",IF(AND($H16&gt;0,COUNTIFS(COA!$A:$A,$V16,COA!$R:$R,1)&lt;&gt;1),"حساب العمولة غير صالح",""))))))))))))))))))))))))</f>
        <v/>
      </c>
      <c r="Z16" s="32">
        <f>IF($X16=1,IF($Y16&lt;&gt;"",1,0),0)</f>
        <v/>
      </c>
      <c r="AA16" s="32">
        <f>IF(AND($X16=1,$Z16=0,$L16=ST_POST),1,0)</f>
        <v/>
      </c>
    </row>
    <row r="17">
      <c r="A17" s="29" t="n"/>
      <c r="B17" s="31" t="n"/>
      <c r="C17" s="39" t="n"/>
      <c r="D17" s="39" t="n"/>
      <c r="E17" s="31" t="n"/>
      <c r="F17" s="31" t="n"/>
      <c r="G17" s="42" t="n"/>
      <c r="H17" s="42" t="n"/>
      <c r="I17" s="42" t="n"/>
      <c r="J17" s="42" t="n"/>
      <c r="K17" s="39" t="n"/>
      <c r="L17" s="39" t="n"/>
      <c r="M17" s="29" t="n"/>
      <c r="N17" s="29" t="n"/>
      <c r="O17" s="29" t="n"/>
      <c r="P17" s="29" t="n"/>
      <c r="Q17" s="29" t="n"/>
      <c r="R17" s="29" t="n"/>
      <c r="S17" s="43">
        <f>IF($X17=1,$G17-$H17-$I17,"")</f>
        <v/>
      </c>
      <c r="T17" s="47">
        <f>IF($X17=1,ROUND($S17-$J17,2),"")</f>
        <v/>
      </c>
      <c r="U17" s="32">
        <f>IF($X17=1,IFERROR(INDEX(Payment_Methods!$D:$D,MATCH($C17,Payment_Methods!$A:$A,0)),"؟"),"")</f>
        <v/>
      </c>
      <c r="V17" s="32">
        <f>IF($X17=1,IFERROR(INDEX(Payment_Methods!$E:$E,MATCH($C17,Payment_Methods!$A:$A,0)),"؟"),"")</f>
        <v/>
      </c>
      <c r="W17" s="32">
        <f>IF($X17=1,IFERROR(INDEX(Treasuries!$E:$E,MATCH($K17,Treasuries!$A:$A,0)),"؟"),"")</f>
        <v/>
      </c>
      <c r="X17" s="32">
        <f>IF(COUNTA($A17:$R17)&gt;0,1,0)</f>
        <v/>
      </c>
      <c r="Y17" s="32">
        <f>IF($X17=0,"",IF($A17="","رقم المستند ناقص",IF(COUNTIF(Doc_Register!$A:$A,$A17)&gt;1,"رقم مستند مكرر في السجل المركزي",IF(LEFT($A17,LEN("PLT")+1)&lt;&gt;"PLT"&amp;"-","بادئة الرقم لا تطابق نوع المستند",IF(NOT(ISNUMBER($B17)),"التاريخ ناقص أو غير صحيح",IF($L17="","حالة المستند ناقصة",IF($M17="","اسم المُعِد ناقص",IF(AND(OR($L17=ST_APPR,$L17=ST_POST),$N17=""),"لا يوجد معتمد",IF(AND($N17&lt;&gt;"",$N17=$M17),"المُعِد والمعتمد نفس الشخص (فصل المهام)",IF(AND($L17=ST_POST,$O17=""),"اسم المحاسب المرحِّل ناقص",IF(AND($L17=ST_POST,$O17&lt;&gt;"",OR($O17=$M17,$O17=$N17)),"المرحِّل يجب أن يختلف عن المُعِد والمعتمد",IF(AND($L17=ST_REV,$Q17=""),"مرجع التصحيح/الإلغاء ناقص",IF(AND(ISNUMBER($B17),OR($L17=ST_DRAFT,$L17=ST_APPR),COUNTIFS(Period_Close!$A:$A,YEAR($B17)*100+MONTH($B17),Period_Close!$B:$B,"مقفلة")&gt;0),"الفترة مقفلة: لا يسمح بمستند جديد",IF(IFERROR(INDEX(Payment_Methods!$C:$C,MATCH($C17,Payment_Methods!$A:$A,0)),"")="","المنصة/الوسيلة غير معرفة",IF(IFERROR(INDEX(Payment_Methods!$C:$C,MATCH($C17,Payment_Methods!$A:$A,0)),"")="نقدي","الوسيلة نقدية: لا تحتاج كشف تسوية",IF(NOT(COUNTIF(Locations!$A:$A,$D17)&gt;0),"الفرع غير معرف",IF(NOT(AND($G17&gt;0,$J17&gt;=0)),"قيمة الطلبات يجب أن تكون موجبة والمستلم غير سالب",IF(OR($H17&lt;0,$I17&lt;0),"العمولة/الخصومات لا تكون سالبة",IF($S17&lt;0,"العمولة والخصومات أكبر من قيمة الطلبات",IF(AND(ISNUMBER($E17),ISNUMBER($F17),$E17&gt;$F17),"بداية الفترة بعد نهايتها",IF(OR(NOT(ISNUMBER($E17)),NOT(ISNUMBER($F17))),"فترة الكشف ناقصة",IF(COUNTIFS(COA!$A:$A,$U17,COA!$R:$R,1)&lt;&gt;1,"حساب المستحقات غير صالح",IF(COUNTIFS(COA!$A:$A,$W17,COA!$R:$R,1)&lt;&gt;1,"حساب الاستلام غير صالح",IF(AND($H17&gt;0,COUNTIFS(COA!$A:$A,$V17,COA!$R:$R,1)&lt;&gt;1),"حساب العمولة غير صالح",""))))))))))))))))))))))))</f>
        <v/>
      </c>
      <c r="Z17" s="32">
        <f>IF($X17=1,IF($Y17&lt;&gt;"",1,0),0)</f>
        <v/>
      </c>
      <c r="AA17" s="32">
        <f>IF(AND($X17=1,$Z17=0,$L17=ST_POST),1,0)</f>
        <v/>
      </c>
    </row>
    <row r="18">
      <c r="A18" s="29" t="n"/>
      <c r="B18" s="31" t="n"/>
      <c r="C18" s="39" t="n"/>
      <c r="D18" s="39" t="n"/>
      <c r="E18" s="31" t="n"/>
      <c r="F18" s="31" t="n"/>
      <c r="G18" s="42" t="n"/>
      <c r="H18" s="42" t="n"/>
      <c r="I18" s="42" t="n"/>
      <c r="J18" s="42" t="n"/>
      <c r="K18" s="39" t="n"/>
      <c r="L18" s="39" t="n"/>
      <c r="M18" s="29" t="n"/>
      <c r="N18" s="29" t="n"/>
      <c r="O18" s="29" t="n"/>
      <c r="P18" s="29" t="n"/>
      <c r="Q18" s="29" t="n"/>
      <c r="R18" s="29" t="n"/>
      <c r="S18" s="43">
        <f>IF($X18=1,$G18-$H18-$I18,"")</f>
        <v/>
      </c>
      <c r="T18" s="47">
        <f>IF($X18=1,ROUND($S18-$J18,2),"")</f>
        <v/>
      </c>
      <c r="U18" s="32">
        <f>IF($X18=1,IFERROR(INDEX(Payment_Methods!$D:$D,MATCH($C18,Payment_Methods!$A:$A,0)),"؟"),"")</f>
        <v/>
      </c>
      <c r="V18" s="32">
        <f>IF($X18=1,IFERROR(INDEX(Payment_Methods!$E:$E,MATCH($C18,Payment_Methods!$A:$A,0)),"؟"),"")</f>
        <v/>
      </c>
      <c r="W18" s="32">
        <f>IF($X18=1,IFERROR(INDEX(Treasuries!$E:$E,MATCH($K18,Treasuries!$A:$A,0)),"؟"),"")</f>
        <v/>
      </c>
      <c r="X18" s="32">
        <f>IF(COUNTA($A18:$R18)&gt;0,1,0)</f>
        <v/>
      </c>
      <c r="Y18" s="32">
        <f>IF($X18=0,"",IF($A18="","رقم المستند ناقص",IF(COUNTIF(Doc_Register!$A:$A,$A18)&gt;1,"رقم مستند مكرر في السجل المركزي",IF(LEFT($A18,LEN("PLT")+1)&lt;&gt;"PLT"&amp;"-","بادئة الرقم لا تطابق نوع المستند",IF(NOT(ISNUMBER($B18)),"التاريخ ناقص أو غير صحيح",IF($L18="","حالة المستند ناقصة",IF($M18="","اسم المُعِد ناقص",IF(AND(OR($L18=ST_APPR,$L18=ST_POST),$N18=""),"لا يوجد معتمد",IF(AND($N18&lt;&gt;"",$N18=$M18),"المُعِد والمعتمد نفس الشخص (فصل المهام)",IF(AND($L18=ST_POST,$O18=""),"اسم المحاسب المرحِّل ناقص",IF(AND($L18=ST_POST,$O18&lt;&gt;"",OR($O18=$M18,$O18=$N18)),"المرحِّل يجب أن يختلف عن المُعِد والمعتمد",IF(AND($L18=ST_REV,$Q18=""),"مرجع التصحيح/الإلغاء ناقص",IF(AND(ISNUMBER($B18),OR($L18=ST_DRAFT,$L18=ST_APPR),COUNTIFS(Period_Close!$A:$A,YEAR($B18)*100+MONTH($B18),Period_Close!$B:$B,"مقفلة")&gt;0),"الفترة مقفلة: لا يسمح بمستند جديد",IF(IFERROR(INDEX(Payment_Methods!$C:$C,MATCH($C18,Payment_Methods!$A:$A,0)),"")="","المنصة/الوسيلة غير معرفة",IF(IFERROR(INDEX(Payment_Methods!$C:$C,MATCH($C18,Payment_Methods!$A:$A,0)),"")="نقدي","الوسيلة نقدية: لا تحتاج كشف تسوية",IF(NOT(COUNTIF(Locations!$A:$A,$D18)&gt;0),"الفرع غير معرف",IF(NOT(AND($G18&gt;0,$J18&gt;=0)),"قيمة الطلبات يجب أن تكون موجبة والمستلم غير سالب",IF(OR($H18&lt;0,$I18&lt;0),"العمولة/الخصومات لا تكون سالبة",IF($S18&lt;0,"العمولة والخصومات أكبر من قيمة الطلبات",IF(AND(ISNUMBER($E18),ISNUMBER($F18),$E18&gt;$F18),"بداية الفترة بعد نهايتها",IF(OR(NOT(ISNUMBER($E18)),NOT(ISNUMBER($F18))),"فترة الكشف ناقصة",IF(COUNTIFS(COA!$A:$A,$U18,COA!$R:$R,1)&lt;&gt;1,"حساب المستحقات غير صالح",IF(COUNTIFS(COA!$A:$A,$W18,COA!$R:$R,1)&lt;&gt;1,"حساب الاستلام غير صالح",IF(AND($H18&gt;0,COUNTIFS(COA!$A:$A,$V18,COA!$R:$R,1)&lt;&gt;1),"حساب العمولة غير صالح",""))))))))))))))))))))))))</f>
        <v/>
      </c>
      <c r="Z18" s="32">
        <f>IF($X18=1,IF($Y18&lt;&gt;"",1,0),0)</f>
        <v/>
      </c>
      <c r="AA18" s="32">
        <f>IF(AND($X18=1,$Z18=0,$L18=ST_POST),1,0)</f>
        <v/>
      </c>
    </row>
    <row r="19">
      <c r="A19" s="29" t="n"/>
      <c r="B19" s="31" t="n"/>
      <c r="C19" s="39" t="n"/>
      <c r="D19" s="39" t="n"/>
      <c r="E19" s="31" t="n"/>
      <c r="F19" s="31" t="n"/>
      <c r="G19" s="42" t="n"/>
      <c r="H19" s="42" t="n"/>
      <c r="I19" s="42" t="n"/>
      <c r="J19" s="42" t="n"/>
      <c r="K19" s="39" t="n"/>
      <c r="L19" s="39" t="n"/>
      <c r="M19" s="29" t="n"/>
      <c r="N19" s="29" t="n"/>
      <c r="O19" s="29" t="n"/>
      <c r="P19" s="29" t="n"/>
      <c r="Q19" s="29" t="n"/>
      <c r="R19" s="29" t="n"/>
      <c r="S19" s="43">
        <f>IF($X19=1,$G19-$H19-$I19,"")</f>
        <v/>
      </c>
      <c r="T19" s="47">
        <f>IF($X19=1,ROUND($S19-$J19,2),"")</f>
        <v/>
      </c>
      <c r="U19" s="32">
        <f>IF($X19=1,IFERROR(INDEX(Payment_Methods!$D:$D,MATCH($C19,Payment_Methods!$A:$A,0)),"؟"),"")</f>
        <v/>
      </c>
      <c r="V19" s="32">
        <f>IF($X19=1,IFERROR(INDEX(Payment_Methods!$E:$E,MATCH($C19,Payment_Methods!$A:$A,0)),"؟"),"")</f>
        <v/>
      </c>
      <c r="W19" s="32">
        <f>IF($X19=1,IFERROR(INDEX(Treasuries!$E:$E,MATCH($K19,Treasuries!$A:$A,0)),"؟"),"")</f>
        <v/>
      </c>
      <c r="X19" s="32">
        <f>IF(COUNTA($A19:$R19)&gt;0,1,0)</f>
        <v/>
      </c>
      <c r="Y19" s="32">
        <f>IF($X19=0,"",IF($A19="","رقم المستند ناقص",IF(COUNTIF(Doc_Register!$A:$A,$A19)&gt;1,"رقم مستند مكرر في السجل المركزي",IF(LEFT($A19,LEN("PLT")+1)&lt;&gt;"PLT"&amp;"-","بادئة الرقم لا تطابق نوع المستند",IF(NOT(ISNUMBER($B19)),"التاريخ ناقص أو غير صحيح",IF($L19="","حالة المستند ناقصة",IF($M19="","اسم المُعِد ناقص",IF(AND(OR($L19=ST_APPR,$L19=ST_POST),$N19=""),"لا يوجد معتمد",IF(AND($N19&lt;&gt;"",$N19=$M19),"المُعِد والمعتمد نفس الشخص (فصل المهام)",IF(AND($L19=ST_POST,$O19=""),"اسم المحاسب المرحِّل ناقص",IF(AND($L19=ST_POST,$O19&lt;&gt;"",OR($O19=$M19,$O19=$N19)),"المرحِّل يجب أن يختلف عن المُعِد والمعتمد",IF(AND($L19=ST_REV,$Q19=""),"مرجع التصحيح/الإلغاء ناقص",IF(AND(ISNUMBER($B19),OR($L19=ST_DRAFT,$L19=ST_APPR),COUNTIFS(Period_Close!$A:$A,YEAR($B19)*100+MONTH($B19),Period_Close!$B:$B,"مقفلة")&gt;0),"الفترة مقفلة: لا يسمح بمستند جديد",IF(IFERROR(INDEX(Payment_Methods!$C:$C,MATCH($C19,Payment_Methods!$A:$A,0)),"")="","المنصة/الوسيلة غير معرفة",IF(IFERROR(INDEX(Payment_Methods!$C:$C,MATCH($C19,Payment_Methods!$A:$A,0)),"")="نقدي","الوسيلة نقدية: لا تحتاج كشف تسوية",IF(NOT(COUNTIF(Locations!$A:$A,$D19)&gt;0),"الفرع غير معرف",IF(NOT(AND($G19&gt;0,$J19&gt;=0)),"قيمة الطلبات يجب أن تكون موجبة والمستلم غير سالب",IF(OR($H19&lt;0,$I19&lt;0),"العمولة/الخصومات لا تكون سالبة",IF($S19&lt;0,"العمولة والخصومات أكبر من قيمة الطلبات",IF(AND(ISNUMBER($E19),ISNUMBER($F19),$E19&gt;$F19),"بداية الفترة بعد نهايتها",IF(OR(NOT(ISNUMBER($E19)),NOT(ISNUMBER($F19))),"فترة الكشف ناقصة",IF(COUNTIFS(COA!$A:$A,$U19,COA!$R:$R,1)&lt;&gt;1,"حساب المستحقات غير صالح",IF(COUNTIFS(COA!$A:$A,$W19,COA!$R:$R,1)&lt;&gt;1,"حساب الاستلام غير صالح",IF(AND($H19&gt;0,COUNTIFS(COA!$A:$A,$V19,COA!$R:$R,1)&lt;&gt;1),"حساب العمولة غير صالح",""))))))))))))))))))))))))</f>
        <v/>
      </c>
      <c r="Z19" s="32">
        <f>IF($X19=1,IF($Y19&lt;&gt;"",1,0),0)</f>
        <v/>
      </c>
      <c r="AA19" s="32">
        <f>IF(AND($X19=1,$Z19=0,$L19=ST_POST),1,0)</f>
        <v/>
      </c>
    </row>
    <row r="20">
      <c r="A20" s="29" t="n"/>
      <c r="B20" s="31" t="n"/>
      <c r="C20" s="39" t="n"/>
      <c r="D20" s="39" t="n"/>
      <c r="E20" s="31" t="n"/>
      <c r="F20" s="31" t="n"/>
      <c r="G20" s="42" t="n"/>
      <c r="H20" s="42" t="n"/>
      <c r="I20" s="42" t="n"/>
      <c r="J20" s="42" t="n"/>
      <c r="K20" s="39" t="n"/>
      <c r="L20" s="39" t="n"/>
      <c r="M20" s="29" t="n"/>
      <c r="N20" s="29" t="n"/>
      <c r="O20" s="29" t="n"/>
      <c r="P20" s="29" t="n"/>
      <c r="Q20" s="29" t="n"/>
      <c r="R20" s="29" t="n"/>
      <c r="S20" s="43">
        <f>IF($X20=1,$G20-$H20-$I20,"")</f>
        <v/>
      </c>
      <c r="T20" s="47">
        <f>IF($X20=1,ROUND($S20-$J20,2),"")</f>
        <v/>
      </c>
      <c r="U20" s="32">
        <f>IF($X20=1,IFERROR(INDEX(Payment_Methods!$D:$D,MATCH($C20,Payment_Methods!$A:$A,0)),"؟"),"")</f>
        <v/>
      </c>
      <c r="V20" s="32">
        <f>IF($X20=1,IFERROR(INDEX(Payment_Methods!$E:$E,MATCH($C20,Payment_Methods!$A:$A,0)),"؟"),"")</f>
        <v/>
      </c>
      <c r="W20" s="32">
        <f>IF($X20=1,IFERROR(INDEX(Treasuries!$E:$E,MATCH($K20,Treasuries!$A:$A,0)),"؟"),"")</f>
        <v/>
      </c>
      <c r="X20" s="32">
        <f>IF(COUNTA($A20:$R20)&gt;0,1,0)</f>
        <v/>
      </c>
      <c r="Y20" s="32">
        <f>IF($X20=0,"",IF($A20="","رقم المستند ناقص",IF(COUNTIF(Doc_Register!$A:$A,$A20)&gt;1,"رقم مستند مكرر في السجل المركزي",IF(LEFT($A20,LEN("PLT")+1)&lt;&gt;"PLT"&amp;"-","بادئة الرقم لا تطابق نوع المستند",IF(NOT(ISNUMBER($B20)),"التاريخ ناقص أو غير صحيح",IF($L20="","حالة المستند ناقصة",IF($M20="","اسم المُعِد ناقص",IF(AND(OR($L20=ST_APPR,$L20=ST_POST),$N20=""),"لا يوجد معتمد",IF(AND($N20&lt;&gt;"",$N20=$M20),"المُعِد والمعتمد نفس الشخص (فصل المهام)",IF(AND($L20=ST_POST,$O20=""),"اسم المحاسب المرحِّل ناقص",IF(AND($L20=ST_POST,$O20&lt;&gt;"",OR($O20=$M20,$O20=$N20)),"المرحِّل يجب أن يختلف عن المُعِد والمعتمد",IF(AND($L20=ST_REV,$Q20=""),"مرجع التصحيح/الإلغاء ناقص",IF(AND(ISNUMBER($B20),OR($L20=ST_DRAFT,$L20=ST_APPR),COUNTIFS(Period_Close!$A:$A,YEAR($B20)*100+MONTH($B20),Period_Close!$B:$B,"مقفلة")&gt;0),"الفترة مقفلة: لا يسمح بمستند جديد",IF(IFERROR(INDEX(Payment_Methods!$C:$C,MATCH($C20,Payment_Methods!$A:$A,0)),"")="","المنصة/الوسيلة غير معرفة",IF(IFERROR(INDEX(Payment_Methods!$C:$C,MATCH($C20,Payment_Methods!$A:$A,0)),"")="نقدي","الوسيلة نقدية: لا تحتاج كشف تسوية",IF(NOT(COUNTIF(Locations!$A:$A,$D20)&gt;0),"الفرع غير معرف",IF(NOT(AND($G20&gt;0,$J20&gt;=0)),"قيمة الطلبات يجب أن تكون موجبة والمستلم غير سالب",IF(OR($H20&lt;0,$I20&lt;0),"العمولة/الخصومات لا تكون سالبة",IF($S20&lt;0,"العمولة والخصومات أكبر من قيمة الطلبات",IF(AND(ISNUMBER($E20),ISNUMBER($F20),$E20&gt;$F20),"بداية الفترة بعد نهايتها",IF(OR(NOT(ISNUMBER($E20)),NOT(ISNUMBER($F20))),"فترة الكشف ناقصة",IF(COUNTIFS(COA!$A:$A,$U20,COA!$R:$R,1)&lt;&gt;1,"حساب المستحقات غير صالح",IF(COUNTIFS(COA!$A:$A,$W20,COA!$R:$R,1)&lt;&gt;1,"حساب الاستلام غير صالح",IF(AND($H20&gt;0,COUNTIFS(COA!$A:$A,$V20,COA!$R:$R,1)&lt;&gt;1),"حساب العمولة غير صالح",""))))))))))))))))))))))))</f>
        <v/>
      </c>
      <c r="Z20" s="32">
        <f>IF($X20=1,IF($Y20&lt;&gt;"",1,0),0)</f>
        <v/>
      </c>
      <c r="AA20" s="32">
        <f>IF(AND($X20=1,$Z20=0,$L20=ST_POST),1,0)</f>
        <v/>
      </c>
    </row>
  </sheetData>
  <sheetProtection selectLockedCells="0" selectUnlockedCells="0" sheet="1" objects="0" insertRows="1" insertHyperlinks="1" autoFilter="0" scenarios="0" formatColumns="0" deleteColumns="1" insertColumns="1" pivotTables="1" deleteRows="1" formatCells="0" formatRows="0" sort="1"/>
  <autoFilter ref="A4:AA20"/>
  <conditionalFormatting sqref="L5:L20">
    <cfRule type="expression" priority="1" dxfId="1">
      <formula>L5="مرحل"</formula>
    </cfRule>
    <cfRule type="expression" priority="2" dxfId="0">
      <formula>L5="معكوس"</formula>
    </cfRule>
  </conditionalFormatting>
  <conditionalFormatting sqref="T5:T20">
    <cfRule type="expression" priority="3" dxfId="2">
      <formula>AND(ISNUMBER(T5),ABS(T5)&gt;0.005)</formula>
    </cfRule>
  </conditionalFormatting>
  <conditionalFormatting sqref="Y5:Y20">
    <cfRule type="expression" priority="4" dxfId="3">
      <formula>LEN(Y5)&gt;0</formula>
    </cfRule>
  </conditionalFormatting>
  <dataValidations count="14">
    <dataValidation sqref="B5:B20" showDropDown="0" showInputMessage="0" showErrorMessage="1" allowBlank="1" errorTitle="تاريخ غير صحيح" error="أدخل تاريخًا صحيحًا." type="date" operator="greaterThan">
      <formula1>36526</formula1>
    </dataValidation>
    <dataValidation sqref="C5:C20" showDropDown="0" showInputMessage="0" showErrorMessage="1" allowBlank="1" errorTitle="قيمة غير مسموحة" error="اختر قيمة من القائمة المنسدلة." type="list">
      <formula1>=Payment_Methods!$A$5:$A$19</formula1>
    </dataValidation>
    <dataValidation sqref="D5:D20" showDropDown="0" showInputMessage="0" showErrorMessage="1" allowBlank="1" errorTitle="قيمة غير مسموحة" error="اختر قيمة من القائمة المنسدلة." type="list">
      <formula1>=Locations!$A$5:$A$34</formula1>
    </dataValidation>
    <dataValidation sqref="E5:E20" showDropDown="0" showInputMessage="0" showErrorMessage="1" allowBlank="1" errorTitle="تاريخ غير صحيح" error="أدخل تاريخًا صحيحًا." type="date" operator="greaterThan">
      <formula1>36526</formula1>
    </dataValidation>
    <dataValidation sqref="F5:F20" showDropDown="0" showInputMessage="0" showErrorMessage="1" allowBlank="1" errorTitle="تاريخ غير صحيح" error="أدخل تاريخًا صحيحًا." type="date" operator="greaterThan">
      <formula1>36526</formula1>
    </dataValidation>
    <dataValidation sqref="G5:G2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H5:H2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I5:I2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J5:J2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K5:K20" showDropDown="0" showInputMessage="0" showErrorMessage="1" allowBlank="1" errorTitle="قيمة غير مسموحة" error="اختر قيمة من القائمة المنسدلة." type="list">
      <formula1>=Treasuries!$A$5:$A$34</formula1>
    </dataValidation>
    <dataValidation sqref="L5:L20" showDropDown="0" showInputMessage="0" showErrorMessage="1" allowBlank="1" errorTitle="قيمة غير مسموحة" error="اختر قيمة من القائمة المنسدلة." type="list">
      <formula1>=Lists!$A$5:$A$9</formula1>
    </dataValidation>
    <dataValidation sqref="M5:M20" showDropDown="0" showInputMessage="0" showErrorMessage="1" allowBlank="1" errorTitle="قيمة غير مسموحة" error="اختر قيمة من القائمة المنسدلة." type="list">
      <formula1>=Users!$B$5:$B$44</formula1>
    </dataValidation>
    <dataValidation sqref="N5:N20" showDropDown="0" showInputMessage="0" showErrorMessage="1" allowBlank="1" errorTitle="قيمة غير مسموحة" error="اختر قيمة من القائمة المنسدلة." type="list">
      <formula1>=Users!$B$5:$B$44</formula1>
    </dataValidation>
    <dataValidation sqref="O5:O20" showDropDown="0" showInputMessage="0" showErrorMessage="1" allowBlank="1" errorTitle="قيمة غير مسموحة" error="اختر قيمة من القائمة المنسدلة." type="list">
      <formula1>=Users!$B$5:$B$44</formula1>
    </dataValidation>
  </dataValidations>
  <pageMargins left="0.75" right="0.75" top="1" bottom="1" header="0.5" footer="0.5"/>
  <pageSetup orientation="landscape" fitToHeight="0" fitToWidth="1"/>
</worksheet>
</file>

<file path=xl/worksheets/sheet27.xml><?xml version="1.0" encoding="utf-8"?>
<worksheet xmlns="http://schemas.openxmlformats.org/spreadsheetml/2006/main">
  <sheetPr>
    <tabColor rgb="00548235"/>
    <outlinePr summaryBelow="1" summaryRight="1"/>
    <pageSetUpPr fitToPage="1"/>
  </sheetPr>
  <dimension ref="A1:M6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9" customWidth="1" min="2" max="2"/>
    <col width="10" customWidth="1" min="3" max="3"/>
    <col width="15" customWidth="1" min="4" max="4"/>
    <col width="16" customWidth="1" min="5" max="5"/>
    <col width="22" customWidth="1" min="6" max="6"/>
    <col width="18" customWidth="1" min="7" max="7"/>
    <col width="16" customWidth="1" min="8" max="8"/>
    <col width="24" customWidth="1" min="9" max="9"/>
    <col width="15" customWidth="1" min="10" max="10"/>
    <col width="13" customWidth="1" min="11" max="11"/>
    <col width="44" customWidth="1" min="12" max="12"/>
    <col width="9" customWidth="1" min="13" max="13"/>
  </cols>
  <sheetData>
    <row r="1" ht="26" customHeight="1">
      <c r="A1" s="22" t="inlineStr">
        <is>
          <t>المطابقة اليومية للمبيعات (Daily Sales Reconciliation)</t>
        </is>
      </c>
      <c r="B1" s="1" t="n"/>
      <c r="C1" s="1" t="n"/>
      <c r="D1" s="1" t="n"/>
      <c r="E1" s="1" t="n"/>
      <c r="F1" s="1" t="n"/>
      <c r="G1" s="1" t="n"/>
      <c r="H1" s="1" t="n"/>
      <c r="I1" s="1" t="n"/>
      <c r="J1" s="1" t="n"/>
      <c r="K1" s="1" t="n"/>
      <c r="L1" s="1" t="n"/>
      <c r="M1" s="1" t="n"/>
    </row>
    <row r="2">
      <c r="A2" s="35" t="inlineStr">
        <is>
          <t>صف لكل (يوم، فرع، وسيلة دفع): المتوقع من Sales_Daily، والفعلي من العدّ/كشف الجهاز/تقرير المنصة. أي فرق يلزمه سبب ومسؤول وحالة معالجة.</t>
        </is>
      </c>
    </row>
    <row r="3">
      <c r="A3" s="36" t="inlineStr">
        <is>
          <t>خلايا الإدخال</t>
        </is>
      </c>
      <c r="B3" s="37" t="inlineStr">
        <is>
          <t>معادلات (لا تعدّل)</t>
        </is>
      </c>
    </row>
    <row r="4" ht="34" customHeight="1">
      <c r="A4" s="24" t="inlineStr">
        <is>
          <t>التاريخ</t>
        </is>
      </c>
      <c r="B4" s="24" t="inlineStr">
        <is>
          <t>الفرع</t>
        </is>
      </c>
      <c r="C4" s="24" t="inlineStr">
        <is>
          <t>وسيلة الدفع</t>
        </is>
      </c>
      <c r="D4" s="24" t="inlineStr">
        <is>
          <t>المبلغ الفعلي (عدّ/كشف)</t>
        </is>
      </c>
      <c r="E4" s="24" t="inlineStr">
        <is>
          <t>سبب الفرق</t>
        </is>
      </c>
      <c r="F4" s="24" t="inlineStr">
        <is>
          <t>المسؤول عن التسوية</t>
        </is>
      </c>
      <c r="G4" s="24" t="inlineStr">
        <is>
          <t>حالة المعالجة</t>
        </is>
      </c>
      <c r="H4" s="24" t="inlineStr">
        <is>
          <t>مستند التسوية</t>
        </is>
      </c>
      <c r="I4" s="24" t="inlineStr">
        <is>
          <t>ملاحظات</t>
        </is>
      </c>
      <c r="J4" s="38" t="inlineStr">
        <is>
          <t>المتوقع (من المبيعات)</t>
        </is>
      </c>
      <c r="K4" s="38" t="inlineStr">
        <is>
          <t>الفرق (فعلي - متوقع)</t>
        </is>
      </c>
      <c r="L4" s="38" t="inlineStr">
        <is>
          <t>فحص</t>
        </is>
      </c>
      <c r="M4" s="38" t="inlineStr">
        <is>
          <t>فرق مفتوح؟</t>
        </is>
      </c>
    </row>
    <row r="5">
      <c r="A5" s="31" t="n"/>
      <c r="B5" s="39" t="n"/>
      <c r="C5" s="39" t="n"/>
      <c r="D5" s="42" t="n"/>
      <c r="E5" s="29" t="n"/>
      <c r="F5" s="29" t="n"/>
      <c r="G5" s="29" t="n"/>
      <c r="H5" s="29" t="n"/>
      <c r="I5" s="29" t="n"/>
      <c r="J5" s="43">
        <f>IF(COUNTA($A5:$I5)=0,"",IF($C5="CASH",SUMIFS(Sales_Daily!$L:$L,Sales_Daily!$B:$B,$A5,Sales_Daily!$C:$C,$B5,Sales_Daily!$S:$S,"&lt;&gt;"&amp;ST_DRAFT,Sales_Daily!$S:$S,"&lt;&gt;"&amp;ST_CANC,Sales_Daily!$S:$S,"&lt;&gt;"&amp;ST_REV),0)+IF($C5="CARD",SUMIFS(Sales_Daily!$M:$M,Sales_Daily!$B:$B,$A5,Sales_Daily!$C:$C,$B5,Sales_Daily!$S:$S,"&lt;&gt;"&amp;ST_DRAFT,Sales_Daily!$S:$S,"&lt;&gt;"&amp;ST_CANC,Sales_Daily!$S:$S,"&lt;&gt;"&amp;ST_REV),0)+IF($C5="TLB",SUMIFS(Sales_Daily!$N:$N,Sales_Daily!$B:$B,$A5,Sales_Daily!$C:$C,$B5,Sales_Daily!$S:$S,"&lt;&gt;"&amp;ST_DRAFT,Sales_Daily!$S:$S,"&lt;&gt;"&amp;ST_CANC,Sales_Daily!$S:$S,"&lt;&gt;"&amp;ST_REV),0)+IF($C5="DLV2",SUMIFS(Sales_Daily!$O:$O,Sales_Daily!$B:$B,$A5,Sales_Daily!$C:$C,$B5,Sales_Daily!$S:$S,"&lt;&gt;"&amp;ST_DRAFT,Sales_Daily!$S:$S,"&lt;&gt;"&amp;ST_CANC,Sales_Daily!$S:$S,"&lt;&gt;"&amp;ST_REV),0)+IF($C5="INSTA",SUMIFS(Sales_Daily!$P:$P,Sales_Daily!$B:$B,$A5,Sales_Daily!$C:$C,$B5,Sales_Daily!$S:$S,"&lt;&gt;"&amp;ST_DRAFT,Sales_Daily!$S:$S,"&lt;&gt;"&amp;ST_CANC,Sales_Daily!$S:$S,"&lt;&gt;"&amp;ST_REV),0)+SUMIFS(Sales_Daily!$Q:$Q,Sales_Daily!$B:$B,$A5,Sales_Daily!$C:$C,$B5,Sales_Daily!$S:$S,"&lt;&gt;"&amp;ST_DRAFT,Sales_Daily!$S:$S,"&lt;&gt;"&amp;ST_CANC,Sales_Daily!$S:$S,"&lt;&gt;"&amp;ST_REV,Sales_Daily!$R:$R,$C5))</f>
        <v/>
      </c>
      <c r="K5" s="47">
        <f>IF($J5="","",ROUND($D5-$J5,2))</f>
        <v/>
      </c>
      <c r="L5" s="32">
        <f>IF($J5="","",IF(NOT(ISNUMBER($A5)),"التاريخ ناقص",IF(NOT(COUNTIF(Locations!$A:$A,$B5)&gt;0),"الفرع غير معرف",IF(COUNTIF(Payment_Methods!$A:$A,$C5)=0,"وسيلة الدفع غير معرفة",IF(COUNTIFS(Daily_Recon!$A:$A,$A5,Daily_Recon!$B:$B,$B5,Daily_Recon!$C:$C,$C5)&gt;1,"صف مطابقة مكرر",IF(NOT(ISNUMBER($D5)),"المبلغ الفعلي ناقص",IF(AND(ABS($K5)&gt;S_Tol,$E5=""),"فرق بدون سبب",IF(AND(ABS($K5)&gt;S_Tol,$F5=""),"فرق بدون مسؤول",IF(AND(ABS($K5)&gt;S_Tol,$G5=""),"فرق بدون حالة معالجة",IF(AND($G5="تمت التسوية",ABS($K5)&gt;S_Tol,$H5=""),"التسوية بدون رقم مستند",IF(AND($H5&lt;&gt;"",COUNTIF(Doc_Register!$A:$A,$H5)=0),"مستند التسوية غير موجود","")))))))))))</f>
        <v/>
      </c>
      <c r="M5" s="44">
        <f>IF($J5="","",IF(AND(ABS($K5)&gt;S_Tol,$G5&lt;&gt;"تمت التسوية",$G5&lt;&gt;"مقبول بموافقة الإدارة"),1,0))</f>
        <v/>
      </c>
    </row>
    <row r="6">
      <c r="A6" s="31" t="n"/>
      <c r="B6" s="39" t="n"/>
      <c r="C6" s="39" t="n"/>
      <c r="D6" s="42" t="n"/>
      <c r="E6" s="29" t="n"/>
      <c r="F6" s="29" t="n"/>
      <c r="G6" s="29" t="n"/>
      <c r="H6" s="29" t="n"/>
      <c r="I6" s="29" t="n"/>
      <c r="J6" s="43">
        <f>IF(COUNTA($A6:$I6)=0,"",IF($C6="CASH",SUMIFS(Sales_Daily!$L:$L,Sales_Daily!$B:$B,$A6,Sales_Daily!$C:$C,$B6,Sales_Daily!$S:$S,"&lt;&gt;"&amp;ST_DRAFT,Sales_Daily!$S:$S,"&lt;&gt;"&amp;ST_CANC,Sales_Daily!$S:$S,"&lt;&gt;"&amp;ST_REV),0)+IF($C6="CARD",SUMIFS(Sales_Daily!$M:$M,Sales_Daily!$B:$B,$A6,Sales_Daily!$C:$C,$B6,Sales_Daily!$S:$S,"&lt;&gt;"&amp;ST_DRAFT,Sales_Daily!$S:$S,"&lt;&gt;"&amp;ST_CANC,Sales_Daily!$S:$S,"&lt;&gt;"&amp;ST_REV),0)+IF($C6="TLB",SUMIFS(Sales_Daily!$N:$N,Sales_Daily!$B:$B,$A6,Sales_Daily!$C:$C,$B6,Sales_Daily!$S:$S,"&lt;&gt;"&amp;ST_DRAFT,Sales_Daily!$S:$S,"&lt;&gt;"&amp;ST_CANC,Sales_Daily!$S:$S,"&lt;&gt;"&amp;ST_REV),0)+IF($C6="DLV2",SUMIFS(Sales_Daily!$O:$O,Sales_Daily!$B:$B,$A6,Sales_Daily!$C:$C,$B6,Sales_Daily!$S:$S,"&lt;&gt;"&amp;ST_DRAFT,Sales_Daily!$S:$S,"&lt;&gt;"&amp;ST_CANC,Sales_Daily!$S:$S,"&lt;&gt;"&amp;ST_REV),0)+IF($C6="INSTA",SUMIFS(Sales_Daily!$P:$P,Sales_Daily!$B:$B,$A6,Sales_Daily!$C:$C,$B6,Sales_Daily!$S:$S,"&lt;&gt;"&amp;ST_DRAFT,Sales_Daily!$S:$S,"&lt;&gt;"&amp;ST_CANC,Sales_Daily!$S:$S,"&lt;&gt;"&amp;ST_REV),0)+SUMIFS(Sales_Daily!$Q:$Q,Sales_Daily!$B:$B,$A6,Sales_Daily!$C:$C,$B6,Sales_Daily!$S:$S,"&lt;&gt;"&amp;ST_DRAFT,Sales_Daily!$S:$S,"&lt;&gt;"&amp;ST_CANC,Sales_Daily!$S:$S,"&lt;&gt;"&amp;ST_REV,Sales_Daily!$R:$R,$C6))</f>
        <v/>
      </c>
      <c r="K6" s="47">
        <f>IF($J6="","",ROUND($D6-$J6,2))</f>
        <v/>
      </c>
      <c r="L6" s="32">
        <f>IF($J6="","",IF(NOT(ISNUMBER($A6)),"التاريخ ناقص",IF(NOT(COUNTIF(Locations!$A:$A,$B6)&gt;0),"الفرع غير معرف",IF(COUNTIF(Payment_Methods!$A:$A,$C6)=0,"وسيلة الدفع غير معرفة",IF(COUNTIFS(Daily_Recon!$A:$A,$A6,Daily_Recon!$B:$B,$B6,Daily_Recon!$C:$C,$C6)&gt;1,"صف مطابقة مكرر",IF(NOT(ISNUMBER($D6)),"المبلغ الفعلي ناقص",IF(AND(ABS($K6)&gt;S_Tol,$E6=""),"فرق بدون سبب",IF(AND(ABS($K6)&gt;S_Tol,$F6=""),"فرق بدون مسؤول",IF(AND(ABS($K6)&gt;S_Tol,$G6=""),"فرق بدون حالة معالجة",IF(AND($G6="تمت التسوية",ABS($K6)&gt;S_Tol,$H6=""),"التسوية بدون رقم مستند",IF(AND($H6&lt;&gt;"",COUNTIF(Doc_Register!$A:$A,$H6)=0),"مستند التسوية غير موجود","")))))))))))</f>
        <v/>
      </c>
      <c r="M6" s="44">
        <f>IF($J6="","",IF(AND(ABS($K6)&gt;S_Tol,$G6&lt;&gt;"تمت التسوية",$G6&lt;&gt;"مقبول بموافقة الإدارة"),1,0))</f>
        <v/>
      </c>
    </row>
    <row r="7">
      <c r="A7" s="31" t="n"/>
      <c r="B7" s="39" t="n"/>
      <c r="C7" s="39" t="n"/>
      <c r="D7" s="42" t="n"/>
      <c r="E7" s="29" t="n"/>
      <c r="F7" s="29" t="n"/>
      <c r="G7" s="29" t="n"/>
      <c r="H7" s="29" t="n"/>
      <c r="I7" s="29" t="n"/>
      <c r="J7" s="43">
        <f>IF(COUNTA($A7:$I7)=0,"",IF($C7="CASH",SUMIFS(Sales_Daily!$L:$L,Sales_Daily!$B:$B,$A7,Sales_Daily!$C:$C,$B7,Sales_Daily!$S:$S,"&lt;&gt;"&amp;ST_DRAFT,Sales_Daily!$S:$S,"&lt;&gt;"&amp;ST_CANC,Sales_Daily!$S:$S,"&lt;&gt;"&amp;ST_REV),0)+IF($C7="CARD",SUMIFS(Sales_Daily!$M:$M,Sales_Daily!$B:$B,$A7,Sales_Daily!$C:$C,$B7,Sales_Daily!$S:$S,"&lt;&gt;"&amp;ST_DRAFT,Sales_Daily!$S:$S,"&lt;&gt;"&amp;ST_CANC,Sales_Daily!$S:$S,"&lt;&gt;"&amp;ST_REV),0)+IF($C7="TLB",SUMIFS(Sales_Daily!$N:$N,Sales_Daily!$B:$B,$A7,Sales_Daily!$C:$C,$B7,Sales_Daily!$S:$S,"&lt;&gt;"&amp;ST_DRAFT,Sales_Daily!$S:$S,"&lt;&gt;"&amp;ST_CANC,Sales_Daily!$S:$S,"&lt;&gt;"&amp;ST_REV),0)+IF($C7="DLV2",SUMIFS(Sales_Daily!$O:$O,Sales_Daily!$B:$B,$A7,Sales_Daily!$C:$C,$B7,Sales_Daily!$S:$S,"&lt;&gt;"&amp;ST_DRAFT,Sales_Daily!$S:$S,"&lt;&gt;"&amp;ST_CANC,Sales_Daily!$S:$S,"&lt;&gt;"&amp;ST_REV),0)+IF($C7="INSTA",SUMIFS(Sales_Daily!$P:$P,Sales_Daily!$B:$B,$A7,Sales_Daily!$C:$C,$B7,Sales_Daily!$S:$S,"&lt;&gt;"&amp;ST_DRAFT,Sales_Daily!$S:$S,"&lt;&gt;"&amp;ST_CANC,Sales_Daily!$S:$S,"&lt;&gt;"&amp;ST_REV),0)+SUMIFS(Sales_Daily!$Q:$Q,Sales_Daily!$B:$B,$A7,Sales_Daily!$C:$C,$B7,Sales_Daily!$S:$S,"&lt;&gt;"&amp;ST_DRAFT,Sales_Daily!$S:$S,"&lt;&gt;"&amp;ST_CANC,Sales_Daily!$S:$S,"&lt;&gt;"&amp;ST_REV,Sales_Daily!$R:$R,$C7))</f>
        <v/>
      </c>
      <c r="K7" s="47">
        <f>IF($J7="","",ROUND($D7-$J7,2))</f>
        <v/>
      </c>
      <c r="L7" s="32">
        <f>IF($J7="","",IF(NOT(ISNUMBER($A7)),"التاريخ ناقص",IF(NOT(COUNTIF(Locations!$A:$A,$B7)&gt;0),"الفرع غير معرف",IF(COUNTIF(Payment_Methods!$A:$A,$C7)=0,"وسيلة الدفع غير معرفة",IF(COUNTIFS(Daily_Recon!$A:$A,$A7,Daily_Recon!$B:$B,$B7,Daily_Recon!$C:$C,$C7)&gt;1,"صف مطابقة مكرر",IF(NOT(ISNUMBER($D7)),"المبلغ الفعلي ناقص",IF(AND(ABS($K7)&gt;S_Tol,$E7=""),"فرق بدون سبب",IF(AND(ABS($K7)&gt;S_Tol,$F7=""),"فرق بدون مسؤول",IF(AND(ABS($K7)&gt;S_Tol,$G7=""),"فرق بدون حالة معالجة",IF(AND($G7="تمت التسوية",ABS($K7)&gt;S_Tol,$H7=""),"التسوية بدون رقم مستند",IF(AND($H7&lt;&gt;"",COUNTIF(Doc_Register!$A:$A,$H7)=0),"مستند التسوية غير موجود","")))))))))))</f>
        <v/>
      </c>
      <c r="M7" s="44">
        <f>IF($J7="","",IF(AND(ABS($K7)&gt;S_Tol,$G7&lt;&gt;"تمت التسوية",$G7&lt;&gt;"مقبول بموافقة الإدارة"),1,0))</f>
        <v/>
      </c>
    </row>
    <row r="8">
      <c r="A8" s="31" t="n"/>
      <c r="B8" s="39" t="n"/>
      <c r="C8" s="39" t="n"/>
      <c r="D8" s="42" t="n"/>
      <c r="E8" s="29" t="n"/>
      <c r="F8" s="29" t="n"/>
      <c r="G8" s="29" t="n"/>
      <c r="H8" s="29" t="n"/>
      <c r="I8" s="29" t="n"/>
      <c r="J8" s="43">
        <f>IF(COUNTA($A8:$I8)=0,"",IF($C8="CASH",SUMIFS(Sales_Daily!$L:$L,Sales_Daily!$B:$B,$A8,Sales_Daily!$C:$C,$B8,Sales_Daily!$S:$S,"&lt;&gt;"&amp;ST_DRAFT,Sales_Daily!$S:$S,"&lt;&gt;"&amp;ST_CANC,Sales_Daily!$S:$S,"&lt;&gt;"&amp;ST_REV),0)+IF($C8="CARD",SUMIFS(Sales_Daily!$M:$M,Sales_Daily!$B:$B,$A8,Sales_Daily!$C:$C,$B8,Sales_Daily!$S:$S,"&lt;&gt;"&amp;ST_DRAFT,Sales_Daily!$S:$S,"&lt;&gt;"&amp;ST_CANC,Sales_Daily!$S:$S,"&lt;&gt;"&amp;ST_REV),0)+IF($C8="TLB",SUMIFS(Sales_Daily!$N:$N,Sales_Daily!$B:$B,$A8,Sales_Daily!$C:$C,$B8,Sales_Daily!$S:$S,"&lt;&gt;"&amp;ST_DRAFT,Sales_Daily!$S:$S,"&lt;&gt;"&amp;ST_CANC,Sales_Daily!$S:$S,"&lt;&gt;"&amp;ST_REV),0)+IF($C8="DLV2",SUMIFS(Sales_Daily!$O:$O,Sales_Daily!$B:$B,$A8,Sales_Daily!$C:$C,$B8,Sales_Daily!$S:$S,"&lt;&gt;"&amp;ST_DRAFT,Sales_Daily!$S:$S,"&lt;&gt;"&amp;ST_CANC,Sales_Daily!$S:$S,"&lt;&gt;"&amp;ST_REV),0)+IF($C8="INSTA",SUMIFS(Sales_Daily!$P:$P,Sales_Daily!$B:$B,$A8,Sales_Daily!$C:$C,$B8,Sales_Daily!$S:$S,"&lt;&gt;"&amp;ST_DRAFT,Sales_Daily!$S:$S,"&lt;&gt;"&amp;ST_CANC,Sales_Daily!$S:$S,"&lt;&gt;"&amp;ST_REV),0)+SUMIFS(Sales_Daily!$Q:$Q,Sales_Daily!$B:$B,$A8,Sales_Daily!$C:$C,$B8,Sales_Daily!$S:$S,"&lt;&gt;"&amp;ST_DRAFT,Sales_Daily!$S:$S,"&lt;&gt;"&amp;ST_CANC,Sales_Daily!$S:$S,"&lt;&gt;"&amp;ST_REV,Sales_Daily!$R:$R,$C8))</f>
        <v/>
      </c>
      <c r="K8" s="47">
        <f>IF($J8="","",ROUND($D8-$J8,2))</f>
        <v/>
      </c>
      <c r="L8" s="32">
        <f>IF($J8="","",IF(NOT(ISNUMBER($A8)),"التاريخ ناقص",IF(NOT(COUNTIF(Locations!$A:$A,$B8)&gt;0),"الفرع غير معرف",IF(COUNTIF(Payment_Methods!$A:$A,$C8)=0,"وسيلة الدفع غير معرفة",IF(COUNTIFS(Daily_Recon!$A:$A,$A8,Daily_Recon!$B:$B,$B8,Daily_Recon!$C:$C,$C8)&gt;1,"صف مطابقة مكرر",IF(NOT(ISNUMBER($D8)),"المبلغ الفعلي ناقص",IF(AND(ABS($K8)&gt;S_Tol,$E8=""),"فرق بدون سبب",IF(AND(ABS($K8)&gt;S_Tol,$F8=""),"فرق بدون مسؤول",IF(AND(ABS($K8)&gt;S_Tol,$G8=""),"فرق بدون حالة معالجة",IF(AND($G8="تمت التسوية",ABS($K8)&gt;S_Tol,$H8=""),"التسوية بدون رقم مستند",IF(AND($H8&lt;&gt;"",COUNTIF(Doc_Register!$A:$A,$H8)=0),"مستند التسوية غير موجود","")))))))))))</f>
        <v/>
      </c>
      <c r="M8" s="44">
        <f>IF($J8="","",IF(AND(ABS($K8)&gt;S_Tol,$G8&lt;&gt;"تمت التسوية",$G8&lt;&gt;"مقبول بموافقة الإدارة"),1,0))</f>
        <v/>
      </c>
    </row>
    <row r="9">
      <c r="A9" s="31" t="n"/>
      <c r="B9" s="39" t="n"/>
      <c r="C9" s="39" t="n"/>
      <c r="D9" s="42" t="n"/>
      <c r="E9" s="29" t="n"/>
      <c r="F9" s="29" t="n"/>
      <c r="G9" s="29" t="n"/>
      <c r="H9" s="29" t="n"/>
      <c r="I9" s="29" t="n"/>
      <c r="J9" s="43">
        <f>IF(COUNTA($A9:$I9)=0,"",IF($C9="CASH",SUMIFS(Sales_Daily!$L:$L,Sales_Daily!$B:$B,$A9,Sales_Daily!$C:$C,$B9,Sales_Daily!$S:$S,"&lt;&gt;"&amp;ST_DRAFT,Sales_Daily!$S:$S,"&lt;&gt;"&amp;ST_CANC,Sales_Daily!$S:$S,"&lt;&gt;"&amp;ST_REV),0)+IF($C9="CARD",SUMIFS(Sales_Daily!$M:$M,Sales_Daily!$B:$B,$A9,Sales_Daily!$C:$C,$B9,Sales_Daily!$S:$S,"&lt;&gt;"&amp;ST_DRAFT,Sales_Daily!$S:$S,"&lt;&gt;"&amp;ST_CANC,Sales_Daily!$S:$S,"&lt;&gt;"&amp;ST_REV),0)+IF($C9="TLB",SUMIFS(Sales_Daily!$N:$N,Sales_Daily!$B:$B,$A9,Sales_Daily!$C:$C,$B9,Sales_Daily!$S:$S,"&lt;&gt;"&amp;ST_DRAFT,Sales_Daily!$S:$S,"&lt;&gt;"&amp;ST_CANC,Sales_Daily!$S:$S,"&lt;&gt;"&amp;ST_REV),0)+IF($C9="DLV2",SUMIFS(Sales_Daily!$O:$O,Sales_Daily!$B:$B,$A9,Sales_Daily!$C:$C,$B9,Sales_Daily!$S:$S,"&lt;&gt;"&amp;ST_DRAFT,Sales_Daily!$S:$S,"&lt;&gt;"&amp;ST_CANC,Sales_Daily!$S:$S,"&lt;&gt;"&amp;ST_REV),0)+IF($C9="INSTA",SUMIFS(Sales_Daily!$P:$P,Sales_Daily!$B:$B,$A9,Sales_Daily!$C:$C,$B9,Sales_Daily!$S:$S,"&lt;&gt;"&amp;ST_DRAFT,Sales_Daily!$S:$S,"&lt;&gt;"&amp;ST_CANC,Sales_Daily!$S:$S,"&lt;&gt;"&amp;ST_REV),0)+SUMIFS(Sales_Daily!$Q:$Q,Sales_Daily!$B:$B,$A9,Sales_Daily!$C:$C,$B9,Sales_Daily!$S:$S,"&lt;&gt;"&amp;ST_DRAFT,Sales_Daily!$S:$S,"&lt;&gt;"&amp;ST_CANC,Sales_Daily!$S:$S,"&lt;&gt;"&amp;ST_REV,Sales_Daily!$R:$R,$C9))</f>
        <v/>
      </c>
      <c r="K9" s="47">
        <f>IF($J9="","",ROUND($D9-$J9,2))</f>
        <v/>
      </c>
      <c r="L9" s="32">
        <f>IF($J9="","",IF(NOT(ISNUMBER($A9)),"التاريخ ناقص",IF(NOT(COUNTIF(Locations!$A:$A,$B9)&gt;0),"الفرع غير معرف",IF(COUNTIF(Payment_Methods!$A:$A,$C9)=0,"وسيلة الدفع غير معرفة",IF(COUNTIFS(Daily_Recon!$A:$A,$A9,Daily_Recon!$B:$B,$B9,Daily_Recon!$C:$C,$C9)&gt;1,"صف مطابقة مكرر",IF(NOT(ISNUMBER($D9)),"المبلغ الفعلي ناقص",IF(AND(ABS($K9)&gt;S_Tol,$E9=""),"فرق بدون سبب",IF(AND(ABS($K9)&gt;S_Tol,$F9=""),"فرق بدون مسؤول",IF(AND(ABS($K9)&gt;S_Tol,$G9=""),"فرق بدون حالة معالجة",IF(AND($G9="تمت التسوية",ABS($K9)&gt;S_Tol,$H9=""),"التسوية بدون رقم مستند",IF(AND($H9&lt;&gt;"",COUNTIF(Doc_Register!$A:$A,$H9)=0),"مستند التسوية غير موجود","")))))))))))</f>
        <v/>
      </c>
      <c r="M9" s="44">
        <f>IF($J9="","",IF(AND(ABS($K9)&gt;S_Tol,$G9&lt;&gt;"تمت التسوية",$G9&lt;&gt;"مقبول بموافقة الإدارة"),1,0))</f>
        <v/>
      </c>
    </row>
    <row r="10">
      <c r="A10" s="31" t="n"/>
      <c r="B10" s="39" t="n"/>
      <c r="C10" s="39" t="n"/>
      <c r="D10" s="42" t="n"/>
      <c r="E10" s="29" t="n"/>
      <c r="F10" s="29" t="n"/>
      <c r="G10" s="29" t="n"/>
      <c r="H10" s="29" t="n"/>
      <c r="I10" s="29" t="n"/>
      <c r="J10" s="43">
        <f>IF(COUNTA($A10:$I10)=0,"",IF($C10="CASH",SUMIFS(Sales_Daily!$L:$L,Sales_Daily!$B:$B,$A10,Sales_Daily!$C:$C,$B10,Sales_Daily!$S:$S,"&lt;&gt;"&amp;ST_DRAFT,Sales_Daily!$S:$S,"&lt;&gt;"&amp;ST_CANC,Sales_Daily!$S:$S,"&lt;&gt;"&amp;ST_REV),0)+IF($C10="CARD",SUMIFS(Sales_Daily!$M:$M,Sales_Daily!$B:$B,$A10,Sales_Daily!$C:$C,$B10,Sales_Daily!$S:$S,"&lt;&gt;"&amp;ST_DRAFT,Sales_Daily!$S:$S,"&lt;&gt;"&amp;ST_CANC,Sales_Daily!$S:$S,"&lt;&gt;"&amp;ST_REV),0)+IF($C10="TLB",SUMIFS(Sales_Daily!$N:$N,Sales_Daily!$B:$B,$A10,Sales_Daily!$C:$C,$B10,Sales_Daily!$S:$S,"&lt;&gt;"&amp;ST_DRAFT,Sales_Daily!$S:$S,"&lt;&gt;"&amp;ST_CANC,Sales_Daily!$S:$S,"&lt;&gt;"&amp;ST_REV),0)+IF($C10="DLV2",SUMIFS(Sales_Daily!$O:$O,Sales_Daily!$B:$B,$A10,Sales_Daily!$C:$C,$B10,Sales_Daily!$S:$S,"&lt;&gt;"&amp;ST_DRAFT,Sales_Daily!$S:$S,"&lt;&gt;"&amp;ST_CANC,Sales_Daily!$S:$S,"&lt;&gt;"&amp;ST_REV),0)+IF($C10="INSTA",SUMIFS(Sales_Daily!$P:$P,Sales_Daily!$B:$B,$A10,Sales_Daily!$C:$C,$B10,Sales_Daily!$S:$S,"&lt;&gt;"&amp;ST_DRAFT,Sales_Daily!$S:$S,"&lt;&gt;"&amp;ST_CANC,Sales_Daily!$S:$S,"&lt;&gt;"&amp;ST_REV),0)+SUMIFS(Sales_Daily!$Q:$Q,Sales_Daily!$B:$B,$A10,Sales_Daily!$C:$C,$B10,Sales_Daily!$S:$S,"&lt;&gt;"&amp;ST_DRAFT,Sales_Daily!$S:$S,"&lt;&gt;"&amp;ST_CANC,Sales_Daily!$S:$S,"&lt;&gt;"&amp;ST_REV,Sales_Daily!$R:$R,$C10))</f>
        <v/>
      </c>
      <c r="K10" s="47">
        <f>IF($J10="","",ROUND($D10-$J10,2))</f>
        <v/>
      </c>
      <c r="L10" s="32">
        <f>IF($J10="","",IF(NOT(ISNUMBER($A10)),"التاريخ ناقص",IF(NOT(COUNTIF(Locations!$A:$A,$B10)&gt;0),"الفرع غير معرف",IF(COUNTIF(Payment_Methods!$A:$A,$C10)=0,"وسيلة الدفع غير معرفة",IF(COUNTIFS(Daily_Recon!$A:$A,$A10,Daily_Recon!$B:$B,$B10,Daily_Recon!$C:$C,$C10)&gt;1,"صف مطابقة مكرر",IF(NOT(ISNUMBER($D10)),"المبلغ الفعلي ناقص",IF(AND(ABS($K10)&gt;S_Tol,$E10=""),"فرق بدون سبب",IF(AND(ABS($K10)&gt;S_Tol,$F10=""),"فرق بدون مسؤول",IF(AND(ABS($K10)&gt;S_Tol,$G10=""),"فرق بدون حالة معالجة",IF(AND($G10="تمت التسوية",ABS($K10)&gt;S_Tol,$H10=""),"التسوية بدون رقم مستند",IF(AND($H10&lt;&gt;"",COUNTIF(Doc_Register!$A:$A,$H10)=0),"مستند التسوية غير موجود","")))))))))))</f>
        <v/>
      </c>
      <c r="M10" s="44">
        <f>IF($J10="","",IF(AND(ABS($K10)&gt;S_Tol,$G10&lt;&gt;"تمت التسوية",$G10&lt;&gt;"مقبول بموافقة الإدارة"),1,0))</f>
        <v/>
      </c>
    </row>
    <row r="11">
      <c r="A11" s="31" t="n"/>
      <c r="B11" s="39" t="n"/>
      <c r="C11" s="39" t="n"/>
      <c r="D11" s="42" t="n"/>
      <c r="E11" s="29" t="n"/>
      <c r="F11" s="29" t="n"/>
      <c r="G11" s="29" t="n"/>
      <c r="H11" s="29" t="n"/>
      <c r="I11" s="29" t="n"/>
      <c r="J11" s="43">
        <f>IF(COUNTA($A11:$I11)=0,"",IF($C11="CASH",SUMIFS(Sales_Daily!$L:$L,Sales_Daily!$B:$B,$A11,Sales_Daily!$C:$C,$B11,Sales_Daily!$S:$S,"&lt;&gt;"&amp;ST_DRAFT,Sales_Daily!$S:$S,"&lt;&gt;"&amp;ST_CANC,Sales_Daily!$S:$S,"&lt;&gt;"&amp;ST_REV),0)+IF($C11="CARD",SUMIFS(Sales_Daily!$M:$M,Sales_Daily!$B:$B,$A11,Sales_Daily!$C:$C,$B11,Sales_Daily!$S:$S,"&lt;&gt;"&amp;ST_DRAFT,Sales_Daily!$S:$S,"&lt;&gt;"&amp;ST_CANC,Sales_Daily!$S:$S,"&lt;&gt;"&amp;ST_REV),0)+IF($C11="TLB",SUMIFS(Sales_Daily!$N:$N,Sales_Daily!$B:$B,$A11,Sales_Daily!$C:$C,$B11,Sales_Daily!$S:$S,"&lt;&gt;"&amp;ST_DRAFT,Sales_Daily!$S:$S,"&lt;&gt;"&amp;ST_CANC,Sales_Daily!$S:$S,"&lt;&gt;"&amp;ST_REV),0)+IF($C11="DLV2",SUMIFS(Sales_Daily!$O:$O,Sales_Daily!$B:$B,$A11,Sales_Daily!$C:$C,$B11,Sales_Daily!$S:$S,"&lt;&gt;"&amp;ST_DRAFT,Sales_Daily!$S:$S,"&lt;&gt;"&amp;ST_CANC,Sales_Daily!$S:$S,"&lt;&gt;"&amp;ST_REV),0)+IF($C11="INSTA",SUMIFS(Sales_Daily!$P:$P,Sales_Daily!$B:$B,$A11,Sales_Daily!$C:$C,$B11,Sales_Daily!$S:$S,"&lt;&gt;"&amp;ST_DRAFT,Sales_Daily!$S:$S,"&lt;&gt;"&amp;ST_CANC,Sales_Daily!$S:$S,"&lt;&gt;"&amp;ST_REV),0)+SUMIFS(Sales_Daily!$Q:$Q,Sales_Daily!$B:$B,$A11,Sales_Daily!$C:$C,$B11,Sales_Daily!$S:$S,"&lt;&gt;"&amp;ST_DRAFT,Sales_Daily!$S:$S,"&lt;&gt;"&amp;ST_CANC,Sales_Daily!$S:$S,"&lt;&gt;"&amp;ST_REV,Sales_Daily!$R:$R,$C11))</f>
        <v/>
      </c>
      <c r="K11" s="47">
        <f>IF($J11="","",ROUND($D11-$J11,2))</f>
        <v/>
      </c>
      <c r="L11" s="32">
        <f>IF($J11="","",IF(NOT(ISNUMBER($A11)),"التاريخ ناقص",IF(NOT(COUNTIF(Locations!$A:$A,$B11)&gt;0),"الفرع غير معرف",IF(COUNTIF(Payment_Methods!$A:$A,$C11)=0,"وسيلة الدفع غير معرفة",IF(COUNTIFS(Daily_Recon!$A:$A,$A11,Daily_Recon!$B:$B,$B11,Daily_Recon!$C:$C,$C11)&gt;1,"صف مطابقة مكرر",IF(NOT(ISNUMBER($D11)),"المبلغ الفعلي ناقص",IF(AND(ABS($K11)&gt;S_Tol,$E11=""),"فرق بدون سبب",IF(AND(ABS($K11)&gt;S_Tol,$F11=""),"فرق بدون مسؤول",IF(AND(ABS($K11)&gt;S_Tol,$G11=""),"فرق بدون حالة معالجة",IF(AND($G11="تمت التسوية",ABS($K11)&gt;S_Tol,$H11=""),"التسوية بدون رقم مستند",IF(AND($H11&lt;&gt;"",COUNTIF(Doc_Register!$A:$A,$H11)=0),"مستند التسوية غير موجود","")))))))))))</f>
        <v/>
      </c>
      <c r="M11" s="44">
        <f>IF($J11="","",IF(AND(ABS($K11)&gt;S_Tol,$G11&lt;&gt;"تمت التسوية",$G11&lt;&gt;"مقبول بموافقة الإدارة"),1,0))</f>
        <v/>
      </c>
    </row>
    <row r="12">
      <c r="A12" s="31" t="n"/>
      <c r="B12" s="39" t="n"/>
      <c r="C12" s="39" t="n"/>
      <c r="D12" s="42" t="n"/>
      <c r="E12" s="29" t="n"/>
      <c r="F12" s="29" t="n"/>
      <c r="G12" s="29" t="n"/>
      <c r="H12" s="29" t="n"/>
      <c r="I12" s="29" t="n"/>
      <c r="J12" s="43">
        <f>IF(COUNTA($A12:$I12)=0,"",IF($C12="CASH",SUMIFS(Sales_Daily!$L:$L,Sales_Daily!$B:$B,$A12,Sales_Daily!$C:$C,$B12,Sales_Daily!$S:$S,"&lt;&gt;"&amp;ST_DRAFT,Sales_Daily!$S:$S,"&lt;&gt;"&amp;ST_CANC,Sales_Daily!$S:$S,"&lt;&gt;"&amp;ST_REV),0)+IF($C12="CARD",SUMIFS(Sales_Daily!$M:$M,Sales_Daily!$B:$B,$A12,Sales_Daily!$C:$C,$B12,Sales_Daily!$S:$S,"&lt;&gt;"&amp;ST_DRAFT,Sales_Daily!$S:$S,"&lt;&gt;"&amp;ST_CANC,Sales_Daily!$S:$S,"&lt;&gt;"&amp;ST_REV),0)+IF($C12="TLB",SUMIFS(Sales_Daily!$N:$N,Sales_Daily!$B:$B,$A12,Sales_Daily!$C:$C,$B12,Sales_Daily!$S:$S,"&lt;&gt;"&amp;ST_DRAFT,Sales_Daily!$S:$S,"&lt;&gt;"&amp;ST_CANC,Sales_Daily!$S:$S,"&lt;&gt;"&amp;ST_REV),0)+IF($C12="DLV2",SUMIFS(Sales_Daily!$O:$O,Sales_Daily!$B:$B,$A12,Sales_Daily!$C:$C,$B12,Sales_Daily!$S:$S,"&lt;&gt;"&amp;ST_DRAFT,Sales_Daily!$S:$S,"&lt;&gt;"&amp;ST_CANC,Sales_Daily!$S:$S,"&lt;&gt;"&amp;ST_REV),0)+IF($C12="INSTA",SUMIFS(Sales_Daily!$P:$P,Sales_Daily!$B:$B,$A12,Sales_Daily!$C:$C,$B12,Sales_Daily!$S:$S,"&lt;&gt;"&amp;ST_DRAFT,Sales_Daily!$S:$S,"&lt;&gt;"&amp;ST_CANC,Sales_Daily!$S:$S,"&lt;&gt;"&amp;ST_REV),0)+SUMIFS(Sales_Daily!$Q:$Q,Sales_Daily!$B:$B,$A12,Sales_Daily!$C:$C,$B12,Sales_Daily!$S:$S,"&lt;&gt;"&amp;ST_DRAFT,Sales_Daily!$S:$S,"&lt;&gt;"&amp;ST_CANC,Sales_Daily!$S:$S,"&lt;&gt;"&amp;ST_REV,Sales_Daily!$R:$R,$C12))</f>
        <v/>
      </c>
      <c r="K12" s="47">
        <f>IF($J12="","",ROUND($D12-$J12,2))</f>
        <v/>
      </c>
      <c r="L12" s="32">
        <f>IF($J12="","",IF(NOT(ISNUMBER($A12)),"التاريخ ناقص",IF(NOT(COUNTIF(Locations!$A:$A,$B12)&gt;0),"الفرع غير معرف",IF(COUNTIF(Payment_Methods!$A:$A,$C12)=0,"وسيلة الدفع غير معرفة",IF(COUNTIFS(Daily_Recon!$A:$A,$A12,Daily_Recon!$B:$B,$B12,Daily_Recon!$C:$C,$C12)&gt;1,"صف مطابقة مكرر",IF(NOT(ISNUMBER($D12)),"المبلغ الفعلي ناقص",IF(AND(ABS($K12)&gt;S_Tol,$E12=""),"فرق بدون سبب",IF(AND(ABS($K12)&gt;S_Tol,$F12=""),"فرق بدون مسؤول",IF(AND(ABS($K12)&gt;S_Tol,$G12=""),"فرق بدون حالة معالجة",IF(AND($G12="تمت التسوية",ABS($K12)&gt;S_Tol,$H12=""),"التسوية بدون رقم مستند",IF(AND($H12&lt;&gt;"",COUNTIF(Doc_Register!$A:$A,$H12)=0),"مستند التسوية غير موجود","")))))))))))</f>
        <v/>
      </c>
      <c r="M12" s="44">
        <f>IF($J12="","",IF(AND(ABS($K12)&gt;S_Tol,$G12&lt;&gt;"تمت التسوية",$G12&lt;&gt;"مقبول بموافقة الإدارة"),1,0))</f>
        <v/>
      </c>
    </row>
    <row r="13">
      <c r="A13" s="31" t="n"/>
      <c r="B13" s="39" t="n"/>
      <c r="C13" s="39" t="n"/>
      <c r="D13" s="42" t="n"/>
      <c r="E13" s="29" t="n"/>
      <c r="F13" s="29" t="n"/>
      <c r="G13" s="29" t="n"/>
      <c r="H13" s="29" t="n"/>
      <c r="I13" s="29" t="n"/>
      <c r="J13" s="43">
        <f>IF(COUNTA($A13:$I13)=0,"",IF($C13="CASH",SUMIFS(Sales_Daily!$L:$L,Sales_Daily!$B:$B,$A13,Sales_Daily!$C:$C,$B13,Sales_Daily!$S:$S,"&lt;&gt;"&amp;ST_DRAFT,Sales_Daily!$S:$S,"&lt;&gt;"&amp;ST_CANC,Sales_Daily!$S:$S,"&lt;&gt;"&amp;ST_REV),0)+IF($C13="CARD",SUMIFS(Sales_Daily!$M:$M,Sales_Daily!$B:$B,$A13,Sales_Daily!$C:$C,$B13,Sales_Daily!$S:$S,"&lt;&gt;"&amp;ST_DRAFT,Sales_Daily!$S:$S,"&lt;&gt;"&amp;ST_CANC,Sales_Daily!$S:$S,"&lt;&gt;"&amp;ST_REV),0)+IF($C13="TLB",SUMIFS(Sales_Daily!$N:$N,Sales_Daily!$B:$B,$A13,Sales_Daily!$C:$C,$B13,Sales_Daily!$S:$S,"&lt;&gt;"&amp;ST_DRAFT,Sales_Daily!$S:$S,"&lt;&gt;"&amp;ST_CANC,Sales_Daily!$S:$S,"&lt;&gt;"&amp;ST_REV),0)+IF($C13="DLV2",SUMIFS(Sales_Daily!$O:$O,Sales_Daily!$B:$B,$A13,Sales_Daily!$C:$C,$B13,Sales_Daily!$S:$S,"&lt;&gt;"&amp;ST_DRAFT,Sales_Daily!$S:$S,"&lt;&gt;"&amp;ST_CANC,Sales_Daily!$S:$S,"&lt;&gt;"&amp;ST_REV),0)+IF($C13="INSTA",SUMIFS(Sales_Daily!$P:$P,Sales_Daily!$B:$B,$A13,Sales_Daily!$C:$C,$B13,Sales_Daily!$S:$S,"&lt;&gt;"&amp;ST_DRAFT,Sales_Daily!$S:$S,"&lt;&gt;"&amp;ST_CANC,Sales_Daily!$S:$S,"&lt;&gt;"&amp;ST_REV),0)+SUMIFS(Sales_Daily!$Q:$Q,Sales_Daily!$B:$B,$A13,Sales_Daily!$C:$C,$B13,Sales_Daily!$S:$S,"&lt;&gt;"&amp;ST_DRAFT,Sales_Daily!$S:$S,"&lt;&gt;"&amp;ST_CANC,Sales_Daily!$S:$S,"&lt;&gt;"&amp;ST_REV,Sales_Daily!$R:$R,$C13))</f>
        <v/>
      </c>
      <c r="K13" s="47">
        <f>IF($J13="","",ROUND($D13-$J13,2))</f>
        <v/>
      </c>
      <c r="L13" s="32">
        <f>IF($J13="","",IF(NOT(ISNUMBER($A13)),"التاريخ ناقص",IF(NOT(COUNTIF(Locations!$A:$A,$B13)&gt;0),"الفرع غير معرف",IF(COUNTIF(Payment_Methods!$A:$A,$C13)=0,"وسيلة الدفع غير معرفة",IF(COUNTIFS(Daily_Recon!$A:$A,$A13,Daily_Recon!$B:$B,$B13,Daily_Recon!$C:$C,$C13)&gt;1,"صف مطابقة مكرر",IF(NOT(ISNUMBER($D13)),"المبلغ الفعلي ناقص",IF(AND(ABS($K13)&gt;S_Tol,$E13=""),"فرق بدون سبب",IF(AND(ABS($K13)&gt;S_Tol,$F13=""),"فرق بدون مسؤول",IF(AND(ABS($K13)&gt;S_Tol,$G13=""),"فرق بدون حالة معالجة",IF(AND($G13="تمت التسوية",ABS($K13)&gt;S_Tol,$H13=""),"التسوية بدون رقم مستند",IF(AND($H13&lt;&gt;"",COUNTIF(Doc_Register!$A:$A,$H13)=0),"مستند التسوية غير موجود","")))))))))))</f>
        <v/>
      </c>
      <c r="M13" s="44">
        <f>IF($J13="","",IF(AND(ABS($K13)&gt;S_Tol,$G13&lt;&gt;"تمت التسوية",$G13&lt;&gt;"مقبول بموافقة الإدارة"),1,0))</f>
        <v/>
      </c>
    </row>
    <row r="14">
      <c r="A14" s="31" t="n"/>
      <c r="B14" s="39" t="n"/>
      <c r="C14" s="39" t="n"/>
      <c r="D14" s="42" t="n"/>
      <c r="E14" s="29" t="n"/>
      <c r="F14" s="29" t="n"/>
      <c r="G14" s="29" t="n"/>
      <c r="H14" s="29" t="n"/>
      <c r="I14" s="29" t="n"/>
      <c r="J14" s="43">
        <f>IF(COUNTA($A14:$I14)=0,"",IF($C14="CASH",SUMIFS(Sales_Daily!$L:$L,Sales_Daily!$B:$B,$A14,Sales_Daily!$C:$C,$B14,Sales_Daily!$S:$S,"&lt;&gt;"&amp;ST_DRAFT,Sales_Daily!$S:$S,"&lt;&gt;"&amp;ST_CANC,Sales_Daily!$S:$S,"&lt;&gt;"&amp;ST_REV),0)+IF($C14="CARD",SUMIFS(Sales_Daily!$M:$M,Sales_Daily!$B:$B,$A14,Sales_Daily!$C:$C,$B14,Sales_Daily!$S:$S,"&lt;&gt;"&amp;ST_DRAFT,Sales_Daily!$S:$S,"&lt;&gt;"&amp;ST_CANC,Sales_Daily!$S:$S,"&lt;&gt;"&amp;ST_REV),0)+IF($C14="TLB",SUMIFS(Sales_Daily!$N:$N,Sales_Daily!$B:$B,$A14,Sales_Daily!$C:$C,$B14,Sales_Daily!$S:$S,"&lt;&gt;"&amp;ST_DRAFT,Sales_Daily!$S:$S,"&lt;&gt;"&amp;ST_CANC,Sales_Daily!$S:$S,"&lt;&gt;"&amp;ST_REV),0)+IF($C14="DLV2",SUMIFS(Sales_Daily!$O:$O,Sales_Daily!$B:$B,$A14,Sales_Daily!$C:$C,$B14,Sales_Daily!$S:$S,"&lt;&gt;"&amp;ST_DRAFT,Sales_Daily!$S:$S,"&lt;&gt;"&amp;ST_CANC,Sales_Daily!$S:$S,"&lt;&gt;"&amp;ST_REV),0)+IF($C14="INSTA",SUMIFS(Sales_Daily!$P:$P,Sales_Daily!$B:$B,$A14,Sales_Daily!$C:$C,$B14,Sales_Daily!$S:$S,"&lt;&gt;"&amp;ST_DRAFT,Sales_Daily!$S:$S,"&lt;&gt;"&amp;ST_CANC,Sales_Daily!$S:$S,"&lt;&gt;"&amp;ST_REV),0)+SUMIFS(Sales_Daily!$Q:$Q,Sales_Daily!$B:$B,$A14,Sales_Daily!$C:$C,$B14,Sales_Daily!$S:$S,"&lt;&gt;"&amp;ST_DRAFT,Sales_Daily!$S:$S,"&lt;&gt;"&amp;ST_CANC,Sales_Daily!$S:$S,"&lt;&gt;"&amp;ST_REV,Sales_Daily!$R:$R,$C14))</f>
        <v/>
      </c>
      <c r="K14" s="47">
        <f>IF($J14="","",ROUND($D14-$J14,2))</f>
        <v/>
      </c>
      <c r="L14" s="32">
        <f>IF($J14="","",IF(NOT(ISNUMBER($A14)),"التاريخ ناقص",IF(NOT(COUNTIF(Locations!$A:$A,$B14)&gt;0),"الفرع غير معرف",IF(COUNTIF(Payment_Methods!$A:$A,$C14)=0,"وسيلة الدفع غير معرفة",IF(COUNTIFS(Daily_Recon!$A:$A,$A14,Daily_Recon!$B:$B,$B14,Daily_Recon!$C:$C,$C14)&gt;1,"صف مطابقة مكرر",IF(NOT(ISNUMBER($D14)),"المبلغ الفعلي ناقص",IF(AND(ABS($K14)&gt;S_Tol,$E14=""),"فرق بدون سبب",IF(AND(ABS($K14)&gt;S_Tol,$F14=""),"فرق بدون مسؤول",IF(AND(ABS($K14)&gt;S_Tol,$G14=""),"فرق بدون حالة معالجة",IF(AND($G14="تمت التسوية",ABS($K14)&gt;S_Tol,$H14=""),"التسوية بدون رقم مستند",IF(AND($H14&lt;&gt;"",COUNTIF(Doc_Register!$A:$A,$H14)=0),"مستند التسوية غير موجود","")))))))))))</f>
        <v/>
      </c>
      <c r="M14" s="44">
        <f>IF($J14="","",IF(AND(ABS($K14)&gt;S_Tol,$G14&lt;&gt;"تمت التسوية",$G14&lt;&gt;"مقبول بموافقة الإدارة"),1,0))</f>
        <v/>
      </c>
    </row>
    <row r="15">
      <c r="A15" s="31" t="n"/>
      <c r="B15" s="39" t="n"/>
      <c r="C15" s="39" t="n"/>
      <c r="D15" s="42" t="n"/>
      <c r="E15" s="29" t="n"/>
      <c r="F15" s="29" t="n"/>
      <c r="G15" s="29" t="n"/>
      <c r="H15" s="29" t="n"/>
      <c r="I15" s="29" t="n"/>
      <c r="J15" s="43">
        <f>IF(COUNTA($A15:$I15)=0,"",IF($C15="CASH",SUMIFS(Sales_Daily!$L:$L,Sales_Daily!$B:$B,$A15,Sales_Daily!$C:$C,$B15,Sales_Daily!$S:$S,"&lt;&gt;"&amp;ST_DRAFT,Sales_Daily!$S:$S,"&lt;&gt;"&amp;ST_CANC,Sales_Daily!$S:$S,"&lt;&gt;"&amp;ST_REV),0)+IF($C15="CARD",SUMIFS(Sales_Daily!$M:$M,Sales_Daily!$B:$B,$A15,Sales_Daily!$C:$C,$B15,Sales_Daily!$S:$S,"&lt;&gt;"&amp;ST_DRAFT,Sales_Daily!$S:$S,"&lt;&gt;"&amp;ST_CANC,Sales_Daily!$S:$S,"&lt;&gt;"&amp;ST_REV),0)+IF($C15="TLB",SUMIFS(Sales_Daily!$N:$N,Sales_Daily!$B:$B,$A15,Sales_Daily!$C:$C,$B15,Sales_Daily!$S:$S,"&lt;&gt;"&amp;ST_DRAFT,Sales_Daily!$S:$S,"&lt;&gt;"&amp;ST_CANC,Sales_Daily!$S:$S,"&lt;&gt;"&amp;ST_REV),0)+IF($C15="DLV2",SUMIFS(Sales_Daily!$O:$O,Sales_Daily!$B:$B,$A15,Sales_Daily!$C:$C,$B15,Sales_Daily!$S:$S,"&lt;&gt;"&amp;ST_DRAFT,Sales_Daily!$S:$S,"&lt;&gt;"&amp;ST_CANC,Sales_Daily!$S:$S,"&lt;&gt;"&amp;ST_REV),0)+IF($C15="INSTA",SUMIFS(Sales_Daily!$P:$P,Sales_Daily!$B:$B,$A15,Sales_Daily!$C:$C,$B15,Sales_Daily!$S:$S,"&lt;&gt;"&amp;ST_DRAFT,Sales_Daily!$S:$S,"&lt;&gt;"&amp;ST_CANC,Sales_Daily!$S:$S,"&lt;&gt;"&amp;ST_REV),0)+SUMIFS(Sales_Daily!$Q:$Q,Sales_Daily!$B:$B,$A15,Sales_Daily!$C:$C,$B15,Sales_Daily!$S:$S,"&lt;&gt;"&amp;ST_DRAFT,Sales_Daily!$S:$S,"&lt;&gt;"&amp;ST_CANC,Sales_Daily!$S:$S,"&lt;&gt;"&amp;ST_REV,Sales_Daily!$R:$R,$C15))</f>
        <v/>
      </c>
      <c r="K15" s="47">
        <f>IF($J15="","",ROUND($D15-$J15,2))</f>
        <v/>
      </c>
      <c r="L15" s="32">
        <f>IF($J15="","",IF(NOT(ISNUMBER($A15)),"التاريخ ناقص",IF(NOT(COUNTIF(Locations!$A:$A,$B15)&gt;0),"الفرع غير معرف",IF(COUNTIF(Payment_Methods!$A:$A,$C15)=0,"وسيلة الدفع غير معرفة",IF(COUNTIFS(Daily_Recon!$A:$A,$A15,Daily_Recon!$B:$B,$B15,Daily_Recon!$C:$C,$C15)&gt;1,"صف مطابقة مكرر",IF(NOT(ISNUMBER($D15)),"المبلغ الفعلي ناقص",IF(AND(ABS($K15)&gt;S_Tol,$E15=""),"فرق بدون سبب",IF(AND(ABS($K15)&gt;S_Tol,$F15=""),"فرق بدون مسؤول",IF(AND(ABS($K15)&gt;S_Tol,$G15=""),"فرق بدون حالة معالجة",IF(AND($G15="تمت التسوية",ABS($K15)&gt;S_Tol,$H15=""),"التسوية بدون رقم مستند",IF(AND($H15&lt;&gt;"",COUNTIF(Doc_Register!$A:$A,$H15)=0),"مستند التسوية غير موجود","")))))))))))</f>
        <v/>
      </c>
      <c r="M15" s="44">
        <f>IF($J15="","",IF(AND(ABS($K15)&gt;S_Tol,$G15&lt;&gt;"تمت التسوية",$G15&lt;&gt;"مقبول بموافقة الإدارة"),1,0))</f>
        <v/>
      </c>
    </row>
    <row r="16">
      <c r="A16" s="31" t="n"/>
      <c r="B16" s="39" t="n"/>
      <c r="C16" s="39" t="n"/>
      <c r="D16" s="42" t="n"/>
      <c r="E16" s="29" t="n"/>
      <c r="F16" s="29" t="n"/>
      <c r="G16" s="29" t="n"/>
      <c r="H16" s="29" t="n"/>
      <c r="I16" s="29" t="n"/>
      <c r="J16" s="43">
        <f>IF(COUNTA($A16:$I16)=0,"",IF($C16="CASH",SUMIFS(Sales_Daily!$L:$L,Sales_Daily!$B:$B,$A16,Sales_Daily!$C:$C,$B16,Sales_Daily!$S:$S,"&lt;&gt;"&amp;ST_DRAFT,Sales_Daily!$S:$S,"&lt;&gt;"&amp;ST_CANC,Sales_Daily!$S:$S,"&lt;&gt;"&amp;ST_REV),0)+IF($C16="CARD",SUMIFS(Sales_Daily!$M:$M,Sales_Daily!$B:$B,$A16,Sales_Daily!$C:$C,$B16,Sales_Daily!$S:$S,"&lt;&gt;"&amp;ST_DRAFT,Sales_Daily!$S:$S,"&lt;&gt;"&amp;ST_CANC,Sales_Daily!$S:$S,"&lt;&gt;"&amp;ST_REV),0)+IF($C16="TLB",SUMIFS(Sales_Daily!$N:$N,Sales_Daily!$B:$B,$A16,Sales_Daily!$C:$C,$B16,Sales_Daily!$S:$S,"&lt;&gt;"&amp;ST_DRAFT,Sales_Daily!$S:$S,"&lt;&gt;"&amp;ST_CANC,Sales_Daily!$S:$S,"&lt;&gt;"&amp;ST_REV),0)+IF($C16="DLV2",SUMIFS(Sales_Daily!$O:$O,Sales_Daily!$B:$B,$A16,Sales_Daily!$C:$C,$B16,Sales_Daily!$S:$S,"&lt;&gt;"&amp;ST_DRAFT,Sales_Daily!$S:$S,"&lt;&gt;"&amp;ST_CANC,Sales_Daily!$S:$S,"&lt;&gt;"&amp;ST_REV),0)+IF($C16="INSTA",SUMIFS(Sales_Daily!$P:$P,Sales_Daily!$B:$B,$A16,Sales_Daily!$C:$C,$B16,Sales_Daily!$S:$S,"&lt;&gt;"&amp;ST_DRAFT,Sales_Daily!$S:$S,"&lt;&gt;"&amp;ST_CANC,Sales_Daily!$S:$S,"&lt;&gt;"&amp;ST_REV),0)+SUMIFS(Sales_Daily!$Q:$Q,Sales_Daily!$B:$B,$A16,Sales_Daily!$C:$C,$B16,Sales_Daily!$S:$S,"&lt;&gt;"&amp;ST_DRAFT,Sales_Daily!$S:$S,"&lt;&gt;"&amp;ST_CANC,Sales_Daily!$S:$S,"&lt;&gt;"&amp;ST_REV,Sales_Daily!$R:$R,$C16))</f>
        <v/>
      </c>
      <c r="K16" s="47">
        <f>IF($J16="","",ROUND($D16-$J16,2))</f>
        <v/>
      </c>
      <c r="L16" s="32">
        <f>IF($J16="","",IF(NOT(ISNUMBER($A16)),"التاريخ ناقص",IF(NOT(COUNTIF(Locations!$A:$A,$B16)&gt;0),"الفرع غير معرف",IF(COUNTIF(Payment_Methods!$A:$A,$C16)=0,"وسيلة الدفع غير معرفة",IF(COUNTIFS(Daily_Recon!$A:$A,$A16,Daily_Recon!$B:$B,$B16,Daily_Recon!$C:$C,$C16)&gt;1,"صف مطابقة مكرر",IF(NOT(ISNUMBER($D16)),"المبلغ الفعلي ناقص",IF(AND(ABS($K16)&gt;S_Tol,$E16=""),"فرق بدون سبب",IF(AND(ABS($K16)&gt;S_Tol,$F16=""),"فرق بدون مسؤول",IF(AND(ABS($K16)&gt;S_Tol,$G16=""),"فرق بدون حالة معالجة",IF(AND($G16="تمت التسوية",ABS($K16)&gt;S_Tol,$H16=""),"التسوية بدون رقم مستند",IF(AND($H16&lt;&gt;"",COUNTIF(Doc_Register!$A:$A,$H16)=0),"مستند التسوية غير موجود","")))))))))))</f>
        <v/>
      </c>
      <c r="M16" s="44">
        <f>IF($J16="","",IF(AND(ABS($K16)&gt;S_Tol,$G16&lt;&gt;"تمت التسوية",$G16&lt;&gt;"مقبول بموافقة الإدارة"),1,0))</f>
        <v/>
      </c>
    </row>
    <row r="17">
      <c r="A17" s="31" t="n"/>
      <c r="B17" s="39" t="n"/>
      <c r="C17" s="39" t="n"/>
      <c r="D17" s="42" t="n"/>
      <c r="E17" s="29" t="n"/>
      <c r="F17" s="29" t="n"/>
      <c r="G17" s="29" t="n"/>
      <c r="H17" s="29" t="n"/>
      <c r="I17" s="29" t="n"/>
      <c r="J17" s="43">
        <f>IF(COUNTA($A17:$I17)=0,"",IF($C17="CASH",SUMIFS(Sales_Daily!$L:$L,Sales_Daily!$B:$B,$A17,Sales_Daily!$C:$C,$B17,Sales_Daily!$S:$S,"&lt;&gt;"&amp;ST_DRAFT,Sales_Daily!$S:$S,"&lt;&gt;"&amp;ST_CANC,Sales_Daily!$S:$S,"&lt;&gt;"&amp;ST_REV),0)+IF($C17="CARD",SUMIFS(Sales_Daily!$M:$M,Sales_Daily!$B:$B,$A17,Sales_Daily!$C:$C,$B17,Sales_Daily!$S:$S,"&lt;&gt;"&amp;ST_DRAFT,Sales_Daily!$S:$S,"&lt;&gt;"&amp;ST_CANC,Sales_Daily!$S:$S,"&lt;&gt;"&amp;ST_REV),0)+IF($C17="TLB",SUMIFS(Sales_Daily!$N:$N,Sales_Daily!$B:$B,$A17,Sales_Daily!$C:$C,$B17,Sales_Daily!$S:$S,"&lt;&gt;"&amp;ST_DRAFT,Sales_Daily!$S:$S,"&lt;&gt;"&amp;ST_CANC,Sales_Daily!$S:$S,"&lt;&gt;"&amp;ST_REV),0)+IF($C17="DLV2",SUMIFS(Sales_Daily!$O:$O,Sales_Daily!$B:$B,$A17,Sales_Daily!$C:$C,$B17,Sales_Daily!$S:$S,"&lt;&gt;"&amp;ST_DRAFT,Sales_Daily!$S:$S,"&lt;&gt;"&amp;ST_CANC,Sales_Daily!$S:$S,"&lt;&gt;"&amp;ST_REV),0)+IF($C17="INSTA",SUMIFS(Sales_Daily!$P:$P,Sales_Daily!$B:$B,$A17,Sales_Daily!$C:$C,$B17,Sales_Daily!$S:$S,"&lt;&gt;"&amp;ST_DRAFT,Sales_Daily!$S:$S,"&lt;&gt;"&amp;ST_CANC,Sales_Daily!$S:$S,"&lt;&gt;"&amp;ST_REV),0)+SUMIFS(Sales_Daily!$Q:$Q,Sales_Daily!$B:$B,$A17,Sales_Daily!$C:$C,$B17,Sales_Daily!$S:$S,"&lt;&gt;"&amp;ST_DRAFT,Sales_Daily!$S:$S,"&lt;&gt;"&amp;ST_CANC,Sales_Daily!$S:$S,"&lt;&gt;"&amp;ST_REV,Sales_Daily!$R:$R,$C17))</f>
        <v/>
      </c>
      <c r="K17" s="47">
        <f>IF($J17="","",ROUND($D17-$J17,2))</f>
        <v/>
      </c>
      <c r="L17" s="32">
        <f>IF($J17="","",IF(NOT(ISNUMBER($A17)),"التاريخ ناقص",IF(NOT(COUNTIF(Locations!$A:$A,$B17)&gt;0),"الفرع غير معرف",IF(COUNTIF(Payment_Methods!$A:$A,$C17)=0,"وسيلة الدفع غير معرفة",IF(COUNTIFS(Daily_Recon!$A:$A,$A17,Daily_Recon!$B:$B,$B17,Daily_Recon!$C:$C,$C17)&gt;1,"صف مطابقة مكرر",IF(NOT(ISNUMBER($D17)),"المبلغ الفعلي ناقص",IF(AND(ABS($K17)&gt;S_Tol,$E17=""),"فرق بدون سبب",IF(AND(ABS($K17)&gt;S_Tol,$F17=""),"فرق بدون مسؤول",IF(AND(ABS($K17)&gt;S_Tol,$G17=""),"فرق بدون حالة معالجة",IF(AND($G17="تمت التسوية",ABS($K17)&gt;S_Tol,$H17=""),"التسوية بدون رقم مستند",IF(AND($H17&lt;&gt;"",COUNTIF(Doc_Register!$A:$A,$H17)=0),"مستند التسوية غير موجود","")))))))))))</f>
        <v/>
      </c>
      <c r="M17" s="44">
        <f>IF($J17="","",IF(AND(ABS($K17)&gt;S_Tol,$G17&lt;&gt;"تمت التسوية",$G17&lt;&gt;"مقبول بموافقة الإدارة"),1,0))</f>
        <v/>
      </c>
    </row>
    <row r="18">
      <c r="A18" s="31" t="n"/>
      <c r="B18" s="39" t="n"/>
      <c r="C18" s="39" t="n"/>
      <c r="D18" s="42" t="n"/>
      <c r="E18" s="29" t="n"/>
      <c r="F18" s="29" t="n"/>
      <c r="G18" s="29" t="n"/>
      <c r="H18" s="29" t="n"/>
      <c r="I18" s="29" t="n"/>
      <c r="J18" s="43">
        <f>IF(COUNTA($A18:$I18)=0,"",IF($C18="CASH",SUMIFS(Sales_Daily!$L:$L,Sales_Daily!$B:$B,$A18,Sales_Daily!$C:$C,$B18,Sales_Daily!$S:$S,"&lt;&gt;"&amp;ST_DRAFT,Sales_Daily!$S:$S,"&lt;&gt;"&amp;ST_CANC,Sales_Daily!$S:$S,"&lt;&gt;"&amp;ST_REV),0)+IF($C18="CARD",SUMIFS(Sales_Daily!$M:$M,Sales_Daily!$B:$B,$A18,Sales_Daily!$C:$C,$B18,Sales_Daily!$S:$S,"&lt;&gt;"&amp;ST_DRAFT,Sales_Daily!$S:$S,"&lt;&gt;"&amp;ST_CANC,Sales_Daily!$S:$S,"&lt;&gt;"&amp;ST_REV),0)+IF($C18="TLB",SUMIFS(Sales_Daily!$N:$N,Sales_Daily!$B:$B,$A18,Sales_Daily!$C:$C,$B18,Sales_Daily!$S:$S,"&lt;&gt;"&amp;ST_DRAFT,Sales_Daily!$S:$S,"&lt;&gt;"&amp;ST_CANC,Sales_Daily!$S:$S,"&lt;&gt;"&amp;ST_REV),0)+IF($C18="DLV2",SUMIFS(Sales_Daily!$O:$O,Sales_Daily!$B:$B,$A18,Sales_Daily!$C:$C,$B18,Sales_Daily!$S:$S,"&lt;&gt;"&amp;ST_DRAFT,Sales_Daily!$S:$S,"&lt;&gt;"&amp;ST_CANC,Sales_Daily!$S:$S,"&lt;&gt;"&amp;ST_REV),0)+IF($C18="INSTA",SUMIFS(Sales_Daily!$P:$P,Sales_Daily!$B:$B,$A18,Sales_Daily!$C:$C,$B18,Sales_Daily!$S:$S,"&lt;&gt;"&amp;ST_DRAFT,Sales_Daily!$S:$S,"&lt;&gt;"&amp;ST_CANC,Sales_Daily!$S:$S,"&lt;&gt;"&amp;ST_REV),0)+SUMIFS(Sales_Daily!$Q:$Q,Sales_Daily!$B:$B,$A18,Sales_Daily!$C:$C,$B18,Sales_Daily!$S:$S,"&lt;&gt;"&amp;ST_DRAFT,Sales_Daily!$S:$S,"&lt;&gt;"&amp;ST_CANC,Sales_Daily!$S:$S,"&lt;&gt;"&amp;ST_REV,Sales_Daily!$R:$R,$C18))</f>
        <v/>
      </c>
      <c r="K18" s="47">
        <f>IF($J18="","",ROUND($D18-$J18,2))</f>
        <v/>
      </c>
      <c r="L18" s="32">
        <f>IF($J18="","",IF(NOT(ISNUMBER($A18)),"التاريخ ناقص",IF(NOT(COUNTIF(Locations!$A:$A,$B18)&gt;0),"الفرع غير معرف",IF(COUNTIF(Payment_Methods!$A:$A,$C18)=0,"وسيلة الدفع غير معرفة",IF(COUNTIFS(Daily_Recon!$A:$A,$A18,Daily_Recon!$B:$B,$B18,Daily_Recon!$C:$C,$C18)&gt;1,"صف مطابقة مكرر",IF(NOT(ISNUMBER($D18)),"المبلغ الفعلي ناقص",IF(AND(ABS($K18)&gt;S_Tol,$E18=""),"فرق بدون سبب",IF(AND(ABS($K18)&gt;S_Tol,$F18=""),"فرق بدون مسؤول",IF(AND(ABS($K18)&gt;S_Tol,$G18=""),"فرق بدون حالة معالجة",IF(AND($G18="تمت التسوية",ABS($K18)&gt;S_Tol,$H18=""),"التسوية بدون رقم مستند",IF(AND($H18&lt;&gt;"",COUNTIF(Doc_Register!$A:$A,$H18)=0),"مستند التسوية غير موجود","")))))))))))</f>
        <v/>
      </c>
      <c r="M18" s="44">
        <f>IF($J18="","",IF(AND(ABS($K18)&gt;S_Tol,$G18&lt;&gt;"تمت التسوية",$G18&lt;&gt;"مقبول بموافقة الإدارة"),1,0))</f>
        <v/>
      </c>
    </row>
    <row r="19">
      <c r="A19" s="31" t="n"/>
      <c r="B19" s="39" t="n"/>
      <c r="C19" s="39" t="n"/>
      <c r="D19" s="42" t="n"/>
      <c r="E19" s="29" t="n"/>
      <c r="F19" s="29" t="n"/>
      <c r="G19" s="29" t="n"/>
      <c r="H19" s="29" t="n"/>
      <c r="I19" s="29" t="n"/>
      <c r="J19" s="43">
        <f>IF(COUNTA($A19:$I19)=0,"",IF($C19="CASH",SUMIFS(Sales_Daily!$L:$L,Sales_Daily!$B:$B,$A19,Sales_Daily!$C:$C,$B19,Sales_Daily!$S:$S,"&lt;&gt;"&amp;ST_DRAFT,Sales_Daily!$S:$S,"&lt;&gt;"&amp;ST_CANC,Sales_Daily!$S:$S,"&lt;&gt;"&amp;ST_REV),0)+IF($C19="CARD",SUMIFS(Sales_Daily!$M:$M,Sales_Daily!$B:$B,$A19,Sales_Daily!$C:$C,$B19,Sales_Daily!$S:$S,"&lt;&gt;"&amp;ST_DRAFT,Sales_Daily!$S:$S,"&lt;&gt;"&amp;ST_CANC,Sales_Daily!$S:$S,"&lt;&gt;"&amp;ST_REV),0)+IF($C19="TLB",SUMIFS(Sales_Daily!$N:$N,Sales_Daily!$B:$B,$A19,Sales_Daily!$C:$C,$B19,Sales_Daily!$S:$S,"&lt;&gt;"&amp;ST_DRAFT,Sales_Daily!$S:$S,"&lt;&gt;"&amp;ST_CANC,Sales_Daily!$S:$S,"&lt;&gt;"&amp;ST_REV),0)+IF($C19="DLV2",SUMIFS(Sales_Daily!$O:$O,Sales_Daily!$B:$B,$A19,Sales_Daily!$C:$C,$B19,Sales_Daily!$S:$S,"&lt;&gt;"&amp;ST_DRAFT,Sales_Daily!$S:$S,"&lt;&gt;"&amp;ST_CANC,Sales_Daily!$S:$S,"&lt;&gt;"&amp;ST_REV),0)+IF($C19="INSTA",SUMIFS(Sales_Daily!$P:$P,Sales_Daily!$B:$B,$A19,Sales_Daily!$C:$C,$B19,Sales_Daily!$S:$S,"&lt;&gt;"&amp;ST_DRAFT,Sales_Daily!$S:$S,"&lt;&gt;"&amp;ST_CANC,Sales_Daily!$S:$S,"&lt;&gt;"&amp;ST_REV),0)+SUMIFS(Sales_Daily!$Q:$Q,Sales_Daily!$B:$B,$A19,Sales_Daily!$C:$C,$B19,Sales_Daily!$S:$S,"&lt;&gt;"&amp;ST_DRAFT,Sales_Daily!$S:$S,"&lt;&gt;"&amp;ST_CANC,Sales_Daily!$S:$S,"&lt;&gt;"&amp;ST_REV,Sales_Daily!$R:$R,$C19))</f>
        <v/>
      </c>
      <c r="K19" s="47">
        <f>IF($J19="","",ROUND($D19-$J19,2))</f>
        <v/>
      </c>
      <c r="L19" s="32">
        <f>IF($J19="","",IF(NOT(ISNUMBER($A19)),"التاريخ ناقص",IF(NOT(COUNTIF(Locations!$A:$A,$B19)&gt;0),"الفرع غير معرف",IF(COUNTIF(Payment_Methods!$A:$A,$C19)=0,"وسيلة الدفع غير معرفة",IF(COUNTIFS(Daily_Recon!$A:$A,$A19,Daily_Recon!$B:$B,$B19,Daily_Recon!$C:$C,$C19)&gt;1,"صف مطابقة مكرر",IF(NOT(ISNUMBER($D19)),"المبلغ الفعلي ناقص",IF(AND(ABS($K19)&gt;S_Tol,$E19=""),"فرق بدون سبب",IF(AND(ABS($K19)&gt;S_Tol,$F19=""),"فرق بدون مسؤول",IF(AND(ABS($K19)&gt;S_Tol,$G19=""),"فرق بدون حالة معالجة",IF(AND($G19="تمت التسوية",ABS($K19)&gt;S_Tol,$H19=""),"التسوية بدون رقم مستند",IF(AND($H19&lt;&gt;"",COUNTIF(Doc_Register!$A:$A,$H19)=0),"مستند التسوية غير موجود","")))))))))))</f>
        <v/>
      </c>
      <c r="M19" s="44">
        <f>IF($J19="","",IF(AND(ABS($K19)&gt;S_Tol,$G19&lt;&gt;"تمت التسوية",$G19&lt;&gt;"مقبول بموافقة الإدارة"),1,0))</f>
        <v/>
      </c>
    </row>
    <row r="20">
      <c r="A20" s="31" t="n"/>
      <c r="B20" s="39" t="n"/>
      <c r="C20" s="39" t="n"/>
      <c r="D20" s="42" t="n"/>
      <c r="E20" s="29" t="n"/>
      <c r="F20" s="29" t="n"/>
      <c r="G20" s="29" t="n"/>
      <c r="H20" s="29" t="n"/>
      <c r="I20" s="29" t="n"/>
      <c r="J20" s="43">
        <f>IF(COUNTA($A20:$I20)=0,"",IF($C20="CASH",SUMIFS(Sales_Daily!$L:$L,Sales_Daily!$B:$B,$A20,Sales_Daily!$C:$C,$B20,Sales_Daily!$S:$S,"&lt;&gt;"&amp;ST_DRAFT,Sales_Daily!$S:$S,"&lt;&gt;"&amp;ST_CANC,Sales_Daily!$S:$S,"&lt;&gt;"&amp;ST_REV),0)+IF($C20="CARD",SUMIFS(Sales_Daily!$M:$M,Sales_Daily!$B:$B,$A20,Sales_Daily!$C:$C,$B20,Sales_Daily!$S:$S,"&lt;&gt;"&amp;ST_DRAFT,Sales_Daily!$S:$S,"&lt;&gt;"&amp;ST_CANC,Sales_Daily!$S:$S,"&lt;&gt;"&amp;ST_REV),0)+IF($C20="TLB",SUMIFS(Sales_Daily!$N:$N,Sales_Daily!$B:$B,$A20,Sales_Daily!$C:$C,$B20,Sales_Daily!$S:$S,"&lt;&gt;"&amp;ST_DRAFT,Sales_Daily!$S:$S,"&lt;&gt;"&amp;ST_CANC,Sales_Daily!$S:$S,"&lt;&gt;"&amp;ST_REV),0)+IF($C20="DLV2",SUMIFS(Sales_Daily!$O:$O,Sales_Daily!$B:$B,$A20,Sales_Daily!$C:$C,$B20,Sales_Daily!$S:$S,"&lt;&gt;"&amp;ST_DRAFT,Sales_Daily!$S:$S,"&lt;&gt;"&amp;ST_CANC,Sales_Daily!$S:$S,"&lt;&gt;"&amp;ST_REV),0)+IF($C20="INSTA",SUMIFS(Sales_Daily!$P:$P,Sales_Daily!$B:$B,$A20,Sales_Daily!$C:$C,$B20,Sales_Daily!$S:$S,"&lt;&gt;"&amp;ST_DRAFT,Sales_Daily!$S:$S,"&lt;&gt;"&amp;ST_CANC,Sales_Daily!$S:$S,"&lt;&gt;"&amp;ST_REV),0)+SUMIFS(Sales_Daily!$Q:$Q,Sales_Daily!$B:$B,$A20,Sales_Daily!$C:$C,$B20,Sales_Daily!$S:$S,"&lt;&gt;"&amp;ST_DRAFT,Sales_Daily!$S:$S,"&lt;&gt;"&amp;ST_CANC,Sales_Daily!$S:$S,"&lt;&gt;"&amp;ST_REV,Sales_Daily!$R:$R,$C20))</f>
        <v/>
      </c>
      <c r="K20" s="47">
        <f>IF($J20="","",ROUND($D20-$J20,2))</f>
        <v/>
      </c>
      <c r="L20" s="32">
        <f>IF($J20="","",IF(NOT(ISNUMBER($A20)),"التاريخ ناقص",IF(NOT(COUNTIF(Locations!$A:$A,$B20)&gt;0),"الفرع غير معرف",IF(COUNTIF(Payment_Methods!$A:$A,$C20)=0,"وسيلة الدفع غير معرفة",IF(COUNTIFS(Daily_Recon!$A:$A,$A20,Daily_Recon!$B:$B,$B20,Daily_Recon!$C:$C,$C20)&gt;1,"صف مطابقة مكرر",IF(NOT(ISNUMBER($D20)),"المبلغ الفعلي ناقص",IF(AND(ABS($K20)&gt;S_Tol,$E20=""),"فرق بدون سبب",IF(AND(ABS($K20)&gt;S_Tol,$F20=""),"فرق بدون مسؤول",IF(AND(ABS($K20)&gt;S_Tol,$G20=""),"فرق بدون حالة معالجة",IF(AND($G20="تمت التسوية",ABS($K20)&gt;S_Tol,$H20=""),"التسوية بدون رقم مستند",IF(AND($H20&lt;&gt;"",COUNTIF(Doc_Register!$A:$A,$H20)=0),"مستند التسوية غير موجود","")))))))))))</f>
        <v/>
      </c>
      <c r="M20" s="44">
        <f>IF($J20="","",IF(AND(ABS($K20)&gt;S_Tol,$G20&lt;&gt;"تمت التسوية",$G20&lt;&gt;"مقبول بموافقة الإدارة"),1,0))</f>
        <v/>
      </c>
    </row>
    <row r="21">
      <c r="A21" s="31" t="n"/>
      <c r="B21" s="39" t="n"/>
      <c r="C21" s="39" t="n"/>
      <c r="D21" s="42" t="n"/>
      <c r="E21" s="29" t="n"/>
      <c r="F21" s="29" t="n"/>
      <c r="G21" s="29" t="n"/>
      <c r="H21" s="29" t="n"/>
      <c r="I21" s="29" t="n"/>
      <c r="J21" s="43">
        <f>IF(COUNTA($A21:$I21)=0,"",IF($C21="CASH",SUMIFS(Sales_Daily!$L:$L,Sales_Daily!$B:$B,$A21,Sales_Daily!$C:$C,$B21,Sales_Daily!$S:$S,"&lt;&gt;"&amp;ST_DRAFT,Sales_Daily!$S:$S,"&lt;&gt;"&amp;ST_CANC,Sales_Daily!$S:$S,"&lt;&gt;"&amp;ST_REV),0)+IF($C21="CARD",SUMIFS(Sales_Daily!$M:$M,Sales_Daily!$B:$B,$A21,Sales_Daily!$C:$C,$B21,Sales_Daily!$S:$S,"&lt;&gt;"&amp;ST_DRAFT,Sales_Daily!$S:$S,"&lt;&gt;"&amp;ST_CANC,Sales_Daily!$S:$S,"&lt;&gt;"&amp;ST_REV),0)+IF($C21="TLB",SUMIFS(Sales_Daily!$N:$N,Sales_Daily!$B:$B,$A21,Sales_Daily!$C:$C,$B21,Sales_Daily!$S:$S,"&lt;&gt;"&amp;ST_DRAFT,Sales_Daily!$S:$S,"&lt;&gt;"&amp;ST_CANC,Sales_Daily!$S:$S,"&lt;&gt;"&amp;ST_REV),0)+IF($C21="DLV2",SUMIFS(Sales_Daily!$O:$O,Sales_Daily!$B:$B,$A21,Sales_Daily!$C:$C,$B21,Sales_Daily!$S:$S,"&lt;&gt;"&amp;ST_DRAFT,Sales_Daily!$S:$S,"&lt;&gt;"&amp;ST_CANC,Sales_Daily!$S:$S,"&lt;&gt;"&amp;ST_REV),0)+IF($C21="INSTA",SUMIFS(Sales_Daily!$P:$P,Sales_Daily!$B:$B,$A21,Sales_Daily!$C:$C,$B21,Sales_Daily!$S:$S,"&lt;&gt;"&amp;ST_DRAFT,Sales_Daily!$S:$S,"&lt;&gt;"&amp;ST_CANC,Sales_Daily!$S:$S,"&lt;&gt;"&amp;ST_REV),0)+SUMIFS(Sales_Daily!$Q:$Q,Sales_Daily!$B:$B,$A21,Sales_Daily!$C:$C,$B21,Sales_Daily!$S:$S,"&lt;&gt;"&amp;ST_DRAFT,Sales_Daily!$S:$S,"&lt;&gt;"&amp;ST_CANC,Sales_Daily!$S:$S,"&lt;&gt;"&amp;ST_REV,Sales_Daily!$R:$R,$C21))</f>
        <v/>
      </c>
      <c r="K21" s="47">
        <f>IF($J21="","",ROUND($D21-$J21,2))</f>
        <v/>
      </c>
      <c r="L21" s="32">
        <f>IF($J21="","",IF(NOT(ISNUMBER($A21)),"التاريخ ناقص",IF(NOT(COUNTIF(Locations!$A:$A,$B21)&gt;0),"الفرع غير معرف",IF(COUNTIF(Payment_Methods!$A:$A,$C21)=0,"وسيلة الدفع غير معرفة",IF(COUNTIFS(Daily_Recon!$A:$A,$A21,Daily_Recon!$B:$B,$B21,Daily_Recon!$C:$C,$C21)&gt;1,"صف مطابقة مكرر",IF(NOT(ISNUMBER($D21)),"المبلغ الفعلي ناقص",IF(AND(ABS($K21)&gt;S_Tol,$E21=""),"فرق بدون سبب",IF(AND(ABS($K21)&gt;S_Tol,$F21=""),"فرق بدون مسؤول",IF(AND(ABS($K21)&gt;S_Tol,$G21=""),"فرق بدون حالة معالجة",IF(AND($G21="تمت التسوية",ABS($K21)&gt;S_Tol,$H21=""),"التسوية بدون رقم مستند",IF(AND($H21&lt;&gt;"",COUNTIF(Doc_Register!$A:$A,$H21)=0),"مستند التسوية غير موجود","")))))))))))</f>
        <v/>
      </c>
      <c r="M21" s="44">
        <f>IF($J21="","",IF(AND(ABS($K21)&gt;S_Tol,$G21&lt;&gt;"تمت التسوية",$G21&lt;&gt;"مقبول بموافقة الإدارة"),1,0))</f>
        <v/>
      </c>
    </row>
    <row r="22">
      <c r="A22" s="31" t="n"/>
      <c r="B22" s="39" t="n"/>
      <c r="C22" s="39" t="n"/>
      <c r="D22" s="42" t="n"/>
      <c r="E22" s="29" t="n"/>
      <c r="F22" s="29" t="n"/>
      <c r="G22" s="29" t="n"/>
      <c r="H22" s="29" t="n"/>
      <c r="I22" s="29" t="n"/>
      <c r="J22" s="43">
        <f>IF(COUNTA($A22:$I22)=0,"",IF($C22="CASH",SUMIFS(Sales_Daily!$L:$L,Sales_Daily!$B:$B,$A22,Sales_Daily!$C:$C,$B22,Sales_Daily!$S:$S,"&lt;&gt;"&amp;ST_DRAFT,Sales_Daily!$S:$S,"&lt;&gt;"&amp;ST_CANC,Sales_Daily!$S:$S,"&lt;&gt;"&amp;ST_REV),0)+IF($C22="CARD",SUMIFS(Sales_Daily!$M:$M,Sales_Daily!$B:$B,$A22,Sales_Daily!$C:$C,$B22,Sales_Daily!$S:$S,"&lt;&gt;"&amp;ST_DRAFT,Sales_Daily!$S:$S,"&lt;&gt;"&amp;ST_CANC,Sales_Daily!$S:$S,"&lt;&gt;"&amp;ST_REV),0)+IF($C22="TLB",SUMIFS(Sales_Daily!$N:$N,Sales_Daily!$B:$B,$A22,Sales_Daily!$C:$C,$B22,Sales_Daily!$S:$S,"&lt;&gt;"&amp;ST_DRAFT,Sales_Daily!$S:$S,"&lt;&gt;"&amp;ST_CANC,Sales_Daily!$S:$S,"&lt;&gt;"&amp;ST_REV),0)+IF($C22="DLV2",SUMIFS(Sales_Daily!$O:$O,Sales_Daily!$B:$B,$A22,Sales_Daily!$C:$C,$B22,Sales_Daily!$S:$S,"&lt;&gt;"&amp;ST_DRAFT,Sales_Daily!$S:$S,"&lt;&gt;"&amp;ST_CANC,Sales_Daily!$S:$S,"&lt;&gt;"&amp;ST_REV),0)+IF($C22="INSTA",SUMIFS(Sales_Daily!$P:$P,Sales_Daily!$B:$B,$A22,Sales_Daily!$C:$C,$B22,Sales_Daily!$S:$S,"&lt;&gt;"&amp;ST_DRAFT,Sales_Daily!$S:$S,"&lt;&gt;"&amp;ST_CANC,Sales_Daily!$S:$S,"&lt;&gt;"&amp;ST_REV),0)+SUMIFS(Sales_Daily!$Q:$Q,Sales_Daily!$B:$B,$A22,Sales_Daily!$C:$C,$B22,Sales_Daily!$S:$S,"&lt;&gt;"&amp;ST_DRAFT,Sales_Daily!$S:$S,"&lt;&gt;"&amp;ST_CANC,Sales_Daily!$S:$S,"&lt;&gt;"&amp;ST_REV,Sales_Daily!$R:$R,$C22))</f>
        <v/>
      </c>
      <c r="K22" s="47">
        <f>IF($J22="","",ROUND($D22-$J22,2))</f>
        <v/>
      </c>
      <c r="L22" s="32">
        <f>IF($J22="","",IF(NOT(ISNUMBER($A22)),"التاريخ ناقص",IF(NOT(COUNTIF(Locations!$A:$A,$B22)&gt;0),"الفرع غير معرف",IF(COUNTIF(Payment_Methods!$A:$A,$C22)=0,"وسيلة الدفع غير معرفة",IF(COUNTIFS(Daily_Recon!$A:$A,$A22,Daily_Recon!$B:$B,$B22,Daily_Recon!$C:$C,$C22)&gt;1,"صف مطابقة مكرر",IF(NOT(ISNUMBER($D22)),"المبلغ الفعلي ناقص",IF(AND(ABS($K22)&gt;S_Tol,$E22=""),"فرق بدون سبب",IF(AND(ABS($K22)&gt;S_Tol,$F22=""),"فرق بدون مسؤول",IF(AND(ABS($K22)&gt;S_Tol,$G22=""),"فرق بدون حالة معالجة",IF(AND($G22="تمت التسوية",ABS($K22)&gt;S_Tol,$H22=""),"التسوية بدون رقم مستند",IF(AND($H22&lt;&gt;"",COUNTIF(Doc_Register!$A:$A,$H22)=0),"مستند التسوية غير موجود","")))))))))))</f>
        <v/>
      </c>
      <c r="M22" s="44">
        <f>IF($J22="","",IF(AND(ABS($K22)&gt;S_Tol,$G22&lt;&gt;"تمت التسوية",$G22&lt;&gt;"مقبول بموافقة الإدارة"),1,0))</f>
        <v/>
      </c>
    </row>
    <row r="23">
      <c r="A23" s="31" t="n"/>
      <c r="B23" s="39" t="n"/>
      <c r="C23" s="39" t="n"/>
      <c r="D23" s="42" t="n"/>
      <c r="E23" s="29" t="n"/>
      <c r="F23" s="29" t="n"/>
      <c r="G23" s="29" t="n"/>
      <c r="H23" s="29" t="n"/>
      <c r="I23" s="29" t="n"/>
      <c r="J23" s="43">
        <f>IF(COUNTA($A23:$I23)=0,"",IF($C23="CASH",SUMIFS(Sales_Daily!$L:$L,Sales_Daily!$B:$B,$A23,Sales_Daily!$C:$C,$B23,Sales_Daily!$S:$S,"&lt;&gt;"&amp;ST_DRAFT,Sales_Daily!$S:$S,"&lt;&gt;"&amp;ST_CANC,Sales_Daily!$S:$S,"&lt;&gt;"&amp;ST_REV),0)+IF($C23="CARD",SUMIFS(Sales_Daily!$M:$M,Sales_Daily!$B:$B,$A23,Sales_Daily!$C:$C,$B23,Sales_Daily!$S:$S,"&lt;&gt;"&amp;ST_DRAFT,Sales_Daily!$S:$S,"&lt;&gt;"&amp;ST_CANC,Sales_Daily!$S:$S,"&lt;&gt;"&amp;ST_REV),0)+IF($C23="TLB",SUMIFS(Sales_Daily!$N:$N,Sales_Daily!$B:$B,$A23,Sales_Daily!$C:$C,$B23,Sales_Daily!$S:$S,"&lt;&gt;"&amp;ST_DRAFT,Sales_Daily!$S:$S,"&lt;&gt;"&amp;ST_CANC,Sales_Daily!$S:$S,"&lt;&gt;"&amp;ST_REV),0)+IF($C23="DLV2",SUMIFS(Sales_Daily!$O:$O,Sales_Daily!$B:$B,$A23,Sales_Daily!$C:$C,$B23,Sales_Daily!$S:$S,"&lt;&gt;"&amp;ST_DRAFT,Sales_Daily!$S:$S,"&lt;&gt;"&amp;ST_CANC,Sales_Daily!$S:$S,"&lt;&gt;"&amp;ST_REV),0)+IF($C23="INSTA",SUMIFS(Sales_Daily!$P:$P,Sales_Daily!$B:$B,$A23,Sales_Daily!$C:$C,$B23,Sales_Daily!$S:$S,"&lt;&gt;"&amp;ST_DRAFT,Sales_Daily!$S:$S,"&lt;&gt;"&amp;ST_CANC,Sales_Daily!$S:$S,"&lt;&gt;"&amp;ST_REV),0)+SUMIFS(Sales_Daily!$Q:$Q,Sales_Daily!$B:$B,$A23,Sales_Daily!$C:$C,$B23,Sales_Daily!$S:$S,"&lt;&gt;"&amp;ST_DRAFT,Sales_Daily!$S:$S,"&lt;&gt;"&amp;ST_CANC,Sales_Daily!$S:$S,"&lt;&gt;"&amp;ST_REV,Sales_Daily!$R:$R,$C23))</f>
        <v/>
      </c>
      <c r="K23" s="47">
        <f>IF($J23="","",ROUND($D23-$J23,2))</f>
        <v/>
      </c>
      <c r="L23" s="32">
        <f>IF($J23="","",IF(NOT(ISNUMBER($A23)),"التاريخ ناقص",IF(NOT(COUNTIF(Locations!$A:$A,$B23)&gt;0),"الفرع غير معرف",IF(COUNTIF(Payment_Methods!$A:$A,$C23)=0,"وسيلة الدفع غير معرفة",IF(COUNTIFS(Daily_Recon!$A:$A,$A23,Daily_Recon!$B:$B,$B23,Daily_Recon!$C:$C,$C23)&gt;1,"صف مطابقة مكرر",IF(NOT(ISNUMBER($D23)),"المبلغ الفعلي ناقص",IF(AND(ABS($K23)&gt;S_Tol,$E23=""),"فرق بدون سبب",IF(AND(ABS($K23)&gt;S_Tol,$F23=""),"فرق بدون مسؤول",IF(AND(ABS($K23)&gt;S_Tol,$G23=""),"فرق بدون حالة معالجة",IF(AND($G23="تمت التسوية",ABS($K23)&gt;S_Tol,$H23=""),"التسوية بدون رقم مستند",IF(AND($H23&lt;&gt;"",COUNTIF(Doc_Register!$A:$A,$H23)=0),"مستند التسوية غير موجود","")))))))))))</f>
        <v/>
      </c>
      <c r="M23" s="44">
        <f>IF($J23="","",IF(AND(ABS($K23)&gt;S_Tol,$G23&lt;&gt;"تمت التسوية",$G23&lt;&gt;"مقبول بموافقة الإدارة"),1,0))</f>
        <v/>
      </c>
    </row>
    <row r="24">
      <c r="A24" s="31" t="n"/>
      <c r="B24" s="39" t="n"/>
      <c r="C24" s="39" t="n"/>
      <c r="D24" s="42" t="n"/>
      <c r="E24" s="29" t="n"/>
      <c r="F24" s="29" t="n"/>
      <c r="G24" s="29" t="n"/>
      <c r="H24" s="29" t="n"/>
      <c r="I24" s="29" t="n"/>
      <c r="J24" s="43">
        <f>IF(COUNTA($A24:$I24)=0,"",IF($C24="CASH",SUMIFS(Sales_Daily!$L:$L,Sales_Daily!$B:$B,$A24,Sales_Daily!$C:$C,$B24,Sales_Daily!$S:$S,"&lt;&gt;"&amp;ST_DRAFT,Sales_Daily!$S:$S,"&lt;&gt;"&amp;ST_CANC,Sales_Daily!$S:$S,"&lt;&gt;"&amp;ST_REV),0)+IF($C24="CARD",SUMIFS(Sales_Daily!$M:$M,Sales_Daily!$B:$B,$A24,Sales_Daily!$C:$C,$B24,Sales_Daily!$S:$S,"&lt;&gt;"&amp;ST_DRAFT,Sales_Daily!$S:$S,"&lt;&gt;"&amp;ST_CANC,Sales_Daily!$S:$S,"&lt;&gt;"&amp;ST_REV),0)+IF($C24="TLB",SUMIFS(Sales_Daily!$N:$N,Sales_Daily!$B:$B,$A24,Sales_Daily!$C:$C,$B24,Sales_Daily!$S:$S,"&lt;&gt;"&amp;ST_DRAFT,Sales_Daily!$S:$S,"&lt;&gt;"&amp;ST_CANC,Sales_Daily!$S:$S,"&lt;&gt;"&amp;ST_REV),0)+IF($C24="DLV2",SUMIFS(Sales_Daily!$O:$O,Sales_Daily!$B:$B,$A24,Sales_Daily!$C:$C,$B24,Sales_Daily!$S:$S,"&lt;&gt;"&amp;ST_DRAFT,Sales_Daily!$S:$S,"&lt;&gt;"&amp;ST_CANC,Sales_Daily!$S:$S,"&lt;&gt;"&amp;ST_REV),0)+IF($C24="INSTA",SUMIFS(Sales_Daily!$P:$P,Sales_Daily!$B:$B,$A24,Sales_Daily!$C:$C,$B24,Sales_Daily!$S:$S,"&lt;&gt;"&amp;ST_DRAFT,Sales_Daily!$S:$S,"&lt;&gt;"&amp;ST_CANC,Sales_Daily!$S:$S,"&lt;&gt;"&amp;ST_REV),0)+SUMIFS(Sales_Daily!$Q:$Q,Sales_Daily!$B:$B,$A24,Sales_Daily!$C:$C,$B24,Sales_Daily!$S:$S,"&lt;&gt;"&amp;ST_DRAFT,Sales_Daily!$S:$S,"&lt;&gt;"&amp;ST_CANC,Sales_Daily!$S:$S,"&lt;&gt;"&amp;ST_REV,Sales_Daily!$R:$R,$C24))</f>
        <v/>
      </c>
      <c r="K24" s="47">
        <f>IF($J24="","",ROUND($D24-$J24,2))</f>
        <v/>
      </c>
      <c r="L24" s="32">
        <f>IF($J24="","",IF(NOT(ISNUMBER($A24)),"التاريخ ناقص",IF(NOT(COUNTIF(Locations!$A:$A,$B24)&gt;0),"الفرع غير معرف",IF(COUNTIF(Payment_Methods!$A:$A,$C24)=0,"وسيلة الدفع غير معرفة",IF(COUNTIFS(Daily_Recon!$A:$A,$A24,Daily_Recon!$B:$B,$B24,Daily_Recon!$C:$C,$C24)&gt;1,"صف مطابقة مكرر",IF(NOT(ISNUMBER($D24)),"المبلغ الفعلي ناقص",IF(AND(ABS($K24)&gt;S_Tol,$E24=""),"فرق بدون سبب",IF(AND(ABS($K24)&gt;S_Tol,$F24=""),"فرق بدون مسؤول",IF(AND(ABS($K24)&gt;S_Tol,$G24=""),"فرق بدون حالة معالجة",IF(AND($G24="تمت التسوية",ABS($K24)&gt;S_Tol,$H24=""),"التسوية بدون رقم مستند",IF(AND($H24&lt;&gt;"",COUNTIF(Doc_Register!$A:$A,$H24)=0),"مستند التسوية غير موجود","")))))))))))</f>
        <v/>
      </c>
      <c r="M24" s="44">
        <f>IF($J24="","",IF(AND(ABS($K24)&gt;S_Tol,$G24&lt;&gt;"تمت التسوية",$G24&lt;&gt;"مقبول بموافقة الإدارة"),1,0))</f>
        <v/>
      </c>
    </row>
    <row r="25">
      <c r="A25" s="31" t="n"/>
      <c r="B25" s="39" t="n"/>
      <c r="C25" s="39" t="n"/>
      <c r="D25" s="42" t="n"/>
      <c r="E25" s="29" t="n"/>
      <c r="F25" s="29" t="n"/>
      <c r="G25" s="29" t="n"/>
      <c r="H25" s="29" t="n"/>
      <c r="I25" s="29" t="n"/>
      <c r="J25" s="43">
        <f>IF(COUNTA($A25:$I25)=0,"",IF($C25="CASH",SUMIFS(Sales_Daily!$L:$L,Sales_Daily!$B:$B,$A25,Sales_Daily!$C:$C,$B25,Sales_Daily!$S:$S,"&lt;&gt;"&amp;ST_DRAFT,Sales_Daily!$S:$S,"&lt;&gt;"&amp;ST_CANC,Sales_Daily!$S:$S,"&lt;&gt;"&amp;ST_REV),0)+IF($C25="CARD",SUMIFS(Sales_Daily!$M:$M,Sales_Daily!$B:$B,$A25,Sales_Daily!$C:$C,$B25,Sales_Daily!$S:$S,"&lt;&gt;"&amp;ST_DRAFT,Sales_Daily!$S:$S,"&lt;&gt;"&amp;ST_CANC,Sales_Daily!$S:$S,"&lt;&gt;"&amp;ST_REV),0)+IF($C25="TLB",SUMIFS(Sales_Daily!$N:$N,Sales_Daily!$B:$B,$A25,Sales_Daily!$C:$C,$B25,Sales_Daily!$S:$S,"&lt;&gt;"&amp;ST_DRAFT,Sales_Daily!$S:$S,"&lt;&gt;"&amp;ST_CANC,Sales_Daily!$S:$S,"&lt;&gt;"&amp;ST_REV),0)+IF($C25="DLV2",SUMIFS(Sales_Daily!$O:$O,Sales_Daily!$B:$B,$A25,Sales_Daily!$C:$C,$B25,Sales_Daily!$S:$S,"&lt;&gt;"&amp;ST_DRAFT,Sales_Daily!$S:$S,"&lt;&gt;"&amp;ST_CANC,Sales_Daily!$S:$S,"&lt;&gt;"&amp;ST_REV),0)+IF($C25="INSTA",SUMIFS(Sales_Daily!$P:$P,Sales_Daily!$B:$B,$A25,Sales_Daily!$C:$C,$B25,Sales_Daily!$S:$S,"&lt;&gt;"&amp;ST_DRAFT,Sales_Daily!$S:$S,"&lt;&gt;"&amp;ST_CANC,Sales_Daily!$S:$S,"&lt;&gt;"&amp;ST_REV),0)+SUMIFS(Sales_Daily!$Q:$Q,Sales_Daily!$B:$B,$A25,Sales_Daily!$C:$C,$B25,Sales_Daily!$S:$S,"&lt;&gt;"&amp;ST_DRAFT,Sales_Daily!$S:$S,"&lt;&gt;"&amp;ST_CANC,Sales_Daily!$S:$S,"&lt;&gt;"&amp;ST_REV,Sales_Daily!$R:$R,$C25))</f>
        <v/>
      </c>
      <c r="K25" s="47">
        <f>IF($J25="","",ROUND($D25-$J25,2))</f>
        <v/>
      </c>
      <c r="L25" s="32">
        <f>IF($J25="","",IF(NOT(ISNUMBER($A25)),"التاريخ ناقص",IF(NOT(COUNTIF(Locations!$A:$A,$B25)&gt;0),"الفرع غير معرف",IF(COUNTIF(Payment_Methods!$A:$A,$C25)=0,"وسيلة الدفع غير معرفة",IF(COUNTIFS(Daily_Recon!$A:$A,$A25,Daily_Recon!$B:$B,$B25,Daily_Recon!$C:$C,$C25)&gt;1,"صف مطابقة مكرر",IF(NOT(ISNUMBER($D25)),"المبلغ الفعلي ناقص",IF(AND(ABS($K25)&gt;S_Tol,$E25=""),"فرق بدون سبب",IF(AND(ABS($K25)&gt;S_Tol,$F25=""),"فرق بدون مسؤول",IF(AND(ABS($K25)&gt;S_Tol,$G25=""),"فرق بدون حالة معالجة",IF(AND($G25="تمت التسوية",ABS($K25)&gt;S_Tol,$H25=""),"التسوية بدون رقم مستند",IF(AND($H25&lt;&gt;"",COUNTIF(Doc_Register!$A:$A,$H25)=0),"مستند التسوية غير موجود","")))))))))))</f>
        <v/>
      </c>
      <c r="M25" s="44">
        <f>IF($J25="","",IF(AND(ABS($K25)&gt;S_Tol,$G25&lt;&gt;"تمت التسوية",$G25&lt;&gt;"مقبول بموافقة الإدارة"),1,0))</f>
        <v/>
      </c>
    </row>
    <row r="26">
      <c r="A26" s="31" t="n"/>
      <c r="B26" s="39" t="n"/>
      <c r="C26" s="39" t="n"/>
      <c r="D26" s="42" t="n"/>
      <c r="E26" s="29" t="n"/>
      <c r="F26" s="29" t="n"/>
      <c r="G26" s="29" t="n"/>
      <c r="H26" s="29" t="n"/>
      <c r="I26" s="29" t="n"/>
      <c r="J26" s="43">
        <f>IF(COUNTA($A26:$I26)=0,"",IF($C26="CASH",SUMIFS(Sales_Daily!$L:$L,Sales_Daily!$B:$B,$A26,Sales_Daily!$C:$C,$B26,Sales_Daily!$S:$S,"&lt;&gt;"&amp;ST_DRAFT,Sales_Daily!$S:$S,"&lt;&gt;"&amp;ST_CANC,Sales_Daily!$S:$S,"&lt;&gt;"&amp;ST_REV),0)+IF($C26="CARD",SUMIFS(Sales_Daily!$M:$M,Sales_Daily!$B:$B,$A26,Sales_Daily!$C:$C,$B26,Sales_Daily!$S:$S,"&lt;&gt;"&amp;ST_DRAFT,Sales_Daily!$S:$S,"&lt;&gt;"&amp;ST_CANC,Sales_Daily!$S:$S,"&lt;&gt;"&amp;ST_REV),0)+IF($C26="TLB",SUMIFS(Sales_Daily!$N:$N,Sales_Daily!$B:$B,$A26,Sales_Daily!$C:$C,$B26,Sales_Daily!$S:$S,"&lt;&gt;"&amp;ST_DRAFT,Sales_Daily!$S:$S,"&lt;&gt;"&amp;ST_CANC,Sales_Daily!$S:$S,"&lt;&gt;"&amp;ST_REV),0)+IF($C26="DLV2",SUMIFS(Sales_Daily!$O:$O,Sales_Daily!$B:$B,$A26,Sales_Daily!$C:$C,$B26,Sales_Daily!$S:$S,"&lt;&gt;"&amp;ST_DRAFT,Sales_Daily!$S:$S,"&lt;&gt;"&amp;ST_CANC,Sales_Daily!$S:$S,"&lt;&gt;"&amp;ST_REV),0)+IF($C26="INSTA",SUMIFS(Sales_Daily!$P:$P,Sales_Daily!$B:$B,$A26,Sales_Daily!$C:$C,$B26,Sales_Daily!$S:$S,"&lt;&gt;"&amp;ST_DRAFT,Sales_Daily!$S:$S,"&lt;&gt;"&amp;ST_CANC,Sales_Daily!$S:$S,"&lt;&gt;"&amp;ST_REV),0)+SUMIFS(Sales_Daily!$Q:$Q,Sales_Daily!$B:$B,$A26,Sales_Daily!$C:$C,$B26,Sales_Daily!$S:$S,"&lt;&gt;"&amp;ST_DRAFT,Sales_Daily!$S:$S,"&lt;&gt;"&amp;ST_CANC,Sales_Daily!$S:$S,"&lt;&gt;"&amp;ST_REV,Sales_Daily!$R:$R,$C26))</f>
        <v/>
      </c>
      <c r="K26" s="47">
        <f>IF($J26="","",ROUND($D26-$J26,2))</f>
        <v/>
      </c>
      <c r="L26" s="32">
        <f>IF($J26="","",IF(NOT(ISNUMBER($A26)),"التاريخ ناقص",IF(NOT(COUNTIF(Locations!$A:$A,$B26)&gt;0),"الفرع غير معرف",IF(COUNTIF(Payment_Methods!$A:$A,$C26)=0,"وسيلة الدفع غير معرفة",IF(COUNTIFS(Daily_Recon!$A:$A,$A26,Daily_Recon!$B:$B,$B26,Daily_Recon!$C:$C,$C26)&gt;1,"صف مطابقة مكرر",IF(NOT(ISNUMBER($D26)),"المبلغ الفعلي ناقص",IF(AND(ABS($K26)&gt;S_Tol,$E26=""),"فرق بدون سبب",IF(AND(ABS($K26)&gt;S_Tol,$F26=""),"فرق بدون مسؤول",IF(AND(ABS($K26)&gt;S_Tol,$G26=""),"فرق بدون حالة معالجة",IF(AND($G26="تمت التسوية",ABS($K26)&gt;S_Tol,$H26=""),"التسوية بدون رقم مستند",IF(AND($H26&lt;&gt;"",COUNTIF(Doc_Register!$A:$A,$H26)=0),"مستند التسوية غير موجود","")))))))))))</f>
        <v/>
      </c>
      <c r="M26" s="44">
        <f>IF($J26="","",IF(AND(ABS($K26)&gt;S_Tol,$G26&lt;&gt;"تمت التسوية",$G26&lt;&gt;"مقبول بموافقة الإدارة"),1,0))</f>
        <v/>
      </c>
    </row>
    <row r="27">
      <c r="A27" s="31" t="n"/>
      <c r="B27" s="39" t="n"/>
      <c r="C27" s="39" t="n"/>
      <c r="D27" s="42" t="n"/>
      <c r="E27" s="29" t="n"/>
      <c r="F27" s="29" t="n"/>
      <c r="G27" s="29" t="n"/>
      <c r="H27" s="29" t="n"/>
      <c r="I27" s="29" t="n"/>
      <c r="J27" s="43">
        <f>IF(COUNTA($A27:$I27)=0,"",IF($C27="CASH",SUMIFS(Sales_Daily!$L:$L,Sales_Daily!$B:$B,$A27,Sales_Daily!$C:$C,$B27,Sales_Daily!$S:$S,"&lt;&gt;"&amp;ST_DRAFT,Sales_Daily!$S:$S,"&lt;&gt;"&amp;ST_CANC,Sales_Daily!$S:$S,"&lt;&gt;"&amp;ST_REV),0)+IF($C27="CARD",SUMIFS(Sales_Daily!$M:$M,Sales_Daily!$B:$B,$A27,Sales_Daily!$C:$C,$B27,Sales_Daily!$S:$S,"&lt;&gt;"&amp;ST_DRAFT,Sales_Daily!$S:$S,"&lt;&gt;"&amp;ST_CANC,Sales_Daily!$S:$S,"&lt;&gt;"&amp;ST_REV),0)+IF($C27="TLB",SUMIFS(Sales_Daily!$N:$N,Sales_Daily!$B:$B,$A27,Sales_Daily!$C:$C,$B27,Sales_Daily!$S:$S,"&lt;&gt;"&amp;ST_DRAFT,Sales_Daily!$S:$S,"&lt;&gt;"&amp;ST_CANC,Sales_Daily!$S:$S,"&lt;&gt;"&amp;ST_REV),0)+IF($C27="DLV2",SUMIFS(Sales_Daily!$O:$O,Sales_Daily!$B:$B,$A27,Sales_Daily!$C:$C,$B27,Sales_Daily!$S:$S,"&lt;&gt;"&amp;ST_DRAFT,Sales_Daily!$S:$S,"&lt;&gt;"&amp;ST_CANC,Sales_Daily!$S:$S,"&lt;&gt;"&amp;ST_REV),0)+IF($C27="INSTA",SUMIFS(Sales_Daily!$P:$P,Sales_Daily!$B:$B,$A27,Sales_Daily!$C:$C,$B27,Sales_Daily!$S:$S,"&lt;&gt;"&amp;ST_DRAFT,Sales_Daily!$S:$S,"&lt;&gt;"&amp;ST_CANC,Sales_Daily!$S:$S,"&lt;&gt;"&amp;ST_REV),0)+SUMIFS(Sales_Daily!$Q:$Q,Sales_Daily!$B:$B,$A27,Sales_Daily!$C:$C,$B27,Sales_Daily!$S:$S,"&lt;&gt;"&amp;ST_DRAFT,Sales_Daily!$S:$S,"&lt;&gt;"&amp;ST_CANC,Sales_Daily!$S:$S,"&lt;&gt;"&amp;ST_REV,Sales_Daily!$R:$R,$C27))</f>
        <v/>
      </c>
      <c r="K27" s="47">
        <f>IF($J27="","",ROUND($D27-$J27,2))</f>
        <v/>
      </c>
      <c r="L27" s="32">
        <f>IF($J27="","",IF(NOT(ISNUMBER($A27)),"التاريخ ناقص",IF(NOT(COUNTIF(Locations!$A:$A,$B27)&gt;0),"الفرع غير معرف",IF(COUNTIF(Payment_Methods!$A:$A,$C27)=0,"وسيلة الدفع غير معرفة",IF(COUNTIFS(Daily_Recon!$A:$A,$A27,Daily_Recon!$B:$B,$B27,Daily_Recon!$C:$C,$C27)&gt;1,"صف مطابقة مكرر",IF(NOT(ISNUMBER($D27)),"المبلغ الفعلي ناقص",IF(AND(ABS($K27)&gt;S_Tol,$E27=""),"فرق بدون سبب",IF(AND(ABS($K27)&gt;S_Tol,$F27=""),"فرق بدون مسؤول",IF(AND(ABS($K27)&gt;S_Tol,$G27=""),"فرق بدون حالة معالجة",IF(AND($G27="تمت التسوية",ABS($K27)&gt;S_Tol,$H27=""),"التسوية بدون رقم مستند",IF(AND($H27&lt;&gt;"",COUNTIF(Doc_Register!$A:$A,$H27)=0),"مستند التسوية غير موجود","")))))))))))</f>
        <v/>
      </c>
      <c r="M27" s="44">
        <f>IF($J27="","",IF(AND(ABS($K27)&gt;S_Tol,$G27&lt;&gt;"تمت التسوية",$G27&lt;&gt;"مقبول بموافقة الإدارة"),1,0))</f>
        <v/>
      </c>
    </row>
    <row r="28">
      <c r="A28" s="31" t="n"/>
      <c r="B28" s="39" t="n"/>
      <c r="C28" s="39" t="n"/>
      <c r="D28" s="42" t="n"/>
      <c r="E28" s="29" t="n"/>
      <c r="F28" s="29" t="n"/>
      <c r="G28" s="29" t="n"/>
      <c r="H28" s="29" t="n"/>
      <c r="I28" s="29" t="n"/>
      <c r="J28" s="43">
        <f>IF(COUNTA($A28:$I28)=0,"",IF($C28="CASH",SUMIFS(Sales_Daily!$L:$L,Sales_Daily!$B:$B,$A28,Sales_Daily!$C:$C,$B28,Sales_Daily!$S:$S,"&lt;&gt;"&amp;ST_DRAFT,Sales_Daily!$S:$S,"&lt;&gt;"&amp;ST_CANC,Sales_Daily!$S:$S,"&lt;&gt;"&amp;ST_REV),0)+IF($C28="CARD",SUMIFS(Sales_Daily!$M:$M,Sales_Daily!$B:$B,$A28,Sales_Daily!$C:$C,$B28,Sales_Daily!$S:$S,"&lt;&gt;"&amp;ST_DRAFT,Sales_Daily!$S:$S,"&lt;&gt;"&amp;ST_CANC,Sales_Daily!$S:$S,"&lt;&gt;"&amp;ST_REV),0)+IF($C28="TLB",SUMIFS(Sales_Daily!$N:$N,Sales_Daily!$B:$B,$A28,Sales_Daily!$C:$C,$B28,Sales_Daily!$S:$S,"&lt;&gt;"&amp;ST_DRAFT,Sales_Daily!$S:$S,"&lt;&gt;"&amp;ST_CANC,Sales_Daily!$S:$S,"&lt;&gt;"&amp;ST_REV),0)+IF($C28="DLV2",SUMIFS(Sales_Daily!$O:$O,Sales_Daily!$B:$B,$A28,Sales_Daily!$C:$C,$B28,Sales_Daily!$S:$S,"&lt;&gt;"&amp;ST_DRAFT,Sales_Daily!$S:$S,"&lt;&gt;"&amp;ST_CANC,Sales_Daily!$S:$S,"&lt;&gt;"&amp;ST_REV),0)+IF($C28="INSTA",SUMIFS(Sales_Daily!$P:$P,Sales_Daily!$B:$B,$A28,Sales_Daily!$C:$C,$B28,Sales_Daily!$S:$S,"&lt;&gt;"&amp;ST_DRAFT,Sales_Daily!$S:$S,"&lt;&gt;"&amp;ST_CANC,Sales_Daily!$S:$S,"&lt;&gt;"&amp;ST_REV),0)+SUMIFS(Sales_Daily!$Q:$Q,Sales_Daily!$B:$B,$A28,Sales_Daily!$C:$C,$B28,Sales_Daily!$S:$S,"&lt;&gt;"&amp;ST_DRAFT,Sales_Daily!$S:$S,"&lt;&gt;"&amp;ST_CANC,Sales_Daily!$S:$S,"&lt;&gt;"&amp;ST_REV,Sales_Daily!$R:$R,$C28))</f>
        <v/>
      </c>
      <c r="K28" s="47">
        <f>IF($J28="","",ROUND($D28-$J28,2))</f>
        <v/>
      </c>
      <c r="L28" s="32">
        <f>IF($J28="","",IF(NOT(ISNUMBER($A28)),"التاريخ ناقص",IF(NOT(COUNTIF(Locations!$A:$A,$B28)&gt;0),"الفرع غير معرف",IF(COUNTIF(Payment_Methods!$A:$A,$C28)=0,"وسيلة الدفع غير معرفة",IF(COUNTIFS(Daily_Recon!$A:$A,$A28,Daily_Recon!$B:$B,$B28,Daily_Recon!$C:$C,$C28)&gt;1,"صف مطابقة مكرر",IF(NOT(ISNUMBER($D28)),"المبلغ الفعلي ناقص",IF(AND(ABS($K28)&gt;S_Tol,$E28=""),"فرق بدون سبب",IF(AND(ABS($K28)&gt;S_Tol,$F28=""),"فرق بدون مسؤول",IF(AND(ABS($K28)&gt;S_Tol,$G28=""),"فرق بدون حالة معالجة",IF(AND($G28="تمت التسوية",ABS($K28)&gt;S_Tol,$H28=""),"التسوية بدون رقم مستند",IF(AND($H28&lt;&gt;"",COUNTIF(Doc_Register!$A:$A,$H28)=0),"مستند التسوية غير موجود","")))))))))))</f>
        <v/>
      </c>
      <c r="M28" s="44">
        <f>IF($J28="","",IF(AND(ABS($K28)&gt;S_Tol,$G28&lt;&gt;"تمت التسوية",$G28&lt;&gt;"مقبول بموافقة الإدارة"),1,0))</f>
        <v/>
      </c>
    </row>
    <row r="29">
      <c r="A29" s="31" t="n"/>
      <c r="B29" s="39" t="n"/>
      <c r="C29" s="39" t="n"/>
      <c r="D29" s="42" t="n"/>
      <c r="E29" s="29" t="n"/>
      <c r="F29" s="29" t="n"/>
      <c r="G29" s="29" t="n"/>
      <c r="H29" s="29" t="n"/>
      <c r="I29" s="29" t="n"/>
      <c r="J29" s="43">
        <f>IF(COUNTA($A29:$I29)=0,"",IF($C29="CASH",SUMIFS(Sales_Daily!$L:$L,Sales_Daily!$B:$B,$A29,Sales_Daily!$C:$C,$B29,Sales_Daily!$S:$S,"&lt;&gt;"&amp;ST_DRAFT,Sales_Daily!$S:$S,"&lt;&gt;"&amp;ST_CANC,Sales_Daily!$S:$S,"&lt;&gt;"&amp;ST_REV),0)+IF($C29="CARD",SUMIFS(Sales_Daily!$M:$M,Sales_Daily!$B:$B,$A29,Sales_Daily!$C:$C,$B29,Sales_Daily!$S:$S,"&lt;&gt;"&amp;ST_DRAFT,Sales_Daily!$S:$S,"&lt;&gt;"&amp;ST_CANC,Sales_Daily!$S:$S,"&lt;&gt;"&amp;ST_REV),0)+IF($C29="TLB",SUMIFS(Sales_Daily!$N:$N,Sales_Daily!$B:$B,$A29,Sales_Daily!$C:$C,$B29,Sales_Daily!$S:$S,"&lt;&gt;"&amp;ST_DRAFT,Sales_Daily!$S:$S,"&lt;&gt;"&amp;ST_CANC,Sales_Daily!$S:$S,"&lt;&gt;"&amp;ST_REV),0)+IF($C29="DLV2",SUMIFS(Sales_Daily!$O:$O,Sales_Daily!$B:$B,$A29,Sales_Daily!$C:$C,$B29,Sales_Daily!$S:$S,"&lt;&gt;"&amp;ST_DRAFT,Sales_Daily!$S:$S,"&lt;&gt;"&amp;ST_CANC,Sales_Daily!$S:$S,"&lt;&gt;"&amp;ST_REV),0)+IF($C29="INSTA",SUMIFS(Sales_Daily!$P:$P,Sales_Daily!$B:$B,$A29,Sales_Daily!$C:$C,$B29,Sales_Daily!$S:$S,"&lt;&gt;"&amp;ST_DRAFT,Sales_Daily!$S:$S,"&lt;&gt;"&amp;ST_CANC,Sales_Daily!$S:$S,"&lt;&gt;"&amp;ST_REV),0)+SUMIFS(Sales_Daily!$Q:$Q,Sales_Daily!$B:$B,$A29,Sales_Daily!$C:$C,$B29,Sales_Daily!$S:$S,"&lt;&gt;"&amp;ST_DRAFT,Sales_Daily!$S:$S,"&lt;&gt;"&amp;ST_CANC,Sales_Daily!$S:$S,"&lt;&gt;"&amp;ST_REV,Sales_Daily!$R:$R,$C29))</f>
        <v/>
      </c>
      <c r="K29" s="47">
        <f>IF($J29="","",ROUND($D29-$J29,2))</f>
        <v/>
      </c>
      <c r="L29" s="32">
        <f>IF($J29="","",IF(NOT(ISNUMBER($A29)),"التاريخ ناقص",IF(NOT(COUNTIF(Locations!$A:$A,$B29)&gt;0),"الفرع غير معرف",IF(COUNTIF(Payment_Methods!$A:$A,$C29)=0,"وسيلة الدفع غير معرفة",IF(COUNTIFS(Daily_Recon!$A:$A,$A29,Daily_Recon!$B:$B,$B29,Daily_Recon!$C:$C,$C29)&gt;1,"صف مطابقة مكرر",IF(NOT(ISNUMBER($D29)),"المبلغ الفعلي ناقص",IF(AND(ABS($K29)&gt;S_Tol,$E29=""),"فرق بدون سبب",IF(AND(ABS($K29)&gt;S_Tol,$F29=""),"فرق بدون مسؤول",IF(AND(ABS($K29)&gt;S_Tol,$G29=""),"فرق بدون حالة معالجة",IF(AND($G29="تمت التسوية",ABS($K29)&gt;S_Tol,$H29=""),"التسوية بدون رقم مستند",IF(AND($H29&lt;&gt;"",COUNTIF(Doc_Register!$A:$A,$H29)=0),"مستند التسوية غير موجود","")))))))))))</f>
        <v/>
      </c>
      <c r="M29" s="44">
        <f>IF($J29="","",IF(AND(ABS($K29)&gt;S_Tol,$G29&lt;&gt;"تمت التسوية",$G29&lt;&gt;"مقبول بموافقة الإدارة"),1,0))</f>
        <v/>
      </c>
    </row>
    <row r="30">
      <c r="A30" s="31" t="n"/>
      <c r="B30" s="39" t="n"/>
      <c r="C30" s="39" t="n"/>
      <c r="D30" s="42" t="n"/>
      <c r="E30" s="29" t="n"/>
      <c r="F30" s="29" t="n"/>
      <c r="G30" s="29" t="n"/>
      <c r="H30" s="29" t="n"/>
      <c r="I30" s="29" t="n"/>
      <c r="J30" s="43">
        <f>IF(COUNTA($A30:$I30)=0,"",IF($C30="CASH",SUMIFS(Sales_Daily!$L:$L,Sales_Daily!$B:$B,$A30,Sales_Daily!$C:$C,$B30,Sales_Daily!$S:$S,"&lt;&gt;"&amp;ST_DRAFT,Sales_Daily!$S:$S,"&lt;&gt;"&amp;ST_CANC,Sales_Daily!$S:$S,"&lt;&gt;"&amp;ST_REV),0)+IF($C30="CARD",SUMIFS(Sales_Daily!$M:$M,Sales_Daily!$B:$B,$A30,Sales_Daily!$C:$C,$B30,Sales_Daily!$S:$S,"&lt;&gt;"&amp;ST_DRAFT,Sales_Daily!$S:$S,"&lt;&gt;"&amp;ST_CANC,Sales_Daily!$S:$S,"&lt;&gt;"&amp;ST_REV),0)+IF($C30="TLB",SUMIFS(Sales_Daily!$N:$N,Sales_Daily!$B:$B,$A30,Sales_Daily!$C:$C,$B30,Sales_Daily!$S:$S,"&lt;&gt;"&amp;ST_DRAFT,Sales_Daily!$S:$S,"&lt;&gt;"&amp;ST_CANC,Sales_Daily!$S:$S,"&lt;&gt;"&amp;ST_REV),0)+IF($C30="DLV2",SUMIFS(Sales_Daily!$O:$O,Sales_Daily!$B:$B,$A30,Sales_Daily!$C:$C,$B30,Sales_Daily!$S:$S,"&lt;&gt;"&amp;ST_DRAFT,Sales_Daily!$S:$S,"&lt;&gt;"&amp;ST_CANC,Sales_Daily!$S:$S,"&lt;&gt;"&amp;ST_REV),0)+IF($C30="INSTA",SUMIFS(Sales_Daily!$P:$P,Sales_Daily!$B:$B,$A30,Sales_Daily!$C:$C,$B30,Sales_Daily!$S:$S,"&lt;&gt;"&amp;ST_DRAFT,Sales_Daily!$S:$S,"&lt;&gt;"&amp;ST_CANC,Sales_Daily!$S:$S,"&lt;&gt;"&amp;ST_REV),0)+SUMIFS(Sales_Daily!$Q:$Q,Sales_Daily!$B:$B,$A30,Sales_Daily!$C:$C,$B30,Sales_Daily!$S:$S,"&lt;&gt;"&amp;ST_DRAFT,Sales_Daily!$S:$S,"&lt;&gt;"&amp;ST_CANC,Sales_Daily!$S:$S,"&lt;&gt;"&amp;ST_REV,Sales_Daily!$R:$R,$C30))</f>
        <v/>
      </c>
      <c r="K30" s="47">
        <f>IF($J30="","",ROUND($D30-$J30,2))</f>
        <v/>
      </c>
      <c r="L30" s="32">
        <f>IF($J30="","",IF(NOT(ISNUMBER($A30)),"التاريخ ناقص",IF(NOT(COUNTIF(Locations!$A:$A,$B30)&gt;0),"الفرع غير معرف",IF(COUNTIF(Payment_Methods!$A:$A,$C30)=0,"وسيلة الدفع غير معرفة",IF(COUNTIFS(Daily_Recon!$A:$A,$A30,Daily_Recon!$B:$B,$B30,Daily_Recon!$C:$C,$C30)&gt;1,"صف مطابقة مكرر",IF(NOT(ISNUMBER($D30)),"المبلغ الفعلي ناقص",IF(AND(ABS($K30)&gt;S_Tol,$E30=""),"فرق بدون سبب",IF(AND(ABS($K30)&gt;S_Tol,$F30=""),"فرق بدون مسؤول",IF(AND(ABS($K30)&gt;S_Tol,$G30=""),"فرق بدون حالة معالجة",IF(AND($G30="تمت التسوية",ABS($K30)&gt;S_Tol,$H30=""),"التسوية بدون رقم مستند",IF(AND($H30&lt;&gt;"",COUNTIF(Doc_Register!$A:$A,$H30)=0),"مستند التسوية غير موجود","")))))))))))</f>
        <v/>
      </c>
      <c r="M30" s="44">
        <f>IF($J30="","",IF(AND(ABS($K30)&gt;S_Tol,$G30&lt;&gt;"تمت التسوية",$G30&lt;&gt;"مقبول بموافقة الإدارة"),1,0))</f>
        <v/>
      </c>
    </row>
    <row r="31">
      <c r="A31" s="31" t="n"/>
      <c r="B31" s="39" t="n"/>
      <c r="C31" s="39" t="n"/>
      <c r="D31" s="42" t="n"/>
      <c r="E31" s="29" t="n"/>
      <c r="F31" s="29" t="n"/>
      <c r="G31" s="29" t="n"/>
      <c r="H31" s="29" t="n"/>
      <c r="I31" s="29" t="n"/>
      <c r="J31" s="43">
        <f>IF(COUNTA($A31:$I31)=0,"",IF($C31="CASH",SUMIFS(Sales_Daily!$L:$L,Sales_Daily!$B:$B,$A31,Sales_Daily!$C:$C,$B31,Sales_Daily!$S:$S,"&lt;&gt;"&amp;ST_DRAFT,Sales_Daily!$S:$S,"&lt;&gt;"&amp;ST_CANC,Sales_Daily!$S:$S,"&lt;&gt;"&amp;ST_REV),0)+IF($C31="CARD",SUMIFS(Sales_Daily!$M:$M,Sales_Daily!$B:$B,$A31,Sales_Daily!$C:$C,$B31,Sales_Daily!$S:$S,"&lt;&gt;"&amp;ST_DRAFT,Sales_Daily!$S:$S,"&lt;&gt;"&amp;ST_CANC,Sales_Daily!$S:$S,"&lt;&gt;"&amp;ST_REV),0)+IF($C31="TLB",SUMIFS(Sales_Daily!$N:$N,Sales_Daily!$B:$B,$A31,Sales_Daily!$C:$C,$B31,Sales_Daily!$S:$S,"&lt;&gt;"&amp;ST_DRAFT,Sales_Daily!$S:$S,"&lt;&gt;"&amp;ST_CANC,Sales_Daily!$S:$S,"&lt;&gt;"&amp;ST_REV),0)+IF($C31="DLV2",SUMIFS(Sales_Daily!$O:$O,Sales_Daily!$B:$B,$A31,Sales_Daily!$C:$C,$B31,Sales_Daily!$S:$S,"&lt;&gt;"&amp;ST_DRAFT,Sales_Daily!$S:$S,"&lt;&gt;"&amp;ST_CANC,Sales_Daily!$S:$S,"&lt;&gt;"&amp;ST_REV),0)+IF($C31="INSTA",SUMIFS(Sales_Daily!$P:$P,Sales_Daily!$B:$B,$A31,Sales_Daily!$C:$C,$B31,Sales_Daily!$S:$S,"&lt;&gt;"&amp;ST_DRAFT,Sales_Daily!$S:$S,"&lt;&gt;"&amp;ST_CANC,Sales_Daily!$S:$S,"&lt;&gt;"&amp;ST_REV),0)+SUMIFS(Sales_Daily!$Q:$Q,Sales_Daily!$B:$B,$A31,Sales_Daily!$C:$C,$B31,Sales_Daily!$S:$S,"&lt;&gt;"&amp;ST_DRAFT,Sales_Daily!$S:$S,"&lt;&gt;"&amp;ST_CANC,Sales_Daily!$S:$S,"&lt;&gt;"&amp;ST_REV,Sales_Daily!$R:$R,$C31))</f>
        <v/>
      </c>
      <c r="K31" s="47">
        <f>IF($J31="","",ROUND($D31-$J31,2))</f>
        <v/>
      </c>
      <c r="L31" s="32">
        <f>IF($J31="","",IF(NOT(ISNUMBER($A31)),"التاريخ ناقص",IF(NOT(COUNTIF(Locations!$A:$A,$B31)&gt;0),"الفرع غير معرف",IF(COUNTIF(Payment_Methods!$A:$A,$C31)=0,"وسيلة الدفع غير معرفة",IF(COUNTIFS(Daily_Recon!$A:$A,$A31,Daily_Recon!$B:$B,$B31,Daily_Recon!$C:$C,$C31)&gt;1,"صف مطابقة مكرر",IF(NOT(ISNUMBER($D31)),"المبلغ الفعلي ناقص",IF(AND(ABS($K31)&gt;S_Tol,$E31=""),"فرق بدون سبب",IF(AND(ABS($K31)&gt;S_Tol,$F31=""),"فرق بدون مسؤول",IF(AND(ABS($K31)&gt;S_Tol,$G31=""),"فرق بدون حالة معالجة",IF(AND($G31="تمت التسوية",ABS($K31)&gt;S_Tol,$H31=""),"التسوية بدون رقم مستند",IF(AND($H31&lt;&gt;"",COUNTIF(Doc_Register!$A:$A,$H31)=0),"مستند التسوية غير موجود","")))))))))))</f>
        <v/>
      </c>
      <c r="M31" s="44">
        <f>IF($J31="","",IF(AND(ABS($K31)&gt;S_Tol,$G31&lt;&gt;"تمت التسوية",$G31&lt;&gt;"مقبول بموافقة الإدارة"),1,0))</f>
        <v/>
      </c>
    </row>
    <row r="32">
      <c r="A32" s="31" t="n"/>
      <c r="B32" s="39" t="n"/>
      <c r="C32" s="39" t="n"/>
      <c r="D32" s="42" t="n"/>
      <c r="E32" s="29" t="n"/>
      <c r="F32" s="29" t="n"/>
      <c r="G32" s="29" t="n"/>
      <c r="H32" s="29" t="n"/>
      <c r="I32" s="29" t="n"/>
      <c r="J32" s="43">
        <f>IF(COUNTA($A32:$I32)=0,"",IF($C32="CASH",SUMIFS(Sales_Daily!$L:$L,Sales_Daily!$B:$B,$A32,Sales_Daily!$C:$C,$B32,Sales_Daily!$S:$S,"&lt;&gt;"&amp;ST_DRAFT,Sales_Daily!$S:$S,"&lt;&gt;"&amp;ST_CANC,Sales_Daily!$S:$S,"&lt;&gt;"&amp;ST_REV),0)+IF($C32="CARD",SUMIFS(Sales_Daily!$M:$M,Sales_Daily!$B:$B,$A32,Sales_Daily!$C:$C,$B32,Sales_Daily!$S:$S,"&lt;&gt;"&amp;ST_DRAFT,Sales_Daily!$S:$S,"&lt;&gt;"&amp;ST_CANC,Sales_Daily!$S:$S,"&lt;&gt;"&amp;ST_REV),0)+IF($C32="TLB",SUMIFS(Sales_Daily!$N:$N,Sales_Daily!$B:$B,$A32,Sales_Daily!$C:$C,$B32,Sales_Daily!$S:$S,"&lt;&gt;"&amp;ST_DRAFT,Sales_Daily!$S:$S,"&lt;&gt;"&amp;ST_CANC,Sales_Daily!$S:$S,"&lt;&gt;"&amp;ST_REV),0)+IF($C32="DLV2",SUMIFS(Sales_Daily!$O:$O,Sales_Daily!$B:$B,$A32,Sales_Daily!$C:$C,$B32,Sales_Daily!$S:$S,"&lt;&gt;"&amp;ST_DRAFT,Sales_Daily!$S:$S,"&lt;&gt;"&amp;ST_CANC,Sales_Daily!$S:$S,"&lt;&gt;"&amp;ST_REV),0)+IF($C32="INSTA",SUMIFS(Sales_Daily!$P:$P,Sales_Daily!$B:$B,$A32,Sales_Daily!$C:$C,$B32,Sales_Daily!$S:$S,"&lt;&gt;"&amp;ST_DRAFT,Sales_Daily!$S:$S,"&lt;&gt;"&amp;ST_CANC,Sales_Daily!$S:$S,"&lt;&gt;"&amp;ST_REV),0)+SUMIFS(Sales_Daily!$Q:$Q,Sales_Daily!$B:$B,$A32,Sales_Daily!$C:$C,$B32,Sales_Daily!$S:$S,"&lt;&gt;"&amp;ST_DRAFT,Sales_Daily!$S:$S,"&lt;&gt;"&amp;ST_CANC,Sales_Daily!$S:$S,"&lt;&gt;"&amp;ST_REV,Sales_Daily!$R:$R,$C32))</f>
        <v/>
      </c>
      <c r="K32" s="47">
        <f>IF($J32="","",ROUND($D32-$J32,2))</f>
        <v/>
      </c>
      <c r="L32" s="32">
        <f>IF($J32="","",IF(NOT(ISNUMBER($A32)),"التاريخ ناقص",IF(NOT(COUNTIF(Locations!$A:$A,$B32)&gt;0),"الفرع غير معرف",IF(COUNTIF(Payment_Methods!$A:$A,$C32)=0,"وسيلة الدفع غير معرفة",IF(COUNTIFS(Daily_Recon!$A:$A,$A32,Daily_Recon!$B:$B,$B32,Daily_Recon!$C:$C,$C32)&gt;1,"صف مطابقة مكرر",IF(NOT(ISNUMBER($D32)),"المبلغ الفعلي ناقص",IF(AND(ABS($K32)&gt;S_Tol,$E32=""),"فرق بدون سبب",IF(AND(ABS($K32)&gt;S_Tol,$F32=""),"فرق بدون مسؤول",IF(AND(ABS($K32)&gt;S_Tol,$G32=""),"فرق بدون حالة معالجة",IF(AND($G32="تمت التسوية",ABS($K32)&gt;S_Tol,$H32=""),"التسوية بدون رقم مستند",IF(AND($H32&lt;&gt;"",COUNTIF(Doc_Register!$A:$A,$H32)=0),"مستند التسوية غير موجود","")))))))))))</f>
        <v/>
      </c>
      <c r="M32" s="44">
        <f>IF($J32="","",IF(AND(ABS($K32)&gt;S_Tol,$G32&lt;&gt;"تمت التسوية",$G32&lt;&gt;"مقبول بموافقة الإدارة"),1,0))</f>
        <v/>
      </c>
    </row>
    <row r="33">
      <c r="A33" s="31" t="n"/>
      <c r="B33" s="39" t="n"/>
      <c r="C33" s="39" t="n"/>
      <c r="D33" s="42" t="n"/>
      <c r="E33" s="29" t="n"/>
      <c r="F33" s="29" t="n"/>
      <c r="G33" s="29" t="n"/>
      <c r="H33" s="29" t="n"/>
      <c r="I33" s="29" t="n"/>
      <c r="J33" s="43">
        <f>IF(COUNTA($A33:$I33)=0,"",IF($C33="CASH",SUMIFS(Sales_Daily!$L:$L,Sales_Daily!$B:$B,$A33,Sales_Daily!$C:$C,$B33,Sales_Daily!$S:$S,"&lt;&gt;"&amp;ST_DRAFT,Sales_Daily!$S:$S,"&lt;&gt;"&amp;ST_CANC,Sales_Daily!$S:$S,"&lt;&gt;"&amp;ST_REV),0)+IF($C33="CARD",SUMIFS(Sales_Daily!$M:$M,Sales_Daily!$B:$B,$A33,Sales_Daily!$C:$C,$B33,Sales_Daily!$S:$S,"&lt;&gt;"&amp;ST_DRAFT,Sales_Daily!$S:$S,"&lt;&gt;"&amp;ST_CANC,Sales_Daily!$S:$S,"&lt;&gt;"&amp;ST_REV),0)+IF($C33="TLB",SUMIFS(Sales_Daily!$N:$N,Sales_Daily!$B:$B,$A33,Sales_Daily!$C:$C,$B33,Sales_Daily!$S:$S,"&lt;&gt;"&amp;ST_DRAFT,Sales_Daily!$S:$S,"&lt;&gt;"&amp;ST_CANC,Sales_Daily!$S:$S,"&lt;&gt;"&amp;ST_REV),0)+IF($C33="DLV2",SUMIFS(Sales_Daily!$O:$O,Sales_Daily!$B:$B,$A33,Sales_Daily!$C:$C,$B33,Sales_Daily!$S:$S,"&lt;&gt;"&amp;ST_DRAFT,Sales_Daily!$S:$S,"&lt;&gt;"&amp;ST_CANC,Sales_Daily!$S:$S,"&lt;&gt;"&amp;ST_REV),0)+IF($C33="INSTA",SUMIFS(Sales_Daily!$P:$P,Sales_Daily!$B:$B,$A33,Sales_Daily!$C:$C,$B33,Sales_Daily!$S:$S,"&lt;&gt;"&amp;ST_DRAFT,Sales_Daily!$S:$S,"&lt;&gt;"&amp;ST_CANC,Sales_Daily!$S:$S,"&lt;&gt;"&amp;ST_REV),0)+SUMIFS(Sales_Daily!$Q:$Q,Sales_Daily!$B:$B,$A33,Sales_Daily!$C:$C,$B33,Sales_Daily!$S:$S,"&lt;&gt;"&amp;ST_DRAFT,Sales_Daily!$S:$S,"&lt;&gt;"&amp;ST_CANC,Sales_Daily!$S:$S,"&lt;&gt;"&amp;ST_REV,Sales_Daily!$R:$R,$C33))</f>
        <v/>
      </c>
      <c r="K33" s="47">
        <f>IF($J33="","",ROUND($D33-$J33,2))</f>
        <v/>
      </c>
      <c r="L33" s="32">
        <f>IF($J33="","",IF(NOT(ISNUMBER($A33)),"التاريخ ناقص",IF(NOT(COUNTIF(Locations!$A:$A,$B33)&gt;0),"الفرع غير معرف",IF(COUNTIF(Payment_Methods!$A:$A,$C33)=0,"وسيلة الدفع غير معرفة",IF(COUNTIFS(Daily_Recon!$A:$A,$A33,Daily_Recon!$B:$B,$B33,Daily_Recon!$C:$C,$C33)&gt;1,"صف مطابقة مكرر",IF(NOT(ISNUMBER($D33)),"المبلغ الفعلي ناقص",IF(AND(ABS($K33)&gt;S_Tol,$E33=""),"فرق بدون سبب",IF(AND(ABS($K33)&gt;S_Tol,$F33=""),"فرق بدون مسؤول",IF(AND(ABS($K33)&gt;S_Tol,$G33=""),"فرق بدون حالة معالجة",IF(AND($G33="تمت التسوية",ABS($K33)&gt;S_Tol,$H33=""),"التسوية بدون رقم مستند",IF(AND($H33&lt;&gt;"",COUNTIF(Doc_Register!$A:$A,$H33)=0),"مستند التسوية غير موجود","")))))))))))</f>
        <v/>
      </c>
      <c r="M33" s="44">
        <f>IF($J33="","",IF(AND(ABS($K33)&gt;S_Tol,$G33&lt;&gt;"تمت التسوية",$G33&lt;&gt;"مقبول بموافقة الإدارة"),1,0))</f>
        <v/>
      </c>
    </row>
    <row r="34">
      <c r="A34" s="31" t="n"/>
      <c r="B34" s="39" t="n"/>
      <c r="C34" s="39" t="n"/>
      <c r="D34" s="42" t="n"/>
      <c r="E34" s="29" t="n"/>
      <c r="F34" s="29" t="n"/>
      <c r="G34" s="29" t="n"/>
      <c r="H34" s="29" t="n"/>
      <c r="I34" s="29" t="n"/>
      <c r="J34" s="43">
        <f>IF(COUNTA($A34:$I34)=0,"",IF($C34="CASH",SUMIFS(Sales_Daily!$L:$L,Sales_Daily!$B:$B,$A34,Sales_Daily!$C:$C,$B34,Sales_Daily!$S:$S,"&lt;&gt;"&amp;ST_DRAFT,Sales_Daily!$S:$S,"&lt;&gt;"&amp;ST_CANC,Sales_Daily!$S:$S,"&lt;&gt;"&amp;ST_REV),0)+IF($C34="CARD",SUMIFS(Sales_Daily!$M:$M,Sales_Daily!$B:$B,$A34,Sales_Daily!$C:$C,$B34,Sales_Daily!$S:$S,"&lt;&gt;"&amp;ST_DRAFT,Sales_Daily!$S:$S,"&lt;&gt;"&amp;ST_CANC,Sales_Daily!$S:$S,"&lt;&gt;"&amp;ST_REV),0)+IF($C34="TLB",SUMIFS(Sales_Daily!$N:$N,Sales_Daily!$B:$B,$A34,Sales_Daily!$C:$C,$B34,Sales_Daily!$S:$S,"&lt;&gt;"&amp;ST_DRAFT,Sales_Daily!$S:$S,"&lt;&gt;"&amp;ST_CANC,Sales_Daily!$S:$S,"&lt;&gt;"&amp;ST_REV),0)+IF($C34="DLV2",SUMIFS(Sales_Daily!$O:$O,Sales_Daily!$B:$B,$A34,Sales_Daily!$C:$C,$B34,Sales_Daily!$S:$S,"&lt;&gt;"&amp;ST_DRAFT,Sales_Daily!$S:$S,"&lt;&gt;"&amp;ST_CANC,Sales_Daily!$S:$S,"&lt;&gt;"&amp;ST_REV),0)+IF($C34="INSTA",SUMIFS(Sales_Daily!$P:$P,Sales_Daily!$B:$B,$A34,Sales_Daily!$C:$C,$B34,Sales_Daily!$S:$S,"&lt;&gt;"&amp;ST_DRAFT,Sales_Daily!$S:$S,"&lt;&gt;"&amp;ST_CANC,Sales_Daily!$S:$S,"&lt;&gt;"&amp;ST_REV),0)+SUMIFS(Sales_Daily!$Q:$Q,Sales_Daily!$B:$B,$A34,Sales_Daily!$C:$C,$B34,Sales_Daily!$S:$S,"&lt;&gt;"&amp;ST_DRAFT,Sales_Daily!$S:$S,"&lt;&gt;"&amp;ST_CANC,Sales_Daily!$S:$S,"&lt;&gt;"&amp;ST_REV,Sales_Daily!$R:$R,$C34))</f>
        <v/>
      </c>
      <c r="K34" s="47">
        <f>IF($J34="","",ROUND($D34-$J34,2))</f>
        <v/>
      </c>
      <c r="L34" s="32">
        <f>IF($J34="","",IF(NOT(ISNUMBER($A34)),"التاريخ ناقص",IF(NOT(COUNTIF(Locations!$A:$A,$B34)&gt;0),"الفرع غير معرف",IF(COUNTIF(Payment_Methods!$A:$A,$C34)=0,"وسيلة الدفع غير معرفة",IF(COUNTIFS(Daily_Recon!$A:$A,$A34,Daily_Recon!$B:$B,$B34,Daily_Recon!$C:$C,$C34)&gt;1,"صف مطابقة مكرر",IF(NOT(ISNUMBER($D34)),"المبلغ الفعلي ناقص",IF(AND(ABS($K34)&gt;S_Tol,$E34=""),"فرق بدون سبب",IF(AND(ABS($K34)&gt;S_Tol,$F34=""),"فرق بدون مسؤول",IF(AND(ABS($K34)&gt;S_Tol,$G34=""),"فرق بدون حالة معالجة",IF(AND($G34="تمت التسوية",ABS($K34)&gt;S_Tol,$H34=""),"التسوية بدون رقم مستند",IF(AND($H34&lt;&gt;"",COUNTIF(Doc_Register!$A:$A,$H34)=0),"مستند التسوية غير موجود","")))))))))))</f>
        <v/>
      </c>
      <c r="M34" s="44">
        <f>IF($J34="","",IF(AND(ABS($K34)&gt;S_Tol,$G34&lt;&gt;"تمت التسوية",$G34&lt;&gt;"مقبول بموافقة الإدارة"),1,0))</f>
        <v/>
      </c>
    </row>
    <row r="35">
      <c r="A35" s="31" t="n"/>
      <c r="B35" s="39" t="n"/>
      <c r="C35" s="39" t="n"/>
      <c r="D35" s="42" t="n"/>
      <c r="E35" s="29" t="n"/>
      <c r="F35" s="29" t="n"/>
      <c r="G35" s="29" t="n"/>
      <c r="H35" s="29" t="n"/>
      <c r="I35" s="29" t="n"/>
      <c r="J35" s="43">
        <f>IF(COUNTA($A35:$I35)=0,"",IF($C35="CASH",SUMIFS(Sales_Daily!$L:$L,Sales_Daily!$B:$B,$A35,Sales_Daily!$C:$C,$B35,Sales_Daily!$S:$S,"&lt;&gt;"&amp;ST_DRAFT,Sales_Daily!$S:$S,"&lt;&gt;"&amp;ST_CANC,Sales_Daily!$S:$S,"&lt;&gt;"&amp;ST_REV),0)+IF($C35="CARD",SUMIFS(Sales_Daily!$M:$M,Sales_Daily!$B:$B,$A35,Sales_Daily!$C:$C,$B35,Sales_Daily!$S:$S,"&lt;&gt;"&amp;ST_DRAFT,Sales_Daily!$S:$S,"&lt;&gt;"&amp;ST_CANC,Sales_Daily!$S:$S,"&lt;&gt;"&amp;ST_REV),0)+IF($C35="TLB",SUMIFS(Sales_Daily!$N:$N,Sales_Daily!$B:$B,$A35,Sales_Daily!$C:$C,$B35,Sales_Daily!$S:$S,"&lt;&gt;"&amp;ST_DRAFT,Sales_Daily!$S:$S,"&lt;&gt;"&amp;ST_CANC,Sales_Daily!$S:$S,"&lt;&gt;"&amp;ST_REV),0)+IF($C35="DLV2",SUMIFS(Sales_Daily!$O:$O,Sales_Daily!$B:$B,$A35,Sales_Daily!$C:$C,$B35,Sales_Daily!$S:$S,"&lt;&gt;"&amp;ST_DRAFT,Sales_Daily!$S:$S,"&lt;&gt;"&amp;ST_CANC,Sales_Daily!$S:$S,"&lt;&gt;"&amp;ST_REV),0)+IF($C35="INSTA",SUMIFS(Sales_Daily!$P:$P,Sales_Daily!$B:$B,$A35,Sales_Daily!$C:$C,$B35,Sales_Daily!$S:$S,"&lt;&gt;"&amp;ST_DRAFT,Sales_Daily!$S:$S,"&lt;&gt;"&amp;ST_CANC,Sales_Daily!$S:$S,"&lt;&gt;"&amp;ST_REV),0)+SUMIFS(Sales_Daily!$Q:$Q,Sales_Daily!$B:$B,$A35,Sales_Daily!$C:$C,$B35,Sales_Daily!$S:$S,"&lt;&gt;"&amp;ST_DRAFT,Sales_Daily!$S:$S,"&lt;&gt;"&amp;ST_CANC,Sales_Daily!$S:$S,"&lt;&gt;"&amp;ST_REV,Sales_Daily!$R:$R,$C35))</f>
        <v/>
      </c>
      <c r="K35" s="47">
        <f>IF($J35="","",ROUND($D35-$J35,2))</f>
        <v/>
      </c>
      <c r="L35" s="32">
        <f>IF($J35="","",IF(NOT(ISNUMBER($A35)),"التاريخ ناقص",IF(NOT(COUNTIF(Locations!$A:$A,$B35)&gt;0),"الفرع غير معرف",IF(COUNTIF(Payment_Methods!$A:$A,$C35)=0,"وسيلة الدفع غير معرفة",IF(COUNTIFS(Daily_Recon!$A:$A,$A35,Daily_Recon!$B:$B,$B35,Daily_Recon!$C:$C,$C35)&gt;1,"صف مطابقة مكرر",IF(NOT(ISNUMBER($D35)),"المبلغ الفعلي ناقص",IF(AND(ABS($K35)&gt;S_Tol,$E35=""),"فرق بدون سبب",IF(AND(ABS($K35)&gt;S_Tol,$F35=""),"فرق بدون مسؤول",IF(AND(ABS($K35)&gt;S_Tol,$G35=""),"فرق بدون حالة معالجة",IF(AND($G35="تمت التسوية",ABS($K35)&gt;S_Tol,$H35=""),"التسوية بدون رقم مستند",IF(AND($H35&lt;&gt;"",COUNTIF(Doc_Register!$A:$A,$H35)=0),"مستند التسوية غير موجود","")))))))))))</f>
        <v/>
      </c>
      <c r="M35" s="44">
        <f>IF($J35="","",IF(AND(ABS($K35)&gt;S_Tol,$G35&lt;&gt;"تمت التسوية",$G35&lt;&gt;"مقبول بموافقة الإدارة"),1,0))</f>
        <v/>
      </c>
    </row>
    <row r="36">
      <c r="A36" s="31" t="n"/>
      <c r="B36" s="39" t="n"/>
      <c r="C36" s="39" t="n"/>
      <c r="D36" s="42" t="n"/>
      <c r="E36" s="29" t="n"/>
      <c r="F36" s="29" t="n"/>
      <c r="G36" s="29" t="n"/>
      <c r="H36" s="29" t="n"/>
      <c r="I36" s="29" t="n"/>
      <c r="J36" s="43">
        <f>IF(COUNTA($A36:$I36)=0,"",IF($C36="CASH",SUMIFS(Sales_Daily!$L:$L,Sales_Daily!$B:$B,$A36,Sales_Daily!$C:$C,$B36,Sales_Daily!$S:$S,"&lt;&gt;"&amp;ST_DRAFT,Sales_Daily!$S:$S,"&lt;&gt;"&amp;ST_CANC,Sales_Daily!$S:$S,"&lt;&gt;"&amp;ST_REV),0)+IF($C36="CARD",SUMIFS(Sales_Daily!$M:$M,Sales_Daily!$B:$B,$A36,Sales_Daily!$C:$C,$B36,Sales_Daily!$S:$S,"&lt;&gt;"&amp;ST_DRAFT,Sales_Daily!$S:$S,"&lt;&gt;"&amp;ST_CANC,Sales_Daily!$S:$S,"&lt;&gt;"&amp;ST_REV),0)+IF($C36="TLB",SUMIFS(Sales_Daily!$N:$N,Sales_Daily!$B:$B,$A36,Sales_Daily!$C:$C,$B36,Sales_Daily!$S:$S,"&lt;&gt;"&amp;ST_DRAFT,Sales_Daily!$S:$S,"&lt;&gt;"&amp;ST_CANC,Sales_Daily!$S:$S,"&lt;&gt;"&amp;ST_REV),0)+IF($C36="DLV2",SUMIFS(Sales_Daily!$O:$O,Sales_Daily!$B:$B,$A36,Sales_Daily!$C:$C,$B36,Sales_Daily!$S:$S,"&lt;&gt;"&amp;ST_DRAFT,Sales_Daily!$S:$S,"&lt;&gt;"&amp;ST_CANC,Sales_Daily!$S:$S,"&lt;&gt;"&amp;ST_REV),0)+IF($C36="INSTA",SUMIFS(Sales_Daily!$P:$P,Sales_Daily!$B:$B,$A36,Sales_Daily!$C:$C,$B36,Sales_Daily!$S:$S,"&lt;&gt;"&amp;ST_DRAFT,Sales_Daily!$S:$S,"&lt;&gt;"&amp;ST_CANC,Sales_Daily!$S:$S,"&lt;&gt;"&amp;ST_REV),0)+SUMIFS(Sales_Daily!$Q:$Q,Sales_Daily!$B:$B,$A36,Sales_Daily!$C:$C,$B36,Sales_Daily!$S:$S,"&lt;&gt;"&amp;ST_DRAFT,Sales_Daily!$S:$S,"&lt;&gt;"&amp;ST_CANC,Sales_Daily!$S:$S,"&lt;&gt;"&amp;ST_REV,Sales_Daily!$R:$R,$C36))</f>
        <v/>
      </c>
      <c r="K36" s="47">
        <f>IF($J36="","",ROUND($D36-$J36,2))</f>
        <v/>
      </c>
      <c r="L36" s="32">
        <f>IF($J36="","",IF(NOT(ISNUMBER($A36)),"التاريخ ناقص",IF(NOT(COUNTIF(Locations!$A:$A,$B36)&gt;0),"الفرع غير معرف",IF(COUNTIF(Payment_Methods!$A:$A,$C36)=0,"وسيلة الدفع غير معرفة",IF(COUNTIFS(Daily_Recon!$A:$A,$A36,Daily_Recon!$B:$B,$B36,Daily_Recon!$C:$C,$C36)&gt;1,"صف مطابقة مكرر",IF(NOT(ISNUMBER($D36)),"المبلغ الفعلي ناقص",IF(AND(ABS($K36)&gt;S_Tol,$E36=""),"فرق بدون سبب",IF(AND(ABS($K36)&gt;S_Tol,$F36=""),"فرق بدون مسؤول",IF(AND(ABS($K36)&gt;S_Tol,$G36=""),"فرق بدون حالة معالجة",IF(AND($G36="تمت التسوية",ABS($K36)&gt;S_Tol,$H36=""),"التسوية بدون رقم مستند",IF(AND($H36&lt;&gt;"",COUNTIF(Doc_Register!$A:$A,$H36)=0),"مستند التسوية غير موجود","")))))))))))</f>
        <v/>
      </c>
      <c r="M36" s="44">
        <f>IF($J36="","",IF(AND(ABS($K36)&gt;S_Tol,$G36&lt;&gt;"تمت التسوية",$G36&lt;&gt;"مقبول بموافقة الإدارة"),1,0))</f>
        <v/>
      </c>
    </row>
    <row r="37">
      <c r="A37" s="31" t="n"/>
      <c r="B37" s="39" t="n"/>
      <c r="C37" s="39" t="n"/>
      <c r="D37" s="42" t="n"/>
      <c r="E37" s="29" t="n"/>
      <c r="F37" s="29" t="n"/>
      <c r="G37" s="29" t="n"/>
      <c r="H37" s="29" t="n"/>
      <c r="I37" s="29" t="n"/>
      <c r="J37" s="43">
        <f>IF(COUNTA($A37:$I37)=0,"",IF($C37="CASH",SUMIFS(Sales_Daily!$L:$L,Sales_Daily!$B:$B,$A37,Sales_Daily!$C:$C,$B37,Sales_Daily!$S:$S,"&lt;&gt;"&amp;ST_DRAFT,Sales_Daily!$S:$S,"&lt;&gt;"&amp;ST_CANC,Sales_Daily!$S:$S,"&lt;&gt;"&amp;ST_REV),0)+IF($C37="CARD",SUMIFS(Sales_Daily!$M:$M,Sales_Daily!$B:$B,$A37,Sales_Daily!$C:$C,$B37,Sales_Daily!$S:$S,"&lt;&gt;"&amp;ST_DRAFT,Sales_Daily!$S:$S,"&lt;&gt;"&amp;ST_CANC,Sales_Daily!$S:$S,"&lt;&gt;"&amp;ST_REV),0)+IF($C37="TLB",SUMIFS(Sales_Daily!$N:$N,Sales_Daily!$B:$B,$A37,Sales_Daily!$C:$C,$B37,Sales_Daily!$S:$S,"&lt;&gt;"&amp;ST_DRAFT,Sales_Daily!$S:$S,"&lt;&gt;"&amp;ST_CANC,Sales_Daily!$S:$S,"&lt;&gt;"&amp;ST_REV),0)+IF($C37="DLV2",SUMIFS(Sales_Daily!$O:$O,Sales_Daily!$B:$B,$A37,Sales_Daily!$C:$C,$B37,Sales_Daily!$S:$S,"&lt;&gt;"&amp;ST_DRAFT,Sales_Daily!$S:$S,"&lt;&gt;"&amp;ST_CANC,Sales_Daily!$S:$S,"&lt;&gt;"&amp;ST_REV),0)+IF($C37="INSTA",SUMIFS(Sales_Daily!$P:$P,Sales_Daily!$B:$B,$A37,Sales_Daily!$C:$C,$B37,Sales_Daily!$S:$S,"&lt;&gt;"&amp;ST_DRAFT,Sales_Daily!$S:$S,"&lt;&gt;"&amp;ST_CANC,Sales_Daily!$S:$S,"&lt;&gt;"&amp;ST_REV),0)+SUMIFS(Sales_Daily!$Q:$Q,Sales_Daily!$B:$B,$A37,Sales_Daily!$C:$C,$B37,Sales_Daily!$S:$S,"&lt;&gt;"&amp;ST_DRAFT,Sales_Daily!$S:$S,"&lt;&gt;"&amp;ST_CANC,Sales_Daily!$S:$S,"&lt;&gt;"&amp;ST_REV,Sales_Daily!$R:$R,$C37))</f>
        <v/>
      </c>
      <c r="K37" s="47">
        <f>IF($J37="","",ROUND($D37-$J37,2))</f>
        <v/>
      </c>
      <c r="L37" s="32">
        <f>IF($J37="","",IF(NOT(ISNUMBER($A37)),"التاريخ ناقص",IF(NOT(COUNTIF(Locations!$A:$A,$B37)&gt;0),"الفرع غير معرف",IF(COUNTIF(Payment_Methods!$A:$A,$C37)=0,"وسيلة الدفع غير معرفة",IF(COUNTIFS(Daily_Recon!$A:$A,$A37,Daily_Recon!$B:$B,$B37,Daily_Recon!$C:$C,$C37)&gt;1,"صف مطابقة مكرر",IF(NOT(ISNUMBER($D37)),"المبلغ الفعلي ناقص",IF(AND(ABS($K37)&gt;S_Tol,$E37=""),"فرق بدون سبب",IF(AND(ABS($K37)&gt;S_Tol,$F37=""),"فرق بدون مسؤول",IF(AND(ABS($K37)&gt;S_Tol,$G37=""),"فرق بدون حالة معالجة",IF(AND($G37="تمت التسوية",ABS($K37)&gt;S_Tol,$H37=""),"التسوية بدون رقم مستند",IF(AND($H37&lt;&gt;"",COUNTIF(Doc_Register!$A:$A,$H37)=0),"مستند التسوية غير موجود","")))))))))))</f>
        <v/>
      </c>
      <c r="M37" s="44">
        <f>IF($J37="","",IF(AND(ABS($K37)&gt;S_Tol,$G37&lt;&gt;"تمت التسوية",$G37&lt;&gt;"مقبول بموافقة الإدارة"),1,0))</f>
        <v/>
      </c>
    </row>
    <row r="38">
      <c r="A38" s="31" t="n"/>
      <c r="B38" s="39" t="n"/>
      <c r="C38" s="39" t="n"/>
      <c r="D38" s="42" t="n"/>
      <c r="E38" s="29" t="n"/>
      <c r="F38" s="29" t="n"/>
      <c r="G38" s="29" t="n"/>
      <c r="H38" s="29" t="n"/>
      <c r="I38" s="29" t="n"/>
      <c r="J38" s="43">
        <f>IF(COUNTA($A38:$I38)=0,"",IF($C38="CASH",SUMIFS(Sales_Daily!$L:$L,Sales_Daily!$B:$B,$A38,Sales_Daily!$C:$C,$B38,Sales_Daily!$S:$S,"&lt;&gt;"&amp;ST_DRAFT,Sales_Daily!$S:$S,"&lt;&gt;"&amp;ST_CANC,Sales_Daily!$S:$S,"&lt;&gt;"&amp;ST_REV),0)+IF($C38="CARD",SUMIFS(Sales_Daily!$M:$M,Sales_Daily!$B:$B,$A38,Sales_Daily!$C:$C,$B38,Sales_Daily!$S:$S,"&lt;&gt;"&amp;ST_DRAFT,Sales_Daily!$S:$S,"&lt;&gt;"&amp;ST_CANC,Sales_Daily!$S:$S,"&lt;&gt;"&amp;ST_REV),0)+IF($C38="TLB",SUMIFS(Sales_Daily!$N:$N,Sales_Daily!$B:$B,$A38,Sales_Daily!$C:$C,$B38,Sales_Daily!$S:$S,"&lt;&gt;"&amp;ST_DRAFT,Sales_Daily!$S:$S,"&lt;&gt;"&amp;ST_CANC,Sales_Daily!$S:$S,"&lt;&gt;"&amp;ST_REV),0)+IF($C38="DLV2",SUMIFS(Sales_Daily!$O:$O,Sales_Daily!$B:$B,$A38,Sales_Daily!$C:$C,$B38,Sales_Daily!$S:$S,"&lt;&gt;"&amp;ST_DRAFT,Sales_Daily!$S:$S,"&lt;&gt;"&amp;ST_CANC,Sales_Daily!$S:$S,"&lt;&gt;"&amp;ST_REV),0)+IF($C38="INSTA",SUMIFS(Sales_Daily!$P:$P,Sales_Daily!$B:$B,$A38,Sales_Daily!$C:$C,$B38,Sales_Daily!$S:$S,"&lt;&gt;"&amp;ST_DRAFT,Sales_Daily!$S:$S,"&lt;&gt;"&amp;ST_CANC,Sales_Daily!$S:$S,"&lt;&gt;"&amp;ST_REV),0)+SUMIFS(Sales_Daily!$Q:$Q,Sales_Daily!$B:$B,$A38,Sales_Daily!$C:$C,$B38,Sales_Daily!$S:$S,"&lt;&gt;"&amp;ST_DRAFT,Sales_Daily!$S:$S,"&lt;&gt;"&amp;ST_CANC,Sales_Daily!$S:$S,"&lt;&gt;"&amp;ST_REV,Sales_Daily!$R:$R,$C38))</f>
        <v/>
      </c>
      <c r="K38" s="47">
        <f>IF($J38="","",ROUND($D38-$J38,2))</f>
        <v/>
      </c>
      <c r="L38" s="32">
        <f>IF($J38="","",IF(NOT(ISNUMBER($A38)),"التاريخ ناقص",IF(NOT(COUNTIF(Locations!$A:$A,$B38)&gt;0),"الفرع غير معرف",IF(COUNTIF(Payment_Methods!$A:$A,$C38)=0,"وسيلة الدفع غير معرفة",IF(COUNTIFS(Daily_Recon!$A:$A,$A38,Daily_Recon!$B:$B,$B38,Daily_Recon!$C:$C,$C38)&gt;1,"صف مطابقة مكرر",IF(NOT(ISNUMBER($D38)),"المبلغ الفعلي ناقص",IF(AND(ABS($K38)&gt;S_Tol,$E38=""),"فرق بدون سبب",IF(AND(ABS($K38)&gt;S_Tol,$F38=""),"فرق بدون مسؤول",IF(AND(ABS($K38)&gt;S_Tol,$G38=""),"فرق بدون حالة معالجة",IF(AND($G38="تمت التسوية",ABS($K38)&gt;S_Tol,$H38=""),"التسوية بدون رقم مستند",IF(AND($H38&lt;&gt;"",COUNTIF(Doc_Register!$A:$A,$H38)=0),"مستند التسوية غير موجود","")))))))))))</f>
        <v/>
      </c>
      <c r="M38" s="44">
        <f>IF($J38="","",IF(AND(ABS($K38)&gt;S_Tol,$G38&lt;&gt;"تمت التسوية",$G38&lt;&gt;"مقبول بموافقة الإدارة"),1,0))</f>
        <v/>
      </c>
    </row>
    <row r="39">
      <c r="A39" s="31" t="n"/>
      <c r="B39" s="39" t="n"/>
      <c r="C39" s="39" t="n"/>
      <c r="D39" s="42" t="n"/>
      <c r="E39" s="29" t="n"/>
      <c r="F39" s="29" t="n"/>
      <c r="G39" s="29" t="n"/>
      <c r="H39" s="29" t="n"/>
      <c r="I39" s="29" t="n"/>
      <c r="J39" s="43">
        <f>IF(COUNTA($A39:$I39)=0,"",IF($C39="CASH",SUMIFS(Sales_Daily!$L:$L,Sales_Daily!$B:$B,$A39,Sales_Daily!$C:$C,$B39,Sales_Daily!$S:$S,"&lt;&gt;"&amp;ST_DRAFT,Sales_Daily!$S:$S,"&lt;&gt;"&amp;ST_CANC,Sales_Daily!$S:$S,"&lt;&gt;"&amp;ST_REV),0)+IF($C39="CARD",SUMIFS(Sales_Daily!$M:$M,Sales_Daily!$B:$B,$A39,Sales_Daily!$C:$C,$B39,Sales_Daily!$S:$S,"&lt;&gt;"&amp;ST_DRAFT,Sales_Daily!$S:$S,"&lt;&gt;"&amp;ST_CANC,Sales_Daily!$S:$S,"&lt;&gt;"&amp;ST_REV),0)+IF($C39="TLB",SUMIFS(Sales_Daily!$N:$N,Sales_Daily!$B:$B,$A39,Sales_Daily!$C:$C,$B39,Sales_Daily!$S:$S,"&lt;&gt;"&amp;ST_DRAFT,Sales_Daily!$S:$S,"&lt;&gt;"&amp;ST_CANC,Sales_Daily!$S:$S,"&lt;&gt;"&amp;ST_REV),0)+IF($C39="DLV2",SUMIFS(Sales_Daily!$O:$O,Sales_Daily!$B:$B,$A39,Sales_Daily!$C:$C,$B39,Sales_Daily!$S:$S,"&lt;&gt;"&amp;ST_DRAFT,Sales_Daily!$S:$S,"&lt;&gt;"&amp;ST_CANC,Sales_Daily!$S:$S,"&lt;&gt;"&amp;ST_REV),0)+IF($C39="INSTA",SUMIFS(Sales_Daily!$P:$P,Sales_Daily!$B:$B,$A39,Sales_Daily!$C:$C,$B39,Sales_Daily!$S:$S,"&lt;&gt;"&amp;ST_DRAFT,Sales_Daily!$S:$S,"&lt;&gt;"&amp;ST_CANC,Sales_Daily!$S:$S,"&lt;&gt;"&amp;ST_REV),0)+SUMIFS(Sales_Daily!$Q:$Q,Sales_Daily!$B:$B,$A39,Sales_Daily!$C:$C,$B39,Sales_Daily!$S:$S,"&lt;&gt;"&amp;ST_DRAFT,Sales_Daily!$S:$S,"&lt;&gt;"&amp;ST_CANC,Sales_Daily!$S:$S,"&lt;&gt;"&amp;ST_REV,Sales_Daily!$R:$R,$C39))</f>
        <v/>
      </c>
      <c r="K39" s="47">
        <f>IF($J39="","",ROUND($D39-$J39,2))</f>
        <v/>
      </c>
      <c r="L39" s="32">
        <f>IF($J39="","",IF(NOT(ISNUMBER($A39)),"التاريخ ناقص",IF(NOT(COUNTIF(Locations!$A:$A,$B39)&gt;0),"الفرع غير معرف",IF(COUNTIF(Payment_Methods!$A:$A,$C39)=0,"وسيلة الدفع غير معرفة",IF(COUNTIFS(Daily_Recon!$A:$A,$A39,Daily_Recon!$B:$B,$B39,Daily_Recon!$C:$C,$C39)&gt;1,"صف مطابقة مكرر",IF(NOT(ISNUMBER($D39)),"المبلغ الفعلي ناقص",IF(AND(ABS($K39)&gt;S_Tol,$E39=""),"فرق بدون سبب",IF(AND(ABS($K39)&gt;S_Tol,$F39=""),"فرق بدون مسؤول",IF(AND(ABS($K39)&gt;S_Tol,$G39=""),"فرق بدون حالة معالجة",IF(AND($G39="تمت التسوية",ABS($K39)&gt;S_Tol,$H39=""),"التسوية بدون رقم مستند",IF(AND($H39&lt;&gt;"",COUNTIF(Doc_Register!$A:$A,$H39)=0),"مستند التسوية غير موجود","")))))))))))</f>
        <v/>
      </c>
      <c r="M39" s="44">
        <f>IF($J39="","",IF(AND(ABS($K39)&gt;S_Tol,$G39&lt;&gt;"تمت التسوية",$G39&lt;&gt;"مقبول بموافقة الإدارة"),1,0))</f>
        <v/>
      </c>
    </row>
    <row r="40">
      <c r="A40" s="31" t="n"/>
      <c r="B40" s="39" t="n"/>
      <c r="C40" s="39" t="n"/>
      <c r="D40" s="42" t="n"/>
      <c r="E40" s="29" t="n"/>
      <c r="F40" s="29" t="n"/>
      <c r="G40" s="29" t="n"/>
      <c r="H40" s="29" t="n"/>
      <c r="I40" s="29" t="n"/>
      <c r="J40" s="43">
        <f>IF(COUNTA($A40:$I40)=0,"",IF($C40="CASH",SUMIFS(Sales_Daily!$L:$L,Sales_Daily!$B:$B,$A40,Sales_Daily!$C:$C,$B40,Sales_Daily!$S:$S,"&lt;&gt;"&amp;ST_DRAFT,Sales_Daily!$S:$S,"&lt;&gt;"&amp;ST_CANC,Sales_Daily!$S:$S,"&lt;&gt;"&amp;ST_REV),0)+IF($C40="CARD",SUMIFS(Sales_Daily!$M:$M,Sales_Daily!$B:$B,$A40,Sales_Daily!$C:$C,$B40,Sales_Daily!$S:$S,"&lt;&gt;"&amp;ST_DRAFT,Sales_Daily!$S:$S,"&lt;&gt;"&amp;ST_CANC,Sales_Daily!$S:$S,"&lt;&gt;"&amp;ST_REV),0)+IF($C40="TLB",SUMIFS(Sales_Daily!$N:$N,Sales_Daily!$B:$B,$A40,Sales_Daily!$C:$C,$B40,Sales_Daily!$S:$S,"&lt;&gt;"&amp;ST_DRAFT,Sales_Daily!$S:$S,"&lt;&gt;"&amp;ST_CANC,Sales_Daily!$S:$S,"&lt;&gt;"&amp;ST_REV),0)+IF($C40="DLV2",SUMIFS(Sales_Daily!$O:$O,Sales_Daily!$B:$B,$A40,Sales_Daily!$C:$C,$B40,Sales_Daily!$S:$S,"&lt;&gt;"&amp;ST_DRAFT,Sales_Daily!$S:$S,"&lt;&gt;"&amp;ST_CANC,Sales_Daily!$S:$S,"&lt;&gt;"&amp;ST_REV),0)+IF($C40="INSTA",SUMIFS(Sales_Daily!$P:$P,Sales_Daily!$B:$B,$A40,Sales_Daily!$C:$C,$B40,Sales_Daily!$S:$S,"&lt;&gt;"&amp;ST_DRAFT,Sales_Daily!$S:$S,"&lt;&gt;"&amp;ST_CANC,Sales_Daily!$S:$S,"&lt;&gt;"&amp;ST_REV),0)+SUMIFS(Sales_Daily!$Q:$Q,Sales_Daily!$B:$B,$A40,Sales_Daily!$C:$C,$B40,Sales_Daily!$S:$S,"&lt;&gt;"&amp;ST_DRAFT,Sales_Daily!$S:$S,"&lt;&gt;"&amp;ST_CANC,Sales_Daily!$S:$S,"&lt;&gt;"&amp;ST_REV,Sales_Daily!$R:$R,$C40))</f>
        <v/>
      </c>
      <c r="K40" s="47">
        <f>IF($J40="","",ROUND($D40-$J40,2))</f>
        <v/>
      </c>
      <c r="L40" s="32">
        <f>IF($J40="","",IF(NOT(ISNUMBER($A40)),"التاريخ ناقص",IF(NOT(COUNTIF(Locations!$A:$A,$B40)&gt;0),"الفرع غير معرف",IF(COUNTIF(Payment_Methods!$A:$A,$C40)=0,"وسيلة الدفع غير معرفة",IF(COUNTIFS(Daily_Recon!$A:$A,$A40,Daily_Recon!$B:$B,$B40,Daily_Recon!$C:$C,$C40)&gt;1,"صف مطابقة مكرر",IF(NOT(ISNUMBER($D40)),"المبلغ الفعلي ناقص",IF(AND(ABS($K40)&gt;S_Tol,$E40=""),"فرق بدون سبب",IF(AND(ABS($K40)&gt;S_Tol,$F40=""),"فرق بدون مسؤول",IF(AND(ABS($K40)&gt;S_Tol,$G40=""),"فرق بدون حالة معالجة",IF(AND($G40="تمت التسوية",ABS($K40)&gt;S_Tol,$H40=""),"التسوية بدون رقم مستند",IF(AND($H40&lt;&gt;"",COUNTIF(Doc_Register!$A:$A,$H40)=0),"مستند التسوية غير موجود","")))))))))))</f>
        <v/>
      </c>
      <c r="M40" s="44">
        <f>IF($J40="","",IF(AND(ABS($K40)&gt;S_Tol,$G40&lt;&gt;"تمت التسوية",$G40&lt;&gt;"مقبول بموافقة الإدارة"),1,0))</f>
        <v/>
      </c>
    </row>
    <row r="41">
      <c r="A41" s="31" t="n"/>
      <c r="B41" s="39" t="n"/>
      <c r="C41" s="39" t="n"/>
      <c r="D41" s="42" t="n"/>
      <c r="E41" s="29" t="n"/>
      <c r="F41" s="29" t="n"/>
      <c r="G41" s="29" t="n"/>
      <c r="H41" s="29" t="n"/>
      <c r="I41" s="29" t="n"/>
      <c r="J41" s="43">
        <f>IF(COUNTA($A41:$I41)=0,"",IF($C41="CASH",SUMIFS(Sales_Daily!$L:$L,Sales_Daily!$B:$B,$A41,Sales_Daily!$C:$C,$B41,Sales_Daily!$S:$S,"&lt;&gt;"&amp;ST_DRAFT,Sales_Daily!$S:$S,"&lt;&gt;"&amp;ST_CANC,Sales_Daily!$S:$S,"&lt;&gt;"&amp;ST_REV),0)+IF($C41="CARD",SUMIFS(Sales_Daily!$M:$M,Sales_Daily!$B:$B,$A41,Sales_Daily!$C:$C,$B41,Sales_Daily!$S:$S,"&lt;&gt;"&amp;ST_DRAFT,Sales_Daily!$S:$S,"&lt;&gt;"&amp;ST_CANC,Sales_Daily!$S:$S,"&lt;&gt;"&amp;ST_REV),0)+IF($C41="TLB",SUMIFS(Sales_Daily!$N:$N,Sales_Daily!$B:$B,$A41,Sales_Daily!$C:$C,$B41,Sales_Daily!$S:$S,"&lt;&gt;"&amp;ST_DRAFT,Sales_Daily!$S:$S,"&lt;&gt;"&amp;ST_CANC,Sales_Daily!$S:$S,"&lt;&gt;"&amp;ST_REV),0)+IF($C41="DLV2",SUMIFS(Sales_Daily!$O:$O,Sales_Daily!$B:$B,$A41,Sales_Daily!$C:$C,$B41,Sales_Daily!$S:$S,"&lt;&gt;"&amp;ST_DRAFT,Sales_Daily!$S:$S,"&lt;&gt;"&amp;ST_CANC,Sales_Daily!$S:$S,"&lt;&gt;"&amp;ST_REV),0)+IF($C41="INSTA",SUMIFS(Sales_Daily!$P:$P,Sales_Daily!$B:$B,$A41,Sales_Daily!$C:$C,$B41,Sales_Daily!$S:$S,"&lt;&gt;"&amp;ST_DRAFT,Sales_Daily!$S:$S,"&lt;&gt;"&amp;ST_CANC,Sales_Daily!$S:$S,"&lt;&gt;"&amp;ST_REV),0)+SUMIFS(Sales_Daily!$Q:$Q,Sales_Daily!$B:$B,$A41,Sales_Daily!$C:$C,$B41,Sales_Daily!$S:$S,"&lt;&gt;"&amp;ST_DRAFT,Sales_Daily!$S:$S,"&lt;&gt;"&amp;ST_CANC,Sales_Daily!$S:$S,"&lt;&gt;"&amp;ST_REV,Sales_Daily!$R:$R,$C41))</f>
        <v/>
      </c>
      <c r="K41" s="47">
        <f>IF($J41="","",ROUND($D41-$J41,2))</f>
        <v/>
      </c>
      <c r="L41" s="32">
        <f>IF($J41="","",IF(NOT(ISNUMBER($A41)),"التاريخ ناقص",IF(NOT(COUNTIF(Locations!$A:$A,$B41)&gt;0),"الفرع غير معرف",IF(COUNTIF(Payment_Methods!$A:$A,$C41)=0,"وسيلة الدفع غير معرفة",IF(COUNTIFS(Daily_Recon!$A:$A,$A41,Daily_Recon!$B:$B,$B41,Daily_Recon!$C:$C,$C41)&gt;1,"صف مطابقة مكرر",IF(NOT(ISNUMBER($D41)),"المبلغ الفعلي ناقص",IF(AND(ABS($K41)&gt;S_Tol,$E41=""),"فرق بدون سبب",IF(AND(ABS($K41)&gt;S_Tol,$F41=""),"فرق بدون مسؤول",IF(AND(ABS($K41)&gt;S_Tol,$G41=""),"فرق بدون حالة معالجة",IF(AND($G41="تمت التسوية",ABS($K41)&gt;S_Tol,$H41=""),"التسوية بدون رقم مستند",IF(AND($H41&lt;&gt;"",COUNTIF(Doc_Register!$A:$A,$H41)=0),"مستند التسوية غير موجود","")))))))))))</f>
        <v/>
      </c>
      <c r="M41" s="44">
        <f>IF($J41="","",IF(AND(ABS($K41)&gt;S_Tol,$G41&lt;&gt;"تمت التسوية",$G41&lt;&gt;"مقبول بموافقة الإدارة"),1,0))</f>
        <v/>
      </c>
    </row>
    <row r="42">
      <c r="A42" s="31" t="n"/>
      <c r="B42" s="39" t="n"/>
      <c r="C42" s="39" t="n"/>
      <c r="D42" s="42" t="n"/>
      <c r="E42" s="29" t="n"/>
      <c r="F42" s="29" t="n"/>
      <c r="G42" s="29" t="n"/>
      <c r="H42" s="29" t="n"/>
      <c r="I42" s="29" t="n"/>
      <c r="J42" s="43">
        <f>IF(COUNTA($A42:$I42)=0,"",IF($C42="CASH",SUMIFS(Sales_Daily!$L:$L,Sales_Daily!$B:$B,$A42,Sales_Daily!$C:$C,$B42,Sales_Daily!$S:$S,"&lt;&gt;"&amp;ST_DRAFT,Sales_Daily!$S:$S,"&lt;&gt;"&amp;ST_CANC,Sales_Daily!$S:$S,"&lt;&gt;"&amp;ST_REV),0)+IF($C42="CARD",SUMIFS(Sales_Daily!$M:$M,Sales_Daily!$B:$B,$A42,Sales_Daily!$C:$C,$B42,Sales_Daily!$S:$S,"&lt;&gt;"&amp;ST_DRAFT,Sales_Daily!$S:$S,"&lt;&gt;"&amp;ST_CANC,Sales_Daily!$S:$S,"&lt;&gt;"&amp;ST_REV),0)+IF($C42="TLB",SUMIFS(Sales_Daily!$N:$N,Sales_Daily!$B:$B,$A42,Sales_Daily!$C:$C,$B42,Sales_Daily!$S:$S,"&lt;&gt;"&amp;ST_DRAFT,Sales_Daily!$S:$S,"&lt;&gt;"&amp;ST_CANC,Sales_Daily!$S:$S,"&lt;&gt;"&amp;ST_REV),0)+IF($C42="DLV2",SUMIFS(Sales_Daily!$O:$O,Sales_Daily!$B:$B,$A42,Sales_Daily!$C:$C,$B42,Sales_Daily!$S:$S,"&lt;&gt;"&amp;ST_DRAFT,Sales_Daily!$S:$S,"&lt;&gt;"&amp;ST_CANC,Sales_Daily!$S:$S,"&lt;&gt;"&amp;ST_REV),0)+IF($C42="INSTA",SUMIFS(Sales_Daily!$P:$P,Sales_Daily!$B:$B,$A42,Sales_Daily!$C:$C,$B42,Sales_Daily!$S:$S,"&lt;&gt;"&amp;ST_DRAFT,Sales_Daily!$S:$S,"&lt;&gt;"&amp;ST_CANC,Sales_Daily!$S:$S,"&lt;&gt;"&amp;ST_REV),0)+SUMIFS(Sales_Daily!$Q:$Q,Sales_Daily!$B:$B,$A42,Sales_Daily!$C:$C,$B42,Sales_Daily!$S:$S,"&lt;&gt;"&amp;ST_DRAFT,Sales_Daily!$S:$S,"&lt;&gt;"&amp;ST_CANC,Sales_Daily!$S:$S,"&lt;&gt;"&amp;ST_REV,Sales_Daily!$R:$R,$C42))</f>
        <v/>
      </c>
      <c r="K42" s="47">
        <f>IF($J42="","",ROUND($D42-$J42,2))</f>
        <v/>
      </c>
      <c r="L42" s="32">
        <f>IF($J42="","",IF(NOT(ISNUMBER($A42)),"التاريخ ناقص",IF(NOT(COUNTIF(Locations!$A:$A,$B42)&gt;0),"الفرع غير معرف",IF(COUNTIF(Payment_Methods!$A:$A,$C42)=0,"وسيلة الدفع غير معرفة",IF(COUNTIFS(Daily_Recon!$A:$A,$A42,Daily_Recon!$B:$B,$B42,Daily_Recon!$C:$C,$C42)&gt;1,"صف مطابقة مكرر",IF(NOT(ISNUMBER($D42)),"المبلغ الفعلي ناقص",IF(AND(ABS($K42)&gt;S_Tol,$E42=""),"فرق بدون سبب",IF(AND(ABS($K42)&gt;S_Tol,$F42=""),"فرق بدون مسؤول",IF(AND(ABS($K42)&gt;S_Tol,$G42=""),"فرق بدون حالة معالجة",IF(AND($G42="تمت التسوية",ABS($K42)&gt;S_Tol,$H42=""),"التسوية بدون رقم مستند",IF(AND($H42&lt;&gt;"",COUNTIF(Doc_Register!$A:$A,$H42)=0),"مستند التسوية غير موجود","")))))))))))</f>
        <v/>
      </c>
      <c r="M42" s="44">
        <f>IF($J42="","",IF(AND(ABS($K42)&gt;S_Tol,$G42&lt;&gt;"تمت التسوية",$G42&lt;&gt;"مقبول بموافقة الإدارة"),1,0))</f>
        <v/>
      </c>
    </row>
    <row r="43">
      <c r="A43" s="31" t="n"/>
      <c r="B43" s="39" t="n"/>
      <c r="C43" s="39" t="n"/>
      <c r="D43" s="42" t="n"/>
      <c r="E43" s="29" t="n"/>
      <c r="F43" s="29" t="n"/>
      <c r="G43" s="29" t="n"/>
      <c r="H43" s="29" t="n"/>
      <c r="I43" s="29" t="n"/>
      <c r="J43" s="43">
        <f>IF(COUNTA($A43:$I43)=0,"",IF($C43="CASH",SUMIFS(Sales_Daily!$L:$L,Sales_Daily!$B:$B,$A43,Sales_Daily!$C:$C,$B43,Sales_Daily!$S:$S,"&lt;&gt;"&amp;ST_DRAFT,Sales_Daily!$S:$S,"&lt;&gt;"&amp;ST_CANC,Sales_Daily!$S:$S,"&lt;&gt;"&amp;ST_REV),0)+IF($C43="CARD",SUMIFS(Sales_Daily!$M:$M,Sales_Daily!$B:$B,$A43,Sales_Daily!$C:$C,$B43,Sales_Daily!$S:$S,"&lt;&gt;"&amp;ST_DRAFT,Sales_Daily!$S:$S,"&lt;&gt;"&amp;ST_CANC,Sales_Daily!$S:$S,"&lt;&gt;"&amp;ST_REV),0)+IF($C43="TLB",SUMIFS(Sales_Daily!$N:$N,Sales_Daily!$B:$B,$A43,Sales_Daily!$C:$C,$B43,Sales_Daily!$S:$S,"&lt;&gt;"&amp;ST_DRAFT,Sales_Daily!$S:$S,"&lt;&gt;"&amp;ST_CANC,Sales_Daily!$S:$S,"&lt;&gt;"&amp;ST_REV),0)+IF($C43="DLV2",SUMIFS(Sales_Daily!$O:$O,Sales_Daily!$B:$B,$A43,Sales_Daily!$C:$C,$B43,Sales_Daily!$S:$S,"&lt;&gt;"&amp;ST_DRAFT,Sales_Daily!$S:$S,"&lt;&gt;"&amp;ST_CANC,Sales_Daily!$S:$S,"&lt;&gt;"&amp;ST_REV),0)+IF($C43="INSTA",SUMIFS(Sales_Daily!$P:$P,Sales_Daily!$B:$B,$A43,Sales_Daily!$C:$C,$B43,Sales_Daily!$S:$S,"&lt;&gt;"&amp;ST_DRAFT,Sales_Daily!$S:$S,"&lt;&gt;"&amp;ST_CANC,Sales_Daily!$S:$S,"&lt;&gt;"&amp;ST_REV),0)+SUMIFS(Sales_Daily!$Q:$Q,Sales_Daily!$B:$B,$A43,Sales_Daily!$C:$C,$B43,Sales_Daily!$S:$S,"&lt;&gt;"&amp;ST_DRAFT,Sales_Daily!$S:$S,"&lt;&gt;"&amp;ST_CANC,Sales_Daily!$S:$S,"&lt;&gt;"&amp;ST_REV,Sales_Daily!$R:$R,$C43))</f>
        <v/>
      </c>
      <c r="K43" s="47">
        <f>IF($J43="","",ROUND($D43-$J43,2))</f>
        <v/>
      </c>
      <c r="L43" s="32">
        <f>IF($J43="","",IF(NOT(ISNUMBER($A43)),"التاريخ ناقص",IF(NOT(COUNTIF(Locations!$A:$A,$B43)&gt;0),"الفرع غير معرف",IF(COUNTIF(Payment_Methods!$A:$A,$C43)=0,"وسيلة الدفع غير معرفة",IF(COUNTIFS(Daily_Recon!$A:$A,$A43,Daily_Recon!$B:$B,$B43,Daily_Recon!$C:$C,$C43)&gt;1,"صف مطابقة مكرر",IF(NOT(ISNUMBER($D43)),"المبلغ الفعلي ناقص",IF(AND(ABS($K43)&gt;S_Tol,$E43=""),"فرق بدون سبب",IF(AND(ABS($K43)&gt;S_Tol,$F43=""),"فرق بدون مسؤول",IF(AND(ABS($K43)&gt;S_Tol,$G43=""),"فرق بدون حالة معالجة",IF(AND($G43="تمت التسوية",ABS($K43)&gt;S_Tol,$H43=""),"التسوية بدون رقم مستند",IF(AND($H43&lt;&gt;"",COUNTIF(Doc_Register!$A:$A,$H43)=0),"مستند التسوية غير موجود","")))))))))))</f>
        <v/>
      </c>
      <c r="M43" s="44">
        <f>IF($J43="","",IF(AND(ABS($K43)&gt;S_Tol,$G43&lt;&gt;"تمت التسوية",$G43&lt;&gt;"مقبول بموافقة الإدارة"),1,0))</f>
        <v/>
      </c>
    </row>
    <row r="44">
      <c r="A44" s="31" t="n"/>
      <c r="B44" s="39" t="n"/>
      <c r="C44" s="39" t="n"/>
      <c r="D44" s="42" t="n"/>
      <c r="E44" s="29" t="n"/>
      <c r="F44" s="29" t="n"/>
      <c r="G44" s="29" t="n"/>
      <c r="H44" s="29" t="n"/>
      <c r="I44" s="29" t="n"/>
      <c r="J44" s="43">
        <f>IF(COUNTA($A44:$I44)=0,"",IF($C44="CASH",SUMIFS(Sales_Daily!$L:$L,Sales_Daily!$B:$B,$A44,Sales_Daily!$C:$C,$B44,Sales_Daily!$S:$S,"&lt;&gt;"&amp;ST_DRAFT,Sales_Daily!$S:$S,"&lt;&gt;"&amp;ST_CANC,Sales_Daily!$S:$S,"&lt;&gt;"&amp;ST_REV),0)+IF($C44="CARD",SUMIFS(Sales_Daily!$M:$M,Sales_Daily!$B:$B,$A44,Sales_Daily!$C:$C,$B44,Sales_Daily!$S:$S,"&lt;&gt;"&amp;ST_DRAFT,Sales_Daily!$S:$S,"&lt;&gt;"&amp;ST_CANC,Sales_Daily!$S:$S,"&lt;&gt;"&amp;ST_REV),0)+IF($C44="TLB",SUMIFS(Sales_Daily!$N:$N,Sales_Daily!$B:$B,$A44,Sales_Daily!$C:$C,$B44,Sales_Daily!$S:$S,"&lt;&gt;"&amp;ST_DRAFT,Sales_Daily!$S:$S,"&lt;&gt;"&amp;ST_CANC,Sales_Daily!$S:$S,"&lt;&gt;"&amp;ST_REV),0)+IF($C44="DLV2",SUMIFS(Sales_Daily!$O:$O,Sales_Daily!$B:$B,$A44,Sales_Daily!$C:$C,$B44,Sales_Daily!$S:$S,"&lt;&gt;"&amp;ST_DRAFT,Sales_Daily!$S:$S,"&lt;&gt;"&amp;ST_CANC,Sales_Daily!$S:$S,"&lt;&gt;"&amp;ST_REV),0)+IF($C44="INSTA",SUMIFS(Sales_Daily!$P:$P,Sales_Daily!$B:$B,$A44,Sales_Daily!$C:$C,$B44,Sales_Daily!$S:$S,"&lt;&gt;"&amp;ST_DRAFT,Sales_Daily!$S:$S,"&lt;&gt;"&amp;ST_CANC,Sales_Daily!$S:$S,"&lt;&gt;"&amp;ST_REV),0)+SUMIFS(Sales_Daily!$Q:$Q,Sales_Daily!$B:$B,$A44,Sales_Daily!$C:$C,$B44,Sales_Daily!$S:$S,"&lt;&gt;"&amp;ST_DRAFT,Sales_Daily!$S:$S,"&lt;&gt;"&amp;ST_CANC,Sales_Daily!$S:$S,"&lt;&gt;"&amp;ST_REV,Sales_Daily!$R:$R,$C44))</f>
        <v/>
      </c>
      <c r="K44" s="47">
        <f>IF($J44="","",ROUND($D44-$J44,2))</f>
        <v/>
      </c>
      <c r="L44" s="32">
        <f>IF($J44="","",IF(NOT(ISNUMBER($A44)),"التاريخ ناقص",IF(NOT(COUNTIF(Locations!$A:$A,$B44)&gt;0),"الفرع غير معرف",IF(COUNTIF(Payment_Methods!$A:$A,$C44)=0,"وسيلة الدفع غير معرفة",IF(COUNTIFS(Daily_Recon!$A:$A,$A44,Daily_Recon!$B:$B,$B44,Daily_Recon!$C:$C,$C44)&gt;1,"صف مطابقة مكرر",IF(NOT(ISNUMBER($D44)),"المبلغ الفعلي ناقص",IF(AND(ABS($K44)&gt;S_Tol,$E44=""),"فرق بدون سبب",IF(AND(ABS($K44)&gt;S_Tol,$F44=""),"فرق بدون مسؤول",IF(AND(ABS($K44)&gt;S_Tol,$G44=""),"فرق بدون حالة معالجة",IF(AND($G44="تمت التسوية",ABS($K44)&gt;S_Tol,$H44=""),"التسوية بدون رقم مستند",IF(AND($H44&lt;&gt;"",COUNTIF(Doc_Register!$A:$A,$H44)=0),"مستند التسوية غير موجود","")))))))))))</f>
        <v/>
      </c>
      <c r="M44" s="44">
        <f>IF($J44="","",IF(AND(ABS($K44)&gt;S_Tol,$G44&lt;&gt;"تمت التسوية",$G44&lt;&gt;"مقبول بموافقة الإدارة"),1,0))</f>
        <v/>
      </c>
    </row>
    <row r="45">
      <c r="A45" s="31" t="n"/>
      <c r="B45" s="39" t="n"/>
      <c r="C45" s="39" t="n"/>
      <c r="D45" s="42" t="n"/>
      <c r="E45" s="29" t="n"/>
      <c r="F45" s="29" t="n"/>
      <c r="G45" s="29" t="n"/>
      <c r="H45" s="29" t="n"/>
      <c r="I45" s="29" t="n"/>
      <c r="J45" s="43">
        <f>IF(COUNTA($A45:$I45)=0,"",IF($C45="CASH",SUMIFS(Sales_Daily!$L:$L,Sales_Daily!$B:$B,$A45,Sales_Daily!$C:$C,$B45,Sales_Daily!$S:$S,"&lt;&gt;"&amp;ST_DRAFT,Sales_Daily!$S:$S,"&lt;&gt;"&amp;ST_CANC,Sales_Daily!$S:$S,"&lt;&gt;"&amp;ST_REV),0)+IF($C45="CARD",SUMIFS(Sales_Daily!$M:$M,Sales_Daily!$B:$B,$A45,Sales_Daily!$C:$C,$B45,Sales_Daily!$S:$S,"&lt;&gt;"&amp;ST_DRAFT,Sales_Daily!$S:$S,"&lt;&gt;"&amp;ST_CANC,Sales_Daily!$S:$S,"&lt;&gt;"&amp;ST_REV),0)+IF($C45="TLB",SUMIFS(Sales_Daily!$N:$N,Sales_Daily!$B:$B,$A45,Sales_Daily!$C:$C,$B45,Sales_Daily!$S:$S,"&lt;&gt;"&amp;ST_DRAFT,Sales_Daily!$S:$S,"&lt;&gt;"&amp;ST_CANC,Sales_Daily!$S:$S,"&lt;&gt;"&amp;ST_REV),0)+IF($C45="DLV2",SUMIFS(Sales_Daily!$O:$O,Sales_Daily!$B:$B,$A45,Sales_Daily!$C:$C,$B45,Sales_Daily!$S:$S,"&lt;&gt;"&amp;ST_DRAFT,Sales_Daily!$S:$S,"&lt;&gt;"&amp;ST_CANC,Sales_Daily!$S:$S,"&lt;&gt;"&amp;ST_REV),0)+IF($C45="INSTA",SUMIFS(Sales_Daily!$P:$P,Sales_Daily!$B:$B,$A45,Sales_Daily!$C:$C,$B45,Sales_Daily!$S:$S,"&lt;&gt;"&amp;ST_DRAFT,Sales_Daily!$S:$S,"&lt;&gt;"&amp;ST_CANC,Sales_Daily!$S:$S,"&lt;&gt;"&amp;ST_REV),0)+SUMIFS(Sales_Daily!$Q:$Q,Sales_Daily!$B:$B,$A45,Sales_Daily!$C:$C,$B45,Sales_Daily!$S:$S,"&lt;&gt;"&amp;ST_DRAFT,Sales_Daily!$S:$S,"&lt;&gt;"&amp;ST_CANC,Sales_Daily!$S:$S,"&lt;&gt;"&amp;ST_REV,Sales_Daily!$R:$R,$C45))</f>
        <v/>
      </c>
      <c r="K45" s="47">
        <f>IF($J45="","",ROUND($D45-$J45,2))</f>
        <v/>
      </c>
      <c r="L45" s="32">
        <f>IF($J45="","",IF(NOT(ISNUMBER($A45)),"التاريخ ناقص",IF(NOT(COUNTIF(Locations!$A:$A,$B45)&gt;0),"الفرع غير معرف",IF(COUNTIF(Payment_Methods!$A:$A,$C45)=0,"وسيلة الدفع غير معرفة",IF(COUNTIFS(Daily_Recon!$A:$A,$A45,Daily_Recon!$B:$B,$B45,Daily_Recon!$C:$C,$C45)&gt;1,"صف مطابقة مكرر",IF(NOT(ISNUMBER($D45)),"المبلغ الفعلي ناقص",IF(AND(ABS($K45)&gt;S_Tol,$E45=""),"فرق بدون سبب",IF(AND(ABS($K45)&gt;S_Tol,$F45=""),"فرق بدون مسؤول",IF(AND(ABS($K45)&gt;S_Tol,$G45=""),"فرق بدون حالة معالجة",IF(AND($G45="تمت التسوية",ABS($K45)&gt;S_Tol,$H45=""),"التسوية بدون رقم مستند",IF(AND($H45&lt;&gt;"",COUNTIF(Doc_Register!$A:$A,$H45)=0),"مستند التسوية غير موجود","")))))))))))</f>
        <v/>
      </c>
      <c r="M45" s="44">
        <f>IF($J45="","",IF(AND(ABS($K45)&gt;S_Tol,$G45&lt;&gt;"تمت التسوية",$G45&lt;&gt;"مقبول بموافقة الإدارة"),1,0))</f>
        <v/>
      </c>
    </row>
    <row r="46">
      <c r="A46" s="31" t="n"/>
      <c r="B46" s="39" t="n"/>
      <c r="C46" s="39" t="n"/>
      <c r="D46" s="42" t="n"/>
      <c r="E46" s="29" t="n"/>
      <c r="F46" s="29" t="n"/>
      <c r="G46" s="29" t="n"/>
      <c r="H46" s="29" t="n"/>
      <c r="I46" s="29" t="n"/>
      <c r="J46" s="43">
        <f>IF(COUNTA($A46:$I46)=0,"",IF($C46="CASH",SUMIFS(Sales_Daily!$L:$L,Sales_Daily!$B:$B,$A46,Sales_Daily!$C:$C,$B46,Sales_Daily!$S:$S,"&lt;&gt;"&amp;ST_DRAFT,Sales_Daily!$S:$S,"&lt;&gt;"&amp;ST_CANC,Sales_Daily!$S:$S,"&lt;&gt;"&amp;ST_REV),0)+IF($C46="CARD",SUMIFS(Sales_Daily!$M:$M,Sales_Daily!$B:$B,$A46,Sales_Daily!$C:$C,$B46,Sales_Daily!$S:$S,"&lt;&gt;"&amp;ST_DRAFT,Sales_Daily!$S:$S,"&lt;&gt;"&amp;ST_CANC,Sales_Daily!$S:$S,"&lt;&gt;"&amp;ST_REV),0)+IF($C46="TLB",SUMIFS(Sales_Daily!$N:$N,Sales_Daily!$B:$B,$A46,Sales_Daily!$C:$C,$B46,Sales_Daily!$S:$S,"&lt;&gt;"&amp;ST_DRAFT,Sales_Daily!$S:$S,"&lt;&gt;"&amp;ST_CANC,Sales_Daily!$S:$S,"&lt;&gt;"&amp;ST_REV),0)+IF($C46="DLV2",SUMIFS(Sales_Daily!$O:$O,Sales_Daily!$B:$B,$A46,Sales_Daily!$C:$C,$B46,Sales_Daily!$S:$S,"&lt;&gt;"&amp;ST_DRAFT,Sales_Daily!$S:$S,"&lt;&gt;"&amp;ST_CANC,Sales_Daily!$S:$S,"&lt;&gt;"&amp;ST_REV),0)+IF($C46="INSTA",SUMIFS(Sales_Daily!$P:$P,Sales_Daily!$B:$B,$A46,Sales_Daily!$C:$C,$B46,Sales_Daily!$S:$S,"&lt;&gt;"&amp;ST_DRAFT,Sales_Daily!$S:$S,"&lt;&gt;"&amp;ST_CANC,Sales_Daily!$S:$S,"&lt;&gt;"&amp;ST_REV),0)+SUMIFS(Sales_Daily!$Q:$Q,Sales_Daily!$B:$B,$A46,Sales_Daily!$C:$C,$B46,Sales_Daily!$S:$S,"&lt;&gt;"&amp;ST_DRAFT,Sales_Daily!$S:$S,"&lt;&gt;"&amp;ST_CANC,Sales_Daily!$S:$S,"&lt;&gt;"&amp;ST_REV,Sales_Daily!$R:$R,$C46))</f>
        <v/>
      </c>
      <c r="K46" s="47">
        <f>IF($J46="","",ROUND($D46-$J46,2))</f>
        <v/>
      </c>
      <c r="L46" s="32">
        <f>IF($J46="","",IF(NOT(ISNUMBER($A46)),"التاريخ ناقص",IF(NOT(COUNTIF(Locations!$A:$A,$B46)&gt;0),"الفرع غير معرف",IF(COUNTIF(Payment_Methods!$A:$A,$C46)=0,"وسيلة الدفع غير معرفة",IF(COUNTIFS(Daily_Recon!$A:$A,$A46,Daily_Recon!$B:$B,$B46,Daily_Recon!$C:$C,$C46)&gt;1,"صف مطابقة مكرر",IF(NOT(ISNUMBER($D46)),"المبلغ الفعلي ناقص",IF(AND(ABS($K46)&gt;S_Tol,$E46=""),"فرق بدون سبب",IF(AND(ABS($K46)&gt;S_Tol,$F46=""),"فرق بدون مسؤول",IF(AND(ABS($K46)&gt;S_Tol,$G46=""),"فرق بدون حالة معالجة",IF(AND($G46="تمت التسوية",ABS($K46)&gt;S_Tol,$H46=""),"التسوية بدون رقم مستند",IF(AND($H46&lt;&gt;"",COUNTIF(Doc_Register!$A:$A,$H46)=0),"مستند التسوية غير موجود","")))))))))))</f>
        <v/>
      </c>
      <c r="M46" s="44">
        <f>IF($J46="","",IF(AND(ABS($K46)&gt;S_Tol,$G46&lt;&gt;"تمت التسوية",$G46&lt;&gt;"مقبول بموافقة الإدارة"),1,0))</f>
        <v/>
      </c>
    </row>
    <row r="47">
      <c r="A47" s="31" t="n"/>
      <c r="B47" s="39" t="n"/>
      <c r="C47" s="39" t="n"/>
      <c r="D47" s="42" t="n"/>
      <c r="E47" s="29" t="n"/>
      <c r="F47" s="29" t="n"/>
      <c r="G47" s="29" t="n"/>
      <c r="H47" s="29" t="n"/>
      <c r="I47" s="29" t="n"/>
      <c r="J47" s="43">
        <f>IF(COUNTA($A47:$I47)=0,"",IF($C47="CASH",SUMIFS(Sales_Daily!$L:$L,Sales_Daily!$B:$B,$A47,Sales_Daily!$C:$C,$B47,Sales_Daily!$S:$S,"&lt;&gt;"&amp;ST_DRAFT,Sales_Daily!$S:$S,"&lt;&gt;"&amp;ST_CANC,Sales_Daily!$S:$S,"&lt;&gt;"&amp;ST_REV),0)+IF($C47="CARD",SUMIFS(Sales_Daily!$M:$M,Sales_Daily!$B:$B,$A47,Sales_Daily!$C:$C,$B47,Sales_Daily!$S:$S,"&lt;&gt;"&amp;ST_DRAFT,Sales_Daily!$S:$S,"&lt;&gt;"&amp;ST_CANC,Sales_Daily!$S:$S,"&lt;&gt;"&amp;ST_REV),0)+IF($C47="TLB",SUMIFS(Sales_Daily!$N:$N,Sales_Daily!$B:$B,$A47,Sales_Daily!$C:$C,$B47,Sales_Daily!$S:$S,"&lt;&gt;"&amp;ST_DRAFT,Sales_Daily!$S:$S,"&lt;&gt;"&amp;ST_CANC,Sales_Daily!$S:$S,"&lt;&gt;"&amp;ST_REV),0)+IF($C47="DLV2",SUMIFS(Sales_Daily!$O:$O,Sales_Daily!$B:$B,$A47,Sales_Daily!$C:$C,$B47,Sales_Daily!$S:$S,"&lt;&gt;"&amp;ST_DRAFT,Sales_Daily!$S:$S,"&lt;&gt;"&amp;ST_CANC,Sales_Daily!$S:$S,"&lt;&gt;"&amp;ST_REV),0)+IF($C47="INSTA",SUMIFS(Sales_Daily!$P:$P,Sales_Daily!$B:$B,$A47,Sales_Daily!$C:$C,$B47,Sales_Daily!$S:$S,"&lt;&gt;"&amp;ST_DRAFT,Sales_Daily!$S:$S,"&lt;&gt;"&amp;ST_CANC,Sales_Daily!$S:$S,"&lt;&gt;"&amp;ST_REV),0)+SUMIFS(Sales_Daily!$Q:$Q,Sales_Daily!$B:$B,$A47,Sales_Daily!$C:$C,$B47,Sales_Daily!$S:$S,"&lt;&gt;"&amp;ST_DRAFT,Sales_Daily!$S:$S,"&lt;&gt;"&amp;ST_CANC,Sales_Daily!$S:$S,"&lt;&gt;"&amp;ST_REV,Sales_Daily!$R:$R,$C47))</f>
        <v/>
      </c>
      <c r="K47" s="47">
        <f>IF($J47="","",ROUND($D47-$J47,2))</f>
        <v/>
      </c>
      <c r="L47" s="32">
        <f>IF($J47="","",IF(NOT(ISNUMBER($A47)),"التاريخ ناقص",IF(NOT(COUNTIF(Locations!$A:$A,$B47)&gt;0),"الفرع غير معرف",IF(COUNTIF(Payment_Methods!$A:$A,$C47)=0,"وسيلة الدفع غير معرفة",IF(COUNTIFS(Daily_Recon!$A:$A,$A47,Daily_Recon!$B:$B,$B47,Daily_Recon!$C:$C,$C47)&gt;1,"صف مطابقة مكرر",IF(NOT(ISNUMBER($D47)),"المبلغ الفعلي ناقص",IF(AND(ABS($K47)&gt;S_Tol,$E47=""),"فرق بدون سبب",IF(AND(ABS($K47)&gt;S_Tol,$F47=""),"فرق بدون مسؤول",IF(AND(ABS($K47)&gt;S_Tol,$G47=""),"فرق بدون حالة معالجة",IF(AND($G47="تمت التسوية",ABS($K47)&gt;S_Tol,$H47=""),"التسوية بدون رقم مستند",IF(AND($H47&lt;&gt;"",COUNTIF(Doc_Register!$A:$A,$H47)=0),"مستند التسوية غير موجود","")))))))))))</f>
        <v/>
      </c>
      <c r="M47" s="44">
        <f>IF($J47="","",IF(AND(ABS($K47)&gt;S_Tol,$G47&lt;&gt;"تمت التسوية",$G47&lt;&gt;"مقبول بموافقة الإدارة"),1,0))</f>
        <v/>
      </c>
    </row>
    <row r="48">
      <c r="A48" s="31" t="n"/>
      <c r="B48" s="39" t="n"/>
      <c r="C48" s="39" t="n"/>
      <c r="D48" s="42" t="n"/>
      <c r="E48" s="29" t="n"/>
      <c r="F48" s="29" t="n"/>
      <c r="G48" s="29" t="n"/>
      <c r="H48" s="29" t="n"/>
      <c r="I48" s="29" t="n"/>
      <c r="J48" s="43">
        <f>IF(COUNTA($A48:$I48)=0,"",IF($C48="CASH",SUMIFS(Sales_Daily!$L:$L,Sales_Daily!$B:$B,$A48,Sales_Daily!$C:$C,$B48,Sales_Daily!$S:$S,"&lt;&gt;"&amp;ST_DRAFT,Sales_Daily!$S:$S,"&lt;&gt;"&amp;ST_CANC,Sales_Daily!$S:$S,"&lt;&gt;"&amp;ST_REV),0)+IF($C48="CARD",SUMIFS(Sales_Daily!$M:$M,Sales_Daily!$B:$B,$A48,Sales_Daily!$C:$C,$B48,Sales_Daily!$S:$S,"&lt;&gt;"&amp;ST_DRAFT,Sales_Daily!$S:$S,"&lt;&gt;"&amp;ST_CANC,Sales_Daily!$S:$S,"&lt;&gt;"&amp;ST_REV),0)+IF($C48="TLB",SUMIFS(Sales_Daily!$N:$N,Sales_Daily!$B:$B,$A48,Sales_Daily!$C:$C,$B48,Sales_Daily!$S:$S,"&lt;&gt;"&amp;ST_DRAFT,Sales_Daily!$S:$S,"&lt;&gt;"&amp;ST_CANC,Sales_Daily!$S:$S,"&lt;&gt;"&amp;ST_REV),0)+IF($C48="DLV2",SUMIFS(Sales_Daily!$O:$O,Sales_Daily!$B:$B,$A48,Sales_Daily!$C:$C,$B48,Sales_Daily!$S:$S,"&lt;&gt;"&amp;ST_DRAFT,Sales_Daily!$S:$S,"&lt;&gt;"&amp;ST_CANC,Sales_Daily!$S:$S,"&lt;&gt;"&amp;ST_REV),0)+IF($C48="INSTA",SUMIFS(Sales_Daily!$P:$P,Sales_Daily!$B:$B,$A48,Sales_Daily!$C:$C,$B48,Sales_Daily!$S:$S,"&lt;&gt;"&amp;ST_DRAFT,Sales_Daily!$S:$S,"&lt;&gt;"&amp;ST_CANC,Sales_Daily!$S:$S,"&lt;&gt;"&amp;ST_REV),0)+SUMIFS(Sales_Daily!$Q:$Q,Sales_Daily!$B:$B,$A48,Sales_Daily!$C:$C,$B48,Sales_Daily!$S:$S,"&lt;&gt;"&amp;ST_DRAFT,Sales_Daily!$S:$S,"&lt;&gt;"&amp;ST_CANC,Sales_Daily!$S:$S,"&lt;&gt;"&amp;ST_REV,Sales_Daily!$R:$R,$C48))</f>
        <v/>
      </c>
      <c r="K48" s="47">
        <f>IF($J48="","",ROUND($D48-$J48,2))</f>
        <v/>
      </c>
      <c r="L48" s="32">
        <f>IF($J48="","",IF(NOT(ISNUMBER($A48)),"التاريخ ناقص",IF(NOT(COUNTIF(Locations!$A:$A,$B48)&gt;0),"الفرع غير معرف",IF(COUNTIF(Payment_Methods!$A:$A,$C48)=0,"وسيلة الدفع غير معرفة",IF(COUNTIFS(Daily_Recon!$A:$A,$A48,Daily_Recon!$B:$B,$B48,Daily_Recon!$C:$C,$C48)&gt;1,"صف مطابقة مكرر",IF(NOT(ISNUMBER($D48)),"المبلغ الفعلي ناقص",IF(AND(ABS($K48)&gt;S_Tol,$E48=""),"فرق بدون سبب",IF(AND(ABS($K48)&gt;S_Tol,$F48=""),"فرق بدون مسؤول",IF(AND(ABS($K48)&gt;S_Tol,$G48=""),"فرق بدون حالة معالجة",IF(AND($G48="تمت التسوية",ABS($K48)&gt;S_Tol,$H48=""),"التسوية بدون رقم مستند",IF(AND($H48&lt;&gt;"",COUNTIF(Doc_Register!$A:$A,$H48)=0),"مستند التسوية غير موجود","")))))))))))</f>
        <v/>
      </c>
      <c r="M48" s="44">
        <f>IF($J48="","",IF(AND(ABS($K48)&gt;S_Tol,$G48&lt;&gt;"تمت التسوية",$G48&lt;&gt;"مقبول بموافقة الإدارة"),1,0))</f>
        <v/>
      </c>
    </row>
    <row r="49">
      <c r="A49" s="31" t="n"/>
      <c r="B49" s="39" t="n"/>
      <c r="C49" s="39" t="n"/>
      <c r="D49" s="42" t="n"/>
      <c r="E49" s="29" t="n"/>
      <c r="F49" s="29" t="n"/>
      <c r="G49" s="29" t="n"/>
      <c r="H49" s="29" t="n"/>
      <c r="I49" s="29" t="n"/>
      <c r="J49" s="43">
        <f>IF(COUNTA($A49:$I49)=0,"",IF($C49="CASH",SUMIFS(Sales_Daily!$L:$L,Sales_Daily!$B:$B,$A49,Sales_Daily!$C:$C,$B49,Sales_Daily!$S:$S,"&lt;&gt;"&amp;ST_DRAFT,Sales_Daily!$S:$S,"&lt;&gt;"&amp;ST_CANC,Sales_Daily!$S:$S,"&lt;&gt;"&amp;ST_REV),0)+IF($C49="CARD",SUMIFS(Sales_Daily!$M:$M,Sales_Daily!$B:$B,$A49,Sales_Daily!$C:$C,$B49,Sales_Daily!$S:$S,"&lt;&gt;"&amp;ST_DRAFT,Sales_Daily!$S:$S,"&lt;&gt;"&amp;ST_CANC,Sales_Daily!$S:$S,"&lt;&gt;"&amp;ST_REV),0)+IF($C49="TLB",SUMIFS(Sales_Daily!$N:$N,Sales_Daily!$B:$B,$A49,Sales_Daily!$C:$C,$B49,Sales_Daily!$S:$S,"&lt;&gt;"&amp;ST_DRAFT,Sales_Daily!$S:$S,"&lt;&gt;"&amp;ST_CANC,Sales_Daily!$S:$S,"&lt;&gt;"&amp;ST_REV),0)+IF($C49="DLV2",SUMIFS(Sales_Daily!$O:$O,Sales_Daily!$B:$B,$A49,Sales_Daily!$C:$C,$B49,Sales_Daily!$S:$S,"&lt;&gt;"&amp;ST_DRAFT,Sales_Daily!$S:$S,"&lt;&gt;"&amp;ST_CANC,Sales_Daily!$S:$S,"&lt;&gt;"&amp;ST_REV),0)+IF($C49="INSTA",SUMIFS(Sales_Daily!$P:$P,Sales_Daily!$B:$B,$A49,Sales_Daily!$C:$C,$B49,Sales_Daily!$S:$S,"&lt;&gt;"&amp;ST_DRAFT,Sales_Daily!$S:$S,"&lt;&gt;"&amp;ST_CANC,Sales_Daily!$S:$S,"&lt;&gt;"&amp;ST_REV),0)+SUMIFS(Sales_Daily!$Q:$Q,Sales_Daily!$B:$B,$A49,Sales_Daily!$C:$C,$B49,Sales_Daily!$S:$S,"&lt;&gt;"&amp;ST_DRAFT,Sales_Daily!$S:$S,"&lt;&gt;"&amp;ST_CANC,Sales_Daily!$S:$S,"&lt;&gt;"&amp;ST_REV,Sales_Daily!$R:$R,$C49))</f>
        <v/>
      </c>
      <c r="K49" s="47">
        <f>IF($J49="","",ROUND($D49-$J49,2))</f>
        <v/>
      </c>
      <c r="L49" s="32">
        <f>IF($J49="","",IF(NOT(ISNUMBER($A49)),"التاريخ ناقص",IF(NOT(COUNTIF(Locations!$A:$A,$B49)&gt;0),"الفرع غير معرف",IF(COUNTIF(Payment_Methods!$A:$A,$C49)=0,"وسيلة الدفع غير معرفة",IF(COUNTIFS(Daily_Recon!$A:$A,$A49,Daily_Recon!$B:$B,$B49,Daily_Recon!$C:$C,$C49)&gt;1,"صف مطابقة مكرر",IF(NOT(ISNUMBER($D49)),"المبلغ الفعلي ناقص",IF(AND(ABS($K49)&gt;S_Tol,$E49=""),"فرق بدون سبب",IF(AND(ABS($K49)&gt;S_Tol,$F49=""),"فرق بدون مسؤول",IF(AND(ABS($K49)&gt;S_Tol,$G49=""),"فرق بدون حالة معالجة",IF(AND($G49="تمت التسوية",ABS($K49)&gt;S_Tol,$H49=""),"التسوية بدون رقم مستند",IF(AND($H49&lt;&gt;"",COUNTIF(Doc_Register!$A:$A,$H49)=0),"مستند التسوية غير موجود","")))))))))))</f>
        <v/>
      </c>
      <c r="M49" s="44">
        <f>IF($J49="","",IF(AND(ABS($K49)&gt;S_Tol,$G49&lt;&gt;"تمت التسوية",$G49&lt;&gt;"مقبول بموافقة الإدارة"),1,0))</f>
        <v/>
      </c>
    </row>
    <row r="50">
      <c r="A50" s="31" t="n"/>
      <c r="B50" s="39" t="n"/>
      <c r="C50" s="39" t="n"/>
      <c r="D50" s="42" t="n"/>
      <c r="E50" s="29" t="n"/>
      <c r="F50" s="29" t="n"/>
      <c r="G50" s="29" t="n"/>
      <c r="H50" s="29" t="n"/>
      <c r="I50" s="29" t="n"/>
      <c r="J50" s="43">
        <f>IF(COUNTA($A50:$I50)=0,"",IF($C50="CASH",SUMIFS(Sales_Daily!$L:$L,Sales_Daily!$B:$B,$A50,Sales_Daily!$C:$C,$B50,Sales_Daily!$S:$S,"&lt;&gt;"&amp;ST_DRAFT,Sales_Daily!$S:$S,"&lt;&gt;"&amp;ST_CANC,Sales_Daily!$S:$S,"&lt;&gt;"&amp;ST_REV),0)+IF($C50="CARD",SUMIFS(Sales_Daily!$M:$M,Sales_Daily!$B:$B,$A50,Sales_Daily!$C:$C,$B50,Sales_Daily!$S:$S,"&lt;&gt;"&amp;ST_DRAFT,Sales_Daily!$S:$S,"&lt;&gt;"&amp;ST_CANC,Sales_Daily!$S:$S,"&lt;&gt;"&amp;ST_REV),0)+IF($C50="TLB",SUMIFS(Sales_Daily!$N:$N,Sales_Daily!$B:$B,$A50,Sales_Daily!$C:$C,$B50,Sales_Daily!$S:$S,"&lt;&gt;"&amp;ST_DRAFT,Sales_Daily!$S:$S,"&lt;&gt;"&amp;ST_CANC,Sales_Daily!$S:$S,"&lt;&gt;"&amp;ST_REV),0)+IF($C50="DLV2",SUMIFS(Sales_Daily!$O:$O,Sales_Daily!$B:$B,$A50,Sales_Daily!$C:$C,$B50,Sales_Daily!$S:$S,"&lt;&gt;"&amp;ST_DRAFT,Sales_Daily!$S:$S,"&lt;&gt;"&amp;ST_CANC,Sales_Daily!$S:$S,"&lt;&gt;"&amp;ST_REV),0)+IF($C50="INSTA",SUMIFS(Sales_Daily!$P:$P,Sales_Daily!$B:$B,$A50,Sales_Daily!$C:$C,$B50,Sales_Daily!$S:$S,"&lt;&gt;"&amp;ST_DRAFT,Sales_Daily!$S:$S,"&lt;&gt;"&amp;ST_CANC,Sales_Daily!$S:$S,"&lt;&gt;"&amp;ST_REV),0)+SUMIFS(Sales_Daily!$Q:$Q,Sales_Daily!$B:$B,$A50,Sales_Daily!$C:$C,$B50,Sales_Daily!$S:$S,"&lt;&gt;"&amp;ST_DRAFT,Sales_Daily!$S:$S,"&lt;&gt;"&amp;ST_CANC,Sales_Daily!$S:$S,"&lt;&gt;"&amp;ST_REV,Sales_Daily!$R:$R,$C50))</f>
        <v/>
      </c>
      <c r="K50" s="47">
        <f>IF($J50="","",ROUND($D50-$J50,2))</f>
        <v/>
      </c>
      <c r="L50" s="32">
        <f>IF($J50="","",IF(NOT(ISNUMBER($A50)),"التاريخ ناقص",IF(NOT(COUNTIF(Locations!$A:$A,$B50)&gt;0),"الفرع غير معرف",IF(COUNTIF(Payment_Methods!$A:$A,$C50)=0,"وسيلة الدفع غير معرفة",IF(COUNTIFS(Daily_Recon!$A:$A,$A50,Daily_Recon!$B:$B,$B50,Daily_Recon!$C:$C,$C50)&gt;1,"صف مطابقة مكرر",IF(NOT(ISNUMBER($D50)),"المبلغ الفعلي ناقص",IF(AND(ABS($K50)&gt;S_Tol,$E50=""),"فرق بدون سبب",IF(AND(ABS($K50)&gt;S_Tol,$F50=""),"فرق بدون مسؤول",IF(AND(ABS($K50)&gt;S_Tol,$G50=""),"فرق بدون حالة معالجة",IF(AND($G50="تمت التسوية",ABS($K50)&gt;S_Tol,$H50=""),"التسوية بدون رقم مستند",IF(AND($H50&lt;&gt;"",COUNTIF(Doc_Register!$A:$A,$H50)=0),"مستند التسوية غير موجود","")))))))))))</f>
        <v/>
      </c>
      <c r="M50" s="44">
        <f>IF($J50="","",IF(AND(ABS($K50)&gt;S_Tol,$G50&lt;&gt;"تمت التسوية",$G50&lt;&gt;"مقبول بموافقة الإدارة"),1,0))</f>
        <v/>
      </c>
    </row>
    <row r="51">
      <c r="A51" s="31" t="n"/>
      <c r="B51" s="39" t="n"/>
      <c r="C51" s="39" t="n"/>
      <c r="D51" s="42" t="n"/>
      <c r="E51" s="29" t="n"/>
      <c r="F51" s="29" t="n"/>
      <c r="G51" s="29" t="n"/>
      <c r="H51" s="29" t="n"/>
      <c r="I51" s="29" t="n"/>
      <c r="J51" s="43">
        <f>IF(COUNTA($A51:$I51)=0,"",IF($C51="CASH",SUMIFS(Sales_Daily!$L:$L,Sales_Daily!$B:$B,$A51,Sales_Daily!$C:$C,$B51,Sales_Daily!$S:$S,"&lt;&gt;"&amp;ST_DRAFT,Sales_Daily!$S:$S,"&lt;&gt;"&amp;ST_CANC,Sales_Daily!$S:$S,"&lt;&gt;"&amp;ST_REV),0)+IF($C51="CARD",SUMIFS(Sales_Daily!$M:$M,Sales_Daily!$B:$B,$A51,Sales_Daily!$C:$C,$B51,Sales_Daily!$S:$S,"&lt;&gt;"&amp;ST_DRAFT,Sales_Daily!$S:$S,"&lt;&gt;"&amp;ST_CANC,Sales_Daily!$S:$S,"&lt;&gt;"&amp;ST_REV),0)+IF($C51="TLB",SUMIFS(Sales_Daily!$N:$N,Sales_Daily!$B:$B,$A51,Sales_Daily!$C:$C,$B51,Sales_Daily!$S:$S,"&lt;&gt;"&amp;ST_DRAFT,Sales_Daily!$S:$S,"&lt;&gt;"&amp;ST_CANC,Sales_Daily!$S:$S,"&lt;&gt;"&amp;ST_REV),0)+IF($C51="DLV2",SUMIFS(Sales_Daily!$O:$O,Sales_Daily!$B:$B,$A51,Sales_Daily!$C:$C,$B51,Sales_Daily!$S:$S,"&lt;&gt;"&amp;ST_DRAFT,Sales_Daily!$S:$S,"&lt;&gt;"&amp;ST_CANC,Sales_Daily!$S:$S,"&lt;&gt;"&amp;ST_REV),0)+IF($C51="INSTA",SUMIFS(Sales_Daily!$P:$P,Sales_Daily!$B:$B,$A51,Sales_Daily!$C:$C,$B51,Sales_Daily!$S:$S,"&lt;&gt;"&amp;ST_DRAFT,Sales_Daily!$S:$S,"&lt;&gt;"&amp;ST_CANC,Sales_Daily!$S:$S,"&lt;&gt;"&amp;ST_REV),0)+SUMIFS(Sales_Daily!$Q:$Q,Sales_Daily!$B:$B,$A51,Sales_Daily!$C:$C,$B51,Sales_Daily!$S:$S,"&lt;&gt;"&amp;ST_DRAFT,Sales_Daily!$S:$S,"&lt;&gt;"&amp;ST_CANC,Sales_Daily!$S:$S,"&lt;&gt;"&amp;ST_REV,Sales_Daily!$R:$R,$C51))</f>
        <v/>
      </c>
      <c r="K51" s="47">
        <f>IF($J51="","",ROUND($D51-$J51,2))</f>
        <v/>
      </c>
      <c r="L51" s="32">
        <f>IF($J51="","",IF(NOT(ISNUMBER($A51)),"التاريخ ناقص",IF(NOT(COUNTIF(Locations!$A:$A,$B51)&gt;0),"الفرع غير معرف",IF(COUNTIF(Payment_Methods!$A:$A,$C51)=0,"وسيلة الدفع غير معرفة",IF(COUNTIFS(Daily_Recon!$A:$A,$A51,Daily_Recon!$B:$B,$B51,Daily_Recon!$C:$C,$C51)&gt;1,"صف مطابقة مكرر",IF(NOT(ISNUMBER($D51)),"المبلغ الفعلي ناقص",IF(AND(ABS($K51)&gt;S_Tol,$E51=""),"فرق بدون سبب",IF(AND(ABS($K51)&gt;S_Tol,$F51=""),"فرق بدون مسؤول",IF(AND(ABS($K51)&gt;S_Tol,$G51=""),"فرق بدون حالة معالجة",IF(AND($G51="تمت التسوية",ABS($K51)&gt;S_Tol,$H51=""),"التسوية بدون رقم مستند",IF(AND($H51&lt;&gt;"",COUNTIF(Doc_Register!$A:$A,$H51)=0),"مستند التسوية غير موجود","")))))))))))</f>
        <v/>
      </c>
      <c r="M51" s="44">
        <f>IF($J51="","",IF(AND(ABS($K51)&gt;S_Tol,$G51&lt;&gt;"تمت التسوية",$G51&lt;&gt;"مقبول بموافقة الإدارة"),1,0))</f>
        <v/>
      </c>
    </row>
    <row r="52">
      <c r="A52" s="31" t="n"/>
      <c r="B52" s="39" t="n"/>
      <c r="C52" s="39" t="n"/>
      <c r="D52" s="42" t="n"/>
      <c r="E52" s="29" t="n"/>
      <c r="F52" s="29" t="n"/>
      <c r="G52" s="29" t="n"/>
      <c r="H52" s="29" t="n"/>
      <c r="I52" s="29" t="n"/>
      <c r="J52" s="43">
        <f>IF(COUNTA($A52:$I52)=0,"",IF($C52="CASH",SUMIFS(Sales_Daily!$L:$L,Sales_Daily!$B:$B,$A52,Sales_Daily!$C:$C,$B52,Sales_Daily!$S:$S,"&lt;&gt;"&amp;ST_DRAFT,Sales_Daily!$S:$S,"&lt;&gt;"&amp;ST_CANC,Sales_Daily!$S:$S,"&lt;&gt;"&amp;ST_REV),0)+IF($C52="CARD",SUMIFS(Sales_Daily!$M:$M,Sales_Daily!$B:$B,$A52,Sales_Daily!$C:$C,$B52,Sales_Daily!$S:$S,"&lt;&gt;"&amp;ST_DRAFT,Sales_Daily!$S:$S,"&lt;&gt;"&amp;ST_CANC,Sales_Daily!$S:$S,"&lt;&gt;"&amp;ST_REV),0)+IF($C52="TLB",SUMIFS(Sales_Daily!$N:$N,Sales_Daily!$B:$B,$A52,Sales_Daily!$C:$C,$B52,Sales_Daily!$S:$S,"&lt;&gt;"&amp;ST_DRAFT,Sales_Daily!$S:$S,"&lt;&gt;"&amp;ST_CANC,Sales_Daily!$S:$S,"&lt;&gt;"&amp;ST_REV),0)+IF($C52="DLV2",SUMIFS(Sales_Daily!$O:$O,Sales_Daily!$B:$B,$A52,Sales_Daily!$C:$C,$B52,Sales_Daily!$S:$S,"&lt;&gt;"&amp;ST_DRAFT,Sales_Daily!$S:$S,"&lt;&gt;"&amp;ST_CANC,Sales_Daily!$S:$S,"&lt;&gt;"&amp;ST_REV),0)+IF($C52="INSTA",SUMIFS(Sales_Daily!$P:$P,Sales_Daily!$B:$B,$A52,Sales_Daily!$C:$C,$B52,Sales_Daily!$S:$S,"&lt;&gt;"&amp;ST_DRAFT,Sales_Daily!$S:$S,"&lt;&gt;"&amp;ST_CANC,Sales_Daily!$S:$S,"&lt;&gt;"&amp;ST_REV),0)+SUMIFS(Sales_Daily!$Q:$Q,Sales_Daily!$B:$B,$A52,Sales_Daily!$C:$C,$B52,Sales_Daily!$S:$S,"&lt;&gt;"&amp;ST_DRAFT,Sales_Daily!$S:$S,"&lt;&gt;"&amp;ST_CANC,Sales_Daily!$S:$S,"&lt;&gt;"&amp;ST_REV,Sales_Daily!$R:$R,$C52))</f>
        <v/>
      </c>
      <c r="K52" s="47">
        <f>IF($J52="","",ROUND($D52-$J52,2))</f>
        <v/>
      </c>
      <c r="L52" s="32">
        <f>IF($J52="","",IF(NOT(ISNUMBER($A52)),"التاريخ ناقص",IF(NOT(COUNTIF(Locations!$A:$A,$B52)&gt;0),"الفرع غير معرف",IF(COUNTIF(Payment_Methods!$A:$A,$C52)=0,"وسيلة الدفع غير معرفة",IF(COUNTIFS(Daily_Recon!$A:$A,$A52,Daily_Recon!$B:$B,$B52,Daily_Recon!$C:$C,$C52)&gt;1,"صف مطابقة مكرر",IF(NOT(ISNUMBER($D52)),"المبلغ الفعلي ناقص",IF(AND(ABS($K52)&gt;S_Tol,$E52=""),"فرق بدون سبب",IF(AND(ABS($K52)&gt;S_Tol,$F52=""),"فرق بدون مسؤول",IF(AND(ABS($K52)&gt;S_Tol,$G52=""),"فرق بدون حالة معالجة",IF(AND($G52="تمت التسوية",ABS($K52)&gt;S_Tol,$H52=""),"التسوية بدون رقم مستند",IF(AND($H52&lt;&gt;"",COUNTIF(Doc_Register!$A:$A,$H52)=0),"مستند التسوية غير موجود","")))))))))))</f>
        <v/>
      </c>
      <c r="M52" s="44">
        <f>IF($J52="","",IF(AND(ABS($K52)&gt;S_Tol,$G52&lt;&gt;"تمت التسوية",$G52&lt;&gt;"مقبول بموافقة الإدارة"),1,0))</f>
        <v/>
      </c>
    </row>
    <row r="53">
      <c r="A53" s="31" t="n"/>
      <c r="B53" s="39" t="n"/>
      <c r="C53" s="39" t="n"/>
      <c r="D53" s="42" t="n"/>
      <c r="E53" s="29" t="n"/>
      <c r="F53" s="29" t="n"/>
      <c r="G53" s="29" t="n"/>
      <c r="H53" s="29" t="n"/>
      <c r="I53" s="29" t="n"/>
      <c r="J53" s="43">
        <f>IF(COUNTA($A53:$I53)=0,"",IF($C53="CASH",SUMIFS(Sales_Daily!$L:$L,Sales_Daily!$B:$B,$A53,Sales_Daily!$C:$C,$B53,Sales_Daily!$S:$S,"&lt;&gt;"&amp;ST_DRAFT,Sales_Daily!$S:$S,"&lt;&gt;"&amp;ST_CANC,Sales_Daily!$S:$S,"&lt;&gt;"&amp;ST_REV),0)+IF($C53="CARD",SUMIFS(Sales_Daily!$M:$M,Sales_Daily!$B:$B,$A53,Sales_Daily!$C:$C,$B53,Sales_Daily!$S:$S,"&lt;&gt;"&amp;ST_DRAFT,Sales_Daily!$S:$S,"&lt;&gt;"&amp;ST_CANC,Sales_Daily!$S:$S,"&lt;&gt;"&amp;ST_REV),0)+IF($C53="TLB",SUMIFS(Sales_Daily!$N:$N,Sales_Daily!$B:$B,$A53,Sales_Daily!$C:$C,$B53,Sales_Daily!$S:$S,"&lt;&gt;"&amp;ST_DRAFT,Sales_Daily!$S:$S,"&lt;&gt;"&amp;ST_CANC,Sales_Daily!$S:$S,"&lt;&gt;"&amp;ST_REV),0)+IF($C53="DLV2",SUMIFS(Sales_Daily!$O:$O,Sales_Daily!$B:$B,$A53,Sales_Daily!$C:$C,$B53,Sales_Daily!$S:$S,"&lt;&gt;"&amp;ST_DRAFT,Sales_Daily!$S:$S,"&lt;&gt;"&amp;ST_CANC,Sales_Daily!$S:$S,"&lt;&gt;"&amp;ST_REV),0)+IF($C53="INSTA",SUMIFS(Sales_Daily!$P:$P,Sales_Daily!$B:$B,$A53,Sales_Daily!$C:$C,$B53,Sales_Daily!$S:$S,"&lt;&gt;"&amp;ST_DRAFT,Sales_Daily!$S:$S,"&lt;&gt;"&amp;ST_CANC,Sales_Daily!$S:$S,"&lt;&gt;"&amp;ST_REV),0)+SUMIFS(Sales_Daily!$Q:$Q,Sales_Daily!$B:$B,$A53,Sales_Daily!$C:$C,$B53,Sales_Daily!$S:$S,"&lt;&gt;"&amp;ST_DRAFT,Sales_Daily!$S:$S,"&lt;&gt;"&amp;ST_CANC,Sales_Daily!$S:$S,"&lt;&gt;"&amp;ST_REV,Sales_Daily!$R:$R,$C53))</f>
        <v/>
      </c>
      <c r="K53" s="47">
        <f>IF($J53="","",ROUND($D53-$J53,2))</f>
        <v/>
      </c>
      <c r="L53" s="32">
        <f>IF($J53="","",IF(NOT(ISNUMBER($A53)),"التاريخ ناقص",IF(NOT(COUNTIF(Locations!$A:$A,$B53)&gt;0),"الفرع غير معرف",IF(COUNTIF(Payment_Methods!$A:$A,$C53)=0,"وسيلة الدفع غير معرفة",IF(COUNTIFS(Daily_Recon!$A:$A,$A53,Daily_Recon!$B:$B,$B53,Daily_Recon!$C:$C,$C53)&gt;1,"صف مطابقة مكرر",IF(NOT(ISNUMBER($D53)),"المبلغ الفعلي ناقص",IF(AND(ABS($K53)&gt;S_Tol,$E53=""),"فرق بدون سبب",IF(AND(ABS($K53)&gt;S_Tol,$F53=""),"فرق بدون مسؤول",IF(AND(ABS($K53)&gt;S_Tol,$G53=""),"فرق بدون حالة معالجة",IF(AND($G53="تمت التسوية",ABS($K53)&gt;S_Tol,$H53=""),"التسوية بدون رقم مستند",IF(AND($H53&lt;&gt;"",COUNTIF(Doc_Register!$A:$A,$H53)=0),"مستند التسوية غير موجود","")))))))))))</f>
        <v/>
      </c>
      <c r="M53" s="44">
        <f>IF($J53="","",IF(AND(ABS($K53)&gt;S_Tol,$G53&lt;&gt;"تمت التسوية",$G53&lt;&gt;"مقبول بموافقة الإدارة"),1,0))</f>
        <v/>
      </c>
    </row>
    <row r="54">
      <c r="A54" s="31" t="n"/>
      <c r="B54" s="39" t="n"/>
      <c r="C54" s="39" t="n"/>
      <c r="D54" s="42" t="n"/>
      <c r="E54" s="29" t="n"/>
      <c r="F54" s="29" t="n"/>
      <c r="G54" s="29" t="n"/>
      <c r="H54" s="29" t="n"/>
      <c r="I54" s="29" t="n"/>
      <c r="J54" s="43">
        <f>IF(COUNTA($A54:$I54)=0,"",IF($C54="CASH",SUMIFS(Sales_Daily!$L:$L,Sales_Daily!$B:$B,$A54,Sales_Daily!$C:$C,$B54,Sales_Daily!$S:$S,"&lt;&gt;"&amp;ST_DRAFT,Sales_Daily!$S:$S,"&lt;&gt;"&amp;ST_CANC,Sales_Daily!$S:$S,"&lt;&gt;"&amp;ST_REV),0)+IF($C54="CARD",SUMIFS(Sales_Daily!$M:$M,Sales_Daily!$B:$B,$A54,Sales_Daily!$C:$C,$B54,Sales_Daily!$S:$S,"&lt;&gt;"&amp;ST_DRAFT,Sales_Daily!$S:$S,"&lt;&gt;"&amp;ST_CANC,Sales_Daily!$S:$S,"&lt;&gt;"&amp;ST_REV),0)+IF($C54="TLB",SUMIFS(Sales_Daily!$N:$N,Sales_Daily!$B:$B,$A54,Sales_Daily!$C:$C,$B54,Sales_Daily!$S:$S,"&lt;&gt;"&amp;ST_DRAFT,Sales_Daily!$S:$S,"&lt;&gt;"&amp;ST_CANC,Sales_Daily!$S:$S,"&lt;&gt;"&amp;ST_REV),0)+IF($C54="DLV2",SUMIFS(Sales_Daily!$O:$O,Sales_Daily!$B:$B,$A54,Sales_Daily!$C:$C,$B54,Sales_Daily!$S:$S,"&lt;&gt;"&amp;ST_DRAFT,Sales_Daily!$S:$S,"&lt;&gt;"&amp;ST_CANC,Sales_Daily!$S:$S,"&lt;&gt;"&amp;ST_REV),0)+IF($C54="INSTA",SUMIFS(Sales_Daily!$P:$P,Sales_Daily!$B:$B,$A54,Sales_Daily!$C:$C,$B54,Sales_Daily!$S:$S,"&lt;&gt;"&amp;ST_DRAFT,Sales_Daily!$S:$S,"&lt;&gt;"&amp;ST_CANC,Sales_Daily!$S:$S,"&lt;&gt;"&amp;ST_REV),0)+SUMIFS(Sales_Daily!$Q:$Q,Sales_Daily!$B:$B,$A54,Sales_Daily!$C:$C,$B54,Sales_Daily!$S:$S,"&lt;&gt;"&amp;ST_DRAFT,Sales_Daily!$S:$S,"&lt;&gt;"&amp;ST_CANC,Sales_Daily!$S:$S,"&lt;&gt;"&amp;ST_REV,Sales_Daily!$R:$R,$C54))</f>
        <v/>
      </c>
      <c r="K54" s="47">
        <f>IF($J54="","",ROUND($D54-$J54,2))</f>
        <v/>
      </c>
      <c r="L54" s="32">
        <f>IF($J54="","",IF(NOT(ISNUMBER($A54)),"التاريخ ناقص",IF(NOT(COUNTIF(Locations!$A:$A,$B54)&gt;0),"الفرع غير معرف",IF(COUNTIF(Payment_Methods!$A:$A,$C54)=0,"وسيلة الدفع غير معرفة",IF(COUNTIFS(Daily_Recon!$A:$A,$A54,Daily_Recon!$B:$B,$B54,Daily_Recon!$C:$C,$C54)&gt;1,"صف مطابقة مكرر",IF(NOT(ISNUMBER($D54)),"المبلغ الفعلي ناقص",IF(AND(ABS($K54)&gt;S_Tol,$E54=""),"فرق بدون سبب",IF(AND(ABS($K54)&gt;S_Tol,$F54=""),"فرق بدون مسؤول",IF(AND(ABS($K54)&gt;S_Tol,$G54=""),"فرق بدون حالة معالجة",IF(AND($G54="تمت التسوية",ABS($K54)&gt;S_Tol,$H54=""),"التسوية بدون رقم مستند",IF(AND($H54&lt;&gt;"",COUNTIF(Doc_Register!$A:$A,$H54)=0),"مستند التسوية غير موجود","")))))))))))</f>
        <v/>
      </c>
      <c r="M54" s="44">
        <f>IF($J54="","",IF(AND(ABS($K54)&gt;S_Tol,$G54&lt;&gt;"تمت التسوية",$G54&lt;&gt;"مقبول بموافقة الإدارة"),1,0))</f>
        <v/>
      </c>
    </row>
    <row r="55">
      <c r="A55" s="31" t="n"/>
      <c r="B55" s="39" t="n"/>
      <c r="C55" s="39" t="n"/>
      <c r="D55" s="42" t="n"/>
      <c r="E55" s="29" t="n"/>
      <c r="F55" s="29" t="n"/>
      <c r="G55" s="29" t="n"/>
      <c r="H55" s="29" t="n"/>
      <c r="I55" s="29" t="n"/>
      <c r="J55" s="43">
        <f>IF(COUNTA($A55:$I55)=0,"",IF($C55="CASH",SUMIFS(Sales_Daily!$L:$L,Sales_Daily!$B:$B,$A55,Sales_Daily!$C:$C,$B55,Sales_Daily!$S:$S,"&lt;&gt;"&amp;ST_DRAFT,Sales_Daily!$S:$S,"&lt;&gt;"&amp;ST_CANC,Sales_Daily!$S:$S,"&lt;&gt;"&amp;ST_REV),0)+IF($C55="CARD",SUMIFS(Sales_Daily!$M:$M,Sales_Daily!$B:$B,$A55,Sales_Daily!$C:$C,$B55,Sales_Daily!$S:$S,"&lt;&gt;"&amp;ST_DRAFT,Sales_Daily!$S:$S,"&lt;&gt;"&amp;ST_CANC,Sales_Daily!$S:$S,"&lt;&gt;"&amp;ST_REV),0)+IF($C55="TLB",SUMIFS(Sales_Daily!$N:$N,Sales_Daily!$B:$B,$A55,Sales_Daily!$C:$C,$B55,Sales_Daily!$S:$S,"&lt;&gt;"&amp;ST_DRAFT,Sales_Daily!$S:$S,"&lt;&gt;"&amp;ST_CANC,Sales_Daily!$S:$S,"&lt;&gt;"&amp;ST_REV),0)+IF($C55="DLV2",SUMIFS(Sales_Daily!$O:$O,Sales_Daily!$B:$B,$A55,Sales_Daily!$C:$C,$B55,Sales_Daily!$S:$S,"&lt;&gt;"&amp;ST_DRAFT,Sales_Daily!$S:$S,"&lt;&gt;"&amp;ST_CANC,Sales_Daily!$S:$S,"&lt;&gt;"&amp;ST_REV),0)+IF($C55="INSTA",SUMIFS(Sales_Daily!$P:$P,Sales_Daily!$B:$B,$A55,Sales_Daily!$C:$C,$B55,Sales_Daily!$S:$S,"&lt;&gt;"&amp;ST_DRAFT,Sales_Daily!$S:$S,"&lt;&gt;"&amp;ST_CANC,Sales_Daily!$S:$S,"&lt;&gt;"&amp;ST_REV),0)+SUMIFS(Sales_Daily!$Q:$Q,Sales_Daily!$B:$B,$A55,Sales_Daily!$C:$C,$B55,Sales_Daily!$S:$S,"&lt;&gt;"&amp;ST_DRAFT,Sales_Daily!$S:$S,"&lt;&gt;"&amp;ST_CANC,Sales_Daily!$S:$S,"&lt;&gt;"&amp;ST_REV,Sales_Daily!$R:$R,$C55))</f>
        <v/>
      </c>
      <c r="K55" s="47">
        <f>IF($J55="","",ROUND($D55-$J55,2))</f>
        <v/>
      </c>
      <c r="L55" s="32">
        <f>IF($J55="","",IF(NOT(ISNUMBER($A55)),"التاريخ ناقص",IF(NOT(COUNTIF(Locations!$A:$A,$B55)&gt;0),"الفرع غير معرف",IF(COUNTIF(Payment_Methods!$A:$A,$C55)=0,"وسيلة الدفع غير معرفة",IF(COUNTIFS(Daily_Recon!$A:$A,$A55,Daily_Recon!$B:$B,$B55,Daily_Recon!$C:$C,$C55)&gt;1,"صف مطابقة مكرر",IF(NOT(ISNUMBER($D55)),"المبلغ الفعلي ناقص",IF(AND(ABS($K55)&gt;S_Tol,$E55=""),"فرق بدون سبب",IF(AND(ABS($K55)&gt;S_Tol,$F55=""),"فرق بدون مسؤول",IF(AND(ABS($K55)&gt;S_Tol,$G55=""),"فرق بدون حالة معالجة",IF(AND($G55="تمت التسوية",ABS($K55)&gt;S_Tol,$H55=""),"التسوية بدون رقم مستند",IF(AND($H55&lt;&gt;"",COUNTIF(Doc_Register!$A:$A,$H55)=0),"مستند التسوية غير موجود","")))))))))))</f>
        <v/>
      </c>
      <c r="M55" s="44">
        <f>IF($J55="","",IF(AND(ABS($K55)&gt;S_Tol,$G55&lt;&gt;"تمت التسوية",$G55&lt;&gt;"مقبول بموافقة الإدارة"),1,0))</f>
        <v/>
      </c>
    </row>
    <row r="56">
      <c r="A56" s="31" t="n"/>
      <c r="B56" s="39" t="n"/>
      <c r="C56" s="39" t="n"/>
      <c r="D56" s="42" t="n"/>
      <c r="E56" s="29" t="n"/>
      <c r="F56" s="29" t="n"/>
      <c r="G56" s="29" t="n"/>
      <c r="H56" s="29" t="n"/>
      <c r="I56" s="29" t="n"/>
      <c r="J56" s="43">
        <f>IF(COUNTA($A56:$I56)=0,"",IF($C56="CASH",SUMIFS(Sales_Daily!$L:$L,Sales_Daily!$B:$B,$A56,Sales_Daily!$C:$C,$B56,Sales_Daily!$S:$S,"&lt;&gt;"&amp;ST_DRAFT,Sales_Daily!$S:$S,"&lt;&gt;"&amp;ST_CANC,Sales_Daily!$S:$S,"&lt;&gt;"&amp;ST_REV),0)+IF($C56="CARD",SUMIFS(Sales_Daily!$M:$M,Sales_Daily!$B:$B,$A56,Sales_Daily!$C:$C,$B56,Sales_Daily!$S:$S,"&lt;&gt;"&amp;ST_DRAFT,Sales_Daily!$S:$S,"&lt;&gt;"&amp;ST_CANC,Sales_Daily!$S:$S,"&lt;&gt;"&amp;ST_REV),0)+IF($C56="TLB",SUMIFS(Sales_Daily!$N:$N,Sales_Daily!$B:$B,$A56,Sales_Daily!$C:$C,$B56,Sales_Daily!$S:$S,"&lt;&gt;"&amp;ST_DRAFT,Sales_Daily!$S:$S,"&lt;&gt;"&amp;ST_CANC,Sales_Daily!$S:$S,"&lt;&gt;"&amp;ST_REV),0)+IF($C56="DLV2",SUMIFS(Sales_Daily!$O:$O,Sales_Daily!$B:$B,$A56,Sales_Daily!$C:$C,$B56,Sales_Daily!$S:$S,"&lt;&gt;"&amp;ST_DRAFT,Sales_Daily!$S:$S,"&lt;&gt;"&amp;ST_CANC,Sales_Daily!$S:$S,"&lt;&gt;"&amp;ST_REV),0)+IF($C56="INSTA",SUMIFS(Sales_Daily!$P:$P,Sales_Daily!$B:$B,$A56,Sales_Daily!$C:$C,$B56,Sales_Daily!$S:$S,"&lt;&gt;"&amp;ST_DRAFT,Sales_Daily!$S:$S,"&lt;&gt;"&amp;ST_CANC,Sales_Daily!$S:$S,"&lt;&gt;"&amp;ST_REV),0)+SUMIFS(Sales_Daily!$Q:$Q,Sales_Daily!$B:$B,$A56,Sales_Daily!$C:$C,$B56,Sales_Daily!$S:$S,"&lt;&gt;"&amp;ST_DRAFT,Sales_Daily!$S:$S,"&lt;&gt;"&amp;ST_CANC,Sales_Daily!$S:$S,"&lt;&gt;"&amp;ST_REV,Sales_Daily!$R:$R,$C56))</f>
        <v/>
      </c>
      <c r="K56" s="47">
        <f>IF($J56="","",ROUND($D56-$J56,2))</f>
        <v/>
      </c>
      <c r="L56" s="32">
        <f>IF($J56="","",IF(NOT(ISNUMBER($A56)),"التاريخ ناقص",IF(NOT(COUNTIF(Locations!$A:$A,$B56)&gt;0),"الفرع غير معرف",IF(COUNTIF(Payment_Methods!$A:$A,$C56)=0,"وسيلة الدفع غير معرفة",IF(COUNTIFS(Daily_Recon!$A:$A,$A56,Daily_Recon!$B:$B,$B56,Daily_Recon!$C:$C,$C56)&gt;1,"صف مطابقة مكرر",IF(NOT(ISNUMBER($D56)),"المبلغ الفعلي ناقص",IF(AND(ABS($K56)&gt;S_Tol,$E56=""),"فرق بدون سبب",IF(AND(ABS($K56)&gt;S_Tol,$F56=""),"فرق بدون مسؤول",IF(AND(ABS($K56)&gt;S_Tol,$G56=""),"فرق بدون حالة معالجة",IF(AND($G56="تمت التسوية",ABS($K56)&gt;S_Tol,$H56=""),"التسوية بدون رقم مستند",IF(AND($H56&lt;&gt;"",COUNTIF(Doc_Register!$A:$A,$H56)=0),"مستند التسوية غير موجود","")))))))))))</f>
        <v/>
      </c>
      <c r="M56" s="44">
        <f>IF($J56="","",IF(AND(ABS($K56)&gt;S_Tol,$G56&lt;&gt;"تمت التسوية",$G56&lt;&gt;"مقبول بموافقة الإدارة"),1,0))</f>
        <v/>
      </c>
    </row>
    <row r="57">
      <c r="A57" s="31" t="n"/>
      <c r="B57" s="39" t="n"/>
      <c r="C57" s="39" t="n"/>
      <c r="D57" s="42" t="n"/>
      <c r="E57" s="29" t="n"/>
      <c r="F57" s="29" t="n"/>
      <c r="G57" s="29" t="n"/>
      <c r="H57" s="29" t="n"/>
      <c r="I57" s="29" t="n"/>
      <c r="J57" s="43">
        <f>IF(COUNTA($A57:$I57)=0,"",IF($C57="CASH",SUMIFS(Sales_Daily!$L:$L,Sales_Daily!$B:$B,$A57,Sales_Daily!$C:$C,$B57,Sales_Daily!$S:$S,"&lt;&gt;"&amp;ST_DRAFT,Sales_Daily!$S:$S,"&lt;&gt;"&amp;ST_CANC,Sales_Daily!$S:$S,"&lt;&gt;"&amp;ST_REV),0)+IF($C57="CARD",SUMIFS(Sales_Daily!$M:$M,Sales_Daily!$B:$B,$A57,Sales_Daily!$C:$C,$B57,Sales_Daily!$S:$S,"&lt;&gt;"&amp;ST_DRAFT,Sales_Daily!$S:$S,"&lt;&gt;"&amp;ST_CANC,Sales_Daily!$S:$S,"&lt;&gt;"&amp;ST_REV),0)+IF($C57="TLB",SUMIFS(Sales_Daily!$N:$N,Sales_Daily!$B:$B,$A57,Sales_Daily!$C:$C,$B57,Sales_Daily!$S:$S,"&lt;&gt;"&amp;ST_DRAFT,Sales_Daily!$S:$S,"&lt;&gt;"&amp;ST_CANC,Sales_Daily!$S:$S,"&lt;&gt;"&amp;ST_REV),0)+IF($C57="DLV2",SUMIFS(Sales_Daily!$O:$O,Sales_Daily!$B:$B,$A57,Sales_Daily!$C:$C,$B57,Sales_Daily!$S:$S,"&lt;&gt;"&amp;ST_DRAFT,Sales_Daily!$S:$S,"&lt;&gt;"&amp;ST_CANC,Sales_Daily!$S:$S,"&lt;&gt;"&amp;ST_REV),0)+IF($C57="INSTA",SUMIFS(Sales_Daily!$P:$P,Sales_Daily!$B:$B,$A57,Sales_Daily!$C:$C,$B57,Sales_Daily!$S:$S,"&lt;&gt;"&amp;ST_DRAFT,Sales_Daily!$S:$S,"&lt;&gt;"&amp;ST_CANC,Sales_Daily!$S:$S,"&lt;&gt;"&amp;ST_REV),0)+SUMIFS(Sales_Daily!$Q:$Q,Sales_Daily!$B:$B,$A57,Sales_Daily!$C:$C,$B57,Sales_Daily!$S:$S,"&lt;&gt;"&amp;ST_DRAFT,Sales_Daily!$S:$S,"&lt;&gt;"&amp;ST_CANC,Sales_Daily!$S:$S,"&lt;&gt;"&amp;ST_REV,Sales_Daily!$R:$R,$C57))</f>
        <v/>
      </c>
      <c r="K57" s="47">
        <f>IF($J57="","",ROUND($D57-$J57,2))</f>
        <v/>
      </c>
      <c r="L57" s="32">
        <f>IF($J57="","",IF(NOT(ISNUMBER($A57)),"التاريخ ناقص",IF(NOT(COUNTIF(Locations!$A:$A,$B57)&gt;0),"الفرع غير معرف",IF(COUNTIF(Payment_Methods!$A:$A,$C57)=0,"وسيلة الدفع غير معرفة",IF(COUNTIFS(Daily_Recon!$A:$A,$A57,Daily_Recon!$B:$B,$B57,Daily_Recon!$C:$C,$C57)&gt;1,"صف مطابقة مكرر",IF(NOT(ISNUMBER($D57)),"المبلغ الفعلي ناقص",IF(AND(ABS($K57)&gt;S_Tol,$E57=""),"فرق بدون سبب",IF(AND(ABS($K57)&gt;S_Tol,$F57=""),"فرق بدون مسؤول",IF(AND(ABS($K57)&gt;S_Tol,$G57=""),"فرق بدون حالة معالجة",IF(AND($G57="تمت التسوية",ABS($K57)&gt;S_Tol,$H57=""),"التسوية بدون رقم مستند",IF(AND($H57&lt;&gt;"",COUNTIF(Doc_Register!$A:$A,$H57)=0),"مستند التسوية غير موجود","")))))))))))</f>
        <v/>
      </c>
      <c r="M57" s="44">
        <f>IF($J57="","",IF(AND(ABS($K57)&gt;S_Tol,$G57&lt;&gt;"تمت التسوية",$G57&lt;&gt;"مقبول بموافقة الإدارة"),1,0))</f>
        <v/>
      </c>
    </row>
    <row r="58">
      <c r="A58" s="31" t="n"/>
      <c r="B58" s="39" t="n"/>
      <c r="C58" s="39" t="n"/>
      <c r="D58" s="42" t="n"/>
      <c r="E58" s="29" t="n"/>
      <c r="F58" s="29" t="n"/>
      <c r="G58" s="29" t="n"/>
      <c r="H58" s="29" t="n"/>
      <c r="I58" s="29" t="n"/>
      <c r="J58" s="43">
        <f>IF(COUNTA($A58:$I58)=0,"",IF($C58="CASH",SUMIFS(Sales_Daily!$L:$L,Sales_Daily!$B:$B,$A58,Sales_Daily!$C:$C,$B58,Sales_Daily!$S:$S,"&lt;&gt;"&amp;ST_DRAFT,Sales_Daily!$S:$S,"&lt;&gt;"&amp;ST_CANC,Sales_Daily!$S:$S,"&lt;&gt;"&amp;ST_REV),0)+IF($C58="CARD",SUMIFS(Sales_Daily!$M:$M,Sales_Daily!$B:$B,$A58,Sales_Daily!$C:$C,$B58,Sales_Daily!$S:$S,"&lt;&gt;"&amp;ST_DRAFT,Sales_Daily!$S:$S,"&lt;&gt;"&amp;ST_CANC,Sales_Daily!$S:$S,"&lt;&gt;"&amp;ST_REV),0)+IF($C58="TLB",SUMIFS(Sales_Daily!$N:$N,Sales_Daily!$B:$B,$A58,Sales_Daily!$C:$C,$B58,Sales_Daily!$S:$S,"&lt;&gt;"&amp;ST_DRAFT,Sales_Daily!$S:$S,"&lt;&gt;"&amp;ST_CANC,Sales_Daily!$S:$S,"&lt;&gt;"&amp;ST_REV),0)+IF($C58="DLV2",SUMIFS(Sales_Daily!$O:$O,Sales_Daily!$B:$B,$A58,Sales_Daily!$C:$C,$B58,Sales_Daily!$S:$S,"&lt;&gt;"&amp;ST_DRAFT,Sales_Daily!$S:$S,"&lt;&gt;"&amp;ST_CANC,Sales_Daily!$S:$S,"&lt;&gt;"&amp;ST_REV),0)+IF($C58="INSTA",SUMIFS(Sales_Daily!$P:$P,Sales_Daily!$B:$B,$A58,Sales_Daily!$C:$C,$B58,Sales_Daily!$S:$S,"&lt;&gt;"&amp;ST_DRAFT,Sales_Daily!$S:$S,"&lt;&gt;"&amp;ST_CANC,Sales_Daily!$S:$S,"&lt;&gt;"&amp;ST_REV),0)+SUMIFS(Sales_Daily!$Q:$Q,Sales_Daily!$B:$B,$A58,Sales_Daily!$C:$C,$B58,Sales_Daily!$S:$S,"&lt;&gt;"&amp;ST_DRAFT,Sales_Daily!$S:$S,"&lt;&gt;"&amp;ST_CANC,Sales_Daily!$S:$S,"&lt;&gt;"&amp;ST_REV,Sales_Daily!$R:$R,$C58))</f>
        <v/>
      </c>
      <c r="K58" s="47">
        <f>IF($J58="","",ROUND($D58-$J58,2))</f>
        <v/>
      </c>
      <c r="L58" s="32">
        <f>IF($J58="","",IF(NOT(ISNUMBER($A58)),"التاريخ ناقص",IF(NOT(COUNTIF(Locations!$A:$A,$B58)&gt;0),"الفرع غير معرف",IF(COUNTIF(Payment_Methods!$A:$A,$C58)=0,"وسيلة الدفع غير معرفة",IF(COUNTIFS(Daily_Recon!$A:$A,$A58,Daily_Recon!$B:$B,$B58,Daily_Recon!$C:$C,$C58)&gt;1,"صف مطابقة مكرر",IF(NOT(ISNUMBER($D58)),"المبلغ الفعلي ناقص",IF(AND(ABS($K58)&gt;S_Tol,$E58=""),"فرق بدون سبب",IF(AND(ABS($K58)&gt;S_Tol,$F58=""),"فرق بدون مسؤول",IF(AND(ABS($K58)&gt;S_Tol,$G58=""),"فرق بدون حالة معالجة",IF(AND($G58="تمت التسوية",ABS($K58)&gt;S_Tol,$H58=""),"التسوية بدون رقم مستند",IF(AND($H58&lt;&gt;"",COUNTIF(Doc_Register!$A:$A,$H58)=0),"مستند التسوية غير موجود","")))))))))))</f>
        <v/>
      </c>
      <c r="M58" s="44">
        <f>IF($J58="","",IF(AND(ABS($K58)&gt;S_Tol,$G58&lt;&gt;"تمت التسوية",$G58&lt;&gt;"مقبول بموافقة الإدارة"),1,0))</f>
        <v/>
      </c>
    </row>
    <row r="59">
      <c r="A59" s="31" t="n"/>
      <c r="B59" s="39" t="n"/>
      <c r="C59" s="39" t="n"/>
      <c r="D59" s="42" t="n"/>
      <c r="E59" s="29" t="n"/>
      <c r="F59" s="29" t="n"/>
      <c r="G59" s="29" t="n"/>
      <c r="H59" s="29" t="n"/>
      <c r="I59" s="29" t="n"/>
      <c r="J59" s="43">
        <f>IF(COUNTA($A59:$I59)=0,"",IF($C59="CASH",SUMIFS(Sales_Daily!$L:$L,Sales_Daily!$B:$B,$A59,Sales_Daily!$C:$C,$B59,Sales_Daily!$S:$S,"&lt;&gt;"&amp;ST_DRAFT,Sales_Daily!$S:$S,"&lt;&gt;"&amp;ST_CANC,Sales_Daily!$S:$S,"&lt;&gt;"&amp;ST_REV),0)+IF($C59="CARD",SUMIFS(Sales_Daily!$M:$M,Sales_Daily!$B:$B,$A59,Sales_Daily!$C:$C,$B59,Sales_Daily!$S:$S,"&lt;&gt;"&amp;ST_DRAFT,Sales_Daily!$S:$S,"&lt;&gt;"&amp;ST_CANC,Sales_Daily!$S:$S,"&lt;&gt;"&amp;ST_REV),0)+IF($C59="TLB",SUMIFS(Sales_Daily!$N:$N,Sales_Daily!$B:$B,$A59,Sales_Daily!$C:$C,$B59,Sales_Daily!$S:$S,"&lt;&gt;"&amp;ST_DRAFT,Sales_Daily!$S:$S,"&lt;&gt;"&amp;ST_CANC,Sales_Daily!$S:$S,"&lt;&gt;"&amp;ST_REV),0)+IF($C59="DLV2",SUMIFS(Sales_Daily!$O:$O,Sales_Daily!$B:$B,$A59,Sales_Daily!$C:$C,$B59,Sales_Daily!$S:$S,"&lt;&gt;"&amp;ST_DRAFT,Sales_Daily!$S:$S,"&lt;&gt;"&amp;ST_CANC,Sales_Daily!$S:$S,"&lt;&gt;"&amp;ST_REV),0)+IF($C59="INSTA",SUMIFS(Sales_Daily!$P:$P,Sales_Daily!$B:$B,$A59,Sales_Daily!$C:$C,$B59,Sales_Daily!$S:$S,"&lt;&gt;"&amp;ST_DRAFT,Sales_Daily!$S:$S,"&lt;&gt;"&amp;ST_CANC,Sales_Daily!$S:$S,"&lt;&gt;"&amp;ST_REV),0)+SUMIFS(Sales_Daily!$Q:$Q,Sales_Daily!$B:$B,$A59,Sales_Daily!$C:$C,$B59,Sales_Daily!$S:$S,"&lt;&gt;"&amp;ST_DRAFT,Sales_Daily!$S:$S,"&lt;&gt;"&amp;ST_CANC,Sales_Daily!$S:$S,"&lt;&gt;"&amp;ST_REV,Sales_Daily!$R:$R,$C59))</f>
        <v/>
      </c>
      <c r="K59" s="47">
        <f>IF($J59="","",ROUND($D59-$J59,2))</f>
        <v/>
      </c>
      <c r="L59" s="32">
        <f>IF($J59="","",IF(NOT(ISNUMBER($A59)),"التاريخ ناقص",IF(NOT(COUNTIF(Locations!$A:$A,$B59)&gt;0),"الفرع غير معرف",IF(COUNTIF(Payment_Methods!$A:$A,$C59)=0,"وسيلة الدفع غير معرفة",IF(COUNTIFS(Daily_Recon!$A:$A,$A59,Daily_Recon!$B:$B,$B59,Daily_Recon!$C:$C,$C59)&gt;1,"صف مطابقة مكرر",IF(NOT(ISNUMBER($D59)),"المبلغ الفعلي ناقص",IF(AND(ABS($K59)&gt;S_Tol,$E59=""),"فرق بدون سبب",IF(AND(ABS($K59)&gt;S_Tol,$F59=""),"فرق بدون مسؤول",IF(AND(ABS($K59)&gt;S_Tol,$G59=""),"فرق بدون حالة معالجة",IF(AND($G59="تمت التسوية",ABS($K59)&gt;S_Tol,$H59=""),"التسوية بدون رقم مستند",IF(AND($H59&lt;&gt;"",COUNTIF(Doc_Register!$A:$A,$H59)=0),"مستند التسوية غير موجود","")))))))))))</f>
        <v/>
      </c>
      <c r="M59" s="44">
        <f>IF($J59="","",IF(AND(ABS($K59)&gt;S_Tol,$G59&lt;&gt;"تمت التسوية",$G59&lt;&gt;"مقبول بموافقة الإدارة"),1,0))</f>
        <v/>
      </c>
    </row>
    <row r="60">
      <c r="A60" s="31" t="n"/>
      <c r="B60" s="39" t="n"/>
      <c r="C60" s="39" t="n"/>
      <c r="D60" s="42" t="n"/>
      <c r="E60" s="29" t="n"/>
      <c r="F60" s="29" t="n"/>
      <c r="G60" s="29" t="n"/>
      <c r="H60" s="29" t="n"/>
      <c r="I60" s="29" t="n"/>
      <c r="J60" s="43">
        <f>IF(COUNTA($A60:$I60)=0,"",IF($C60="CASH",SUMIFS(Sales_Daily!$L:$L,Sales_Daily!$B:$B,$A60,Sales_Daily!$C:$C,$B60,Sales_Daily!$S:$S,"&lt;&gt;"&amp;ST_DRAFT,Sales_Daily!$S:$S,"&lt;&gt;"&amp;ST_CANC,Sales_Daily!$S:$S,"&lt;&gt;"&amp;ST_REV),0)+IF($C60="CARD",SUMIFS(Sales_Daily!$M:$M,Sales_Daily!$B:$B,$A60,Sales_Daily!$C:$C,$B60,Sales_Daily!$S:$S,"&lt;&gt;"&amp;ST_DRAFT,Sales_Daily!$S:$S,"&lt;&gt;"&amp;ST_CANC,Sales_Daily!$S:$S,"&lt;&gt;"&amp;ST_REV),0)+IF($C60="TLB",SUMIFS(Sales_Daily!$N:$N,Sales_Daily!$B:$B,$A60,Sales_Daily!$C:$C,$B60,Sales_Daily!$S:$S,"&lt;&gt;"&amp;ST_DRAFT,Sales_Daily!$S:$S,"&lt;&gt;"&amp;ST_CANC,Sales_Daily!$S:$S,"&lt;&gt;"&amp;ST_REV),0)+IF($C60="DLV2",SUMIFS(Sales_Daily!$O:$O,Sales_Daily!$B:$B,$A60,Sales_Daily!$C:$C,$B60,Sales_Daily!$S:$S,"&lt;&gt;"&amp;ST_DRAFT,Sales_Daily!$S:$S,"&lt;&gt;"&amp;ST_CANC,Sales_Daily!$S:$S,"&lt;&gt;"&amp;ST_REV),0)+IF($C60="INSTA",SUMIFS(Sales_Daily!$P:$P,Sales_Daily!$B:$B,$A60,Sales_Daily!$C:$C,$B60,Sales_Daily!$S:$S,"&lt;&gt;"&amp;ST_DRAFT,Sales_Daily!$S:$S,"&lt;&gt;"&amp;ST_CANC,Sales_Daily!$S:$S,"&lt;&gt;"&amp;ST_REV),0)+SUMIFS(Sales_Daily!$Q:$Q,Sales_Daily!$B:$B,$A60,Sales_Daily!$C:$C,$B60,Sales_Daily!$S:$S,"&lt;&gt;"&amp;ST_DRAFT,Sales_Daily!$S:$S,"&lt;&gt;"&amp;ST_CANC,Sales_Daily!$S:$S,"&lt;&gt;"&amp;ST_REV,Sales_Daily!$R:$R,$C60))</f>
        <v/>
      </c>
      <c r="K60" s="47">
        <f>IF($J60="","",ROUND($D60-$J60,2))</f>
        <v/>
      </c>
      <c r="L60" s="32">
        <f>IF($J60="","",IF(NOT(ISNUMBER($A60)),"التاريخ ناقص",IF(NOT(COUNTIF(Locations!$A:$A,$B60)&gt;0),"الفرع غير معرف",IF(COUNTIF(Payment_Methods!$A:$A,$C60)=0,"وسيلة الدفع غير معرفة",IF(COUNTIFS(Daily_Recon!$A:$A,$A60,Daily_Recon!$B:$B,$B60,Daily_Recon!$C:$C,$C60)&gt;1,"صف مطابقة مكرر",IF(NOT(ISNUMBER($D60)),"المبلغ الفعلي ناقص",IF(AND(ABS($K60)&gt;S_Tol,$E60=""),"فرق بدون سبب",IF(AND(ABS($K60)&gt;S_Tol,$F60=""),"فرق بدون مسؤول",IF(AND(ABS($K60)&gt;S_Tol,$G60=""),"فرق بدون حالة معالجة",IF(AND($G60="تمت التسوية",ABS($K60)&gt;S_Tol,$H60=""),"التسوية بدون رقم مستند",IF(AND($H60&lt;&gt;"",COUNTIF(Doc_Register!$A:$A,$H60)=0),"مستند التسوية غير موجود","")))))))))))</f>
        <v/>
      </c>
      <c r="M60" s="44">
        <f>IF($J60="","",IF(AND(ABS($K60)&gt;S_Tol,$G60&lt;&gt;"تمت التسوية",$G60&lt;&gt;"مقبول بموافقة الإدارة"),1,0))</f>
        <v/>
      </c>
    </row>
    <row r="61">
      <c r="A61" s="31" t="n"/>
      <c r="B61" s="39" t="n"/>
      <c r="C61" s="39" t="n"/>
      <c r="D61" s="42" t="n"/>
      <c r="E61" s="29" t="n"/>
      <c r="F61" s="29" t="n"/>
      <c r="G61" s="29" t="n"/>
      <c r="H61" s="29" t="n"/>
      <c r="I61" s="29" t="n"/>
      <c r="J61" s="43">
        <f>IF(COUNTA($A61:$I61)=0,"",IF($C61="CASH",SUMIFS(Sales_Daily!$L:$L,Sales_Daily!$B:$B,$A61,Sales_Daily!$C:$C,$B61,Sales_Daily!$S:$S,"&lt;&gt;"&amp;ST_DRAFT,Sales_Daily!$S:$S,"&lt;&gt;"&amp;ST_CANC,Sales_Daily!$S:$S,"&lt;&gt;"&amp;ST_REV),0)+IF($C61="CARD",SUMIFS(Sales_Daily!$M:$M,Sales_Daily!$B:$B,$A61,Sales_Daily!$C:$C,$B61,Sales_Daily!$S:$S,"&lt;&gt;"&amp;ST_DRAFT,Sales_Daily!$S:$S,"&lt;&gt;"&amp;ST_CANC,Sales_Daily!$S:$S,"&lt;&gt;"&amp;ST_REV),0)+IF($C61="TLB",SUMIFS(Sales_Daily!$N:$N,Sales_Daily!$B:$B,$A61,Sales_Daily!$C:$C,$B61,Sales_Daily!$S:$S,"&lt;&gt;"&amp;ST_DRAFT,Sales_Daily!$S:$S,"&lt;&gt;"&amp;ST_CANC,Sales_Daily!$S:$S,"&lt;&gt;"&amp;ST_REV),0)+IF($C61="DLV2",SUMIFS(Sales_Daily!$O:$O,Sales_Daily!$B:$B,$A61,Sales_Daily!$C:$C,$B61,Sales_Daily!$S:$S,"&lt;&gt;"&amp;ST_DRAFT,Sales_Daily!$S:$S,"&lt;&gt;"&amp;ST_CANC,Sales_Daily!$S:$S,"&lt;&gt;"&amp;ST_REV),0)+IF($C61="INSTA",SUMIFS(Sales_Daily!$P:$P,Sales_Daily!$B:$B,$A61,Sales_Daily!$C:$C,$B61,Sales_Daily!$S:$S,"&lt;&gt;"&amp;ST_DRAFT,Sales_Daily!$S:$S,"&lt;&gt;"&amp;ST_CANC,Sales_Daily!$S:$S,"&lt;&gt;"&amp;ST_REV),0)+SUMIFS(Sales_Daily!$Q:$Q,Sales_Daily!$B:$B,$A61,Sales_Daily!$C:$C,$B61,Sales_Daily!$S:$S,"&lt;&gt;"&amp;ST_DRAFT,Sales_Daily!$S:$S,"&lt;&gt;"&amp;ST_CANC,Sales_Daily!$S:$S,"&lt;&gt;"&amp;ST_REV,Sales_Daily!$R:$R,$C61))</f>
        <v/>
      </c>
      <c r="K61" s="47">
        <f>IF($J61="","",ROUND($D61-$J61,2))</f>
        <v/>
      </c>
      <c r="L61" s="32">
        <f>IF($J61="","",IF(NOT(ISNUMBER($A61)),"التاريخ ناقص",IF(NOT(COUNTIF(Locations!$A:$A,$B61)&gt;0),"الفرع غير معرف",IF(COUNTIF(Payment_Methods!$A:$A,$C61)=0,"وسيلة الدفع غير معرفة",IF(COUNTIFS(Daily_Recon!$A:$A,$A61,Daily_Recon!$B:$B,$B61,Daily_Recon!$C:$C,$C61)&gt;1,"صف مطابقة مكرر",IF(NOT(ISNUMBER($D61)),"المبلغ الفعلي ناقص",IF(AND(ABS($K61)&gt;S_Tol,$E61=""),"فرق بدون سبب",IF(AND(ABS($K61)&gt;S_Tol,$F61=""),"فرق بدون مسؤول",IF(AND(ABS($K61)&gt;S_Tol,$G61=""),"فرق بدون حالة معالجة",IF(AND($G61="تمت التسوية",ABS($K61)&gt;S_Tol,$H61=""),"التسوية بدون رقم مستند",IF(AND($H61&lt;&gt;"",COUNTIF(Doc_Register!$A:$A,$H61)=0),"مستند التسوية غير موجود","")))))))))))</f>
        <v/>
      </c>
      <c r="M61" s="44">
        <f>IF($J61="","",IF(AND(ABS($K61)&gt;S_Tol,$G61&lt;&gt;"تمت التسوية",$G61&lt;&gt;"مقبول بموافقة الإدارة"),1,0))</f>
        <v/>
      </c>
    </row>
    <row r="62">
      <c r="A62" s="31" t="n"/>
      <c r="B62" s="39" t="n"/>
      <c r="C62" s="39" t="n"/>
      <c r="D62" s="42" t="n"/>
      <c r="E62" s="29" t="n"/>
      <c r="F62" s="29" t="n"/>
      <c r="G62" s="29" t="n"/>
      <c r="H62" s="29" t="n"/>
      <c r="I62" s="29" t="n"/>
      <c r="J62" s="43">
        <f>IF(COUNTA($A62:$I62)=0,"",IF($C62="CASH",SUMIFS(Sales_Daily!$L:$L,Sales_Daily!$B:$B,$A62,Sales_Daily!$C:$C,$B62,Sales_Daily!$S:$S,"&lt;&gt;"&amp;ST_DRAFT,Sales_Daily!$S:$S,"&lt;&gt;"&amp;ST_CANC,Sales_Daily!$S:$S,"&lt;&gt;"&amp;ST_REV),0)+IF($C62="CARD",SUMIFS(Sales_Daily!$M:$M,Sales_Daily!$B:$B,$A62,Sales_Daily!$C:$C,$B62,Sales_Daily!$S:$S,"&lt;&gt;"&amp;ST_DRAFT,Sales_Daily!$S:$S,"&lt;&gt;"&amp;ST_CANC,Sales_Daily!$S:$S,"&lt;&gt;"&amp;ST_REV),0)+IF($C62="TLB",SUMIFS(Sales_Daily!$N:$N,Sales_Daily!$B:$B,$A62,Sales_Daily!$C:$C,$B62,Sales_Daily!$S:$S,"&lt;&gt;"&amp;ST_DRAFT,Sales_Daily!$S:$S,"&lt;&gt;"&amp;ST_CANC,Sales_Daily!$S:$S,"&lt;&gt;"&amp;ST_REV),0)+IF($C62="DLV2",SUMIFS(Sales_Daily!$O:$O,Sales_Daily!$B:$B,$A62,Sales_Daily!$C:$C,$B62,Sales_Daily!$S:$S,"&lt;&gt;"&amp;ST_DRAFT,Sales_Daily!$S:$S,"&lt;&gt;"&amp;ST_CANC,Sales_Daily!$S:$S,"&lt;&gt;"&amp;ST_REV),0)+IF($C62="INSTA",SUMIFS(Sales_Daily!$P:$P,Sales_Daily!$B:$B,$A62,Sales_Daily!$C:$C,$B62,Sales_Daily!$S:$S,"&lt;&gt;"&amp;ST_DRAFT,Sales_Daily!$S:$S,"&lt;&gt;"&amp;ST_CANC,Sales_Daily!$S:$S,"&lt;&gt;"&amp;ST_REV),0)+SUMIFS(Sales_Daily!$Q:$Q,Sales_Daily!$B:$B,$A62,Sales_Daily!$C:$C,$B62,Sales_Daily!$S:$S,"&lt;&gt;"&amp;ST_DRAFT,Sales_Daily!$S:$S,"&lt;&gt;"&amp;ST_CANC,Sales_Daily!$S:$S,"&lt;&gt;"&amp;ST_REV,Sales_Daily!$R:$R,$C62))</f>
        <v/>
      </c>
      <c r="K62" s="47">
        <f>IF($J62="","",ROUND($D62-$J62,2))</f>
        <v/>
      </c>
      <c r="L62" s="32">
        <f>IF($J62="","",IF(NOT(ISNUMBER($A62)),"التاريخ ناقص",IF(NOT(COUNTIF(Locations!$A:$A,$B62)&gt;0),"الفرع غير معرف",IF(COUNTIF(Payment_Methods!$A:$A,$C62)=0,"وسيلة الدفع غير معرفة",IF(COUNTIFS(Daily_Recon!$A:$A,$A62,Daily_Recon!$B:$B,$B62,Daily_Recon!$C:$C,$C62)&gt;1,"صف مطابقة مكرر",IF(NOT(ISNUMBER($D62)),"المبلغ الفعلي ناقص",IF(AND(ABS($K62)&gt;S_Tol,$E62=""),"فرق بدون سبب",IF(AND(ABS($K62)&gt;S_Tol,$F62=""),"فرق بدون مسؤول",IF(AND(ABS($K62)&gt;S_Tol,$G62=""),"فرق بدون حالة معالجة",IF(AND($G62="تمت التسوية",ABS($K62)&gt;S_Tol,$H62=""),"التسوية بدون رقم مستند",IF(AND($H62&lt;&gt;"",COUNTIF(Doc_Register!$A:$A,$H62)=0),"مستند التسوية غير موجود","")))))))))))</f>
        <v/>
      </c>
      <c r="M62" s="44">
        <f>IF($J62="","",IF(AND(ABS($K62)&gt;S_Tol,$G62&lt;&gt;"تمت التسوية",$G62&lt;&gt;"مقبول بموافقة الإدارة"),1,0))</f>
        <v/>
      </c>
    </row>
    <row r="63">
      <c r="A63" s="31" t="n"/>
      <c r="B63" s="39" t="n"/>
      <c r="C63" s="39" t="n"/>
      <c r="D63" s="42" t="n"/>
      <c r="E63" s="29" t="n"/>
      <c r="F63" s="29" t="n"/>
      <c r="G63" s="29" t="n"/>
      <c r="H63" s="29" t="n"/>
      <c r="I63" s="29" t="n"/>
      <c r="J63" s="43">
        <f>IF(COUNTA($A63:$I63)=0,"",IF($C63="CASH",SUMIFS(Sales_Daily!$L:$L,Sales_Daily!$B:$B,$A63,Sales_Daily!$C:$C,$B63,Sales_Daily!$S:$S,"&lt;&gt;"&amp;ST_DRAFT,Sales_Daily!$S:$S,"&lt;&gt;"&amp;ST_CANC,Sales_Daily!$S:$S,"&lt;&gt;"&amp;ST_REV),0)+IF($C63="CARD",SUMIFS(Sales_Daily!$M:$M,Sales_Daily!$B:$B,$A63,Sales_Daily!$C:$C,$B63,Sales_Daily!$S:$S,"&lt;&gt;"&amp;ST_DRAFT,Sales_Daily!$S:$S,"&lt;&gt;"&amp;ST_CANC,Sales_Daily!$S:$S,"&lt;&gt;"&amp;ST_REV),0)+IF($C63="TLB",SUMIFS(Sales_Daily!$N:$N,Sales_Daily!$B:$B,$A63,Sales_Daily!$C:$C,$B63,Sales_Daily!$S:$S,"&lt;&gt;"&amp;ST_DRAFT,Sales_Daily!$S:$S,"&lt;&gt;"&amp;ST_CANC,Sales_Daily!$S:$S,"&lt;&gt;"&amp;ST_REV),0)+IF($C63="DLV2",SUMIFS(Sales_Daily!$O:$O,Sales_Daily!$B:$B,$A63,Sales_Daily!$C:$C,$B63,Sales_Daily!$S:$S,"&lt;&gt;"&amp;ST_DRAFT,Sales_Daily!$S:$S,"&lt;&gt;"&amp;ST_CANC,Sales_Daily!$S:$S,"&lt;&gt;"&amp;ST_REV),0)+IF($C63="INSTA",SUMIFS(Sales_Daily!$P:$P,Sales_Daily!$B:$B,$A63,Sales_Daily!$C:$C,$B63,Sales_Daily!$S:$S,"&lt;&gt;"&amp;ST_DRAFT,Sales_Daily!$S:$S,"&lt;&gt;"&amp;ST_CANC,Sales_Daily!$S:$S,"&lt;&gt;"&amp;ST_REV),0)+SUMIFS(Sales_Daily!$Q:$Q,Sales_Daily!$B:$B,$A63,Sales_Daily!$C:$C,$B63,Sales_Daily!$S:$S,"&lt;&gt;"&amp;ST_DRAFT,Sales_Daily!$S:$S,"&lt;&gt;"&amp;ST_CANC,Sales_Daily!$S:$S,"&lt;&gt;"&amp;ST_REV,Sales_Daily!$R:$R,$C63))</f>
        <v/>
      </c>
      <c r="K63" s="47">
        <f>IF($J63="","",ROUND($D63-$J63,2))</f>
        <v/>
      </c>
      <c r="L63" s="32">
        <f>IF($J63="","",IF(NOT(ISNUMBER($A63)),"التاريخ ناقص",IF(NOT(COUNTIF(Locations!$A:$A,$B63)&gt;0),"الفرع غير معرف",IF(COUNTIF(Payment_Methods!$A:$A,$C63)=0,"وسيلة الدفع غير معرفة",IF(COUNTIFS(Daily_Recon!$A:$A,$A63,Daily_Recon!$B:$B,$B63,Daily_Recon!$C:$C,$C63)&gt;1,"صف مطابقة مكرر",IF(NOT(ISNUMBER($D63)),"المبلغ الفعلي ناقص",IF(AND(ABS($K63)&gt;S_Tol,$E63=""),"فرق بدون سبب",IF(AND(ABS($K63)&gt;S_Tol,$F63=""),"فرق بدون مسؤول",IF(AND(ABS($K63)&gt;S_Tol,$G63=""),"فرق بدون حالة معالجة",IF(AND($G63="تمت التسوية",ABS($K63)&gt;S_Tol,$H63=""),"التسوية بدون رقم مستند",IF(AND($H63&lt;&gt;"",COUNTIF(Doc_Register!$A:$A,$H63)=0),"مستند التسوية غير موجود","")))))))))))</f>
        <v/>
      </c>
      <c r="M63" s="44">
        <f>IF($J63="","",IF(AND(ABS($K63)&gt;S_Tol,$G63&lt;&gt;"تمت التسوية",$G63&lt;&gt;"مقبول بموافقة الإدارة"),1,0))</f>
        <v/>
      </c>
    </row>
    <row r="64">
      <c r="A64" s="31" t="n"/>
      <c r="B64" s="39" t="n"/>
      <c r="C64" s="39" t="n"/>
      <c r="D64" s="42" t="n"/>
      <c r="E64" s="29" t="n"/>
      <c r="F64" s="29" t="n"/>
      <c r="G64" s="29" t="n"/>
      <c r="H64" s="29" t="n"/>
      <c r="I64" s="29" t="n"/>
      <c r="J64" s="43">
        <f>IF(COUNTA($A64:$I64)=0,"",IF($C64="CASH",SUMIFS(Sales_Daily!$L:$L,Sales_Daily!$B:$B,$A64,Sales_Daily!$C:$C,$B64,Sales_Daily!$S:$S,"&lt;&gt;"&amp;ST_DRAFT,Sales_Daily!$S:$S,"&lt;&gt;"&amp;ST_CANC,Sales_Daily!$S:$S,"&lt;&gt;"&amp;ST_REV),0)+IF($C64="CARD",SUMIFS(Sales_Daily!$M:$M,Sales_Daily!$B:$B,$A64,Sales_Daily!$C:$C,$B64,Sales_Daily!$S:$S,"&lt;&gt;"&amp;ST_DRAFT,Sales_Daily!$S:$S,"&lt;&gt;"&amp;ST_CANC,Sales_Daily!$S:$S,"&lt;&gt;"&amp;ST_REV),0)+IF($C64="TLB",SUMIFS(Sales_Daily!$N:$N,Sales_Daily!$B:$B,$A64,Sales_Daily!$C:$C,$B64,Sales_Daily!$S:$S,"&lt;&gt;"&amp;ST_DRAFT,Sales_Daily!$S:$S,"&lt;&gt;"&amp;ST_CANC,Sales_Daily!$S:$S,"&lt;&gt;"&amp;ST_REV),0)+IF($C64="DLV2",SUMIFS(Sales_Daily!$O:$O,Sales_Daily!$B:$B,$A64,Sales_Daily!$C:$C,$B64,Sales_Daily!$S:$S,"&lt;&gt;"&amp;ST_DRAFT,Sales_Daily!$S:$S,"&lt;&gt;"&amp;ST_CANC,Sales_Daily!$S:$S,"&lt;&gt;"&amp;ST_REV),0)+IF($C64="INSTA",SUMIFS(Sales_Daily!$P:$P,Sales_Daily!$B:$B,$A64,Sales_Daily!$C:$C,$B64,Sales_Daily!$S:$S,"&lt;&gt;"&amp;ST_DRAFT,Sales_Daily!$S:$S,"&lt;&gt;"&amp;ST_CANC,Sales_Daily!$S:$S,"&lt;&gt;"&amp;ST_REV),0)+SUMIFS(Sales_Daily!$Q:$Q,Sales_Daily!$B:$B,$A64,Sales_Daily!$C:$C,$B64,Sales_Daily!$S:$S,"&lt;&gt;"&amp;ST_DRAFT,Sales_Daily!$S:$S,"&lt;&gt;"&amp;ST_CANC,Sales_Daily!$S:$S,"&lt;&gt;"&amp;ST_REV,Sales_Daily!$R:$R,$C64))</f>
        <v/>
      </c>
      <c r="K64" s="47">
        <f>IF($J64="","",ROUND($D64-$J64,2))</f>
        <v/>
      </c>
      <c r="L64" s="32">
        <f>IF($J64="","",IF(NOT(ISNUMBER($A64)),"التاريخ ناقص",IF(NOT(COUNTIF(Locations!$A:$A,$B64)&gt;0),"الفرع غير معرف",IF(COUNTIF(Payment_Methods!$A:$A,$C64)=0,"وسيلة الدفع غير معرفة",IF(COUNTIFS(Daily_Recon!$A:$A,$A64,Daily_Recon!$B:$B,$B64,Daily_Recon!$C:$C,$C64)&gt;1,"صف مطابقة مكرر",IF(NOT(ISNUMBER($D64)),"المبلغ الفعلي ناقص",IF(AND(ABS($K64)&gt;S_Tol,$E64=""),"فرق بدون سبب",IF(AND(ABS($K64)&gt;S_Tol,$F64=""),"فرق بدون مسؤول",IF(AND(ABS($K64)&gt;S_Tol,$G64=""),"فرق بدون حالة معالجة",IF(AND($G64="تمت التسوية",ABS($K64)&gt;S_Tol,$H64=""),"التسوية بدون رقم مستند",IF(AND($H64&lt;&gt;"",COUNTIF(Doc_Register!$A:$A,$H64)=0),"مستند التسوية غير موجود","")))))))))))</f>
        <v/>
      </c>
      <c r="M64" s="44">
        <f>IF($J64="","",IF(AND(ABS($K64)&gt;S_Tol,$G64&lt;&gt;"تمت التسوية",$G64&lt;&gt;"مقبول بموافقة الإدارة"),1,0))</f>
        <v/>
      </c>
    </row>
  </sheetData>
  <sheetProtection selectLockedCells="0" selectUnlockedCells="0" sheet="1" objects="0" insertRows="1" insertHyperlinks="1" autoFilter="0" scenarios="0" formatColumns="0" deleteColumns="1" insertColumns="1" pivotTables="1" deleteRows="1" formatCells="0" formatRows="0" sort="1"/>
  <autoFilter ref="A4:M64"/>
  <conditionalFormatting sqref="K5:K64">
    <cfRule type="expression" priority="1" dxfId="2">
      <formula>AND(ISNUMBER(K5),ABS(K5)&gt;0.005)</formula>
    </cfRule>
  </conditionalFormatting>
  <conditionalFormatting sqref="L5:L64">
    <cfRule type="expression" priority="2" dxfId="3">
      <formula>LEN(L5)&gt;0</formula>
    </cfRule>
  </conditionalFormatting>
  <dataValidations count="7">
    <dataValidation sqref="A5:A64" showDropDown="0" showInputMessage="0" showErrorMessage="1" allowBlank="1" errorTitle="تاريخ غير صحيح" error="أدخل تاريخًا صحيحًا." type="date" operator="greaterThan">
      <formula1>36526</formula1>
    </dataValidation>
    <dataValidation sqref="B5:B64" showDropDown="0" showInputMessage="0" showErrorMessage="1" allowBlank="1" errorTitle="قيمة غير مسموحة" error="اختر قيمة من القائمة المنسدلة." type="list">
      <formula1>=Locations!$A$5:$A$34</formula1>
    </dataValidation>
    <dataValidation sqref="C5:C64" showDropDown="0" showInputMessage="0" showErrorMessage="1" allowBlank="1" errorTitle="قيمة غير مسموحة" error="اختر قيمة من القائمة المنسدلة." type="list">
      <formula1>=Payment_Methods!$A$5:$A$19</formula1>
    </dataValidation>
    <dataValidation sqref="D5:D6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E5:E64" showDropDown="0" showInputMessage="0" showErrorMessage="1" allowBlank="1" errorTitle="قيمة غير مسموحة" error="اختر قيمة من القائمة المنسدلة." type="list">
      <formula1>=Lists!$Y$5:$Y$13</formula1>
    </dataValidation>
    <dataValidation sqref="F5:F64" showDropDown="0" showInputMessage="0" showErrorMessage="1" allowBlank="1" errorTitle="قيمة غير مسموحة" error="اختر قيمة من القائمة المنسدلة." type="list">
      <formula1>=Users!$B$5:$B$44</formula1>
    </dataValidation>
    <dataValidation sqref="G5:G64" showDropDown="0" showInputMessage="0" showErrorMessage="1" allowBlank="1" errorTitle="قيمة غير مسموحة" error="اختر قيمة من القائمة المنسدلة." type="list">
      <formula1>=Lists!$AA$5:$AA$7</formula1>
    </dataValidation>
  </dataValidations>
  <pageMargins left="0.75" right="0.75" top="1" bottom="1" header="0.5" footer="0.5"/>
  <pageSetup orientation="landscape" fitToHeight="0" fitToWidth="1"/>
</worksheet>
</file>

<file path=xl/worksheets/sheet28.xml><?xml version="1.0" encoding="utf-8"?>
<worksheet xmlns="http://schemas.openxmlformats.org/spreadsheetml/2006/main">
  <sheetPr>
    <tabColor rgb="00BF8F00"/>
    <outlinePr summaryBelow="1" summaryRight="1"/>
    <pageSetUpPr fitToPage="1"/>
  </sheetPr>
  <dimension ref="A1:AM8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6" customWidth="1" min="3" max="3"/>
    <col width="14" customWidth="1" min="4" max="4"/>
    <col width="14" customWidth="1" min="5" max="5"/>
    <col width="12" customWidth="1" min="6" max="6"/>
    <col width="11" customWidth="1" min="7" max="7"/>
    <col width="22" customWidth="1" min="8" max="8"/>
    <col width="13" customWidth="1" min="9" max="9"/>
    <col width="14" customWidth="1" min="10" max="10"/>
    <col width="30" customWidth="1" min="11" max="11"/>
    <col width="9" customWidth="1" min="12" max="12"/>
    <col width="17" customWidth="1" min="13" max="13"/>
    <col width="11" customWidth="1" min="14" max="14"/>
    <col width="22" customWidth="1" min="15" max="15"/>
    <col width="22" customWidth="1" min="16" max="16"/>
    <col width="22" customWidth="1" min="17" max="17"/>
    <col width="16" customWidth="1" min="18" max="18"/>
    <col width="18" customWidth="1" min="19" max="19"/>
    <col width="24" customWidth="1" min="20" max="20"/>
    <col hidden="1" width="7" customWidth="1" min="21" max="21"/>
    <col hidden="1" width="6" customWidth="1" min="22" max="22"/>
    <col hidden="1" width="9" customWidth="1" min="23" max="23"/>
    <col hidden="1" width="9" customWidth="1" min="24" max="24"/>
    <col hidden="1" width="8" customWidth="1" min="25" max="25"/>
    <col hidden="1" width="8" customWidth="1" min="26" max="26"/>
    <col width="10" customWidth="1" min="27" max="27"/>
    <col width="10" customWidth="1" min="28" max="28"/>
    <col hidden="1" width="8" customWidth="1" min="29" max="29"/>
    <col hidden="1" width="8" customWidth="1" min="30" max="30"/>
    <col hidden="1" width="8" customWidth="1" min="31" max="31"/>
    <col hidden="1" width="8" customWidth="1" min="32" max="32"/>
    <col hidden="1" width="8" customWidth="1" min="33" max="33"/>
    <col hidden="1" width="8" customWidth="1" min="34" max="34"/>
    <col width="11" customWidth="1" min="35" max="35"/>
    <col hidden="1" width="7" customWidth="1" min="36" max="36"/>
    <col width="44" customWidth="1" min="37" max="37"/>
    <col hidden="1" width="6" customWidth="1" min="38" max="38"/>
    <col hidden="1" width="7" customWidth="1" min="39" max="39"/>
  </cols>
  <sheetData>
    <row r="1" ht="26" customHeight="1">
      <c r="A1" s="22" t="inlineStr">
        <is>
          <t>سندات الخزينة والبنوك (Cash Vouchers) - قبض / صرف / تحويل / إيداع / عجز وزيادة</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row>
    <row r="2">
      <c r="A2" s="35" t="inlineStr">
        <is>
          <t>المصدر: نماذج 11 و12 و13 و30. الأنواع: قبض، صرف، تحويل بين خزائن، إيداع بنكي، سحب بنكي، عجز خزينة، زيادة خزينة. التحويلات الداخلية لا تؤثر على الإيرادات أو المصروفات.</t>
        </is>
      </c>
    </row>
    <row r="3">
      <c r="A3" s="36" t="inlineStr">
        <is>
          <t>خلايا الإدخال</t>
        </is>
      </c>
      <c r="B3" s="37" t="inlineStr">
        <is>
          <t>معادلات (لا تعدّل)</t>
        </is>
      </c>
    </row>
    <row r="4" ht="34" customHeight="1">
      <c r="A4" s="24" t="inlineStr">
        <is>
          <t>رقم السند</t>
        </is>
      </c>
      <c r="B4" s="24" t="inlineStr">
        <is>
          <t>التاريخ</t>
        </is>
      </c>
      <c r="C4" s="24" t="inlineStr">
        <is>
          <t>نوع السند</t>
        </is>
      </c>
      <c r="D4" s="24" t="inlineStr">
        <is>
          <t>الخزينة/البنك (من / المتأثر)</t>
        </is>
      </c>
      <c r="E4" s="24" t="inlineStr">
        <is>
          <t>إلى خزينة/بنك (للتحويل)</t>
        </is>
      </c>
      <c r="F4" s="24" t="inlineStr">
        <is>
          <t>الحساب المقابل (للقبض/الصرف)</t>
        </is>
      </c>
      <c r="G4" s="24" t="inlineStr">
        <is>
          <t>كود الجهة (عميل/موظف)</t>
        </is>
      </c>
      <c r="H4" s="24" t="inlineStr">
        <is>
          <t>المستلم / الدافع</t>
        </is>
      </c>
      <c r="I4" s="24" t="inlineStr">
        <is>
          <t>المبلغ</t>
        </is>
      </c>
      <c r="J4" s="24" t="inlineStr">
        <is>
          <t>طريقة الدفع</t>
        </is>
      </c>
      <c r="K4" s="24" t="inlineStr">
        <is>
          <t>البيان</t>
        </is>
      </c>
      <c r="L4" s="24" t="inlineStr">
        <is>
          <t>مركز التكلفة</t>
        </is>
      </c>
      <c r="M4" s="24" t="inlineStr">
        <is>
          <t>المستند المرتبط (مصروف/فاتورة)</t>
        </is>
      </c>
      <c r="N4" s="24" t="inlineStr">
        <is>
          <t>حالة المستند</t>
        </is>
      </c>
      <c r="O4" s="24" t="inlineStr">
        <is>
          <t>المُعِد / مقدم الطلب</t>
        </is>
      </c>
      <c r="P4" s="24" t="inlineStr">
        <is>
          <t>المعتمد</t>
        </is>
      </c>
      <c r="Q4" s="24" t="inlineStr">
        <is>
          <t>المحاسب المرحِّل</t>
        </is>
      </c>
      <c r="R4" s="24" t="inlineStr">
        <is>
          <t>مرفق / مرجع ورقي</t>
        </is>
      </c>
      <c r="S4" s="24" t="inlineStr">
        <is>
          <t>مرجع التصحيح / الإلغاء</t>
        </is>
      </c>
      <c r="T4" s="24" t="inlineStr">
        <is>
          <t>ملاحظات</t>
        </is>
      </c>
      <c r="U4" s="38" t="inlineStr">
        <is>
          <t>رمز النوع</t>
        </is>
      </c>
      <c r="V4" s="38" t="inlineStr">
        <is>
          <t>بادئة</t>
        </is>
      </c>
      <c r="W4" s="38" t="inlineStr">
        <is>
          <t>حساب الخزينة</t>
        </is>
      </c>
      <c r="X4" s="38" t="inlineStr">
        <is>
          <t>حساب الخزينة الثانية</t>
        </is>
      </c>
      <c r="Y4" s="38" t="inlineStr">
        <is>
          <t>موقع الخزينة</t>
        </is>
      </c>
      <c r="Z4" s="38" t="inlineStr">
        <is>
          <t>موقع الخزينة الثانية</t>
        </is>
      </c>
      <c r="AA4" s="38" t="inlineStr">
        <is>
          <t>حساب المدين</t>
        </is>
      </c>
      <c r="AB4" s="38" t="inlineStr">
        <is>
          <t>حساب الدائن</t>
        </is>
      </c>
      <c r="AC4" s="38" t="inlineStr">
        <is>
          <t>موقع المدين</t>
        </is>
      </c>
      <c r="AD4" s="38" t="inlineStr">
        <is>
          <t>موقع الدائن</t>
        </is>
      </c>
      <c r="AE4" s="38" t="inlineStr">
        <is>
          <t>مركز تكلفة المدين</t>
        </is>
      </c>
      <c r="AF4" s="38" t="inlineStr">
        <is>
          <t>مركز تكلفة الدائن</t>
        </is>
      </c>
      <c r="AG4" s="38" t="inlineStr">
        <is>
          <t>جهة المدين</t>
        </is>
      </c>
      <c r="AH4" s="38" t="inlineStr">
        <is>
          <t>جهة الدائن</t>
        </is>
      </c>
      <c r="AI4" s="38" t="inlineStr">
        <is>
          <t>تصنيف التدفق</t>
        </is>
      </c>
      <c r="AJ4" s="38" t="inlineStr">
        <is>
          <t>مستخدم</t>
        </is>
      </c>
      <c r="AK4" s="38" t="inlineStr">
        <is>
          <t>فحص المستند (أول خطأ)</t>
        </is>
      </c>
      <c r="AL4" s="38" t="inlineStr">
        <is>
          <t>خطأ؟</t>
        </is>
      </c>
      <c r="AM4" s="38" t="inlineStr">
        <is>
          <t>يُرحَّل؟</t>
        </is>
      </c>
    </row>
    <row r="5">
      <c r="A5" s="29" t="n"/>
      <c r="B5" s="31" t="n"/>
      <c r="C5" s="29" t="n"/>
      <c r="D5" s="39" t="n"/>
      <c r="E5" s="39" t="n"/>
      <c r="F5" s="39" t="n"/>
      <c r="G5" s="29" t="n"/>
      <c r="H5" s="29" t="n"/>
      <c r="I5" s="42" t="n"/>
      <c r="J5" s="29" t="n"/>
      <c r="K5" s="29" t="n"/>
      <c r="L5" s="39" t="n"/>
      <c r="M5" s="29" t="n"/>
      <c r="N5" s="39" t="n"/>
      <c r="O5" s="29" t="n"/>
      <c r="P5" s="29" t="n"/>
      <c r="Q5" s="29" t="n"/>
      <c r="R5" s="29" t="n"/>
      <c r="S5" s="29" t="n"/>
      <c r="T5" s="29" t="n"/>
      <c r="U5" s="32">
        <f>IF($AJ5=1,IFERROR(INDEX(Lists!$F:$F,MATCH($C5,Lists!$E:$E,0)),"?"),"")</f>
        <v/>
      </c>
      <c r="V5" s="32">
        <f>IF($AJ5=1,IFERROR(INDEX(Lists!$G:$G,MATCH($C5,Lists!$E:$E,0)),"?"),"")</f>
        <v/>
      </c>
      <c r="W5" s="32">
        <f>IF($AJ5=1,IFERROR(INDEX(Treasuries!$E:$E,MATCH($D5,Treasuries!$A:$A,0)),"؟"),"")</f>
        <v/>
      </c>
      <c r="X5" s="32">
        <f>IF(AND($AJ5=1,$E5&lt;&gt;""),IFERROR(INDEX(Treasuries!$E:$E,MATCH($E5,Treasuries!$A:$A,0)),"؟"),"")</f>
        <v/>
      </c>
      <c r="Y5" s="32">
        <f>IF($AJ5=1,IFERROR(INDEX(Treasuries!$D:$D,MATCH($D5,Treasuries!$A:$A,0)),"؟"),"")</f>
        <v/>
      </c>
      <c r="Z5" s="32">
        <f>IF(AND($AJ5=1,$E5&lt;&gt;""),IFERROR(INDEX(Treasuries!$D:$D,MATCH($E5,Treasuries!$A:$A,0)),"؟"),"")</f>
        <v/>
      </c>
      <c r="AA5" s="44">
        <f>IF($AJ5=1,IF($U5="RCV",$W5,IF($U5="PAY",$F5,IF(OR($U5="TRF",$U5="DEP",$U5="WDR"),$X5,IF($U5="SHT",ACC_CASH_SHORT,IF($U5="OVR",$W5,"؟"))))),"")</f>
        <v/>
      </c>
      <c r="AB5" s="44">
        <f>IF($AJ5=1,IF($U5="RCV",$F5,IF($U5="PAY",$W5,IF(OR($U5="TRF",$U5="DEP",$U5="WDR"),$W5,IF($U5="SHT",$W5,IF($U5="OVR",ACC_CASH_OVER,"؟"))))),"")</f>
        <v/>
      </c>
      <c r="AC5" s="32">
        <f>IF($AJ5=1,IF(OR($U5="TRF",$U5="DEP",$U5="WDR"),$Z5,$Y5),"")</f>
        <v/>
      </c>
      <c r="AD5" s="32">
        <f>IF($AJ5=1,$Y5,"")</f>
        <v/>
      </c>
      <c r="AE5" s="32">
        <f>IF($AJ5=1,IF(OR($U5="PAY",$U5="SHT"),IF($L5="","CC00",$L5),"CC00"),"")</f>
        <v/>
      </c>
      <c r="AF5" s="32">
        <f>IF($AJ5=1,IF(OR($U5="RCV",$U5="OVR"),IF($L5="","CC00",$L5),"CC00"),"")</f>
        <v/>
      </c>
      <c r="AG5" s="32">
        <f>IF($AJ5=1,IF(AND($U5="PAY",$G5&lt;&gt;""),$G5,"-"),"")</f>
        <v/>
      </c>
      <c r="AH5" s="32">
        <f>IF($AJ5=1,IF(AND($U5="RCV",$G5&lt;&gt;""),$G5,"-"),"")</f>
        <v/>
      </c>
      <c r="AI5" s="32">
        <f>IF($AJ5=1,IF(OR($U5="TRF",$U5="DEP",$U5="WDR"),"INTERNAL",IF(OR($U5="RCV",$U5="PAY"),IFERROR(IF(INDEX(COA!$I:$I,MATCH($F5,COA!$A:$A,0))="","OPERATING",INDEX(COA!$I:$I,MATCH($F5,COA!$A:$A,0))),"OPERATING"),"OPERATING")),"")</f>
        <v/>
      </c>
      <c r="AJ5" s="32">
        <f>IF(COUNTA($A5:$T5)&gt;0,1,0)</f>
        <v/>
      </c>
      <c r="AK5" s="32">
        <f>IF($AJ5=0,"",IF($A5="","رقم المستند ناقص",IF(COUNTIF(Doc_Register!$A:$A,$A5)&gt;1,"رقم مستند مكرر في السجل المركزي",IF(LEFT($A5,LEN($V5)+1)&lt;&gt;$V5&amp;"-","بادئة الرقم لا تطابق نوع المستند",IF(NOT(ISNUMBER($B5)),"التاريخ ناقص أو غير صحيح",IF($N5="","حالة المستند ناقصة",IF($O5="","اسم المُعِد ناقص",IF(AND(OR($N5=ST_APPR,$N5=ST_POST),$P5=""),"لا يوجد معتمد",IF(AND($P5&lt;&gt;"",$P5=$O5),"المُعِد والمعتمد نفس الشخص (فصل المهام)",IF(AND($N5=ST_POST,$Q5=""),"اسم المحاسب المرحِّل ناقص",IF(AND($N5=ST_POST,$Q5&lt;&gt;"",OR($Q5=$O5,$Q5=$P5)),"المرحِّل يجب أن يختلف عن المُعِد والمعتمد",IF(AND($N5=ST_REV,$S5=""),"مرجع التصحيح/الإلغاء ناقص",IF(AND(ISNUMBER($B5),OR($N5=ST_DRAFT,$N5=ST_APPR),COUNTIFS(Period_Close!$A:$A,YEAR($B5)*100+MONTH($B5),Period_Close!$B:$B,"مقفلة")&gt;0),"الفترة مقفلة: لا يسمح بمستند جديد",IF($U5="?","نوع السند غير معرف",IF(COUNTIFS(COA!$A:$A,$W5,COA!$R:$R,1)&lt;&gt;1,"الخزينة/البنك غير معرف أو غير صالح",IF(NOT(N($I5)&gt;0),"المبلغ يجب أن يكون أكبر من صفر",IF(AND(OR($U5="TRF",$U5="DEP",$U5="WDR"),$E5=""),"الخزينة المستلمة ناقصة",IF(AND(OR($U5="TRF",$U5="DEP",$U5="WDR"),$E5=$D5),"التحويل إلى نفس الخزينة",IF(AND(OR($U5="TRF",$U5="DEP",$U5="WDR"),COUNTIFS(COA!$A:$A,$X5,COA!$R:$R,1)&lt;&gt;1),"الخزينة المستلمة غير صالحة",IF(AND(OR($U5="RCV",$U5="PAY"),$F5=""),"الحساب المقابل ناقص",IF(AND(OR($U5="RCV",$U5="PAY"),COUNTIFS(COA!$A:$A,$F5,COA!$R:$R,1)&lt;&gt;1),"الحساب المقابل غير صالح أو رئيسي",IF(AND(OR($U5="RCV",$U5="PAY"),IFERROR(INDEX(COA!$H:$H,MATCH($F5,COA!$A:$A,0)),0)=1),"الحساب المقابل نقدي: استخدم تحويل بين الخزائن",IF(AND(OR($U5="RCV",$U5="PAY"),$F5=ACC_SUPPLIERS),"سداد الموردين يتم من Supplier_Payments",IF(AND(OR($U5="RCV",$U5="PAY"),$H5=""),"المستلم/الدافع ناقص",IF(AND(OR($U5="RCV",$U5="PAY"),$J5=""),"طريقة الدفع ناقصة",IF(AND(OR($U5="RCV",$U5="PAY"),OR($F5=ACC_CUSTOMERS,$F5=1501,$F5=1502),$G5=""),"كود الجهة إلزامي لهذا الحساب",IF(AND($F5=ACC_CUSTOMERS,$G5&lt;&gt;"",COUNTIF(Customers!$A:$A,$G5)=0),"كود العميل غير معرف",IF(AND(OR($F5=1501,$F5=1502),$G5&lt;&gt;"",COUNTIF(Employees!$A:$A,$G5)=0),"كود الموظف غير معرف",IF(AND($M5&lt;&gt;"",COUNTIF(Doc_Register!$A:$A,$M5)=0),"المستند المرتبط غير موجود",IF(AND(OR($U5="PAY",$U5="SHT"),NOT(COUNTIF(Cost_Centers!$A:$A,$AE5)&gt;0)),"مركز التكلفة غير معرف",""))))))))))))))))))))))))))))))</f>
        <v/>
      </c>
      <c r="AL5" s="32">
        <f>IF($AJ5=1,IF($AK5&lt;&gt;"",1,0),0)</f>
        <v/>
      </c>
      <c r="AM5" s="32">
        <f>IF(AND($AJ5=1,$AL5=0,$N5=ST_POST),1,0)</f>
        <v/>
      </c>
    </row>
    <row r="6">
      <c r="A6" s="29" t="n"/>
      <c r="B6" s="31" t="n"/>
      <c r="C6" s="29" t="n"/>
      <c r="D6" s="39" t="n"/>
      <c r="E6" s="39" t="n"/>
      <c r="F6" s="39" t="n"/>
      <c r="G6" s="29" t="n"/>
      <c r="H6" s="29" t="n"/>
      <c r="I6" s="42" t="n"/>
      <c r="J6" s="29" t="n"/>
      <c r="K6" s="29" t="n"/>
      <c r="L6" s="39" t="n"/>
      <c r="M6" s="29" t="n"/>
      <c r="N6" s="39" t="n"/>
      <c r="O6" s="29" t="n"/>
      <c r="P6" s="29" t="n"/>
      <c r="Q6" s="29" t="n"/>
      <c r="R6" s="29" t="n"/>
      <c r="S6" s="29" t="n"/>
      <c r="T6" s="29" t="n"/>
      <c r="U6" s="32">
        <f>IF($AJ6=1,IFERROR(INDEX(Lists!$F:$F,MATCH($C6,Lists!$E:$E,0)),"?"),"")</f>
        <v/>
      </c>
      <c r="V6" s="32">
        <f>IF($AJ6=1,IFERROR(INDEX(Lists!$G:$G,MATCH($C6,Lists!$E:$E,0)),"?"),"")</f>
        <v/>
      </c>
      <c r="W6" s="32">
        <f>IF($AJ6=1,IFERROR(INDEX(Treasuries!$E:$E,MATCH($D6,Treasuries!$A:$A,0)),"؟"),"")</f>
        <v/>
      </c>
      <c r="X6" s="32">
        <f>IF(AND($AJ6=1,$E6&lt;&gt;""),IFERROR(INDEX(Treasuries!$E:$E,MATCH($E6,Treasuries!$A:$A,0)),"؟"),"")</f>
        <v/>
      </c>
      <c r="Y6" s="32">
        <f>IF($AJ6=1,IFERROR(INDEX(Treasuries!$D:$D,MATCH($D6,Treasuries!$A:$A,0)),"؟"),"")</f>
        <v/>
      </c>
      <c r="Z6" s="32">
        <f>IF(AND($AJ6=1,$E6&lt;&gt;""),IFERROR(INDEX(Treasuries!$D:$D,MATCH($E6,Treasuries!$A:$A,0)),"؟"),"")</f>
        <v/>
      </c>
      <c r="AA6" s="44">
        <f>IF($AJ6=1,IF($U6="RCV",$W6,IF($U6="PAY",$F6,IF(OR($U6="TRF",$U6="DEP",$U6="WDR"),$X6,IF($U6="SHT",ACC_CASH_SHORT,IF($U6="OVR",$W6,"؟"))))),"")</f>
        <v/>
      </c>
      <c r="AB6" s="44">
        <f>IF($AJ6=1,IF($U6="RCV",$F6,IF($U6="PAY",$W6,IF(OR($U6="TRF",$U6="DEP",$U6="WDR"),$W6,IF($U6="SHT",$W6,IF($U6="OVR",ACC_CASH_OVER,"؟"))))),"")</f>
        <v/>
      </c>
      <c r="AC6" s="32">
        <f>IF($AJ6=1,IF(OR($U6="TRF",$U6="DEP",$U6="WDR"),$Z6,$Y6),"")</f>
        <v/>
      </c>
      <c r="AD6" s="32">
        <f>IF($AJ6=1,$Y6,"")</f>
        <v/>
      </c>
      <c r="AE6" s="32">
        <f>IF($AJ6=1,IF(OR($U6="PAY",$U6="SHT"),IF($L6="","CC00",$L6),"CC00"),"")</f>
        <v/>
      </c>
      <c r="AF6" s="32">
        <f>IF($AJ6=1,IF(OR($U6="RCV",$U6="OVR"),IF($L6="","CC00",$L6),"CC00"),"")</f>
        <v/>
      </c>
      <c r="AG6" s="32">
        <f>IF($AJ6=1,IF(AND($U6="PAY",$G6&lt;&gt;""),$G6,"-"),"")</f>
        <v/>
      </c>
      <c r="AH6" s="32">
        <f>IF($AJ6=1,IF(AND($U6="RCV",$G6&lt;&gt;""),$G6,"-"),"")</f>
        <v/>
      </c>
      <c r="AI6" s="32">
        <f>IF($AJ6=1,IF(OR($U6="TRF",$U6="DEP",$U6="WDR"),"INTERNAL",IF(OR($U6="RCV",$U6="PAY"),IFERROR(IF(INDEX(COA!$I:$I,MATCH($F6,COA!$A:$A,0))="","OPERATING",INDEX(COA!$I:$I,MATCH($F6,COA!$A:$A,0))),"OPERATING"),"OPERATING")),"")</f>
        <v/>
      </c>
      <c r="AJ6" s="32">
        <f>IF(COUNTA($A6:$T6)&gt;0,1,0)</f>
        <v/>
      </c>
      <c r="AK6" s="32">
        <f>IF($AJ6=0,"",IF($A6="","رقم المستند ناقص",IF(COUNTIF(Doc_Register!$A:$A,$A6)&gt;1,"رقم مستند مكرر في السجل المركزي",IF(LEFT($A6,LEN($V6)+1)&lt;&gt;$V6&amp;"-","بادئة الرقم لا تطابق نوع المستند",IF(NOT(ISNUMBER($B6)),"التاريخ ناقص أو غير صحيح",IF($N6="","حالة المستند ناقصة",IF($O6="","اسم المُعِد ناقص",IF(AND(OR($N6=ST_APPR,$N6=ST_POST),$P6=""),"لا يوجد معتمد",IF(AND($P6&lt;&gt;"",$P6=$O6),"المُعِد والمعتمد نفس الشخص (فصل المهام)",IF(AND($N6=ST_POST,$Q6=""),"اسم المحاسب المرحِّل ناقص",IF(AND($N6=ST_POST,$Q6&lt;&gt;"",OR($Q6=$O6,$Q6=$P6)),"المرحِّل يجب أن يختلف عن المُعِد والمعتمد",IF(AND($N6=ST_REV,$S6=""),"مرجع التصحيح/الإلغاء ناقص",IF(AND(ISNUMBER($B6),OR($N6=ST_DRAFT,$N6=ST_APPR),COUNTIFS(Period_Close!$A:$A,YEAR($B6)*100+MONTH($B6),Period_Close!$B:$B,"مقفلة")&gt;0),"الفترة مقفلة: لا يسمح بمستند جديد",IF($U6="?","نوع السند غير معرف",IF(COUNTIFS(COA!$A:$A,$W6,COA!$R:$R,1)&lt;&gt;1,"الخزينة/البنك غير معرف أو غير صالح",IF(NOT(N($I6)&gt;0),"المبلغ يجب أن يكون أكبر من صفر",IF(AND(OR($U6="TRF",$U6="DEP",$U6="WDR"),$E6=""),"الخزينة المستلمة ناقصة",IF(AND(OR($U6="TRF",$U6="DEP",$U6="WDR"),$E6=$D6),"التحويل إلى نفس الخزينة",IF(AND(OR($U6="TRF",$U6="DEP",$U6="WDR"),COUNTIFS(COA!$A:$A,$X6,COA!$R:$R,1)&lt;&gt;1),"الخزينة المستلمة غير صالحة",IF(AND(OR($U6="RCV",$U6="PAY"),$F6=""),"الحساب المقابل ناقص",IF(AND(OR($U6="RCV",$U6="PAY"),COUNTIFS(COA!$A:$A,$F6,COA!$R:$R,1)&lt;&gt;1),"الحساب المقابل غير صالح أو رئيسي",IF(AND(OR($U6="RCV",$U6="PAY"),IFERROR(INDEX(COA!$H:$H,MATCH($F6,COA!$A:$A,0)),0)=1),"الحساب المقابل نقدي: استخدم تحويل بين الخزائن",IF(AND(OR($U6="RCV",$U6="PAY"),$F6=ACC_SUPPLIERS),"سداد الموردين يتم من Supplier_Payments",IF(AND(OR($U6="RCV",$U6="PAY"),$H6=""),"المستلم/الدافع ناقص",IF(AND(OR($U6="RCV",$U6="PAY"),$J6=""),"طريقة الدفع ناقصة",IF(AND(OR($U6="RCV",$U6="PAY"),OR($F6=ACC_CUSTOMERS,$F6=1501,$F6=1502),$G6=""),"كود الجهة إلزامي لهذا الحساب",IF(AND($F6=ACC_CUSTOMERS,$G6&lt;&gt;"",COUNTIF(Customers!$A:$A,$G6)=0),"كود العميل غير معرف",IF(AND(OR($F6=1501,$F6=1502),$G6&lt;&gt;"",COUNTIF(Employees!$A:$A,$G6)=0),"كود الموظف غير معرف",IF(AND($M6&lt;&gt;"",COUNTIF(Doc_Register!$A:$A,$M6)=0),"المستند المرتبط غير موجود",IF(AND(OR($U6="PAY",$U6="SHT"),NOT(COUNTIF(Cost_Centers!$A:$A,$AE6)&gt;0)),"مركز التكلفة غير معرف",""))))))))))))))))))))))))))))))</f>
        <v/>
      </c>
      <c r="AL6" s="32">
        <f>IF($AJ6=1,IF($AK6&lt;&gt;"",1,0),0)</f>
        <v/>
      </c>
      <c r="AM6" s="32">
        <f>IF(AND($AJ6=1,$AL6=0,$N6=ST_POST),1,0)</f>
        <v/>
      </c>
    </row>
    <row r="7">
      <c r="A7" s="29" t="n"/>
      <c r="B7" s="31" t="n"/>
      <c r="C7" s="29" t="n"/>
      <c r="D7" s="39" t="n"/>
      <c r="E7" s="39" t="n"/>
      <c r="F7" s="39" t="n"/>
      <c r="G7" s="29" t="n"/>
      <c r="H7" s="29" t="n"/>
      <c r="I7" s="42" t="n"/>
      <c r="J7" s="29" t="n"/>
      <c r="K7" s="29" t="n"/>
      <c r="L7" s="39" t="n"/>
      <c r="M7" s="29" t="n"/>
      <c r="N7" s="39" t="n"/>
      <c r="O7" s="29" t="n"/>
      <c r="P7" s="29" t="n"/>
      <c r="Q7" s="29" t="n"/>
      <c r="R7" s="29" t="n"/>
      <c r="S7" s="29" t="n"/>
      <c r="T7" s="29" t="n"/>
      <c r="U7" s="32">
        <f>IF($AJ7=1,IFERROR(INDEX(Lists!$F:$F,MATCH($C7,Lists!$E:$E,0)),"?"),"")</f>
        <v/>
      </c>
      <c r="V7" s="32">
        <f>IF($AJ7=1,IFERROR(INDEX(Lists!$G:$G,MATCH($C7,Lists!$E:$E,0)),"?"),"")</f>
        <v/>
      </c>
      <c r="W7" s="32">
        <f>IF($AJ7=1,IFERROR(INDEX(Treasuries!$E:$E,MATCH($D7,Treasuries!$A:$A,0)),"؟"),"")</f>
        <v/>
      </c>
      <c r="X7" s="32">
        <f>IF(AND($AJ7=1,$E7&lt;&gt;""),IFERROR(INDEX(Treasuries!$E:$E,MATCH($E7,Treasuries!$A:$A,0)),"؟"),"")</f>
        <v/>
      </c>
      <c r="Y7" s="32">
        <f>IF($AJ7=1,IFERROR(INDEX(Treasuries!$D:$D,MATCH($D7,Treasuries!$A:$A,0)),"؟"),"")</f>
        <v/>
      </c>
      <c r="Z7" s="32">
        <f>IF(AND($AJ7=1,$E7&lt;&gt;""),IFERROR(INDEX(Treasuries!$D:$D,MATCH($E7,Treasuries!$A:$A,0)),"؟"),"")</f>
        <v/>
      </c>
      <c r="AA7" s="44">
        <f>IF($AJ7=1,IF($U7="RCV",$W7,IF($U7="PAY",$F7,IF(OR($U7="TRF",$U7="DEP",$U7="WDR"),$X7,IF($U7="SHT",ACC_CASH_SHORT,IF($U7="OVR",$W7,"؟"))))),"")</f>
        <v/>
      </c>
      <c r="AB7" s="44">
        <f>IF($AJ7=1,IF($U7="RCV",$F7,IF($U7="PAY",$W7,IF(OR($U7="TRF",$U7="DEP",$U7="WDR"),$W7,IF($U7="SHT",$W7,IF($U7="OVR",ACC_CASH_OVER,"؟"))))),"")</f>
        <v/>
      </c>
      <c r="AC7" s="32">
        <f>IF($AJ7=1,IF(OR($U7="TRF",$U7="DEP",$U7="WDR"),$Z7,$Y7),"")</f>
        <v/>
      </c>
      <c r="AD7" s="32">
        <f>IF($AJ7=1,$Y7,"")</f>
        <v/>
      </c>
      <c r="AE7" s="32">
        <f>IF($AJ7=1,IF(OR($U7="PAY",$U7="SHT"),IF($L7="","CC00",$L7),"CC00"),"")</f>
        <v/>
      </c>
      <c r="AF7" s="32">
        <f>IF($AJ7=1,IF(OR($U7="RCV",$U7="OVR"),IF($L7="","CC00",$L7),"CC00"),"")</f>
        <v/>
      </c>
      <c r="AG7" s="32">
        <f>IF($AJ7=1,IF(AND($U7="PAY",$G7&lt;&gt;""),$G7,"-"),"")</f>
        <v/>
      </c>
      <c r="AH7" s="32">
        <f>IF($AJ7=1,IF(AND($U7="RCV",$G7&lt;&gt;""),$G7,"-"),"")</f>
        <v/>
      </c>
      <c r="AI7" s="32">
        <f>IF($AJ7=1,IF(OR($U7="TRF",$U7="DEP",$U7="WDR"),"INTERNAL",IF(OR($U7="RCV",$U7="PAY"),IFERROR(IF(INDEX(COA!$I:$I,MATCH($F7,COA!$A:$A,0))="","OPERATING",INDEX(COA!$I:$I,MATCH($F7,COA!$A:$A,0))),"OPERATING"),"OPERATING")),"")</f>
        <v/>
      </c>
      <c r="AJ7" s="32">
        <f>IF(COUNTA($A7:$T7)&gt;0,1,0)</f>
        <v/>
      </c>
      <c r="AK7" s="32">
        <f>IF($AJ7=0,"",IF($A7="","رقم المستند ناقص",IF(COUNTIF(Doc_Register!$A:$A,$A7)&gt;1,"رقم مستند مكرر في السجل المركزي",IF(LEFT($A7,LEN($V7)+1)&lt;&gt;$V7&amp;"-","بادئة الرقم لا تطابق نوع المستند",IF(NOT(ISNUMBER($B7)),"التاريخ ناقص أو غير صحيح",IF($N7="","حالة المستند ناقصة",IF($O7="","اسم المُعِد ناقص",IF(AND(OR($N7=ST_APPR,$N7=ST_POST),$P7=""),"لا يوجد معتمد",IF(AND($P7&lt;&gt;"",$P7=$O7),"المُعِد والمعتمد نفس الشخص (فصل المهام)",IF(AND($N7=ST_POST,$Q7=""),"اسم المحاسب المرحِّل ناقص",IF(AND($N7=ST_POST,$Q7&lt;&gt;"",OR($Q7=$O7,$Q7=$P7)),"المرحِّل يجب أن يختلف عن المُعِد والمعتمد",IF(AND($N7=ST_REV,$S7=""),"مرجع التصحيح/الإلغاء ناقص",IF(AND(ISNUMBER($B7),OR($N7=ST_DRAFT,$N7=ST_APPR),COUNTIFS(Period_Close!$A:$A,YEAR($B7)*100+MONTH($B7),Period_Close!$B:$B,"مقفلة")&gt;0),"الفترة مقفلة: لا يسمح بمستند جديد",IF($U7="?","نوع السند غير معرف",IF(COUNTIFS(COA!$A:$A,$W7,COA!$R:$R,1)&lt;&gt;1,"الخزينة/البنك غير معرف أو غير صالح",IF(NOT(N($I7)&gt;0),"المبلغ يجب أن يكون أكبر من صفر",IF(AND(OR($U7="TRF",$U7="DEP",$U7="WDR"),$E7=""),"الخزينة المستلمة ناقصة",IF(AND(OR($U7="TRF",$U7="DEP",$U7="WDR"),$E7=$D7),"التحويل إلى نفس الخزينة",IF(AND(OR($U7="TRF",$U7="DEP",$U7="WDR"),COUNTIFS(COA!$A:$A,$X7,COA!$R:$R,1)&lt;&gt;1),"الخزينة المستلمة غير صالحة",IF(AND(OR($U7="RCV",$U7="PAY"),$F7=""),"الحساب المقابل ناقص",IF(AND(OR($U7="RCV",$U7="PAY"),COUNTIFS(COA!$A:$A,$F7,COA!$R:$R,1)&lt;&gt;1),"الحساب المقابل غير صالح أو رئيسي",IF(AND(OR($U7="RCV",$U7="PAY"),IFERROR(INDEX(COA!$H:$H,MATCH($F7,COA!$A:$A,0)),0)=1),"الحساب المقابل نقدي: استخدم تحويل بين الخزائن",IF(AND(OR($U7="RCV",$U7="PAY"),$F7=ACC_SUPPLIERS),"سداد الموردين يتم من Supplier_Payments",IF(AND(OR($U7="RCV",$U7="PAY"),$H7=""),"المستلم/الدافع ناقص",IF(AND(OR($U7="RCV",$U7="PAY"),$J7=""),"طريقة الدفع ناقصة",IF(AND(OR($U7="RCV",$U7="PAY"),OR($F7=ACC_CUSTOMERS,$F7=1501,$F7=1502),$G7=""),"كود الجهة إلزامي لهذا الحساب",IF(AND($F7=ACC_CUSTOMERS,$G7&lt;&gt;"",COUNTIF(Customers!$A:$A,$G7)=0),"كود العميل غير معرف",IF(AND(OR($F7=1501,$F7=1502),$G7&lt;&gt;"",COUNTIF(Employees!$A:$A,$G7)=0),"كود الموظف غير معرف",IF(AND($M7&lt;&gt;"",COUNTIF(Doc_Register!$A:$A,$M7)=0),"المستند المرتبط غير موجود",IF(AND(OR($U7="PAY",$U7="SHT"),NOT(COUNTIF(Cost_Centers!$A:$A,$AE7)&gt;0)),"مركز التكلفة غير معرف",""))))))))))))))))))))))))))))))</f>
        <v/>
      </c>
      <c r="AL7" s="32">
        <f>IF($AJ7=1,IF($AK7&lt;&gt;"",1,0),0)</f>
        <v/>
      </c>
      <c r="AM7" s="32">
        <f>IF(AND($AJ7=1,$AL7=0,$N7=ST_POST),1,0)</f>
        <v/>
      </c>
    </row>
    <row r="8">
      <c r="A8" s="29" t="n"/>
      <c r="B8" s="31" t="n"/>
      <c r="C8" s="29" t="n"/>
      <c r="D8" s="39" t="n"/>
      <c r="E8" s="39" t="n"/>
      <c r="F8" s="39" t="n"/>
      <c r="G8" s="29" t="n"/>
      <c r="H8" s="29" t="n"/>
      <c r="I8" s="42" t="n"/>
      <c r="J8" s="29" t="n"/>
      <c r="K8" s="29" t="n"/>
      <c r="L8" s="39" t="n"/>
      <c r="M8" s="29" t="n"/>
      <c r="N8" s="39" t="n"/>
      <c r="O8" s="29" t="n"/>
      <c r="P8" s="29" t="n"/>
      <c r="Q8" s="29" t="n"/>
      <c r="R8" s="29" t="n"/>
      <c r="S8" s="29" t="n"/>
      <c r="T8" s="29" t="n"/>
      <c r="U8" s="32">
        <f>IF($AJ8=1,IFERROR(INDEX(Lists!$F:$F,MATCH($C8,Lists!$E:$E,0)),"?"),"")</f>
        <v/>
      </c>
      <c r="V8" s="32">
        <f>IF($AJ8=1,IFERROR(INDEX(Lists!$G:$G,MATCH($C8,Lists!$E:$E,0)),"?"),"")</f>
        <v/>
      </c>
      <c r="W8" s="32">
        <f>IF($AJ8=1,IFERROR(INDEX(Treasuries!$E:$E,MATCH($D8,Treasuries!$A:$A,0)),"؟"),"")</f>
        <v/>
      </c>
      <c r="X8" s="32">
        <f>IF(AND($AJ8=1,$E8&lt;&gt;""),IFERROR(INDEX(Treasuries!$E:$E,MATCH($E8,Treasuries!$A:$A,0)),"؟"),"")</f>
        <v/>
      </c>
      <c r="Y8" s="32">
        <f>IF($AJ8=1,IFERROR(INDEX(Treasuries!$D:$D,MATCH($D8,Treasuries!$A:$A,0)),"؟"),"")</f>
        <v/>
      </c>
      <c r="Z8" s="32">
        <f>IF(AND($AJ8=1,$E8&lt;&gt;""),IFERROR(INDEX(Treasuries!$D:$D,MATCH($E8,Treasuries!$A:$A,0)),"؟"),"")</f>
        <v/>
      </c>
      <c r="AA8" s="44">
        <f>IF($AJ8=1,IF($U8="RCV",$W8,IF($U8="PAY",$F8,IF(OR($U8="TRF",$U8="DEP",$U8="WDR"),$X8,IF($U8="SHT",ACC_CASH_SHORT,IF($U8="OVR",$W8,"؟"))))),"")</f>
        <v/>
      </c>
      <c r="AB8" s="44">
        <f>IF($AJ8=1,IF($U8="RCV",$F8,IF($U8="PAY",$W8,IF(OR($U8="TRF",$U8="DEP",$U8="WDR"),$W8,IF($U8="SHT",$W8,IF($U8="OVR",ACC_CASH_OVER,"؟"))))),"")</f>
        <v/>
      </c>
      <c r="AC8" s="32">
        <f>IF($AJ8=1,IF(OR($U8="TRF",$U8="DEP",$U8="WDR"),$Z8,$Y8),"")</f>
        <v/>
      </c>
      <c r="AD8" s="32">
        <f>IF($AJ8=1,$Y8,"")</f>
        <v/>
      </c>
      <c r="AE8" s="32">
        <f>IF($AJ8=1,IF(OR($U8="PAY",$U8="SHT"),IF($L8="","CC00",$L8),"CC00"),"")</f>
        <v/>
      </c>
      <c r="AF8" s="32">
        <f>IF($AJ8=1,IF(OR($U8="RCV",$U8="OVR"),IF($L8="","CC00",$L8),"CC00"),"")</f>
        <v/>
      </c>
      <c r="AG8" s="32">
        <f>IF($AJ8=1,IF(AND($U8="PAY",$G8&lt;&gt;""),$G8,"-"),"")</f>
        <v/>
      </c>
      <c r="AH8" s="32">
        <f>IF($AJ8=1,IF(AND($U8="RCV",$G8&lt;&gt;""),$G8,"-"),"")</f>
        <v/>
      </c>
      <c r="AI8" s="32">
        <f>IF($AJ8=1,IF(OR($U8="TRF",$U8="DEP",$U8="WDR"),"INTERNAL",IF(OR($U8="RCV",$U8="PAY"),IFERROR(IF(INDEX(COA!$I:$I,MATCH($F8,COA!$A:$A,0))="","OPERATING",INDEX(COA!$I:$I,MATCH($F8,COA!$A:$A,0))),"OPERATING"),"OPERATING")),"")</f>
        <v/>
      </c>
      <c r="AJ8" s="32">
        <f>IF(COUNTA($A8:$T8)&gt;0,1,0)</f>
        <v/>
      </c>
      <c r="AK8" s="32">
        <f>IF($AJ8=0,"",IF($A8="","رقم المستند ناقص",IF(COUNTIF(Doc_Register!$A:$A,$A8)&gt;1,"رقم مستند مكرر في السجل المركزي",IF(LEFT($A8,LEN($V8)+1)&lt;&gt;$V8&amp;"-","بادئة الرقم لا تطابق نوع المستند",IF(NOT(ISNUMBER($B8)),"التاريخ ناقص أو غير صحيح",IF($N8="","حالة المستند ناقصة",IF($O8="","اسم المُعِد ناقص",IF(AND(OR($N8=ST_APPR,$N8=ST_POST),$P8=""),"لا يوجد معتمد",IF(AND($P8&lt;&gt;"",$P8=$O8),"المُعِد والمعتمد نفس الشخص (فصل المهام)",IF(AND($N8=ST_POST,$Q8=""),"اسم المحاسب المرحِّل ناقص",IF(AND($N8=ST_POST,$Q8&lt;&gt;"",OR($Q8=$O8,$Q8=$P8)),"المرحِّل يجب أن يختلف عن المُعِد والمعتمد",IF(AND($N8=ST_REV,$S8=""),"مرجع التصحيح/الإلغاء ناقص",IF(AND(ISNUMBER($B8),OR($N8=ST_DRAFT,$N8=ST_APPR),COUNTIFS(Period_Close!$A:$A,YEAR($B8)*100+MONTH($B8),Period_Close!$B:$B,"مقفلة")&gt;0),"الفترة مقفلة: لا يسمح بمستند جديد",IF($U8="?","نوع السند غير معرف",IF(COUNTIFS(COA!$A:$A,$W8,COA!$R:$R,1)&lt;&gt;1,"الخزينة/البنك غير معرف أو غير صالح",IF(NOT(N($I8)&gt;0),"المبلغ يجب أن يكون أكبر من صفر",IF(AND(OR($U8="TRF",$U8="DEP",$U8="WDR"),$E8=""),"الخزينة المستلمة ناقصة",IF(AND(OR($U8="TRF",$U8="DEP",$U8="WDR"),$E8=$D8),"التحويل إلى نفس الخزينة",IF(AND(OR($U8="TRF",$U8="DEP",$U8="WDR"),COUNTIFS(COA!$A:$A,$X8,COA!$R:$R,1)&lt;&gt;1),"الخزينة المستلمة غير صالحة",IF(AND(OR($U8="RCV",$U8="PAY"),$F8=""),"الحساب المقابل ناقص",IF(AND(OR($U8="RCV",$U8="PAY"),COUNTIFS(COA!$A:$A,$F8,COA!$R:$R,1)&lt;&gt;1),"الحساب المقابل غير صالح أو رئيسي",IF(AND(OR($U8="RCV",$U8="PAY"),IFERROR(INDEX(COA!$H:$H,MATCH($F8,COA!$A:$A,0)),0)=1),"الحساب المقابل نقدي: استخدم تحويل بين الخزائن",IF(AND(OR($U8="RCV",$U8="PAY"),$F8=ACC_SUPPLIERS),"سداد الموردين يتم من Supplier_Payments",IF(AND(OR($U8="RCV",$U8="PAY"),$H8=""),"المستلم/الدافع ناقص",IF(AND(OR($U8="RCV",$U8="PAY"),$J8=""),"طريقة الدفع ناقصة",IF(AND(OR($U8="RCV",$U8="PAY"),OR($F8=ACC_CUSTOMERS,$F8=1501,$F8=1502),$G8=""),"كود الجهة إلزامي لهذا الحساب",IF(AND($F8=ACC_CUSTOMERS,$G8&lt;&gt;"",COUNTIF(Customers!$A:$A,$G8)=0),"كود العميل غير معرف",IF(AND(OR($F8=1501,$F8=1502),$G8&lt;&gt;"",COUNTIF(Employees!$A:$A,$G8)=0),"كود الموظف غير معرف",IF(AND($M8&lt;&gt;"",COUNTIF(Doc_Register!$A:$A,$M8)=0),"المستند المرتبط غير موجود",IF(AND(OR($U8="PAY",$U8="SHT"),NOT(COUNTIF(Cost_Centers!$A:$A,$AE8)&gt;0)),"مركز التكلفة غير معرف",""))))))))))))))))))))))))))))))</f>
        <v/>
      </c>
      <c r="AL8" s="32">
        <f>IF($AJ8=1,IF($AK8&lt;&gt;"",1,0),0)</f>
        <v/>
      </c>
      <c r="AM8" s="32">
        <f>IF(AND($AJ8=1,$AL8=0,$N8=ST_POST),1,0)</f>
        <v/>
      </c>
    </row>
    <row r="9">
      <c r="A9" s="29" t="n"/>
      <c r="B9" s="31" t="n"/>
      <c r="C9" s="29" t="n"/>
      <c r="D9" s="39" t="n"/>
      <c r="E9" s="39" t="n"/>
      <c r="F9" s="39" t="n"/>
      <c r="G9" s="29" t="n"/>
      <c r="H9" s="29" t="n"/>
      <c r="I9" s="42" t="n"/>
      <c r="J9" s="29" t="n"/>
      <c r="K9" s="29" t="n"/>
      <c r="L9" s="39" t="n"/>
      <c r="M9" s="29" t="n"/>
      <c r="N9" s="39" t="n"/>
      <c r="O9" s="29" t="n"/>
      <c r="P9" s="29" t="n"/>
      <c r="Q9" s="29" t="n"/>
      <c r="R9" s="29" t="n"/>
      <c r="S9" s="29" t="n"/>
      <c r="T9" s="29" t="n"/>
      <c r="U9" s="32">
        <f>IF($AJ9=1,IFERROR(INDEX(Lists!$F:$F,MATCH($C9,Lists!$E:$E,0)),"?"),"")</f>
        <v/>
      </c>
      <c r="V9" s="32">
        <f>IF($AJ9=1,IFERROR(INDEX(Lists!$G:$G,MATCH($C9,Lists!$E:$E,0)),"?"),"")</f>
        <v/>
      </c>
      <c r="W9" s="32">
        <f>IF($AJ9=1,IFERROR(INDEX(Treasuries!$E:$E,MATCH($D9,Treasuries!$A:$A,0)),"؟"),"")</f>
        <v/>
      </c>
      <c r="X9" s="32">
        <f>IF(AND($AJ9=1,$E9&lt;&gt;""),IFERROR(INDEX(Treasuries!$E:$E,MATCH($E9,Treasuries!$A:$A,0)),"؟"),"")</f>
        <v/>
      </c>
      <c r="Y9" s="32">
        <f>IF($AJ9=1,IFERROR(INDEX(Treasuries!$D:$D,MATCH($D9,Treasuries!$A:$A,0)),"؟"),"")</f>
        <v/>
      </c>
      <c r="Z9" s="32">
        <f>IF(AND($AJ9=1,$E9&lt;&gt;""),IFERROR(INDEX(Treasuries!$D:$D,MATCH($E9,Treasuries!$A:$A,0)),"؟"),"")</f>
        <v/>
      </c>
      <c r="AA9" s="44">
        <f>IF($AJ9=1,IF($U9="RCV",$W9,IF($U9="PAY",$F9,IF(OR($U9="TRF",$U9="DEP",$U9="WDR"),$X9,IF($U9="SHT",ACC_CASH_SHORT,IF($U9="OVR",$W9,"؟"))))),"")</f>
        <v/>
      </c>
      <c r="AB9" s="44">
        <f>IF($AJ9=1,IF($U9="RCV",$F9,IF($U9="PAY",$W9,IF(OR($U9="TRF",$U9="DEP",$U9="WDR"),$W9,IF($U9="SHT",$W9,IF($U9="OVR",ACC_CASH_OVER,"؟"))))),"")</f>
        <v/>
      </c>
      <c r="AC9" s="32">
        <f>IF($AJ9=1,IF(OR($U9="TRF",$U9="DEP",$U9="WDR"),$Z9,$Y9),"")</f>
        <v/>
      </c>
      <c r="AD9" s="32">
        <f>IF($AJ9=1,$Y9,"")</f>
        <v/>
      </c>
      <c r="AE9" s="32">
        <f>IF($AJ9=1,IF(OR($U9="PAY",$U9="SHT"),IF($L9="","CC00",$L9),"CC00"),"")</f>
        <v/>
      </c>
      <c r="AF9" s="32">
        <f>IF($AJ9=1,IF(OR($U9="RCV",$U9="OVR"),IF($L9="","CC00",$L9),"CC00"),"")</f>
        <v/>
      </c>
      <c r="AG9" s="32">
        <f>IF($AJ9=1,IF(AND($U9="PAY",$G9&lt;&gt;""),$G9,"-"),"")</f>
        <v/>
      </c>
      <c r="AH9" s="32">
        <f>IF($AJ9=1,IF(AND($U9="RCV",$G9&lt;&gt;""),$G9,"-"),"")</f>
        <v/>
      </c>
      <c r="AI9" s="32">
        <f>IF($AJ9=1,IF(OR($U9="TRF",$U9="DEP",$U9="WDR"),"INTERNAL",IF(OR($U9="RCV",$U9="PAY"),IFERROR(IF(INDEX(COA!$I:$I,MATCH($F9,COA!$A:$A,0))="","OPERATING",INDEX(COA!$I:$I,MATCH($F9,COA!$A:$A,0))),"OPERATING"),"OPERATING")),"")</f>
        <v/>
      </c>
      <c r="AJ9" s="32">
        <f>IF(COUNTA($A9:$T9)&gt;0,1,0)</f>
        <v/>
      </c>
      <c r="AK9" s="32">
        <f>IF($AJ9=0,"",IF($A9="","رقم المستند ناقص",IF(COUNTIF(Doc_Register!$A:$A,$A9)&gt;1,"رقم مستند مكرر في السجل المركزي",IF(LEFT($A9,LEN($V9)+1)&lt;&gt;$V9&amp;"-","بادئة الرقم لا تطابق نوع المستند",IF(NOT(ISNUMBER($B9)),"التاريخ ناقص أو غير صحيح",IF($N9="","حالة المستند ناقصة",IF($O9="","اسم المُعِد ناقص",IF(AND(OR($N9=ST_APPR,$N9=ST_POST),$P9=""),"لا يوجد معتمد",IF(AND($P9&lt;&gt;"",$P9=$O9),"المُعِد والمعتمد نفس الشخص (فصل المهام)",IF(AND($N9=ST_POST,$Q9=""),"اسم المحاسب المرحِّل ناقص",IF(AND($N9=ST_POST,$Q9&lt;&gt;"",OR($Q9=$O9,$Q9=$P9)),"المرحِّل يجب أن يختلف عن المُعِد والمعتمد",IF(AND($N9=ST_REV,$S9=""),"مرجع التصحيح/الإلغاء ناقص",IF(AND(ISNUMBER($B9),OR($N9=ST_DRAFT,$N9=ST_APPR),COUNTIFS(Period_Close!$A:$A,YEAR($B9)*100+MONTH($B9),Period_Close!$B:$B,"مقفلة")&gt;0),"الفترة مقفلة: لا يسمح بمستند جديد",IF($U9="?","نوع السند غير معرف",IF(COUNTIFS(COA!$A:$A,$W9,COA!$R:$R,1)&lt;&gt;1,"الخزينة/البنك غير معرف أو غير صالح",IF(NOT(N($I9)&gt;0),"المبلغ يجب أن يكون أكبر من صفر",IF(AND(OR($U9="TRF",$U9="DEP",$U9="WDR"),$E9=""),"الخزينة المستلمة ناقصة",IF(AND(OR($U9="TRF",$U9="DEP",$U9="WDR"),$E9=$D9),"التحويل إلى نفس الخزينة",IF(AND(OR($U9="TRF",$U9="DEP",$U9="WDR"),COUNTIFS(COA!$A:$A,$X9,COA!$R:$R,1)&lt;&gt;1),"الخزينة المستلمة غير صالحة",IF(AND(OR($U9="RCV",$U9="PAY"),$F9=""),"الحساب المقابل ناقص",IF(AND(OR($U9="RCV",$U9="PAY"),COUNTIFS(COA!$A:$A,$F9,COA!$R:$R,1)&lt;&gt;1),"الحساب المقابل غير صالح أو رئيسي",IF(AND(OR($U9="RCV",$U9="PAY"),IFERROR(INDEX(COA!$H:$H,MATCH($F9,COA!$A:$A,0)),0)=1),"الحساب المقابل نقدي: استخدم تحويل بين الخزائن",IF(AND(OR($U9="RCV",$U9="PAY"),$F9=ACC_SUPPLIERS),"سداد الموردين يتم من Supplier_Payments",IF(AND(OR($U9="RCV",$U9="PAY"),$H9=""),"المستلم/الدافع ناقص",IF(AND(OR($U9="RCV",$U9="PAY"),$J9=""),"طريقة الدفع ناقصة",IF(AND(OR($U9="RCV",$U9="PAY"),OR($F9=ACC_CUSTOMERS,$F9=1501,$F9=1502),$G9=""),"كود الجهة إلزامي لهذا الحساب",IF(AND($F9=ACC_CUSTOMERS,$G9&lt;&gt;"",COUNTIF(Customers!$A:$A,$G9)=0),"كود العميل غير معرف",IF(AND(OR($F9=1501,$F9=1502),$G9&lt;&gt;"",COUNTIF(Employees!$A:$A,$G9)=0),"كود الموظف غير معرف",IF(AND($M9&lt;&gt;"",COUNTIF(Doc_Register!$A:$A,$M9)=0),"المستند المرتبط غير موجود",IF(AND(OR($U9="PAY",$U9="SHT"),NOT(COUNTIF(Cost_Centers!$A:$A,$AE9)&gt;0)),"مركز التكلفة غير معرف",""))))))))))))))))))))))))))))))</f>
        <v/>
      </c>
      <c r="AL9" s="32">
        <f>IF($AJ9=1,IF($AK9&lt;&gt;"",1,0),0)</f>
        <v/>
      </c>
      <c r="AM9" s="32">
        <f>IF(AND($AJ9=1,$AL9=0,$N9=ST_POST),1,0)</f>
        <v/>
      </c>
    </row>
    <row r="10">
      <c r="A10" s="29" t="n"/>
      <c r="B10" s="31" t="n"/>
      <c r="C10" s="29" t="n"/>
      <c r="D10" s="39" t="n"/>
      <c r="E10" s="39" t="n"/>
      <c r="F10" s="39" t="n"/>
      <c r="G10" s="29" t="n"/>
      <c r="H10" s="29" t="n"/>
      <c r="I10" s="42" t="n"/>
      <c r="J10" s="29" t="n"/>
      <c r="K10" s="29" t="n"/>
      <c r="L10" s="39" t="n"/>
      <c r="M10" s="29" t="n"/>
      <c r="N10" s="39" t="n"/>
      <c r="O10" s="29" t="n"/>
      <c r="P10" s="29" t="n"/>
      <c r="Q10" s="29" t="n"/>
      <c r="R10" s="29" t="n"/>
      <c r="S10" s="29" t="n"/>
      <c r="T10" s="29" t="n"/>
      <c r="U10" s="32">
        <f>IF($AJ10=1,IFERROR(INDEX(Lists!$F:$F,MATCH($C10,Lists!$E:$E,0)),"?"),"")</f>
        <v/>
      </c>
      <c r="V10" s="32">
        <f>IF($AJ10=1,IFERROR(INDEX(Lists!$G:$G,MATCH($C10,Lists!$E:$E,0)),"?"),"")</f>
        <v/>
      </c>
      <c r="W10" s="32">
        <f>IF($AJ10=1,IFERROR(INDEX(Treasuries!$E:$E,MATCH($D10,Treasuries!$A:$A,0)),"؟"),"")</f>
        <v/>
      </c>
      <c r="X10" s="32">
        <f>IF(AND($AJ10=1,$E10&lt;&gt;""),IFERROR(INDEX(Treasuries!$E:$E,MATCH($E10,Treasuries!$A:$A,0)),"؟"),"")</f>
        <v/>
      </c>
      <c r="Y10" s="32">
        <f>IF($AJ10=1,IFERROR(INDEX(Treasuries!$D:$D,MATCH($D10,Treasuries!$A:$A,0)),"؟"),"")</f>
        <v/>
      </c>
      <c r="Z10" s="32">
        <f>IF(AND($AJ10=1,$E10&lt;&gt;""),IFERROR(INDEX(Treasuries!$D:$D,MATCH($E10,Treasuries!$A:$A,0)),"؟"),"")</f>
        <v/>
      </c>
      <c r="AA10" s="44">
        <f>IF($AJ10=1,IF($U10="RCV",$W10,IF($U10="PAY",$F10,IF(OR($U10="TRF",$U10="DEP",$U10="WDR"),$X10,IF($U10="SHT",ACC_CASH_SHORT,IF($U10="OVR",$W10,"؟"))))),"")</f>
        <v/>
      </c>
      <c r="AB10" s="44">
        <f>IF($AJ10=1,IF($U10="RCV",$F10,IF($U10="PAY",$W10,IF(OR($U10="TRF",$U10="DEP",$U10="WDR"),$W10,IF($U10="SHT",$W10,IF($U10="OVR",ACC_CASH_OVER,"؟"))))),"")</f>
        <v/>
      </c>
      <c r="AC10" s="32">
        <f>IF($AJ10=1,IF(OR($U10="TRF",$U10="DEP",$U10="WDR"),$Z10,$Y10),"")</f>
        <v/>
      </c>
      <c r="AD10" s="32">
        <f>IF($AJ10=1,$Y10,"")</f>
        <v/>
      </c>
      <c r="AE10" s="32">
        <f>IF($AJ10=1,IF(OR($U10="PAY",$U10="SHT"),IF($L10="","CC00",$L10),"CC00"),"")</f>
        <v/>
      </c>
      <c r="AF10" s="32">
        <f>IF($AJ10=1,IF(OR($U10="RCV",$U10="OVR"),IF($L10="","CC00",$L10),"CC00"),"")</f>
        <v/>
      </c>
      <c r="AG10" s="32">
        <f>IF($AJ10=1,IF(AND($U10="PAY",$G10&lt;&gt;""),$G10,"-"),"")</f>
        <v/>
      </c>
      <c r="AH10" s="32">
        <f>IF($AJ10=1,IF(AND($U10="RCV",$G10&lt;&gt;""),$G10,"-"),"")</f>
        <v/>
      </c>
      <c r="AI10" s="32">
        <f>IF($AJ10=1,IF(OR($U10="TRF",$U10="DEP",$U10="WDR"),"INTERNAL",IF(OR($U10="RCV",$U10="PAY"),IFERROR(IF(INDEX(COA!$I:$I,MATCH($F10,COA!$A:$A,0))="","OPERATING",INDEX(COA!$I:$I,MATCH($F10,COA!$A:$A,0))),"OPERATING"),"OPERATING")),"")</f>
        <v/>
      </c>
      <c r="AJ10" s="32">
        <f>IF(COUNTA($A10:$T10)&gt;0,1,0)</f>
        <v/>
      </c>
      <c r="AK10" s="32">
        <f>IF($AJ10=0,"",IF($A10="","رقم المستند ناقص",IF(COUNTIF(Doc_Register!$A:$A,$A10)&gt;1,"رقم مستند مكرر في السجل المركزي",IF(LEFT($A10,LEN($V10)+1)&lt;&gt;$V10&amp;"-","بادئة الرقم لا تطابق نوع المستند",IF(NOT(ISNUMBER($B10)),"التاريخ ناقص أو غير صحيح",IF($N10="","حالة المستند ناقصة",IF($O10="","اسم المُعِد ناقص",IF(AND(OR($N10=ST_APPR,$N10=ST_POST),$P10=""),"لا يوجد معتمد",IF(AND($P10&lt;&gt;"",$P10=$O10),"المُعِد والمعتمد نفس الشخص (فصل المهام)",IF(AND($N10=ST_POST,$Q10=""),"اسم المحاسب المرحِّل ناقص",IF(AND($N10=ST_POST,$Q10&lt;&gt;"",OR($Q10=$O10,$Q10=$P10)),"المرحِّل يجب أن يختلف عن المُعِد والمعتمد",IF(AND($N10=ST_REV,$S10=""),"مرجع التصحيح/الإلغاء ناقص",IF(AND(ISNUMBER($B10),OR($N10=ST_DRAFT,$N10=ST_APPR),COUNTIFS(Period_Close!$A:$A,YEAR($B10)*100+MONTH($B10),Period_Close!$B:$B,"مقفلة")&gt;0),"الفترة مقفلة: لا يسمح بمستند جديد",IF($U10="?","نوع السند غير معرف",IF(COUNTIFS(COA!$A:$A,$W10,COA!$R:$R,1)&lt;&gt;1,"الخزينة/البنك غير معرف أو غير صالح",IF(NOT(N($I10)&gt;0),"المبلغ يجب أن يكون أكبر من صفر",IF(AND(OR($U10="TRF",$U10="DEP",$U10="WDR"),$E10=""),"الخزينة المستلمة ناقصة",IF(AND(OR($U10="TRF",$U10="DEP",$U10="WDR"),$E10=$D10),"التحويل إلى نفس الخزينة",IF(AND(OR($U10="TRF",$U10="DEP",$U10="WDR"),COUNTIFS(COA!$A:$A,$X10,COA!$R:$R,1)&lt;&gt;1),"الخزينة المستلمة غير صالحة",IF(AND(OR($U10="RCV",$U10="PAY"),$F10=""),"الحساب المقابل ناقص",IF(AND(OR($U10="RCV",$U10="PAY"),COUNTIFS(COA!$A:$A,$F10,COA!$R:$R,1)&lt;&gt;1),"الحساب المقابل غير صالح أو رئيسي",IF(AND(OR($U10="RCV",$U10="PAY"),IFERROR(INDEX(COA!$H:$H,MATCH($F10,COA!$A:$A,0)),0)=1),"الحساب المقابل نقدي: استخدم تحويل بين الخزائن",IF(AND(OR($U10="RCV",$U10="PAY"),$F10=ACC_SUPPLIERS),"سداد الموردين يتم من Supplier_Payments",IF(AND(OR($U10="RCV",$U10="PAY"),$H10=""),"المستلم/الدافع ناقص",IF(AND(OR($U10="RCV",$U10="PAY"),$J10=""),"طريقة الدفع ناقصة",IF(AND(OR($U10="RCV",$U10="PAY"),OR($F10=ACC_CUSTOMERS,$F10=1501,$F10=1502),$G10=""),"كود الجهة إلزامي لهذا الحساب",IF(AND($F10=ACC_CUSTOMERS,$G10&lt;&gt;"",COUNTIF(Customers!$A:$A,$G10)=0),"كود العميل غير معرف",IF(AND(OR($F10=1501,$F10=1502),$G10&lt;&gt;"",COUNTIF(Employees!$A:$A,$G10)=0),"كود الموظف غير معرف",IF(AND($M10&lt;&gt;"",COUNTIF(Doc_Register!$A:$A,$M10)=0),"المستند المرتبط غير موجود",IF(AND(OR($U10="PAY",$U10="SHT"),NOT(COUNTIF(Cost_Centers!$A:$A,$AE10)&gt;0)),"مركز التكلفة غير معرف",""))))))))))))))))))))))))))))))</f>
        <v/>
      </c>
      <c r="AL10" s="32">
        <f>IF($AJ10=1,IF($AK10&lt;&gt;"",1,0),0)</f>
        <v/>
      </c>
      <c r="AM10" s="32">
        <f>IF(AND($AJ10=1,$AL10=0,$N10=ST_POST),1,0)</f>
        <v/>
      </c>
    </row>
    <row r="11">
      <c r="A11" s="29" t="n"/>
      <c r="B11" s="31" t="n"/>
      <c r="C11" s="29" t="n"/>
      <c r="D11" s="39" t="n"/>
      <c r="E11" s="39" t="n"/>
      <c r="F11" s="39" t="n"/>
      <c r="G11" s="29" t="n"/>
      <c r="H11" s="29" t="n"/>
      <c r="I11" s="42" t="n"/>
      <c r="J11" s="29" t="n"/>
      <c r="K11" s="29" t="n"/>
      <c r="L11" s="39" t="n"/>
      <c r="M11" s="29" t="n"/>
      <c r="N11" s="39" t="n"/>
      <c r="O11" s="29" t="n"/>
      <c r="P11" s="29" t="n"/>
      <c r="Q11" s="29" t="n"/>
      <c r="R11" s="29" t="n"/>
      <c r="S11" s="29" t="n"/>
      <c r="T11" s="29" t="n"/>
      <c r="U11" s="32">
        <f>IF($AJ11=1,IFERROR(INDEX(Lists!$F:$F,MATCH($C11,Lists!$E:$E,0)),"?"),"")</f>
        <v/>
      </c>
      <c r="V11" s="32">
        <f>IF($AJ11=1,IFERROR(INDEX(Lists!$G:$G,MATCH($C11,Lists!$E:$E,0)),"?"),"")</f>
        <v/>
      </c>
      <c r="W11" s="32">
        <f>IF($AJ11=1,IFERROR(INDEX(Treasuries!$E:$E,MATCH($D11,Treasuries!$A:$A,0)),"؟"),"")</f>
        <v/>
      </c>
      <c r="X11" s="32">
        <f>IF(AND($AJ11=1,$E11&lt;&gt;""),IFERROR(INDEX(Treasuries!$E:$E,MATCH($E11,Treasuries!$A:$A,0)),"؟"),"")</f>
        <v/>
      </c>
      <c r="Y11" s="32">
        <f>IF($AJ11=1,IFERROR(INDEX(Treasuries!$D:$D,MATCH($D11,Treasuries!$A:$A,0)),"؟"),"")</f>
        <v/>
      </c>
      <c r="Z11" s="32">
        <f>IF(AND($AJ11=1,$E11&lt;&gt;""),IFERROR(INDEX(Treasuries!$D:$D,MATCH($E11,Treasuries!$A:$A,0)),"؟"),"")</f>
        <v/>
      </c>
      <c r="AA11" s="44">
        <f>IF($AJ11=1,IF($U11="RCV",$W11,IF($U11="PAY",$F11,IF(OR($U11="TRF",$U11="DEP",$U11="WDR"),$X11,IF($U11="SHT",ACC_CASH_SHORT,IF($U11="OVR",$W11,"؟"))))),"")</f>
        <v/>
      </c>
      <c r="AB11" s="44">
        <f>IF($AJ11=1,IF($U11="RCV",$F11,IF($U11="PAY",$W11,IF(OR($U11="TRF",$U11="DEP",$U11="WDR"),$W11,IF($U11="SHT",$W11,IF($U11="OVR",ACC_CASH_OVER,"؟"))))),"")</f>
        <v/>
      </c>
      <c r="AC11" s="32">
        <f>IF($AJ11=1,IF(OR($U11="TRF",$U11="DEP",$U11="WDR"),$Z11,$Y11),"")</f>
        <v/>
      </c>
      <c r="AD11" s="32">
        <f>IF($AJ11=1,$Y11,"")</f>
        <v/>
      </c>
      <c r="AE11" s="32">
        <f>IF($AJ11=1,IF(OR($U11="PAY",$U11="SHT"),IF($L11="","CC00",$L11),"CC00"),"")</f>
        <v/>
      </c>
      <c r="AF11" s="32">
        <f>IF($AJ11=1,IF(OR($U11="RCV",$U11="OVR"),IF($L11="","CC00",$L11),"CC00"),"")</f>
        <v/>
      </c>
      <c r="AG11" s="32">
        <f>IF($AJ11=1,IF(AND($U11="PAY",$G11&lt;&gt;""),$G11,"-"),"")</f>
        <v/>
      </c>
      <c r="AH11" s="32">
        <f>IF($AJ11=1,IF(AND($U11="RCV",$G11&lt;&gt;""),$G11,"-"),"")</f>
        <v/>
      </c>
      <c r="AI11" s="32">
        <f>IF($AJ11=1,IF(OR($U11="TRF",$U11="DEP",$U11="WDR"),"INTERNAL",IF(OR($U11="RCV",$U11="PAY"),IFERROR(IF(INDEX(COA!$I:$I,MATCH($F11,COA!$A:$A,0))="","OPERATING",INDEX(COA!$I:$I,MATCH($F11,COA!$A:$A,0))),"OPERATING"),"OPERATING")),"")</f>
        <v/>
      </c>
      <c r="AJ11" s="32">
        <f>IF(COUNTA($A11:$T11)&gt;0,1,0)</f>
        <v/>
      </c>
      <c r="AK11" s="32">
        <f>IF($AJ11=0,"",IF($A11="","رقم المستند ناقص",IF(COUNTIF(Doc_Register!$A:$A,$A11)&gt;1,"رقم مستند مكرر في السجل المركزي",IF(LEFT($A11,LEN($V11)+1)&lt;&gt;$V11&amp;"-","بادئة الرقم لا تطابق نوع المستند",IF(NOT(ISNUMBER($B11)),"التاريخ ناقص أو غير صحيح",IF($N11="","حالة المستند ناقصة",IF($O11="","اسم المُعِد ناقص",IF(AND(OR($N11=ST_APPR,$N11=ST_POST),$P11=""),"لا يوجد معتمد",IF(AND($P11&lt;&gt;"",$P11=$O11),"المُعِد والمعتمد نفس الشخص (فصل المهام)",IF(AND($N11=ST_POST,$Q11=""),"اسم المحاسب المرحِّل ناقص",IF(AND($N11=ST_POST,$Q11&lt;&gt;"",OR($Q11=$O11,$Q11=$P11)),"المرحِّل يجب أن يختلف عن المُعِد والمعتمد",IF(AND($N11=ST_REV,$S11=""),"مرجع التصحيح/الإلغاء ناقص",IF(AND(ISNUMBER($B11),OR($N11=ST_DRAFT,$N11=ST_APPR),COUNTIFS(Period_Close!$A:$A,YEAR($B11)*100+MONTH($B11),Period_Close!$B:$B,"مقفلة")&gt;0),"الفترة مقفلة: لا يسمح بمستند جديد",IF($U11="?","نوع السند غير معرف",IF(COUNTIFS(COA!$A:$A,$W11,COA!$R:$R,1)&lt;&gt;1,"الخزينة/البنك غير معرف أو غير صالح",IF(NOT(N($I11)&gt;0),"المبلغ يجب أن يكون أكبر من صفر",IF(AND(OR($U11="TRF",$U11="DEP",$U11="WDR"),$E11=""),"الخزينة المستلمة ناقصة",IF(AND(OR($U11="TRF",$U11="DEP",$U11="WDR"),$E11=$D11),"التحويل إلى نفس الخزينة",IF(AND(OR($U11="TRF",$U11="DEP",$U11="WDR"),COUNTIFS(COA!$A:$A,$X11,COA!$R:$R,1)&lt;&gt;1),"الخزينة المستلمة غير صالحة",IF(AND(OR($U11="RCV",$U11="PAY"),$F11=""),"الحساب المقابل ناقص",IF(AND(OR($U11="RCV",$U11="PAY"),COUNTIFS(COA!$A:$A,$F11,COA!$R:$R,1)&lt;&gt;1),"الحساب المقابل غير صالح أو رئيسي",IF(AND(OR($U11="RCV",$U11="PAY"),IFERROR(INDEX(COA!$H:$H,MATCH($F11,COA!$A:$A,0)),0)=1),"الحساب المقابل نقدي: استخدم تحويل بين الخزائن",IF(AND(OR($U11="RCV",$U11="PAY"),$F11=ACC_SUPPLIERS),"سداد الموردين يتم من Supplier_Payments",IF(AND(OR($U11="RCV",$U11="PAY"),$H11=""),"المستلم/الدافع ناقص",IF(AND(OR($U11="RCV",$U11="PAY"),$J11=""),"طريقة الدفع ناقصة",IF(AND(OR($U11="RCV",$U11="PAY"),OR($F11=ACC_CUSTOMERS,$F11=1501,$F11=1502),$G11=""),"كود الجهة إلزامي لهذا الحساب",IF(AND($F11=ACC_CUSTOMERS,$G11&lt;&gt;"",COUNTIF(Customers!$A:$A,$G11)=0),"كود العميل غير معرف",IF(AND(OR($F11=1501,$F11=1502),$G11&lt;&gt;"",COUNTIF(Employees!$A:$A,$G11)=0),"كود الموظف غير معرف",IF(AND($M11&lt;&gt;"",COUNTIF(Doc_Register!$A:$A,$M11)=0),"المستند المرتبط غير موجود",IF(AND(OR($U11="PAY",$U11="SHT"),NOT(COUNTIF(Cost_Centers!$A:$A,$AE11)&gt;0)),"مركز التكلفة غير معرف",""))))))))))))))))))))))))))))))</f>
        <v/>
      </c>
      <c r="AL11" s="32">
        <f>IF($AJ11=1,IF($AK11&lt;&gt;"",1,0),0)</f>
        <v/>
      </c>
      <c r="AM11" s="32">
        <f>IF(AND($AJ11=1,$AL11=0,$N11=ST_POST),1,0)</f>
        <v/>
      </c>
    </row>
    <row r="12">
      <c r="A12" s="29" t="n"/>
      <c r="B12" s="31" t="n"/>
      <c r="C12" s="29" t="n"/>
      <c r="D12" s="39" t="n"/>
      <c r="E12" s="39" t="n"/>
      <c r="F12" s="39" t="n"/>
      <c r="G12" s="29" t="n"/>
      <c r="H12" s="29" t="n"/>
      <c r="I12" s="42" t="n"/>
      <c r="J12" s="29" t="n"/>
      <c r="K12" s="29" t="n"/>
      <c r="L12" s="39" t="n"/>
      <c r="M12" s="29" t="n"/>
      <c r="N12" s="39" t="n"/>
      <c r="O12" s="29" t="n"/>
      <c r="P12" s="29" t="n"/>
      <c r="Q12" s="29" t="n"/>
      <c r="R12" s="29" t="n"/>
      <c r="S12" s="29" t="n"/>
      <c r="T12" s="29" t="n"/>
      <c r="U12" s="32">
        <f>IF($AJ12=1,IFERROR(INDEX(Lists!$F:$F,MATCH($C12,Lists!$E:$E,0)),"?"),"")</f>
        <v/>
      </c>
      <c r="V12" s="32">
        <f>IF($AJ12=1,IFERROR(INDEX(Lists!$G:$G,MATCH($C12,Lists!$E:$E,0)),"?"),"")</f>
        <v/>
      </c>
      <c r="W12" s="32">
        <f>IF($AJ12=1,IFERROR(INDEX(Treasuries!$E:$E,MATCH($D12,Treasuries!$A:$A,0)),"؟"),"")</f>
        <v/>
      </c>
      <c r="X12" s="32">
        <f>IF(AND($AJ12=1,$E12&lt;&gt;""),IFERROR(INDEX(Treasuries!$E:$E,MATCH($E12,Treasuries!$A:$A,0)),"؟"),"")</f>
        <v/>
      </c>
      <c r="Y12" s="32">
        <f>IF($AJ12=1,IFERROR(INDEX(Treasuries!$D:$D,MATCH($D12,Treasuries!$A:$A,0)),"؟"),"")</f>
        <v/>
      </c>
      <c r="Z12" s="32">
        <f>IF(AND($AJ12=1,$E12&lt;&gt;""),IFERROR(INDEX(Treasuries!$D:$D,MATCH($E12,Treasuries!$A:$A,0)),"؟"),"")</f>
        <v/>
      </c>
      <c r="AA12" s="44">
        <f>IF($AJ12=1,IF($U12="RCV",$W12,IF($U12="PAY",$F12,IF(OR($U12="TRF",$U12="DEP",$U12="WDR"),$X12,IF($U12="SHT",ACC_CASH_SHORT,IF($U12="OVR",$W12,"؟"))))),"")</f>
        <v/>
      </c>
      <c r="AB12" s="44">
        <f>IF($AJ12=1,IF($U12="RCV",$F12,IF($U12="PAY",$W12,IF(OR($U12="TRF",$U12="DEP",$U12="WDR"),$W12,IF($U12="SHT",$W12,IF($U12="OVR",ACC_CASH_OVER,"؟"))))),"")</f>
        <v/>
      </c>
      <c r="AC12" s="32">
        <f>IF($AJ12=1,IF(OR($U12="TRF",$U12="DEP",$U12="WDR"),$Z12,$Y12),"")</f>
        <v/>
      </c>
      <c r="AD12" s="32">
        <f>IF($AJ12=1,$Y12,"")</f>
        <v/>
      </c>
      <c r="AE12" s="32">
        <f>IF($AJ12=1,IF(OR($U12="PAY",$U12="SHT"),IF($L12="","CC00",$L12),"CC00"),"")</f>
        <v/>
      </c>
      <c r="AF12" s="32">
        <f>IF($AJ12=1,IF(OR($U12="RCV",$U12="OVR"),IF($L12="","CC00",$L12),"CC00"),"")</f>
        <v/>
      </c>
      <c r="AG12" s="32">
        <f>IF($AJ12=1,IF(AND($U12="PAY",$G12&lt;&gt;""),$G12,"-"),"")</f>
        <v/>
      </c>
      <c r="AH12" s="32">
        <f>IF($AJ12=1,IF(AND($U12="RCV",$G12&lt;&gt;""),$G12,"-"),"")</f>
        <v/>
      </c>
      <c r="AI12" s="32">
        <f>IF($AJ12=1,IF(OR($U12="TRF",$U12="DEP",$U12="WDR"),"INTERNAL",IF(OR($U12="RCV",$U12="PAY"),IFERROR(IF(INDEX(COA!$I:$I,MATCH($F12,COA!$A:$A,0))="","OPERATING",INDEX(COA!$I:$I,MATCH($F12,COA!$A:$A,0))),"OPERATING"),"OPERATING")),"")</f>
        <v/>
      </c>
      <c r="AJ12" s="32">
        <f>IF(COUNTA($A12:$T12)&gt;0,1,0)</f>
        <v/>
      </c>
      <c r="AK12" s="32">
        <f>IF($AJ12=0,"",IF($A12="","رقم المستند ناقص",IF(COUNTIF(Doc_Register!$A:$A,$A12)&gt;1,"رقم مستند مكرر في السجل المركزي",IF(LEFT($A12,LEN($V12)+1)&lt;&gt;$V12&amp;"-","بادئة الرقم لا تطابق نوع المستند",IF(NOT(ISNUMBER($B12)),"التاريخ ناقص أو غير صحيح",IF($N12="","حالة المستند ناقصة",IF($O12="","اسم المُعِد ناقص",IF(AND(OR($N12=ST_APPR,$N12=ST_POST),$P12=""),"لا يوجد معتمد",IF(AND($P12&lt;&gt;"",$P12=$O12),"المُعِد والمعتمد نفس الشخص (فصل المهام)",IF(AND($N12=ST_POST,$Q12=""),"اسم المحاسب المرحِّل ناقص",IF(AND($N12=ST_POST,$Q12&lt;&gt;"",OR($Q12=$O12,$Q12=$P12)),"المرحِّل يجب أن يختلف عن المُعِد والمعتمد",IF(AND($N12=ST_REV,$S12=""),"مرجع التصحيح/الإلغاء ناقص",IF(AND(ISNUMBER($B12),OR($N12=ST_DRAFT,$N12=ST_APPR),COUNTIFS(Period_Close!$A:$A,YEAR($B12)*100+MONTH($B12),Period_Close!$B:$B,"مقفلة")&gt;0),"الفترة مقفلة: لا يسمح بمستند جديد",IF($U12="?","نوع السند غير معرف",IF(COUNTIFS(COA!$A:$A,$W12,COA!$R:$R,1)&lt;&gt;1,"الخزينة/البنك غير معرف أو غير صالح",IF(NOT(N($I12)&gt;0),"المبلغ يجب أن يكون أكبر من صفر",IF(AND(OR($U12="TRF",$U12="DEP",$U12="WDR"),$E12=""),"الخزينة المستلمة ناقصة",IF(AND(OR($U12="TRF",$U12="DEP",$U12="WDR"),$E12=$D12),"التحويل إلى نفس الخزينة",IF(AND(OR($U12="TRF",$U12="DEP",$U12="WDR"),COUNTIFS(COA!$A:$A,$X12,COA!$R:$R,1)&lt;&gt;1),"الخزينة المستلمة غير صالحة",IF(AND(OR($U12="RCV",$U12="PAY"),$F12=""),"الحساب المقابل ناقص",IF(AND(OR($U12="RCV",$U12="PAY"),COUNTIFS(COA!$A:$A,$F12,COA!$R:$R,1)&lt;&gt;1),"الحساب المقابل غير صالح أو رئيسي",IF(AND(OR($U12="RCV",$U12="PAY"),IFERROR(INDEX(COA!$H:$H,MATCH($F12,COA!$A:$A,0)),0)=1),"الحساب المقابل نقدي: استخدم تحويل بين الخزائن",IF(AND(OR($U12="RCV",$U12="PAY"),$F12=ACC_SUPPLIERS),"سداد الموردين يتم من Supplier_Payments",IF(AND(OR($U12="RCV",$U12="PAY"),$H12=""),"المستلم/الدافع ناقص",IF(AND(OR($U12="RCV",$U12="PAY"),$J12=""),"طريقة الدفع ناقصة",IF(AND(OR($U12="RCV",$U12="PAY"),OR($F12=ACC_CUSTOMERS,$F12=1501,$F12=1502),$G12=""),"كود الجهة إلزامي لهذا الحساب",IF(AND($F12=ACC_CUSTOMERS,$G12&lt;&gt;"",COUNTIF(Customers!$A:$A,$G12)=0),"كود العميل غير معرف",IF(AND(OR($F12=1501,$F12=1502),$G12&lt;&gt;"",COUNTIF(Employees!$A:$A,$G12)=0),"كود الموظف غير معرف",IF(AND($M12&lt;&gt;"",COUNTIF(Doc_Register!$A:$A,$M12)=0),"المستند المرتبط غير موجود",IF(AND(OR($U12="PAY",$U12="SHT"),NOT(COUNTIF(Cost_Centers!$A:$A,$AE12)&gt;0)),"مركز التكلفة غير معرف",""))))))))))))))))))))))))))))))</f>
        <v/>
      </c>
      <c r="AL12" s="32">
        <f>IF($AJ12=1,IF($AK12&lt;&gt;"",1,0),0)</f>
        <v/>
      </c>
      <c r="AM12" s="32">
        <f>IF(AND($AJ12=1,$AL12=0,$N12=ST_POST),1,0)</f>
        <v/>
      </c>
    </row>
    <row r="13">
      <c r="A13" s="29" t="n"/>
      <c r="B13" s="31" t="n"/>
      <c r="C13" s="29" t="n"/>
      <c r="D13" s="39" t="n"/>
      <c r="E13" s="39" t="n"/>
      <c r="F13" s="39" t="n"/>
      <c r="G13" s="29" t="n"/>
      <c r="H13" s="29" t="n"/>
      <c r="I13" s="42" t="n"/>
      <c r="J13" s="29" t="n"/>
      <c r="K13" s="29" t="n"/>
      <c r="L13" s="39" t="n"/>
      <c r="M13" s="29" t="n"/>
      <c r="N13" s="39" t="n"/>
      <c r="O13" s="29" t="n"/>
      <c r="P13" s="29" t="n"/>
      <c r="Q13" s="29" t="n"/>
      <c r="R13" s="29" t="n"/>
      <c r="S13" s="29" t="n"/>
      <c r="T13" s="29" t="n"/>
      <c r="U13" s="32">
        <f>IF($AJ13=1,IFERROR(INDEX(Lists!$F:$F,MATCH($C13,Lists!$E:$E,0)),"?"),"")</f>
        <v/>
      </c>
      <c r="V13" s="32">
        <f>IF($AJ13=1,IFERROR(INDEX(Lists!$G:$G,MATCH($C13,Lists!$E:$E,0)),"?"),"")</f>
        <v/>
      </c>
      <c r="W13" s="32">
        <f>IF($AJ13=1,IFERROR(INDEX(Treasuries!$E:$E,MATCH($D13,Treasuries!$A:$A,0)),"؟"),"")</f>
        <v/>
      </c>
      <c r="X13" s="32">
        <f>IF(AND($AJ13=1,$E13&lt;&gt;""),IFERROR(INDEX(Treasuries!$E:$E,MATCH($E13,Treasuries!$A:$A,0)),"؟"),"")</f>
        <v/>
      </c>
      <c r="Y13" s="32">
        <f>IF($AJ13=1,IFERROR(INDEX(Treasuries!$D:$D,MATCH($D13,Treasuries!$A:$A,0)),"؟"),"")</f>
        <v/>
      </c>
      <c r="Z13" s="32">
        <f>IF(AND($AJ13=1,$E13&lt;&gt;""),IFERROR(INDEX(Treasuries!$D:$D,MATCH($E13,Treasuries!$A:$A,0)),"؟"),"")</f>
        <v/>
      </c>
      <c r="AA13" s="44">
        <f>IF($AJ13=1,IF($U13="RCV",$W13,IF($U13="PAY",$F13,IF(OR($U13="TRF",$U13="DEP",$U13="WDR"),$X13,IF($U13="SHT",ACC_CASH_SHORT,IF($U13="OVR",$W13,"؟"))))),"")</f>
        <v/>
      </c>
      <c r="AB13" s="44">
        <f>IF($AJ13=1,IF($U13="RCV",$F13,IF($U13="PAY",$W13,IF(OR($U13="TRF",$U13="DEP",$U13="WDR"),$W13,IF($U13="SHT",$W13,IF($U13="OVR",ACC_CASH_OVER,"؟"))))),"")</f>
        <v/>
      </c>
      <c r="AC13" s="32">
        <f>IF($AJ13=1,IF(OR($U13="TRF",$U13="DEP",$U13="WDR"),$Z13,$Y13),"")</f>
        <v/>
      </c>
      <c r="AD13" s="32">
        <f>IF($AJ13=1,$Y13,"")</f>
        <v/>
      </c>
      <c r="AE13" s="32">
        <f>IF($AJ13=1,IF(OR($U13="PAY",$U13="SHT"),IF($L13="","CC00",$L13),"CC00"),"")</f>
        <v/>
      </c>
      <c r="AF13" s="32">
        <f>IF($AJ13=1,IF(OR($U13="RCV",$U13="OVR"),IF($L13="","CC00",$L13),"CC00"),"")</f>
        <v/>
      </c>
      <c r="AG13" s="32">
        <f>IF($AJ13=1,IF(AND($U13="PAY",$G13&lt;&gt;""),$G13,"-"),"")</f>
        <v/>
      </c>
      <c r="AH13" s="32">
        <f>IF($AJ13=1,IF(AND($U13="RCV",$G13&lt;&gt;""),$G13,"-"),"")</f>
        <v/>
      </c>
      <c r="AI13" s="32">
        <f>IF($AJ13=1,IF(OR($U13="TRF",$U13="DEP",$U13="WDR"),"INTERNAL",IF(OR($U13="RCV",$U13="PAY"),IFERROR(IF(INDEX(COA!$I:$I,MATCH($F13,COA!$A:$A,0))="","OPERATING",INDEX(COA!$I:$I,MATCH($F13,COA!$A:$A,0))),"OPERATING"),"OPERATING")),"")</f>
        <v/>
      </c>
      <c r="AJ13" s="32">
        <f>IF(COUNTA($A13:$T13)&gt;0,1,0)</f>
        <v/>
      </c>
      <c r="AK13" s="32">
        <f>IF($AJ13=0,"",IF($A13="","رقم المستند ناقص",IF(COUNTIF(Doc_Register!$A:$A,$A13)&gt;1,"رقم مستند مكرر في السجل المركزي",IF(LEFT($A13,LEN($V13)+1)&lt;&gt;$V13&amp;"-","بادئة الرقم لا تطابق نوع المستند",IF(NOT(ISNUMBER($B13)),"التاريخ ناقص أو غير صحيح",IF($N13="","حالة المستند ناقصة",IF($O13="","اسم المُعِد ناقص",IF(AND(OR($N13=ST_APPR,$N13=ST_POST),$P13=""),"لا يوجد معتمد",IF(AND($P13&lt;&gt;"",$P13=$O13),"المُعِد والمعتمد نفس الشخص (فصل المهام)",IF(AND($N13=ST_POST,$Q13=""),"اسم المحاسب المرحِّل ناقص",IF(AND($N13=ST_POST,$Q13&lt;&gt;"",OR($Q13=$O13,$Q13=$P13)),"المرحِّل يجب أن يختلف عن المُعِد والمعتمد",IF(AND($N13=ST_REV,$S13=""),"مرجع التصحيح/الإلغاء ناقص",IF(AND(ISNUMBER($B13),OR($N13=ST_DRAFT,$N13=ST_APPR),COUNTIFS(Period_Close!$A:$A,YEAR($B13)*100+MONTH($B13),Period_Close!$B:$B,"مقفلة")&gt;0),"الفترة مقفلة: لا يسمح بمستند جديد",IF($U13="?","نوع السند غير معرف",IF(COUNTIFS(COA!$A:$A,$W13,COA!$R:$R,1)&lt;&gt;1,"الخزينة/البنك غير معرف أو غير صالح",IF(NOT(N($I13)&gt;0),"المبلغ يجب أن يكون أكبر من صفر",IF(AND(OR($U13="TRF",$U13="DEP",$U13="WDR"),$E13=""),"الخزينة المستلمة ناقصة",IF(AND(OR($U13="TRF",$U13="DEP",$U13="WDR"),$E13=$D13),"التحويل إلى نفس الخزينة",IF(AND(OR($U13="TRF",$U13="DEP",$U13="WDR"),COUNTIFS(COA!$A:$A,$X13,COA!$R:$R,1)&lt;&gt;1),"الخزينة المستلمة غير صالحة",IF(AND(OR($U13="RCV",$U13="PAY"),$F13=""),"الحساب المقابل ناقص",IF(AND(OR($U13="RCV",$U13="PAY"),COUNTIFS(COA!$A:$A,$F13,COA!$R:$R,1)&lt;&gt;1),"الحساب المقابل غير صالح أو رئيسي",IF(AND(OR($U13="RCV",$U13="PAY"),IFERROR(INDEX(COA!$H:$H,MATCH($F13,COA!$A:$A,0)),0)=1),"الحساب المقابل نقدي: استخدم تحويل بين الخزائن",IF(AND(OR($U13="RCV",$U13="PAY"),$F13=ACC_SUPPLIERS),"سداد الموردين يتم من Supplier_Payments",IF(AND(OR($U13="RCV",$U13="PAY"),$H13=""),"المستلم/الدافع ناقص",IF(AND(OR($U13="RCV",$U13="PAY"),$J13=""),"طريقة الدفع ناقصة",IF(AND(OR($U13="RCV",$U13="PAY"),OR($F13=ACC_CUSTOMERS,$F13=1501,$F13=1502),$G13=""),"كود الجهة إلزامي لهذا الحساب",IF(AND($F13=ACC_CUSTOMERS,$G13&lt;&gt;"",COUNTIF(Customers!$A:$A,$G13)=0),"كود العميل غير معرف",IF(AND(OR($F13=1501,$F13=1502),$G13&lt;&gt;"",COUNTIF(Employees!$A:$A,$G13)=0),"كود الموظف غير معرف",IF(AND($M13&lt;&gt;"",COUNTIF(Doc_Register!$A:$A,$M13)=0),"المستند المرتبط غير موجود",IF(AND(OR($U13="PAY",$U13="SHT"),NOT(COUNTIF(Cost_Centers!$A:$A,$AE13)&gt;0)),"مركز التكلفة غير معرف",""))))))))))))))))))))))))))))))</f>
        <v/>
      </c>
      <c r="AL13" s="32">
        <f>IF($AJ13=1,IF($AK13&lt;&gt;"",1,0),0)</f>
        <v/>
      </c>
      <c r="AM13" s="32">
        <f>IF(AND($AJ13=1,$AL13=0,$N13=ST_POST),1,0)</f>
        <v/>
      </c>
    </row>
    <row r="14">
      <c r="A14" s="29" t="n"/>
      <c r="B14" s="31" t="n"/>
      <c r="C14" s="29" t="n"/>
      <c r="D14" s="39" t="n"/>
      <c r="E14" s="39" t="n"/>
      <c r="F14" s="39" t="n"/>
      <c r="G14" s="29" t="n"/>
      <c r="H14" s="29" t="n"/>
      <c r="I14" s="42" t="n"/>
      <c r="J14" s="29" t="n"/>
      <c r="K14" s="29" t="n"/>
      <c r="L14" s="39" t="n"/>
      <c r="M14" s="29" t="n"/>
      <c r="N14" s="39" t="n"/>
      <c r="O14" s="29" t="n"/>
      <c r="P14" s="29" t="n"/>
      <c r="Q14" s="29" t="n"/>
      <c r="R14" s="29" t="n"/>
      <c r="S14" s="29" t="n"/>
      <c r="T14" s="29" t="n"/>
      <c r="U14" s="32">
        <f>IF($AJ14=1,IFERROR(INDEX(Lists!$F:$F,MATCH($C14,Lists!$E:$E,0)),"?"),"")</f>
        <v/>
      </c>
      <c r="V14" s="32">
        <f>IF($AJ14=1,IFERROR(INDEX(Lists!$G:$G,MATCH($C14,Lists!$E:$E,0)),"?"),"")</f>
        <v/>
      </c>
      <c r="W14" s="32">
        <f>IF($AJ14=1,IFERROR(INDEX(Treasuries!$E:$E,MATCH($D14,Treasuries!$A:$A,0)),"؟"),"")</f>
        <v/>
      </c>
      <c r="X14" s="32">
        <f>IF(AND($AJ14=1,$E14&lt;&gt;""),IFERROR(INDEX(Treasuries!$E:$E,MATCH($E14,Treasuries!$A:$A,0)),"؟"),"")</f>
        <v/>
      </c>
      <c r="Y14" s="32">
        <f>IF($AJ14=1,IFERROR(INDEX(Treasuries!$D:$D,MATCH($D14,Treasuries!$A:$A,0)),"؟"),"")</f>
        <v/>
      </c>
      <c r="Z14" s="32">
        <f>IF(AND($AJ14=1,$E14&lt;&gt;""),IFERROR(INDEX(Treasuries!$D:$D,MATCH($E14,Treasuries!$A:$A,0)),"؟"),"")</f>
        <v/>
      </c>
      <c r="AA14" s="44">
        <f>IF($AJ14=1,IF($U14="RCV",$W14,IF($U14="PAY",$F14,IF(OR($U14="TRF",$U14="DEP",$U14="WDR"),$X14,IF($U14="SHT",ACC_CASH_SHORT,IF($U14="OVR",$W14,"؟"))))),"")</f>
        <v/>
      </c>
      <c r="AB14" s="44">
        <f>IF($AJ14=1,IF($U14="RCV",$F14,IF($U14="PAY",$W14,IF(OR($U14="TRF",$U14="DEP",$U14="WDR"),$W14,IF($U14="SHT",$W14,IF($U14="OVR",ACC_CASH_OVER,"؟"))))),"")</f>
        <v/>
      </c>
      <c r="AC14" s="32">
        <f>IF($AJ14=1,IF(OR($U14="TRF",$U14="DEP",$U14="WDR"),$Z14,$Y14),"")</f>
        <v/>
      </c>
      <c r="AD14" s="32">
        <f>IF($AJ14=1,$Y14,"")</f>
        <v/>
      </c>
      <c r="AE14" s="32">
        <f>IF($AJ14=1,IF(OR($U14="PAY",$U14="SHT"),IF($L14="","CC00",$L14),"CC00"),"")</f>
        <v/>
      </c>
      <c r="AF14" s="32">
        <f>IF($AJ14=1,IF(OR($U14="RCV",$U14="OVR"),IF($L14="","CC00",$L14),"CC00"),"")</f>
        <v/>
      </c>
      <c r="AG14" s="32">
        <f>IF($AJ14=1,IF(AND($U14="PAY",$G14&lt;&gt;""),$G14,"-"),"")</f>
        <v/>
      </c>
      <c r="AH14" s="32">
        <f>IF($AJ14=1,IF(AND($U14="RCV",$G14&lt;&gt;""),$G14,"-"),"")</f>
        <v/>
      </c>
      <c r="AI14" s="32">
        <f>IF($AJ14=1,IF(OR($U14="TRF",$U14="DEP",$U14="WDR"),"INTERNAL",IF(OR($U14="RCV",$U14="PAY"),IFERROR(IF(INDEX(COA!$I:$I,MATCH($F14,COA!$A:$A,0))="","OPERATING",INDEX(COA!$I:$I,MATCH($F14,COA!$A:$A,0))),"OPERATING"),"OPERATING")),"")</f>
        <v/>
      </c>
      <c r="AJ14" s="32">
        <f>IF(COUNTA($A14:$T14)&gt;0,1,0)</f>
        <v/>
      </c>
      <c r="AK14" s="32">
        <f>IF($AJ14=0,"",IF($A14="","رقم المستند ناقص",IF(COUNTIF(Doc_Register!$A:$A,$A14)&gt;1,"رقم مستند مكرر في السجل المركزي",IF(LEFT($A14,LEN($V14)+1)&lt;&gt;$V14&amp;"-","بادئة الرقم لا تطابق نوع المستند",IF(NOT(ISNUMBER($B14)),"التاريخ ناقص أو غير صحيح",IF($N14="","حالة المستند ناقصة",IF($O14="","اسم المُعِد ناقص",IF(AND(OR($N14=ST_APPR,$N14=ST_POST),$P14=""),"لا يوجد معتمد",IF(AND($P14&lt;&gt;"",$P14=$O14),"المُعِد والمعتمد نفس الشخص (فصل المهام)",IF(AND($N14=ST_POST,$Q14=""),"اسم المحاسب المرحِّل ناقص",IF(AND($N14=ST_POST,$Q14&lt;&gt;"",OR($Q14=$O14,$Q14=$P14)),"المرحِّل يجب أن يختلف عن المُعِد والمعتمد",IF(AND($N14=ST_REV,$S14=""),"مرجع التصحيح/الإلغاء ناقص",IF(AND(ISNUMBER($B14),OR($N14=ST_DRAFT,$N14=ST_APPR),COUNTIFS(Period_Close!$A:$A,YEAR($B14)*100+MONTH($B14),Period_Close!$B:$B,"مقفلة")&gt;0),"الفترة مقفلة: لا يسمح بمستند جديد",IF($U14="?","نوع السند غير معرف",IF(COUNTIFS(COA!$A:$A,$W14,COA!$R:$R,1)&lt;&gt;1,"الخزينة/البنك غير معرف أو غير صالح",IF(NOT(N($I14)&gt;0),"المبلغ يجب أن يكون أكبر من صفر",IF(AND(OR($U14="TRF",$U14="DEP",$U14="WDR"),$E14=""),"الخزينة المستلمة ناقصة",IF(AND(OR($U14="TRF",$U14="DEP",$U14="WDR"),$E14=$D14),"التحويل إلى نفس الخزينة",IF(AND(OR($U14="TRF",$U14="DEP",$U14="WDR"),COUNTIFS(COA!$A:$A,$X14,COA!$R:$R,1)&lt;&gt;1),"الخزينة المستلمة غير صالحة",IF(AND(OR($U14="RCV",$U14="PAY"),$F14=""),"الحساب المقابل ناقص",IF(AND(OR($U14="RCV",$U14="PAY"),COUNTIFS(COA!$A:$A,$F14,COA!$R:$R,1)&lt;&gt;1),"الحساب المقابل غير صالح أو رئيسي",IF(AND(OR($U14="RCV",$U14="PAY"),IFERROR(INDEX(COA!$H:$H,MATCH($F14,COA!$A:$A,0)),0)=1),"الحساب المقابل نقدي: استخدم تحويل بين الخزائن",IF(AND(OR($U14="RCV",$U14="PAY"),$F14=ACC_SUPPLIERS),"سداد الموردين يتم من Supplier_Payments",IF(AND(OR($U14="RCV",$U14="PAY"),$H14=""),"المستلم/الدافع ناقص",IF(AND(OR($U14="RCV",$U14="PAY"),$J14=""),"طريقة الدفع ناقصة",IF(AND(OR($U14="RCV",$U14="PAY"),OR($F14=ACC_CUSTOMERS,$F14=1501,$F14=1502),$G14=""),"كود الجهة إلزامي لهذا الحساب",IF(AND($F14=ACC_CUSTOMERS,$G14&lt;&gt;"",COUNTIF(Customers!$A:$A,$G14)=0),"كود العميل غير معرف",IF(AND(OR($F14=1501,$F14=1502),$G14&lt;&gt;"",COUNTIF(Employees!$A:$A,$G14)=0),"كود الموظف غير معرف",IF(AND($M14&lt;&gt;"",COUNTIF(Doc_Register!$A:$A,$M14)=0),"المستند المرتبط غير موجود",IF(AND(OR($U14="PAY",$U14="SHT"),NOT(COUNTIF(Cost_Centers!$A:$A,$AE14)&gt;0)),"مركز التكلفة غير معرف",""))))))))))))))))))))))))))))))</f>
        <v/>
      </c>
      <c r="AL14" s="32">
        <f>IF($AJ14=1,IF($AK14&lt;&gt;"",1,0),0)</f>
        <v/>
      </c>
      <c r="AM14" s="32">
        <f>IF(AND($AJ14=1,$AL14=0,$N14=ST_POST),1,0)</f>
        <v/>
      </c>
    </row>
    <row r="15">
      <c r="A15" s="29" t="n"/>
      <c r="B15" s="31" t="n"/>
      <c r="C15" s="29" t="n"/>
      <c r="D15" s="39" t="n"/>
      <c r="E15" s="39" t="n"/>
      <c r="F15" s="39" t="n"/>
      <c r="G15" s="29" t="n"/>
      <c r="H15" s="29" t="n"/>
      <c r="I15" s="42" t="n"/>
      <c r="J15" s="29" t="n"/>
      <c r="K15" s="29" t="n"/>
      <c r="L15" s="39" t="n"/>
      <c r="M15" s="29" t="n"/>
      <c r="N15" s="39" t="n"/>
      <c r="O15" s="29" t="n"/>
      <c r="P15" s="29" t="n"/>
      <c r="Q15" s="29" t="n"/>
      <c r="R15" s="29" t="n"/>
      <c r="S15" s="29" t="n"/>
      <c r="T15" s="29" t="n"/>
      <c r="U15" s="32">
        <f>IF($AJ15=1,IFERROR(INDEX(Lists!$F:$F,MATCH($C15,Lists!$E:$E,0)),"?"),"")</f>
        <v/>
      </c>
      <c r="V15" s="32">
        <f>IF($AJ15=1,IFERROR(INDEX(Lists!$G:$G,MATCH($C15,Lists!$E:$E,0)),"?"),"")</f>
        <v/>
      </c>
      <c r="W15" s="32">
        <f>IF($AJ15=1,IFERROR(INDEX(Treasuries!$E:$E,MATCH($D15,Treasuries!$A:$A,0)),"؟"),"")</f>
        <v/>
      </c>
      <c r="X15" s="32">
        <f>IF(AND($AJ15=1,$E15&lt;&gt;""),IFERROR(INDEX(Treasuries!$E:$E,MATCH($E15,Treasuries!$A:$A,0)),"؟"),"")</f>
        <v/>
      </c>
      <c r="Y15" s="32">
        <f>IF($AJ15=1,IFERROR(INDEX(Treasuries!$D:$D,MATCH($D15,Treasuries!$A:$A,0)),"؟"),"")</f>
        <v/>
      </c>
      <c r="Z15" s="32">
        <f>IF(AND($AJ15=1,$E15&lt;&gt;""),IFERROR(INDEX(Treasuries!$D:$D,MATCH($E15,Treasuries!$A:$A,0)),"؟"),"")</f>
        <v/>
      </c>
      <c r="AA15" s="44">
        <f>IF($AJ15=1,IF($U15="RCV",$W15,IF($U15="PAY",$F15,IF(OR($U15="TRF",$U15="DEP",$U15="WDR"),$X15,IF($U15="SHT",ACC_CASH_SHORT,IF($U15="OVR",$W15,"؟"))))),"")</f>
        <v/>
      </c>
      <c r="AB15" s="44">
        <f>IF($AJ15=1,IF($U15="RCV",$F15,IF($U15="PAY",$W15,IF(OR($U15="TRF",$U15="DEP",$U15="WDR"),$W15,IF($U15="SHT",$W15,IF($U15="OVR",ACC_CASH_OVER,"؟"))))),"")</f>
        <v/>
      </c>
      <c r="AC15" s="32">
        <f>IF($AJ15=1,IF(OR($U15="TRF",$U15="DEP",$U15="WDR"),$Z15,$Y15),"")</f>
        <v/>
      </c>
      <c r="AD15" s="32">
        <f>IF($AJ15=1,$Y15,"")</f>
        <v/>
      </c>
      <c r="AE15" s="32">
        <f>IF($AJ15=1,IF(OR($U15="PAY",$U15="SHT"),IF($L15="","CC00",$L15),"CC00"),"")</f>
        <v/>
      </c>
      <c r="AF15" s="32">
        <f>IF($AJ15=1,IF(OR($U15="RCV",$U15="OVR"),IF($L15="","CC00",$L15),"CC00"),"")</f>
        <v/>
      </c>
      <c r="AG15" s="32">
        <f>IF($AJ15=1,IF(AND($U15="PAY",$G15&lt;&gt;""),$G15,"-"),"")</f>
        <v/>
      </c>
      <c r="AH15" s="32">
        <f>IF($AJ15=1,IF(AND($U15="RCV",$G15&lt;&gt;""),$G15,"-"),"")</f>
        <v/>
      </c>
      <c r="AI15" s="32">
        <f>IF($AJ15=1,IF(OR($U15="TRF",$U15="DEP",$U15="WDR"),"INTERNAL",IF(OR($U15="RCV",$U15="PAY"),IFERROR(IF(INDEX(COA!$I:$I,MATCH($F15,COA!$A:$A,0))="","OPERATING",INDEX(COA!$I:$I,MATCH($F15,COA!$A:$A,0))),"OPERATING"),"OPERATING")),"")</f>
        <v/>
      </c>
      <c r="AJ15" s="32">
        <f>IF(COUNTA($A15:$T15)&gt;0,1,0)</f>
        <v/>
      </c>
      <c r="AK15" s="32">
        <f>IF($AJ15=0,"",IF($A15="","رقم المستند ناقص",IF(COUNTIF(Doc_Register!$A:$A,$A15)&gt;1,"رقم مستند مكرر في السجل المركزي",IF(LEFT($A15,LEN($V15)+1)&lt;&gt;$V15&amp;"-","بادئة الرقم لا تطابق نوع المستند",IF(NOT(ISNUMBER($B15)),"التاريخ ناقص أو غير صحيح",IF($N15="","حالة المستند ناقصة",IF($O15="","اسم المُعِد ناقص",IF(AND(OR($N15=ST_APPR,$N15=ST_POST),$P15=""),"لا يوجد معتمد",IF(AND($P15&lt;&gt;"",$P15=$O15),"المُعِد والمعتمد نفس الشخص (فصل المهام)",IF(AND($N15=ST_POST,$Q15=""),"اسم المحاسب المرحِّل ناقص",IF(AND($N15=ST_POST,$Q15&lt;&gt;"",OR($Q15=$O15,$Q15=$P15)),"المرحِّل يجب أن يختلف عن المُعِد والمعتمد",IF(AND($N15=ST_REV,$S15=""),"مرجع التصحيح/الإلغاء ناقص",IF(AND(ISNUMBER($B15),OR($N15=ST_DRAFT,$N15=ST_APPR),COUNTIFS(Period_Close!$A:$A,YEAR($B15)*100+MONTH($B15),Period_Close!$B:$B,"مقفلة")&gt;0),"الفترة مقفلة: لا يسمح بمستند جديد",IF($U15="?","نوع السند غير معرف",IF(COUNTIFS(COA!$A:$A,$W15,COA!$R:$R,1)&lt;&gt;1,"الخزينة/البنك غير معرف أو غير صالح",IF(NOT(N($I15)&gt;0),"المبلغ يجب أن يكون أكبر من صفر",IF(AND(OR($U15="TRF",$U15="DEP",$U15="WDR"),$E15=""),"الخزينة المستلمة ناقصة",IF(AND(OR($U15="TRF",$U15="DEP",$U15="WDR"),$E15=$D15),"التحويل إلى نفس الخزينة",IF(AND(OR($U15="TRF",$U15="DEP",$U15="WDR"),COUNTIFS(COA!$A:$A,$X15,COA!$R:$R,1)&lt;&gt;1),"الخزينة المستلمة غير صالحة",IF(AND(OR($U15="RCV",$U15="PAY"),$F15=""),"الحساب المقابل ناقص",IF(AND(OR($U15="RCV",$U15="PAY"),COUNTIFS(COA!$A:$A,$F15,COA!$R:$R,1)&lt;&gt;1),"الحساب المقابل غير صالح أو رئيسي",IF(AND(OR($U15="RCV",$U15="PAY"),IFERROR(INDEX(COA!$H:$H,MATCH($F15,COA!$A:$A,0)),0)=1),"الحساب المقابل نقدي: استخدم تحويل بين الخزائن",IF(AND(OR($U15="RCV",$U15="PAY"),$F15=ACC_SUPPLIERS),"سداد الموردين يتم من Supplier_Payments",IF(AND(OR($U15="RCV",$U15="PAY"),$H15=""),"المستلم/الدافع ناقص",IF(AND(OR($U15="RCV",$U15="PAY"),$J15=""),"طريقة الدفع ناقصة",IF(AND(OR($U15="RCV",$U15="PAY"),OR($F15=ACC_CUSTOMERS,$F15=1501,$F15=1502),$G15=""),"كود الجهة إلزامي لهذا الحساب",IF(AND($F15=ACC_CUSTOMERS,$G15&lt;&gt;"",COUNTIF(Customers!$A:$A,$G15)=0),"كود العميل غير معرف",IF(AND(OR($F15=1501,$F15=1502),$G15&lt;&gt;"",COUNTIF(Employees!$A:$A,$G15)=0),"كود الموظف غير معرف",IF(AND($M15&lt;&gt;"",COUNTIF(Doc_Register!$A:$A,$M15)=0),"المستند المرتبط غير موجود",IF(AND(OR($U15="PAY",$U15="SHT"),NOT(COUNTIF(Cost_Centers!$A:$A,$AE15)&gt;0)),"مركز التكلفة غير معرف",""))))))))))))))))))))))))))))))</f>
        <v/>
      </c>
      <c r="AL15" s="32">
        <f>IF($AJ15=1,IF($AK15&lt;&gt;"",1,0),0)</f>
        <v/>
      </c>
      <c r="AM15" s="32">
        <f>IF(AND($AJ15=1,$AL15=0,$N15=ST_POST),1,0)</f>
        <v/>
      </c>
    </row>
    <row r="16">
      <c r="A16" s="29" t="n"/>
      <c r="B16" s="31" t="n"/>
      <c r="C16" s="29" t="n"/>
      <c r="D16" s="39" t="n"/>
      <c r="E16" s="39" t="n"/>
      <c r="F16" s="39" t="n"/>
      <c r="G16" s="29" t="n"/>
      <c r="H16" s="29" t="n"/>
      <c r="I16" s="42" t="n"/>
      <c r="J16" s="29" t="n"/>
      <c r="K16" s="29" t="n"/>
      <c r="L16" s="39" t="n"/>
      <c r="M16" s="29" t="n"/>
      <c r="N16" s="39" t="n"/>
      <c r="O16" s="29" t="n"/>
      <c r="P16" s="29" t="n"/>
      <c r="Q16" s="29" t="n"/>
      <c r="R16" s="29" t="n"/>
      <c r="S16" s="29" t="n"/>
      <c r="T16" s="29" t="n"/>
      <c r="U16" s="32">
        <f>IF($AJ16=1,IFERROR(INDEX(Lists!$F:$F,MATCH($C16,Lists!$E:$E,0)),"?"),"")</f>
        <v/>
      </c>
      <c r="V16" s="32">
        <f>IF($AJ16=1,IFERROR(INDEX(Lists!$G:$G,MATCH($C16,Lists!$E:$E,0)),"?"),"")</f>
        <v/>
      </c>
      <c r="W16" s="32">
        <f>IF($AJ16=1,IFERROR(INDEX(Treasuries!$E:$E,MATCH($D16,Treasuries!$A:$A,0)),"؟"),"")</f>
        <v/>
      </c>
      <c r="X16" s="32">
        <f>IF(AND($AJ16=1,$E16&lt;&gt;""),IFERROR(INDEX(Treasuries!$E:$E,MATCH($E16,Treasuries!$A:$A,0)),"؟"),"")</f>
        <v/>
      </c>
      <c r="Y16" s="32">
        <f>IF($AJ16=1,IFERROR(INDEX(Treasuries!$D:$D,MATCH($D16,Treasuries!$A:$A,0)),"؟"),"")</f>
        <v/>
      </c>
      <c r="Z16" s="32">
        <f>IF(AND($AJ16=1,$E16&lt;&gt;""),IFERROR(INDEX(Treasuries!$D:$D,MATCH($E16,Treasuries!$A:$A,0)),"؟"),"")</f>
        <v/>
      </c>
      <c r="AA16" s="44">
        <f>IF($AJ16=1,IF($U16="RCV",$W16,IF($U16="PAY",$F16,IF(OR($U16="TRF",$U16="DEP",$U16="WDR"),$X16,IF($U16="SHT",ACC_CASH_SHORT,IF($U16="OVR",$W16,"؟"))))),"")</f>
        <v/>
      </c>
      <c r="AB16" s="44">
        <f>IF($AJ16=1,IF($U16="RCV",$F16,IF($U16="PAY",$W16,IF(OR($U16="TRF",$U16="DEP",$U16="WDR"),$W16,IF($U16="SHT",$W16,IF($U16="OVR",ACC_CASH_OVER,"؟"))))),"")</f>
        <v/>
      </c>
      <c r="AC16" s="32">
        <f>IF($AJ16=1,IF(OR($U16="TRF",$U16="DEP",$U16="WDR"),$Z16,$Y16),"")</f>
        <v/>
      </c>
      <c r="AD16" s="32">
        <f>IF($AJ16=1,$Y16,"")</f>
        <v/>
      </c>
      <c r="AE16" s="32">
        <f>IF($AJ16=1,IF(OR($U16="PAY",$U16="SHT"),IF($L16="","CC00",$L16),"CC00"),"")</f>
        <v/>
      </c>
      <c r="AF16" s="32">
        <f>IF($AJ16=1,IF(OR($U16="RCV",$U16="OVR"),IF($L16="","CC00",$L16),"CC00"),"")</f>
        <v/>
      </c>
      <c r="AG16" s="32">
        <f>IF($AJ16=1,IF(AND($U16="PAY",$G16&lt;&gt;""),$G16,"-"),"")</f>
        <v/>
      </c>
      <c r="AH16" s="32">
        <f>IF($AJ16=1,IF(AND($U16="RCV",$G16&lt;&gt;""),$G16,"-"),"")</f>
        <v/>
      </c>
      <c r="AI16" s="32">
        <f>IF($AJ16=1,IF(OR($U16="TRF",$U16="DEP",$U16="WDR"),"INTERNAL",IF(OR($U16="RCV",$U16="PAY"),IFERROR(IF(INDEX(COA!$I:$I,MATCH($F16,COA!$A:$A,0))="","OPERATING",INDEX(COA!$I:$I,MATCH($F16,COA!$A:$A,0))),"OPERATING"),"OPERATING")),"")</f>
        <v/>
      </c>
      <c r="AJ16" s="32">
        <f>IF(COUNTA($A16:$T16)&gt;0,1,0)</f>
        <v/>
      </c>
      <c r="AK16" s="32">
        <f>IF($AJ16=0,"",IF($A16="","رقم المستند ناقص",IF(COUNTIF(Doc_Register!$A:$A,$A16)&gt;1,"رقم مستند مكرر في السجل المركزي",IF(LEFT($A16,LEN($V16)+1)&lt;&gt;$V16&amp;"-","بادئة الرقم لا تطابق نوع المستند",IF(NOT(ISNUMBER($B16)),"التاريخ ناقص أو غير صحيح",IF($N16="","حالة المستند ناقصة",IF($O16="","اسم المُعِد ناقص",IF(AND(OR($N16=ST_APPR,$N16=ST_POST),$P16=""),"لا يوجد معتمد",IF(AND($P16&lt;&gt;"",$P16=$O16),"المُعِد والمعتمد نفس الشخص (فصل المهام)",IF(AND($N16=ST_POST,$Q16=""),"اسم المحاسب المرحِّل ناقص",IF(AND($N16=ST_POST,$Q16&lt;&gt;"",OR($Q16=$O16,$Q16=$P16)),"المرحِّل يجب أن يختلف عن المُعِد والمعتمد",IF(AND($N16=ST_REV,$S16=""),"مرجع التصحيح/الإلغاء ناقص",IF(AND(ISNUMBER($B16),OR($N16=ST_DRAFT,$N16=ST_APPR),COUNTIFS(Period_Close!$A:$A,YEAR($B16)*100+MONTH($B16),Period_Close!$B:$B,"مقفلة")&gt;0),"الفترة مقفلة: لا يسمح بمستند جديد",IF($U16="?","نوع السند غير معرف",IF(COUNTIFS(COA!$A:$A,$W16,COA!$R:$R,1)&lt;&gt;1,"الخزينة/البنك غير معرف أو غير صالح",IF(NOT(N($I16)&gt;0),"المبلغ يجب أن يكون أكبر من صفر",IF(AND(OR($U16="TRF",$U16="DEP",$U16="WDR"),$E16=""),"الخزينة المستلمة ناقصة",IF(AND(OR($U16="TRF",$U16="DEP",$U16="WDR"),$E16=$D16),"التحويل إلى نفس الخزينة",IF(AND(OR($U16="TRF",$U16="DEP",$U16="WDR"),COUNTIFS(COA!$A:$A,$X16,COA!$R:$R,1)&lt;&gt;1),"الخزينة المستلمة غير صالحة",IF(AND(OR($U16="RCV",$U16="PAY"),$F16=""),"الحساب المقابل ناقص",IF(AND(OR($U16="RCV",$U16="PAY"),COUNTIFS(COA!$A:$A,$F16,COA!$R:$R,1)&lt;&gt;1),"الحساب المقابل غير صالح أو رئيسي",IF(AND(OR($U16="RCV",$U16="PAY"),IFERROR(INDEX(COA!$H:$H,MATCH($F16,COA!$A:$A,0)),0)=1),"الحساب المقابل نقدي: استخدم تحويل بين الخزائن",IF(AND(OR($U16="RCV",$U16="PAY"),$F16=ACC_SUPPLIERS),"سداد الموردين يتم من Supplier_Payments",IF(AND(OR($U16="RCV",$U16="PAY"),$H16=""),"المستلم/الدافع ناقص",IF(AND(OR($U16="RCV",$U16="PAY"),$J16=""),"طريقة الدفع ناقصة",IF(AND(OR($U16="RCV",$U16="PAY"),OR($F16=ACC_CUSTOMERS,$F16=1501,$F16=1502),$G16=""),"كود الجهة إلزامي لهذا الحساب",IF(AND($F16=ACC_CUSTOMERS,$G16&lt;&gt;"",COUNTIF(Customers!$A:$A,$G16)=0),"كود العميل غير معرف",IF(AND(OR($F16=1501,$F16=1502),$G16&lt;&gt;"",COUNTIF(Employees!$A:$A,$G16)=0),"كود الموظف غير معرف",IF(AND($M16&lt;&gt;"",COUNTIF(Doc_Register!$A:$A,$M16)=0),"المستند المرتبط غير موجود",IF(AND(OR($U16="PAY",$U16="SHT"),NOT(COUNTIF(Cost_Centers!$A:$A,$AE16)&gt;0)),"مركز التكلفة غير معرف",""))))))))))))))))))))))))))))))</f>
        <v/>
      </c>
      <c r="AL16" s="32">
        <f>IF($AJ16=1,IF($AK16&lt;&gt;"",1,0),0)</f>
        <v/>
      </c>
      <c r="AM16" s="32">
        <f>IF(AND($AJ16=1,$AL16=0,$N16=ST_POST),1,0)</f>
        <v/>
      </c>
    </row>
    <row r="17">
      <c r="A17" s="29" t="n"/>
      <c r="B17" s="31" t="n"/>
      <c r="C17" s="29" t="n"/>
      <c r="D17" s="39" t="n"/>
      <c r="E17" s="39" t="n"/>
      <c r="F17" s="39" t="n"/>
      <c r="G17" s="29" t="n"/>
      <c r="H17" s="29" t="n"/>
      <c r="I17" s="42" t="n"/>
      <c r="J17" s="29" t="n"/>
      <c r="K17" s="29" t="n"/>
      <c r="L17" s="39" t="n"/>
      <c r="M17" s="29" t="n"/>
      <c r="N17" s="39" t="n"/>
      <c r="O17" s="29" t="n"/>
      <c r="P17" s="29" t="n"/>
      <c r="Q17" s="29" t="n"/>
      <c r="R17" s="29" t="n"/>
      <c r="S17" s="29" t="n"/>
      <c r="T17" s="29" t="n"/>
      <c r="U17" s="32">
        <f>IF($AJ17=1,IFERROR(INDEX(Lists!$F:$F,MATCH($C17,Lists!$E:$E,0)),"?"),"")</f>
        <v/>
      </c>
      <c r="V17" s="32">
        <f>IF($AJ17=1,IFERROR(INDEX(Lists!$G:$G,MATCH($C17,Lists!$E:$E,0)),"?"),"")</f>
        <v/>
      </c>
      <c r="W17" s="32">
        <f>IF($AJ17=1,IFERROR(INDEX(Treasuries!$E:$E,MATCH($D17,Treasuries!$A:$A,0)),"؟"),"")</f>
        <v/>
      </c>
      <c r="X17" s="32">
        <f>IF(AND($AJ17=1,$E17&lt;&gt;""),IFERROR(INDEX(Treasuries!$E:$E,MATCH($E17,Treasuries!$A:$A,0)),"؟"),"")</f>
        <v/>
      </c>
      <c r="Y17" s="32">
        <f>IF($AJ17=1,IFERROR(INDEX(Treasuries!$D:$D,MATCH($D17,Treasuries!$A:$A,0)),"؟"),"")</f>
        <v/>
      </c>
      <c r="Z17" s="32">
        <f>IF(AND($AJ17=1,$E17&lt;&gt;""),IFERROR(INDEX(Treasuries!$D:$D,MATCH($E17,Treasuries!$A:$A,0)),"؟"),"")</f>
        <v/>
      </c>
      <c r="AA17" s="44">
        <f>IF($AJ17=1,IF($U17="RCV",$W17,IF($U17="PAY",$F17,IF(OR($U17="TRF",$U17="DEP",$U17="WDR"),$X17,IF($U17="SHT",ACC_CASH_SHORT,IF($U17="OVR",$W17,"؟"))))),"")</f>
        <v/>
      </c>
      <c r="AB17" s="44">
        <f>IF($AJ17=1,IF($U17="RCV",$F17,IF($U17="PAY",$W17,IF(OR($U17="TRF",$U17="DEP",$U17="WDR"),$W17,IF($U17="SHT",$W17,IF($U17="OVR",ACC_CASH_OVER,"؟"))))),"")</f>
        <v/>
      </c>
      <c r="AC17" s="32">
        <f>IF($AJ17=1,IF(OR($U17="TRF",$U17="DEP",$U17="WDR"),$Z17,$Y17),"")</f>
        <v/>
      </c>
      <c r="AD17" s="32">
        <f>IF($AJ17=1,$Y17,"")</f>
        <v/>
      </c>
      <c r="AE17" s="32">
        <f>IF($AJ17=1,IF(OR($U17="PAY",$U17="SHT"),IF($L17="","CC00",$L17),"CC00"),"")</f>
        <v/>
      </c>
      <c r="AF17" s="32">
        <f>IF($AJ17=1,IF(OR($U17="RCV",$U17="OVR"),IF($L17="","CC00",$L17),"CC00"),"")</f>
        <v/>
      </c>
      <c r="AG17" s="32">
        <f>IF($AJ17=1,IF(AND($U17="PAY",$G17&lt;&gt;""),$G17,"-"),"")</f>
        <v/>
      </c>
      <c r="AH17" s="32">
        <f>IF($AJ17=1,IF(AND($U17="RCV",$G17&lt;&gt;""),$G17,"-"),"")</f>
        <v/>
      </c>
      <c r="AI17" s="32">
        <f>IF($AJ17=1,IF(OR($U17="TRF",$U17="DEP",$U17="WDR"),"INTERNAL",IF(OR($U17="RCV",$U17="PAY"),IFERROR(IF(INDEX(COA!$I:$I,MATCH($F17,COA!$A:$A,0))="","OPERATING",INDEX(COA!$I:$I,MATCH($F17,COA!$A:$A,0))),"OPERATING"),"OPERATING")),"")</f>
        <v/>
      </c>
      <c r="AJ17" s="32">
        <f>IF(COUNTA($A17:$T17)&gt;0,1,0)</f>
        <v/>
      </c>
      <c r="AK17" s="32">
        <f>IF($AJ17=0,"",IF($A17="","رقم المستند ناقص",IF(COUNTIF(Doc_Register!$A:$A,$A17)&gt;1,"رقم مستند مكرر في السجل المركزي",IF(LEFT($A17,LEN($V17)+1)&lt;&gt;$V17&amp;"-","بادئة الرقم لا تطابق نوع المستند",IF(NOT(ISNUMBER($B17)),"التاريخ ناقص أو غير صحيح",IF($N17="","حالة المستند ناقصة",IF($O17="","اسم المُعِد ناقص",IF(AND(OR($N17=ST_APPR,$N17=ST_POST),$P17=""),"لا يوجد معتمد",IF(AND($P17&lt;&gt;"",$P17=$O17),"المُعِد والمعتمد نفس الشخص (فصل المهام)",IF(AND($N17=ST_POST,$Q17=""),"اسم المحاسب المرحِّل ناقص",IF(AND($N17=ST_POST,$Q17&lt;&gt;"",OR($Q17=$O17,$Q17=$P17)),"المرحِّل يجب أن يختلف عن المُعِد والمعتمد",IF(AND($N17=ST_REV,$S17=""),"مرجع التصحيح/الإلغاء ناقص",IF(AND(ISNUMBER($B17),OR($N17=ST_DRAFT,$N17=ST_APPR),COUNTIFS(Period_Close!$A:$A,YEAR($B17)*100+MONTH($B17),Period_Close!$B:$B,"مقفلة")&gt;0),"الفترة مقفلة: لا يسمح بمستند جديد",IF($U17="?","نوع السند غير معرف",IF(COUNTIFS(COA!$A:$A,$W17,COA!$R:$R,1)&lt;&gt;1,"الخزينة/البنك غير معرف أو غير صالح",IF(NOT(N($I17)&gt;0),"المبلغ يجب أن يكون أكبر من صفر",IF(AND(OR($U17="TRF",$U17="DEP",$U17="WDR"),$E17=""),"الخزينة المستلمة ناقصة",IF(AND(OR($U17="TRF",$U17="DEP",$U17="WDR"),$E17=$D17),"التحويل إلى نفس الخزينة",IF(AND(OR($U17="TRF",$U17="DEP",$U17="WDR"),COUNTIFS(COA!$A:$A,$X17,COA!$R:$R,1)&lt;&gt;1),"الخزينة المستلمة غير صالحة",IF(AND(OR($U17="RCV",$U17="PAY"),$F17=""),"الحساب المقابل ناقص",IF(AND(OR($U17="RCV",$U17="PAY"),COUNTIFS(COA!$A:$A,$F17,COA!$R:$R,1)&lt;&gt;1),"الحساب المقابل غير صالح أو رئيسي",IF(AND(OR($U17="RCV",$U17="PAY"),IFERROR(INDEX(COA!$H:$H,MATCH($F17,COA!$A:$A,0)),0)=1),"الحساب المقابل نقدي: استخدم تحويل بين الخزائن",IF(AND(OR($U17="RCV",$U17="PAY"),$F17=ACC_SUPPLIERS),"سداد الموردين يتم من Supplier_Payments",IF(AND(OR($U17="RCV",$U17="PAY"),$H17=""),"المستلم/الدافع ناقص",IF(AND(OR($U17="RCV",$U17="PAY"),$J17=""),"طريقة الدفع ناقصة",IF(AND(OR($U17="RCV",$U17="PAY"),OR($F17=ACC_CUSTOMERS,$F17=1501,$F17=1502),$G17=""),"كود الجهة إلزامي لهذا الحساب",IF(AND($F17=ACC_CUSTOMERS,$G17&lt;&gt;"",COUNTIF(Customers!$A:$A,$G17)=0),"كود العميل غير معرف",IF(AND(OR($F17=1501,$F17=1502),$G17&lt;&gt;"",COUNTIF(Employees!$A:$A,$G17)=0),"كود الموظف غير معرف",IF(AND($M17&lt;&gt;"",COUNTIF(Doc_Register!$A:$A,$M17)=0),"المستند المرتبط غير موجود",IF(AND(OR($U17="PAY",$U17="SHT"),NOT(COUNTIF(Cost_Centers!$A:$A,$AE17)&gt;0)),"مركز التكلفة غير معرف",""))))))))))))))))))))))))))))))</f>
        <v/>
      </c>
      <c r="AL17" s="32">
        <f>IF($AJ17=1,IF($AK17&lt;&gt;"",1,0),0)</f>
        <v/>
      </c>
      <c r="AM17" s="32">
        <f>IF(AND($AJ17=1,$AL17=0,$N17=ST_POST),1,0)</f>
        <v/>
      </c>
    </row>
    <row r="18">
      <c r="A18" s="29" t="n"/>
      <c r="B18" s="31" t="n"/>
      <c r="C18" s="29" t="n"/>
      <c r="D18" s="39" t="n"/>
      <c r="E18" s="39" t="n"/>
      <c r="F18" s="39" t="n"/>
      <c r="G18" s="29" t="n"/>
      <c r="H18" s="29" t="n"/>
      <c r="I18" s="42" t="n"/>
      <c r="J18" s="29" t="n"/>
      <c r="K18" s="29" t="n"/>
      <c r="L18" s="39" t="n"/>
      <c r="M18" s="29" t="n"/>
      <c r="N18" s="39" t="n"/>
      <c r="O18" s="29" t="n"/>
      <c r="P18" s="29" t="n"/>
      <c r="Q18" s="29" t="n"/>
      <c r="R18" s="29" t="n"/>
      <c r="S18" s="29" t="n"/>
      <c r="T18" s="29" t="n"/>
      <c r="U18" s="32">
        <f>IF($AJ18=1,IFERROR(INDEX(Lists!$F:$F,MATCH($C18,Lists!$E:$E,0)),"?"),"")</f>
        <v/>
      </c>
      <c r="V18" s="32">
        <f>IF($AJ18=1,IFERROR(INDEX(Lists!$G:$G,MATCH($C18,Lists!$E:$E,0)),"?"),"")</f>
        <v/>
      </c>
      <c r="W18" s="32">
        <f>IF($AJ18=1,IFERROR(INDEX(Treasuries!$E:$E,MATCH($D18,Treasuries!$A:$A,0)),"؟"),"")</f>
        <v/>
      </c>
      <c r="X18" s="32">
        <f>IF(AND($AJ18=1,$E18&lt;&gt;""),IFERROR(INDEX(Treasuries!$E:$E,MATCH($E18,Treasuries!$A:$A,0)),"؟"),"")</f>
        <v/>
      </c>
      <c r="Y18" s="32">
        <f>IF($AJ18=1,IFERROR(INDEX(Treasuries!$D:$D,MATCH($D18,Treasuries!$A:$A,0)),"؟"),"")</f>
        <v/>
      </c>
      <c r="Z18" s="32">
        <f>IF(AND($AJ18=1,$E18&lt;&gt;""),IFERROR(INDEX(Treasuries!$D:$D,MATCH($E18,Treasuries!$A:$A,0)),"؟"),"")</f>
        <v/>
      </c>
      <c r="AA18" s="44">
        <f>IF($AJ18=1,IF($U18="RCV",$W18,IF($U18="PAY",$F18,IF(OR($U18="TRF",$U18="DEP",$U18="WDR"),$X18,IF($U18="SHT",ACC_CASH_SHORT,IF($U18="OVR",$W18,"؟"))))),"")</f>
        <v/>
      </c>
      <c r="AB18" s="44">
        <f>IF($AJ18=1,IF($U18="RCV",$F18,IF($U18="PAY",$W18,IF(OR($U18="TRF",$U18="DEP",$U18="WDR"),$W18,IF($U18="SHT",$W18,IF($U18="OVR",ACC_CASH_OVER,"؟"))))),"")</f>
        <v/>
      </c>
      <c r="AC18" s="32">
        <f>IF($AJ18=1,IF(OR($U18="TRF",$U18="DEP",$U18="WDR"),$Z18,$Y18),"")</f>
        <v/>
      </c>
      <c r="AD18" s="32">
        <f>IF($AJ18=1,$Y18,"")</f>
        <v/>
      </c>
      <c r="AE18" s="32">
        <f>IF($AJ18=1,IF(OR($U18="PAY",$U18="SHT"),IF($L18="","CC00",$L18),"CC00"),"")</f>
        <v/>
      </c>
      <c r="AF18" s="32">
        <f>IF($AJ18=1,IF(OR($U18="RCV",$U18="OVR"),IF($L18="","CC00",$L18),"CC00"),"")</f>
        <v/>
      </c>
      <c r="AG18" s="32">
        <f>IF($AJ18=1,IF(AND($U18="PAY",$G18&lt;&gt;""),$G18,"-"),"")</f>
        <v/>
      </c>
      <c r="AH18" s="32">
        <f>IF($AJ18=1,IF(AND($U18="RCV",$G18&lt;&gt;""),$G18,"-"),"")</f>
        <v/>
      </c>
      <c r="AI18" s="32">
        <f>IF($AJ18=1,IF(OR($U18="TRF",$U18="DEP",$U18="WDR"),"INTERNAL",IF(OR($U18="RCV",$U18="PAY"),IFERROR(IF(INDEX(COA!$I:$I,MATCH($F18,COA!$A:$A,0))="","OPERATING",INDEX(COA!$I:$I,MATCH($F18,COA!$A:$A,0))),"OPERATING"),"OPERATING")),"")</f>
        <v/>
      </c>
      <c r="AJ18" s="32">
        <f>IF(COUNTA($A18:$T18)&gt;0,1,0)</f>
        <v/>
      </c>
      <c r="AK18" s="32">
        <f>IF($AJ18=0,"",IF($A18="","رقم المستند ناقص",IF(COUNTIF(Doc_Register!$A:$A,$A18)&gt;1,"رقم مستند مكرر في السجل المركزي",IF(LEFT($A18,LEN($V18)+1)&lt;&gt;$V18&amp;"-","بادئة الرقم لا تطابق نوع المستند",IF(NOT(ISNUMBER($B18)),"التاريخ ناقص أو غير صحيح",IF($N18="","حالة المستند ناقصة",IF($O18="","اسم المُعِد ناقص",IF(AND(OR($N18=ST_APPR,$N18=ST_POST),$P18=""),"لا يوجد معتمد",IF(AND($P18&lt;&gt;"",$P18=$O18),"المُعِد والمعتمد نفس الشخص (فصل المهام)",IF(AND($N18=ST_POST,$Q18=""),"اسم المحاسب المرحِّل ناقص",IF(AND($N18=ST_POST,$Q18&lt;&gt;"",OR($Q18=$O18,$Q18=$P18)),"المرحِّل يجب أن يختلف عن المُعِد والمعتمد",IF(AND($N18=ST_REV,$S18=""),"مرجع التصحيح/الإلغاء ناقص",IF(AND(ISNUMBER($B18),OR($N18=ST_DRAFT,$N18=ST_APPR),COUNTIFS(Period_Close!$A:$A,YEAR($B18)*100+MONTH($B18),Period_Close!$B:$B,"مقفلة")&gt;0),"الفترة مقفلة: لا يسمح بمستند جديد",IF($U18="?","نوع السند غير معرف",IF(COUNTIFS(COA!$A:$A,$W18,COA!$R:$R,1)&lt;&gt;1,"الخزينة/البنك غير معرف أو غير صالح",IF(NOT(N($I18)&gt;0),"المبلغ يجب أن يكون أكبر من صفر",IF(AND(OR($U18="TRF",$U18="DEP",$U18="WDR"),$E18=""),"الخزينة المستلمة ناقصة",IF(AND(OR($U18="TRF",$U18="DEP",$U18="WDR"),$E18=$D18),"التحويل إلى نفس الخزينة",IF(AND(OR($U18="TRF",$U18="DEP",$U18="WDR"),COUNTIFS(COA!$A:$A,$X18,COA!$R:$R,1)&lt;&gt;1),"الخزينة المستلمة غير صالحة",IF(AND(OR($U18="RCV",$U18="PAY"),$F18=""),"الحساب المقابل ناقص",IF(AND(OR($U18="RCV",$U18="PAY"),COUNTIFS(COA!$A:$A,$F18,COA!$R:$R,1)&lt;&gt;1),"الحساب المقابل غير صالح أو رئيسي",IF(AND(OR($U18="RCV",$U18="PAY"),IFERROR(INDEX(COA!$H:$H,MATCH($F18,COA!$A:$A,0)),0)=1),"الحساب المقابل نقدي: استخدم تحويل بين الخزائن",IF(AND(OR($U18="RCV",$U18="PAY"),$F18=ACC_SUPPLIERS),"سداد الموردين يتم من Supplier_Payments",IF(AND(OR($U18="RCV",$U18="PAY"),$H18=""),"المستلم/الدافع ناقص",IF(AND(OR($U18="RCV",$U18="PAY"),$J18=""),"طريقة الدفع ناقصة",IF(AND(OR($U18="RCV",$U18="PAY"),OR($F18=ACC_CUSTOMERS,$F18=1501,$F18=1502),$G18=""),"كود الجهة إلزامي لهذا الحساب",IF(AND($F18=ACC_CUSTOMERS,$G18&lt;&gt;"",COUNTIF(Customers!$A:$A,$G18)=0),"كود العميل غير معرف",IF(AND(OR($F18=1501,$F18=1502),$G18&lt;&gt;"",COUNTIF(Employees!$A:$A,$G18)=0),"كود الموظف غير معرف",IF(AND($M18&lt;&gt;"",COUNTIF(Doc_Register!$A:$A,$M18)=0),"المستند المرتبط غير موجود",IF(AND(OR($U18="PAY",$U18="SHT"),NOT(COUNTIF(Cost_Centers!$A:$A,$AE18)&gt;0)),"مركز التكلفة غير معرف",""))))))))))))))))))))))))))))))</f>
        <v/>
      </c>
      <c r="AL18" s="32">
        <f>IF($AJ18=1,IF($AK18&lt;&gt;"",1,0),0)</f>
        <v/>
      </c>
      <c r="AM18" s="32">
        <f>IF(AND($AJ18=1,$AL18=0,$N18=ST_POST),1,0)</f>
        <v/>
      </c>
    </row>
    <row r="19">
      <c r="A19" s="29" t="n"/>
      <c r="B19" s="31" t="n"/>
      <c r="C19" s="29" t="n"/>
      <c r="D19" s="39" t="n"/>
      <c r="E19" s="39" t="n"/>
      <c r="F19" s="39" t="n"/>
      <c r="G19" s="29" t="n"/>
      <c r="H19" s="29" t="n"/>
      <c r="I19" s="42" t="n"/>
      <c r="J19" s="29" t="n"/>
      <c r="K19" s="29" t="n"/>
      <c r="L19" s="39" t="n"/>
      <c r="M19" s="29" t="n"/>
      <c r="N19" s="39" t="n"/>
      <c r="O19" s="29" t="n"/>
      <c r="P19" s="29" t="n"/>
      <c r="Q19" s="29" t="n"/>
      <c r="R19" s="29" t="n"/>
      <c r="S19" s="29" t="n"/>
      <c r="T19" s="29" t="n"/>
      <c r="U19" s="32">
        <f>IF($AJ19=1,IFERROR(INDEX(Lists!$F:$F,MATCH($C19,Lists!$E:$E,0)),"?"),"")</f>
        <v/>
      </c>
      <c r="V19" s="32">
        <f>IF($AJ19=1,IFERROR(INDEX(Lists!$G:$G,MATCH($C19,Lists!$E:$E,0)),"?"),"")</f>
        <v/>
      </c>
      <c r="W19" s="32">
        <f>IF($AJ19=1,IFERROR(INDEX(Treasuries!$E:$E,MATCH($D19,Treasuries!$A:$A,0)),"؟"),"")</f>
        <v/>
      </c>
      <c r="X19" s="32">
        <f>IF(AND($AJ19=1,$E19&lt;&gt;""),IFERROR(INDEX(Treasuries!$E:$E,MATCH($E19,Treasuries!$A:$A,0)),"؟"),"")</f>
        <v/>
      </c>
      <c r="Y19" s="32">
        <f>IF($AJ19=1,IFERROR(INDEX(Treasuries!$D:$D,MATCH($D19,Treasuries!$A:$A,0)),"؟"),"")</f>
        <v/>
      </c>
      <c r="Z19" s="32">
        <f>IF(AND($AJ19=1,$E19&lt;&gt;""),IFERROR(INDEX(Treasuries!$D:$D,MATCH($E19,Treasuries!$A:$A,0)),"؟"),"")</f>
        <v/>
      </c>
      <c r="AA19" s="44">
        <f>IF($AJ19=1,IF($U19="RCV",$W19,IF($U19="PAY",$F19,IF(OR($U19="TRF",$U19="DEP",$U19="WDR"),$X19,IF($U19="SHT",ACC_CASH_SHORT,IF($U19="OVR",$W19,"؟"))))),"")</f>
        <v/>
      </c>
      <c r="AB19" s="44">
        <f>IF($AJ19=1,IF($U19="RCV",$F19,IF($U19="PAY",$W19,IF(OR($U19="TRF",$U19="DEP",$U19="WDR"),$W19,IF($U19="SHT",$W19,IF($U19="OVR",ACC_CASH_OVER,"؟"))))),"")</f>
        <v/>
      </c>
      <c r="AC19" s="32">
        <f>IF($AJ19=1,IF(OR($U19="TRF",$U19="DEP",$U19="WDR"),$Z19,$Y19),"")</f>
        <v/>
      </c>
      <c r="AD19" s="32">
        <f>IF($AJ19=1,$Y19,"")</f>
        <v/>
      </c>
      <c r="AE19" s="32">
        <f>IF($AJ19=1,IF(OR($U19="PAY",$U19="SHT"),IF($L19="","CC00",$L19),"CC00"),"")</f>
        <v/>
      </c>
      <c r="AF19" s="32">
        <f>IF($AJ19=1,IF(OR($U19="RCV",$U19="OVR"),IF($L19="","CC00",$L19),"CC00"),"")</f>
        <v/>
      </c>
      <c r="AG19" s="32">
        <f>IF($AJ19=1,IF(AND($U19="PAY",$G19&lt;&gt;""),$G19,"-"),"")</f>
        <v/>
      </c>
      <c r="AH19" s="32">
        <f>IF($AJ19=1,IF(AND($U19="RCV",$G19&lt;&gt;""),$G19,"-"),"")</f>
        <v/>
      </c>
      <c r="AI19" s="32">
        <f>IF($AJ19=1,IF(OR($U19="TRF",$U19="DEP",$U19="WDR"),"INTERNAL",IF(OR($U19="RCV",$U19="PAY"),IFERROR(IF(INDEX(COA!$I:$I,MATCH($F19,COA!$A:$A,0))="","OPERATING",INDEX(COA!$I:$I,MATCH($F19,COA!$A:$A,0))),"OPERATING"),"OPERATING")),"")</f>
        <v/>
      </c>
      <c r="AJ19" s="32">
        <f>IF(COUNTA($A19:$T19)&gt;0,1,0)</f>
        <v/>
      </c>
      <c r="AK19" s="32">
        <f>IF($AJ19=0,"",IF($A19="","رقم المستند ناقص",IF(COUNTIF(Doc_Register!$A:$A,$A19)&gt;1,"رقم مستند مكرر في السجل المركزي",IF(LEFT($A19,LEN($V19)+1)&lt;&gt;$V19&amp;"-","بادئة الرقم لا تطابق نوع المستند",IF(NOT(ISNUMBER($B19)),"التاريخ ناقص أو غير صحيح",IF($N19="","حالة المستند ناقصة",IF($O19="","اسم المُعِد ناقص",IF(AND(OR($N19=ST_APPR,$N19=ST_POST),$P19=""),"لا يوجد معتمد",IF(AND($P19&lt;&gt;"",$P19=$O19),"المُعِد والمعتمد نفس الشخص (فصل المهام)",IF(AND($N19=ST_POST,$Q19=""),"اسم المحاسب المرحِّل ناقص",IF(AND($N19=ST_POST,$Q19&lt;&gt;"",OR($Q19=$O19,$Q19=$P19)),"المرحِّل يجب أن يختلف عن المُعِد والمعتمد",IF(AND($N19=ST_REV,$S19=""),"مرجع التصحيح/الإلغاء ناقص",IF(AND(ISNUMBER($B19),OR($N19=ST_DRAFT,$N19=ST_APPR),COUNTIFS(Period_Close!$A:$A,YEAR($B19)*100+MONTH($B19),Period_Close!$B:$B,"مقفلة")&gt;0),"الفترة مقفلة: لا يسمح بمستند جديد",IF($U19="?","نوع السند غير معرف",IF(COUNTIFS(COA!$A:$A,$W19,COA!$R:$R,1)&lt;&gt;1,"الخزينة/البنك غير معرف أو غير صالح",IF(NOT(N($I19)&gt;0),"المبلغ يجب أن يكون أكبر من صفر",IF(AND(OR($U19="TRF",$U19="DEP",$U19="WDR"),$E19=""),"الخزينة المستلمة ناقصة",IF(AND(OR($U19="TRF",$U19="DEP",$U19="WDR"),$E19=$D19),"التحويل إلى نفس الخزينة",IF(AND(OR($U19="TRF",$U19="DEP",$U19="WDR"),COUNTIFS(COA!$A:$A,$X19,COA!$R:$R,1)&lt;&gt;1),"الخزينة المستلمة غير صالحة",IF(AND(OR($U19="RCV",$U19="PAY"),$F19=""),"الحساب المقابل ناقص",IF(AND(OR($U19="RCV",$U19="PAY"),COUNTIFS(COA!$A:$A,$F19,COA!$R:$R,1)&lt;&gt;1),"الحساب المقابل غير صالح أو رئيسي",IF(AND(OR($U19="RCV",$U19="PAY"),IFERROR(INDEX(COA!$H:$H,MATCH($F19,COA!$A:$A,0)),0)=1),"الحساب المقابل نقدي: استخدم تحويل بين الخزائن",IF(AND(OR($U19="RCV",$U19="PAY"),$F19=ACC_SUPPLIERS),"سداد الموردين يتم من Supplier_Payments",IF(AND(OR($U19="RCV",$U19="PAY"),$H19=""),"المستلم/الدافع ناقص",IF(AND(OR($U19="RCV",$U19="PAY"),$J19=""),"طريقة الدفع ناقصة",IF(AND(OR($U19="RCV",$U19="PAY"),OR($F19=ACC_CUSTOMERS,$F19=1501,$F19=1502),$G19=""),"كود الجهة إلزامي لهذا الحساب",IF(AND($F19=ACC_CUSTOMERS,$G19&lt;&gt;"",COUNTIF(Customers!$A:$A,$G19)=0),"كود العميل غير معرف",IF(AND(OR($F19=1501,$F19=1502),$G19&lt;&gt;"",COUNTIF(Employees!$A:$A,$G19)=0),"كود الموظف غير معرف",IF(AND($M19&lt;&gt;"",COUNTIF(Doc_Register!$A:$A,$M19)=0),"المستند المرتبط غير موجود",IF(AND(OR($U19="PAY",$U19="SHT"),NOT(COUNTIF(Cost_Centers!$A:$A,$AE19)&gt;0)),"مركز التكلفة غير معرف",""))))))))))))))))))))))))))))))</f>
        <v/>
      </c>
      <c r="AL19" s="32">
        <f>IF($AJ19=1,IF($AK19&lt;&gt;"",1,0),0)</f>
        <v/>
      </c>
      <c r="AM19" s="32">
        <f>IF(AND($AJ19=1,$AL19=0,$N19=ST_POST),1,0)</f>
        <v/>
      </c>
    </row>
    <row r="20">
      <c r="A20" s="29" t="n"/>
      <c r="B20" s="31" t="n"/>
      <c r="C20" s="29" t="n"/>
      <c r="D20" s="39" t="n"/>
      <c r="E20" s="39" t="n"/>
      <c r="F20" s="39" t="n"/>
      <c r="G20" s="29" t="n"/>
      <c r="H20" s="29" t="n"/>
      <c r="I20" s="42" t="n"/>
      <c r="J20" s="29" t="n"/>
      <c r="K20" s="29" t="n"/>
      <c r="L20" s="39" t="n"/>
      <c r="M20" s="29" t="n"/>
      <c r="N20" s="39" t="n"/>
      <c r="O20" s="29" t="n"/>
      <c r="P20" s="29" t="n"/>
      <c r="Q20" s="29" t="n"/>
      <c r="R20" s="29" t="n"/>
      <c r="S20" s="29" t="n"/>
      <c r="T20" s="29" t="n"/>
      <c r="U20" s="32">
        <f>IF($AJ20=1,IFERROR(INDEX(Lists!$F:$F,MATCH($C20,Lists!$E:$E,0)),"?"),"")</f>
        <v/>
      </c>
      <c r="V20" s="32">
        <f>IF($AJ20=1,IFERROR(INDEX(Lists!$G:$G,MATCH($C20,Lists!$E:$E,0)),"?"),"")</f>
        <v/>
      </c>
      <c r="W20" s="32">
        <f>IF($AJ20=1,IFERROR(INDEX(Treasuries!$E:$E,MATCH($D20,Treasuries!$A:$A,0)),"؟"),"")</f>
        <v/>
      </c>
      <c r="X20" s="32">
        <f>IF(AND($AJ20=1,$E20&lt;&gt;""),IFERROR(INDEX(Treasuries!$E:$E,MATCH($E20,Treasuries!$A:$A,0)),"؟"),"")</f>
        <v/>
      </c>
      <c r="Y20" s="32">
        <f>IF($AJ20=1,IFERROR(INDEX(Treasuries!$D:$D,MATCH($D20,Treasuries!$A:$A,0)),"؟"),"")</f>
        <v/>
      </c>
      <c r="Z20" s="32">
        <f>IF(AND($AJ20=1,$E20&lt;&gt;""),IFERROR(INDEX(Treasuries!$D:$D,MATCH($E20,Treasuries!$A:$A,0)),"؟"),"")</f>
        <v/>
      </c>
      <c r="AA20" s="44">
        <f>IF($AJ20=1,IF($U20="RCV",$W20,IF($U20="PAY",$F20,IF(OR($U20="TRF",$U20="DEP",$U20="WDR"),$X20,IF($U20="SHT",ACC_CASH_SHORT,IF($U20="OVR",$W20,"؟"))))),"")</f>
        <v/>
      </c>
      <c r="AB20" s="44">
        <f>IF($AJ20=1,IF($U20="RCV",$F20,IF($U20="PAY",$W20,IF(OR($U20="TRF",$U20="DEP",$U20="WDR"),$W20,IF($U20="SHT",$W20,IF($U20="OVR",ACC_CASH_OVER,"؟"))))),"")</f>
        <v/>
      </c>
      <c r="AC20" s="32">
        <f>IF($AJ20=1,IF(OR($U20="TRF",$U20="DEP",$U20="WDR"),$Z20,$Y20),"")</f>
        <v/>
      </c>
      <c r="AD20" s="32">
        <f>IF($AJ20=1,$Y20,"")</f>
        <v/>
      </c>
      <c r="AE20" s="32">
        <f>IF($AJ20=1,IF(OR($U20="PAY",$U20="SHT"),IF($L20="","CC00",$L20),"CC00"),"")</f>
        <v/>
      </c>
      <c r="AF20" s="32">
        <f>IF($AJ20=1,IF(OR($U20="RCV",$U20="OVR"),IF($L20="","CC00",$L20),"CC00"),"")</f>
        <v/>
      </c>
      <c r="AG20" s="32">
        <f>IF($AJ20=1,IF(AND($U20="PAY",$G20&lt;&gt;""),$G20,"-"),"")</f>
        <v/>
      </c>
      <c r="AH20" s="32">
        <f>IF($AJ20=1,IF(AND($U20="RCV",$G20&lt;&gt;""),$G20,"-"),"")</f>
        <v/>
      </c>
      <c r="AI20" s="32">
        <f>IF($AJ20=1,IF(OR($U20="TRF",$U20="DEP",$U20="WDR"),"INTERNAL",IF(OR($U20="RCV",$U20="PAY"),IFERROR(IF(INDEX(COA!$I:$I,MATCH($F20,COA!$A:$A,0))="","OPERATING",INDEX(COA!$I:$I,MATCH($F20,COA!$A:$A,0))),"OPERATING"),"OPERATING")),"")</f>
        <v/>
      </c>
      <c r="AJ20" s="32">
        <f>IF(COUNTA($A20:$T20)&gt;0,1,0)</f>
        <v/>
      </c>
      <c r="AK20" s="32">
        <f>IF($AJ20=0,"",IF($A20="","رقم المستند ناقص",IF(COUNTIF(Doc_Register!$A:$A,$A20)&gt;1,"رقم مستند مكرر في السجل المركزي",IF(LEFT($A20,LEN($V20)+1)&lt;&gt;$V20&amp;"-","بادئة الرقم لا تطابق نوع المستند",IF(NOT(ISNUMBER($B20)),"التاريخ ناقص أو غير صحيح",IF($N20="","حالة المستند ناقصة",IF($O20="","اسم المُعِد ناقص",IF(AND(OR($N20=ST_APPR,$N20=ST_POST),$P20=""),"لا يوجد معتمد",IF(AND($P20&lt;&gt;"",$P20=$O20),"المُعِد والمعتمد نفس الشخص (فصل المهام)",IF(AND($N20=ST_POST,$Q20=""),"اسم المحاسب المرحِّل ناقص",IF(AND($N20=ST_POST,$Q20&lt;&gt;"",OR($Q20=$O20,$Q20=$P20)),"المرحِّل يجب أن يختلف عن المُعِد والمعتمد",IF(AND($N20=ST_REV,$S20=""),"مرجع التصحيح/الإلغاء ناقص",IF(AND(ISNUMBER($B20),OR($N20=ST_DRAFT,$N20=ST_APPR),COUNTIFS(Period_Close!$A:$A,YEAR($B20)*100+MONTH($B20),Period_Close!$B:$B,"مقفلة")&gt;0),"الفترة مقفلة: لا يسمح بمستند جديد",IF($U20="?","نوع السند غير معرف",IF(COUNTIFS(COA!$A:$A,$W20,COA!$R:$R,1)&lt;&gt;1,"الخزينة/البنك غير معرف أو غير صالح",IF(NOT(N($I20)&gt;0),"المبلغ يجب أن يكون أكبر من صفر",IF(AND(OR($U20="TRF",$U20="DEP",$U20="WDR"),$E20=""),"الخزينة المستلمة ناقصة",IF(AND(OR($U20="TRF",$U20="DEP",$U20="WDR"),$E20=$D20),"التحويل إلى نفس الخزينة",IF(AND(OR($U20="TRF",$U20="DEP",$U20="WDR"),COUNTIFS(COA!$A:$A,$X20,COA!$R:$R,1)&lt;&gt;1),"الخزينة المستلمة غير صالحة",IF(AND(OR($U20="RCV",$U20="PAY"),$F20=""),"الحساب المقابل ناقص",IF(AND(OR($U20="RCV",$U20="PAY"),COUNTIFS(COA!$A:$A,$F20,COA!$R:$R,1)&lt;&gt;1),"الحساب المقابل غير صالح أو رئيسي",IF(AND(OR($U20="RCV",$U20="PAY"),IFERROR(INDEX(COA!$H:$H,MATCH($F20,COA!$A:$A,0)),0)=1),"الحساب المقابل نقدي: استخدم تحويل بين الخزائن",IF(AND(OR($U20="RCV",$U20="PAY"),$F20=ACC_SUPPLIERS),"سداد الموردين يتم من Supplier_Payments",IF(AND(OR($U20="RCV",$U20="PAY"),$H20=""),"المستلم/الدافع ناقص",IF(AND(OR($U20="RCV",$U20="PAY"),$J20=""),"طريقة الدفع ناقصة",IF(AND(OR($U20="RCV",$U20="PAY"),OR($F20=ACC_CUSTOMERS,$F20=1501,$F20=1502),$G20=""),"كود الجهة إلزامي لهذا الحساب",IF(AND($F20=ACC_CUSTOMERS,$G20&lt;&gt;"",COUNTIF(Customers!$A:$A,$G20)=0),"كود العميل غير معرف",IF(AND(OR($F20=1501,$F20=1502),$G20&lt;&gt;"",COUNTIF(Employees!$A:$A,$G20)=0),"كود الموظف غير معرف",IF(AND($M20&lt;&gt;"",COUNTIF(Doc_Register!$A:$A,$M20)=0),"المستند المرتبط غير موجود",IF(AND(OR($U20="PAY",$U20="SHT"),NOT(COUNTIF(Cost_Centers!$A:$A,$AE20)&gt;0)),"مركز التكلفة غير معرف",""))))))))))))))))))))))))))))))</f>
        <v/>
      </c>
      <c r="AL20" s="32">
        <f>IF($AJ20=1,IF($AK20&lt;&gt;"",1,0),0)</f>
        <v/>
      </c>
      <c r="AM20" s="32">
        <f>IF(AND($AJ20=1,$AL20=0,$N20=ST_POST),1,0)</f>
        <v/>
      </c>
    </row>
    <row r="21">
      <c r="A21" s="29" t="n"/>
      <c r="B21" s="31" t="n"/>
      <c r="C21" s="29" t="n"/>
      <c r="D21" s="39" t="n"/>
      <c r="E21" s="39" t="n"/>
      <c r="F21" s="39" t="n"/>
      <c r="G21" s="29" t="n"/>
      <c r="H21" s="29" t="n"/>
      <c r="I21" s="42" t="n"/>
      <c r="J21" s="29" t="n"/>
      <c r="K21" s="29" t="n"/>
      <c r="L21" s="39" t="n"/>
      <c r="M21" s="29" t="n"/>
      <c r="N21" s="39" t="n"/>
      <c r="O21" s="29" t="n"/>
      <c r="P21" s="29" t="n"/>
      <c r="Q21" s="29" t="n"/>
      <c r="R21" s="29" t="n"/>
      <c r="S21" s="29" t="n"/>
      <c r="T21" s="29" t="n"/>
      <c r="U21" s="32">
        <f>IF($AJ21=1,IFERROR(INDEX(Lists!$F:$F,MATCH($C21,Lists!$E:$E,0)),"?"),"")</f>
        <v/>
      </c>
      <c r="V21" s="32">
        <f>IF($AJ21=1,IFERROR(INDEX(Lists!$G:$G,MATCH($C21,Lists!$E:$E,0)),"?"),"")</f>
        <v/>
      </c>
      <c r="W21" s="32">
        <f>IF($AJ21=1,IFERROR(INDEX(Treasuries!$E:$E,MATCH($D21,Treasuries!$A:$A,0)),"؟"),"")</f>
        <v/>
      </c>
      <c r="X21" s="32">
        <f>IF(AND($AJ21=1,$E21&lt;&gt;""),IFERROR(INDEX(Treasuries!$E:$E,MATCH($E21,Treasuries!$A:$A,0)),"؟"),"")</f>
        <v/>
      </c>
      <c r="Y21" s="32">
        <f>IF($AJ21=1,IFERROR(INDEX(Treasuries!$D:$D,MATCH($D21,Treasuries!$A:$A,0)),"؟"),"")</f>
        <v/>
      </c>
      <c r="Z21" s="32">
        <f>IF(AND($AJ21=1,$E21&lt;&gt;""),IFERROR(INDEX(Treasuries!$D:$D,MATCH($E21,Treasuries!$A:$A,0)),"؟"),"")</f>
        <v/>
      </c>
      <c r="AA21" s="44">
        <f>IF($AJ21=1,IF($U21="RCV",$W21,IF($U21="PAY",$F21,IF(OR($U21="TRF",$U21="DEP",$U21="WDR"),$X21,IF($U21="SHT",ACC_CASH_SHORT,IF($U21="OVR",$W21,"؟"))))),"")</f>
        <v/>
      </c>
      <c r="AB21" s="44">
        <f>IF($AJ21=1,IF($U21="RCV",$F21,IF($U21="PAY",$W21,IF(OR($U21="TRF",$U21="DEP",$U21="WDR"),$W21,IF($U21="SHT",$W21,IF($U21="OVR",ACC_CASH_OVER,"؟"))))),"")</f>
        <v/>
      </c>
      <c r="AC21" s="32">
        <f>IF($AJ21=1,IF(OR($U21="TRF",$U21="DEP",$U21="WDR"),$Z21,$Y21),"")</f>
        <v/>
      </c>
      <c r="AD21" s="32">
        <f>IF($AJ21=1,$Y21,"")</f>
        <v/>
      </c>
      <c r="AE21" s="32">
        <f>IF($AJ21=1,IF(OR($U21="PAY",$U21="SHT"),IF($L21="","CC00",$L21),"CC00"),"")</f>
        <v/>
      </c>
      <c r="AF21" s="32">
        <f>IF($AJ21=1,IF(OR($U21="RCV",$U21="OVR"),IF($L21="","CC00",$L21),"CC00"),"")</f>
        <v/>
      </c>
      <c r="AG21" s="32">
        <f>IF($AJ21=1,IF(AND($U21="PAY",$G21&lt;&gt;""),$G21,"-"),"")</f>
        <v/>
      </c>
      <c r="AH21" s="32">
        <f>IF($AJ21=1,IF(AND($U21="RCV",$G21&lt;&gt;""),$G21,"-"),"")</f>
        <v/>
      </c>
      <c r="AI21" s="32">
        <f>IF($AJ21=1,IF(OR($U21="TRF",$U21="DEP",$U21="WDR"),"INTERNAL",IF(OR($U21="RCV",$U21="PAY"),IFERROR(IF(INDEX(COA!$I:$I,MATCH($F21,COA!$A:$A,0))="","OPERATING",INDEX(COA!$I:$I,MATCH($F21,COA!$A:$A,0))),"OPERATING"),"OPERATING")),"")</f>
        <v/>
      </c>
      <c r="AJ21" s="32">
        <f>IF(COUNTA($A21:$T21)&gt;0,1,0)</f>
        <v/>
      </c>
      <c r="AK21" s="32">
        <f>IF($AJ21=0,"",IF($A21="","رقم المستند ناقص",IF(COUNTIF(Doc_Register!$A:$A,$A21)&gt;1,"رقم مستند مكرر في السجل المركزي",IF(LEFT($A21,LEN($V21)+1)&lt;&gt;$V21&amp;"-","بادئة الرقم لا تطابق نوع المستند",IF(NOT(ISNUMBER($B21)),"التاريخ ناقص أو غير صحيح",IF($N21="","حالة المستند ناقصة",IF($O21="","اسم المُعِد ناقص",IF(AND(OR($N21=ST_APPR,$N21=ST_POST),$P21=""),"لا يوجد معتمد",IF(AND($P21&lt;&gt;"",$P21=$O21),"المُعِد والمعتمد نفس الشخص (فصل المهام)",IF(AND($N21=ST_POST,$Q21=""),"اسم المحاسب المرحِّل ناقص",IF(AND($N21=ST_POST,$Q21&lt;&gt;"",OR($Q21=$O21,$Q21=$P21)),"المرحِّل يجب أن يختلف عن المُعِد والمعتمد",IF(AND($N21=ST_REV,$S21=""),"مرجع التصحيح/الإلغاء ناقص",IF(AND(ISNUMBER($B21),OR($N21=ST_DRAFT,$N21=ST_APPR),COUNTIFS(Period_Close!$A:$A,YEAR($B21)*100+MONTH($B21),Period_Close!$B:$B,"مقفلة")&gt;0),"الفترة مقفلة: لا يسمح بمستند جديد",IF($U21="?","نوع السند غير معرف",IF(COUNTIFS(COA!$A:$A,$W21,COA!$R:$R,1)&lt;&gt;1,"الخزينة/البنك غير معرف أو غير صالح",IF(NOT(N($I21)&gt;0),"المبلغ يجب أن يكون أكبر من صفر",IF(AND(OR($U21="TRF",$U21="DEP",$U21="WDR"),$E21=""),"الخزينة المستلمة ناقصة",IF(AND(OR($U21="TRF",$U21="DEP",$U21="WDR"),$E21=$D21),"التحويل إلى نفس الخزينة",IF(AND(OR($U21="TRF",$U21="DEP",$U21="WDR"),COUNTIFS(COA!$A:$A,$X21,COA!$R:$R,1)&lt;&gt;1),"الخزينة المستلمة غير صالحة",IF(AND(OR($U21="RCV",$U21="PAY"),$F21=""),"الحساب المقابل ناقص",IF(AND(OR($U21="RCV",$U21="PAY"),COUNTIFS(COA!$A:$A,$F21,COA!$R:$R,1)&lt;&gt;1),"الحساب المقابل غير صالح أو رئيسي",IF(AND(OR($U21="RCV",$U21="PAY"),IFERROR(INDEX(COA!$H:$H,MATCH($F21,COA!$A:$A,0)),0)=1),"الحساب المقابل نقدي: استخدم تحويل بين الخزائن",IF(AND(OR($U21="RCV",$U21="PAY"),$F21=ACC_SUPPLIERS),"سداد الموردين يتم من Supplier_Payments",IF(AND(OR($U21="RCV",$U21="PAY"),$H21=""),"المستلم/الدافع ناقص",IF(AND(OR($U21="RCV",$U21="PAY"),$J21=""),"طريقة الدفع ناقصة",IF(AND(OR($U21="RCV",$U21="PAY"),OR($F21=ACC_CUSTOMERS,$F21=1501,$F21=1502),$G21=""),"كود الجهة إلزامي لهذا الحساب",IF(AND($F21=ACC_CUSTOMERS,$G21&lt;&gt;"",COUNTIF(Customers!$A:$A,$G21)=0),"كود العميل غير معرف",IF(AND(OR($F21=1501,$F21=1502),$G21&lt;&gt;"",COUNTIF(Employees!$A:$A,$G21)=0),"كود الموظف غير معرف",IF(AND($M21&lt;&gt;"",COUNTIF(Doc_Register!$A:$A,$M21)=0),"المستند المرتبط غير موجود",IF(AND(OR($U21="PAY",$U21="SHT"),NOT(COUNTIF(Cost_Centers!$A:$A,$AE21)&gt;0)),"مركز التكلفة غير معرف",""))))))))))))))))))))))))))))))</f>
        <v/>
      </c>
      <c r="AL21" s="32">
        <f>IF($AJ21=1,IF($AK21&lt;&gt;"",1,0),0)</f>
        <v/>
      </c>
      <c r="AM21" s="32">
        <f>IF(AND($AJ21=1,$AL21=0,$N21=ST_POST),1,0)</f>
        <v/>
      </c>
    </row>
    <row r="22">
      <c r="A22" s="29" t="n"/>
      <c r="B22" s="31" t="n"/>
      <c r="C22" s="29" t="n"/>
      <c r="D22" s="39" t="n"/>
      <c r="E22" s="39" t="n"/>
      <c r="F22" s="39" t="n"/>
      <c r="G22" s="29" t="n"/>
      <c r="H22" s="29" t="n"/>
      <c r="I22" s="42" t="n"/>
      <c r="J22" s="29" t="n"/>
      <c r="K22" s="29" t="n"/>
      <c r="L22" s="39" t="n"/>
      <c r="M22" s="29" t="n"/>
      <c r="N22" s="39" t="n"/>
      <c r="O22" s="29" t="n"/>
      <c r="P22" s="29" t="n"/>
      <c r="Q22" s="29" t="n"/>
      <c r="R22" s="29" t="n"/>
      <c r="S22" s="29" t="n"/>
      <c r="T22" s="29" t="n"/>
      <c r="U22" s="32">
        <f>IF($AJ22=1,IFERROR(INDEX(Lists!$F:$F,MATCH($C22,Lists!$E:$E,0)),"?"),"")</f>
        <v/>
      </c>
      <c r="V22" s="32">
        <f>IF($AJ22=1,IFERROR(INDEX(Lists!$G:$G,MATCH($C22,Lists!$E:$E,0)),"?"),"")</f>
        <v/>
      </c>
      <c r="W22" s="32">
        <f>IF($AJ22=1,IFERROR(INDEX(Treasuries!$E:$E,MATCH($D22,Treasuries!$A:$A,0)),"؟"),"")</f>
        <v/>
      </c>
      <c r="X22" s="32">
        <f>IF(AND($AJ22=1,$E22&lt;&gt;""),IFERROR(INDEX(Treasuries!$E:$E,MATCH($E22,Treasuries!$A:$A,0)),"؟"),"")</f>
        <v/>
      </c>
      <c r="Y22" s="32">
        <f>IF($AJ22=1,IFERROR(INDEX(Treasuries!$D:$D,MATCH($D22,Treasuries!$A:$A,0)),"؟"),"")</f>
        <v/>
      </c>
      <c r="Z22" s="32">
        <f>IF(AND($AJ22=1,$E22&lt;&gt;""),IFERROR(INDEX(Treasuries!$D:$D,MATCH($E22,Treasuries!$A:$A,0)),"؟"),"")</f>
        <v/>
      </c>
      <c r="AA22" s="44">
        <f>IF($AJ22=1,IF($U22="RCV",$W22,IF($U22="PAY",$F22,IF(OR($U22="TRF",$U22="DEP",$U22="WDR"),$X22,IF($U22="SHT",ACC_CASH_SHORT,IF($U22="OVR",$W22,"؟"))))),"")</f>
        <v/>
      </c>
      <c r="AB22" s="44">
        <f>IF($AJ22=1,IF($U22="RCV",$F22,IF($U22="PAY",$W22,IF(OR($U22="TRF",$U22="DEP",$U22="WDR"),$W22,IF($U22="SHT",$W22,IF($U22="OVR",ACC_CASH_OVER,"؟"))))),"")</f>
        <v/>
      </c>
      <c r="AC22" s="32">
        <f>IF($AJ22=1,IF(OR($U22="TRF",$U22="DEP",$U22="WDR"),$Z22,$Y22),"")</f>
        <v/>
      </c>
      <c r="AD22" s="32">
        <f>IF($AJ22=1,$Y22,"")</f>
        <v/>
      </c>
      <c r="AE22" s="32">
        <f>IF($AJ22=1,IF(OR($U22="PAY",$U22="SHT"),IF($L22="","CC00",$L22),"CC00"),"")</f>
        <v/>
      </c>
      <c r="AF22" s="32">
        <f>IF($AJ22=1,IF(OR($U22="RCV",$U22="OVR"),IF($L22="","CC00",$L22),"CC00"),"")</f>
        <v/>
      </c>
      <c r="AG22" s="32">
        <f>IF($AJ22=1,IF(AND($U22="PAY",$G22&lt;&gt;""),$G22,"-"),"")</f>
        <v/>
      </c>
      <c r="AH22" s="32">
        <f>IF($AJ22=1,IF(AND($U22="RCV",$G22&lt;&gt;""),$G22,"-"),"")</f>
        <v/>
      </c>
      <c r="AI22" s="32">
        <f>IF($AJ22=1,IF(OR($U22="TRF",$U22="DEP",$U22="WDR"),"INTERNAL",IF(OR($U22="RCV",$U22="PAY"),IFERROR(IF(INDEX(COA!$I:$I,MATCH($F22,COA!$A:$A,0))="","OPERATING",INDEX(COA!$I:$I,MATCH($F22,COA!$A:$A,0))),"OPERATING"),"OPERATING")),"")</f>
        <v/>
      </c>
      <c r="AJ22" s="32">
        <f>IF(COUNTA($A22:$T22)&gt;0,1,0)</f>
        <v/>
      </c>
      <c r="AK22" s="32">
        <f>IF($AJ22=0,"",IF($A22="","رقم المستند ناقص",IF(COUNTIF(Doc_Register!$A:$A,$A22)&gt;1,"رقم مستند مكرر في السجل المركزي",IF(LEFT($A22,LEN($V22)+1)&lt;&gt;$V22&amp;"-","بادئة الرقم لا تطابق نوع المستند",IF(NOT(ISNUMBER($B22)),"التاريخ ناقص أو غير صحيح",IF($N22="","حالة المستند ناقصة",IF($O22="","اسم المُعِد ناقص",IF(AND(OR($N22=ST_APPR,$N22=ST_POST),$P22=""),"لا يوجد معتمد",IF(AND($P22&lt;&gt;"",$P22=$O22),"المُعِد والمعتمد نفس الشخص (فصل المهام)",IF(AND($N22=ST_POST,$Q22=""),"اسم المحاسب المرحِّل ناقص",IF(AND($N22=ST_POST,$Q22&lt;&gt;"",OR($Q22=$O22,$Q22=$P22)),"المرحِّل يجب أن يختلف عن المُعِد والمعتمد",IF(AND($N22=ST_REV,$S22=""),"مرجع التصحيح/الإلغاء ناقص",IF(AND(ISNUMBER($B22),OR($N22=ST_DRAFT,$N22=ST_APPR),COUNTIFS(Period_Close!$A:$A,YEAR($B22)*100+MONTH($B22),Period_Close!$B:$B,"مقفلة")&gt;0),"الفترة مقفلة: لا يسمح بمستند جديد",IF($U22="?","نوع السند غير معرف",IF(COUNTIFS(COA!$A:$A,$W22,COA!$R:$R,1)&lt;&gt;1,"الخزينة/البنك غير معرف أو غير صالح",IF(NOT(N($I22)&gt;0),"المبلغ يجب أن يكون أكبر من صفر",IF(AND(OR($U22="TRF",$U22="DEP",$U22="WDR"),$E22=""),"الخزينة المستلمة ناقصة",IF(AND(OR($U22="TRF",$U22="DEP",$U22="WDR"),$E22=$D22),"التحويل إلى نفس الخزينة",IF(AND(OR($U22="TRF",$U22="DEP",$U22="WDR"),COUNTIFS(COA!$A:$A,$X22,COA!$R:$R,1)&lt;&gt;1),"الخزينة المستلمة غير صالحة",IF(AND(OR($U22="RCV",$U22="PAY"),$F22=""),"الحساب المقابل ناقص",IF(AND(OR($U22="RCV",$U22="PAY"),COUNTIFS(COA!$A:$A,$F22,COA!$R:$R,1)&lt;&gt;1),"الحساب المقابل غير صالح أو رئيسي",IF(AND(OR($U22="RCV",$U22="PAY"),IFERROR(INDEX(COA!$H:$H,MATCH($F22,COA!$A:$A,0)),0)=1),"الحساب المقابل نقدي: استخدم تحويل بين الخزائن",IF(AND(OR($U22="RCV",$U22="PAY"),$F22=ACC_SUPPLIERS),"سداد الموردين يتم من Supplier_Payments",IF(AND(OR($U22="RCV",$U22="PAY"),$H22=""),"المستلم/الدافع ناقص",IF(AND(OR($U22="RCV",$U22="PAY"),$J22=""),"طريقة الدفع ناقصة",IF(AND(OR($U22="RCV",$U22="PAY"),OR($F22=ACC_CUSTOMERS,$F22=1501,$F22=1502),$G22=""),"كود الجهة إلزامي لهذا الحساب",IF(AND($F22=ACC_CUSTOMERS,$G22&lt;&gt;"",COUNTIF(Customers!$A:$A,$G22)=0),"كود العميل غير معرف",IF(AND(OR($F22=1501,$F22=1502),$G22&lt;&gt;"",COUNTIF(Employees!$A:$A,$G22)=0),"كود الموظف غير معرف",IF(AND($M22&lt;&gt;"",COUNTIF(Doc_Register!$A:$A,$M22)=0),"المستند المرتبط غير موجود",IF(AND(OR($U22="PAY",$U22="SHT"),NOT(COUNTIF(Cost_Centers!$A:$A,$AE22)&gt;0)),"مركز التكلفة غير معرف",""))))))))))))))))))))))))))))))</f>
        <v/>
      </c>
      <c r="AL22" s="32">
        <f>IF($AJ22=1,IF($AK22&lt;&gt;"",1,0),0)</f>
        <v/>
      </c>
      <c r="AM22" s="32">
        <f>IF(AND($AJ22=1,$AL22=0,$N22=ST_POST),1,0)</f>
        <v/>
      </c>
    </row>
    <row r="23">
      <c r="A23" s="29" t="n"/>
      <c r="B23" s="31" t="n"/>
      <c r="C23" s="29" t="n"/>
      <c r="D23" s="39" t="n"/>
      <c r="E23" s="39" t="n"/>
      <c r="F23" s="39" t="n"/>
      <c r="G23" s="29" t="n"/>
      <c r="H23" s="29" t="n"/>
      <c r="I23" s="42" t="n"/>
      <c r="J23" s="29" t="n"/>
      <c r="K23" s="29" t="n"/>
      <c r="L23" s="39" t="n"/>
      <c r="M23" s="29" t="n"/>
      <c r="N23" s="39" t="n"/>
      <c r="O23" s="29" t="n"/>
      <c r="P23" s="29" t="n"/>
      <c r="Q23" s="29" t="n"/>
      <c r="R23" s="29" t="n"/>
      <c r="S23" s="29" t="n"/>
      <c r="T23" s="29" t="n"/>
      <c r="U23" s="32">
        <f>IF($AJ23=1,IFERROR(INDEX(Lists!$F:$F,MATCH($C23,Lists!$E:$E,0)),"?"),"")</f>
        <v/>
      </c>
      <c r="V23" s="32">
        <f>IF($AJ23=1,IFERROR(INDEX(Lists!$G:$G,MATCH($C23,Lists!$E:$E,0)),"?"),"")</f>
        <v/>
      </c>
      <c r="W23" s="32">
        <f>IF($AJ23=1,IFERROR(INDEX(Treasuries!$E:$E,MATCH($D23,Treasuries!$A:$A,0)),"؟"),"")</f>
        <v/>
      </c>
      <c r="X23" s="32">
        <f>IF(AND($AJ23=1,$E23&lt;&gt;""),IFERROR(INDEX(Treasuries!$E:$E,MATCH($E23,Treasuries!$A:$A,0)),"؟"),"")</f>
        <v/>
      </c>
      <c r="Y23" s="32">
        <f>IF($AJ23=1,IFERROR(INDEX(Treasuries!$D:$D,MATCH($D23,Treasuries!$A:$A,0)),"؟"),"")</f>
        <v/>
      </c>
      <c r="Z23" s="32">
        <f>IF(AND($AJ23=1,$E23&lt;&gt;""),IFERROR(INDEX(Treasuries!$D:$D,MATCH($E23,Treasuries!$A:$A,0)),"؟"),"")</f>
        <v/>
      </c>
      <c r="AA23" s="44">
        <f>IF($AJ23=1,IF($U23="RCV",$W23,IF($U23="PAY",$F23,IF(OR($U23="TRF",$U23="DEP",$U23="WDR"),$X23,IF($U23="SHT",ACC_CASH_SHORT,IF($U23="OVR",$W23,"؟"))))),"")</f>
        <v/>
      </c>
      <c r="AB23" s="44">
        <f>IF($AJ23=1,IF($U23="RCV",$F23,IF($U23="PAY",$W23,IF(OR($U23="TRF",$U23="DEP",$U23="WDR"),$W23,IF($U23="SHT",$W23,IF($U23="OVR",ACC_CASH_OVER,"؟"))))),"")</f>
        <v/>
      </c>
      <c r="AC23" s="32">
        <f>IF($AJ23=1,IF(OR($U23="TRF",$U23="DEP",$U23="WDR"),$Z23,$Y23),"")</f>
        <v/>
      </c>
      <c r="AD23" s="32">
        <f>IF($AJ23=1,$Y23,"")</f>
        <v/>
      </c>
      <c r="AE23" s="32">
        <f>IF($AJ23=1,IF(OR($U23="PAY",$U23="SHT"),IF($L23="","CC00",$L23),"CC00"),"")</f>
        <v/>
      </c>
      <c r="AF23" s="32">
        <f>IF($AJ23=1,IF(OR($U23="RCV",$U23="OVR"),IF($L23="","CC00",$L23),"CC00"),"")</f>
        <v/>
      </c>
      <c r="AG23" s="32">
        <f>IF($AJ23=1,IF(AND($U23="PAY",$G23&lt;&gt;""),$G23,"-"),"")</f>
        <v/>
      </c>
      <c r="AH23" s="32">
        <f>IF($AJ23=1,IF(AND($U23="RCV",$G23&lt;&gt;""),$G23,"-"),"")</f>
        <v/>
      </c>
      <c r="AI23" s="32">
        <f>IF($AJ23=1,IF(OR($U23="TRF",$U23="DEP",$U23="WDR"),"INTERNAL",IF(OR($U23="RCV",$U23="PAY"),IFERROR(IF(INDEX(COA!$I:$I,MATCH($F23,COA!$A:$A,0))="","OPERATING",INDEX(COA!$I:$I,MATCH($F23,COA!$A:$A,0))),"OPERATING"),"OPERATING")),"")</f>
        <v/>
      </c>
      <c r="AJ23" s="32">
        <f>IF(COUNTA($A23:$T23)&gt;0,1,0)</f>
        <v/>
      </c>
      <c r="AK23" s="32">
        <f>IF($AJ23=0,"",IF($A23="","رقم المستند ناقص",IF(COUNTIF(Doc_Register!$A:$A,$A23)&gt;1,"رقم مستند مكرر في السجل المركزي",IF(LEFT($A23,LEN($V23)+1)&lt;&gt;$V23&amp;"-","بادئة الرقم لا تطابق نوع المستند",IF(NOT(ISNUMBER($B23)),"التاريخ ناقص أو غير صحيح",IF($N23="","حالة المستند ناقصة",IF($O23="","اسم المُعِد ناقص",IF(AND(OR($N23=ST_APPR,$N23=ST_POST),$P23=""),"لا يوجد معتمد",IF(AND($P23&lt;&gt;"",$P23=$O23),"المُعِد والمعتمد نفس الشخص (فصل المهام)",IF(AND($N23=ST_POST,$Q23=""),"اسم المحاسب المرحِّل ناقص",IF(AND($N23=ST_POST,$Q23&lt;&gt;"",OR($Q23=$O23,$Q23=$P23)),"المرحِّل يجب أن يختلف عن المُعِد والمعتمد",IF(AND($N23=ST_REV,$S23=""),"مرجع التصحيح/الإلغاء ناقص",IF(AND(ISNUMBER($B23),OR($N23=ST_DRAFT,$N23=ST_APPR),COUNTIFS(Period_Close!$A:$A,YEAR($B23)*100+MONTH($B23),Period_Close!$B:$B,"مقفلة")&gt;0),"الفترة مقفلة: لا يسمح بمستند جديد",IF($U23="?","نوع السند غير معرف",IF(COUNTIFS(COA!$A:$A,$W23,COA!$R:$R,1)&lt;&gt;1,"الخزينة/البنك غير معرف أو غير صالح",IF(NOT(N($I23)&gt;0),"المبلغ يجب أن يكون أكبر من صفر",IF(AND(OR($U23="TRF",$U23="DEP",$U23="WDR"),$E23=""),"الخزينة المستلمة ناقصة",IF(AND(OR($U23="TRF",$U23="DEP",$U23="WDR"),$E23=$D23),"التحويل إلى نفس الخزينة",IF(AND(OR($U23="TRF",$U23="DEP",$U23="WDR"),COUNTIFS(COA!$A:$A,$X23,COA!$R:$R,1)&lt;&gt;1),"الخزينة المستلمة غير صالحة",IF(AND(OR($U23="RCV",$U23="PAY"),$F23=""),"الحساب المقابل ناقص",IF(AND(OR($U23="RCV",$U23="PAY"),COUNTIFS(COA!$A:$A,$F23,COA!$R:$R,1)&lt;&gt;1),"الحساب المقابل غير صالح أو رئيسي",IF(AND(OR($U23="RCV",$U23="PAY"),IFERROR(INDEX(COA!$H:$H,MATCH($F23,COA!$A:$A,0)),0)=1),"الحساب المقابل نقدي: استخدم تحويل بين الخزائن",IF(AND(OR($U23="RCV",$U23="PAY"),$F23=ACC_SUPPLIERS),"سداد الموردين يتم من Supplier_Payments",IF(AND(OR($U23="RCV",$U23="PAY"),$H23=""),"المستلم/الدافع ناقص",IF(AND(OR($U23="RCV",$U23="PAY"),$J23=""),"طريقة الدفع ناقصة",IF(AND(OR($U23="RCV",$U23="PAY"),OR($F23=ACC_CUSTOMERS,$F23=1501,$F23=1502),$G23=""),"كود الجهة إلزامي لهذا الحساب",IF(AND($F23=ACC_CUSTOMERS,$G23&lt;&gt;"",COUNTIF(Customers!$A:$A,$G23)=0),"كود العميل غير معرف",IF(AND(OR($F23=1501,$F23=1502),$G23&lt;&gt;"",COUNTIF(Employees!$A:$A,$G23)=0),"كود الموظف غير معرف",IF(AND($M23&lt;&gt;"",COUNTIF(Doc_Register!$A:$A,$M23)=0),"المستند المرتبط غير موجود",IF(AND(OR($U23="PAY",$U23="SHT"),NOT(COUNTIF(Cost_Centers!$A:$A,$AE23)&gt;0)),"مركز التكلفة غير معرف",""))))))))))))))))))))))))))))))</f>
        <v/>
      </c>
      <c r="AL23" s="32">
        <f>IF($AJ23=1,IF($AK23&lt;&gt;"",1,0),0)</f>
        <v/>
      </c>
      <c r="AM23" s="32">
        <f>IF(AND($AJ23=1,$AL23=0,$N23=ST_POST),1,0)</f>
        <v/>
      </c>
    </row>
    <row r="24">
      <c r="A24" s="29" t="n"/>
      <c r="B24" s="31" t="n"/>
      <c r="C24" s="29" t="n"/>
      <c r="D24" s="39" t="n"/>
      <c r="E24" s="39" t="n"/>
      <c r="F24" s="39" t="n"/>
      <c r="G24" s="29" t="n"/>
      <c r="H24" s="29" t="n"/>
      <c r="I24" s="42" t="n"/>
      <c r="J24" s="29" t="n"/>
      <c r="K24" s="29" t="n"/>
      <c r="L24" s="39" t="n"/>
      <c r="M24" s="29" t="n"/>
      <c r="N24" s="39" t="n"/>
      <c r="O24" s="29" t="n"/>
      <c r="P24" s="29" t="n"/>
      <c r="Q24" s="29" t="n"/>
      <c r="R24" s="29" t="n"/>
      <c r="S24" s="29" t="n"/>
      <c r="T24" s="29" t="n"/>
      <c r="U24" s="32">
        <f>IF($AJ24=1,IFERROR(INDEX(Lists!$F:$F,MATCH($C24,Lists!$E:$E,0)),"?"),"")</f>
        <v/>
      </c>
      <c r="V24" s="32">
        <f>IF($AJ24=1,IFERROR(INDEX(Lists!$G:$G,MATCH($C24,Lists!$E:$E,0)),"?"),"")</f>
        <v/>
      </c>
      <c r="W24" s="32">
        <f>IF($AJ24=1,IFERROR(INDEX(Treasuries!$E:$E,MATCH($D24,Treasuries!$A:$A,0)),"؟"),"")</f>
        <v/>
      </c>
      <c r="X24" s="32">
        <f>IF(AND($AJ24=1,$E24&lt;&gt;""),IFERROR(INDEX(Treasuries!$E:$E,MATCH($E24,Treasuries!$A:$A,0)),"؟"),"")</f>
        <v/>
      </c>
      <c r="Y24" s="32">
        <f>IF($AJ24=1,IFERROR(INDEX(Treasuries!$D:$D,MATCH($D24,Treasuries!$A:$A,0)),"؟"),"")</f>
        <v/>
      </c>
      <c r="Z24" s="32">
        <f>IF(AND($AJ24=1,$E24&lt;&gt;""),IFERROR(INDEX(Treasuries!$D:$D,MATCH($E24,Treasuries!$A:$A,0)),"؟"),"")</f>
        <v/>
      </c>
      <c r="AA24" s="44">
        <f>IF($AJ24=1,IF($U24="RCV",$W24,IF($U24="PAY",$F24,IF(OR($U24="TRF",$U24="DEP",$U24="WDR"),$X24,IF($U24="SHT",ACC_CASH_SHORT,IF($U24="OVR",$W24,"؟"))))),"")</f>
        <v/>
      </c>
      <c r="AB24" s="44">
        <f>IF($AJ24=1,IF($U24="RCV",$F24,IF($U24="PAY",$W24,IF(OR($U24="TRF",$U24="DEP",$U24="WDR"),$W24,IF($U24="SHT",$W24,IF($U24="OVR",ACC_CASH_OVER,"؟"))))),"")</f>
        <v/>
      </c>
      <c r="AC24" s="32">
        <f>IF($AJ24=1,IF(OR($U24="TRF",$U24="DEP",$U24="WDR"),$Z24,$Y24),"")</f>
        <v/>
      </c>
      <c r="AD24" s="32">
        <f>IF($AJ24=1,$Y24,"")</f>
        <v/>
      </c>
      <c r="AE24" s="32">
        <f>IF($AJ24=1,IF(OR($U24="PAY",$U24="SHT"),IF($L24="","CC00",$L24),"CC00"),"")</f>
        <v/>
      </c>
      <c r="AF24" s="32">
        <f>IF($AJ24=1,IF(OR($U24="RCV",$U24="OVR"),IF($L24="","CC00",$L24),"CC00"),"")</f>
        <v/>
      </c>
      <c r="AG24" s="32">
        <f>IF($AJ24=1,IF(AND($U24="PAY",$G24&lt;&gt;""),$G24,"-"),"")</f>
        <v/>
      </c>
      <c r="AH24" s="32">
        <f>IF($AJ24=1,IF(AND($U24="RCV",$G24&lt;&gt;""),$G24,"-"),"")</f>
        <v/>
      </c>
      <c r="AI24" s="32">
        <f>IF($AJ24=1,IF(OR($U24="TRF",$U24="DEP",$U24="WDR"),"INTERNAL",IF(OR($U24="RCV",$U24="PAY"),IFERROR(IF(INDEX(COA!$I:$I,MATCH($F24,COA!$A:$A,0))="","OPERATING",INDEX(COA!$I:$I,MATCH($F24,COA!$A:$A,0))),"OPERATING"),"OPERATING")),"")</f>
        <v/>
      </c>
      <c r="AJ24" s="32">
        <f>IF(COUNTA($A24:$T24)&gt;0,1,0)</f>
        <v/>
      </c>
      <c r="AK24" s="32">
        <f>IF($AJ24=0,"",IF($A24="","رقم المستند ناقص",IF(COUNTIF(Doc_Register!$A:$A,$A24)&gt;1,"رقم مستند مكرر في السجل المركزي",IF(LEFT($A24,LEN($V24)+1)&lt;&gt;$V24&amp;"-","بادئة الرقم لا تطابق نوع المستند",IF(NOT(ISNUMBER($B24)),"التاريخ ناقص أو غير صحيح",IF($N24="","حالة المستند ناقصة",IF($O24="","اسم المُعِد ناقص",IF(AND(OR($N24=ST_APPR,$N24=ST_POST),$P24=""),"لا يوجد معتمد",IF(AND($P24&lt;&gt;"",$P24=$O24),"المُعِد والمعتمد نفس الشخص (فصل المهام)",IF(AND($N24=ST_POST,$Q24=""),"اسم المحاسب المرحِّل ناقص",IF(AND($N24=ST_POST,$Q24&lt;&gt;"",OR($Q24=$O24,$Q24=$P24)),"المرحِّل يجب أن يختلف عن المُعِد والمعتمد",IF(AND($N24=ST_REV,$S24=""),"مرجع التصحيح/الإلغاء ناقص",IF(AND(ISNUMBER($B24),OR($N24=ST_DRAFT,$N24=ST_APPR),COUNTIFS(Period_Close!$A:$A,YEAR($B24)*100+MONTH($B24),Period_Close!$B:$B,"مقفلة")&gt;0),"الفترة مقفلة: لا يسمح بمستند جديد",IF($U24="?","نوع السند غير معرف",IF(COUNTIFS(COA!$A:$A,$W24,COA!$R:$R,1)&lt;&gt;1,"الخزينة/البنك غير معرف أو غير صالح",IF(NOT(N($I24)&gt;0),"المبلغ يجب أن يكون أكبر من صفر",IF(AND(OR($U24="TRF",$U24="DEP",$U24="WDR"),$E24=""),"الخزينة المستلمة ناقصة",IF(AND(OR($U24="TRF",$U24="DEP",$U24="WDR"),$E24=$D24),"التحويل إلى نفس الخزينة",IF(AND(OR($U24="TRF",$U24="DEP",$U24="WDR"),COUNTIFS(COA!$A:$A,$X24,COA!$R:$R,1)&lt;&gt;1),"الخزينة المستلمة غير صالحة",IF(AND(OR($U24="RCV",$U24="PAY"),$F24=""),"الحساب المقابل ناقص",IF(AND(OR($U24="RCV",$U24="PAY"),COUNTIFS(COA!$A:$A,$F24,COA!$R:$R,1)&lt;&gt;1),"الحساب المقابل غير صالح أو رئيسي",IF(AND(OR($U24="RCV",$U24="PAY"),IFERROR(INDEX(COA!$H:$H,MATCH($F24,COA!$A:$A,0)),0)=1),"الحساب المقابل نقدي: استخدم تحويل بين الخزائن",IF(AND(OR($U24="RCV",$U24="PAY"),$F24=ACC_SUPPLIERS),"سداد الموردين يتم من Supplier_Payments",IF(AND(OR($U24="RCV",$U24="PAY"),$H24=""),"المستلم/الدافع ناقص",IF(AND(OR($U24="RCV",$U24="PAY"),$J24=""),"طريقة الدفع ناقصة",IF(AND(OR($U24="RCV",$U24="PAY"),OR($F24=ACC_CUSTOMERS,$F24=1501,$F24=1502),$G24=""),"كود الجهة إلزامي لهذا الحساب",IF(AND($F24=ACC_CUSTOMERS,$G24&lt;&gt;"",COUNTIF(Customers!$A:$A,$G24)=0),"كود العميل غير معرف",IF(AND(OR($F24=1501,$F24=1502),$G24&lt;&gt;"",COUNTIF(Employees!$A:$A,$G24)=0),"كود الموظف غير معرف",IF(AND($M24&lt;&gt;"",COUNTIF(Doc_Register!$A:$A,$M24)=0),"المستند المرتبط غير موجود",IF(AND(OR($U24="PAY",$U24="SHT"),NOT(COUNTIF(Cost_Centers!$A:$A,$AE24)&gt;0)),"مركز التكلفة غير معرف",""))))))))))))))))))))))))))))))</f>
        <v/>
      </c>
      <c r="AL24" s="32">
        <f>IF($AJ24=1,IF($AK24&lt;&gt;"",1,0),0)</f>
        <v/>
      </c>
      <c r="AM24" s="32">
        <f>IF(AND($AJ24=1,$AL24=0,$N24=ST_POST),1,0)</f>
        <v/>
      </c>
    </row>
    <row r="25">
      <c r="A25" s="29" t="n"/>
      <c r="B25" s="31" t="n"/>
      <c r="C25" s="29" t="n"/>
      <c r="D25" s="39" t="n"/>
      <c r="E25" s="39" t="n"/>
      <c r="F25" s="39" t="n"/>
      <c r="G25" s="29" t="n"/>
      <c r="H25" s="29" t="n"/>
      <c r="I25" s="42" t="n"/>
      <c r="J25" s="29" t="n"/>
      <c r="K25" s="29" t="n"/>
      <c r="L25" s="39" t="n"/>
      <c r="M25" s="29" t="n"/>
      <c r="N25" s="39" t="n"/>
      <c r="O25" s="29" t="n"/>
      <c r="P25" s="29" t="n"/>
      <c r="Q25" s="29" t="n"/>
      <c r="R25" s="29" t="n"/>
      <c r="S25" s="29" t="n"/>
      <c r="T25" s="29" t="n"/>
      <c r="U25" s="32">
        <f>IF($AJ25=1,IFERROR(INDEX(Lists!$F:$F,MATCH($C25,Lists!$E:$E,0)),"?"),"")</f>
        <v/>
      </c>
      <c r="V25" s="32">
        <f>IF($AJ25=1,IFERROR(INDEX(Lists!$G:$G,MATCH($C25,Lists!$E:$E,0)),"?"),"")</f>
        <v/>
      </c>
      <c r="W25" s="32">
        <f>IF($AJ25=1,IFERROR(INDEX(Treasuries!$E:$E,MATCH($D25,Treasuries!$A:$A,0)),"؟"),"")</f>
        <v/>
      </c>
      <c r="X25" s="32">
        <f>IF(AND($AJ25=1,$E25&lt;&gt;""),IFERROR(INDEX(Treasuries!$E:$E,MATCH($E25,Treasuries!$A:$A,0)),"؟"),"")</f>
        <v/>
      </c>
      <c r="Y25" s="32">
        <f>IF($AJ25=1,IFERROR(INDEX(Treasuries!$D:$D,MATCH($D25,Treasuries!$A:$A,0)),"؟"),"")</f>
        <v/>
      </c>
      <c r="Z25" s="32">
        <f>IF(AND($AJ25=1,$E25&lt;&gt;""),IFERROR(INDEX(Treasuries!$D:$D,MATCH($E25,Treasuries!$A:$A,0)),"؟"),"")</f>
        <v/>
      </c>
      <c r="AA25" s="44">
        <f>IF($AJ25=1,IF($U25="RCV",$W25,IF($U25="PAY",$F25,IF(OR($U25="TRF",$U25="DEP",$U25="WDR"),$X25,IF($U25="SHT",ACC_CASH_SHORT,IF($U25="OVR",$W25,"؟"))))),"")</f>
        <v/>
      </c>
      <c r="AB25" s="44">
        <f>IF($AJ25=1,IF($U25="RCV",$F25,IF($U25="PAY",$W25,IF(OR($U25="TRF",$U25="DEP",$U25="WDR"),$W25,IF($U25="SHT",$W25,IF($U25="OVR",ACC_CASH_OVER,"؟"))))),"")</f>
        <v/>
      </c>
      <c r="AC25" s="32">
        <f>IF($AJ25=1,IF(OR($U25="TRF",$U25="DEP",$U25="WDR"),$Z25,$Y25),"")</f>
        <v/>
      </c>
      <c r="AD25" s="32">
        <f>IF($AJ25=1,$Y25,"")</f>
        <v/>
      </c>
      <c r="AE25" s="32">
        <f>IF($AJ25=1,IF(OR($U25="PAY",$U25="SHT"),IF($L25="","CC00",$L25),"CC00"),"")</f>
        <v/>
      </c>
      <c r="AF25" s="32">
        <f>IF($AJ25=1,IF(OR($U25="RCV",$U25="OVR"),IF($L25="","CC00",$L25),"CC00"),"")</f>
        <v/>
      </c>
      <c r="AG25" s="32">
        <f>IF($AJ25=1,IF(AND($U25="PAY",$G25&lt;&gt;""),$G25,"-"),"")</f>
        <v/>
      </c>
      <c r="AH25" s="32">
        <f>IF($AJ25=1,IF(AND($U25="RCV",$G25&lt;&gt;""),$G25,"-"),"")</f>
        <v/>
      </c>
      <c r="AI25" s="32">
        <f>IF($AJ25=1,IF(OR($U25="TRF",$U25="DEP",$U25="WDR"),"INTERNAL",IF(OR($U25="RCV",$U25="PAY"),IFERROR(IF(INDEX(COA!$I:$I,MATCH($F25,COA!$A:$A,0))="","OPERATING",INDEX(COA!$I:$I,MATCH($F25,COA!$A:$A,0))),"OPERATING"),"OPERATING")),"")</f>
        <v/>
      </c>
      <c r="AJ25" s="32">
        <f>IF(COUNTA($A25:$T25)&gt;0,1,0)</f>
        <v/>
      </c>
      <c r="AK25" s="32">
        <f>IF($AJ25=0,"",IF($A25="","رقم المستند ناقص",IF(COUNTIF(Doc_Register!$A:$A,$A25)&gt;1,"رقم مستند مكرر في السجل المركزي",IF(LEFT($A25,LEN($V25)+1)&lt;&gt;$V25&amp;"-","بادئة الرقم لا تطابق نوع المستند",IF(NOT(ISNUMBER($B25)),"التاريخ ناقص أو غير صحيح",IF($N25="","حالة المستند ناقصة",IF($O25="","اسم المُعِد ناقص",IF(AND(OR($N25=ST_APPR,$N25=ST_POST),$P25=""),"لا يوجد معتمد",IF(AND($P25&lt;&gt;"",$P25=$O25),"المُعِد والمعتمد نفس الشخص (فصل المهام)",IF(AND($N25=ST_POST,$Q25=""),"اسم المحاسب المرحِّل ناقص",IF(AND($N25=ST_POST,$Q25&lt;&gt;"",OR($Q25=$O25,$Q25=$P25)),"المرحِّل يجب أن يختلف عن المُعِد والمعتمد",IF(AND($N25=ST_REV,$S25=""),"مرجع التصحيح/الإلغاء ناقص",IF(AND(ISNUMBER($B25),OR($N25=ST_DRAFT,$N25=ST_APPR),COUNTIFS(Period_Close!$A:$A,YEAR($B25)*100+MONTH($B25),Period_Close!$B:$B,"مقفلة")&gt;0),"الفترة مقفلة: لا يسمح بمستند جديد",IF($U25="?","نوع السند غير معرف",IF(COUNTIFS(COA!$A:$A,$W25,COA!$R:$R,1)&lt;&gt;1,"الخزينة/البنك غير معرف أو غير صالح",IF(NOT(N($I25)&gt;0),"المبلغ يجب أن يكون أكبر من صفر",IF(AND(OR($U25="TRF",$U25="DEP",$U25="WDR"),$E25=""),"الخزينة المستلمة ناقصة",IF(AND(OR($U25="TRF",$U25="DEP",$U25="WDR"),$E25=$D25),"التحويل إلى نفس الخزينة",IF(AND(OR($U25="TRF",$U25="DEP",$U25="WDR"),COUNTIFS(COA!$A:$A,$X25,COA!$R:$R,1)&lt;&gt;1),"الخزينة المستلمة غير صالحة",IF(AND(OR($U25="RCV",$U25="PAY"),$F25=""),"الحساب المقابل ناقص",IF(AND(OR($U25="RCV",$U25="PAY"),COUNTIFS(COA!$A:$A,$F25,COA!$R:$R,1)&lt;&gt;1),"الحساب المقابل غير صالح أو رئيسي",IF(AND(OR($U25="RCV",$U25="PAY"),IFERROR(INDEX(COA!$H:$H,MATCH($F25,COA!$A:$A,0)),0)=1),"الحساب المقابل نقدي: استخدم تحويل بين الخزائن",IF(AND(OR($U25="RCV",$U25="PAY"),$F25=ACC_SUPPLIERS),"سداد الموردين يتم من Supplier_Payments",IF(AND(OR($U25="RCV",$U25="PAY"),$H25=""),"المستلم/الدافع ناقص",IF(AND(OR($U25="RCV",$U25="PAY"),$J25=""),"طريقة الدفع ناقصة",IF(AND(OR($U25="RCV",$U25="PAY"),OR($F25=ACC_CUSTOMERS,$F25=1501,$F25=1502),$G25=""),"كود الجهة إلزامي لهذا الحساب",IF(AND($F25=ACC_CUSTOMERS,$G25&lt;&gt;"",COUNTIF(Customers!$A:$A,$G25)=0),"كود العميل غير معرف",IF(AND(OR($F25=1501,$F25=1502),$G25&lt;&gt;"",COUNTIF(Employees!$A:$A,$G25)=0),"كود الموظف غير معرف",IF(AND($M25&lt;&gt;"",COUNTIF(Doc_Register!$A:$A,$M25)=0),"المستند المرتبط غير موجود",IF(AND(OR($U25="PAY",$U25="SHT"),NOT(COUNTIF(Cost_Centers!$A:$A,$AE25)&gt;0)),"مركز التكلفة غير معرف",""))))))))))))))))))))))))))))))</f>
        <v/>
      </c>
      <c r="AL25" s="32">
        <f>IF($AJ25=1,IF($AK25&lt;&gt;"",1,0),0)</f>
        <v/>
      </c>
      <c r="AM25" s="32">
        <f>IF(AND($AJ25=1,$AL25=0,$N25=ST_POST),1,0)</f>
        <v/>
      </c>
    </row>
    <row r="26">
      <c r="A26" s="29" t="n"/>
      <c r="B26" s="31" t="n"/>
      <c r="C26" s="29" t="n"/>
      <c r="D26" s="39" t="n"/>
      <c r="E26" s="39" t="n"/>
      <c r="F26" s="39" t="n"/>
      <c r="G26" s="29" t="n"/>
      <c r="H26" s="29" t="n"/>
      <c r="I26" s="42" t="n"/>
      <c r="J26" s="29" t="n"/>
      <c r="K26" s="29" t="n"/>
      <c r="L26" s="39" t="n"/>
      <c r="M26" s="29" t="n"/>
      <c r="N26" s="39" t="n"/>
      <c r="O26" s="29" t="n"/>
      <c r="P26" s="29" t="n"/>
      <c r="Q26" s="29" t="n"/>
      <c r="R26" s="29" t="n"/>
      <c r="S26" s="29" t="n"/>
      <c r="T26" s="29" t="n"/>
      <c r="U26" s="32">
        <f>IF($AJ26=1,IFERROR(INDEX(Lists!$F:$F,MATCH($C26,Lists!$E:$E,0)),"?"),"")</f>
        <v/>
      </c>
      <c r="V26" s="32">
        <f>IF($AJ26=1,IFERROR(INDEX(Lists!$G:$G,MATCH($C26,Lists!$E:$E,0)),"?"),"")</f>
        <v/>
      </c>
      <c r="W26" s="32">
        <f>IF($AJ26=1,IFERROR(INDEX(Treasuries!$E:$E,MATCH($D26,Treasuries!$A:$A,0)),"؟"),"")</f>
        <v/>
      </c>
      <c r="X26" s="32">
        <f>IF(AND($AJ26=1,$E26&lt;&gt;""),IFERROR(INDEX(Treasuries!$E:$E,MATCH($E26,Treasuries!$A:$A,0)),"؟"),"")</f>
        <v/>
      </c>
      <c r="Y26" s="32">
        <f>IF($AJ26=1,IFERROR(INDEX(Treasuries!$D:$D,MATCH($D26,Treasuries!$A:$A,0)),"؟"),"")</f>
        <v/>
      </c>
      <c r="Z26" s="32">
        <f>IF(AND($AJ26=1,$E26&lt;&gt;""),IFERROR(INDEX(Treasuries!$D:$D,MATCH($E26,Treasuries!$A:$A,0)),"؟"),"")</f>
        <v/>
      </c>
      <c r="AA26" s="44">
        <f>IF($AJ26=1,IF($U26="RCV",$W26,IF($U26="PAY",$F26,IF(OR($U26="TRF",$U26="DEP",$U26="WDR"),$X26,IF($U26="SHT",ACC_CASH_SHORT,IF($U26="OVR",$W26,"؟"))))),"")</f>
        <v/>
      </c>
      <c r="AB26" s="44">
        <f>IF($AJ26=1,IF($U26="RCV",$F26,IF($U26="PAY",$W26,IF(OR($U26="TRF",$U26="DEP",$U26="WDR"),$W26,IF($U26="SHT",$W26,IF($U26="OVR",ACC_CASH_OVER,"؟"))))),"")</f>
        <v/>
      </c>
      <c r="AC26" s="32">
        <f>IF($AJ26=1,IF(OR($U26="TRF",$U26="DEP",$U26="WDR"),$Z26,$Y26),"")</f>
        <v/>
      </c>
      <c r="AD26" s="32">
        <f>IF($AJ26=1,$Y26,"")</f>
        <v/>
      </c>
      <c r="AE26" s="32">
        <f>IF($AJ26=1,IF(OR($U26="PAY",$U26="SHT"),IF($L26="","CC00",$L26),"CC00"),"")</f>
        <v/>
      </c>
      <c r="AF26" s="32">
        <f>IF($AJ26=1,IF(OR($U26="RCV",$U26="OVR"),IF($L26="","CC00",$L26),"CC00"),"")</f>
        <v/>
      </c>
      <c r="AG26" s="32">
        <f>IF($AJ26=1,IF(AND($U26="PAY",$G26&lt;&gt;""),$G26,"-"),"")</f>
        <v/>
      </c>
      <c r="AH26" s="32">
        <f>IF($AJ26=1,IF(AND($U26="RCV",$G26&lt;&gt;""),$G26,"-"),"")</f>
        <v/>
      </c>
      <c r="AI26" s="32">
        <f>IF($AJ26=1,IF(OR($U26="TRF",$U26="DEP",$U26="WDR"),"INTERNAL",IF(OR($U26="RCV",$U26="PAY"),IFERROR(IF(INDEX(COA!$I:$I,MATCH($F26,COA!$A:$A,0))="","OPERATING",INDEX(COA!$I:$I,MATCH($F26,COA!$A:$A,0))),"OPERATING"),"OPERATING")),"")</f>
        <v/>
      </c>
      <c r="AJ26" s="32">
        <f>IF(COUNTA($A26:$T26)&gt;0,1,0)</f>
        <v/>
      </c>
      <c r="AK26" s="32">
        <f>IF($AJ26=0,"",IF($A26="","رقم المستند ناقص",IF(COUNTIF(Doc_Register!$A:$A,$A26)&gt;1,"رقم مستند مكرر في السجل المركزي",IF(LEFT($A26,LEN($V26)+1)&lt;&gt;$V26&amp;"-","بادئة الرقم لا تطابق نوع المستند",IF(NOT(ISNUMBER($B26)),"التاريخ ناقص أو غير صحيح",IF($N26="","حالة المستند ناقصة",IF($O26="","اسم المُعِد ناقص",IF(AND(OR($N26=ST_APPR,$N26=ST_POST),$P26=""),"لا يوجد معتمد",IF(AND($P26&lt;&gt;"",$P26=$O26),"المُعِد والمعتمد نفس الشخص (فصل المهام)",IF(AND($N26=ST_POST,$Q26=""),"اسم المحاسب المرحِّل ناقص",IF(AND($N26=ST_POST,$Q26&lt;&gt;"",OR($Q26=$O26,$Q26=$P26)),"المرحِّل يجب أن يختلف عن المُعِد والمعتمد",IF(AND($N26=ST_REV,$S26=""),"مرجع التصحيح/الإلغاء ناقص",IF(AND(ISNUMBER($B26),OR($N26=ST_DRAFT,$N26=ST_APPR),COUNTIFS(Period_Close!$A:$A,YEAR($B26)*100+MONTH($B26),Period_Close!$B:$B,"مقفلة")&gt;0),"الفترة مقفلة: لا يسمح بمستند جديد",IF($U26="?","نوع السند غير معرف",IF(COUNTIFS(COA!$A:$A,$W26,COA!$R:$R,1)&lt;&gt;1,"الخزينة/البنك غير معرف أو غير صالح",IF(NOT(N($I26)&gt;0),"المبلغ يجب أن يكون أكبر من صفر",IF(AND(OR($U26="TRF",$U26="DEP",$U26="WDR"),$E26=""),"الخزينة المستلمة ناقصة",IF(AND(OR($U26="TRF",$U26="DEP",$U26="WDR"),$E26=$D26),"التحويل إلى نفس الخزينة",IF(AND(OR($U26="TRF",$U26="DEP",$U26="WDR"),COUNTIFS(COA!$A:$A,$X26,COA!$R:$R,1)&lt;&gt;1),"الخزينة المستلمة غير صالحة",IF(AND(OR($U26="RCV",$U26="PAY"),$F26=""),"الحساب المقابل ناقص",IF(AND(OR($U26="RCV",$U26="PAY"),COUNTIFS(COA!$A:$A,$F26,COA!$R:$R,1)&lt;&gt;1),"الحساب المقابل غير صالح أو رئيسي",IF(AND(OR($U26="RCV",$U26="PAY"),IFERROR(INDEX(COA!$H:$H,MATCH($F26,COA!$A:$A,0)),0)=1),"الحساب المقابل نقدي: استخدم تحويل بين الخزائن",IF(AND(OR($U26="RCV",$U26="PAY"),$F26=ACC_SUPPLIERS),"سداد الموردين يتم من Supplier_Payments",IF(AND(OR($U26="RCV",$U26="PAY"),$H26=""),"المستلم/الدافع ناقص",IF(AND(OR($U26="RCV",$U26="PAY"),$J26=""),"طريقة الدفع ناقصة",IF(AND(OR($U26="RCV",$U26="PAY"),OR($F26=ACC_CUSTOMERS,$F26=1501,$F26=1502),$G26=""),"كود الجهة إلزامي لهذا الحساب",IF(AND($F26=ACC_CUSTOMERS,$G26&lt;&gt;"",COUNTIF(Customers!$A:$A,$G26)=0),"كود العميل غير معرف",IF(AND(OR($F26=1501,$F26=1502),$G26&lt;&gt;"",COUNTIF(Employees!$A:$A,$G26)=0),"كود الموظف غير معرف",IF(AND($M26&lt;&gt;"",COUNTIF(Doc_Register!$A:$A,$M26)=0),"المستند المرتبط غير موجود",IF(AND(OR($U26="PAY",$U26="SHT"),NOT(COUNTIF(Cost_Centers!$A:$A,$AE26)&gt;0)),"مركز التكلفة غير معرف",""))))))))))))))))))))))))))))))</f>
        <v/>
      </c>
      <c r="AL26" s="32">
        <f>IF($AJ26=1,IF($AK26&lt;&gt;"",1,0),0)</f>
        <v/>
      </c>
      <c r="AM26" s="32">
        <f>IF(AND($AJ26=1,$AL26=0,$N26=ST_POST),1,0)</f>
        <v/>
      </c>
    </row>
    <row r="27">
      <c r="A27" s="29" t="n"/>
      <c r="B27" s="31" t="n"/>
      <c r="C27" s="29" t="n"/>
      <c r="D27" s="39" t="n"/>
      <c r="E27" s="39" t="n"/>
      <c r="F27" s="39" t="n"/>
      <c r="G27" s="29" t="n"/>
      <c r="H27" s="29" t="n"/>
      <c r="I27" s="42" t="n"/>
      <c r="J27" s="29" t="n"/>
      <c r="K27" s="29" t="n"/>
      <c r="L27" s="39" t="n"/>
      <c r="M27" s="29" t="n"/>
      <c r="N27" s="39" t="n"/>
      <c r="O27" s="29" t="n"/>
      <c r="P27" s="29" t="n"/>
      <c r="Q27" s="29" t="n"/>
      <c r="R27" s="29" t="n"/>
      <c r="S27" s="29" t="n"/>
      <c r="T27" s="29" t="n"/>
      <c r="U27" s="32">
        <f>IF($AJ27=1,IFERROR(INDEX(Lists!$F:$F,MATCH($C27,Lists!$E:$E,0)),"?"),"")</f>
        <v/>
      </c>
      <c r="V27" s="32">
        <f>IF($AJ27=1,IFERROR(INDEX(Lists!$G:$G,MATCH($C27,Lists!$E:$E,0)),"?"),"")</f>
        <v/>
      </c>
      <c r="W27" s="32">
        <f>IF($AJ27=1,IFERROR(INDEX(Treasuries!$E:$E,MATCH($D27,Treasuries!$A:$A,0)),"؟"),"")</f>
        <v/>
      </c>
      <c r="X27" s="32">
        <f>IF(AND($AJ27=1,$E27&lt;&gt;""),IFERROR(INDEX(Treasuries!$E:$E,MATCH($E27,Treasuries!$A:$A,0)),"؟"),"")</f>
        <v/>
      </c>
      <c r="Y27" s="32">
        <f>IF($AJ27=1,IFERROR(INDEX(Treasuries!$D:$D,MATCH($D27,Treasuries!$A:$A,0)),"؟"),"")</f>
        <v/>
      </c>
      <c r="Z27" s="32">
        <f>IF(AND($AJ27=1,$E27&lt;&gt;""),IFERROR(INDEX(Treasuries!$D:$D,MATCH($E27,Treasuries!$A:$A,0)),"؟"),"")</f>
        <v/>
      </c>
      <c r="AA27" s="44">
        <f>IF($AJ27=1,IF($U27="RCV",$W27,IF($U27="PAY",$F27,IF(OR($U27="TRF",$U27="DEP",$U27="WDR"),$X27,IF($U27="SHT",ACC_CASH_SHORT,IF($U27="OVR",$W27,"؟"))))),"")</f>
        <v/>
      </c>
      <c r="AB27" s="44">
        <f>IF($AJ27=1,IF($U27="RCV",$F27,IF($U27="PAY",$W27,IF(OR($U27="TRF",$U27="DEP",$U27="WDR"),$W27,IF($U27="SHT",$W27,IF($U27="OVR",ACC_CASH_OVER,"؟"))))),"")</f>
        <v/>
      </c>
      <c r="AC27" s="32">
        <f>IF($AJ27=1,IF(OR($U27="TRF",$U27="DEP",$U27="WDR"),$Z27,$Y27),"")</f>
        <v/>
      </c>
      <c r="AD27" s="32">
        <f>IF($AJ27=1,$Y27,"")</f>
        <v/>
      </c>
      <c r="AE27" s="32">
        <f>IF($AJ27=1,IF(OR($U27="PAY",$U27="SHT"),IF($L27="","CC00",$L27),"CC00"),"")</f>
        <v/>
      </c>
      <c r="AF27" s="32">
        <f>IF($AJ27=1,IF(OR($U27="RCV",$U27="OVR"),IF($L27="","CC00",$L27),"CC00"),"")</f>
        <v/>
      </c>
      <c r="AG27" s="32">
        <f>IF($AJ27=1,IF(AND($U27="PAY",$G27&lt;&gt;""),$G27,"-"),"")</f>
        <v/>
      </c>
      <c r="AH27" s="32">
        <f>IF($AJ27=1,IF(AND($U27="RCV",$G27&lt;&gt;""),$G27,"-"),"")</f>
        <v/>
      </c>
      <c r="AI27" s="32">
        <f>IF($AJ27=1,IF(OR($U27="TRF",$U27="DEP",$U27="WDR"),"INTERNAL",IF(OR($U27="RCV",$U27="PAY"),IFERROR(IF(INDEX(COA!$I:$I,MATCH($F27,COA!$A:$A,0))="","OPERATING",INDEX(COA!$I:$I,MATCH($F27,COA!$A:$A,0))),"OPERATING"),"OPERATING")),"")</f>
        <v/>
      </c>
      <c r="AJ27" s="32">
        <f>IF(COUNTA($A27:$T27)&gt;0,1,0)</f>
        <v/>
      </c>
      <c r="AK27" s="32">
        <f>IF($AJ27=0,"",IF($A27="","رقم المستند ناقص",IF(COUNTIF(Doc_Register!$A:$A,$A27)&gt;1,"رقم مستند مكرر في السجل المركزي",IF(LEFT($A27,LEN($V27)+1)&lt;&gt;$V27&amp;"-","بادئة الرقم لا تطابق نوع المستند",IF(NOT(ISNUMBER($B27)),"التاريخ ناقص أو غير صحيح",IF($N27="","حالة المستند ناقصة",IF($O27="","اسم المُعِد ناقص",IF(AND(OR($N27=ST_APPR,$N27=ST_POST),$P27=""),"لا يوجد معتمد",IF(AND($P27&lt;&gt;"",$P27=$O27),"المُعِد والمعتمد نفس الشخص (فصل المهام)",IF(AND($N27=ST_POST,$Q27=""),"اسم المحاسب المرحِّل ناقص",IF(AND($N27=ST_POST,$Q27&lt;&gt;"",OR($Q27=$O27,$Q27=$P27)),"المرحِّل يجب أن يختلف عن المُعِد والمعتمد",IF(AND($N27=ST_REV,$S27=""),"مرجع التصحيح/الإلغاء ناقص",IF(AND(ISNUMBER($B27),OR($N27=ST_DRAFT,$N27=ST_APPR),COUNTIFS(Period_Close!$A:$A,YEAR($B27)*100+MONTH($B27),Period_Close!$B:$B,"مقفلة")&gt;0),"الفترة مقفلة: لا يسمح بمستند جديد",IF($U27="?","نوع السند غير معرف",IF(COUNTIFS(COA!$A:$A,$W27,COA!$R:$R,1)&lt;&gt;1,"الخزينة/البنك غير معرف أو غير صالح",IF(NOT(N($I27)&gt;0),"المبلغ يجب أن يكون أكبر من صفر",IF(AND(OR($U27="TRF",$U27="DEP",$U27="WDR"),$E27=""),"الخزينة المستلمة ناقصة",IF(AND(OR($U27="TRF",$U27="DEP",$U27="WDR"),$E27=$D27),"التحويل إلى نفس الخزينة",IF(AND(OR($U27="TRF",$U27="DEP",$U27="WDR"),COUNTIFS(COA!$A:$A,$X27,COA!$R:$R,1)&lt;&gt;1),"الخزينة المستلمة غير صالحة",IF(AND(OR($U27="RCV",$U27="PAY"),$F27=""),"الحساب المقابل ناقص",IF(AND(OR($U27="RCV",$U27="PAY"),COUNTIFS(COA!$A:$A,$F27,COA!$R:$R,1)&lt;&gt;1),"الحساب المقابل غير صالح أو رئيسي",IF(AND(OR($U27="RCV",$U27="PAY"),IFERROR(INDEX(COA!$H:$H,MATCH($F27,COA!$A:$A,0)),0)=1),"الحساب المقابل نقدي: استخدم تحويل بين الخزائن",IF(AND(OR($U27="RCV",$U27="PAY"),$F27=ACC_SUPPLIERS),"سداد الموردين يتم من Supplier_Payments",IF(AND(OR($U27="RCV",$U27="PAY"),$H27=""),"المستلم/الدافع ناقص",IF(AND(OR($U27="RCV",$U27="PAY"),$J27=""),"طريقة الدفع ناقصة",IF(AND(OR($U27="RCV",$U27="PAY"),OR($F27=ACC_CUSTOMERS,$F27=1501,$F27=1502),$G27=""),"كود الجهة إلزامي لهذا الحساب",IF(AND($F27=ACC_CUSTOMERS,$G27&lt;&gt;"",COUNTIF(Customers!$A:$A,$G27)=0),"كود العميل غير معرف",IF(AND(OR($F27=1501,$F27=1502),$G27&lt;&gt;"",COUNTIF(Employees!$A:$A,$G27)=0),"كود الموظف غير معرف",IF(AND($M27&lt;&gt;"",COUNTIF(Doc_Register!$A:$A,$M27)=0),"المستند المرتبط غير موجود",IF(AND(OR($U27="PAY",$U27="SHT"),NOT(COUNTIF(Cost_Centers!$A:$A,$AE27)&gt;0)),"مركز التكلفة غير معرف",""))))))))))))))))))))))))))))))</f>
        <v/>
      </c>
      <c r="AL27" s="32">
        <f>IF($AJ27=1,IF($AK27&lt;&gt;"",1,0),0)</f>
        <v/>
      </c>
      <c r="AM27" s="32">
        <f>IF(AND($AJ27=1,$AL27=0,$N27=ST_POST),1,0)</f>
        <v/>
      </c>
    </row>
    <row r="28">
      <c r="A28" s="29" t="n"/>
      <c r="B28" s="31" t="n"/>
      <c r="C28" s="29" t="n"/>
      <c r="D28" s="39" t="n"/>
      <c r="E28" s="39" t="n"/>
      <c r="F28" s="39" t="n"/>
      <c r="G28" s="29" t="n"/>
      <c r="H28" s="29" t="n"/>
      <c r="I28" s="42" t="n"/>
      <c r="J28" s="29" t="n"/>
      <c r="K28" s="29" t="n"/>
      <c r="L28" s="39" t="n"/>
      <c r="M28" s="29" t="n"/>
      <c r="N28" s="39" t="n"/>
      <c r="O28" s="29" t="n"/>
      <c r="P28" s="29" t="n"/>
      <c r="Q28" s="29" t="n"/>
      <c r="R28" s="29" t="n"/>
      <c r="S28" s="29" t="n"/>
      <c r="T28" s="29" t="n"/>
      <c r="U28" s="32">
        <f>IF($AJ28=1,IFERROR(INDEX(Lists!$F:$F,MATCH($C28,Lists!$E:$E,0)),"?"),"")</f>
        <v/>
      </c>
      <c r="V28" s="32">
        <f>IF($AJ28=1,IFERROR(INDEX(Lists!$G:$G,MATCH($C28,Lists!$E:$E,0)),"?"),"")</f>
        <v/>
      </c>
      <c r="W28" s="32">
        <f>IF($AJ28=1,IFERROR(INDEX(Treasuries!$E:$E,MATCH($D28,Treasuries!$A:$A,0)),"؟"),"")</f>
        <v/>
      </c>
      <c r="X28" s="32">
        <f>IF(AND($AJ28=1,$E28&lt;&gt;""),IFERROR(INDEX(Treasuries!$E:$E,MATCH($E28,Treasuries!$A:$A,0)),"؟"),"")</f>
        <v/>
      </c>
      <c r="Y28" s="32">
        <f>IF($AJ28=1,IFERROR(INDEX(Treasuries!$D:$D,MATCH($D28,Treasuries!$A:$A,0)),"؟"),"")</f>
        <v/>
      </c>
      <c r="Z28" s="32">
        <f>IF(AND($AJ28=1,$E28&lt;&gt;""),IFERROR(INDEX(Treasuries!$D:$D,MATCH($E28,Treasuries!$A:$A,0)),"؟"),"")</f>
        <v/>
      </c>
      <c r="AA28" s="44">
        <f>IF($AJ28=1,IF($U28="RCV",$W28,IF($U28="PAY",$F28,IF(OR($U28="TRF",$U28="DEP",$U28="WDR"),$X28,IF($U28="SHT",ACC_CASH_SHORT,IF($U28="OVR",$W28,"؟"))))),"")</f>
        <v/>
      </c>
      <c r="AB28" s="44">
        <f>IF($AJ28=1,IF($U28="RCV",$F28,IF($U28="PAY",$W28,IF(OR($U28="TRF",$U28="DEP",$U28="WDR"),$W28,IF($U28="SHT",$W28,IF($U28="OVR",ACC_CASH_OVER,"؟"))))),"")</f>
        <v/>
      </c>
      <c r="AC28" s="32">
        <f>IF($AJ28=1,IF(OR($U28="TRF",$U28="DEP",$U28="WDR"),$Z28,$Y28),"")</f>
        <v/>
      </c>
      <c r="AD28" s="32">
        <f>IF($AJ28=1,$Y28,"")</f>
        <v/>
      </c>
      <c r="AE28" s="32">
        <f>IF($AJ28=1,IF(OR($U28="PAY",$U28="SHT"),IF($L28="","CC00",$L28),"CC00"),"")</f>
        <v/>
      </c>
      <c r="AF28" s="32">
        <f>IF($AJ28=1,IF(OR($U28="RCV",$U28="OVR"),IF($L28="","CC00",$L28),"CC00"),"")</f>
        <v/>
      </c>
      <c r="AG28" s="32">
        <f>IF($AJ28=1,IF(AND($U28="PAY",$G28&lt;&gt;""),$G28,"-"),"")</f>
        <v/>
      </c>
      <c r="AH28" s="32">
        <f>IF($AJ28=1,IF(AND($U28="RCV",$G28&lt;&gt;""),$G28,"-"),"")</f>
        <v/>
      </c>
      <c r="AI28" s="32">
        <f>IF($AJ28=1,IF(OR($U28="TRF",$U28="DEP",$U28="WDR"),"INTERNAL",IF(OR($U28="RCV",$U28="PAY"),IFERROR(IF(INDEX(COA!$I:$I,MATCH($F28,COA!$A:$A,0))="","OPERATING",INDEX(COA!$I:$I,MATCH($F28,COA!$A:$A,0))),"OPERATING"),"OPERATING")),"")</f>
        <v/>
      </c>
      <c r="AJ28" s="32">
        <f>IF(COUNTA($A28:$T28)&gt;0,1,0)</f>
        <v/>
      </c>
      <c r="AK28" s="32">
        <f>IF($AJ28=0,"",IF($A28="","رقم المستند ناقص",IF(COUNTIF(Doc_Register!$A:$A,$A28)&gt;1,"رقم مستند مكرر في السجل المركزي",IF(LEFT($A28,LEN($V28)+1)&lt;&gt;$V28&amp;"-","بادئة الرقم لا تطابق نوع المستند",IF(NOT(ISNUMBER($B28)),"التاريخ ناقص أو غير صحيح",IF($N28="","حالة المستند ناقصة",IF($O28="","اسم المُعِد ناقص",IF(AND(OR($N28=ST_APPR,$N28=ST_POST),$P28=""),"لا يوجد معتمد",IF(AND($P28&lt;&gt;"",$P28=$O28),"المُعِد والمعتمد نفس الشخص (فصل المهام)",IF(AND($N28=ST_POST,$Q28=""),"اسم المحاسب المرحِّل ناقص",IF(AND($N28=ST_POST,$Q28&lt;&gt;"",OR($Q28=$O28,$Q28=$P28)),"المرحِّل يجب أن يختلف عن المُعِد والمعتمد",IF(AND($N28=ST_REV,$S28=""),"مرجع التصحيح/الإلغاء ناقص",IF(AND(ISNUMBER($B28),OR($N28=ST_DRAFT,$N28=ST_APPR),COUNTIFS(Period_Close!$A:$A,YEAR($B28)*100+MONTH($B28),Period_Close!$B:$B,"مقفلة")&gt;0),"الفترة مقفلة: لا يسمح بمستند جديد",IF($U28="?","نوع السند غير معرف",IF(COUNTIFS(COA!$A:$A,$W28,COA!$R:$R,1)&lt;&gt;1,"الخزينة/البنك غير معرف أو غير صالح",IF(NOT(N($I28)&gt;0),"المبلغ يجب أن يكون أكبر من صفر",IF(AND(OR($U28="TRF",$U28="DEP",$U28="WDR"),$E28=""),"الخزينة المستلمة ناقصة",IF(AND(OR($U28="TRF",$U28="DEP",$U28="WDR"),$E28=$D28),"التحويل إلى نفس الخزينة",IF(AND(OR($U28="TRF",$U28="DEP",$U28="WDR"),COUNTIFS(COA!$A:$A,$X28,COA!$R:$R,1)&lt;&gt;1),"الخزينة المستلمة غير صالحة",IF(AND(OR($U28="RCV",$U28="PAY"),$F28=""),"الحساب المقابل ناقص",IF(AND(OR($U28="RCV",$U28="PAY"),COUNTIFS(COA!$A:$A,$F28,COA!$R:$R,1)&lt;&gt;1),"الحساب المقابل غير صالح أو رئيسي",IF(AND(OR($U28="RCV",$U28="PAY"),IFERROR(INDEX(COA!$H:$H,MATCH($F28,COA!$A:$A,0)),0)=1),"الحساب المقابل نقدي: استخدم تحويل بين الخزائن",IF(AND(OR($U28="RCV",$U28="PAY"),$F28=ACC_SUPPLIERS),"سداد الموردين يتم من Supplier_Payments",IF(AND(OR($U28="RCV",$U28="PAY"),$H28=""),"المستلم/الدافع ناقص",IF(AND(OR($U28="RCV",$U28="PAY"),$J28=""),"طريقة الدفع ناقصة",IF(AND(OR($U28="RCV",$U28="PAY"),OR($F28=ACC_CUSTOMERS,$F28=1501,$F28=1502),$G28=""),"كود الجهة إلزامي لهذا الحساب",IF(AND($F28=ACC_CUSTOMERS,$G28&lt;&gt;"",COUNTIF(Customers!$A:$A,$G28)=0),"كود العميل غير معرف",IF(AND(OR($F28=1501,$F28=1502),$G28&lt;&gt;"",COUNTIF(Employees!$A:$A,$G28)=0),"كود الموظف غير معرف",IF(AND($M28&lt;&gt;"",COUNTIF(Doc_Register!$A:$A,$M28)=0),"المستند المرتبط غير موجود",IF(AND(OR($U28="PAY",$U28="SHT"),NOT(COUNTIF(Cost_Centers!$A:$A,$AE28)&gt;0)),"مركز التكلفة غير معرف",""))))))))))))))))))))))))))))))</f>
        <v/>
      </c>
      <c r="AL28" s="32">
        <f>IF($AJ28=1,IF($AK28&lt;&gt;"",1,0),0)</f>
        <v/>
      </c>
      <c r="AM28" s="32">
        <f>IF(AND($AJ28=1,$AL28=0,$N28=ST_POST),1,0)</f>
        <v/>
      </c>
    </row>
    <row r="29">
      <c r="A29" s="29" t="n"/>
      <c r="B29" s="31" t="n"/>
      <c r="C29" s="29" t="n"/>
      <c r="D29" s="39" t="n"/>
      <c r="E29" s="39" t="n"/>
      <c r="F29" s="39" t="n"/>
      <c r="G29" s="29" t="n"/>
      <c r="H29" s="29" t="n"/>
      <c r="I29" s="42" t="n"/>
      <c r="J29" s="29" t="n"/>
      <c r="K29" s="29" t="n"/>
      <c r="L29" s="39" t="n"/>
      <c r="M29" s="29" t="n"/>
      <c r="N29" s="39" t="n"/>
      <c r="O29" s="29" t="n"/>
      <c r="P29" s="29" t="n"/>
      <c r="Q29" s="29" t="n"/>
      <c r="R29" s="29" t="n"/>
      <c r="S29" s="29" t="n"/>
      <c r="T29" s="29" t="n"/>
      <c r="U29" s="32">
        <f>IF($AJ29=1,IFERROR(INDEX(Lists!$F:$F,MATCH($C29,Lists!$E:$E,0)),"?"),"")</f>
        <v/>
      </c>
      <c r="V29" s="32">
        <f>IF($AJ29=1,IFERROR(INDEX(Lists!$G:$G,MATCH($C29,Lists!$E:$E,0)),"?"),"")</f>
        <v/>
      </c>
      <c r="W29" s="32">
        <f>IF($AJ29=1,IFERROR(INDEX(Treasuries!$E:$E,MATCH($D29,Treasuries!$A:$A,0)),"؟"),"")</f>
        <v/>
      </c>
      <c r="X29" s="32">
        <f>IF(AND($AJ29=1,$E29&lt;&gt;""),IFERROR(INDEX(Treasuries!$E:$E,MATCH($E29,Treasuries!$A:$A,0)),"؟"),"")</f>
        <v/>
      </c>
      <c r="Y29" s="32">
        <f>IF($AJ29=1,IFERROR(INDEX(Treasuries!$D:$D,MATCH($D29,Treasuries!$A:$A,0)),"؟"),"")</f>
        <v/>
      </c>
      <c r="Z29" s="32">
        <f>IF(AND($AJ29=1,$E29&lt;&gt;""),IFERROR(INDEX(Treasuries!$D:$D,MATCH($E29,Treasuries!$A:$A,0)),"؟"),"")</f>
        <v/>
      </c>
      <c r="AA29" s="44">
        <f>IF($AJ29=1,IF($U29="RCV",$W29,IF($U29="PAY",$F29,IF(OR($U29="TRF",$U29="DEP",$U29="WDR"),$X29,IF($U29="SHT",ACC_CASH_SHORT,IF($U29="OVR",$W29,"؟"))))),"")</f>
        <v/>
      </c>
      <c r="AB29" s="44">
        <f>IF($AJ29=1,IF($U29="RCV",$F29,IF($U29="PAY",$W29,IF(OR($U29="TRF",$U29="DEP",$U29="WDR"),$W29,IF($U29="SHT",$W29,IF($U29="OVR",ACC_CASH_OVER,"؟"))))),"")</f>
        <v/>
      </c>
      <c r="AC29" s="32">
        <f>IF($AJ29=1,IF(OR($U29="TRF",$U29="DEP",$U29="WDR"),$Z29,$Y29),"")</f>
        <v/>
      </c>
      <c r="AD29" s="32">
        <f>IF($AJ29=1,$Y29,"")</f>
        <v/>
      </c>
      <c r="AE29" s="32">
        <f>IF($AJ29=1,IF(OR($U29="PAY",$U29="SHT"),IF($L29="","CC00",$L29),"CC00"),"")</f>
        <v/>
      </c>
      <c r="AF29" s="32">
        <f>IF($AJ29=1,IF(OR($U29="RCV",$U29="OVR"),IF($L29="","CC00",$L29),"CC00"),"")</f>
        <v/>
      </c>
      <c r="AG29" s="32">
        <f>IF($AJ29=1,IF(AND($U29="PAY",$G29&lt;&gt;""),$G29,"-"),"")</f>
        <v/>
      </c>
      <c r="AH29" s="32">
        <f>IF($AJ29=1,IF(AND($U29="RCV",$G29&lt;&gt;""),$G29,"-"),"")</f>
        <v/>
      </c>
      <c r="AI29" s="32">
        <f>IF($AJ29=1,IF(OR($U29="TRF",$U29="DEP",$U29="WDR"),"INTERNAL",IF(OR($U29="RCV",$U29="PAY"),IFERROR(IF(INDEX(COA!$I:$I,MATCH($F29,COA!$A:$A,0))="","OPERATING",INDEX(COA!$I:$I,MATCH($F29,COA!$A:$A,0))),"OPERATING"),"OPERATING")),"")</f>
        <v/>
      </c>
      <c r="AJ29" s="32">
        <f>IF(COUNTA($A29:$T29)&gt;0,1,0)</f>
        <v/>
      </c>
      <c r="AK29" s="32">
        <f>IF($AJ29=0,"",IF($A29="","رقم المستند ناقص",IF(COUNTIF(Doc_Register!$A:$A,$A29)&gt;1,"رقم مستند مكرر في السجل المركزي",IF(LEFT($A29,LEN($V29)+1)&lt;&gt;$V29&amp;"-","بادئة الرقم لا تطابق نوع المستند",IF(NOT(ISNUMBER($B29)),"التاريخ ناقص أو غير صحيح",IF($N29="","حالة المستند ناقصة",IF($O29="","اسم المُعِد ناقص",IF(AND(OR($N29=ST_APPR,$N29=ST_POST),$P29=""),"لا يوجد معتمد",IF(AND($P29&lt;&gt;"",$P29=$O29),"المُعِد والمعتمد نفس الشخص (فصل المهام)",IF(AND($N29=ST_POST,$Q29=""),"اسم المحاسب المرحِّل ناقص",IF(AND($N29=ST_POST,$Q29&lt;&gt;"",OR($Q29=$O29,$Q29=$P29)),"المرحِّل يجب أن يختلف عن المُعِد والمعتمد",IF(AND($N29=ST_REV,$S29=""),"مرجع التصحيح/الإلغاء ناقص",IF(AND(ISNUMBER($B29),OR($N29=ST_DRAFT,$N29=ST_APPR),COUNTIFS(Period_Close!$A:$A,YEAR($B29)*100+MONTH($B29),Period_Close!$B:$B,"مقفلة")&gt;0),"الفترة مقفلة: لا يسمح بمستند جديد",IF($U29="?","نوع السند غير معرف",IF(COUNTIFS(COA!$A:$A,$W29,COA!$R:$R,1)&lt;&gt;1,"الخزينة/البنك غير معرف أو غير صالح",IF(NOT(N($I29)&gt;0),"المبلغ يجب أن يكون أكبر من صفر",IF(AND(OR($U29="TRF",$U29="DEP",$U29="WDR"),$E29=""),"الخزينة المستلمة ناقصة",IF(AND(OR($U29="TRF",$U29="DEP",$U29="WDR"),$E29=$D29),"التحويل إلى نفس الخزينة",IF(AND(OR($U29="TRF",$U29="DEP",$U29="WDR"),COUNTIFS(COA!$A:$A,$X29,COA!$R:$R,1)&lt;&gt;1),"الخزينة المستلمة غير صالحة",IF(AND(OR($U29="RCV",$U29="PAY"),$F29=""),"الحساب المقابل ناقص",IF(AND(OR($U29="RCV",$U29="PAY"),COUNTIFS(COA!$A:$A,$F29,COA!$R:$R,1)&lt;&gt;1),"الحساب المقابل غير صالح أو رئيسي",IF(AND(OR($U29="RCV",$U29="PAY"),IFERROR(INDEX(COA!$H:$H,MATCH($F29,COA!$A:$A,0)),0)=1),"الحساب المقابل نقدي: استخدم تحويل بين الخزائن",IF(AND(OR($U29="RCV",$U29="PAY"),$F29=ACC_SUPPLIERS),"سداد الموردين يتم من Supplier_Payments",IF(AND(OR($U29="RCV",$U29="PAY"),$H29=""),"المستلم/الدافع ناقص",IF(AND(OR($U29="RCV",$U29="PAY"),$J29=""),"طريقة الدفع ناقصة",IF(AND(OR($U29="RCV",$U29="PAY"),OR($F29=ACC_CUSTOMERS,$F29=1501,$F29=1502),$G29=""),"كود الجهة إلزامي لهذا الحساب",IF(AND($F29=ACC_CUSTOMERS,$G29&lt;&gt;"",COUNTIF(Customers!$A:$A,$G29)=0),"كود العميل غير معرف",IF(AND(OR($F29=1501,$F29=1502),$G29&lt;&gt;"",COUNTIF(Employees!$A:$A,$G29)=0),"كود الموظف غير معرف",IF(AND($M29&lt;&gt;"",COUNTIF(Doc_Register!$A:$A,$M29)=0),"المستند المرتبط غير موجود",IF(AND(OR($U29="PAY",$U29="SHT"),NOT(COUNTIF(Cost_Centers!$A:$A,$AE29)&gt;0)),"مركز التكلفة غير معرف",""))))))))))))))))))))))))))))))</f>
        <v/>
      </c>
      <c r="AL29" s="32">
        <f>IF($AJ29=1,IF($AK29&lt;&gt;"",1,0),0)</f>
        <v/>
      </c>
      <c r="AM29" s="32">
        <f>IF(AND($AJ29=1,$AL29=0,$N29=ST_POST),1,0)</f>
        <v/>
      </c>
    </row>
    <row r="30">
      <c r="A30" s="29" t="n"/>
      <c r="B30" s="31" t="n"/>
      <c r="C30" s="29" t="n"/>
      <c r="D30" s="39" t="n"/>
      <c r="E30" s="39" t="n"/>
      <c r="F30" s="39" t="n"/>
      <c r="G30" s="29" t="n"/>
      <c r="H30" s="29" t="n"/>
      <c r="I30" s="42" t="n"/>
      <c r="J30" s="29" t="n"/>
      <c r="K30" s="29" t="n"/>
      <c r="L30" s="39" t="n"/>
      <c r="M30" s="29" t="n"/>
      <c r="N30" s="39" t="n"/>
      <c r="O30" s="29" t="n"/>
      <c r="P30" s="29" t="n"/>
      <c r="Q30" s="29" t="n"/>
      <c r="R30" s="29" t="n"/>
      <c r="S30" s="29" t="n"/>
      <c r="T30" s="29" t="n"/>
      <c r="U30" s="32">
        <f>IF($AJ30=1,IFERROR(INDEX(Lists!$F:$F,MATCH($C30,Lists!$E:$E,0)),"?"),"")</f>
        <v/>
      </c>
      <c r="V30" s="32">
        <f>IF($AJ30=1,IFERROR(INDEX(Lists!$G:$G,MATCH($C30,Lists!$E:$E,0)),"?"),"")</f>
        <v/>
      </c>
      <c r="W30" s="32">
        <f>IF($AJ30=1,IFERROR(INDEX(Treasuries!$E:$E,MATCH($D30,Treasuries!$A:$A,0)),"؟"),"")</f>
        <v/>
      </c>
      <c r="X30" s="32">
        <f>IF(AND($AJ30=1,$E30&lt;&gt;""),IFERROR(INDEX(Treasuries!$E:$E,MATCH($E30,Treasuries!$A:$A,0)),"؟"),"")</f>
        <v/>
      </c>
      <c r="Y30" s="32">
        <f>IF($AJ30=1,IFERROR(INDEX(Treasuries!$D:$D,MATCH($D30,Treasuries!$A:$A,0)),"؟"),"")</f>
        <v/>
      </c>
      <c r="Z30" s="32">
        <f>IF(AND($AJ30=1,$E30&lt;&gt;""),IFERROR(INDEX(Treasuries!$D:$D,MATCH($E30,Treasuries!$A:$A,0)),"؟"),"")</f>
        <v/>
      </c>
      <c r="AA30" s="44">
        <f>IF($AJ30=1,IF($U30="RCV",$W30,IF($U30="PAY",$F30,IF(OR($U30="TRF",$U30="DEP",$U30="WDR"),$X30,IF($U30="SHT",ACC_CASH_SHORT,IF($U30="OVR",$W30,"؟"))))),"")</f>
        <v/>
      </c>
      <c r="AB30" s="44">
        <f>IF($AJ30=1,IF($U30="RCV",$F30,IF($U30="PAY",$W30,IF(OR($U30="TRF",$U30="DEP",$U30="WDR"),$W30,IF($U30="SHT",$W30,IF($U30="OVR",ACC_CASH_OVER,"؟"))))),"")</f>
        <v/>
      </c>
      <c r="AC30" s="32">
        <f>IF($AJ30=1,IF(OR($U30="TRF",$U30="DEP",$U30="WDR"),$Z30,$Y30),"")</f>
        <v/>
      </c>
      <c r="AD30" s="32">
        <f>IF($AJ30=1,$Y30,"")</f>
        <v/>
      </c>
      <c r="AE30" s="32">
        <f>IF($AJ30=1,IF(OR($U30="PAY",$U30="SHT"),IF($L30="","CC00",$L30),"CC00"),"")</f>
        <v/>
      </c>
      <c r="AF30" s="32">
        <f>IF($AJ30=1,IF(OR($U30="RCV",$U30="OVR"),IF($L30="","CC00",$L30),"CC00"),"")</f>
        <v/>
      </c>
      <c r="AG30" s="32">
        <f>IF($AJ30=1,IF(AND($U30="PAY",$G30&lt;&gt;""),$G30,"-"),"")</f>
        <v/>
      </c>
      <c r="AH30" s="32">
        <f>IF($AJ30=1,IF(AND($U30="RCV",$G30&lt;&gt;""),$G30,"-"),"")</f>
        <v/>
      </c>
      <c r="AI30" s="32">
        <f>IF($AJ30=1,IF(OR($U30="TRF",$U30="DEP",$U30="WDR"),"INTERNAL",IF(OR($U30="RCV",$U30="PAY"),IFERROR(IF(INDEX(COA!$I:$I,MATCH($F30,COA!$A:$A,0))="","OPERATING",INDEX(COA!$I:$I,MATCH($F30,COA!$A:$A,0))),"OPERATING"),"OPERATING")),"")</f>
        <v/>
      </c>
      <c r="AJ30" s="32">
        <f>IF(COUNTA($A30:$T30)&gt;0,1,0)</f>
        <v/>
      </c>
      <c r="AK30" s="32">
        <f>IF($AJ30=0,"",IF($A30="","رقم المستند ناقص",IF(COUNTIF(Doc_Register!$A:$A,$A30)&gt;1,"رقم مستند مكرر في السجل المركزي",IF(LEFT($A30,LEN($V30)+1)&lt;&gt;$V30&amp;"-","بادئة الرقم لا تطابق نوع المستند",IF(NOT(ISNUMBER($B30)),"التاريخ ناقص أو غير صحيح",IF($N30="","حالة المستند ناقصة",IF($O30="","اسم المُعِد ناقص",IF(AND(OR($N30=ST_APPR,$N30=ST_POST),$P30=""),"لا يوجد معتمد",IF(AND($P30&lt;&gt;"",$P30=$O30),"المُعِد والمعتمد نفس الشخص (فصل المهام)",IF(AND($N30=ST_POST,$Q30=""),"اسم المحاسب المرحِّل ناقص",IF(AND($N30=ST_POST,$Q30&lt;&gt;"",OR($Q30=$O30,$Q30=$P30)),"المرحِّل يجب أن يختلف عن المُعِد والمعتمد",IF(AND($N30=ST_REV,$S30=""),"مرجع التصحيح/الإلغاء ناقص",IF(AND(ISNUMBER($B30),OR($N30=ST_DRAFT,$N30=ST_APPR),COUNTIFS(Period_Close!$A:$A,YEAR($B30)*100+MONTH($B30),Period_Close!$B:$B,"مقفلة")&gt;0),"الفترة مقفلة: لا يسمح بمستند جديد",IF($U30="?","نوع السند غير معرف",IF(COUNTIFS(COA!$A:$A,$W30,COA!$R:$R,1)&lt;&gt;1,"الخزينة/البنك غير معرف أو غير صالح",IF(NOT(N($I30)&gt;0),"المبلغ يجب أن يكون أكبر من صفر",IF(AND(OR($U30="TRF",$U30="DEP",$U30="WDR"),$E30=""),"الخزينة المستلمة ناقصة",IF(AND(OR($U30="TRF",$U30="DEP",$U30="WDR"),$E30=$D30),"التحويل إلى نفس الخزينة",IF(AND(OR($U30="TRF",$U30="DEP",$U30="WDR"),COUNTIFS(COA!$A:$A,$X30,COA!$R:$R,1)&lt;&gt;1),"الخزينة المستلمة غير صالحة",IF(AND(OR($U30="RCV",$U30="PAY"),$F30=""),"الحساب المقابل ناقص",IF(AND(OR($U30="RCV",$U30="PAY"),COUNTIFS(COA!$A:$A,$F30,COA!$R:$R,1)&lt;&gt;1),"الحساب المقابل غير صالح أو رئيسي",IF(AND(OR($U30="RCV",$U30="PAY"),IFERROR(INDEX(COA!$H:$H,MATCH($F30,COA!$A:$A,0)),0)=1),"الحساب المقابل نقدي: استخدم تحويل بين الخزائن",IF(AND(OR($U30="RCV",$U30="PAY"),$F30=ACC_SUPPLIERS),"سداد الموردين يتم من Supplier_Payments",IF(AND(OR($U30="RCV",$U30="PAY"),$H30=""),"المستلم/الدافع ناقص",IF(AND(OR($U30="RCV",$U30="PAY"),$J30=""),"طريقة الدفع ناقصة",IF(AND(OR($U30="RCV",$U30="PAY"),OR($F30=ACC_CUSTOMERS,$F30=1501,$F30=1502),$G30=""),"كود الجهة إلزامي لهذا الحساب",IF(AND($F30=ACC_CUSTOMERS,$G30&lt;&gt;"",COUNTIF(Customers!$A:$A,$G30)=0),"كود العميل غير معرف",IF(AND(OR($F30=1501,$F30=1502),$G30&lt;&gt;"",COUNTIF(Employees!$A:$A,$G30)=0),"كود الموظف غير معرف",IF(AND($M30&lt;&gt;"",COUNTIF(Doc_Register!$A:$A,$M30)=0),"المستند المرتبط غير موجود",IF(AND(OR($U30="PAY",$U30="SHT"),NOT(COUNTIF(Cost_Centers!$A:$A,$AE30)&gt;0)),"مركز التكلفة غير معرف",""))))))))))))))))))))))))))))))</f>
        <v/>
      </c>
      <c r="AL30" s="32">
        <f>IF($AJ30=1,IF($AK30&lt;&gt;"",1,0),0)</f>
        <v/>
      </c>
      <c r="AM30" s="32">
        <f>IF(AND($AJ30=1,$AL30=0,$N30=ST_POST),1,0)</f>
        <v/>
      </c>
    </row>
    <row r="31">
      <c r="A31" s="29" t="n"/>
      <c r="B31" s="31" t="n"/>
      <c r="C31" s="29" t="n"/>
      <c r="D31" s="39" t="n"/>
      <c r="E31" s="39" t="n"/>
      <c r="F31" s="39" t="n"/>
      <c r="G31" s="29" t="n"/>
      <c r="H31" s="29" t="n"/>
      <c r="I31" s="42" t="n"/>
      <c r="J31" s="29" t="n"/>
      <c r="K31" s="29" t="n"/>
      <c r="L31" s="39" t="n"/>
      <c r="M31" s="29" t="n"/>
      <c r="N31" s="39" t="n"/>
      <c r="O31" s="29" t="n"/>
      <c r="P31" s="29" t="n"/>
      <c r="Q31" s="29" t="n"/>
      <c r="R31" s="29" t="n"/>
      <c r="S31" s="29" t="n"/>
      <c r="T31" s="29" t="n"/>
      <c r="U31" s="32">
        <f>IF($AJ31=1,IFERROR(INDEX(Lists!$F:$F,MATCH($C31,Lists!$E:$E,0)),"?"),"")</f>
        <v/>
      </c>
      <c r="V31" s="32">
        <f>IF($AJ31=1,IFERROR(INDEX(Lists!$G:$G,MATCH($C31,Lists!$E:$E,0)),"?"),"")</f>
        <v/>
      </c>
      <c r="W31" s="32">
        <f>IF($AJ31=1,IFERROR(INDEX(Treasuries!$E:$E,MATCH($D31,Treasuries!$A:$A,0)),"؟"),"")</f>
        <v/>
      </c>
      <c r="X31" s="32">
        <f>IF(AND($AJ31=1,$E31&lt;&gt;""),IFERROR(INDEX(Treasuries!$E:$E,MATCH($E31,Treasuries!$A:$A,0)),"؟"),"")</f>
        <v/>
      </c>
      <c r="Y31" s="32">
        <f>IF($AJ31=1,IFERROR(INDEX(Treasuries!$D:$D,MATCH($D31,Treasuries!$A:$A,0)),"؟"),"")</f>
        <v/>
      </c>
      <c r="Z31" s="32">
        <f>IF(AND($AJ31=1,$E31&lt;&gt;""),IFERROR(INDEX(Treasuries!$D:$D,MATCH($E31,Treasuries!$A:$A,0)),"؟"),"")</f>
        <v/>
      </c>
      <c r="AA31" s="44">
        <f>IF($AJ31=1,IF($U31="RCV",$W31,IF($U31="PAY",$F31,IF(OR($U31="TRF",$U31="DEP",$U31="WDR"),$X31,IF($U31="SHT",ACC_CASH_SHORT,IF($U31="OVR",$W31,"؟"))))),"")</f>
        <v/>
      </c>
      <c r="AB31" s="44">
        <f>IF($AJ31=1,IF($U31="RCV",$F31,IF($U31="PAY",$W31,IF(OR($U31="TRF",$U31="DEP",$U31="WDR"),$W31,IF($U31="SHT",$W31,IF($U31="OVR",ACC_CASH_OVER,"؟"))))),"")</f>
        <v/>
      </c>
      <c r="AC31" s="32">
        <f>IF($AJ31=1,IF(OR($U31="TRF",$U31="DEP",$U31="WDR"),$Z31,$Y31),"")</f>
        <v/>
      </c>
      <c r="AD31" s="32">
        <f>IF($AJ31=1,$Y31,"")</f>
        <v/>
      </c>
      <c r="AE31" s="32">
        <f>IF($AJ31=1,IF(OR($U31="PAY",$U31="SHT"),IF($L31="","CC00",$L31),"CC00"),"")</f>
        <v/>
      </c>
      <c r="AF31" s="32">
        <f>IF($AJ31=1,IF(OR($U31="RCV",$U31="OVR"),IF($L31="","CC00",$L31),"CC00"),"")</f>
        <v/>
      </c>
      <c r="AG31" s="32">
        <f>IF($AJ31=1,IF(AND($U31="PAY",$G31&lt;&gt;""),$G31,"-"),"")</f>
        <v/>
      </c>
      <c r="AH31" s="32">
        <f>IF($AJ31=1,IF(AND($U31="RCV",$G31&lt;&gt;""),$G31,"-"),"")</f>
        <v/>
      </c>
      <c r="AI31" s="32">
        <f>IF($AJ31=1,IF(OR($U31="TRF",$U31="DEP",$U31="WDR"),"INTERNAL",IF(OR($U31="RCV",$U31="PAY"),IFERROR(IF(INDEX(COA!$I:$I,MATCH($F31,COA!$A:$A,0))="","OPERATING",INDEX(COA!$I:$I,MATCH($F31,COA!$A:$A,0))),"OPERATING"),"OPERATING")),"")</f>
        <v/>
      </c>
      <c r="AJ31" s="32">
        <f>IF(COUNTA($A31:$T31)&gt;0,1,0)</f>
        <v/>
      </c>
      <c r="AK31" s="32">
        <f>IF($AJ31=0,"",IF($A31="","رقم المستند ناقص",IF(COUNTIF(Doc_Register!$A:$A,$A31)&gt;1,"رقم مستند مكرر في السجل المركزي",IF(LEFT($A31,LEN($V31)+1)&lt;&gt;$V31&amp;"-","بادئة الرقم لا تطابق نوع المستند",IF(NOT(ISNUMBER($B31)),"التاريخ ناقص أو غير صحيح",IF($N31="","حالة المستند ناقصة",IF($O31="","اسم المُعِد ناقص",IF(AND(OR($N31=ST_APPR,$N31=ST_POST),$P31=""),"لا يوجد معتمد",IF(AND($P31&lt;&gt;"",$P31=$O31),"المُعِد والمعتمد نفس الشخص (فصل المهام)",IF(AND($N31=ST_POST,$Q31=""),"اسم المحاسب المرحِّل ناقص",IF(AND($N31=ST_POST,$Q31&lt;&gt;"",OR($Q31=$O31,$Q31=$P31)),"المرحِّل يجب أن يختلف عن المُعِد والمعتمد",IF(AND($N31=ST_REV,$S31=""),"مرجع التصحيح/الإلغاء ناقص",IF(AND(ISNUMBER($B31),OR($N31=ST_DRAFT,$N31=ST_APPR),COUNTIFS(Period_Close!$A:$A,YEAR($B31)*100+MONTH($B31),Period_Close!$B:$B,"مقفلة")&gt;0),"الفترة مقفلة: لا يسمح بمستند جديد",IF($U31="?","نوع السند غير معرف",IF(COUNTIFS(COA!$A:$A,$W31,COA!$R:$R,1)&lt;&gt;1,"الخزينة/البنك غير معرف أو غير صالح",IF(NOT(N($I31)&gt;0),"المبلغ يجب أن يكون أكبر من صفر",IF(AND(OR($U31="TRF",$U31="DEP",$U31="WDR"),$E31=""),"الخزينة المستلمة ناقصة",IF(AND(OR($U31="TRF",$U31="DEP",$U31="WDR"),$E31=$D31),"التحويل إلى نفس الخزينة",IF(AND(OR($U31="TRF",$U31="DEP",$U31="WDR"),COUNTIFS(COA!$A:$A,$X31,COA!$R:$R,1)&lt;&gt;1),"الخزينة المستلمة غير صالحة",IF(AND(OR($U31="RCV",$U31="PAY"),$F31=""),"الحساب المقابل ناقص",IF(AND(OR($U31="RCV",$U31="PAY"),COUNTIFS(COA!$A:$A,$F31,COA!$R:$R,1)&lt;&gt;1),"الحساب المقابل غير صالح أو رئيسي",IF(AND(OR($U31="RCV",$U31="PAY"),IFERROR(INDEX(COA!$H:$H,MATCH($F31,COA!$A:$A,0)),0)=1),"الحساب المقابل نقدي: استخدم تحويل بين الخزائن",IF(AND(OR($U31="RCV",$U31="PAY"),$F31=ACC_SUPPLIERS),"سداد الموردين يتم من Supplier_Payments",IF(AND(OR($U31="RCV",$U31="PAY"),$H31=""),"المستلم/الدافع ناقص",IF(AND(OR($U31="RCV",$U31="PAY"),$J31=""),"طريقة الدفع ناقصة",IF(AND(OR($U31="RCV",$U31="PAY"),OR($F31=ACC_CUSTOMERS,$F31=1501,$F31=1502),$G31=""),"كود الجهة إلزامي لهذا الحساب",IF(AND($F31=ACC_CUSTOMERS,$G31&lt;&gt;"",COUNTIF(Customers!$A:$A,$G31)=0),"كود العميل غير معرف",IF(AND(OR($F31=1501,$F31=1502),$G31&lt;&gt;"",COUNTIF(Employees!$A:$A,$G31)=0),"كود الموظف غير معرف",IF(AND($M31&lt;&gt;"",COUNTIF(Doc_Register!$A:$A,$M31)=0),"المستند المرتبط غير موجود",IF(AND(OR($U31="PAY",$U31="SHT"),NOT(COUNTIF(Cost_Centers!$A:$A,$AE31)&gt;0)),"مركز التكلفة غير معرف",""))))))))))))))))))))))))))))))</f>
        <v/>
      </c>
      <c r="AL31" s="32">
        <f>IF($AJ31=1,IF($AK31&lt;&gt;"",1,0),0)</f>
        <v/>
      </c>
      <c r="AM31" s="32">
        <f>IF(AND($AJ31=1,$AL31=0,$N31=ST_POST),1,0)</f>
        <v/>
      </c>
    </row>
    <row r="32">
      <c r="A32" s="29" t="n"/>
      <c r="B32" s="31" t="n"/>
      <c r="C32" s="29" t="n"/>
      <c r="D32" s="39" t="n"/>
      <c r="E32" s="39" t="n"/>
      <c r="F32" s="39" t="n"/>
      <c r="G32" s="29" t="n"/>
      <c r="H32" s="29" t="n"/>
      <c r="I32" s="42" t="n"/>
      <c r="J32" s="29" t="n"/>
      <c r="K32" s="29" t="n"/>
      <c r="L32" s="39" t="n"/>
      <c r="M32" s="29" t="n"/>
      <c r="N32" s="39" t="n"/>
      <c r="O32" s="29" t="n"/>
      <c r="P32" s="29" t="n"/>
      <c r="Q32" s="29" t="n"/>
      <c r="R32" s="29" t="n"/>
      <c r="S32" s="29" t="n"/>
      <c r="T32" s="29" t="n"/>
      <c r="U32" s="32">
        <f>IF($AJ32=1,IFERROR(INDEX(Lists!$F:$F,MATCH($C32,Lists!$E:$E,0)),"?"),"")</f>
        <v/>
      </c>
      <c r="V32" s="32">
        <f>IF($AJ32=1,IFERROR(INDEX(Lists!$G:$G,MATCH($C32,Lists!$E:$E,0)),"?"),"")</f>
        <v/>
      </c>
      <c r="W32" s="32">
        <f>IF($AJ32=1,IFERROR(INDEX(Treasuries!$E:$E,MATCH($D32,Treasuries!$A:$A,0)),"؟"),"")</f>
        <v/>
      </c>
      <c r="X32" s="32">
        <f>IF(AND($AJ32=1,$E32&lt;&gt;""),IFERROR(INDEX(Treasuries!$E:$E,MATCH($E32,Treasuries!$A:$A,0)),"؟"),"")</f>
        <v/>
      </c>
      <c r="Y32" s="32">
        <f>IF($AJ32=1,IFERROR(INDEX(Treasuries!$D:$D,MATCH($D32,Treasuries!$A:$A,0)),"؟"),"")</f>
        <v/>
      </c>
      <c r="Z32" s="32">
        <f>IF(AND($AJ32=1,$E32&lt;&gt;""),IFERROR(INDEX(Treasuries!$D:$D,MATCH($E32,Treasuries!$A:$A,0)),"؟"),"")</f>
        <v/>
      </c>
      <c r="AA32" s="44">
        <f>IF($AJ32=1,IF($U32="RCV",$W32,IF($U32="PAY",$F32,IF(OR($U32="TRF",$U32="DEP",$U32="WDR"),$X32,IF($U32="SHT",ACC_CASH_SHORT,IF($U32="OVR",$W32,"؟"))))),"")</f>
        <v/>
      </c>
      <c r="AB32" s="44">
        <f>IF($AJ32=1,IF($U32="RCV",$F32,IF($U32="PAY",$W32,IF(OR($U32="TRF",$U32="DEP",$U32="WDR"),$W32,IF($U32="SHT",$W32,IF($U32="OVR",ACC_CASH_OVER,"؟"))))),"")</f>
        <v/>
      </c>
      <c r="AC32" s="32">
        <f>IF($AJ32=1,IF(OR($U32="TRF",$U32="DEP",$U32="WDR"),$Z32,$Y32),"")</f>
        <v/>
      </c>
      <c r="AD32" s="32">
        <f>IF($AJ32=1,$Y32,"")</f>
        <v/>
      </c>
      <c r="AE32" s="32">
        <f>IF($AJ32=1,IF(OR($U32="PAY",$U32="SHT"),IF($L32="","CC00",$L32),"CC00"),"")</f>
        <v/>
      </c>
      <c r="AF32" s="32">
        <f>IF($AJ32=1,IF(OR($U32="RCV",$U32="OVR"),IF($L32="","CC00",$L32),"CC00"),"")</f>
        <v/>
      </c>
      <c r="AG32" s="32">
        <f>IF($AJ32=1,IF(AND($U32="PAY",$G32&lt;&gt;""),$G32,"-"),"")</f>
        <v/>
      </c>
      <c r="AH32" s="32">
        <f>IF($AJ32=1,IF(AND($U32="RCV",$G32&lt;&gt;""),$G32,"-"),"")</f>
        <v/>
      </c>
      <c r="AI32" s="32">
        <f>IF($AJ32=1,IF(OR($U32="TRF",$U32="DEP",$U32="WDR"),"INTERNAL",IF(OR($U32="RCV",$U32="PAY"),IFERROR(IF(INDEX(COA!$I:$I,MATCH($F32,COA!$A:$A,0))="","OPERATING",INDEX(COA!$I:$I,MATCH($F32,COA!$A:$A,0))),"OPERATING"),"OPERATING")),"")</f>
        <v/>
      </c>
      <c r="AJ32" s="32">
        <f>IF(COUNTA($A32:$T32)&gt;0,1,0)</f>
        <v/>
      </c>
      <c r="AK32" s="32">
        <f>IF($AJ32=0,"",IF($A32="","رقم المستند ناقص",IF(COUNTIF(Doc_Register!$A:$A,$A32)&gt;1,"رقم مستند مكرر في السجل المركزي",IF(LEFT($A32,LEN($V32)+1)&lt;&gt;$V32&amp;"-","بادئة الرقم لا تطابق نوع المستند",IF(NOT(ISNUMBER($B32)),"التاريخ ناقص أو غير صحيح",IF($N32="","حالة المستند ناقصة",IF($O32="","اسم المُعِد ناقص",IF(AND(OR($N32=ST_APPR,$N32=ST_POST),$P32=""),"لا يوجد معتمد",IF(AND($P32&lt;&gt;"",$P32=$O32),"المُعِد والمعتمد نفس الشخص (فصل المهام)",IF(AND($N32=ST_POST,$Q32=""),"اسم المحاسب المرحِّل ناقص",IF(AND($N32=ST_POST,$Q32&lt;&gt;"",OR($Q32=$O32,$Q32=$P32)),"المرحِّل يجب أن يختلف عن المُعِد والمعتمد",IF(AND($N32=ST_REV,$S32=""),"مرجع التصحيح/الإلغاء ناقص",IF(AND(ISNUMBER($B32),OR($N32=ST_DRAFT,$N32=ST_APPR),COUNTIFS(Period_Close!$A:$A,YEAR($B32)*100+MONTH($B32),Period_Close!$B:$B,"مقفلة")&gt;0),"الفترة مقفلة: لا يسمح بمستند جديد",IF($U32="?","نوع السند غير معرف",IF(COUNTIFS(COA!$A:$A,$W32,COA!$R:$R,1)&lt;&gt;1,"الخزينة/البنك غير معرف أو غير صالح",IF(NOT(N($I32)&gt;0),"المبلغ يجب أن يكون أكبر من صفر",IF(AND(OR($U32="TRF",$U32="DEP",$U32="WDR"),$E32=""),"الخزينة المستلمة ناقصة",IF(AND(OR($U32="TRF",$U32="DEP",$U32="WDR"),$E32=$D32),"التحويل إلى نفس الخزينة",IF(AND(OR($U32="TRF",$U32="DEP",$U32="WDR"),COUNTIFS(COA!$A:$A,$X32,COA!$R:$R,1)&lt;&gt;1),"الخزينة المستلمة غير صالحة",IF(AND(OR($U32="RCV",$U32="PAY"),$F32=""),"الحساب المقابل ناقص",IF(AND(OR($U32="RCV",$U32="PAY"),COUNTIFS(COA!$A:$A,$F32,COA!$R:$R,1)&lt;&gt;1),"الحساب المقابل غير صالح أو رئيسي",IF(AND(OR($U32="RCV",$U32="PAY"),IFERROR(INDEX(COA!$H:$H,MATCH($F32,COA!$A:$A,0)),0)=1),"الحساب المقابل نقدي: استخدم تحويل بين الخزائن",IF(AND(OR($U32="RCV",$U32="PAY"),$F32=ACC_SUPPLIERS),"سداد الموردين يتم من Supplier_Payments",IF(AND(OR($U32="RCV",$U32="PAY"),$H32=""),"المستلم/الدافع ناقص",IF(AND(OR($U32="RCV",$U32="PAY"),$J32=""),"طريقة الدفع ناقصة",IF(AND(OR($U32="RCV",$U32="PAY"),OR($F32=ACC_CUSTOMERS,$F32=1501,$F32=1502),$G32=""),"كود الجهة إلزامي لهذا الحساب",IF(AND($F32=ACC_CUSTOMERS,$G32&lt;&gt;"",COUNTIF(Customers!$A:$A,$G32)=0),"كود العميل غير معرف",IF(AND(OR($F32=1501,$F32=1502),$G32&lt;&gt;"",COUNTIF(Employees!$A:$A,$G32)=0),"كود الموظف غير معرف",IF(AND($M32&lt;&gt;"",COUNTIF(Doc_Register!$A:$A,$M32)=0),"المستند المرتبط غير موجود",IF(AND(OR($U32="PAY",$U32="SHT"),NOT(COUNTIF(Cost_Centers!$A:$A,$AE32)&gt;0)),"مركز التكلفة غير معرف",""))))))))))))))))))))))))))))))</f>
        <v/>
      </c>
      <c r="AL32" s="32">
        <f>IF($AJ32=1,IF($AK32&lt;&gt;"",1,0),0)</f>
        <v/>
      </c>
      <c r="AM32" s="32">
        <f>IF(AND($AJ32=1,$AL32=0,$N32=ST_POST),1,0)</f>
        <v/>
      </c>
    </row>
    <row r="33">
      <c r="A33" s="29" t="n"/>
      <c r="B33" s="31" t="n"/>
      <c r="C33" s="29" t="n"/>
      <c r="D33" s="39" t="n"/>
      <c r="E33" s="39" t="n"/>
      <c r="F33" s="39" t="n"/>
      <c r="G33" s="29" t="n"/>
      <c r="H33" s="29" t="n"/>
      <c r="I33" s="42" t="n"/>
      <c r="J33" s="29" t="n"/>
      <c r="K33" s="29" t="n"/>
      <c r="L33" s="39" t="n"/>
      <c r="M33" s="29" t="n"/>
      <c r="N33" s="39" t="n"/>
      <c r="O33" s="29" t="n"/>
      <c r="P33" s="29" t="n"/>
      <c r="Q33" s="29" t="n"/>
      <c r="R33" s="29" t="n"/>
      <c r="S33" s="29" t="n"/>
      <c r="T33" s="29" t="n"/>
      <c r="U33" s="32">
        <f>IF($AJ33=1,IFERROR(INDEX(Lists!$F:$F,MATCH($C33,Lists!$E:$E,0)),"?"),"")</f>
        <v/>
      </c>
      <c r="V33" s="32">
        <f>IF($AJ33=1,IFERROR(INDEX(Lists!$G:$G,MATCH($C33,Lists!$E:$E,0)),"?"),"")</f>
        <v/>
      </c>
      <c r="W33" s="32">
        <f>IF($AJ33=1,IFERROR(INDEX(Treasuries!$E:$E,MATCH($D33,Treasuries!$A:$A,0)),"؟"),"")</f>
        <v/>
      </c>
      <c r="X33" s="32">
        <f>IF(AND($AJ33=1,$E33&lt;&gt;""),IFERROR(INDEX(Treasuries!$E:$E,MATCH($E33,Treasuries!$A:$A,0)),"؟"),"")</f>
        <v/>
      </c>
      <c r="Y33" s="32">
        <f>IF($AJ33=1,IFERROR(INDEX(Treasuries!$D:$D,MATCH($D33,Treasuries!$A:$A,0)),"؟"),"")</f>
        <v/>
      </c>
      <c r="Z33" s="32">
        <f>IF(AND($AJ33=1,$E33&lt;&gt;""),IFERROR(INDEX(Treasuries!$D:$D,MATCH($E33,Treasuries!$A:$A,0)),"؟"),"")</f>
        <v/>
      </c>
      <c r="AA33" s="44">
        <f>IF($AJ33=1,IF($U33="RCV",$W33,IF($U33="PAY",$F33,IF(OR($U33="TRF",$U33="DEP",$U33="WDR"),$X33,IF($U33="SHT",ACC_CASH_SHORT,IF($U33="OVR",$W33,"؟"))))),"")</f>
        <v/>
      </c>
      <c r="AB33" s="44">
        <f>IF($AJ33=1,IF($U33="RCV",$F33,IF($U33="PAY",$W33,IF(OR($U33="TRF",$U33="DEP",$U33="WDR"),$W33,IF($U33="SHT",$W33,IF($U33="OVR",ACC_CASH_OVER,"؟"))))),"")</f>
        <v/>
      </c>
      <c r="AC33" s="32">
        <f>IF($AJ33=1,IF(OR($U33="TRF",$U33="DEP",$U33="WDR"),$Z33,$Y33),"")</f>
        <v/>
      </c>
      <c r="AD33" s="32">
        <f>IF($AJ33=1,$Y33,"")</f>
        <v/>
      </c>
      <c r="AE33" s="32">
        <f>IF($AJ33=1,IF(OR($U33="PAY",$U33="SHT"),IF($L33="","CC00",$L33),"CC00"),"")</f>
        <v/>
      </c>
      <c r="AF33" s="32">
        <f>IF($AJ33=1,IF(OR($U33="RCV",$U33="OVR"),IF($L33="","CC00",$L33),"CC00"),"")</f>
        <v/>
      </c>
      <c r="AG33" s="32">
        <f>IF($AJ33=1,IF(AND($U33="PAY",$G33&lt;&gt;""),$G33,"-"),"")</f>
        <v/>
      </c>
      <c r="AH33" s="32">
        <f>IF($AJ33=1,IF(AND($U33="RCV",$G33&lt;&gt;""),$G33,"-"),"")</f>
        <v/>
      </c>
      <c r="AI33" s="32">
        <f>IF($AJ33=1,IF(OR($U33="TRF",$U33="DEP",$U33="WDR"),"INTERNAL",IF(OR($U33="RCV",$U33="PAY"),IFERROR(IF(INDEX(COA!$I:$I,MATCH($F33,COA!$A:$A,0))="","OPERATING",INDEX(COA!$I:$I,MATCH($F33,COA!$A:$A,0))),"OPERATING"),"OPERATING")),"")</f>
        <v/>
      </c>
      <c r="AJ33" s="32">
        <f>IF(COUNTA($A33:$T33)&gt;0,1,0)</f>
        <v/>
      </c>
      <c r="AK33" s="32">
        <f>IF($AJ33=0,"",IF($A33="","رقم المستند ناقص",IF(COUNTIF(Doc_Register!$A:$A,$A33)&gt;1,"رقم مستند مكرر في السجل المركزي",IF(LEFT($A33,LEN($V33)+1)&lt;&gt;$V33&amp;"-","بادئة الرقم لا تطابق نوع المستند",IF(NOT(ISNUMBER($B33)),"التاريخ ناقص أو غير صحيح",IF($N33="","حالة المستند ناقصة",IF($O33="","اسم المُعِد ناقص",IF(AND(OR($N33=ST_APPR,$N33=ST_POST),$P33=""),"لا يوجد معتمد",IF(AND($P33&lt;&gt;"",$P33=$O33),"المُعِد والمعتمد نفس الشخص (فصل المهام)",IF(AND($N33=ST_POST,$Q33=""),"اسم المحاسب المرحِّل ناقص",IF(AND($N33=ST_POST,$Q33&lt;&gt;"",OR($Q33=$O33,$Q33=$P33)),"المرحِّل يجب أن يختلف عن المُعِد والمعتمد",IF(AND($N33=ST_REV,$S33=""),"مرجع التصحيح/الإلغاء ناقص",IF(AND(ISNUMBER($B33),OR($N33=ST_DRAFT,$N33=ST_APPR),COUNTIFS(Period_Close!$A:$A,YEAR($B33)*100+MONTH($B33),Period_Close!$B:$B,"مقفلة")&gt;0),"الفترة مقفلة: لا يسمح بمستند جديد",IF($U33="?","نوع السند غير معرف",IF(COUNTIFS(COA!$A:$A,$W33,COA!$R:$R,1)&lt;&gt;1,"الخزينة/البنك غير معرف أو غير صالح",IF(NOT(N($I33)&gt;0),"المبلغ يجب أن يكون أكبر من صفر",IF(AND(OR($U33="TRF",$U33="DEP",$U33="WDR"),$E33=""),"الخزينة المستلمة ناقصة",IF(AND(OR($U33="TRF",$U33="DEP",$U33="WDR"),$E33=$D33),"التحويل إلى نفس الخزينة",IF(AND(OR($U33="TRF",$U33="DEP",$U33="WDR"),COUNTIFS(COA!$A:$A,$X33,COA!$R:$R,1)&lt;&gt;1),"الخزينة المستلمة غير صالحة",IF(AND(OR($U33="RCV",$U33="PAY"),$F33=""),"الحساب المقابل ناقص",IF(AND(OR($U33="RCV",$U33="PAY"),COUNTIFS(COA!$A:$A,$F33,COA!$R:$R,1)&lt;&gt;1),"الحساب المقابل غير صالح أو رئيسي",IF(AND(OR($U33="RCV",$U33="PAY"),IFERROR(INDEX(COA!$H:$H,MATCH($F33,COA!$A:$A,0)),0)=1),"الحساب المقابل نقدي: استخدم تحويل بين الخزائن",IF(AND(OR($U33="RCV",$U33="PAY"),$F33=ACC_SUPPLIERS),"سداد الموردين يتم من Supplier_Payments",IF(AND(OR($U33="RCV",$U33="PAY"),$H33=""),"المستلم/الدافع ناقص",IF(AND(OR($U33="RCV",$U33="PAY"),$J33=""),"طريقة الدفع ناقصة",IF(AND(OR($U33="RCV",$U33="PAY"),OR($F33=ACC_CUSTOMERS,$F33=1501,$F33=1502),$G33=""),"كود الجهة إلزامي لهذا الحساب",IF(AND($F33=ACC_CUSTOMERS,$G33&lt;&gt;"",COUNTIF(Customers!$A:$A,$G33)=0),"كود العميل غير معرف",IF(AND(OR($F33=1501,$F33=1502),$G33&lt;&gt;"",COUNTIF(Employees!$A:$A,$G33)=0),"كود الموظف غير معرف",IF(AND($M33&lt;&gt;"",COUNTIF(Doc_Register!$A:$A,$M33)=0),"المستند المرتبط غير موجود",IF(AND(OR($U33="PAY",$U33="SHT"),NOT(COUNTIF(Cost_Centers!$A:$A,$AE33)&gt;0)),"مركز التكلفة غير معرف",""))))))))))))))))))))))))))))))</f>
        <v/>
      </c>
      <c r="AL33" s="32">
        <f>IF($AJ33=1,IF($AK33&lt;&gt;"",1,0),0)</f>
        <v/>
      </c>
      <c r="AM33" s="32">
        <f>IF(AND($AJ33=1,$AL33=0,$N33=ST_POST),1,0)</f>
        <v/>
      </c>
    </row>
    <row r="34">
      <c r="A34" s="29" t="n"/>
      <c r="B34" s="31" t="n"/>
      <c r="C34" s="29" t="n"/>
      <c r="D34" s="39" t="n"/>
      <c r="E34" s="39" t="n"/>
      <c r="F34" s="39" t="n"/>
      <c r="G34" s="29" t="n"/>
      <c r="H34" s="29" t="n"/>
      <c r="I34" s="42" t="n"/>
      <c r="J34" s="29" t="n"/>
      <c r="K34" s="29" t="n"/>
      <c r="L34" s="39" t="n"/>
      <c r="M34" s="29" t="n"/>
      <c r="N34" s="39" t="n"/>
      <c r="O34" s="29" t="n"/>
      <c r="P34" s="29" t="n"/>
      <c r="Q34" s="29" t="n"/>
      <c r="R34" s="29" t="n"/>
      <c r="S34" s="29" t="n"/>
      <c r="T34" s="29" t="n"/>
      <c r="U34" s="32">
        <f>IF($AJ34=1,IFERROR(INDEX(Lists!$F:$F,MATCH($C34,Lists!$E:$E,0)),"?"),"")</f>
        <v/>
      </c>
      <c r="V34" s="32">
        <f>IF($AJ34=1,IFERROR(INDEX(Lists!$G:$G,MATCH($C34,Lists!$E:$E,0)),"?"),"")</f>
        <v/>
      </c>
      <c r="W34" s="32">
        <f>IF($AJ34=1,IFERROR(INDEX(Treasuries!$E:$E,MATCH($D34,Treasuries!$A:$A,0)),"؟"),"")</f>
        <v/>
      </c>
      <c r="X34" s="32">
        <f>IF(AND($AJ34=1,$E34&lt;&gt;""),IFERROR(INDEX(Treasuries!$E:$E,MATCH($E34,Treasuries!$A:$A,0)),"؟"),"")</f>
        <v/>
      </c>
      <c r="Y34" s="32">
        <f>IF($AJ34=1,IFERROR(INDEX(Treasuries!$D:$D,MATCH($D34,Treasuries!$A:$A,0)),"؟"),"")</f>
        <v/>
      </c>
      <c r="Z34" s="32">
        <f>IF(AND($AJ34=1,$E34&lt;&gt;""),IFERROR(INDEX(Treasuries!$D:$D,MATCH($E34,Treasuries!$A:$A,0)),"؟"),"")</f>
        <v/>
      </c>
      <c r="AA34" s="44">
        <f>IF($AJ34=1,IF($U34="RCV",$W34,IF($U34="PAY",$F34,IF(OR($U34="TRF",$U34="DEP",$U34="WDR"),$X34,IF($U34="SHT",ACC_CASH_SHORT,IF($U34="OVR",$W34,"؟"))))),"")</f>
        <v/>
      </c>
      <c r="AB34" s="44">
        <f>IF($AJ34=1,IF($U34="RCV",$F34,IF($U34="PAY",$W34,IF(OR($U34="TRF",$U34="DEP",$U34="WDR"),$W34,IF($U34="SHT",$W34,IF($U34="OVR",ACC_CASH_OVER,"؟"))))),"")</f>
        <v/>
      </c>
      <c r="AC34" s="32">
        <f>IF($AJ34=1,IF(OR($U34="TRF",$U34="DEP",$U34="WDR"),$Z34,$Y34),"")</f>
        <v/>
      </c>
      <c r="AD34" s="32">
        <f>IF($AJ34=1,$Y34,"")</f>
        <v/>
      </c>
      <c r="AE34" s="32">
        <f>IF($AJ34=1,IF(OR($U34="PAY",$U34="SHT"),IF($L34="","CC00",$L34),"CC00"),"")</f>
        <v/>
      </c>
      <c r="AF34" s="32">
        <f>IF($AJ34=1,IF(OR($U34="RCV",$U34="OVR"),IF($L34="","CC00",$L34),"CC00"),"")</f>
        <v/>
      </c>
      <c r="AG34" s="32">
        <f>IF($AJ34=1,IF(AND($U34="PAY",$G34&lt;&gt;""),$G34,"-"),"")</f>
        <v/>
      </c>
      <c r="AH34" s="32">
        <f>IF($AJ34=1,IF(AND($U34="RCV",$G34&lt;&gt;""),$G34,"-"),"")</f>
        <v/>
      </c>
      <c r="AI34" s="32">
        <f>IF($AJ34=1,IF(OR($U34="TRF",$U34="DEP",$U34="WDR"),"INTERNAL",IF(OR($U34="RCV",$U34="PAY"),IFERROR(IF(INDEX(COA!$I:$I,MATCH($F34,COA!$A:$A,0))="","OPERATING",INDEX(COA!$I:$I,MATCH($F34,COA!$A:$A,0))),"OPERATING"),"OPERATING")),"")</f>
        <v/>
      </c>
      <c r="AJ34" s="32">
        <f>IF(COUNTA($A34:$T34)&gt;0,1,0)</f>
        <v/>
      </c>
      <c r="AK34" s="32">
        <f>IF($AJ34=0,"",IF($A34="","رقم المستند ناقص",IF(COUNTIF(Doc_Register!$A:$A,$A34)&gt;1,"رقم مستند مكرر في السجل المركزي",IF(LEFT($A34,LEN($V34)+1)&lt;&gt;$V34&amp;"-","بادئة الرقم لا تطابق نوع المستند",IF(NOT(ISNUMBER($B34)),"التاريخ ناقص أو غير صحيح",IF($N34="","حالة المستند ناقصة",IF($O34="","اسم المُعِد ناقص",IF(AND(OR($N34=ST_APPR,$N34=ST_POST),$P34=""),"لا يوجد معتمد",IF(AND($P34&lt;&gt;"",$P34=$O34),"المُعِد والمعتمد نفس الشخص (فصل المهام)",IF(AND($N34=ST_POST,$Q34=""),"اسم المحاسب المرحِّل ناقص",IF(AND($N34=ST_POST,$Q34&lt;&gt;"",OR($Q34=$O34,$Q34=$P34)),"المرحِّل يجب أن يختلف عن المُعِد والمعتمد",IF(AND($N34=ST_REV,$S34=""),"مرجع التصحيح/الإلغاء ناقص",IF(AND(ISNUMBER($B34),OR($N34=ST_DRAFT,$N34=ST_APPR),COUNTIFS(Period_Close!$A:$A,YEAR($B34)*100+MONTH($B34),Period_Close!$B:$B,"مقفلة")&gt;0),"الفترة مقفلة: لا يسمح بمستند جديد",IF($U34="?","نوع السند غير معرف",IF(COUNTIFS(COA!$A:$A,$W34,COA!$R:$R,1)&lt;&gt;1,"الخزينة/البنك غير معرف أو غير صالح",IF(NOT(N($I34)&gt;0),"المبلغ يجب أن يكون أكبر من صفر",IF(AND(OR($U34="TRF",$U34="DEP",$U34="WDR"),$E34=""),"الخزينة المستلمة ناقصة",IF(AND(OR($U34="TRF",$U34="DEP",$U34="WDR"),$E34=$D34),"التحويل إلى نفس الخزينة",IF(AND(OR($U34="TRF",$U34="DEP",$U34="WDR"),COUNTIFS(COA!$A:$A,$X34,COA!$R:$R,1)&lt;&gt;1),"الخزينة المستلمة غير صالحة",IF(AND(OR($U34="RCV",$U34="PAY"),$F34=""),"الحساب المقابل ناقص",IF(AND(OR($U34="RCV",$U34="PAY"),COUNTIFS(COA!$A:$A,$F34,COA!$R:$R,1)&lt;&gt;1),"الحساب المقابل غير صالح أو رئيسي",IF(AND(OR($U34="RCV",$U34="PAY"),IFERROR(INDEX(COA!$H:$H,MATCH($F34,COA!$A:$A,0)),0)=1),"الحساب المقابل نقدي: استخدم تحويل بين الخزائن",IF(AND(OR($U34="RCV",$U34="PAY"),$F34=ACC_SUPPLIERS),"سداد الموردين يتم من Supplier_Payments",IF(AND(OR($U34="RCV",$U34="PAY"),$H34=""),"المستلم/الدافع ناقص",IF(AND(OR($U34="RCV",$U34="PAY"),$J34=""),"طريقة الدفع ناقصة",IF(AND(OR($U34="RCV",$U34="PAY"),OR($F34=ACC_CUSTOMERS,$F34=1501,$F34=1502),$G34=""),"كود الجهة إلزامي لهذا الحساب",IF(AND($F34=ACC_CUSTOMERS,$G34&lt;&gt;"",COUNTIF(Customers!$A:$A,$G34)=0),"كود العميل غير معرف",IF(AND(OR($F34=1501,$F34=1502),$G34&lt;&gt;"",COUNTIF(Employees!$A:$A,$G34)=0),"كود الموظف غير معرف",IF(AND($M34&lt;&gt;"",COUNTIF(Doc_Register!$A:$A,$M34)=0),"المستند المرتبط غير موجود",IF(AND(OR($U34="PAY",$U34="SHT"),NOT(COUNTIF(Cost_Centers!$A:$A,$AE34)&gt;0)),"مركز التكلفة غير معرف",""))))))))))))))))))))))))))))))</f>
        <v/>
      </c>
      <c r="AL34" s="32">
        <f>IF($AJ34=1,IF($AK34&lt;&gt;"",1,0),0)</f>
        <v/>
      </c>
      <c r="AM34" s="32">
        <f>IF(AND($AJ34=1,$AL34=0,$N34=ST_POST),1,0)</f>
        <v/>
      </c>
    </row>
    <row r="35">
      <c r="A35" s="29" t="n"/>
      <c r="B35" s="31" t="n"/>
      <c r="C35" s="29" t="n"/>
      <c r="D35" s="39" t="n"/>
      <c r="E35" s="39" t="n"/>
      <c r="F35" s="39" t="n"/>
      <c r="G35" s="29" t="n"/>
      <c r="H35" s="29" t="n"/>
      <c r="I35" s="42" t="n"/>
      <c r="J35" s="29" t="n"/>
      <c r="K35" s="29" t="n"/>
      <c r="L35" s="39" t="n"/>
      <c r="M35" s="29" t="n"/>
      <c r="N35" s="39" t="n"/>
      <c r="O35" s="29" t="n"/>
      <c r="P35" s="29" t="n"/>
      <c r="Q35" s="29" t="n"/>
      <c r="R35" s="29" t="n"/>
      <c r="S35" s="29" t="n"/>
      <c r="T35" s="29" t="n"/>
      <c r="U35" s="32">
        <f>IF($AJ35=1,IFERROR(INDEX(Lists!$F:$F,MATCH($C35,Lists!$E:$E,0)),"?"),"")</f>
        <v/>
      </c>
      <c r="V35" s="32">
        <f>IF($AJ35=1,IFERROR(INDEX(Lists!$G:$G,MATCH($C35,Lists!$E:$E,0)),"?"),"")</f>
        <v/>
      </c>
      <c r="W35" s="32">
        <f>IF($AJ35=1,IFERROR(INDEX(Treasuries!$E:$E,MATCH($D35,Treasuries!$A:$A,0)),"؟"),"")</f>
        <v/>
      </c>
      <c r="X35" s="32">
        <f>IF(AND($AJ35=1,$E35&lt;&gt;""),IFERROR(INDEX(Treasuries!$E:$E,MATCH($E35,Treasuries!$A:$A,0)),"؟"),"")</f>
        <v/>
      </c>
      <c r="Y35" s="32">
        <f>IF($AJ35=1,IFERROR(INDEX(Treasuries!$D:$D,MATCH($D35,Treasuries!$A:$A,0)),"؟"),"")</f>
        <v/>
      </c>
      <c r="Z35" s="32">
        <f>IF(AND($AJ35=1,$E35&lt;&gt;""),IFERROR(INDEX(Treasuries!$D:$D,MATCH($E35,Treasuries!$A:$A,0)),"؟"),"")</f>
        <v/>
      </c>
      <c r="AA35" s="44">
        <f>IF($AJ35=1,IF($U35="RCV",$W35,IF($U35="PAY",$F35,IF(OR($U35="TRF",$U35="DEP",$U35="WDR"),$X35,IF($U35="SHT",ACC_CASH_SHORT,IF($U35="OVR",$W35,"؟"))))),"")</f>
        <v/>
      </c>
      <c r="AB35" s="44">
        <f>IF($AJ35=1,IF($U35="RCV",$F35,IF($U35="PAY",$W35,IF(OR($U35="TRF",$U35="DEP",$U35="WDR"),$W35,IF($U35="SHT",$W35,IF($U35="OVR",ACC_CASH_OVER,"؟"))))),"")</f>
        <v/>
      </c>
      <c r="AC35" s="32">
        <f>IF($AJ35=1,IF(OR($U35="TRF",$U35="DEP",$U35="WDR"),$Z35,$Y35),"")</f>
        <v/>
      </c>
      <c r="AD35" s="32">
        <f>IF($AJ35=1,$Y35,"")</f>
        <v/>
      </c>
      <c r="AE35" s="32">
        <f>IF($AJ35=1,IF(OR($U35="PAY",$U35="SHT"),IF($L35="","CC00",$L35),"CC00"),"")</f>
        <v/>
      </c>
      <c r="AF35" s="32">
        <f>IF($AJ35=1,IF(OR($U35="RCV",$U35="OVR"),IF($L35="","CC00",$L35),"CC00"),"")</f>
        <v/>
      </c>
      <c r="AG35" s="32">
        <f>IF($AJ35=1,IF(AND($U35="PAY",$G35&lt;&gt;""),$G35,"-"),"")</f>
        <v/>
      </c>
      <c r="AH35" s="32">
        <f>IF($AJ35=1,IF(AND($U35="RCV",$G35&lt;&gt;""),$G35,"-"),"")</f>
        <v/>
      </c>
      <c r="AI35" s="32">
        <f>IF($AJ35=1,IF(OR($U35="TRF",$U35="DEP",$U35="WDR"),"INTERNAL",IF(OR($U35="RCV",$U35="PAY"),IFERROR(IF(INDEX(COA!$I:$I,MATCH($F35,COA!$A:$A,0))="","OPERATING",INDEX(COA!$I:$I,MATCH($F35,COA!$A:$A,0))),"OPERATING"),"OPERATING")),"")</f>
        <v/>
      </c>
      <c r="AJ35" s="32">
        <f>IF(COUNTA($A35:$T35)&gt;0,1,0)</f>
        <v/>
      </c>
      <c r="AK35" s="32">
        <f>IF($AJ35=0,"",IF($A35="","رقم المستند ناقص",IF(COUNTIF(Doc_Register!$A:$A,$A35)&gt;1,"رقم مستند مكرر في السجل المركزي",IF(LEFT($A35,LEN($V35)+1)&lt;&gt;$V35&amp;"-","بادئة الرقم لا تطابق نوع المستند",IF(NOT(ISNUMBER($B35)),"التاريخ ناقص أو غير صحيح",IF($N35="","حالة المستند ناقصة",IF($O35="","اسم المُعِد ناقص",IF(AND(OR($N35=ST_APPR,$N35=ST_POST),$P35=""),"لا يوجد معتمد",IF(AND($P35&lt;&gt;"",$P35=$O35),"المُعِد والمعتمد نفس الشخص (فصل المهام)",IF(AND($N35=ST_POST,$Q35=""),"اسم المحاسب المرحِّل ناقص",IF(AND($N35=ST_POST,$Q35&lt;&gt;"",OR($Q35=$O35,$Q35=$P35)),"المرحِّل يجب أن يختلف عن المُعِد والمعتمد",IF(AND($N35=ST_REV,$S35=""),"مرجع التصحيح/الإلغاء ناقص",IF(AND(ISNUMBER($B35),OR($N35=ST_DRAFT,$N35=ST_APPR),COUNTIFS(Period_Close!$A:$A,YEAR($B35)*100+MONTH($B35),Period_Close!$B:$B,"مقفلة")&gt;0),"الفترة مقفلة: لا يسمح بمستند جديد",IF($U35="?","نوع السند غير معرف",IF(COUNTIFS(COA!$A:$A,$W35,COA!$R:$R,1)&lt;&gt;1,"الخزينة/البنك غير معرف أو غير صالح",IF(NOT(N($I35)&gt;0),"المبلغ يجب أن يكون أكبر من صفر",IF(AND(OR($U35="TRF",$U35="DEP",$U35="WDR"),$E35=""),"الخزينة المستلمة ناقصة",IF(AND(OR($U35="TRF",$U35="DEP",$U35="WDR"),$E35=$D35),"التحويل إلى نفس الخزينة",IF(AND(OR($U35="TRF",$U35="DEP",$U35="WDR"),COUNTIFS(COA!$A:$A,$X35,COA!$R:$R,1)&lt;&gt;1),"الخزينة المستلمة غير صالحة",IF(AND(OR($U35="RCV",$U35="PAY"),$F35=""),"الحساب المقابل ناقص",IF(AND(OR($U35="RCV",$U35="PAY"),COUNTIFS(COA!$A:$A,$F35,COA!$R:$R,1)&lt;&gt;1),"الحساب المقابل غير صالح أو رئيسي",IF(AND(OR($U35="RCV",$U35="PAY"),IFERROR(INDEX(COA!$H:$H,MATCH($F35,COA!$A:$A,0)),0)=1),"الحساب المقابل نقدي: استخدم تحويل بين الخزائن",IF(AND(OR($U35="RCV",$U35="PAY"),$F35=ACC_SUPPLIERS),"سداد الموردين يتم من Supplier_Payments",IF(AND(OR($U35="RCV",$U35="PAY"),$H35=""),"المستلم/الدافع ناقص",IF(AND(OR($U35="RCV",$U35="PAY"),$J35=""),"طريقة الدفع ناقصة",IF(AND(OR($U35="RCV",$U35="PAY"),OR($F35=ACC_CUSTOMERS,$F35=1501,$F35=1502),$G35=""),"كود الجهة إلزامي لهذا الحساب",IF(AND($F35=ACC_CUSTOMERS,$G35&lt;&gt;"",COUNTIF(Customers!$A:$A,$G35)=0),"كود العميل غير معرف",IF(AND(OR($F35=1501,$F35=1502),$G35&lt;&gt;"",COUNTIF(Employees!$A:$A,$G35)=0),"كود الموظف غير معرف",IF(AND($M35&lt;&gt;"",COUNTIF(Doc_Register!$A:$A,$M35)=0),"المستند المرتبط غير موجود",IF(AND(OR($U35="PAY",$U35="SHT"),NOT(COUNTIF(Cost_Centers!$A:$A,$AE35)&gt;0)),"مركز التكلفة غير معرف",""))))))))))))))))))))))))))))))</f>
        <v/>
      </c>
      <c r="AL35" s="32">
        <f>IF($AJ35=1,IF($AK35&lt;&gt;"",1,0),0)</f>
        <v/>
      </c>
      <c r="AM35" s="32">
        <f>IF(AND($AJ35=1,$AL35=0,$N35=ST_POST),1,0)</f>
        <v/>
      </c>
    </row>
    <row r="36">
      <c r="A36" s="29" t="n"/>
      <c r="B36" s="31" t="n"/>
      <c r="C36" s="29" t="n"/>
      <c r="D36" s="39" t="n"/>
      <c r="E36" s="39" t="n"/>
      <c r="F36" s="39" t="n"/>
      <c r="G36" s="29" t="n"/>
      <c r="H36" s="29" t="n"/>
      <c r="I36" s="42" t="n"/>
      <c r="J36" s="29" t="n"/>
      <c r="K36" s="29" t="n"/>
      <c r="L36" s="39" t="n"/>
      <c r="M36" s="29" t="n"/>
      <c r="N36" s="39" t="n"/>
      <c r="O36" s="29" t="n"/>
      <c r="P36" s="29" t="n"/>
      <c r="Q36" s="29" t="n"/>
      <c r="R36" s="29" t="n"/>
      <c r="S36" s="29" t="n"/>
      <c r="T36" s="29" t="n"/>
      <c r="U36" s="32">
        <f>IF($AJ36=1,IFERROR(INDEX(Lists!$F:$F,MATCH($C36,Lists!$E:$E,0)),"?"),"")</f>
        <v/>
      </c>
      <c r="V36" s="32">
        <f>IF($AJ36=1,IFERROR(INDEX(Lists!$G:$G,MATCH($C36,Lists!$E:$E,0)),"?"),"")</f>
        <v/>
      </c>
      <c r="W36" s="32">
        <f>IF($AJ36=1,IFERROR(INDEX(Treasuries!$E:$E,MATCH($D36,Treasuries!$A:$A,0)),"؟"),"")</f>
        <v/>
      </c>
      <c r="X36" s="32">
        <f>IF(AND($AJ36=1,$E36&lt;&gt;""),IFERROR(INDEX(Treasuries!$E:$E,MATCH($E36,Treasuries!$A:$A,0)),"؟"),"")</f>
        <v/>
      </c>
      <c r="Y36" s="32">
        <f>IF($AJ36=1,IFERROR(INDEX(Treasuries!$D:$D,MATCH($D36,Treasuries!$A:$A,0)),"؟"),"")</f>
        <v/>
      </c>
      <c r="Z36" s="32">
        <f>IF(AND($AJ36=1,$E36&lt;&gt;""),IFERROR(INDEX(Treasuries!$D:$D,MATCH($E36,Treasuries!$A:$A,0)),"؟"),"")</f>
        <v/>
      </c>
      <c r="AA36" s="44">
        <f>IF($AJ36=1,IF($U36="RCV",$W36,IF($U36="PAY",$F36,IF(OR($U36="TRF",$U36="DEP",$U36="WDR"),$X36,IF($U36="SHT",ACC_CASH_SHORT,IF($U36="OVR",$W36,"؟"))))),"")</f>
        <v/>
      </c>
      <c r="AB36" s="44">
        <f>IF($AJ36=1,IF($U36="RCV",$F36,IF($U36="PAY",$W36,IF(OR($U36="TRF",$U36="DEP",$U36="WDR"),$W36,IF($U36="SHT",$W36,IF($U36="OVR",ACC_CASH_OVER,"؟"))))),"")</f>
        <v/>
      </c>
      <c r="AC36" s="32">
        <f>IF($AJ36=1,IF(OR($U36="TRF",$U36="DEP",$U36="WDR"),$Z36,$Y36),"")</f>
        <v/>
      </c>
      <c r="AD36" s="32">
        <f>IF($AJ36=1,$Y36,"")</f>
        <v/>
      </c>
      <c r="AE36" s="32">
        <f>IF($AJ36=1,IF(OR($U36="PAY",$U36="SHT"),IF($L36="","CC00",$L36),"CC00"),"")</f>
        <v/>
      </c>
      <c r="AF36" s="32">
        <f>IF($AJ36=1,IF(OR($U36="RCV",$U36="OVR"),IF($L36="","CC00",$L36),"CC00"),"")</f>
        <v/>
      </c>
      <c r="AG36" s="32">
        <f>IF($AJ36=1,IF(AND($U36="PAY",$G36&lt;&gt;""),$G36,"-"),"")</f>
        <v/>
      </c>
      <c r="AH36" s="32">
        <f>IF($AJ36=1,IF(AND($U36="RCV",$G36&lt;&gt;""),$G36,"-"),"")</f>
        <v/>
      </c>
      <c r="AI36" s="32">
        <f>IF($AJ36=1,IF(OR($U36="TRF",$U36="DEP",$U36="WDR"),"INTERNAL",IF(OR($U36="RCV",$U36="PAY"),IFERROR(IF(INDEX(COA!$I:$I,MATCH($F36,COA!$A:$A,0))="","OPERATING",INDEX(COA!$I:$I,MATCH($F36,COA!$A:$A,0))),"OPERATING"),"OPERATING")),"")</f>
        <v/>
      </c>
      <c r="AJ36" s="32">
        <f>IF(COUNTA($A36:$T36)&gt;0,1,0)</f>
        <v/>
      </c>
      <c r="AK36" s="32">
        <f>IF($AJ36=0,"",IF($A36="","رقم المستند ناقص",IF(COUNTIF(Doc_Register!$A:$A,$A36)&gt;1,"رقم مستند مكرر في السجل المركزي",IF(LEFT($A36,LEN($V36)+1)&lt;&gt;$V36&amp;"-","بادئة الرقم لا تطابق نوع المستند",IF(NOT(ISNUMBER($B36)),"التاريخ ناقص أو غير صحيح",IF($N36="","حالة المستند ناقصة",IF($O36="","اسم المُعِد ناقص",IF(AND(OR($N36=ST_APPR,$N36=ST_POST),$P36=""),"لا يوجد معتمد",IF(AND($P36&lt;&gt;"",$P36=$O36),"المُعِد والمعتمد نفس الشخص (فصل المهام)",IF(AND($N36=ST_POST,$Q36=""),"اسم المحاسب المرحِّل ناقص",IF(AND($N36=ST_POST,$Q36&lt;&gt;"",OR($Q36=$O36,$Q36=$P36)),"المرحِّل يجب أن يختلف عن المُعِد والمعتمد",IF(AND($N36=ST_REV,$S36=""),"مرجع التصحيح/الإلغاء ناقص",IF(AND(ISNUMBER($B36),OR($N36=ST_DRAFT,$N36=ST_APPR),COUNTIFS(Period_Close!$A:$A,YEAR($B36)*100+MONTH($B36),Period_Close!$B:$B,"مقفلة")&gt;0),"الفترة مقفلة: لا يسمح بمستند جديد",IF($U36="?","نوع السند غير معرف",IF(COUNTIFS(COA!$A:$A,$W36,COA!$R:$R,1)&lt;&gt;1,"الخزينة/البنك غير معرف أو غير صالح",IF(NOT(N($I36)&gt;0),"المبلغ يجب أن يكون أكبر من صفر",IF(AND(OR($U36="TRF",$U36="DEP",$U36="WDR"),$E36=""),"الخزينة المستلمة ناقصة",IF(AND(OR($U36="TRF",$U36="DEP",$U36="WDR"),$E36=$D36),"التحويل إلى نفس الخزينة",IF(AND(OR($U36="TRF",$U36="DEP",$U36="WDR"),COUNTIFS(COA!$A:$A,$X36,COA!$R:$R,1)&lt;&gt;1),"الخزينة المستلمة غير صالحة",IF(AND(OR($U36="RCV",$U36="PAY"),$F36=""),"الحساب المقابل ناقص",IF(AND(OR($U36="RCV",$U36="PAY"),COUNTIFS(COA!$A:$A,$F36,COA!$R:$R,1)&lt;&gt;1),"الحساب المقابل غير صالح أو رئيسي",IF(AND(OR($U36="RCV",$U36="PAY"),IFERROR(INDEX(COA!$H:$H,MATCH($F36,COA!$A:$A,0)),0)=1),"الحساب المقابل نقدي: استخدم تحويل بين الخزائن",IF(AND(OR($U36="RCV",$U36="PAY"),$F36=ACC_SUPPLIERS),"سداد الموردين يتم من Supplier_Payments",IF(AND(OR($U36="RCV",$U36="PAY"),$H36=""),"المستلم/الدافع ناقص",IF(AND(OR($U36="RCV",$U36="PAY"),$J36=""),"طريقة الدفع ناقصة",IF(AND(OR($U36="RCV",$U36="PAY"),OR($F36=ACC_CUSTOMERS,$F36=1501,$F36=1502),$G36=""),"كود الجهة إلزامي لهذا الحساب",IF(AND($F36=ACC_CUSTOMERS,$G36&lt;&gt;"",COUNTIF(Customers!$A:$A,$G36)=0),"كود العميل غير معرف",IF(AND(OR($F36=1501,$F36=1502),$G36&lt;&gt;"",COUNTIF(Employees!$A:$A,$G36)=0),"كود الموظف غير معرف",IF(AND($M36&lt;&gt;"",COUNTIF(Doc_Register!$A:$A,$M36)=0),"المستند المرتبط غير موجود",IF(AND(OR($U36="PAY",$U36="SHT"),NOT(COUNTIF(Cost_Centers!$A:$A,$AE36)&gt;0)),"مركز التكلفة غير معرف",""))))))))))))))))))))))))))))))</f>
        <v/>
      </c>
      <c r="AL36" s="32">
        <f>IF($AJ36=1,IF($AK36&lt;&gt;"",1,0),0)</f>
        <v/>
      </c>
      <c r="AM36" s="32">
        <f>IF(AND($AJ36=1,$AL36=0,$N36=ST_POST),1,0)</f>
        <v/>
      </c>
    </row>
    <row r="37">
      <c r="A37" s="29" t="n"/>
      <c r="B37" s="31" t="n"/>
      <c r="C37" s="29" t="n"/>
      <c r="D37" s="39" t="n"/>
      <c r="E37" s="39" t="n"/>
      <c r="F37" s="39" t="n"/>
      <c r="G37" s="29" t="n"/>
      <c r="H37" s="29" t="n"/>
      <c r="I37" s="42" t="n"/>
      <c r="J37" s="29" t="n"/>
      <c r="K37" s="29" t="n"/>
      <c r="L37" s="39" t="n"/>
      <c r="M37" s="29" t="n"/>
      <c r="N37" s="39" t="n"/>
      <c r="O37" s="29" t="n"/>
      <c r="P37" s="29" t="n"/>
      <c r="Q37" s="29" t="n"/>
      <c r="R37" s="29" t="n"/>
      <c r="S37" s="29" t="n"/>
      <c r="T37" s="29" t="n"/>
      <c r="U37" s="32">
        <f>IF($AJ37=1,IFERROR(INDEX(Lists!$F:$F,MATCH($C37,Lists!$E:$E,0)),"?"),"")</f>
        <v/>
      </c>
      <c r="V37" s="32">
        <f>IF($AJ37=1,IFERROR(INDEX(Lists!$G:$G,MATCH($C37,Lists!$E:$E,0)),"?"),"")</f>
        <v/>
      </c>
      <c r="W37" s="32">
        <f>IF($AJ37=1,IFERROR(INDEX(Treasuries!$E:$E,MATCH($D37,Treasuries!$A:$A,0)),"؟"),"")</f>
        <v/>
      </c>
      <c r="X37" s="32">
        <f>IF(AND($AJ37=1,$E37&lt;&gt;""),IFERROR(INDEX(Treasuries!$E:$E,MATCH($E37,Treasuries!$A:$A,0)),"؟"),"")</f>
        <v/>
      </c>
      <c r="Y37" s="32">
        <f>IF($AJ37=1,IFERROR(INDEX(Treasuries!$D:$D,MATCH($D37,Treasuries!$A:$A,0)),"؟"),"")</f>
        <v/>
      </c>
      <c r="Z37" s="32">
        <f>IF(AND($AJ37=1,$E37&lt;&gt;""),IFERROR(INDEX(Treasuries!$D:$D,MATCH($E37,Treasuries!$A:$A,0)),"؟"),"")</f>
        <v/>
      </c>
      <c r="AA37" s="44">
        <f>IF($AJ37=1,IF($U37="RCV",$W37,IF($U37="PAY",$F37,IF(OR($U37="TRF",$U37="DEP",$U37="WDR"),$X37,IF($U37="SHT",ACC_CASH_SHORT,IF($U37="OVR",$W37,"؟"))))),"")</f>
        <v/>
      </c>
      <c r="AB37" s="44">
        <f>IF($AJ37=1,IF($U37="RCV",$F37,IF($U37="PAY",$W37,IF(OR($U37="TRF",$U37="DEP",$U37="WDR"),$W37,IF($U37="SHT",$W37,IF($U37="OVR",ACC_CASH_OVER,"؟"))))),"")</f>
        <v/>
      </c>
      <c r="AC37" s="32">
        <f>IF($AJ37=1,IF(OR($U37="TRF",$U37="DEP",$U37="WDR"),$Z37,$Y37),"")</f>
        <v/>
      </c>
      <c r="AD37" s="32">
        <f>IF($AJ37=1,$Y37,"")</f>
        <v/>
      </c>
      <c r="AE37" s="32">
        <f>IF($AJ37=1,IF(OR($U37="PAY",$U37="SHT"),IF($L37="","CC00",$L37),"CC00"),"")</f>
        <v/>
      </c>
      <c r="AF37" s="32">
        <f>IF($AJ37=1,IF(OR($U37="RCV",$U37="OVR"),IF($L37="","CC00",$L37),"CC00"),"")</f>
        <v/>
      </c>
      <c r="AG37" s="32">
        <f>IF($AJ37=1,IF(AND($U37="PAY",$G37&lt;&gt;""),$G37,"-"),"")</f>
        <v/>
      </c>
      <c r="AH37" s="32">
        <f>IF($AJ37=1,IF(AND($U37="RCV",$G37&lt;&gt;""),$G37,"-"),"")</f>
        <v/>
      </c>
      <c r="AI37" s="32">
        <f>IF($AJ37=1,IF(OR($U37="TRF",$U37="DEP",$U37="WDR"),"INTERNAL",IF(OR($U37="RCV",$U37="PAY"),IFERROR(IF(INDEX(COA!$I:$I,MATCH($F37,COA!$A:$A,0))="","OPERATING",INDEX(COA!$I:$I,MATCH($F37,COA!$A:$A,0))),"OPERATING"),"OPERATING")),"")</f>
        <v/>
      </c>
      <c r="AJ37" s="32">
        <f>IF(COUNTA($A37:$T37)&gt;0,1,0)</f>
        <v/>
      </c>
      <c r="AK37" s="32">
        <f>IF($AJ37=0,"",IF($A37="","رقم المستند ناقص",IF(COUNTIF(Doc_Register!$A:$A,$A37)&gt;1,"رقم مستند مكرر في السجل المركزي",IF(LEFT($A37,LEN($V37)+1)&lt;&gt;$V37&amp;"-","بادئة الرقم لا تطابق نوع المستند",IF(NOT(ISNUMBER($B37)),"التاريخ ناقص أو غير صحيح",IF($N37="","حالة المستند ناقصة",IF($O37="","اسم المُعِد ناقص",IF(AND(OR($N37=ST_APPR,$N37=ST_POST),$P37=""),"لا يوجد معتمد",IF(AND($P37&lt;&gt;"",$P37=$O37),"المُعِد والمعتمد نفس الشخص (فصل المهام)",IF(AND($N37=ST_POST,$Q37=""),"اسم المحاسب المرحِّل ناقص",IF(AND($N37=ST_POST,$Q37&lt;&gt;"",OR($Q37=$O37,$Q37=$P37)),"المرحِّل يجب أن يختلف عن المُعِد والمعتمد",IF(AND($N37=ST_REV,$S37=""),"مرجع التصحيح/الإلغاء ناقص",IF(AND(ISNUMBER($B37),OR($N37=ST_DRAFT,$N37=ST_APPR),COUNTIFS(Period_Close!$A:$A,YEAR($B37)*100+MONTH($B37),Period_Close!$B:$B,"مقفلة")&gt;0),"الفترة مقفلة: لا يسمح بمستند جديد",IF($U37="?","نوع السند غير معرف",IF(COUNTIFS(COA!$A:$A,$W37,COA!$R:$R,1)&lt;&gt;1,"الخزينة/البنك غير معرف أو غير صالح",IF(NOT(N($I37)&gt;0),"المبلغ يجب أن يكون أكبر من صفر",IF(AND(OR($U37="TRF",$U37="DEP",$U37="WDR"),$E37=""),"الخزينة المستلمة ناقصة",IF(AND(OR($U37="TRF",$U37="DEP",$U37="WDR"),$E37=$D37),"التحويل إلى نفس الخزينة",IF(AND(OR($U37="TRF",$U37="DEP",$U37="WDR"),COUNTIFS(COA!$A:$A,$X37,COA!$R:$R,1)&lt;&gt;1),"الخزينة المستلمة غير صالحة",IF(AND(OR($U37="RCV",$U37="PAY"),$F37=""),"الحساب المقابل ناقص",IF(AND(OR($U37="RCV",$U37="PAY"),COUNTIFS(COA!$A:$A,$F37,COA!$R:$R,1)&lt;&gt;1),"الحساب المقابل غير صالح أو رئيسي",IF(AND(OR($U37="RCV",$U37="PAY"),IFERROR(INDEX(COA!$H:$H,MATCH($F37,COA!$A:$A,0)),0)=1),"الحساب المقابل نقدي: استخدم تحويل بين الخزائن",IF(AND(OR($U37="RCV",$U37="PAY"),$F37=ACC_SUPPLIERS),"سداد الموردين يتم من Supplier_Payments",IF(AND(OR($U37="RCV",$U37="PAY"),$H37=""),"المستلم/الدافع ناقص",IF(AND(OR($U37="RCV",$U37="PAY"),$J37=""),"طريقة الدفع ناقصة",IF(AND(OR($U37="RCV",$U37="PAY"),OR($F37=ACC_CUSTOMERS,$F37=1501,$F37=1502),$G37=""),"كود الجهة إلزامي لهذا الحساب",IF(AND($F37=ACC_CUSTOMERS,$G37&lt;&gt;"",COUNTIF(Customers!$A:$A,$G37)=0),"كود العميل غير معرف",IF(AND(OR($F37=1501,$F37=1502),$G37&lt;&gt;"",COUNTIF(Employees!$A:$A,$G37)=0),"كود الموظف غير معرف",IF(AND($M37&lt;&gt;"",COUNTIF(Doc_Register!$A:$A,$M37)=0),"المستند المرتبط غير موجود",IF(AND(OR($U37="PAY",$U37="SHT"),NOT(COUNTIF(Cost_Centers!$A:$A,$AE37)&gt;0)),"مركز التكلفة غير معرف",""))))))))))))))))))))))))))))))</f>
        <v/>
      </c>
      <c r="AL37" s="32">
        <f>IF($AJ37=1,IF($AK37&lt;&gt;"",1,0),0)</f>
        <v/>
      </c>
      <c r="AM37" s="32">
        <f>IF(AND($AJ37=1,$AL37=0,$N37=ST_POST),1,0)</f>
        <v/>
      </c>
    </row>
    <row r="38">
      <c r="A38" s="29" t="n"/>
      <c r="B38" s="31" t="n"/>
      <c r="C38" s="29" t="n"/>
      <c r="D38" s="39" t="n"/>
      <c r="E38" s="39" t="n"/>
      <c r="F38" s="39" t="n"/>
      <c r="G38" s="29" t="n"/>
      <c r="H38" s="29" t="n"/>
      <c r="I38" s="42" t="n"/>
      <c r="J38" s="29" t="n"/>
      <c r="K38" s="29" t="n"/>
      <c r="L38" s="39" t="n"/>
      <c r="M38" s="29" t="n"/>
      <c r="N38" s="39" t="n"/>
      <c r="O38" s="29" t="n"/>
      <c r="P38" s="29" t="n"/>
      <c r="Q38" s="29" t="n"/>
      <c r="R38" s="29" t="n"/>
      <c r="S38" s="29" t="n"/>
      <c r="T38" s="29" t="n"/>
      <c r="U38" s="32">
        <f>IF($AJ38=1,IFERROR(INDEX(Lists!$F:$F,MATCH($C38,Lists!$E:$E,0)),"?"),"")</f>
        <v/>
      </c>
      <c r="V38" s="32">
        <f>IF($AJ38=1,IFERROR(INDEX(Lists!$G:$G,MATCH($C38,Lists!$E:$E,0)),"?"),"")</f>
        <v/>
      </c>
      <c r="W38" s="32">
        <f>IF($AJ38=1,IFERROR(INDEX(Treasuries!$E:$E,MATCH($D38,Treasuries!$A:$A,0)),"؟"),"")</f>
        <v/>
      </c>
      <c r="X38" s="32">
        <f>IF(AND($AJ38=1,$E38&lt;&gt;""),IFERROR(INDEX(Treasuries!$E:$E,MATCH($E38,Treasuries!$A:$A,0)),"؟"),"")</f>
        <v/>
      </c>
      <c r="Y38" s="32">
        <f>IF($AJ38=1,IFERROR(INDEX(Treasuries!$D:$D,MATCH($D38,Treasuries!$A:$A,0)),"؟"),"")</f>
        <v/>
      </c>
      <c r="Z38" s="32">
        <f>IF(AND($AJ38=1,$E38&lt;&gt;""),IFERROR(INDEX(Treasuries!$D:$D,MATCH($E38,Treasuries!$A:$A,0)),"؟"),"")</f>
        <v/>
      </c>
      <c r="AA38" s="44">
        <f>IF($AJ38=1,IF($U38="RCV",$W38,IF($U38="PAY",$F38,IF(OR($U38="TRF",$U38="DEP",$U38="WDR"),$X38,IF($U38="SHT",ACC_CASH_SHORT,IF($U38="OVR",$W38,"؟"))))),"")</f>
        <v/>
      </c>
      <c r="AB38" s="44">
        <f>IF($AJ38=1,IF($U38="RCV",$F38,IF($U38="PAY",$W38,IF(OR($U38="TRF",$U38="DEP",$U38="WDR"),$W38,IF($U38="SHT",$W38,IF($U38="OVR",ACC_CASH_OVER,"؟"))))),"")</f>
        <v/>
      </c>
      <c r="AC38" s="32">
        <f>IF($AJ38=1,IF(OR($U38="TRF",$U38="DEP",$U38="WDR"),$Z38,$Y38),"")</f>
        <v/>
      </c>
      <c r="AD38" s="32">
        <f>IF($AJ38=1,$Y38,"")</f>
        <v/>
      </c>
      <c r="AE38" s="32">
        <f>IF($AJ38=1,IF(OR($U38="PAY",$U38="SHT"),IF($L38="","CC00",$L38),"CC00"),"")</f>
        <v/>
      </c>
      <c r="AF38" s="32">
        <f>IF($AJ38=1,IF(OR($U38="RCV",$U38="OVR"),IF($L38="","CC00",$L38),"CC00"),"")</f>
        <v/>
      </c>
      <c r="AG38" s="32">
        <f>IF($AJ38=1,IF(AND($U38="PAY",$G38&lt;&gt;""),$G38,"-"),"")</f>
        <v/>
      </c>
      <c r="AH38" s="32">
        <f>IF($AJ38=1,IF(AND($U38="RCV",$G38&lt;&gt;""),$G38,"-"),"")</f>
        <v/>
      </c>
      <c r="AI38" s="32">
        <f>IF($AJ38=1,IF(OR($U38="TRF",$U38="DEP",$U38="WDR"),"INTERNAL",IF(OR($U38="RCV",$U38="PAY"),IFERROR(IF(INDEX(COA!$I:$I,MATCH($F38,COA!$A:$A,0))="","OPERATING",INDEX(COA!$I:$I,MATCH($F38,COA!$A:$A,0))),"OPERATING"),"OPERATING")),"")</f>
        <v/>
      </c>
      <c r="AJ38" s="32">
        <f>IF(COUNTA($A38:$T38)&gt;0,1,0)</f>
        <v/>
      </c>
      <c r="AK38" s="32">
        <f>IF($AJ38=0,"",IF($A38="","رقم المستند ناقص",IF(COUNTIF(Doc_Register!$A:$A,$A38)&gt;1,"رقم مستند مكرر في السجل المركزي",IF(LEFT($A38,LEN($V38)+1)&lt;&gt;$V38&amp;"-","بادئة الرقم لا تطابق نوع المستند",IF(NOT(ISNUMBER($B38)),"التاريخ ناقص أو غير صحيح",IF($N38="","حالة المستند ناقصة",IF($O38="","اسم المُعِد ناقص",IF(AND(OR($N38=ST_APPR,$N38=ST_POST),$P38=""),"لا يوجد معتمد",IF(AND($P38&lt;&gt;"",$P38=$O38),"المُعِد والمعتمد نفس الشخص (فصل المهام)",IF(AND($N38=ST_POST,$Q38=""),"اسم المحاسب المرحِّل ناقص",IF(AND($N38=ST_POST,$Q38&lt;&gt;"",OR($Q38=$O38,$Q38=$P38)),"المرحِّل يجب أن يختلف عن المُعِد والمعتمد",IF(AND($N38=ST_REV,$S38=""),"مرجع التصحيح/الإلغاء ناقص",IF(AND(ISNUMBER($B38),OR($N38=ST_DRAFT,$N38=ST_APPR),COUNTIFS(Period_Close!$A:$A,YEAR($B38)*100+MONTH($B38),Period_Close!$B:$B,"مقفلة")&gt;0),"الفترة مقفلة: لا يسمح بمستند جديد",IF($U38="?","نوع السند غير معرف",IF(COUNTIFS(COA!$A:$A,$W38,COA!$R:$R,1)&lt;&gt;1,"الخزينة/البنك غير معرف أو غير صالح",IF(NOT(N($I38)&gt;0),"المبلغ يجب أن يكون أكبر من صفر",IF(AND(OR($U38="TRF",$U38="DEP",$U38="WDR"),$E38=""),"الخزينة المستلمة ناقصة",IF(AND(OR($U38="TRF",$U38="DEP",$U38="WDR"),$E38=$D38),"التحويل إلى نفس الخزينة",IF(AND(OR($U38="TRF",$U38="DEP",$U38="WDR"),COUNTIFS(COA!$A:$A,$X38,COA!$R:$R,1)&lt;&gt;1),"الخزينة المستلمة غير صالحة",IF(AND(OR($U38="RCV",$U38="PAY"),$F38=""),"الحساب المقابل ناقص",IF(AND(OR($U38="RCV",$U38="PAY"),COUNTIFS(COA!$A:$A,$F38,COA!$R:$R,1)&lt;&gt;1),"الحساب المقابل غير صالح أو رئيسي",IF(AND(OR($U38="RCV",$U38="PAY"),IFERROR(INDEX(COA!$H:$H,MATCH($F38,COA!$A:$A,0)),0)=1),"الحساب المقابل نقدي: استخدم تحويل بين الخزائن",IF(AND(OR($U38="RCV",$U38="PAY"),$F38=ACC_SUPPLIERS),"سداد الموردين يتم من Supplier_Payments",IF(AND(OR($U38="RCV",$U38="PAY"),$H38=""),"المستلم/الدافع ناقص",IF(AND(OR($U38="RCV",$U38="PAY"),$J38=""),"طريقة الدفع ناقصة",IF(AND(OR($U38="RCV",$U38="PAY"),OR($F38=ACC_CUSTOMERS,$F38=1501,$F38=1502),$G38=""),"كود الجهة إلزامي لهذا الحساب",IF(AND($F38=ACC_CUSTOMERS,$G38&lt;&gt;"",COUNTIF(Customers!$A:$A,$G38)=0),"كود العميل غير معرف",IF(AND(OR($F38=1501,$F38=1502),$G38&lt;&gt;"",COUNTIF(Employees!$A:$A,$G38)=0),"كود الموظف غير معرف",IF(AND($M38&lt;&gt;"",COUNTIF(Doc_Register!$A:$A,$M38)=0),"المستند المرتبط غير موجود",IF(AND(OR($U38="PAY",$U38="SHT"),NOT(COUNTIF(Cost_Centers!$A:$A,$AE38)&gt;0)),"مركز التكلفة غير معرف",""))))))))))))))))))))))))))))))</f>
        <v/>
      </c>
      <c r="AL38" s="32">
        <f>IF($AJ38=1,IF($AK38&lt;&gt;"",1,0),0)</f>
        <v/>
      </c>
      <c r="AM38" s="32">
        <f>IF(AND($AJ38=1,$AL38=0,$N38=ST_POST),1,0)</f>
        <v/>
      </c>
    </row>
    <row r="39">
      <c r="A39" s="29" t="n"/>
      <c r="B39" s="31" t="n"/>
      <c r="C39" s="29" t="n"/>
      <c r="D39" s="39" t="n"/>
      <c r="E39" s="39" t="n"/>
      <c r="F39" s="39" t="n"/>
      <c r="G39" s="29" t="n"/>
      <c r="H39" s="29" t="n"/>
      <c r="I39" s="42" t="n"/>
      <c r="J39" s="29" t="n"/>
      <c r="K39" s="29" t="n"/>
      <c r="L39" s="39" t="n"/>
      <c r="M39" s="29" t="n"/>
      <c r="N39" s="39" t="n"/>
      <c r="O39" s="29" t="n"/>
      <c r="P39" s="29" t="n"/>
      <c r="Q39" s="29" t="n"/>
      <c r="R39" s="29" t="n"/>
      <c r="S39" s="29" t="n"/>
      <c r="T39" s="29" t="n"/>
      <c r="U39" s="32">
        <f>IF($AJ39=1,IFERROR(INDEX(Lists!$F:$F,MATCH($C39,Lists!$E:$E,0)),"?"),"")</f>
        <v/>
      </c>
      <c r="V39" s="32">
        <f>IF($AJ39=1,IFERROR(INDEX(Lists!$G:$G,MATCH($C39,Lists!$E:$E,0)),"?"),"")</f>
        <v/>
      </c>
      <c r="W39" s="32">
        <f>IF($AJ39=1,IFERROR(INDEX(Treasuries!$E:$E,MATCH($D39,Treasuries!$A:$A,0)),"؟"),"")</f>
        <v/>
      </c>
      <c r="X39" s="32">
        <f>IF(AND($AJ39=1,$E39&lt;&gt;""),IFERROR(INDEX(Treasuries!$E:$E,MATCH($E39,Treasuries!$A:$A,0)),"؟"),"")</f>
        <v/>
      </c>
      <c r="Y39" s="32">
        <f>IF($AJ39=1,IFERROR(INDEX(Treasuries!$D:$D,MATCH($D39,Treasuries!$A:$A,0)),"؟"),"")</f>
        <v/>
      </c>
      <c r="Z39" s="32">
        <f>IF(AND($AJ39=1,$E39&lt;&gt;""),IFERROR(INDEX(Treasuries!$D:$D,MATCH($E39,Treasuries!$A:$A,0)),"؟"),"")</f>
        <v/>
      </c>
      <c r="AA39" s="44">
        <f>IF($AJ39=1,IF($U39="RCV",$W39,IF($U39="PAY",$F39,IF(OR($U39="TRF",$U39="DEP",$U39="WDR"),$X39,IF($U39="SHT",ACC_CASH_SHORT,IF($U39="OVR",$W39,"؟"))))),"")</f>
        <v/>
      </c>
      <c r="AB39" s="44">
        <f>IF($AJ39=1,IF($U39="RCV",$F39,IF($U39="PAY",$W39,IF(OR($U39="TRF",$U39="DEP",$U39="WDR"),$W39,IF($U39="SHT",$W39,IF($U39="OVR",ACC_CASH_OVER,"؟"))))),"")</f>
        <v/>
      </c>
      <c r="AC39" s="32">
        <f>IF($AJ39=1,IF(OR($U39="TRF",$U39="DEP",$U39="WDR"),$Z39,$Y39),"")</f>
        <v/>
      </c>
      <c r="AD39" s="32">
        <f>IF($AJ39=1,$Y39,"")</f>
        <v/>
      </c>
      <c r="AE39" s="32">
        <f>IF($AJ39=1,IF(OR($U39="PAY",$U39="SHT"),IF($L39="","CC00",$L39),"CC00"),"")</f>
        <v/>
      </c>
      <c r="AF39" s="32">
        <f>IF($AJ39=1,IF(OR($U39="RCV",$U39="OVR"),IF($L39="","CC00",$L39),"CC00"),"")</f>
        <v/>
      </c>
      <c r="AG39" s="32">
        <f>IF($AJ39=1,IF(AND($U39="PAY",$G39&lt;&gt;""),$G39,"-"),"")</f>
        <v/>
      </c>
      <c r="AH39" s="32">
        <f>IF($AJ39=1,IF(AND($U39="RCV",$G39&lt;&gt;""),$G39,"-"),"")</f>
        <v/>
      </c>
      <c r="AI39" s="32">
        <f>IF($AJ39=1,IF(OR($U39="TRF",$U39="DEP",$U39="WDR"),"INTERNAL",IF(OR($U39="RCV",$U39="PAY"),IFERROR(IF(INDEX(COA!$I:$I,MATCH($F39,COA!$A:$A,0))="","OPERATING",INDEX(COA!$I:$I,MATCH($F39,COA!$A:$A,0))),"OPERATING"),"OPERATING")),"")</f>
        <v/>
      </c>
      <c r="AJ39" s="32">
        <f>IF(COUNTA($A39:$T39)&gt;0,1,0)</f>
        <v/>
      </c>
      <c r="AK39" s="32">
        <f>IF($AJ39=0,"",IF($A39="","رقم المستند ناقص",IF(COUNTIF(Doc_Register!$A:$A,$A39)&gt;1,"رقم مستند مكرر في السجل المركزي",IF(LEFT($A39,LEN($V39)+1)&lt;&gt;$V39&amp;"-","بادئة الرقم لا تطابق نوع المستند",IF(NOT(ISNUMBER($B39)),"التاريخ ناقص أو غير صحيح",IF($N39="","حالة المستند ناقصة",IF($O39="","اسم المُعِد ناقص",IF(AND(OR($N39=ST_APPR,$N39=ST_POST),$P39=""),"لا يوجد معتمد",IF(AND($P39&lt;&gt;"",$P39=$O39),"المُعِد والمعتمد نفس الشخص (فصل المهام)",IF(AND($N39=ST_POST,$Q39=""),"اسم المحاسب المرحِّل ناقص",IF(AND($N39=ST_POST,$Q39&lt;&gt;"",OR($Q39=$O39,$Q39=$P39)),"المرحِّل يجب أن يختلف عن المُعِد والمعتمد",IF(AND($N39=ST_REV,$S39=""),"مرجع التصحيح/الإلغاء ناقص",IF(AND(ISNUMBER($B39),OR($N39=ST_DRAFT,$N39=ST_APPR),COUNTIFS(Period_Close!$A:$A,YEAR($B39)*100+MONTH($B39),Period_Close!$B:$B,"مقفلة")&gt;0),"الفترة مقفلة: لا يسمح بمستند جديد",IF($U39="?","نوع السند غير معرف",IF(COUNTIFS(COA!$A:$A,$W39,COA!$R:$R,1)&lt;&gt;1,"الخزينة/البنك غير معرف أو غير صالح",IF(NOT(N($I39)&gt;0),"المبلغ يجب أن يكون أكبر من صفر",IF(AND(OR($U39="TRF",$U39="DEP",$U39="WDR"),$E39=""),"الخزينة المستلمة ناقصة",IF(AND(OR($U39="TRF",$U39="DEP",$U39="WDR"),$E39=$D39),"التحويل إلى نفس الخزينة",IF(AND(OR($U39="TRF",$U39="DEP",$U39="WDR"),COUNTIFS(COA!$A:$A,$X39,COA!$R:$R,1)&lt;&gt;1),"الخزينة المستلمة غير صالحة",IF(AND(OR($U39="RCV",$U39="PAY"),$F39=""),"الحساب المقابل ناقص",IF(AND(OR($U39="RCV",$U39="PAY"),COUNTIFS(COA!$A:$A,$F39,COA!$R:$R,1)&lt;&gt;1),"الحساب المقابل غير صالح أو رئيسي",IF(AND(OR($U39="RCV",$U39="PAY"),IFERROR(INDEX(COA!$H:$H,MATCH($F39,COA!$A:$A,0)),0)=1),"الحساب المقابل نقدي: استخدم تحويل بين الخزائن",IF(AND(OR($U39="RCV",$U39="PAY"),$F39=ACC_SUPPLIERS),"سداد الموردين يتم من Supplier_Payments",IF(AND(OR($U39="RCV",$U39="PAY"),$H39=""),"المستلم/الدافع ناقص",IF(AND(OR($U39="RCV",$U39="PAY"),$J39=""),"طريقة الدفع ناقصة",IF(AND(OR($U39="RCV",$U39="PAY"),OR($F39=ACC_CUSTOMERS,$F39=1501,$F39=1502),$G39=""),"كود الجهة إلزامي لهذا الحساب",IF(AND($F39=ACC_CUSTOMERS,$G39&lt;&gt;"",COUNTIF(Customers!$A:$A,$G39)=0),"كود العميل غير معرف",IF(AND(OR($F39=1501,$F39=1502),$G39&lt;&gt;"",COUNTIF(Employees!$A:$A,$G39)=0),"كود الموظف غير معرف",IF(AND($M39&lt;&gt;"",COUNTIF(Doc_Register!$A:$A,$M39)=0),"المستند المرتبط غير موجود",IF(AND(OR($U39="PAY",$U39="SHT"),NOT(COUNTIF(Cost_Centers!$A:$A,$AE39)&gt;0)),"مركز التكلفة غير معرف",""))))))))))))))))))))))))))))))</f>
        <v/>
      </c>
      <c r="AL39" s="32">
        <f>IF($AJ39=1,IF($AK39&lt;&gt;"",1,0),0)</f>
        <v/>
      </c>
      <c r="AM39" s="32">
        <f>IF(AND($AJ39=1,$AL39=0,$N39=ST_POST),1,0)</f>
        <v/>
      </c>
    </row>
    <row r="40">
      <c r="A40" s="29" t="n"/>
      <c r="B40" s="31" t="n"/>
      <c r="C40" s="29" t="n"/>
      <c r="D40" s="39" t="n"/>
      <c r="E40" s="39" t="n"/>
      <c r="F40" s="39" t="n"/>
      <c r="G40" s="29" t="n"/>
      <c r="H40" s="29" t="n"/>
      <c r="I40" s="42" t="n"/>
      <c r="J40" s="29" t="n"/>
      <c r="K40" s="29" t="n"/>
      <c r="L40" s="39" t="n"/>
      <c r="M40" s="29" t="n"/>
      <c r="N40" s="39" t="n"/>
      <c r="O40" s="29" t="n"/>
      <c r="P40" s="29" t="n"/>
      <c r="Q40" s="29" t="n"/>
      <c r="R40" s="29" t="n"/>
      <c r="S40" s="29" t="n"/>
      <c r="T40" s="29" t="n"/>
      <c r="U40" s="32">
        <f>IF($AJ40=1,IFERROR(INDEX(Lists!$F:$F,MATCH($C40,Lists!$E:$E,0)),"?"),"")</f>
        <v/>
      </c>
      <c r="V40" s="32">
        <f>IF($AJ40=1,IFERROR(INDEX(Lists!$G:$G,MATCH($C40,Lists!$E:$E,0)),"?"),"")</f>
        <v/>
      </c>
      <c r="W40" s="32">
        <f>IF($AJ40=1,IFERROR(INDEX(Treasuries!$E:$E,MATCH($D40,Treasuries!$A:$A,0)),"؟"),"")</f>
        <v/>
      </c>
      <c r="X40" s="32">
        <f>IF(AND($AJ40=1,$E40&lt;&gt;""),IFERROR(INDEX(Treasuries!$E:$E,MATCH($E40,Treasuries!$A:$A,0)),"؟"),"")</f>
        <v/>
      </c>
      <c r="Y40" s="32">
        <f>IF($AJ40=1,IFERROR(INDEX(Treasuries!$D:$D,MATCH($D40,Treasuries!$A:$A,0)),"؟"),"")</f>
        <v/>
      </c>
      <c r="Z40" s="32">
        <f>IF(AND($AJ40=1,$E40&lt;&gt;""),IFERROR(INDEX(Treasuries!$D:$D,MATCH($E40,Treasuries!$A:$A,0)),"؟"),"")</f>
        <v/>
      </c>
      <c r="AA40" s="44">
        <f>IF($AJ40=1,IF($U40="RCV",$W40,IF($U40="PAY",$F40,IF(OR($U40="TRF",$U40="DEP",$U40="WDR"),$X40,IF($U40="SHT",ACC_CASH_SHORT,IF($U40="OVR",$W40,"؟"))))),"")</f>
        <v/>
      </c>
      <c r="AB40" s="44">
        <f>IF($AJ40=1,IF($U40="RCV",$F40,IF($U40="PAY",$W40,IF(OR($U40="TRF",$U40="DEP",$U40="WDR"),$W40,IF($U40="SHT",$W40,IF($U40="OVR",ACC_CASH_OVER,"؟"))))),"")</f>
        <v/>
      </c>
      <c r="AC40" s="32">
        <f>IF($AJ40=1,IF(OR($U40="TRF",$U40="DEP",$U40="WDR"),$Z40,$Y40),"")</f>
        <v/>
      </c>
      <c r="AD40" s="32">
        <f>IF($AJ40=1,$Y40,"")</f>
        <v/>
      </c>
      <c r="AE40" s="32">
        <f>IF($AJ40=1,IF(OR($U40="PAY",$U40="SHT"),IF($L40="","CC00",$L40),"CC00"),"")</f>
        <v/>
      </c>
      <c r="AF40" s="32">
        <f>IF($AJ40=1,IF(OR($U40="RCV",$U40="OVR"),IF($L40="","CC00",$L40),"CC00"),"")</f>
        <v/>
      </c>
      <c r="AG40" s="32">
        <f>IF($AJ40=1,IF(AND($U40="PAY",$G40&lt;&gt;""),$G40,"-"),"")</f>
        <v/>
      </c>
      <c r="AH40" s="32">
        <f>IF($AJ40=1,IF(AND($U40="RCV",$G40&lt;&gt;""),$G40,"-"),"")</f>
        <v/>
      </c>
      <c r="AI40" s="32">
        <f>IF($AJ40=1,IF(OR($U40="TRF",$U40="DEP",$U40="WDR"),"INTERNAL",IF(OR($U40="RCV",$U40="PAY"),IFERROR(IF(INDEX(COA!$I:$I,MATCH($F40,COA!$A:$A,0))="","OPERATING",INDEX(COA!$I:$I,MATCH($F40,COA!$A:$A,0))),"OPERATING"),"OPERATING")),"")</f>
        <v/>
      </c>
      <c r="AJ40" s="32">
        <f>IF(COUNTA($A40:$T40)&gt;0,1,0)</f>
        <v/>
      </c>
      <c r="AK40" s="32">
        <f>IF($AJ40=0,"",IF($A40="","رقم المستند ناقص",IF(COUNTIF(Doc_Register!$A:$A,$A40)&gt;1,"رقم مستند مكرر في السجل المركزي",IF(LEFT($A40,LEN($V40)+1)&lt;&gt;$V40&amp;"-","بادئة الرقم لا تطابق نوع المستند",IF(NOT(ISNUMBER($B40)),"التاريخ ناقص أو غير صحيح",IF($N40="","حالة المستند ناقصة",IF($O40="","اسم المُعِد ناقص",IF(AND(OR($N40=ST_APPR,$N40=ST_POST),$P40=""),"لا يوجد معتمد",IF(AND($P40&lt;&gt;"",$P40=$O40),"المُعِد والمعتمد نفس الشخص (فصل المهام)",IF(AND($N40=ST_POST,$Q40=""),"اسم المحاسب المرحِّل ناقص",IF(AND($N40=ST_POST,$Q40&lt;&gt;"",OR($Q40=$O40,$Q40=$P40)),"المرحِّل يجب أن يختلف عن المُعِد والمعتمد",IF(AND($N40=ST_REV,$S40=""),"مرجع التصحيح/الإلغاء ناقص",IF(AND(ISNUMBER($B40),OR($N40=ST_DRAFT,$N40=ST_APPR),COUNTIFS(Period_Close!$A:$A,YEAR($B40)*100+MONTH($B40),Period_Close!$B:$B,"مقفلة")&gt;0),"الفترة مقفلة: لا يسمح بمستند جديد",IF($U40="?","نوع السند غير معرف",IF(COUNTIFS(COA!$A:$A,$W40,COA!$R:$R,1)&lt;&gt;1,"الخزينة/البنك غير معرف أو غير صالح",IF(NOT(N($I40)&gt;0),"المبلغ يجب أن يكون أكبر من صفر",IF(AND(OR($U40="TRF",$U40="DEP",$U40="WDR"),$E40=""),"الخزينة المستلمة ناقصة",IF(AND(OR($U40="TRF",$U40="DEP",$U40="WDR"),$E40=$D40),"التحويل إلى نفس الخزينة",IF(AND(OR($U40="TRF",$U40="DEP",$U40="WDR"),COUNTIFS(COA!$A:$A,$X40,COA!$R:$R,1)&lt;&gt;1),"الخزينة المستلمة غير صالحة",IF(AND(OR($U40="RCV",$U40="PAY"),$F40=""),"الحساب المقابل ناقص",IF(AND(OR($U40="RCV",$U40="PAY"),COUNTIFS(COA!$A:$A,$F40,COA!$R:$R,1)&lt;&gt;1),"الحساب المقابل غير صالح أو رئيسي",IF(AND(OR($U40="RCV",$U40="PAY"),IFERROR(INDEX(COA!$H:$H,MATCH($F40,COA!$A:$A,0)),0)=1),"الحساب المقابل نقدي: استخدم تحويل بين الخزائن",IF(AND(OR($U40="RCV",$U40="PAY"),$F40=ACC_SUPPLIERS),"سداد الموردين يتم من Supplier_Payments",IF(AND(OR($U40="RCV",$U40="PAY"),$H40=""),"المستلم/الدافع ناقص",IF(AND(OR($U40="RCV",$U40="PAY"),$J40=""),"طريقة الدفع ناقصة",IF(AND(OR($U40="RCV",$U40="PAY"),OR($F40=ACC_CUSTOMERS,$F40=1501,$F40=1502),$G40=""),"كود الجهة إلزامي لهذا الحساب",IF(AND($F40=ACC_CUSTOMERS,$G40&lt;&gt;"",COUNTIF(Customers!$A:$A,$G40)=0),"كود العميل غير معرف",IF(AND(OR($F40=1501,$F40=1502),$G40&lt;&gt;"",COUNTIF(Employees!$A:$A,$G40)=0),"كود الموظف غير معرف",IF(AND($M40&lt;&gt;"",COUNTIF(Doc_Register!$A:$A,$M40)=0),"المستند المرتبط غير موجود",IF(AND(OR($U40="PAY",$U40="SHT"),NOT(COUNTIF(Cost_Centers!$A:$A,$AE40)&gt;0)),"مركز التكلفة غير معرف",""))))))))))))))))))))))))))))))</f>
        <v/>
      </c>
      <c r="AL40" s="32">
        <f>IF($AJ40=1,IF($AK40&lt;&gt;"",1,0),0)</f>
        <v/>
      </c>
      <c r="AM40" s="32">
        <f>IF(AND($AJ40=1,$AL40=0,$N40=ST_POST),1,0)</f>
        <v/>
      </c>
    </row>
    <row r="41">
      <c r="A41" s="29" t="n"/>
      <c r="B41" s="31" t="n"/>
      <c r="C41" s="29" t="n"/>
      <c r="D41" s="39" t="n"/>
      <c r="E41" s="39" t="n"/>
      <c r="F41" s="39" t="n"/>
      <c r="G41" s="29" t="n"/>
      <c r="H41" s="29" t="n"/>
      <c r="I41" s="42" t="n"/>
      <c r="J41" s="29" t="n"/>
      <c r="K41" s="29" t="n"/>
      <c r="L41" s="39" t="n"/>
      <c r="M41" s="29" t="n"/>
      <c r="N41" s="39" t="n"/>
      <c r="O41" s="29" t="n"/>
      <c r="P41" s="29" t="n"/>
      <c r="Q41" s="29" t="n"/>
      <c r="R41" s="29" t="n"/>
      <c r="S41" s="29" t="n"/>
      <c r="T41" s="29" t="n"/>
      <c r="U41" s="32">
        <f>IF($AJ41=1,IFERROR(INDEX(Lists!$F:$F,MATCH($C41,Lists!$E:$E,0)),"?"),"")</f>
        <v/>
      </c>
      <c r="V41" s="32">
        <f>IF($AJ41=1,IFERROR(INDEX(Lists!$G:$G,MATCH($C41,Lists!$E:$E,0)),"?"),"")</f>
        <v/>
      </c>
      <c r="W41" s="32">
        <f>IF($AJ41=1,IFERROR(INDEX(Treasuries!$E:$E,MATCH($D41,Treasuries!$A:$A,0)),"؟"),"")</f>
        <v/>
      </c>
      <c r="X41" s="32">
        <f>IF(AND($AJ41=1,$E41&lt;&gt;""),IFERROR(INDEX(Treasuries!$E:$E,MATCH($E41,Treasuries!$A:$A,0)),"؟"),"")</f>
        <v/>
      </c>
      <c r="Y41" s="32">
        <f>IF($AJ41=1,IFERROR(INDEX(Treasuries!$D:$D,MATCH($D41,Treasuries!$A:$A,0)),"؟"),"")</f>
        <v/>
      </c>
      <c r="Z41" s="32">
        <f>IF(AND($AJ41=1,$E41&lt;&gt;""),IFERROR(INDEX(Treasuries!$D:$D,MATCH($E41,Treasuries!$A:$A,0)),"؟"),"")</f>
        <v/>
      </c>
      <c r="AA41" s="44">
        <f>IF($AJ41=1,IF($U41="RCV",$W41,IF($U41="PAY",$F41,IF(OR($U41="TRF",$U41="DEP",$U41="WDR"),$X41,IF($U41="SHT",ACC_CASH_SHORT,IF($U41="OVR",$W41,"؟"))))),"")</f>
        <v/>
      </c>
      <c r="AB41" s="44">
        <f>IF($AJ41=1,IF($U41="RCV",$F41,IF($U41="PAY",$W41,IF(OR($U41="TRF",$U41="DEP",$U41="WDR"),$W41,IF($U41="SHT",$W41,IF($U41="OVR",ACC_CASH_OVER,"؟"))))),"")</f>
        <v/>
      </c>
      <c r="AC41" s="32">
        <f>IF($AJ41=1,IF(OR($U41="TRF",$U41="DEP",$U41="WDR"),$Z41,$Y41),"")</f>
        <v/>
      </c>
      <c r="AD41" s="32">
        <f>IF($AJ41=1,$Y41,"")</f>
        <v/>
      </c>
      <c r="AE41" s="32">
        <f>IF($AJ41=1,IF(OR($U41="PAY",$U41="SHT"),IF($L41="","CC00",$L41),"CC00"),"")</f>
        <v/>
      </c>
      <c r="AF41" s="32">
        <f>IF($AJ41=1,IF(OR($U41="RCV",$U41="OVR"),IF($L41="","CC00",$L41),"CC00"),"")</f>
        <v/>
      </c>
      <c r="AG41" s="32">
        <f>IF($AJ41=1,IF(AND($U41="PAY",$G41&lt;&gt;""),$G41,"-"),"")</f>
        <v/>
      </c>
      <c r="AH41" s="32">
        <f>IF($AJ41=1,IF(AND($U41="RCV",$G41&lt;&gt;""),$G41,"-"),"")</f>
        <v/>
      </c>
      <c r="AI41" s="32">
        <f>IF($AJ41=1,IF(OR($U41="TRF",$U41="DEP",$U41="WDR"),"INTERNAL",IF(OR($U41="RCV",$U41="PAY"),IFERROR(IF(INDEX(COA!$I:$I,MATCH($F41,COA!$A:$A,0))="","OPERATING",INDEX(COA!$I:$I,MATCH($F41,COA!$A:$A,0))),"OPERATING"),"OPERATING")),"")</f>
        <v/>
      </c>
      <c r="AJ41" s="32">
        <f>IF(COUNTA($A41:$T41)&gt;0,1,0)</f>
        <v/>
      </c>
      <c r="AK41" s="32">
        <f>IF($AJ41=0,"",IF($A41="","رقم المستند ناقص",IF(COUNTIF(Doc_Register!$A:$A,$A41)&gt;1,"رقم مستند مكرر في السجل المركزي",IF(LEFT($A41,LEN($V41)+1)&lt;&gt;$V41&amp;"-","بادئة الرقم لا تطابق نوع المستند",IF(NOT(ISNUMBER($B41)),"التاريخ ناقص أو غير صحيح",IF($N41="","حالة المستند ناقصة",IF($O41="","اسم المُعِد ناقص",IF(AND(OR($N41=ST_APPR,$N41=ST_POST),$P41=""),"لا يوجد معتمد",IF(AND($P41&lt;&gt;"",$P41=$O41),"المُعِد والمعتمد نفس الشخص (فصل المهام)",IF(AND($N41=ST_POST,$Q41=""),"اسم المحاسب المرحِّل ناقص",IF(AND($N41=ST_POST,$Q41&lt;&gt;"",OR($Q41=$O41,$Q41=$P41)),"المرحِّل يجب أن يختلف عن المُعِد والمعتمد",IF(AND($N41=ST_REV,$S41=""),"مرجع التصحيح/الإلغاء ناقص",IF(AND(ISNUMBER($B41),OR($N41=ST_DRAFT,$N41=ST_APPR),COUNTIFS(Period_Close!$A:$A,YEAR($B41)*100+MONTH($B41),Period_Close!$B:$B,"مقفلة")&gt;0),"الفترة مقفلة: لا يسمح بمستند جديد",IF($U41="?","نوع السند غير معرف",IF(COUNTIFS(COA!$A:$A,$W41,COA!$R:$R,1)&lt;&gt;1,"الخزينة/البنك غير معرف أو غير صالح",IF(NOT(N($I41)&gt;0),"المبلغ يجب أن يكون أكبر من صفر",IF(AND(OR($U41="TRF",$U41="DEP",$U41="WDR"),$E41=""),"الخزينة المستلمة ناقصة",IF(AND(OR($U41="TRF",$U41="DEP",$U41="WDR"),$E41=$D41),"التحويل إلى نفس الخزينة",IF(AND(OR($U41="TRF",$U41="DEP",$U41="WDR"),COUNTIFS(COA!$A:$A,$X41,COA!$R:$R,1)&lt;&gt;1),"الخزينة المستلمة غير صالحة",IF(AND(OR($U41="RCV",$U41="PAY"),$F41=""),"الحساب المقابل ناقص",IF(AND(OR($U41="RCV",$U41="PAY"),COUNTIFS(COA!$A:$A,$F41,COA!$R:$R,1)&lt;&gt;1),"الحساب المقابل غير صالح أو رئيسي",IF(AND(OR($U41="RCV",$U41="PAY"),IFERROR(INDEX(COA!$H:$H,MATCH($F41,COA!$A:$A,0)),0)=1),"الحساب المقابل نقدي: استخدم تحويل بين الخزائن",IF(AND(OR($U41="RCV",$U41="PAY"),$F41=ACC_SUPPLIERS),"سداد الموردين يتم من Supplier_Payments",IF(AND(OR($U41="RCV",$U41="PAY"),$H41=""),"المستلم/الدافع ناقص",IF(AND(OR($U41="RCV",$U41="PAY"),$J41=""),"طريقة الدفع ناقصة",IF(AND(OR($U41="RCV",$U41="PAY"),OR($F41=ACC_CUSTOMERS,$F41=1501,$F41=1502),$G41=""),"كود الجهة إلزامي لهذا الحساب",IF(AND($F41=ACC_CUSTOMERS,$G41&lt;&gt;"",COUNTIF(Customers!$A:$A,$G41)=0),"كود العميل غير معرف",IF(AND(OR($F41=1501,$F41=1502),$G41&lt;&gt;"",COUNTIF(Employees!$A:$A,$G41)=0),"كود الموظف غير معرف",IF(AND($M41&lt;&gt;"",COUNTIF(Doc_Register!$A:$A,$M41)=0),"المستند المرتبط غير موجود",IF(AND(OR($U41="PAY",$U41="SHT"),NOT(COUNTIF(Cost_Centers!$A:$A,$AE41)&gt;0)),"مركز التكلفة غير معرف",""))))))))))))))))))))))))))))))</f>
        <v/>
      </c>
      <c r="AL41" s="32">
        <f>IF($AJ41=1,IF($AK41&lt;&gt;"",1,0),0)</f>
        <v/>
      </c>
      <c r="AM41" s="32">
        <f>IF(AND($AJ41=1,$AL41=0,$N41=ST_POST),1,0)</f>
        <v/>
      </c>
    </row>
    <row r="42">
      <c r="A42" s="29" t="n"/>
      <c r="B42" s="31" t="n"/>
      <c r="C42" s="29" t="n"/>
      <c r="D42" s="39" t="n"/>
      <c r="E42" s="39" t="n"/>
      <c r="F42" s="39" t="n"/>
      <c r="G42" s="29" t="n"/>
      <c r="H42" s="29" t="n"/>
      <c r="I42" s="42" t="n"/>
      <c r="J42" s="29" t="n"/>
      <c r="K42" s="29" t="n"/>
      <c r="L42" s="39" t="n"/>
      <c r="M42" s="29" t="n"/>
      <c r="N42" s="39" t="n"/>
      <c r="O42" s="29" t="n"/>
      <c r="P42" s="29" t="n"/>
      <c r="Q42" s="29" t="n"/>
      <c r="R42" s="29" t="n"/>
      <c r="S42" s="29" t="n"/>
      <c r="T42" s="29" t="n"/>
      <c r="U42" s="32">
        <f>IF($AJ42=1,IFERROR(INDEX(Lists!$F:$F,MATCH($C42,Lists!$E:$E,0)),"?"),"")</f>
        <v/>
      </c>
      <c r="V42" s="32">
        <f>IF($AJ42=1,IFERROR(INDEX(Lists!$G:$G,MATCH($C42,Lists!$E:$E,0)),"?"),"")</f>
        <v/>
      </c>
      <c r="W42" s="32">
        <f>IF($AJ42=1,IFERROR(INDEX(Treasuries!$E:$E,MATCH($D42,Treasuries!$A:$A,0)),"؟"),"")</f>
        <v/>
      </c>
      <c r="X42" s="32">
        <f>IF(AND($AJ42=1,$E42&lt;&gt;""),IFERROR(INDEX(Treasuries!$E:$E,MATCH($E42,Treasuries!$A:$A,0)),"؟"),"")</f>
        <v/>
      </c>
      <c r="Y42" s="32">
        <f>IF($AJ42=1,IFERROR(INDEX(Treasuries!$D:$D,MATCH($D42,Treasuries!$A:$A,0)),"؟"),"")</f>
        <v/>
      </c>
      <c r="Z42" s="32">
        <f>IF(AND($AJ42=1,$E42&lt;&gt;""),IFERROR(INDEX(Treasuries!$D:$D,MATCH($E42,Treasuries!$A:$A,0)),"؟"),"")</f>
        <v/>
      </c>
      <c r="AA42" s="44">
        <f>IF($AJ42=1,IF($U42="RCV",$W42,IF($U42="PAY",$F42,IF(OR($U42="TRF",$U42="DEP",$U42="WDR"),$X42,IF($U42="SHT",ACC_CASH_SHORT,IF($U42="OVR",$W42,"؟"))))),"")</f>
        <v/>
      </c>
      <c r="AB42" s="44">
        <f>IF($AJ42=1,IF($U42="RCV",$F42,IF($U42="PAY",$W42,IF(OR($U42="TRF",$U42="DEP",$U42="WDR"),$W42,IF($U42="SHT",$W42,IF($U42="OVR",ACC_CASH_OVER,"؟"))))),"")</f>
        <v/>
      </c>
      <c r="AC42" s="32">
        <f>IF($AJ42=1,IF(OR($U42="TRF",$U42="DEP",$U42="WDR"),$Z42,$Y42),"")</f>
        <v/>
      </c>
      <c r="AD42" s="32">
        <f>IF($AJ42=1,$Y42,"")</f>
        <v/>
      </c>
      <c r="AE42" s="32">
        <f>IF($AJ42=1,IF(OR($U42="PAY",$U42="SHT"),IF($L42="","CC00",$L42),"CC00"),"")</f>
        <v/>
      </c>
      <c r="AF42" s="32">
        <f>IF($AJ42=1,IF(OR($U42="RCV",$U42="OVR"),IF($L42="","CC00",$L42),"CC00"),"")</f>
        <v/>
      </c>
      <c r="AG42" s="32">
        <f>IF($AJ42=1,IF(AND($U42="PAY",$G42&lt;&gt;""),$G42,"-"),"")</f>
        <v/>
      </c>
      <c r="AH42" s="32">
        <f>IF($AJ42=1,IF(AND($U42="RCV",$G42&lt;&gt;""),$G42,"-"),"")</f>
        <v/>
      </c>
      <c r="AI42" s="32">
        <f>IF($AJ42=1,IF(OR($U42="TRF",$U42="DEP",$U42="WDR"),"INTERNAL",IF(OR($U42="RCV",$U42="PAY"),IFERROR(IF(INDEX(COA!$I:$I,MATCH($F42,COA!$A:$A,0))="","OPERATING",INDEX(COA!$I:$I,MATCH($F42,COA!$A:$A,0))),"OPERATING"),"OPERATING")),"")</f>
        <v/>
      </c>
      <c r="AJ42" s="32">
        <f>IF(COUNTA($A42:$T42)&gt;0,1,0)</f>
        <v/>
      </c>
      <c r="AK42" s="32">
        <f>IF($AJ42=0,"",IF($A42="","رقم المستند ناقص",IF(COUNTIF(Doc_Register!$A:$A,$A42)&gt;1,"رقم مستند مكرر في السجل المركزي",IF(LEFT($A42,LEN($V42)+1)&lt;&gt;$V42&amp;"-","بادئة الرقم لا تطابق نوع المستند",IF(NOT(ISNUMBER($B42)),"التاريخ ناقص أو غير صحيح",IF($N42="","حالة المستند ناقصة",IF($O42="","اسم المُعِد ناقص",IF(AND(OR($N42=ST_APPR,$N42=ST_POST),$P42=""),"لا يوجد معتمد",IF(AND($P42&lt;&gt;"",$P42=$O42),"المُعِد والمعتمد نفس الشخص (فصل المهام)",IF(AND($N42=ST_POST,$Q42=""),"اسم المحاسب المرحِّل ناقص",IF(AND($N42=ST_POST,$Q42&lt;&gt;"",OR($Q42=$O42,$Q42=$P42)),"المرحِّل يجب أن يختلف عن المُعِد والمعتمد",IF(AND($N42=ST_REV,$S42=""),"مرجع التصحيح/الإلغاء ناقص",IF(AND(ISNUMBER($B42),OR($N42=ST_DRAFT,$N42=ST_APPR),COUNTIFS(Period_Close!$A:$A,YEAR($B42)*100+MONTH($B42),Period_Close!$B:$B,"مقفلة")&gt;0),"الفترة مقفلة: لا يسمح بمستند جديد",IF($U42="?","نوع السند غير معرف",IF(COUNTIFS(COA!$A:$A,$W42,COA!$R:$R,1)&lt;&gt;1,"الخزينة/البنك غير معرف أو غير صالح",IF(NOT(N($I42)&gt;0),"المبلغ يجب أن يكون أكبر من صفر",IF(AND(OR($U42="TRF",$U42="DEP",$U42="WDR"),$E42=""),"الخزينة المستلمة ناقصة",IF(AND(OR($U42="TRF",$U42="DEP",$U42="WDR"),$E42=$D42),"التحويل إلى نفس الخزينة",IF(AND(OR($U42="TRF",$U42="DEP",$U42="WDR"),COUNTIFS(COA!$A:$A,$X42,COA!$R:$R,1)&lt;&gt;1),"الخزينة المستلمة غير صالحة",IF(AND(OR($U42="RCV",$U42="PAY"),$F42=""),"الحساب المقابل ناقص",IF(AND(OR($U42="RCV",$U42="PAY"),COUNTIFS(COA!$A:$A,$F42,COA!$R:$R,1)&lt;&gt;1),"الحساب المقابل غير صالح أو رئيسي",IF(AND(OR($U42="RCV",$U42="PAY"),IFERROR(INDEX(COA!$H:$H,MATCH($F42,COA!$A:$A,0)),0)=1),"الحساب المقابل نقدي: استخدم تحويل بين الخزائن",IF(AND(OR($U42="RCV",$U42="PAY"),$F42=ACC_SUPPLIERS),"سداد الموردين يتم من Supplier_Payments",IF(AND(OR($U42="RCV",$U42="PAY"),$H42=""),"المستلم/الدافع ناقص",IF(AND(OR($U42="RCV",$U42="PAY"),$J42=""),"طريقة الدفع ناقصة",IF(AND(OR($U42="RCV",$U42="PAY"),OR($F42=ACC_CUSTOMERS,$F42=1501,$F42=1502),$G42=""),"كود الجهة إلزامي لهذا الحساب",IF(AND($F42=ACC_CUSTOMERS,$G42&lt;&gt;"",COUNTIF(Customers!$A:$A,$G42)=0),"كود العميل غير معرف",IF(AND(OR($F42=1501,$F42=1502),$G42&lt;&gt;"",COUNTIF(Employees!$A:$A,$G42)=0),"كود الموظف غير معرف",IF(AND($M42&lt;&gt;"",COUNTIF(Doc_Register!$A:$A,$M42)=0),"المستند المرتبط غير موجود",IF(AND(OR($U42="PAY",$U42="SHT"),NOT(COUNTIF(Cost_Centers!$A:$A,$AE42)&gt;0)),"مركز التكلفة غير معرف",""))))))))))))))))))))))))))))))</f>
        <v/>
      </c>
      <c r="AL42" s="32">
        <f>IF($AJ42=1,IF($AK42&lt;&gt;"",1,0),0)</f>
        <v/>
      </c>
      <c r="AM42" s="32">
        <f>IF(AND($AJ42=1,$AL42=0,$N42=ST_POST),1,0)</f>
        <v/>
      </c>
    </row>
    <row r="43">
      <c r="A43" s="29" t="n"/>
      <c r="B43" s="31" t="n"/>
      <c r="C43" s="29" t="n"/>
      <c r="D43" s="39" t="n"/>
      <c r="E43" s="39" t="n"/>
      <c r="F43" s="39" t="n"/>
      <c r="G43" s="29" t="n"/>
      <c r="H43" s="29" t="n"/>
      <c r="I43" s="42" t="n"/>
      <c r="J43" s="29" t="n"/>
      <c r="K43" s="29" t="n"/>
      <c r="L43" s="39" t="n"/>
      <c r="M43" s="29" t="n"/>
      <c r="N43" s="39" t="n"/>
      <c r="O43" s="29" t="n"/>
      <c r="P43" s="29" t="n"/>
      <c r="Q43" s="29" t="n"/>
      <c r="R43" s="29" t="n"/>
      <c r="S43" s="29" t="n"/>
      <c r="T43" s="29" t="n"/>
      <c r="U43" s="32">
        <f>IF($AJ43=1,IFERROR(INDEX(Lists!$F:$F,MATCH($C43,Lists!$E:$E,0)),"?"),"")</f>
        <v/>
      </c>
      <c r="V43" s="32">
        <f>IF($AJ43=1,IFERROR(INDEX(Lists!$G:$G,MATCH($C43,Lists!$E:$E,0)),"?"),"")</f>
        <v/>
      </c>
      <c r="W43" s="32">
        <f>IF($AJ43=1,IFERROR(INDEX(Treasuries!$E:$E,MATCH($D43,Treasuries!$A:$A,0)),"؟"),"")</f>
        <v/>
      </c>
      <c r="X43" s="32">
        <f>IF(AND($AJ43=1,$E43&lt;&gt;""),IFERROR(INDEX(Treasuries!$E:$E,MATCH($E43,Treasuries!$A:$A,0)),"؟"),"")</f>
        <v/>
      </c>
      <c r="Y43" s="32">
        <f>IF($AJ43=1,IFERROR(INDEX(Treasuries!$D:$D,MATCH($D43,Treasuries!$A:$A,0)),"؟"),"")</f>
        <v/>
      </c>
      <c r="Z43" s="32">
        <f>IF(AND($AJ43=1,$E43&lt;&gt;""),IFERROR(INDEX(Treasuries!$D:$D,MATCH($E43,Treasuries!$A:$A,0)),"؟"),"")</f>
        <v/>
      </c>
      <c r="AA43" s="44">
        <f>IF($AJ43=1,IF($U43="RCV",$W43,IF($U43="PAY",$F43,IF(OR($U43="TRF",$U43="DEP",$U43="WDR"),$X43,IF($U43="SHT",ACC_CASH_SHORT,IF($U43="OVR",$W43,"؟"))))),"")</f>
        <v/>
      </c>
      <c r="AB43" s="44">
        <f>IF($AJ43=1,IF($U43="RCV",$F43,IF($U43="PAY",$W43,IF(OR($U43="TRF",$U43="DEP",$U43="WDR"),$W43,IF($U43="SHT",$W43,IF($U43="OVR",ACC_CASH_OVER,"؟"))))),"")</f>
        <v/>
      </c>
      <c r="AC43" s="32">
        <f>IF($AJ43=1,IF(OR($U43="TRF",$U43="DEP",$U43="WDR"),$Z43,$Y43),"")</f>
        <v/>
      </c>
      <c r="AD43" s="32">
        <f>IF($AJ43=1,$Y43,"")</f>
        <v/>
      </c>
      <c r="AE43" s="32">
        <f>IF($AJ43=1,IF(OR($U43="PAY",$U43="SHT"),IF($L43="","CC00",$L43),"CC00"),"")</f>
        <v/>
      </c>
      <c r="AF43" s="32">
        <f>IF($AJ43=1,IF(OR($U43="RCV",$U43="OVR"),IF($L43="","CC00",$L43),"CC00"),"")</f>
        <v/>
      </c>
      <c r="AG43" s="32">
        <f>IF($AJ43=1,IF(AND($U43="PAY",$G43&lt;&gt;""),$G43,"-"),"")</f>
        <v/>
      </c>
      <c r="AH43" s="32">
        <f>IF($AJ43=1,IF(AND($U43="RCV",$G43&lt;&gt;""),$G43,"-"),"")</f>
        <v/>
      </c>
      <c r="AI43" s="32">
        <f>IF($AJ43=1,IF(OR($U43="TRF",$U43="DEP",$U43="WDR"),"INTERNAL",IF(OR($U43="RCV",$U43="PAY"),IFERROR(IF(INDEX(COA!$I:$I,MATCH($F43,COA!$A:$A,0))="","OPERATING",INDEX(COA!$I:$I,MATCH($F43,COA!$A:$A,0))),"OPERATING"),"OPERATING")),"")</f>
        <v/>
      </c>
      <c r="AJ43" s="32">
        <f>IF(COUNTA($A43:$T43)&gt;0,1,0)</f>
        <v/>
      </c>
      <c r="AK43" s="32">
        <f>IF($AJ43=0,"",IF($A43="","رقم المستند ناقص",IF(COUNTIF(Doc_Register!$A:$A,$A43)&gt;1,"رقم مستند مكرر في السجل المركزي",IF(LEFT($A43,LEN($V43)+1)&lt;&gt;$V43&amp;"-","بادئة الرقم لا تطابق نوع المستند",IF(NOT(ISNUMBER($B43)),"التاريخ ناقص أو غير صحيح",IF($N43="","حالة المستند ناقصة",IF($O43="","اسم المُعِد ناقص",IF(AND(OR($N43=ST_APPR,$N43=ST_POST),$P43=""),"لا يوجد معتمد",IF(AND($P43&lt;&gt;"",$P43=$O43),"المُعِد والمعتمد نفس الشخص (فصل المهام)",IF(AND($N43=ST_POST,$Q43=""),"اسم المحاسب المرحِّل ناقص",IF(AND($N43=ST_POST,$Q43&lt;&gt;"",OR($Q43=$O43,$Q43=$P43)),"المرحِّل يجب أن يختلف عن المُعِد والمعتمد",IF(AND($N43=ST_REV,$S43=""),"مرجع التصحيح/الإلغاء ناقص",IF(AND(ISNUMBER($B43),OR($N43=ST_DRAFT,$N43=ST_APPR),COUNTIFS(Period_Close!$A:$A,YEAR($B43)*100+MONTH($B43),Period_Close!$B:$B,"مقفلة")&gt;0),"الفترة مقفلة: لا يسمح بمستند جديد",IF($U43="?","نوع السند غير معرف",IF(COUNTIFS(COA!$A:$A,$W43,COA!$R:$R,1)&lt;&gt;1,"الخزينة/البنك غير معرف أو غير صالح",IF(NOT(N($I43)&gt;0),"المبلغ يجب أن يكون أكبر من صفر",IF(AND(OR($U43="TRF",$U43="DEP",$U43="WDR"),$E43=""),"الخزينة المستلمة ناقصة",IF(AND(OR($U43="TRF",$U43="DEP",$U43="WDR"),$E43=$D43),"التحويل إلى نفس الخزينة",IF(AND(OR($U43="TRF",$U43="DEP",$U43="WDR"),COUNTIFS(COA!$A:$A,$X43,COA!$R:$R,1)&lt;&gt;1),"الخزينة المستلمة غير صالحة",IF(AND(OR($U43="RCV",$U43="PAY"),$F43=""),"الحساب المقابل ناقص",IF(AND(OR($U43="RCV",$U43="PAY"),COUNTIFS(COA!$A:$A,$F43,COA!$R:$R,1)&lt;&gt;1),"الحساب المقابل غير صالح أو رئيسي",IF(AND(OR($U43="RCV",$U43="PAY"),IFERROR(INDEX(COA!$H:$H,MATCH($F43,COA!$A:$A,0)),0)=1),"الحساب المقابل نقدي: استخدم تحويل بين الخزائن",IF(AND(OR($U43="RCV",$U43="PAY"),$F43=ACC_SUPPLIERS),"سداد الموردين يتم من Supplier_Payments",IF(AND(OR($U43="RCV",$U43="PAY"),$H43=""),"المستلم/الدافع ناقص",IF(AND(OR($U43="RCV",$U43="PAY"),$J43=""),"طريقة الدفع ناقصة",IF(AND(OR($U43="RCV",$U43="PAY"),OR($F43=ACC_CUSTOMERS,$F43=1501,$F43=1502),$G43=""),"كود الجهة إلزامي لهذا الحساب",IF(AND($F43=ACC_CUSTOMERS,$G43&lt;&gt;"",COUNTIF(Customers!$A:$A,$G43)=0),"كود العميل غير معرف",IF(AND(OR($F43=1501,$F43=1502),$G43&lt;&gt;"",COUNTIF(Employees!$A:$A,$G43)=0),"كود الموظف غير معرف",IF(AND($M43&lt;&gt;"",COUNTIF(Doc_Register!$A:$A,$M43)=0),"المستند المرتبط غير موجود",IF(AND(OR($U43="PAY",$U43="SHT"),NOT(COUNTIF(Cost_Centers!$A:$A,$AE43)&gt;0)),"مركز التكلفة غير معرف",""))))))))))))))))))))))))))))))</f>
        <v/>
      </c>
      <c r="AL43" s="32">
        <f>IF($AJ43=1,IF($AK43&lt;&gt;"",1,0),0)</f>
        <v/>
      </c>
      <c r="AM43" s="32">
        <f>IF(AND($AJ43=1,$AL43=0,$N43=ST_POST),1,0)</f>
        <v/>
      </c>
    </row>
    <row r="44">
      <c r="A44" s="29" t="n"/>
      <c r="B44" s="31" t="n"/>
      <c r="C44" s="29" t="n"/>
      <c r="D44" s="39" t="n"/>
      <c r="E44" s="39" t="n"/>
      <c r="F44" s="39" t="n"/>
      <c r="G44" s="29" t="n"/>
      <c r="H44" s="29" t="n"/>
      <c r="I44" s="42" t="n"/>
      <c r="J44" s="29" t="n"/>
      <c r="K44" s="29" t="n"/>
      <c r="L44" s="39" t="n"/>
      <c r="M44" s="29" t="n"/>
      <c r="N44" s="39" t="n"/>
      <c r="O44" s="29" t="n"/>
      <c r="P44" s="29" t="n"/>
      <c r="Q44" s="29" t="n"/>
      <c r="R44" s="29" t="n"/>
      <c r="S44" s="29" t="n"/>
      <c r="T44" s="29" t="n"/>
      <c r="U44" s="32">
        <f>IF($AJ44=1,IFERROR(INDEX(Lists!$F:$F,MATCH($C44,Lists!$E:$E,0)),"?"),"")</f>
        <v/>
      </c>
      <c r="V44" s="32">
        <f>IF($AJ44=1,IFERROR(INDEX(Lists!$G:$G,MATCH($C44,Lists!$E:$E,0)),"?"),"")</f>
        <v/>
      </c>
      <c r="W44" s="32">
        <f>IF($AJ44=1,IFERROR(INDEX(Treasuries!$E:$E,MATCH($D44,Treasuries!$A:$A,0)),"؟"),"")</f>
        <v/>
      </c>
      <c r="X44" s="32">
        <f>IF(AND($AJ44=1,$E44&lt;&gt;""),IFERROR(INDEX(Treasuries!$E:$E,MATCH($E44,Treasuries!$A:$A,0)),"؟"),"")</f>
        <v/>
      </c>
      <c r="Y44" s="32">
        <f>IF($AJ44=1,IFERROR(INDEX(Treasuries!$D:$D,MATCH($D44,Treasuries!$A:$A,0)),"؟"),"")</f>
        <v/>
      </c>
      <c r="Z44" s="32">
        <f>IF(AND($AJ44=1,$E44&lt;&gt;""),IFERROR(INDEX(Treasuries!$D:$D,MATCH($E44,Treasuries!$A:$A,0)),"؟"),"")</f>
        <v/>
      </c>
      <c r="AA44" s="44">
        <f>IF($AJ44=1,IF($U44="RCV",$W44,IF($U44="PAY",$F44,IF(OR($U44="TRF",$U44="DEP",$U44="WDR"),$X44,IF($U44="SHT",ACC_CASH_SHORT,IF($U44="OVR",$W44,"؟"))))),"")</f>
        <v/>
      </c>
      <c r="AB44" s="44">
        <f>IF($AJ44=1,IF($U44="RCV",$F44,IF($U44="PAY",$W44,IF(OR($U44="TRF",$U44="DEP",$U44="WDR"),$W44,IF($U44="SHT",$W44,IF($U44="OVR",ACC_CASH_OVER,"؟"))))),"")</f>
        <v/>
      </c>
      <c r="AC44" s="32">
        <f>IF($AJ44=1,IF(OR($U44="TRF",$U44="DEP",$U44="WDR"),$Z44,$Y44),"")</f>
        <v/>
      </c>
      <c r="AD44" s="32">
        <f>IF($AJ44=1,$Y44,"")</f>
        <v/>
      </c>
      <c r="AE44" s="32">
        <f>IF($AJ44=1,IF(OR($U44="PAY",$U44="SHT"),IF($L44="","CC00",$L44),"CC00"),"")</f>
        <v/>
      </c>
      <c r="AF44" s="32">
        <f>IF($AJ44=1,IF(OR($U44="RCV",$U44="OVR"),IF($L44="","CC00",$L44),"CC00"),"")</f>
        <v/>
      </c>
      <c r="AG44" s="32">
        <f>IF($AJ44=1,IF(AND($U44="PAY",$G44&lt;&gt;""),$G44,"-"),"")</f>
        <v/>
      </c>
      <c r="AH44" s="32">
        <f>IF($AJ44=1,IF(AND($U44="RCV",$G44&lt;&gt;""),$G44,"-"),"")</f>
        <v/>
      </c>
      <c r="AI44" s="32">
        <f>IF($AJ44=1,IF(OR($U44="TRF",$U44="DEP",$U44="WDR"),"INTERNAL",IF(OR($U44="RCV",$U44="PAY"),IFERROR(IF(INDEX(COA!$I:$I,MATCH($F44,COA!$A:$A,0))="","OPERATING",INDEX(COA!$I:$I,MATCH($F44,COA!$A:$A,0))),"OPERATING"),"OPERATING")),"")</f>
        <v/>
      </c>
      <c r="AJ44" s="32">
        <f>IF(COUNTA($A44:$T44)&gt;0,1,0)</f>
        <v/>
      </c>
      <c r="AK44" s="32">
        <f>IF($AJ44=0,"",IF($A44="","رقم المستند ناقص",IF(COUNTIF(Doc_Register!$A:$A,$A44)&gt;1,"رقم مستند مكرر في السجل المركزي",IF(LEFT($A44,LEN($V44)+1)&lt;&gt;$V44&amp;"-","بادئة الرقم لا تطابق نوع المستند",IF(NOT(ISNUMBER($B44)),"التاريخ ناقص أو غير صحيح",IF($N44="","حالة المستند ناقصة",IF($O44="","اسم المُعِد ناقص",IF(AND(OR($N44=ST_APPR,$N44=ST_POST),$P44=""),"لا يوجد معتمد",IF(AND($P44&lt;&gt;"",$P44=$O44),"المُعِد والمعتمد نفس الشخص (فصل المهام)",IF(AND($N44=ST_POST,$Q44=""),"اسم المحاسب المرحِّل ناقص",IF(AND($N44=ST_POST,$Q44&lt;&gt;"",OR($Q44=$O44,$Q44=$P44)),"المرحِّل يجب أن يختلف عن المُعِد والمعتمد",IF(AND($N44=ST_REV,$S44=""),"مرجع التصحيح/الإلغاء ناقص",IF(AND(ISNUMBER($B44),OR($N44=ST_DRAFT,$N44=ST_APPR),COUNTIFS(Period_Close!$A:$A,YEAR($B44)*100+MONTH($B44),Period_Close!$B:$B,"مقفلة")&gt;0),"الفترة مقفلة: لا يسمح بمستند جديد",IF($U44="?","نوع السند غير معرف",IF(COUNTIFS(COA!$A:$A,$W44,COA!$R:$R,1)&lt;&gt;1,"الخزينة/البنك غير معرف أو غير صالح",IF(NOT(N($I44)&gt;0),"المبلغ يجب أن يكون أكبر من صفر",IF(AND(OR($U44="TRF",$U44="DEP",$U44="WDR"),$E44=""),"الخزينة المستلمة ناقصة",IF(AND(OR($U44="TRF",$U44="DEP",$U44="WDR"),$E44=$D44),"التحويل إلى نفس الخزينة",IF(AND(OR($U44="TRF",$U44="DEP",$U44="WDR"),COUNTIFS(COA!$A:$A,$X44,COA!$R:$R,1)&lt;&gt;1),"الخزينة المستلمة غير صالحة",IF(AND(OR($U44="RCV",$U44="PAY"),$F44=""),"الحساب المقابل ناقص",IF(AND(OR($U44="RCV",$U44="PAY"),COUNTIFS(COA!$A:$A,$F44,COA!$R:$R,1)&lt;&gt;1),"الحساب المقابل غير صالح أو رئيسي",IF(AND(OR($U44="RCV",$U44="PAY"),IFERROR(INDEX(COA!$H:$H,MATCH($F44,COA!$A:$A,0)),0)=1),"الحساب المقابل نقدي: استخدم تحويل بين الخزائن",IF(AND(OR($U44="RCV",$U44="PAY"),$F44=ACC_SUPPLIERS),"سداد الموردين يتم من Supplier_Payments",IF(AND(OR($U44="RCV",$U44="PAY"),$H44=""),"المستلم/الدافع ناقص",IF(AND(OR($U44="RCV",$U44="PAY"),$J44=""),"طريقة الدفع ناقصة",IF(AND(OR($U44="RCV",$U44="PAY"),OR($F44=ACC_CUSTOMERS,$F44=1501,$F44=1502),$G44=""),"كود الجهة إلزامي لهذا الحساب",IF(AND($F44=ACC_CUSTOMERS,$G44&lt;&gt;"",COUNTIF(Customers!$A:$A,$G44)=0),"كود العميل غير معرف",IF(AND(OR($F44=1501,$F44=1502),$G44&lt;&gt;"",COUNTIF(Employees!$A:$A,$G44)=0),"كود الموظف غير معرف",IF(AND($M44&lt;&gt;"",COUNTIF(Doc_Register!$A:$A,$M44)=0),"المستند المرتبط غير موجود",IF(AND(OR($U44="PAY",$U44="SHT"),NOT(COUNTIF(Cost_Centers!$A:$A,$AE44)&gt;0)),"مركز التكلفة غير معرف",""))))))))))))))))))))))))))))))</f>
        <v/>
      </c>
      <c r="AL44" s="32">
        <f>IF($AJ44=1,IF($AK44&lt;&gt;"",1,0),0)</f>
        <v/>
      </c>
      <c r="AM44" s="32">
        <f>IF(AND($AJ44=1,$AL44=0,$N44=ST_POST),1,0)</f>
        <v/>
      </c>
    </row>
    <row r="45">
      <c r="A45" s="29" t="n"/>
      <c r="B45" s="31" t="n"/>
      <c r="C45" s="29" t="n"/>
      <c r="D45" s="39" t="n"/>
      <c r="E45" s="39" t="n"/>
      <c r="F45" s="39" t="n"/>
      <c r="G45" s="29" t="n"/>
      <c r="H45" s="29" t="n"/>
      <c r="I45" s="42" t="n"/>
      <c r="J45" s="29" t="n"/>
      <c r="K45" s="29" t="n"/>
      <c r="L45" s="39" t="n"/>
      <c r="M45" s="29" t="n"/>
      <c r="N45" s="39" t="n"/>
      <c r="O45" s="29" t="n"/>
      <c r="P45" s="29" t="n"/>
      <c r="Q45" s="29" t="n"/>
      <c r="R45" s="29" t="n"/>
      <c r="S45" s="29" t="n"/>
      <c r="T45" s="29" t="n"/>
      <c r="U45" s="32">
        <f>IF($AJ45=1,IFERROR(INDEX(Lists!$F:$F,MATCH($C45,Lists!$E:$E,0)),"?"),"")</f>
        <v/>
      </c>
      <c r="V45" s="32">
        <f>IF($AJ45=1,IFERROR(INDEX(Lists!$G:$G,MATCH($C45,Lists!$E:$E,0)),"?"),"")</f>
        <v/>
      </c>
      <c r="W45" s="32">
        <f>IF($AJ45=1,IFERROR(INDEX(Treasuries!$E:$E,MATCH($D45,Treasuries!$A:$A,0)),"؟"),"")</f>
        <v/>
      </c>
      <c r="X45" s="32">
        <f>IF(AND($AJ45=1,$E45&lt;&gt;""),IFERROR(INDEX(Treasuries!$E:$E,MATCH($E45,Treasuries!$A:$A,0)),"؟"),"")</f>
        <v/>
      </c>
      <c r="Y45" s="32">
        <f>IF($AJ45=1,IFERROR(INDEX(Treasuries!$D:$D,MATCH($D45,Treasuries!$A:$A,0)),"؟"),"")</f>
        <v/>
      </c>
      <c r="Z45" s="32">
        <f>IF(AND($AJ45=1,$E45&lt;&gt;""),IFERROR(INDEX(Treasuries!$D:$D,MATCH($E45,Treasuries!$A:$A,0)),"؟"),"")</f>
        <v/>
      </c>
      <c r="AA45" s="44">
        <f>IF($AJ45=1,IF($U45="RCV",$W45,IF($U45="PAY",$F45,IF(OR($U45="TRF",$U45="DEP",$U45="WDR"),$X45,IF($U45="SHT",ACC_CASH_SHORT,IF($U45="OVR",$W45,"؟"))))),"")</f>
        <v/>
      </c>
      <c r="AB45" s="44">
        <f>IF($AJ45=1,IF($U45="RCV",$F45,IF($U45="PAY",$W45,IF(OR($U45="TRF",$U45="DEP",$U45="WDR"),$W45,IF($U45="SHT",$W45,IF($U45="OVR",ACC_CASH_OVER,"؟"))))),"")</f>
        <v/>
      </c>
      <c r="AC45" s="32">
        <f>IF($AJ45=1,IF(OR($U45="TRF",$U45="DEP",$U45="WDR"),$Z45,$Y45),"")</f>
        <v/>
      </c>
      <c r="AD45" s="32">
        <f>IF($AJ45=1,$Y45,"")</f>
        <v/>
      </c>
      <c r="AE45" s="32">
        <f>IF($AJ45=1,IF(OR($U45="PAY",$U45="SHT"),IF($L45="","CC00",$L45),"CC00"),"")</f>
        <v/>
      </c>
      <c r="AF45" s="32">
        <f>IF($AJ45=1,IF(OR($U45="RCV",$U45="OVR"),IF($L45="","CC00",$L45),"CC00"),"")</f>
        <v/>
      </c>
      <c r="AG45" s="32">
        <f>IF($AJ45=1,IF(AND($U45="PAY",$G45&lt;&gt;""),$G45,"-"),"")</f>
        <v/>
      </c>
      <c r="AH45" s="32">
        <f>IF($AJ45=1,IF(AND($U45="RCV",$G45&lt;&gt;""),$G45,"-"),"")</f>
        <v/>
      </c>
      <c r="AI45" s="32">
        <f>IF($AJ45=1,IF(OR($U45="TRF",$U45="DEP",$U45="WDR"),"INTERNAL",IF(OR($U45="RCV",$U45="PAY"),IFERROR(IF(INDEX(COA!$I:$I,MATCH($F45,COA!$A:$A,0))="","OPERATING",INDEX(COA!$I:$I,MATCH($F45,COA!$A:$A,0))),"OPERATING"),"OPERATING")),"")</f>
        <v/>
      </c>
      <c r="AJ45" s="32">
        <f>IF(COUNTA($A45:$T45)&gt;0,1,0)</f>
        <v/>
      </c>
      <c r="AK45" s="32">
        <f>IF($AJ45=0,"",IF($A45="","رقم المستند ناقص",IF(COUNTIF(Doc_Register!$A:$A,$A45)&gt;1,"رقم مستند مكرر في السجل المركزي",IF(LEFT($A45,LEN($V45)+1)&lt;&gt;$V45&amp;"-","بادئة الرقم لا تطابق نوع المستند",IF(NOT(ISNUMBER($B45)),"التاريخ ناقص أو غير صحيح",IF($N45="","حالة المستند ناقصة",IF($O45="","اسم المُعِد ناقص",IF(AND(OR($N45=ST_APPR,$N45=ST_POST),$P45=""),"لا يوجد معتمد",IF(AND($P45&lt;&gt;"",$P45=$O45),"المُعِد والمعتمد نفس الشخص (فصل المهام)",IF(AND($N45=ST_POST,$Q45=""),"اسم المحاسب المرحِّل ناقص",IF(AND($N45=ST_POST,$Q45&lt;&gt;"",OR($Q45=$O45,$Q45=$P45)),"المرحِّل يجب أن يختلف عن المُعِد والمعتمد",IF(AND($N45=ST_REV,$S45=""),"مرجع التصحيح/الإلغاء ناقص",IF(AND(ISNUMBER($B45),OR($N45=ST_DRAFT,$N45=ST_APPR),COUNTIFS(Period_Close!$A:$A,YEAR($B45)*100+MONTH($B45),Period_Close!$B:$B,"مقفلة")&gt;0),"الفترة مقفلة: لا يسمح بمستند جديد",IF($U45="?","نوع السند غير معرف",IF(COUNTIFS(COA!$A:$A,$W45,COA!$R:$R,1)&lt;&gt;1,"الخزينة/البنك غير معرف أو غير صالح",IF(NOT(N($I45)&gt;0),"المبلغ يجب أن يكون أكبر من صفر",IF(AND(OR($U45="TRF",$U45="DEP",$U45="WDR"),$E45=""),"الخزينة المستلمة ناقصة",IF(AND(OR($U45="TRF",$U45="DEP",$U45="WDR"),$E45=$D45),"التحويل إلى نفس الخزينة",IF(AND(OR($U45="TRF",$U45="DEP",$U45="WDR"),COUNTIFS(COA!$A:$A,$X45,COA!$R:$R,1)&lt;&gt;1),"الخزينة المستلمة غير صالحة",IF(AND(OR($U45="RCV",$U45="PAY"),$F45=""),"الحساب المقابل ناقص",IF(AND(OR($U45="RCV",$U45="PAY"),COUNTIFS(COA!$A:$A,$F45,COA!$R:$R,1)&lt;&gt;1),"الحساب المقابل غير صالح أو رئيسي",IF(AND(OR($U45="RCV",$U45="PAY"),IFERROR(INDEX(COA!$H:$H,MATCH($F45,COA!$A:$A,0)),0)=1),"الحساب المقابل نقدي: استخدم تحويل بين الخزائن",IF(AND(OR($U45="RCV",$U45="PAY"),$F45=ACC_SUPPLIERS),"سداد الموردين يتم من Supplier_Payments",IF(AND(OR($U45="RCV",$U45="PAY"),$H45=""),"المستلم/الدافع ناقص",IF(AND(OR($U45="RCV",$U45="PAY"),$J45=""),"طريقة الدفع ناقصة",IF(AND(OR($U45="RCV",$U45="PAY"),OR($F45=ACC_CUSTOMERS,$F45=1501,$F45=1502),$G45=""),"كود الجهة إلزامي لهذا الحساب",IF(AND($F45=ACC_CUSTOMERS,$G45&lt;&gt;"",COUNTIF(Customers!$A:$A,$G45)=0),"كود العميل غير معرف",IF(AND(OR($F45=1501,$F45=1502),$G45&lt;&gt;"",COUNTIF(Employees!$A:$A,$G45)=0),"كود الموظف غير معرف",IF(AND($M45&lt;&gt;"",COUNTIF(Doc_Register!$A:$A,$M45)=0),"المستند المرتبط غير موجود",IF(AND(OR($U45="PAY",$U45="SHT"),NOT(COUNTIF(Cost_Centers!$A:$A,$AE45)&gt;0)),"مركز التكلفة غير معرف",""))))))))))))))))))))))))))))))</f>
        <v/>
      </c>
      <c r="AL45" s="32">
        <f>IF($AJ45=1,IF($AK45&lt;&gt;"",1,0),0)</f>
        <v/>
      </c>
      <c r="AM45" s="32">
        <f>IF(AND($AJ45=1,$AL45=0,$N45=ST_POST),1,0)</f>
        <v/>
      </c>
    </row>
    <row r="46">
      <c r="A46" s="29" t="n"/>
      <c r="B46" s="31" t="n"/>
      <c r="C46" s="29" t="n"/>
      <c r="D46" s="39" t="n"/>
      <c r="E46" s="39" t="n"/>
      <c r="F46" s="39" t="n"/>
      <c r="G46" s="29" t="n"/>
      <c r="H46" s="29" t="n"/>
      <c r="I46" s="42" t="n"/>
      <c r="J46" s="29" t="n"/>
      <c r="K46" s="29" t="n"/>
      <c r="L46" s="39" t="n"/>
      <c r="M46" s="29" t="n"/>
      <c r="N46" s="39" t="n"/>
      <c r="O46" s="29" t="n"/>
      <c r="P46" s="29" t="n"/>
      <c r="Q46" s="29" t="n"/>
      <c r="R46" s="29" t="n"/>
      <c r="S46" s="29" t="n"/>
      <c r="T46" s="29" t="n"/>
      <c r="U46" s="32">
        <f>IF($AJ46=1,IFERROR(INDEX(Lists!$F:$F,MATCH($C46,Lists!$E:$E,0)),"?"),"")</f>
        <v/>
      </c>
      <c r="V46" s="32">
        <f>IF($AJ46=1,IFERROR(INDEX(Lists!$G:$G,MATCH($C46,Lists!$E:$E,0)),"?"),"")</f>
        <v/>
      </c>
      <c r="W46" s="32">
        <f>IF($AJ46=1,IFERROR(INDEX(Treasuries!$E:$E,MATCH($D46,Treasuries!$A:$A,0)),"؟"),"")</f>
        <v/>
      </c>
      <c r="X46" s="32">
        <f>IF(AND($AJ46=1,$E46&lt;&gt;""),IFERROR(INDEX(Treasuries!$E:$E,MATCH($E46,Treasuries!$A:$A,0)),"؟"),"")</f>
        <v/>
      </c>
      <c r="Y46" s="32">
        <f>IF($AJ46=1,IFERROR(INDEX(Treasuries!$D:$D,MATCH($D46,Treasuries!$A:$A,0)),"؟"),"")</f>
        <v/>
      </c>
      <c r="Z46" s="32">
        <f>IF(AND($AJ46=1,$E46&lt;&gt;""),IFERROR(INDEX(Treasuries!$D:$D,MATCH($E46,Treasuries!$A:$A,0)),"؟"),"")</f>
        <v/>
      </c>
      <c r="AA46" s="44">
        <f>IF($AJ46=1,IF($U46="RCV",$W46,IF($U46="PAY",$F46,IF(OR($U46="TRF",$U46="DEP",$U46="WDR"),$X46,IF($U46="SHT",ACC_CASH_SHORT,IF($U46="OVR",$W46,"؟"))))),"")</f>
        <v/>
      </c>
      <c r="AB46" s="44">
        <f>IF($AJ46=1,IF($U46="RCV",$F46,IF($U46="PAY",$W46,IF(OR($U46="TRF",$U46="DEP",$U46="WDR"),$W46,IF($U46="SHT",$W46,IF($U46="OVR",ACC_CASH_OVER,"؟"))))),"")</f>
        <v/>
      </c>
      <c r="AC46" s="32">
        <f>IF($AJ46=1,IF(OR($U46="TRF",$U46="DEP",$U46="WDR"),$Z46,$Y46),"")</f>
        <v/>
      </c>
      <c r="AD46" s="32">
        <f>IF($AJ46=1,$Y46,"")</f>
        <v/>
      </c>
      <c r="AE46" s="32">
        <f>IF($AJ46=1,IF(OR($U46="PAY",$U46="SHT"),IF($L46="","CC00",$L46),"CC00"),"")</f>
        <v/>
      </c>
      <c r="AF46" s="32">
        <f>IF($AJ46=1,IF(OR($U46="RCV",$U46="OVR"),IF($L46="","CC00",$L46),"CC00"),"")</f>
        <v/>
      </c>
      <c r="AG46" s="32">
        <f>IF($AJ46=1,IF(AND($U46="PAY",$G46&lt;&gt;""),$G46,"-"),"")</f>
        <v/>
      </c>
      <c r="AH46" s="32">
        <f>IF($AJ46=1,IF(AND($U46="RCV",$G46&lt;&gt;""),$G46,"-"),"")</f>
        <v/>
      </c>
      <c r="AI46" s="32">
        <f>IF($AJ46=1,IF(OR($U46="TRF",$U46="DEP",$U46="WDR"),"INTERNAL",IF(OR($U46="RCV",$U46="PAY"),IFERROR(IF(INDEX(COA!$I:$I,MATCH($F46,COA!$A:$A,0))="","OPERATING",INDEX(COA!$I:$I,MATCH($F46,COA!$A:$A,0))),"OPERATING"),"OPERATING")),"")</f>
        <v/>
      </c>
      <c r="AJ46" s="32">
        <f>IF(COUNTA($A46:$T46)&gt;0,1,0)</f>
        <v/>
      </c>
      <c r="AK46" s="32">
        <f>IF($AJ46=0,"",IF($A46="","رقم المستند ناقص",IF(COUNTIF(Doc_Register!$A:$A,$A46)&gt;1,"رقم مستند مكرر في السجل المركزي",IF(LEFT($A46,LEN($V46)+1)&lt;&gt;$V46&amp;"-","بادئة الرقم لا تطابق نوع المستند",IF(NOT(ISNUMBER($B46)),"التاريخ ناقص أو غير صحيح",IF($N46="","حالة المستند ناقصة",IF($O46="","اسم المُعِد ناقص",IF(AND(OR($N46=ST_APPR,$N46=ST_POST),$P46=""),"لا يوجد معتمد",IF(AND($P46&lt;&gt;"",$P46=$O46),"المُعِد والمعتمد نفس الشخص (فصل المهام)",IF(AND($N46=ST_POST,$Q46=""),"اسم المحاسب المرحِّل ناقص",IF(AND($N46=ST_POST,$Q46&lt;&gt;"",OR($Q46=$O46,$Q46=$P46)),"المرحِّل يجب أن يختلف عن المُعِد والمعتمد",IF(AND($N46=ST_REV,$S46=""),"مرجع التصحيح/الإلغاء ناقص",IF(AND(ISNUMBER($B46),OR($N46=ST_DRAFT,$N46=ST_APPR),COUNTIFS(Period_Close!$A:$A,YEAR($B46)*100+MONTH($B46),Period_Close!$B:$B,"مقفلة")&gt;0),"الفترة مقفلة: لا يسمح بمستند جديد",IF($U46="?","نوع السند غير معرف",IF(COUNTIFS(COA!$A:$A,$W46,COA!$R:$R,1)&lt;&gt;1,"الخزينة/البنك غير معرف أو غير صالح",IF(NOT(N($I46)&gt;0),"المبلغ يجب أن يكون أكبر من صفر",IF(AND(OR($U46="TRF",$U46="DEP",$U46="WDR"),$E46=""),"الخزينة المستلمة ناقصة",IF(AND(OR($U46="TRF",$U46="DEP",$U46="WDR"),$E46=$D46),"التحويل إلى نفس الخزينة",IF(AND(OR($U46="TRF",$U46="DEP",$U46="WDR"),COUNTIFS(COA!$A:$A,$X46,COA!$R:$R,1)&lt;&gt;1),"الخزينة المستلمة غير صالحة",IF(AND(OR($U46="RCV",$U46="PAY"),$F46=""),"الحساب المقابل ناقص",IF(AND(OR($U46="RCV",$U46="PAY"),COUNTIFS(COA!$A:$A,$F46,COA!$R:$R,1)&lt;&gt;1),"الحساب المقابل غير صالح أو رئيسي",IF(AND(OR($U46="RCV",$U46="PAY"),IFERROR(INDEX(COA!$H:$H,MATCH($F46,COA!$A:$A,0)),0)=1),"الحساب المقابل نقدي: استخدم تحويل بين الخزائن",IF(AND(OR($U46="RCV",$U46="PAY"),$F46=ACC_SUPPLIERS),"سداد الموردين يتم من Supplier_Payments",IF(AND(OR($U46="RCV",$U46="PAY"),$H46=""),"المستلم/الدافع ناقص",IF(AND(OR($U46="RCV",$U46="PAY"),$J46=""),"طريقة الدفع ناقصة",IF(AND(OR($U46="RCV",$U46="PAY"),OR($F46=ACC_CUSTOMERS,$F46=1501,$F46=1502),$G46=""),"كود الجهة إلزامي لهذا الحساب",IF(AND($F46=ACC_CUSTOMERS,$G46&lt;&gt;"",COUNTIF(Customers!$A:$A,$G46)=0),"كود العميل غير معرف",IF(AND(OR($F46=1501,$F46=1502),$G46&lt;&gt;"",COUNTIF(Employees!$A:$A,$G46)=0),"كود الموظف غير معرف",IF(AND($M46&lt;&gt;"",COUNTIF(Doc_Register!$A:$A,$M46)=0),"المستند المرتبط غير موجود",IF(AND(OR($U46="PAY",$U46="SHT"),NOT(COUNTIF(Cost_Centers!$A:$A,$AE46)&gt;0)),"مركز التكلفة غير معرف",""))))))))))))))))))))))))))))))</f>
        <v/>
      </c>
      <c r="AL46" s="32">
        <f>IF($AJ46=1,IF($AK46&lt;&gt;"",1,0),0)</f>
        <v/>
      </c>
      <c r="AM46" s="32">
        <f>IF(AND($AJ46=1,$AL46=0,$N46=ST_POST),1,0)</f>
        <v/>
      </c>
    </row>
    <row r="47">
      <c r="A47" s="29" t="n"/>
      <c r="B47" s="31" t="n"/>
      <c r="C47" s="29" t="n"/>
      <c r="D47" s="39" t="n"/>
      <c r="E47" s="39" t="n"/>
      <c r="F47" s="39" t="n"/>
      <c r="G47" s="29" t="n"/>
      <c r="H47" s="29" t="n"/>
      <c r="I47" s="42" t="n"/>
      <c r="J47" s="29" t="n"/>
      <c r="K47" s="29" t="n"/>
      <c r="L47" s="39" t="n"/>
      <c r="M47" s="29" t="n"/>
      <c r="N47" s="39" t="n"/>
      <c r="O47" s="29" t="n"/>
      <c r="P47" s="29" t="n"/>
      <c r="Q47" s="29" t="n"/>
      <c r="R47" s="29" t="n"/>
      <c r="S47" s="29" t="n"/>
      <c r="T47" s="29" t="n"/>
      <c r="U47" s="32">
        <f>IF($AJ47=1,IFERROR(INDEX(Lists!$F:$F,MATCH($C47,Lists!$E:$E,0)),"?"),"")</f>
        <v/>
      </c>
      <c r="V47" s="32">
        <f>IF($AJ47=1,IFERROR(INDEX(Lists!$G:$G,MATCH($C47,Lists!$E:$E,0)),"?"),"")</f>
        <v/>
      </c>
      <c r="W47" s="32">
        <f>IF($AJ47=1,IFERROR(INDEX(Treasuries!$E:$E,MATCH($D47,Treasuries!$A:$A,0)),"؟"),"")</f>
        <v/>
      </c>
      <c r="X47" s="32">
        <f>IF(AND($AJ47=1,$E47&lt;&gt;""),IFERROR(INDEX(Treasuries!$E:$E,MATCH($E47,Treasuries!$A:$A,0)),"؟"),"")</f>
        <v/>
      </c>
      <c r="Y47" s="32">
        <f>IF($AJ47=1,IFERROR(INDEX(Treasuries!$D:$D,MATCH($D47,Treasuries!$A:$A,0)),"؟"),"")</f>
        <v/>
      </c>
      <c r="Z47" s="32">
        <f>IF(AND($AJ47=1,$E47&lt;&gt;""),IFERROR(INDEX(Treasuries!$D:$D,MATCH($E47,Treasuries!$A:$A,0)),"؟"),"")</f>
        <v/>
      </c>
      <c r="AA47" s="44">
        <f>IF($AJ47=1,IF($U47="RCV",$W47,IF($U47="PAY",$F47,IF(OR($U47="TRF",$U47="DEP",$U47="WDR"),$X47,IF($U47="SHT",ACC_CASH_SHORT,IF($U47="OVR",$W47,"؟"))))),"")</f>
        <v/>
      </c>
      <c r="AB47" s="44">
        <f>IF($AJ47=1,IF($U47="RCV",$F47,IF($U47="PAY",$W47,IF(OR($U47="TRF",$U47="DEP",$U47="WDR"),$W47,IF($U47="SHT",$W47,IF($U47="OVR",ACC_CASH_OVER,"؟"))))),"")</f>
        <v/>
      </c>
      <c r="AC47" s="32">
        <f>IF($AJ47=1,IF(OR($U47="TRF",$U47="DEP",$U47="WDR"),$Z47,$Y47),"")</f>
        <v/>
      </c>
      <c r="AD47" s="32">
        <f>IF($AJ47=1,$Y47,"")</f>
        <v/>
      </c>
      <c r="AE47" s="32">
        <f>IF($AJ47=1,IF(OR($U47="PAY",$U47="SHT"),IF($L47="","CC00",$L47),"CC00"),"")</f>
        <v/>
      </c>
      <c r="AF47" s="32">
        <f>IF($AJ47=1,IF(OR($U47="RCV",$U47="OVR"),IF($L47="","CC00",$L47),"CC00"),"")</f>
        <v/>
      </c>
      <c r="AG47" s="32">
        <f>IF($AJ47=1,IF(AND($U47="PAY",$G47&lt;&gt;""),$G47,"-"),"")</f>
        <v/>
      </c>
      <c r="AH47" s="32">
        <f>IF($AJ47=1,IF(AND($U47="RCV",$G47&lt;&gt;""),$G47,"-"),"")</f>
        <v/>
      </c>
      <c r="AI47" s="32">
        <f>IF($AJ47=1,IF(OR($U47="TRF",$U47="DEP",$U47="WDR"),"INTERNAL",IF(OR($U47="RCV",$U47="PAY"),IFERROR(IF(INDEX(COA!$I:$I,MATCH($F47,COA!$A:$A,0))="","OPERATING",INDEX(COA!$I:$I,MATCH($F47,COA!$A:$A,0))),"OPERATING"),"OPERATING")),"")</f>
        <v/>
      </c>
      <c r="AJ47" s="32">
        <f>IF(COUNTA($A47:$T47)&gt;0,1,0)</f>
        <v/>
      </c>
      <c r="AK47" s="32">
        <f>IF($AJ47=0,"",IF($A47="","رقم المستند ناقص",IF(COUNTIF(Doc_Register!$A:$A,$A47)&gt;1,"رقم مستند مكرر في السجل المركزي",IF(LEFT($A47,LEN($V47)+1)&lt;&gt;$V47&amp;"-","بادئة الرقم لا تطابق نوع المستند",IF(NOT(ISNUMBER($B47)),"التاريخ ناقص أو غير صحيح",IF($N47="","حالة المستند ناقصة",IF($O47="","اسم المُعِد ناقص",IF(AND(OR($N47=ST_APPR,$N47=ST_POST),$P47=""),"لا يوجد معتمد",IF(AND($P47&lt;&gt;"",$P47=$O47),"المُعِد والمعتمد نفس الشخص (فصل المهام)",IF(AND($N47=ST_POST,$Q47=""),"اسم المحاسب المرحِّل ناقص",IF(AND($N47=ST_POST,$Q47&lt;&gt;"",OR($Q47=$O47,$Q47=$P47)),"المرحِّل يجب أن يختلف عن المُعِد والمعتمد",IF(AND($N47=ST_REV,$S47=""),"مرجع التصحيح/الإلغاء ناقص",IF(AND(ISNUMBER($B47),OR($N47=ST_DRAFT,$N47=ST_APPR),COUNTIFS(Period_Close!$A:$A,YEAR($B47)*100+MONTH($B47),Period_Close!$B:$B,"مقفلة")&gt;0),"الفترة مقفلة: لا يسمح بمستند جديد",IF($U47="?","نوع السند غير معرف",IF(COUNTIFS(COA!$A:$A,$W47,COA!$R:$R,1)&lt;&gt;1,"الخزينة/البنك غير معرف أو غير صالح",IF(NOT(N($I47)&gt;0),"المبلغ يجب أن يكون أكبر من صفر",IF(AND(OR($U47="TRF",$U47="DEP",$U47="WDR"),$E47=""),"الخزينة المستلمة ناقصة",IF(AND(OR($U47="TRF",$U47="DEP",$U47="WDR"),$E47=$D47),"التحويل إلى نفس الخزينة",IF(AND(OR($U47="TRF",$U47="DEP",$U47="WDR"),COUNTIFS(COA!$A:$A,$X47,COA!$R:$R,1)&lt;&gt;1),"الخزينة المستلمة غير صالحة",IF(AND(OR($U47="RCV",$U47="PAY"),$F47=""),"الحساب المقابل ناقص",IF(AND(OR($U47="RCV",$U47="PAY"),COUNTIFS(COA!$A:$A,$F47,COA!$R:$R,1)&lt;&gt;1),"الحساب المقابل غير صالح أو رئيسي",IF(AND(OR($U47="RCV",$U47="PAY"),IFERROR(INDEX(COA!$H:$H,MATCH($F47,COA!$A:$A,0)),0)=1),"الحساب المقابل نقدي: استخدم تحويل بين الخزائن",IF(AND(OR($U47="RCV",$U47="PAY"),$F47=ACC_SUPPLIERS),"سداد الموردين يتم من Supplier_Payments",IF(AND(OR($U47="RCV",$U47="PAY"),$H47=""),"المستلم/الدافع ناقص",IF(AND(OR($U47="RCV",$U47="PAY"),$J47=""),"طريقة الدفع ناقصة",IF(AND(OR($U47="RCV",$U47="PAY"),OR($F47=ACC_CUSTOMERS,$F47=1501,$F47=1502),$G47=""),"كود الجهة إلزامي لهذا الحساب",IF(AND($F47=ACC_CUSTOMERS,$G47&lt;&gt;"",COUNTIF(Customers!$A:$A,$G47)=0),"كود العميل غير معرف",IF(AND(OR($F47=1501,$F47=1502),$G47&lt;&gt;"",COUNTIF(Employees!$A:$A,$G47)=0),"كود الموظف غير معرف",IF(AND($M47&lt;&gt;"",COUNTIF(Doc_Register!$A:$A,$M47)=0),"المستند المرتبط غير موجود",IF(AND(OR($U47="PAY",$U47="SHT"),NOT(COUNTIF(Cost_Centers!$A:$A,$AE47)&gt;0)),"مركز التكلفة غير معرف",""))))))))))))))))))))))))))))))</f>
        <v/>
      </c>
      <c r="AL47" s="32">
        <f>IF($AJ47=1,IF($AK47&lt;&gt;"",1,0),0)</f>
        <v/>
      </c>
      <c r="AM47" s="32">
        <f>IF(AND($AJ47=1,$AL47=0,$N47=ST_POST),1,0)</f>
        <v/>
      </c>
    </row>
    <row r="48">
      <c r="A48" s="29" t="n"/>
      <c r="B48" s="31" t="n"/>
      <c r="C48" s="29" t="n"/>
      <c r="D48" s="39" t="n"/>
      <c r="E48" s="39" t="n"/>
      <c r="F48" s="39" t="n"/>
      <c r="G48" s="29" t="n"/>
      <c r="H48" s="29" t="n"/>
      <c r="I48" s="42" t="n"/>
      <c r="J48" s="29" t="n"/>
      <c r="K48" s="29" t="n"/>
      <c r="L48" s="39" t="n"/>
      <c r="M48" s="29" t="n"/>
      <c r="N48" s="39" t="n"/>
      <c r="O48" s="29" t="n"/>
      <c r="P48" s="29" t="n"/>
      <c r="Q48" s="29" t="n"/>
      <c r="R48" s="29" t="n"/>
      <c r="S48" s="29" t="n"/>
      <c r="T48" s="29" t="n"/>
      <c r="U48" s="32">
        <f>IF($AJ48=1,IFERROR(INDEX(Lists!$F:$F,MATCH($C48,Lists!$E:$E,0)),"?"),"")</f>
        <v/>
      </c>
      <c r="V48" s="32">
        <f>IF($AJ48=1,IFERROR(INDEX(Lists!$G:$G,MATCH($C48,Lists!$E:$E,0)),"?"),"")</f>
        <v/>
      </c>
      <c r="W48" s="32">
        <f>IF($AJ48=1,IFERROR(INDEX(Treasuries!$E:$E,MATCH($D48,Treasuries!$A:$A,0)),"؟"),"")</f>
        <v/>
      </c>
      <c r="X48" s="32">
        <f>IF(AND($AJ48=1,$E48&lt;&gt;""),IFERROR(INDEX(Treasuries!$E:$E,MATCH($E48,Treasuries!$A:$A,0)),"؟"),"")</f>
        <v/>
      </c>
      <c r="Y48" s="32">
        <f>IF($AJ48=1,IFERROR(INDEX(Treasuries!$D:$D,MATCH($D48,Treasuries!$A:$A,0)),"؟"),"")</f>
        <v/>
      </c>
      <c r="Z48" s="32">
        <f>IF(AND($AJ48=1,$E48&lt;&gt;""),IFERROR(INDEX(Treasuries!$D:$D,MATCH($E48,Treasuries!$A:$A,0)),"؟"),"")</f>
        <v/>
      </c>
      <c r="AA48" s="44">
        <f>IF($AJ48=1,IF($U48="RCV",$W48,IF($U48="PAY",$F48,IF(OR($U48="TRF",$U48="DEP",$U48="WDR"),$X48,IF($U48="SHT",ACC_CASH_SHORT,IF($U48="OVR",$W48,"؟"))))),"")</f>
        <v/>
      </c>
      <c r="AB48" s="44">
        <f>IF($AJ48=1,IF($U48="RCV",$F48,IF($U48="PAY",$W48,IF(OR($U48="TRF",$U48="DEP",$U48="WDR"),$W48,IF($U48="SHT",$W48,IF($U48="OVR",ACC_CASH_OVER,"؟"))))),"")</f>
        <v/>
      </c>
      <c r="AC48" s="32">
        <f>IF($AJ48=1,IF(OR($U48="TRF",$U48="DEP",$U48="WDR"),$Z48,$Y48),"")</f>
        <v/>
      </c>
      <c r="AD48" s="32">
        <f>IF($AJ48=1,$Y48,"")</f>
        <v/>
      </c>
      <c r="AE48" s="32">
        <f>IF($AJ48=1,IF(OR($U48="PAY",$U48="SHT"),IF($L48="","CC00",$L48),"CC00"),"")</f>
        <v/>
      </c>
      <c r="AF48" s="32">
        <f>IF($AJ48=1,IF(OR($U48="RCV",$U48="OVR"),IF($L48="","CC00",$L48),"CC00"),"")</f>
        <v/>
      </c>
      <c r="AG48" s="32">
        <f>IF($AJ48=1,IF(AND($U48="PAY",$G48&lt;&gt;""),$G48,"-"),"")</f>
        <v/>
      </c>
      <c r="AH48" s="32">
        <f>IF($AJ48=1,IF(AND($U48="RCV",$G48&lt;&gt;""),$G48,"-"),"")</f>
        <v/>
      </c>
      <c r="AI48" s="32">
        <f>IF($AJ48=1,IF(OR($U48="TRF",$U48="DEP",$U48="WDR"),"INTERNAL",IF(OR($U48="RCV",$U48="PAY"),IFERROR(IF(INDEX(COA!$I:$I,MATCH($F48,COA!$A:$A,0))="","OPERATING",INDEX(COA!$I:$I,MATCH($F48,COA!$A:$A,0))),"OPERATING"),"OPERATING")),"")</f>
        <v/>
      </c>
      <c r="AJ48" s="32">
        <f>IF(COUNTA($A48:$T48)&gt;0,1,0)</f>
        <v/>
      </c>
      <c r="AK48" s="32">
        <f>IF($AJ48=0,"",IF($A48="","رقم المستند ناقص",IF(COUNTIF(Doc_Register!$A:$A,$A48)&gt;1,"رقم مستند مكرر في السجل المركزي",IF(LEFT($A48,LEN($V48)+1)&lt;&gt;$V48&amp;"-","بادئة الرقم لا تطابق نوع المستند",IF(NOT(ISNUMBER($B48)),"التاريخ ناقص أو غير صحيح",IF($N48="","حالة المستند ناقصة",IF($O48="","اسم المُعِد ناقص",IF(AND(OR($N48=ST_APPR,$N48=ST_POST),$P48=""),"لا يوجد معتمد",IF(AND($P48&lt;&gt;"",$P48=$O48),"المُعِد والمعتمد نفس الشخص (فصل المهام)",IF(AND($N48=ST_POST,$Q48=""),"اسم المحاسب المرحِّل ناقص",IF(AND($N48=ST_POST,$Q48&lt;&gt;"",OR($Q48=$O48,$Q48=$P48)),"المرحِّل يجب أن يختلف عن المُعِد والمعتمد",IF(AND($N48=ST_REV,$S48=""),"مرجع التصحيح/الإلغاء ناقص",IF(AND(ISNUMBER($B48),OR($N48=ST_DRAFT,$N48=ST_APPR),COUNTIFS(Period_Close!$A:$A,YEAR($B48)*100+MONTH($B48),Period_Close!$B:$B,"مقفلة")&gt;0),"الفترة مقفلة: لا يسمح بمستند جديد",IF($U48="?","نوع السند غير معرف",IF(COUNTIFS(COA!$A:$A,$W48,COA!$R:$R,1)&lt;&gt;1,"الخزينة/البنك غير معرف أو غير صالح",IF(NOT(N($I48)&gt;0),"المبلغ يجب أن يكون أكبر من صفر",IF(AND(OR($U48="TRF",$U48="DEP",$U48="WDR"),$E48=""),"الخزينة المستلمة ناقصة",IF(AND(OR($U48="TRF",$U48="DEP",$U48="WDR"),$E48=$D48),"التحويل إلى نفس الخزينة",IF(AND(OR($U48="TRF",$U48="DEP",$U48="WDR"),COUNTIFS(COA!$A:$A,$X48,COA!$R:$R,1)&lt;&gt;1),"الخزينة المستلمة غير صالحة",IF(AND(OR($U48="RCV",$U48="PAY"),$F48=""),"الحساب المقابل ناقص",IF(AND(OR($U48="RCV",$U48="PAY"),COUNTIFS(COA!$A:$A,$F48,COA!$R:$R,1)&lt;&gt;1),"الحساب المقابل غير صالح أو رئيسي",IF(AND(OR($U48="RCV",$U48="PAY"),IFERROR(INDEX(COA!$H:$H,MATCH($F48,COA!$A:$A,0)),0)=1),"الحساب المقابل نقدي: استخدم تحويل بين الخزائن",IF(AND(OR($U48="RCV",$U48="PAY"),$F48=ACC_SUPPLIERS),"سداد الموردين يتم من Supplier_Payments",IF(AND(OR($U48="RCV",$U48="PAY"),$H48=""),"المستلم/الدافع ناقص",IF(AND(OR($U48="RCV",$U48="PAY"),$J48=""),"طريقة الدفع ناقصة",IF(AND(OR($U48="RCV",$U48="PAY"),OR($F48=ACC_CUSTOMERS,$F48=1501,$F48=1502),$G48=""),"كود الجهة إلزامي لهذا الحساب",IF(AND($F48=ACC_CUSTOMERS,$G48&lt;&gt;"",COUNTIF(Customers!$A:$A,$G48)=0),"كود العميل غير معرف",IF(AND(OR($F48=1501,$F48=1502),$G48&lt;&gt;"",COUNTIF(Employees!$A:$A,$G48)=0),"كود الموظف غير معرف",IF(AND($M48&lt;&gt;"",COUNTIF(Doc_Register!$A:$A,$M48)=0),"المستند المرتبط غير موجود",IF(AND(OR($U48="PAY",$U48="SHT"),NOT(COUNTIF(Cost_Centers!$A:$A,$AE48)&gt;0)),"مركز التكلفة غير معرف",""))))))))))))))))))))))))))))))</f>
        <v/>
      </c>
      <c r="AL48" s="32">
        <f>IF($AJ48=1,IF($AK48&lt;&gt;"",1,0),0)</f>
        <v/>
      </c>
      <c r="AM48" s="32">
        <f>IF(AND($AJ48=1,$AL48=0,$N48=ST_POST),1,0)</f>
        <v/>
      </c>
    </row>
    <row r="49">
      <c r="A49" s="29" t="n"/>
      <c r="B49" s="31" t="n"/>
      <c r="C49" s="29" t="n"/>
      <c r="D49" s="39" t="n"/>
      <c r="E49" s="39" t="n"/>
      <c r="F49" s="39" t="n"/>
      <c r="G49" s="29" t="n"/>
      <c r="H49" s="29" t="n"/>
      <c r="I49" s="42" t="n"/>
      <c r="J49" s="29" t="n"/>
      <c r="K49" s="29" t="n"/>
      <c r="L49" s="39" t="n"/>
      <c r="M49" s="29" t="n"/>
      <c r="N49" s="39" t="n"/>
      <c r="O49" s="29" t="n"/>
      <c r="P49" s="29" t="n"/>
      <c r="Q49" s="29" t="n"/>
      <c r="R49" s="29" t="n"/>
      <c r="S49" s="29" t="n"/>
      <c r="T49" s="29" t="n"/>
      <c r="U49" s="32">
        <f>IF($AJ49=1,IFERROR(INDEX(Lists!$F:$F,MATCH($C49,Lists!$E:$E,0)),"?"),"")</f>
        <v/>
      </c>
      <c r="V49" s="32">
        <f>IF($AJ49=1,IFERROR(INDEX(Lists!$G:$G,MATCH($C49,Lists!$E:$E,0)),"?"),"")</f>
        <v/>
      </c>
      <c r="W49" s="32">
        <f>IF($AJ49=1,IFERROR(INDEX(Treasuries!$E:$E,MATCH($D49,Treasuries!$A:$A,0)),"؟"),"")</f>
        <v/>
      </c>
      <c r="X49" s="32">
        <f>IF(AND($AJ49=1,$E49&lt;&gt;""),IFERROR(INDEX(Treasuries!$E:$E,MATCH($E49,Treasuries!$A:$A,0)),"؟"),"")</f>
        <v/>
      </c>
      <c r="Y49" s="32">
        <f>IF($AJ49=1,IFERROR(INDEX(Treasuries!$D:$D,MATCH($D49,Treasuries!$A:$A,0)),"؟"),"")</f>
        <v/>
      </c>
      <c r="Z49" s="32">
        <f>IF(AND($AJ49=1,$E49&lt;&gt;""),IFERROR(INDEX(Treasuries!$D:$D,MATCH($E49,Treasuries!$A:$A,0)),"؟"),"")</f>
        <v/>
      </c>
      <c r="AA49" s="44">
        <f>IF($AJ49=1,IF($U49="RCV",$W49,IF($U49="PAY",$F49,IF(OR($U49="TRF",$U49="DEP",$U49="WDR"),$X49,IF($U49="SHT",ACC_CASH_SHORT,IF($U49="OVR",$W49,"؟"))))),"")</f>
        <v/>
      </c>
      <c r="AB49" s="44">
        <f>IF($AJ49=1,IF($U49="RCV",$F49,IF($U49="PAY",$W49,IF(OR($U49="TRF",$U49="DEP",$U49="WDR"),$W49,IF($U49="SHT",$W49,IF($U49="OVR",ACC_CASH_OVER,"؟"))))),"")</f>
        <v/>
      </c>
      <c r="AC49" s="32">
        <f>IF($AJ49=1,IF(OR($U49="TRF",$U49="DEP",$U49="WDR"),$Z49,$Y49),"")</f>
        <v/>
      </c>
      <c r="AD49" s="32">
        <f>IF($AJ49=1,$Y49,"")</f>
        <v/>
      </c>
      <c r="AE49" s="32">
        <f>IF($AJ49=1,IF(OR($U49="PAY",$U49="SHT"),IF($L49="","CC00",$L49),"CC00"),"")</f>
        <v/>
      </c>
      <c r="AF49" s="32">
        <f>IF($AJ49=1,IF(OR($U49="RCV",$U49="OVR"),IF($L49="","CC00",$L49),"CC00"),"")</f>
        <v/>
      </c>
      <c r="AG49" s="32">
        <f>IF($AJ49=1,IF(AND($U49="PAY",$G49&lt;&gt;""),$G49,"-"),"")</f>
        <v/>
      </c>
      <c r="AH49" s="32">
        <f>IF($AJ49=1,IF(AND($U49="RCV",$G49&lt;&gt;""),$G49,"-"),"")</f>
        <v/>
      </c>
      <c r="AI49" s="32">
        <f>IF($AJ49=1,IF(OR($U49="TRF",$U49="DEP",$U49="WDR"),"INTERNAL",IF(OR($U49="RCV",$U49="PAY"),IFERROR(IF(INDEX(COA!$I:$I,MATCH($F49,COA!$A:$A,0))="","OPERATING",INDEX(COA!$I:$I,MATCH($F49,COA!$A:$A,0))),"OPERATING"),"OPERATING")),"")</f>
        <v/>
      </c>
      <c r="AJ49" s="32">
        <f>IF(COUNTA($A49:$T49)&gt;0,1,0)</f>
        <v/>
      </c>
      <c r="AK49" s="32">
        <f>IF($AJ49=0,"",IF($A49="","رقم المستند ناقص",IF(COUNTIF(Doc_Register!$A:$A,$A49)&gt;1,"رقم مستند مكرر في السجل المركزي",IF(LEFT($A49,LEN($V49)+1)&lt;&gt;$V49&amp;"-","بادئة الرقم لا تطابق نوع المستند",IF(NOT(ISNUMBER($B49)),"التاريخ ناقص أو غير صحيح",IF($N49="","حالة المستند ناقصة",IF($O49="","اسم المُعِد ناقص",IF(AND(OR($N49=ST_APPR,$N49=ST_POST),$P49=""),"لا يوجد معتمد",IF(AND($P49&lt;&gt;"",$P49=$O49),"المُعِد والمعتمد نفس الشخص (فصل المهام)",IF(AND($N49=ST_POST,$Q49=""),"اسم المحاسب المرحِّل ناقص",IF(AND($N49=ST_POST,$Q49&lt;&gt;"",OR($Q49=$O49,$Q49=$P49)),"المرحِّل يجب أن يختلف عن المُعِد والمعتمد",IF(AND($N49=ST_REV,$S49=""),"مرجع التصحيح/الإلغاء ناقص",IF(AND(ISNUMBER($B49),OR($N49=ST_DRAFT,$N49=ST_APPR),COUNTIFS(Period_Close!$A:$A,YEAR($B49)*100+MONTH($B49),Period_Close!$B:$B,"مقفلة")&gt;0),"الفترة مقفلة: لا يسمح بمستند جديد",IF($U49="?","نوع السند غير معرف",IF(COUNTIFS(COA!$A:$A,$W49,COA!$R:$R,1)&lt;&gt;1,"الخزينة/البنك غير معرف أو غير صالح",IF(NOT(N($I49)&gt;0),"المبلغ يجب أن يكون أكبر من صفر",IF(AND(OR($U49="TRF",$U49="DEP",$U49="WDR"),$E49=""),"الخزينة المستلمة ناقصة",IF(AND(OR($U49="TRF",$U49="DEP",$U49="WDR"),$E49=$D49),"التحويل إلى نفس الخزينة",IF(AND(OR($U49="TRF",$U49="DEP",$U49="WDR"),COUNTIFS(COA!$A:$A,$X49,COA!$R:$R,1)&lt;&gt;1),"الخزينة المستلمة غير صالحة",IF(AND(OR($U49="RCV",$U49="PAY"),$F49=""),"الحساب المقابل ناقص",IF(AND(OR($U49="RCV",$U49="PAY"),COUNTIFS(COA!$A:$A,$F49,COA!$R:$R,1)&lt;&gt;1),"الحساب المقابل غير صالح أو رئيسي",IF(AND(OR($U49="RCV",$U49="PAY"),IFERROR(INDEX(COA!$H:$H,MATCH($F49,COA!$A:$A,0)),0)=1),"الحساب المقابل نقدي: استخدم تحويل بين الخزائن",IF(AND(OR($U49="RCV",$U49="PAY"),$F49=ACC_SUPPLIERS),"سداد الموردين يتم من Supplier_Payments",IF(AND(OR($U49="RCV",$U49="PAY"),$H49=""),"المستلم/الدافع ناقص",IF(AND(OR($U49="RCV",$U49="PAY"),$J49=""),"طريقة الدفع ناقصة",IF(AND(OR($U49="RCV",$U49="PAY"),OR($F49=ACC_CUSTOMERS,$F49=1501,$F49=1502),$G49=""),"كود الجهة إلزامي لهذا الحساب",IF(AND($F49=ACC_CUSTOMERS,$G49&lt;&gt;"",COUNTIF(Customers!$A:$A,$G49)=0),"كود العميل غير معرف",IF(AND(OR($F49=1501,$F49=1502),$G49&lt;&gt;"",COUNTIF(Employees!$A:$A,$G49)=0),"كود الموظف غير معرف",IF(AND($M49&lt;&gt;"",COUNTIF(Doc_Register!$A:$A,$M49)=0),"المستند المرتبط غير موجود",IF(AND(OR($U49="PAY",$U49="SHT"),NOT(COUNTIF(Cost_Centers!$A:$A,$AE49)&gt;0)),"مركز التكلفة غير معرف",""))))))))))))))))))))))))))))))</f>
        <v/>
      </c>
      <c r="AL49" s="32">
        <f>IF($AJ49=1,IF($AK49&lt;&gt;"",1,0),0)</f>
        <v/>
      </c>
      <c r="AM49" s="32">
        <f>IF(AND($AJ49=1,$AL49=0,$N49=ST_POST),1,0)</f>
        <v/>
      </c>
    </row>
    <row r="50">
      <c r="A50" s="29" t="n"/>
      <c r="B50" s="31" t="n"/>
      <c r="C50" s="29" t="n"/>
      <c r="D50" s="39" t="n"/>
      <c r="E50" s="39" t="n"/>
      <c r="F50" s="39" t="n"/>
      <c r="G50" s="29" t="n"/>
      <c r="H50" s="29" t="n"/>
      <c r="I50" s="42" t="n"/>
      <c r="J50" s="29" t="n"/>
      <c r="K50" s="29" t="n"/>
      <c r="L50" s="39" t="n"/>
      <c r="M50" s="29" t="n"/>
      <c r="N50" s="39" t="n"/>
      <c r="O50" s="29" t="n"/>
      <c r="P50" s="29" t="n"/>
      <c r="Q50" s="29" t="n"/>
      <c r="R50" s="29" t="n"/>
      <c r="S50" s="29" t="n"/>
      <c r="T50" s="29" t="n"/>
      <c r="U50" s="32">
        <f>IF($AJ50=1,IFERROR(INDEX(Lists!$F:$F,MATCH($C50,Lists!$E:$E,0)),"?"),"")</f>
        <v/>
      </c>
      <c r="V50" s="32">
        <f>IF($AJ50=1,IFERROR(INDEX(Lists!$G:$G,MATCH($C50,Lists!$E:$E,0)),"?"),"")</f>
        <v/>
      </c>
      <c r="W50" s="32">
        <f>IF($AJ50=1,IFERROR(INDEX(Treasuries!$E:$E,MATCH($D50,Treasuries!$A:$A,0)),"؟"),"")</f>
        <v/>
      </c>
      <c r="X50" s="32">
        <f>IF(AND($AJ50=1,$E50&lt;&gt;""),IFERROR(INDEX(Treasuries!$E:$E,MATCH($E50,Treasuries!$A:$A,0)),"؟"),"")</f>
        <v/>
      </c>
      <c r="Y50" s="32">
        <f>IF($AJ50=1,IFERROR(INDEX(Treasuries!$D:$D,MATCH($D50,Treasuries!$A:$A,0)),"؟"),"")</f>
        <v/>
      </c>
      <c r="Z50" s="32">
        <f>IF(AND($AJ50=1,$E50&lt;&gt;""),IFERROR(INDEX(Treasuries!$D:$D,MATCH($E50,Treasuries!$A:$A,0)),"؟"),"")</f>
        <v/>
      </c>
      <c r="AA50" s="44">
        <f>IF($AJ50=1,IF($U50="RCV",$W50,IF($U50="PAY",$F50,IF(OR($U50="TRF",$U50="DEP",$U50="WDR"),$X50,IF($U50="SHT",ACC_CASH_SHORT,IF($U50="OVR",$W50,"؟"))))),"")</f>
        <v/>
      </c>
      <c r="AB50" s="44">
        <f>IF($AJ50=1,IF($U50="RCV",$F50,IF($U50="PAY",$W50,IF(OR($U50="TRF",$U50="DEP",$U50="WDR"),$W50,IF($U50="SHT",$W50,IF($U50="OVR",ACC_CASH_OVER,"؟"))))),"")</f>
        <v/>
      </c>
      <c r="AC50" s="32">
        <f>IF($AJ50=1,IF(OR($U50="TRF",$U50="DEP",$U50="WDR"),$Z50,$Y50),"")</f>
        <v/>
      </c>
      <c r="AD50" s="32">
        <f>IF($AJ50=1,$Y50,"")</f>
        <v/>
      </c>
      <c r="AE50" s="32">
        <f>IF($AJ50=1,IF(OR($U50="PAY",$U50="SHT"),IF($L50="","CC00",$L50),"CC00"),"")</f>
        <v/>
      </c>
      <c r="AF50" s="32">
        <f>IF($AJ50=1,IF(OR($U50="RCV",$U50="OVR"),IF($L50="","CC00",$L50),"CC00"),"")</f>
        <v/>
      </c>
      <c r="AG50" s="32">
        <f>IF($AJ50=1,IF(AND($U50="PAY",$G50&lt;&gt;""),$G50,"-"),"")</f>
        <v/>
      </c>
      <c r="AH50" s="32">
        <f>IF($AJ50=1,IF(AND($U50="RCV",$G50&lt;&gt;""),$G50,"-"),"")</f>
        <v/>
      </c>
      <c r="AI50" s="32">
        <f>IF($AJ50=1,IF(OR($U50="TRF",$U50="DEP",$U50="WDR"),"INTERNAL",IF(OR($U50="RCV",$U50="PAY"),IFERROR(IF(INDEX(COA!$I:$I,MATCH($F50,COA!$A:$A,0))="","OPERATING",INDEX(COA!$I:$I,MATCH($F50,COA!$A:$A,0))),"OPERATING"),"OPERATING")),"")</f>
        <v/>
      </c>
      <c r="AJ50" s="32">
        <f>IF(COUNTA($A50:$T50)&gt;0,1,0)</f>
        <v/>
      </c>
      <c r="AK50" s="32">
        <f>IF($AJ50=0,"",IF($A50="","رقم المستند ناقص",IF(COUNTIF(Doc_Register!$A:$A,$A50)&gt;1,"رقم مستند مكرر في السجل المركزي",IF(LEFT($A50,LEN($V50)+1)&lt;&gt;$V50&amp;"-","بادئة الرقم لا تطابق نوع المستند",IF(NOT(ISNUMBER($B50)),"التاريخ ناقص أو غير صحيح",IF($N50="","حالة المستند ناقصة",IF($O50="","اسم المُعِد ناقص",IF(AND(OR($N50=ST_APPR,$N50=ST_POST),$P50=""),"لا يوجد معتمد",IF(AND($P50&lt;&gt;"",$P50=$O50),"المُعِد والمعتمد نفس الشخص (فصل المهام)",IF(AND($N50=ST_POST,$Q50=""),"اسم المحاسب المرحِّل ناقص",IF(AND($N50=ST_POST,$Q50&lt;&gt;"",OR($Q50=$O50,$Q50=$P50)),"المرحِّل يجب أن يختلف عن المُعِد والمعتمد",IF(AND($N50=ST_REV,$S50=""),"مرجع التصحيح/الإلغاء ناقص",IF(AND(ISNUMBER($B50),OR($N50=ST_DRAFT,$N50=ST_APPR),COUNTIFS(Period_Close!$A:$A,YEAR($B50)*100+MONTH($B50),Period_Close!$B:$B,"مقفلة")&gt;0),"الفترة مقفلة: لا يسمح بمستند جديد",IF($U50="?","نوع السند غير معرف",IF(COUNTIFS(COA!$A:$A,$W50,COA!$R:$R,1)&lt;&gt;1,"الخزينة/البنك غير معرف أو غير صالح",IF(NOT(N($I50)&gt;0),"المبلغ يجب أن يكون أكبر من صفر",IF(AND(OR($U50="TRF",$U50="DEP",$U50="WDR"),$E50=""),"الخزينة المستلمة ناقصة",IF(AND(OR($U50="TRF",$U50="DEP",$U50="WDR"),$E50=$D50),"التحويل إلى نفس الخزينة",IF(AND(OR($U50="TRF",$U50="DEP",$U50="WDR"),COUNTIFS(COA!$A:$A,$X50,COA!$R:$R,1)&lt;&gt;1),"الخزينة المستلمة غير صالحة",IF(AND(OR($U50="RCV",$U50="PAY"),$F50=""),"الحساب المقابل ناقص",IF(AND(OR($U50="RCV",$U50="PAY"),COUNTIFS(COA!$A:$A,$F50,COA!$R:$R,1)&lt;&gt;1),"الحساب المقابل غير صالح أو رئيسي",IF(AND(OR($U50="RCV",$U50="PAY"),IFERROR(INDEX(COA!$H:$H,MATCH($F50,COA!$A:$A,0)),0)=1),"الحساب المقابل نقدي: استخدم تحويل بين الخزائن",IF(AND(OR($U50="RCV",$U50="PAY"),$F50=ACC_SUPPLIERS),"سداد الموردين يتم من Supplier_Payments",IF(AND(OR($U50="RCV",$U50="PAY"),$H50=""),"المستلم/الدافع ناقص",IF(AND(OR($U50="RCV",$U50="PAY"),$J50=""),"طريقة الدفع ناقصة",IF(AND(OR($U50="RCV",$U50="PAY"),OR($F50=ACC_CUSTOMERS,$F50=1501,$F50=1502),$G50=""),"كود الجهة إلزامي لهذا الحساب",IF(AND($F50=ACC_CUSTOMERS,$G50&lt;&gt;"",COUNTIF(Customers!$A:$A,$G50)=0),"كود العميل غير معرف",IF(AND(OR($F50=1501,$F50=1502),$G50&lt;&gt;"",COUNTIF(Employees!$A:$A,$G50)=0),"كود الموظف غير معرف",IF(AND($M50&lt;&gt;"",COUNTIF(Doc_Register!$A:$A,$M50)=0),"المستند المرتبط غير موجود",IF(AND(OR($U50="PAY",$U50="SHT"),NOT(COUNTIF(Cost_Centers!$A:$A,$AE50)&gt;0)),"مركز التكلفة غير معرف",""))))))))))))))))))))))))))))))</f>
        <v/>
      </c>
      <c r="AL50" s="32">
        <f>IF($AJ50=1,IF($AK50&lt;&gt;"",1,0),0)</f>
        <v/>
      </c>
      <c r="AM50" s="32">
        <f>IF(AND($AJ50=1,$AL50=0,$N50=ST_POST),1,0)</f>
        <v/>
      </c>
    </row>
    <row r="51">
      <c r="A51" s="29" t="n"/>
      <c r="B51" s="31" t="n"/>
      <c r="C51" s="29" t="n"/>
      <c r="D51" s="39" t="n"/>
      <c r="E51" s="39" t="n"/>
      <c r="F51" s="39" t="n"/>
      <c r="G51" s="29" t="n"/>
      <c r="H51" s="29" t="n"/>
      <c r="I51" s="42" t="n"/>
      <c r="J51" s="29" t="n"/>
      <c r="K51" s="29" t="n"/>
      <c r="L51" s="39" t="n"/>
      <c r="M51" s="29" t="n"/>
      <c r="N51" s="39" t="n"/>
      <c r="O51" s="29" t="n"/>
      <c r="P51" s="29" t="n"/>
      <c r="Q51" s="29" t="n"/>
      <c r="R51" s="29" t="n"/>
      <c r="S51" s="29" t="n"/>
      <c r="T51" s="29" t="n"/>
      <c r="U51" s="32">
        <f>IF($AJ51=1,IFERROR(INDEX(Lists!$F:$F,MATCH($C51,Lists!$E:$E,0)),"?"),"")</f>
        <v/>
      </c>
      <c r="V51" s="32">
        <f>IF($AJ51=1,IFERROR(INDEX(Lists!$G:$G,MATCH($C51,Lists!$E:$E,0)),"?"),"")</f>
        <v/>
      </c>
      <c r="W51" s="32">
        <f>IF($AJ51=1,IFERROR(INDEX(Treasuries!$E:$E,MATCH($D51,Treasuries!$A:$A,0)),"؟"),"")</f>
        <v/>
      </c>
      <c r="X51" s="32">
        <f>IF(AND($AJ51=1,$E51&lt;&gt;""),IFERROR(INDEX(Treasuries!$E:$E,MATCH($E51,Treasuries!$A:$A,0)),"؟"),"")</f>
        <v/>
      </c>
      <c r="Y51" s="32">
        <f>IF($AJ51=1,IFERROR(INDEX(Treasuries!$D:$D,MATCH($D51,Treasuries!$A:$A,0)),"؟"),"")</f>
        <v/>
      </c>
      <c r="Z51" s="32">
        <f>IF(AND($AJ51=1,$E51&lt;&gt;""),IFERROR(INDEX(Treasuries!$D:$D,MATCH($E51,Treasuries!$A:$A,0)),"؟"),"")</f>
        <v/>
      </c>
      <c r="AA51" s="44">
        <f>IF($AJ51=1,IF($U51="RCV",$W51,IF($U51="PAY",$F51,IF(OR($U51="TRF",$U51="DEP",$U51="WDR"),$X51,IF($U51="SHT",ACC_CASH_SHORT,IF($U51="OVR",$W51,"؟"))))),"")</f>
        <v/>
      </c>
      <c r="AB51" s="44">
        <f>IF($AJ51=1,IF($U51="RCV",$F51,IF($U51="PAY",$W51,IF(OR($U51="TRF",$U51="DEP",$U51="WDR"),$W51,IF($U51="SHT",$W51,IF($U51="OVR",ACC_CASH_OVER,"؟"))))),"")</f>
        <v/>
      </c>
      <c r="AC51" s="32">
        <f>IF($AJ51=1,IF(OR($U51="TRF",$U51="DEP",$U51="WDR"),$Z51,$Y51),"")</f>
        <v/>
      </c>
      <c r="AD51" s="32">
        <f>IF($AJ51=1,$Y51,"")</f>
        <v/>
      </c>
      <c r="AE51" s="32">
        <f>IF($AJ51=1,IF(OR($U51="PAY",$U51="SHT"),IF($L51="","CC00",$L51),"CC00"),"")</f>
        <v/>
      </c>
      <c r="AF51" s="32">
        <f>IF($AJ51=1,IF(OR($U51="RCV",$U51="OVR"),IF($L51="","CC00",$L51),"CC00"),"")</f>
        <v/>
      </c>
      <c r="AG51" s="32">
        <f>IF($AJ51=1,IF(AND($U51="PAY",$G51&lt;&gt;""),$G51,"-"),"")</f>
        <v/>
      </c>
      <c r="AH51" s="32">
        <f>IF($AJ51=1,IF(AND($U51="RCV",$G51&lt;&gt;""),$G51,"-"),"")</f>
        <v/>
      </c>
      <c r="AI51" s="32">
        <f>IF($AJ51=1,IF(OR($U51="TRF",$U51="DEP",$U51="WDR"),"INTERNAL",IF(OR($U51="RCV",$U51="PAY"),IFERROR(IF(INDEX(COA!$I:$I,MATCH($F51,COA!$A:$A,0))="","OPERATING",INDEX(COA!$I:$I,MATCH($F51,COA!$A:$A,0))),"OPERATING"),"OPERATING")),"")</f>
        <v/>
      </c>
      <c r="AJ51" s="32">
        <f>IF(COUNTA($A51:$T51)&gt;0,1,0)</f>
        <v/>
      </c>
      <c r="AK51" s="32">
        <f>IF($AJ51=0,"",IF($A51="","رقم المستند ناقص",IF(COUNTIF(Doc_Register!$A:$A,$A51)&gt;1,"رقم مستند مكرر في السجل المركزي",IF(LEFT($A51,LEN($V51)+1)&lt;&gt;$V51&amp;"-","بادئة الرقم لا تطابق نوع المستند",IF(NOT(ISNUMBER($B51)),"التاريخ ناقص أو غير صحيح",IF($N51="","حالة المستند ناقصة",IF($O51="","اسم المُعِد ناقص",IF(AND(OR($N51=ST_APPR,$N51=ST_POST),$P51=""),"لا يوجد معتمد",IF(AND($P51&lt;&gt;"",$P51=$O51),"المُعِد والمعتمد نفس الشخص (فصل المهام)",IF(AND($N51=ST_POST,$Q51=""),"اسم المحاسب المرحِّل ناقص",IF(AND($N51=ST_POST,$Q51&lt;&gt;"",OR($Q51=$O51,$Q51=$P51)),"المرحِّل يجب أن يختلف عن المُعِد والمعتمد",IF(AND($N51=ST_REV,$S51=""),"مرجع التصحيح/الإلغاء ناقص",IF(AND(ISNUMBER($B51),OR($N51=ST_DRAFT,$N51=ST_APPR),COUNTIFS(Period_Close!$A:$A,YEAR($B51)*100+MONTH($B51),Period_Close!$B:$B,"مقفلة")&gt;0),"الفترة مقفلة: لا يسمح بمستند جديد",IF($U51="?","نوع السند غير معرف",IF(COUNTIFS(COA!$A:$A,$W51,COA!$R:$R,1)&lt;&gt;1,"الخزينة/البنك غير معرف أو غير صالح",IF(NOT(N($I51)&gt;0),"المبلغ يجب أن يكون أكبر من صفر",IF(AND(OR($U51="TRF",$U51="DEP",$U51="WDR"),$E51=""),"الخزينة المستلمة ناقصة",IF(AND(OR($U51="TRF",$U51="DEP",$U51="WDR"),$E51=$D51),"التحويل إلى نفس الخزينة",IF(AND(OR($U51="TRF",$U51="DEP",$U51="WDR"),COUNTIFS(COA!$A:$A,$X51,COA!$R:$R,1)&lt;&gt;1),"الخزينة المستلمة غير صالحة",IF(AND(OR($U51="RCV",$U51="PAY"),$F51=""),"الحساب المقابل ناقص",IF(AND(OR($U51="RCV",$U51="PAY"),COUNTIFS(COA!$A:$A,$F51,COA!$R:$R,1)&lt;&gt;1),"الحساب المقابل غير صالح أو رئيسي",IF(AND(OR($U51="RCV",$U51="PAY"),IFERROR(INDEX(COA!$H:$H,MATCH($F51,COA!$A:$A,0)),0)=1),"الحساب المقابل نقدي: استخدم تحويل بين الخزائن",IF(AND(OR($U51="RCV",$U51="PAY"),$F51=ACC_SUPPLIERS),"سداد الموردين يتم من Supplier_Payments",IF(AND(OR($U51="RCV",$U51="PAY"),$H51=""),"المستلم/الدافع ناقص",IF(AND(OR($U51="RCV",$U51="PAY"),$J51=""),"طريقة الدفع ناقصة",IF(AND(OR($U51="RCV",$U51="PAY"),OR($F51=ACC_CUSTOMERS,$F51=1501,$F51=1502),$G51=""),"كود الجهة إلزامي لهذا الحساب",IF(AND($F51=ACC_CUSTOMERS,$G51&lt;&gt;"",COUNTIF(Customers!$A:$A,$G51)=0),"كود العميل غير معرف",IF(AND(OR($F51=1501,$F51=1502),$G51&lt;&gt;"",COUNTIF(Employees!$A:$A,$G51)=0),"كود الموظف غير معرف",IF(AND($M51&lt;&gt;"",COUNTIF(Doc_Register!$A:$A,$M51)=0),"المستند المرتبط غير موجود",IF(AND(OR($U51="PAY",$U51="SHT"),NOT(COUNTIF(Cost_Centers!$A:$A,$AE51)&gt;0)),"مركز التكلفة غير معرف",""))))))))))))))))))))))))))))))</f>
        <v/>
      </c>
      <c r="AL51" s="32">
        <f>IF($AJ51=1,IF($AK51&lt;&gt;"",1,0),0)</f>
        <v/>
      </c>
      <c r="AM51" s="32">
        <f>IF(AND($AJ51=1,$AL51=0,$N51=ST_POST),1,0)</f>
        <v/>
      </c>
    </row>
    <row r="52">
      <c r="A52" s="29" t="n"/>
      <c r="B52" s="31" t="n"/>
      <c r="C52" s="29" t="n"/>
      <c r="D52" s="39" t="n"/>
      <c r="E52" s="39" t="n"/>
      <c r="F52" s="39" t="n"/>
      <c r="G52" s="29" t="n"/>
      <c r="H52" s="29" t="n"/>
      <c r="I52" s="42" t="n"/>
      <c r="J52" s="29" t="n"/>
      <c r="K52" s="29" t="n"/>
      <c r="L52" s="39" t="n"/>
      <c r="M52" s="29" t="n"/>
      <c r="N52" s="39" t="n"/>
      <c r="O52" s="29" t="n"/>
      <c r="P52" s="29" t="n"/>
      <c r="Q52" s="29" t="n"/>
      <c r="R52" s="29" t="n"/>
      <c r="S52" s="29" t="n"/>
      <c r="T52" s="29" t="n"/>
      <c r="U52" s="32">
        <f>IF($AJ52=1,IFERROR(INDEX(Lists!$F:$F,MATCH($C52,Lists!$E:$E,0)),"?"),"")</f>
        <v/>
      </c>
      <c r="V52" s="32">
        <f>IF($AJ52=1,IFERROR(INDEX(Lists!$G:$G,MATCH($C52,Lists!$E:$E,0)),"?"),"")</f>
        <v/>
      </c>
      <c r="W52" s="32">
        <f>IF($AJ52=1,IFERROR(INDEX(Treasuries!$E:$E,MATCH($D52,Treasuries!$A:$A,0)),"؟"),"")</f>
        <v/>
      </c>
      <c r="X52" s="32">
        <f>IF(AND($AJ52=1,$E52&lt;&gt;""),IFERROR(INDEX(Treasuries!$E:$E,MATCH($E52,Treasuries!$A:$A,0)),"؟"),"")</f>
        <v/>
      </c>
      <c r="Y52" s="32">
        <f>IF($AJ52=1,IFERROR(INDEX(Treasuries!$D:$D,MATCH($D52,Treasuries!$A:$A,0)),"؟"),"")</f>
        <v/>
      </c>
      <c r="Z52" s="32">
        <f>IF(AND($AJ52=1,$E52&lt;&gt;""),IFERROR(INDEX(Treasuries!$D:$D,MATCH($E52,Treasuries!$A:$A,0)),"؟"),"")</f>
        <v/>
      </c>
      <c r="AA52" s="44">
        <f>IF($AJ52=1,IF($U52="RCV",$W52,IF($U52="PAY",$F52,IF(OR($U52="TRF",$U52="DEP",$U52="WDR"),$X52,IF($U52="SHT",ACC_CASH_SHORT,IF($U52="OVR",$W52,"؟"))))),"")</f>
        <v/>
      </c>
      <c r="AB52" s="44">
        <f>IF($AJ52=1,IF($U52="RCV",$F52,IF($U52="PAY",$W52,IF(OR($U52="TRF",$U52="DEP",$U52="WDR"),$W52,IF($U52="SHT",$W52,IF($U52="OVR",ACC_CASH_OVER,"؟"))))),"")</f>
        <v/>
      </c>
      <c r="AC52" s="32">
        <f>IF($AJ52=1,IF(OR($U52="TRF",$U52="DEP",$U52="WDR"),$Z52,$Y52),"")</f>
        <v/>
      </c>
      <c r="AD52" s="32">
        <f>IF($AJ52=1,$Y52,"")</f>
        <v/>
      </c>
      <c r="AE52" s="32">
        <f>IF($AJ52=1,IF(OR($U52="PAY",$U52="SHT"),IF($L52="","CC00",$L52),"CC00"),"")</f>
        <v/>
      </c>
      <c r="AF52" s="32">
        <f>IF($AJ52=1,IF(OR($U52="RCV",$U52="OVR"),IF($L52="","CC00",$L52),"CC00"),"")</f>
        <v/>
      </c>
      <c r="AG52" s="32">
        <f>IF($AJ52=1,IF(AND($U52="PAY",$G52&lt;&gt;""),$G52,"-"),"")</f>
        <v/>
      </c>
      <c r="AH52" s="32">
        <f>IF($AJ52=1,IF(AND($U52="RCV",$G52&lt;&gt;""),$G52,"-"),"")</f>
        <v/>
      </c>
      <c r="AI52" s="32">
        <f>IF($AJ52=1,IF(OR($U52="TRF",$U52="DEP",$U52="WDR"),"INTERNAL",IF(OR($U52="RCV",$U52="PAY"),IFERROR(IF(INDEX(COA!$I:$I,MATCH($F52,COA!$A:$A,0))="","OPERATING",INDEX(COA!$I:$I,MATCH($F52,COA!$A:$A,0))),"OPERATING"),"OPERATING")),"")</f>
        <v/>
      </c>
      <c r="AJ52" s="32">
        <f>IF(COUNTA($A52:$T52)&gt;0,1,0)</f>
        <v/>
      </c>
      <c r="AK52" s="32">
        <f>IF($AJ52=0,"",IF($A52="","رقم المستند ناقص",IF(COUNTIF(Doc_Register!$A:$A,$A52)&gt;1,"رقم مستند مكرر في السجل المركزي",IF(LEFT($A52,LEN($V52)+1)&lt;&gt;$V52&amp;"-","بادئة الرقم لا تطابق نوع المستند",IF(NOT(ISNUMBER($B52)),"التاريخ ناقص أو غير صحيح",IF($N52="","حالة المستند ناقصة",IF($O52="","اسم المُعِد ناقص",IF(AND(OR($N52=ST_APPR,$N52=ST_POST),$P52=""),"لا يوجد معتمد",IF(AND($P52&lt;&gt;"",$P52=$O52),"المُعِد والمعتمد نفس الشخص (فصل المهام)",IF(AND($N52=ST_POST,$Q52=""),"اسم المحاسب المرحِّل ناقص",IF(AND($N52=ST_POST,$Q52&lt;&gt;"",OR($Q52=$O52,$Q52=$P52)),"المرحِّل يجب أن يختلف عن المُعِد والمعتمد",IF(AND($N52=ST_REV,$S52=""),"مرجع التصحيح/الإلغاء ناقص",IF(AND(ISNUMBER($B52),OR($N52=ST_DRAFT,$N52=ST_APPR),COUNTIFS(Period_Close!$A:$A,YEAR($B52)*100+MONTH($B52),Period_Close!$B:$B,"مقفلة")&gt;0),"الفترة مقفلة: لا يسمح بمستند جديد",IF($U52="?","نوع السند غير معرف",IF(COUNTIFS(COA!$A:$A,$W52,COA!$R:$R,1)&lt;&gt;1,"الخزينة/البنك غير معرف أو غير صالح",IF(NOT(N($I52)&gt;0),"المبلغ يجب أن يكون أكبر من صفر",IF(AND(OR($U52="TRF",$U52="DEP",$U52="WDR"),$E52=""),"الخزينة المستلمة ناقصة",IF(AND(OR($U52="TRF",$U52="DEP",$U52="WDR"),$E52=$D52),"التحويل إلى نفس الخزينة",IF(AND(OR($U52="TRF",$U52="DEP",$U52="WDR"),COUNTIFS(COA!$A:$A,$X52,COA!$R:$R,1)&lt;&gt;1),"الخزينة المستلمة غير صالحة",IF(AND(OR($U52="RCV",$U52="PAY"),$F52=""),"الحساب المقابل ناقص",IF(AND(OR($U52="RCV",$U52="PAY"),COUNTIFS(COA!$A:$A,$F52,COA!$R:$R,1)&lt;&gt;1),"الحساب المقابل غير صالح أو رئيسي",IF(AND(OR($U52="RCV",$U52="PAY"),IFERROR(INDEX(COA!$H:$H,MATCH($F52,COA!$A:$A,0)),0)=1),"الحساب المقابل نقدي: استخدم تحويل بين الخزائن",IF(AND(OR($U52="RCV",$U52="PAY"),$F52=ACC_SUPPLIERS),"سداد الموردين يتم من Supplier_Payments",IF(AND(OR($U52="RCV",$U52="PAY"),$H52=""),"المستلم/الدافع ناقص",IF(AND(OR($U52="RCV",$U52="PAY"),$J52=""),"طريقة الدفع ناقصة",IF(AND(OR($U52="RCV",$U52="PAY"),OR($F52=ACC_CUSTOMERS,$F52=1501,$F52=1502),$G52=""),"كود الجهة إلزامي لهذا الحساب",IF(AND($F52=ACC_CUSTOMERS,$G52&lt;&gt;"",COUNTIF(Customers!$A:$A,$G52)=0),"كود العميل غير معرف",IF(AND(OR($F52=1501,$F52=1502),$G52&lt;&gt;"",COUNTIF(Employees!$A:$A,$G52)=0),"كود الموظف غير معرف",IF(AND($M52&lt;&gt;"",COUNTIF(Doc_Register!$A:$A,$M52)=0),"المستند المرتبط غير موجود",IF(AND(OR($U52="PAY",$U52="SHT"),NOT(COUNTIF(Cost_Centers!$A:$A,$AE52)&gt;0)),"مركز التكلفة غير معرف",""))))))))))))))))))))))))))))))</f>
        <v/>
      </c>
      <c r="AL52" s="32">
        <f>IF($AJ52=1,IF($AK52&lt;&gt;"",1,0),0)</f>
        <v/>
      </c>
      <c r="AM52" s="32">
        <f>IF(AND($AJ52=1,$AL52=0,$N52=ST_POST),1,0)</f>
        <v/>
      </c>
    </row>
    <row r="53">
      <c r="A53" s="29" t="n"/>
      <c r="B53" s="31" t="n"/>
      <c r="C53" s="29" t="n"/>
      <c r="D53" s="39" t="n"/>
      <c r="E53" s="39" t="n"/>
      <c r="F53" s="39" t="n"/>
      <c r="G53" s="29" t="n"/>
      <c r="H53" s="29" t="n"/>
      <c r="I53" s="42" t="n"/>
      <c r="J53" s="29" t="n"/>
      <c r="K53" s="29" t="n"/>
      <c r="L53" s="39" t="n"/>
      <c r="M53" s="29" t="n"/>
      <c r="N53" s="39" t="n"/>
      <c r="O53" s="29" t="n"/>
      <c r="P53" s="29" t="n"/>
      <c r="Q53" s="29" t="n"/>
      <c r="R53" s="29" t="n"/>
      <c r="S53" s="29" t="n"/>
      <c r="T53" s="29" t="n"/>
      <c r="U53" s="32">
        <f>IF($AJ53=1,IFERROR(INDEX(Lists!$F:$F,MATCH($C53,Lists!$E:$E,0)),"?"),"")</f>
        <v/>
      </c>
      <c r="V53" s="32">
        <f>IF($AJ53=1,IFERROR(INDEX(Lists!$G:$G,MATCH($C53,Lists!$E:$E,0)),"?"),"")</f>
        <v/>
      </c>
      <c r="W53" s="32">
        <f>IF($AJ53=1,IFERROR(INDEX(Treasuries!$E:$E,MATCH($D53,Treasuries!$A:$A,0)),"؟"),"")</f>
        <v/>
      </c>
      <c r="X53" s="32">
        <f>IF(AND($AJ53=1,$E53&lt;&gt;""),IFERROR(INDEX(Treasuries!$E:$E,MATCH($E53,Treasuries!$A:$A,0)),"؟"),"")</f>
        <v/>
      </c>
      <c r="Y53" s="32">
        <f>IF($AJ53=1,IFERROR(INDEX(Treasuries!$D:$D,MATCH($D53,Treasuries!$A:$A,0)),"؟"),"")</f>
        <v/>
      </c>
      <c r="Z53" s="32">
        <f>IF(AND($AJ53=1,$E53&lt;&gt;""),IFERROR(INDEX(Treasuries!$D:$D,MATCH($E53,Treasuries!$A:$A,0)),"؟"),"")</f>
        <v/>
      </c>
      <c r="AA53" s="44">
        <f>IF($AJ53=1,IF($U53="RCV",$W53,IF($U53="PAY",$F53,IF(OR($U53="TRF",$U53="DEP",$U53="WDR"),$X53,IF($U53="SHT",ACC_CASH_SHORT,IF($U53="OVR",$W53,"؟"))))),"")</f>
        <v/>
      </c>
      <c r="AB53" s="44">
        <f>IF($AJ53=1,IF($U53="RCV",$F53,IF($U53="PAY",$W53,IF(OR($U53="TRF",$U53="DEP",$U53="WDR"),$W53,IF($U53="SHT",$W53,IF($U53="OVR",ACC_CASH_OVER,"؟"))))),"")</f>
        <v/>
      </c>
      <c r="AC53" s="32">
        <f>IF($AJ53=1,IF(OR($U53="TRF",$U53="DEP",$U53="WDR"),$Z53,$Y53),"")</f>
        <v/>
      </c>
      <c r="AD53" s="32">
        <f>IF($AJ53=1,$Y53,"")</f>
        <v/>
      </c>
      <c r="AE53" s="32">
        <f>IF($AJ53=1,IF(OR($U53="PAY",$U53="SHT"),IF($L53="","CC00",$L53),"CC00"),"")</f>
        <v/>
      </c>
      <c r="AF53" s="32">
        <f>IF($AJ53=1,IF(OR($U53="RCV",$U53="OVR"),IF($L53="","CC00",$L53),"CC00"),"")</f>
        <v/>
      </c>
      <c r="AG53" s="32">
        <f>IF($AJ53=1,IF(AND($U53="PAY",$G53&lt;&gt;""),$G53,"-"),"")</f>
        <v/>
      </c>
      <c r="AH53" s="32">
        <f>IF($AJ53=1,IF(AND($U53="RCV",$G53&lt;&gt;""),$G53,"-"),"")</f>
        <v/>
      </c>
      <c r="AI53" s="32">
        <f>IF($AJ53=1,IF(OR($U53="TRF",$U53="DEP",$U53="WDR"),"INTERNAL",IF(OR($U53="RCV",$U53="PAY"),IFERROR(IF(INDEX(COA!$I:$I,MATCH($F53,COA!$A:$A,0))="","OPERATING",INDEX(COA!$I:$I,MATCH($F53,COA!$A:$A,0))),"OPERATING"),"OPERATING")),"")</f>
        <v/>
      </c>
      <c r="AJ53" s="32">
        <f>IF(COUNTA($A53:$T53)&gt;0,1,0)</f>
        <v/>
      </c>
      <c r="AK53" s="32">
        <f>IF($AJ53=0,"",IF($A53="","رقم المستند ناقص",IF(COUNTIF(Doc_Register!$A:$A,$A53)&gt;1,"رقم مستند مكرر في السجل المركزي",IF(LEFT($A53,LEN($V53)+1)&lt;&gt;$V53&amp;"-","بادئة الرقم لا تطابق نوع المستند",IF(NOT(ISNUMBER($B53)),"التاريخ ناقص أو غير صحيح",IF($N53="","حالة المستند ناقصة",IF($O53="","اسم المُعِد ناقص",IF(AND(OR($N53=ST_APPR,$N53=ST_POST),$P53=""),"لا يوجد معتمد",IF(AND($P53&lt;&gt;"",$P53=$O53),"المُعِد والمعتمد نفس الشخص (فصل المهام)",IF(AND($N53=ST_POST,$Q53=""),"اسم المحاسب المرحِّل ناقص",IF(AND($N53=ST_POST,$Q53&lt;&gt;"",OR($Q53=$O53,$Q53=$P53)),"المرحِّل يجب أن يختلف عن المُعِد والمعتمد",IF(AND($N53=ST_REV,$S53=""),"مرجع التصحيح/الإلغاء ناقص",IF(AND(ISNUMBER($B53),OR($N53=ST_DRAFT,$N53=ST_APPR),COUNTIFS(Period_Close!$A:$A,YEAR($B53)*100+MONTH($B53),Period_Close!$B:$B,"مقفلة")&gt;0),"الفترة مقفلة: لا يسمح بمستند جديد",IF($U53="?","نوع السند غير معرف",IF(COUNTIFS(COA!$A:$A,$W53,COA!$R:$R,1)&lt;&gt;1,"الخزينة/البنك غير معرف أو غير صالح",IF(NOT(N($I53)&gt;0),"المبلغ يجب أن يكون أكبر من صفر",IF(AND(OR($U53="TRF",$U53="DEP",$U53="WDR"),$E53=""),"الخزينة المستلمة ناقصة",IF(AND(OR($U53="TRF",$U53="DEP",$U53="WDR"),$E53=$D53),"التحويل إلى نفس الخزينة",IF(AND(OR($U53="TRF",$U53="DEP",$U53="WDR"),COUNTIFS(COA!$A:$A,$X53,COA!$R:$R,1)&lt;&gt;1),"الخزينة المستلمة غير صالحة",IF(AND(OR($U53="RCV",$U53="PAY"),$F53=""),"الحساب المقابل ناقص",IF(AND(OR($U53="RCV",$U53="PAY"),COUNTIFS(COA!$A:$A,$F53,COA!$R:$R,1)&lt;&gt;1),"الحساب المقابل غير صالح أو رئيسي",IF(AND(OR($U53="RCV",$U53="PAY"),IFERROR(INDEX(COA!$H:$H,MATCH($F53,COA!$A:$A,0)),0)=1),"الحساب المقابل نقدي: استخدم تحويل بين الخزائن",IF(AND(OR($U53="RCV",$U53="PAY"),$F53=ACC_SUPPLIERS),"سداد الموردين يتم من Supplier_Payments",IF(AND(OR($U53="RCV",$U53="PAY"),$H53=""),"المستلم/الدافع ناقص",IF(AND(OR($U53="RCV",$U53="PAY"),$J53=""),"طريقة الدفع ناقصة",IF(AND(OR($U53="RCV",$U53="PAY"),OR($F53=ACC_CUSTOMERS,$F53=1501,$F53=1502),$G53=""),"كود الجهة إلزامي لهذا الحساب",IF(AND($F53=ACC_CUSTOMERS,$G53&lt;&gt;"",COUNTIF(Customers!$A:$A,$G53)=0),"كود العميل غير معرف",IF(AND(OR($F53=1501,$F53=1502),$G53&lt;&gt;"",COUNTIF(Employees!$A:$A,$G53)=0),"كود الموظف غير معرف",IF(AND($M53&lt;&gt;"",COUNTIF(Doc_Register!$A:$A,$M53)=0),"المستند المرتبط غير موجود",IF(AND(OR($U53="PAY",$U53="SHT"),NOT(COUNTIF(Cost_Centers!$A:$A,$AE53)&gt;0)),"مركز التكلفة غير معرف",""))))))))))))))))))))))))))))))</f>
        <v/>
      </c>
      <c r="AL53" s="32">
        <f>IF($AJ53=1,IF($AK53&lt;&gt;"",1,0),0)</f>
        <v/>
      </c>
      <c r="AM53" s="32">
        <f>IF(AND($AJ53=1,$AL53=0,$N53=ST_POST),1,0)</f>
        <v/>
      </c>
    </row>
    <row r="54">
      <c r="A54" s="29" t="n"/>
      <c r="B54" s="31" t="n"/>
      <c r="C54" s="29" t="n"/>
      <c r="D54" s="39" t="n"/>
      <c r="E54" s="39" t="n"/>
      <c r="F54" s="39" t="n"/>
      <c r="G54" s="29" t="n"/>
      <c r="H54" s="29" t="n"/>
      <c r="I54" s="42" t="n"/>
      <c r="J54" s="29" t="n"/>
      <c r="K54" s="29" t="n"/>
      <c r="L54" s="39" t="n"/>
      <c r="M54" s="29" t="n"/>
      <c r="N54" s="39" t="n"/>
      <c r="O54" s="29" t="n"/>
      <c r="P54" s="29" t="n"/>
      <c r="Q54" s="29" t="n"/>
      <c r="R54" s="29" t="n"/>
      <c r="S54" s="29" t="n"/>
      <c r="T54" s="29" t="n"/>
      <c r="U54" s="32">
        <f>IF($AJ54=1,IFERROR(INDEX(Lists!$F:$F,MATCH($C54,Lists!$E:$E,0)),"?"),"")</f>
        <v/>
      </c>
      <c r="V54" s="32">
        <f>IF($AJ54=1,IFERROR(INDEX(Lists!$G:$G,MATCH($C54,Lists!$E:$E,0)),"?"),"")</f>
        <v/>
      </c>
      <c r="W54" s="32">
        <f>IF($AJ54=1,IFERROR(INDEX(Treasuries!$E:$E,MATCH($D54,Treasuries!$A:$A,0)),"؟"),"")</f>
        <v/>
      </c>
      <c r="X54" s="32">
        <f>IF(AND($AJ54=1,$E54&lt;&gt;""),IFERROR(INDEX(Treasuries!$E:$E,MATCH($E54,Treasuries!$A:$A,0)),"؟"),"")</f>
        <v/>
      </c>
      <c r="Y54" s="32">
        <f>IF($AJ54=1,IFERROR(INDEX(Treasuries!$D:$D,MATCH($D54,Treasuries!$A:$A,0)),"؟"),"")</f>
        <v/>
      </c>
      <c r="Z54" s="32">
        <f>IF(AND($AJ54=1,$E54&lt;&gt;""),IFERROR(INDEX(Treasuries!$D:$D,MATCH($E54,Treasuries!$A:$A,0)),"؟"),"")</f>
        <v/>
      </c>
      <c r="AA54" s="44">
        <f>IF($AJ54=1,IF($U54="RCV",$W54,IF($U54="PAY",$F54,IF(OR($U54="TRF",$U54="DEP",$U54="WDR"),$X54,IF($U54="SHT",ACC_CASH_SHORT,IF($U54="OVR",$W54,"؟"))))),"")</f>
        <v/>
      </c>
      <c r="AB54" s="44">
        <f>IF($AJ54=1,IF($U54="RCV",$F54,IF($U54="PAY",$W54,IF(OR($U54="TRF",$U54="DEP",$U54="WDR"),$W54,IF($U54="SHT",$W54,IF($U54="OVR",ACC_CASH_OVER,"؟"))))),"")</f>
        <v/>
      </c>
      <c r="AC54" s="32">
        <f>IF($AJ54=1,IF(OR($U54="TRF",$U54="DEP",$U54="WDR"),$Z54,$Y54),"")</f>
        <v/>
      </c>
      <c r="AD54" s="32">
        <f>IF($AJ54=1,$Y54,"")</f>
        <v/>
      </c>
      <c r="AE54" s="32">
        <f>IF($AJ54=1,IF(OR($U54="PAY",$U54="SHT"),IF($L54="","CC00",$L54),"CC00"),"")</f>
        <v/>
      </c>
      <c r="AF54" s="32">
        <f>IF($AJ54=1,IF(OR($U54="RCV",$U54="OVR"),IF($L54="","CC00",$L54),"CC00"),"")</f>
        <v/>
      </c>
      <c r="AG54" s="32">
        <f>IF($AJ54=1,IF(AND($U54="PAY",$G54&lt;&gt;""),$G54,"-"),"")</f>
        <v/>
      </c>
      <c r="AH54" s="32">
        <f>IF($AJ54=1,IF(AND($U54="RCV",$G54&lt;&gt;""),$G54,"-"),"")</f>
        <v/>
      </c>
      <c r="AI54" s="32">
        <f>IF($AJ54=1,IF(OR($U54="TRF",$U54="DEP",$U54="WDR"),"INTERNAL",IF(OR($U54="RCV",$U54="PAY"),IFERROR(IF(INDEX(COA!$I:$I,MATCH($F54,COA!$A:$A,0))="","OPERATING",INDEX(COA!$I:$I,MATCH($F54,COA!$A:$A,0))),"OPERATING"),"OPERATING")),"")</f>
        <v/>
      </c>
      <c r="AJ54" s="32">
        <f>IF(COUNTA($A54:$T54)&gt;0,1,0)</f>
        <v/>
      </c>
      <c r="AK54" s="32">
        <f>IF($AJ54=0,"",IF($A54="","رقم المستند ناقص",IF(COUNTIF(Doc_Register!$A:$A,$A54)&gt;1,"رقم مستند مكرر في السجل المركزي",IF(LEFT($A54,LEN($V54)+1)&lt;&gt;$V54&amp;"-","بادئة الرقم لا تطابق نوع المستند",IF(NOT(ISNUMBER($B54)),"التاريخ ناقص أو غير صحيح",IF($N54="","حالة المستند ناقصة",IF($O54="","اسم المُعِد ناقص",IF(AND(OR($N54=ST_APPR,$N54=ST_POST),$P54=""),"لا يوجد معتمد",IF(AND($P54&lt;&gt;"",$P54=$O54),"المُعِد والمعتمد نفس الشخص (فصل المهام)",IF(AND($N54=ST_POST,$Q54=""),"اسم المحاسب المرحِّل ناقص",IF(AND($N54=ST_POST,$Q54&lt;&gt;"",OR($Q54=$O54,$Q54=$P54)),"المرحِّل يجب أن يختلف عن المُعِد والمعتمد",IF(AND($N54=ST_REV,$S54=""),"مرجع التصحيح/الإلغاء ناقص",IF(AND(ISNUMBER($B54),OR($N54=ST_DRAFT,$N54=ST_APPR),COUNTIFS(Period_Close!$A:$A,YEAR($B54)*100+MONTH($B54),Period_Close!$B:$B,"مقفلة")&gt;0),"الفترة مقفلة: لا يسمح بمستند جديد",IF($U54="?","نوع السند غير معرف",IF(COUNTIFS(COA!$A:$A,$W54,COA!$R:$R,1)&lt;&gt;1,"الخزينة/البنك غير معرف أو غير صالح",IF(NOT(N($I54)&gt;0),"المبلغ يجب أن يكون أكبر من صفر",IF(AND(OR($U54="TRF",$U54="DEP",$U54="WDR"),$E54=""),"الخزينة المستلمة ناقصة",IF(AND(OR($U54="TRF",$U54="DEP",$U54="WDR"),$E54=$D54),"التحويل إلى نفس الخزينة",IF(AND(OR($U54="TRF",$U54="DEP",$U54="WDR"),COUNTIFS(COA!$A:$A,$X54,COA!$R:$R,1)&lt;&gt;1),"الخزينة المستلمة غير صالحة",IF(AND(OR($U54="RCV",$U54="PAY"),$F54=""),"الحساب المقابل ناقص",IF(AND(OR($U54="RCV",$U54="PAY"),COUNTIFS(COA!$A:$A,$F54,COA!$R:$R,1)&lt;&gt;1),"الحساب المقابل غير صالح أو رئيسي",IF(AND(OR($U54="RCV",$U54="PAY"),IFERROR(INDEX(COA!$H:$H,MATCH($F54,COA!$A:$A,0)),0)=1),"الحساب المقابل نقدي: استخدم تحويل بين الخزائن",IF(AND(OR($U54="RCV",$U54="PAY"),$F54=ACC_SUPPLIERS),"سداد الموردين يتم من Supplier_Payments",IF(AND(OR($U54="RCV",$U54="PAY"),$H54=""),"المستلم/الدافع ناقص",IF(AND(OR($U54="RCV",$U54="PAY"),$J54=""),"طريقة الدفع ناقصة",IF(AND(OR($U54="RCV",$U54="PAY"),OR($F54=ACC_CUSTOMERS,$F54=1501,$F54=1502),$G54=""),"كود الجهة إلزامي لهذا الحساب",IF(AND($F54=ACC_CUSTOMERS,$G54&lt;&gt;"",COUNTIF(Customers!$A:$A,$G54)=0),"كود العميل غير معرف",IF(AND(OR($F54=1501,$F54=1502),$G54&lt;&gt;"",COUNTIF(Employees!$A:$A,$G54)=0),"كود الموظف غير معرف",IF(AND($M54&lt;&gt;"",COUNTIF(Doc_Register!$A:$A,$M54)=0),"المستند المرتبط غير موجود",IF(AND(OR($U54="PAY",$U54="SHT"),NOT(COUNTIF(Cost_Centers!$A:$A,$AE54)&gt;0)),"مركز التكلفة غير معرف",""))))))))))))))))))))))))))))))</f>
        <v/>
      </c>
      <c r="AL54" s="32">
        <f>IF($AJ54=1,IF($AK54&lt;&gt;"",1,0),0)</f>
        <v/>
      </c>
      <c r="AM54" s="32">
        <f>IF(AND($AJ54=1,$AL54=0,$N54=ST_POST),1,0)</f>
        <v/>
      </c>
    </row>
    <row r="55">
      <c r="A55" s="29" t="n"/>
      <c r="B55" s="31" t="n"/>
      <c r="C55" s="29" t="n"/>
      <c r="D55" s="39" t="n"/>
      <c r="E55" s="39" t="n"/>
      <c r="F55" s="39" t="n"/>
      <c r="G55" s="29" t="n"/>
      <c r="H55" s="29" t="n"/>
      <c r="I55" s="42" t="n"/>
      <c r="J55" s="29" t="n"/>
      <c r="K55" s="29" t="n"/>
      <c r="L55" s="39" t="n"/>
      <c r="M55" s="29" t="n"/>
      <c r="N55" s="39" t="n"/>
      <c r="O55" s="29" t="n"/>
      <c r="P55" s="29" t="n"/>
      <c r="Q55" s="29" t="n"/>
      <c r="R55" s="29" t="n"/>
      <c r="S55" s="29" t="n"/>
      <c r="T55" s="29" t="n"/>
      <c r="U55" s="32">
        <f>IF($AJ55=1,IFERROR(INDEX(Lists!$F:$F,MATCH($C55,Lists!$E:$E,0)),"?"),"")</f>
        <v/>
      </c>
      <c r="V55" s="32">
        <f>IF($AJ55=1,IFERROR(INDEX(Lists!$G:$G,MATCH($C55,Lists!$E:$E,0)),"?"),"")</f>
        <v/>
      </c>
      <c r="W55" s="32">
        <f>IF($AJ55=1,IFERROR(INDEX(Treasuries!$E:$E,MATCH($D55,Treasuries!$A:$A,0)),"؟"),"")</f>
        <v/>
      </c>
      <c r="X55" s="32">
        <f>IF(AND($AJ55=1,$E55&lt;&gt;""),IFERROR(INDEX(Treasuries!$E:$E,MATCH($E55,Treasuries!$A:$A,0)),"؟"),"")</f>
        <v/>
      </c>
      <c r="Y55" s="32">
        <f>IF($AJ55=1,IFERROR(INDEX(Treasuries!$D:$D,MATCH($D55,Treasuries!$A:$A,0)),"؟"),"")</f>
        <v/>
      </c>
      <c r="Z55" s="32">
        <f>IF(AND($AJ55=1,$E55&lt;&gt;""),IFERROR(INDEX(Treasuries!$D:$D,MATCH($E55,Treasuries!$A:$A,0)),"؟"),"")</f>
        <v/>
      </c>
      <c r="AA55" s="44">
        <f>IF($AJ55=1,IF($U55="RCV",$W55,IF($U55="PAY",$F55,IF(OR($U55="TRF",$U55="DEP",$U55="WDR"),$X55,IF($U55="SHT",ACC_CASH_SHORT,IF($U55="OVR",$W55,"؟"))))),"")</f>
        <v/>
      </c>
      <c r="AB55" s="44">
        <f>IF($AJ55=1,IF($U55="RCV",$F55,IF($U55="PAY",$W55,IF(OR($U55="TRF",$U55="DEP",$U55="WDR"),$W55,IF($U55="SHT",$W55,IF($U55="OVR",ACC_CASH_OVER,"؟"))))),"")</f>
        <v/>
      </c>
      <c r="AC55" s="32">
        <f>IF($AJ55=1,IF(OR($U55="TRF",$U55="DEP",$U55="WDR"),$Z55,$Y55),"")</f>
        <v/>
      </c>
      <c r="AD55" s="32">
        <f>IF($AJ55=1,$Y55,"")</f>
        <v/>
      </c>
      <c r="AE55" s="32">
        <f>IF($AJ55=1,IF(OR($U55="PAY",$U55="SHT"),IF($L55="","CC00",$L55),"CC00"),"")</f>
        <v/>
      </c>
      <c r="AF55" s="32">
        <f>IF($AJ55=1,IF(OR($U55="RCV",$U55="OVR"),IF($L55="","CC00",$L55),"CC00"),"")</f>
        <v/>
      </c>
      <c r="AG55" s="32">
        <f>IF($AJ55=1,IF(AND($U55="PAY",$G55&lt;&gt;""),$G55,"-"),"")</f>
        <v/>
      </c>
      <c r="AH55" s="32">
        <f>IF($AJ55=1,IF(AND($U55="RCV",$G55&lt;&gt;""),$G55,"-"),"")</f>
        <v/>
      </c>
      <c r="AI55" s="32">
        <f>IF($AJ55=1,IF(OR($U55="TRF",$U55="DEP",$U55="WDR"),"INTERNAL",IF(OR($U55="RCV",$U55="PAY"),IFERROR(IF(INDEX(COA!$I:$I,MATCH($F55,COA!$A:$A,0))="","OPERATING",INDEX(COA!$I:$I,MATCH($F55,COA!$A:$A,0))),"OPERATING"),"OPERATING")),"")</f>
        <v/>
      </c>
      <c r="AJ55" s="32">
        <f>IF(COUNTA($A55:$T55)&gt;0,1,0)</f>
        <v/>
      </c>
      <c r="AK55" s="32">
        <f>IF($AJ55=0,"",IF($A55="","رقم المستند ناقص",IF(COUNTIF(Doc_Register!$A:$A,$A55)&gt;1,"رقم مستند مكرر في السجل المركزي",IF(LEFT($A55,LEN($V55)+1)&lt;&gt;$V55&amp;"-","بادئة الرقم لا تطابق نوع المستند",IF(NOT(ISNUMBER($B55)),"التاريخ ناقص أو غير صحيح",IF($N55="","حالة المستند ناقصة",IF($O55="","اسم المُعِد ناقص",IF(AND(OR($N55=ST_APPR,$N55=ST_POST),$P55=""),"لا يوجد معتمد",IF(AND($P55&lt;&gt;"",$P55=$O55),"المُعِد والمعتمد نفس الشخص (فصل المهام)",IF(AND($N55=ST_POST,$Q55=""),"اسم المحاسب المرحِّل ناقص",IF(AND($N55=ST_POST,$Q55&lt;&gt;"",OR($Q55=$O55,$Q55=$P55)),"المرحِّل يجب أن يختلف عن المُعِد والمعتمد",IF(AND($N55=ST_REV,$S55=""),"مرجع التصحيح/الإلغاء ناقص",IF(AND(ISNUMBER($B55),OR($N55=ST_DRAFT,$N55=ST_APPR),COUNTIFS(Period_Close!$A:$A,YEAR($B55)*100+MONTH($B55),Period_Close!$B:$B,"مقفلة")&gt;0),"الفترة مقفلة: لا يسمح بمستند جديد",IF($U55="?","نوع السند غير معرف",IF(COUNTIFS(COA!$A:$A,$W55,COA!$R:$R,1)&lt;&gt;1,"الخزينة/البنك غير معرف أو غير صالح",IF(NOT(N($I55)&gt;0),"المبلغ يجب أن يكون أكبر من صفر",IF(AND(OR($U55="TRF",$U55="DEP",$U55="WDR"),$E55=""),"الخزينة المستلمة ناقصة",IF(AND(OR($U55="TRF",$U55="DEP",$U55="WDR"),$E55=$D55),"التحويل إلى نفس الخزينة",IF(AND(OR($U55="TRF",$U55="DEP",$U55="WDR"),COUNTIFS(COA!$A:$A,$X55,COA!$R:$R,1)&lt;&gt;1),"الخزينة المستلمة غير صالحة",IF(AND(OR($U55="RCV",$U55="PAY"),$F55=""),"الحساب المقابل ناقص",IF(AND(OR($U55="RCV",$U55="PAY"),COUNTIFS(COA!$A:$A,$F55,COA!$R:$R,1)&lt;&gt;1),"الحساب المقابل غير صالح أو رئيسي",IF(AND(OR($U55="RCV",$U55="PAY"),IFERROR(INDEX(COA!$H:$H,MATCH($F55,COA!$A:$A,0)),0)=1),"الحساب المقابل نقدي: استخدم تحويل بين الخزائن",IF(AND(OR($U55="RCV",$U55="PAY"),$F55=ACC_SUPPLIERS),"سداد الموردين يتم من Supplier_Payments",IF(AND(OR($U55="RCV",$U55="PAY"),$H55=""),"المستلم/الدافع ناقص",IF(AND(OR($U55="RCV",$U55="PAY"),$J55=""),"طريقة الدفع ناقصة",IF(AND(OR($U55="RCV",$U55="PAY"),OR($F55=ACC_CUSTOMERS,$F55=1501,$F55=1502),$G55=""),"كود الجهة إلزامي لهذا الحساب",IF(AND($F55=ACC_CUSTOMERS,$G55&lt;&gt;"",COUNTIF(Customers!$A:$A,$G55)=0),"كود العميل غير معرف",IF(AND(OR($F55=1501,$F55=1502),$G55&lt;&gt;"",COUNTIF(Employees!$A:$A,$G55)=0),"كود الموظف غير معرف",IF(AND($M55&lt;&gt;"",COUNTIF(Doc_Register!$A:$A,$M55)=0),"المستند المرتبط غير موجود",IF(AND(OR($U55="PAY",$U55="SHT"),NOT(COUNTIF(Cost_Centers!$A:$A,$AE55)&gt;0)),"مركز التكلفة غير معرف",""))))))))))))))))))))))))))))))</f>
        <v/>
      </c>
      <c r="AL55" s="32">
        <f>IF($AJ55=1,IF($AK55&lt;&gt;"",1,0),0)</f>
        <v/>
      </c>
      <c r="AM55" s="32">
        <f>IF(AND($AJ55=1,$AL55=0,$N55=ST_POST),1,0)</f>
        <v/>
      </c>
    </row>
    <row r="56">
      <c r="A56" s="29" t="n"/>
      <c r="B56" s="31" t="n"/>
      <c r="C56" s="29" t="n"/>
      <c r="D56" s="39" t="n"/>
      <c r="E56" s="39" t="n"/>
      <c r="F56" s="39" t="n"/>
      <c r="G56" s="29" t="n"/>
      <c r="H56" s="29" t="n"/>
      <c r="I56" s="42" t="n"/>
      <c r="J56" s="29" t="n"/>
      <c r="K56" s="29" t="n"/>
      <c r="L56" s="39" t="n"/>
      <c r="M56" s="29" t="n"/>
      <c r="N56" s="39" t="n"/>
      <c r="O56" s="29" t="n"/>
      <c r="P56" s="29" t="n"/>
      <c r="Q56" s="29" t="n"/>
      <c r="R56" s="29" t="n"/>
      <c r="S56" s="29" t="n"/>
      <c r="T56" s="29" t="n"/>
      <c r="U56" s="32">
        <f>IF($AJ56=1,IFERROR(INDEX(Lists!$F:$F,MATCH($C56,Lists!$E:$E,0)),"?"),"")</f>
        <v/>
      </c>
      <c r="V56" s="32">
        <f>IF($AJ56=1,IFERROR(INDEX(Lists!$G:$G,MATCH($C56,Lists!$E:$E,0)),"?"),"")</f>
        <v/>
      </c>
      <c r="W56" s="32">
        <f>IF($AJ56=1,IFERROR(INDEX(Treasuries!$E:$E,MATCH($D56,Treasuries!$A:$A,0)),"؟"),"")</f>
        <v/>
      </c>
      <c r="X56" s="32">
        <f>IF(AND($AJ56=1,$E56&lt;&gt;""),IFERROR(INDEX(Treasuries!$E:$E,MATCH($E56,Treasuries!$A:$A,0)),"؟"),"")</f>
        <v/>
      </c>
      <c r="Y56" s="32">
        <f>IF($AJ56=1,IFERROR(INDEX(Treasuries!$D:$D,MATCH($D56,Treasuries!$A:$A,0)),"؟"),"")</f>
        <v/>
      </c>
      <c r="Z56" s="32">
        <f>IF(AND($AJ56=1,$E56&lt;&gt;""),IFERROR(INDEX(Treasuries!$D:$D,MATCH($E56,Treasuries!$A:$A,0)),"؟"),"")</f>
        <v/>
      </c>
      <c r="AA56" s="44">
        <f>IF($AJ56=1,IF($U56="RCV",$W56,IF($U56="PAY",$F56,IF(OR($U56="TRF",$U56="DEP",$U56="WDR"),$X56,IF($U56="SHT",ACC_CASH_SHORT,IF($U56="OVR",$W56,"؟"))))),"")</f>
        <v/>
      </c>
      <c r="AB56" s="44">
        <f>IF($AJ56=1,IF($U56="RCV",$F56,IF($U56="PAY",$W56,IF(OR($U56="TRF",$U56="DEP",$U56="WDR"),$W56,IF($U56="SHT",$W56,IF($U56="OVR",ACC_CASH_OVER,"؟"))))),"")</f>
        <v/>
      </c>
      <c r="AC56" s="32">
        <f>IF($AJ56=1,IF(OR($U56="TRF",$U56="DEP",$U56="WDR"),$Z56,$Y56),"")</f>
        <v/>
      </c>
      <c r="AD56" s="32">
        <f>IF($AJ56=1,$Y56,"")</f>
        <v/>
      </c>
      <c r="AE56" s="32">
        <f>IF($AJ56=1,IF(OR($U56="PAY",$U56="SHT"),IF($L56="","CC00",$L56),"CC00"),"")</f>
        <v/>
      </c>
      <c r="AF56" s="32">
        <f>IF($AJ56=1,IF(OR($U56="RCV",$U56="OVR"),IF($L56="","CC00",$L56),"CC00"),"")</f>
        <v/>
      </c>
      <c r="AG56" s="32">
        <f>IF($AJ56=1,IF(AND($U56="PAY",$G56&lt;&gt;""),$G56,"-"),"")</f>
        <v/>
      </c>
      <c r="AH56" s="32">
        <f>IF($AJ56=1,IF(AND($U56="RCV",$G56&lt;&gt;""),$G56,"-"),"")</f>
        <v/>
      </c>
      <c r="AI56" s="32">
        <f>IF($AJ56=1,IF(OR($U56="TRF",$U56="DEP",$U56="WDR"),"INTERNAL",IF(OR($U56="RCV",$U56="PAY"),IFERROR(IF(INDEX(COA!$I:$I,MATCH($F56,COA!$A:$A,0))="","OPERATING",INDEX(COA!$I:$I,MATCH($F56,COA!$A:$A,0))),"OPERATING"),"OPERATING")),"")</f>
        <v/>
      </c>
      <c r="AJ56" s="32">
        <f>IF(COUNTA($A56:$T56)&gt;0,1,0)</f>
        <v/>
      </c>
      <c r="AK56" s="32">
        <f>IF($AJ56=0,"",IF($A56="","رقم المستند ناقص",IF(COUNTIF(Doc_Register!$A:$A,$A56)&gt;1,"رقم مستند مكرر في السجل المركزي",IF(LEFT($A56,LEN($V56)+1)&lt;&gt;$V56&amp;"-","بادئة الرقم لا تطابق نوع المستند",IF(NOT(ISNUMBER($B56)),"التاريخ ناقص أو غير صحيح",IF($N56="","حالة المستند ناقصة",IF($O56="","اسم المُعِد ناقص",IF(AND(OR($N56=ST_APPR,$N56=ST_POST),$P56=""),"لا يوجد معتمد",IF(AND($P56&lt;&gt;"",$P56=$O56),"المُعِد والمعتمد نفس الشخص (فصل المهام)",IF(AND($N56=ST_POST,$Q56=""),"اسم المحاسب المرحِّل ناقص",IF(AND($N56=ST_POST,$Q56&lt;&gt;"",OR($Q56=$O56,$Q56=$P56)),"المرحِّل يجب أن يختلف عن المُعِد والمعتمد",IF(AND($N56=ST_REV,$S56=""),"مرجع التصحيح/الإلغاء ناقص",IF(AND(ISNUMBER($B56),OR($N56=ST_DRAFT,$N56=ST_APPR),COUNTIFS(Period_Close!$A:$A,YEAR($B56)*100+MONTH($B56),Period_Close!$B:$B,"مقفلة")&gt;0),"الفترة مقفلة: لا يسمح بمستند جديد",IF($U56="?","نوع السند غير معرف",IF(COUNTIFS(COA!$A:$A,$W56,COA!$R:$R,1)&lt;&gt;1,"الخزينة/البنك غير معرف أو غير صالح",IF(NOT(N($I56)&gt;0),"المبلغ يجب أن يكون أكبر من صفر",IF(AND(OR($U56="TRF",$U56="DEP",$U56="WDR"),$E56=""),"الخزينة المستلمة ناقصة",IF(AND(OR($U56="TRF",$U56="DEP",$U56="WDR"),$E56=$D56),"التحويل إلى نفس الخزينة",IF(AND(OR($U56="TRF",$U56="DEP",$U56="WDR"),COUNTIFS(COA!$A:$A,$X56,COA!$R:$R,1)&lt;&gt;1),"الخزينة المستلمة غير صالحة",IF(AND(OR($U56="RCV",$U56="PAY"),$F56=""),"الحساب المقابل ناقص",IF(AND(OR($U56="RCV",$U56="PAY"),COUNTIFS(COA!$A:$A,$F56,COA!$R:$R,1)&lt;&gt;1),"الحساب المقابل غير صالح أو رئيسي",IF(AND(OR($U56="RCV",$U56="PAY"),IFERROR(INDEX(COA!$H:$H,MATCH($F56,COA!$A:$A,0)),0)=1),"الحساب المقابل نقدي: استخدم تحويل بين الخزائن",IF(AND(OR($U56="RCV",$U56="PAY"),$F56=ACC_SUPPLIERS),"سداد الموردين يتم من Supplier_Payments",IF(AND(OR($U56="RCV",$U56="PAY"),$H56=""),"المستلم/الدافع ناقص",IF(AND(OR($U56="RCV",$U56="PAY"),$J56=""),"طريقة الدفع ناقصة",IF(AND(OR($U56="RCV",$U56="PAY"),OR($F56=ACC_CUSTOMERS,$F56=1501,$F56=1502),$G56=""),"كود الجهة إلزامي لهذا الحساب",IF(AND($F56=ACC_CUSTOMERS,$G56&lt;&gt;"",COUNTIF(Customers!$A:$A,$G56)=0),"كود العميل غير معرف",IF(AND(OR($F56=1501,$F56=1502),$G56&lt;&gt;"",COUNTIF(Employees!$A:$A,$G56)=0),"كود الموظف غير معرف",IF(AND($M56&lt;&gt;"",COUNTIF(Doc_Register!$A:$A,$M56)=0),"المستند المرتبط غير موجود",IF(AND(OR($U56="PAY",$U56="SHT"),NOT(COUNTIF(Cost_Centers!$A:$A,$AE56)&gt;0)),"مركز التكلفة غير معرف",""))))))))))))))))))))))))))))))</f>
        <v/>
      </c>
      <c r="AL56" s="32">
        <f>IF($AJ56=1,IF($AK56&lt;&gt;"",1,0),0)</f>
        <v/>
      </c>
      <c r="AM56" s="32">
        <f>IF(AND($AJ56=1,$AL56=0,$N56=ST_POST),1,0)</f>
        <v/>
      </c>
    </row>
    <row r="57">
      <c r="A57" s="29" t="n"/>
      <c r="B57" s="31" t="n"/>
      <c r="C57" s="29" t="n"/>
      <c r="D57" s="39" t="n"/>
      <c r="E57" s="39" t="n"/>
      <c r="F57" s="39" t="n"/>
      <c r="G57" s="29" t="n"/>
      <c r="H57" s="29" t="n"/>
      <c r="I57" s="42" t="n"/>
      <c r="J57" s="29" t="n"/>
      <c r="K57" s="29" t="n"/>
      <c r="L57" s="39" t="n"/>
      <c r="M57" s="29" t="n"/>
      <c r="N57" s="39" t="n"/>
      <c r="O57" s="29" t="n"/>
      <c r="P57" s="29" t="n"/>
      <c r="Q57" s="29" t="n"/>
      <c r="R57" s="29" t="n"/>
      <c r="S57" s="29" t="n"/>
      <c r="T57" s="29" t="n"/>
      <c r="U57" s="32">
        <f>IF($AJ57=1,IFERROR(INDEX(Lists!$F:$F,MATCH($C57,Lists!$E:$E,0)),"?"),"")</f>
        <v/>
      </c>
      <c r="V57" s="32">
        <f>IF($AJ57=1,IFERROR(INDEX(Lists!$G:$G,MATCH($C57,Lists!$E:$E,0)),"?"),"")</f>
        <v/>
      </c>
      <c r="W57" s="32">
        <f>IF($AJ57=1,IFERROR(INDEX(Treasuries!$E:$E,MATCH($D57,Treasuries!$A:$A,0)),"؟"),"")</f>
        <v/>
      </c>
      <c r="X57" s="32">
        <f>IF(AND($AJ57=1,$E57&lt;&gt;""),IFERROR(INDEX(Treasuries!$E:$E,MATCH($E57,Treasuries!$A:$A,0)),"؟"),"")</f>
        <v/>
      </c>
      <c r="Y57" s="32">
        <f>IF($AJ57=1,IFERROR(INDEX(Treasuries!$D:$D,MATCH($D57,Treasuries!$A:$A,0)),"؟"),"")</f>
        <v/>
      </c>
      <c r="Z57" s="32">
        <f>IF(AND($AJ57=1,$E57&lt;&gt;""),IFERROR(INDEX(Treasuries!$D:$D,MATCH($E57,Treasuries!$A:$A,0)),"؟"),"")</f>
        <v/>
      </c>
      <c r="AA57" s="44">
        <f>IF($AJ57=1,IF($U57="RCV",$W57,IF($U57="PAY",$F57,IF(OR($U57="TRF",$U57="DEP",$U57="WDR"),$X57,IF($U57="SHT",ACC_CASH_SHORT,IF($U57="OVR",$W57,"؟"))))),"")</f>
        <v/>
      </c>
      <c r="AB57" s="44">
        <f>IF($AJ57=1,IF($U57="RCV",$F57,IF($U57="PAY",$W57,IF(OR($U57="TRF",$U57="DEP",$U57="WDR"),$W57,IF($U57="SHT",$W57,IF($U57="OVR",ACC_CASH_OVER,"؟"))))),"")</f>
        <v/>
      </c>
      <c r="AC57" s="32">
        <f>IF($AJ57=1,IF(OR($U57="TRF",$U57="DEP",$U57="WDR"),$Z57,$Y57),"")</f>
        <v/>
      </c>
      <c r="AD57" s="32">
        <f>IF($AJ57=1,$Y57,"")</f>
        <v/>
      </c>
      <c r="AE57" s="32">
        <f>IF($AJ57=1,IF(OR($U57="PAY",$U57="SHT"),IF($L57="","CC00",$L57),"CC00"),"")</f>
        <v/>
      </c>
      <c r="AF57" s="32">
        <f>IF($AJ57=1,IF(OR($U57="RCV",$U57="OVR"),IF($L57="","CC00",$L57),"CC00"),"")</f>
        <v/>
      </c>
      <c r="AG57" s="32">
        <f>IF($AJ57=1,IF(AND($U57="PAY",$G57&lt;&gt;""),$G57,"-"),"")</f>
        <v/>
      </c>
      <c r="AH57" s="32">
        <f>IF($AJ57=1,IF(AND($U57="RCV",$G57&lt;&gt;""),$G57,"-"),"")</f>
        <v/>
      </c>
      <c r="AI57" s="32">
        <f>IF($AJ57=1,IF(OR($U57="TRF",$U57="DEP",$U57="WDR"),"INTERNAL",IF(OR($U57="RCV",$U57="PAY"),IFERROR(IF(INDEX(COA!$I:$I,MATCH($F57,COA!$A:$A,0))="","OPERATING",INDEX(COA!$I:$I,MATCH($F57,COA!$A:$A,0))),"OPERATING"),"OPERATING")),"")</f>
        <v/>
      </c>
      <c r="AJ57" s="32">
        <f>IF(COUNTA($A57:$T57)&gt;0,1,0)</f>
        <v/>
      </c>
      <c r="AK57" s="32">
        <f>IF($AJ57=0,"",IF($A57="","رقم المستند ناقص",IF(COUNTIF(Doc_Register!$A:$A,$A57)&gt;1,"رقم مستند مكرر في السجل المركزي",IF(LEFT($A57,LEN($V57)+1)&lt;&gt;$V57&amp;"-","بادئة الرقم لا تطابق نوع المستند",IF(NOT(ISNUMBER($B57)),"التاريخ ناقص أو غير صحيح",IF($N57="","حالة المستند ناقصة",IF($O57="","اسم المُعِد ناقص",IF(AND(OR($N57=ST_APPR,$N57=ST_POST),$P57=""),"لا يوجد معتمد",IF(AND($P57&lt;&gt;"",$P57=$O57),"المُعِد والمعتمد نفس الشخص (فصل المهام)",IF(AND($N57=ST_POST,$Q57=""),"اسم المحاسب المرحِّل ناقص",IF(AND($N57=ST_POST,$Q57&lt;&gt;"",OR($Q57=$O57,$Q57=$P57)),"المرحِّل يجب أن يختلف عن المُعِد والمعتمد",IF(AND($N57=ST_REV,$S57=""),"مرجع التصحيح/الإلغاء ناقص",IF(AND(ISNUMBER($B57),OR($N57=ST_DRAFT,$N57=ST_APPR),COUNTIFS(Period_Close!$A:$A,YEAR($B57)*100+MONTH($B57),Period_Close!$B:$B,"مقفلة")&gt;0),"الفترة مقفلة: لا يسمح بمستند جديد",IF($U57="?","نوع السند غير معرف",IF(COUNTIFS(COA!$A:$A,$W57,COA!$R:$R,1)&lt;&gt;1,"الخزينة/البنك غير معرف أو غير صالح",IF(NOT(N($I57)&gt;0),"المبلغ يجب أن يكون أكبر من صفر",IF(AND(OR($U57="TRF",$U57="DEP",$U57="WDR"),$E57=""),"الخزينة المستلمة ناقصة",IF(AND(OR($U57="TRF",$U57="DEP",$U57="WDR"),$E57=$D57),"التحويل إلى نفس الخزينة",IF(AND(OR($U57="TRF",$U57="DEP",$U57="WDR"),COUNTIFS(COA!$A:$A,$X57,COA!$R:$R,1)&lt;&gt;1),"الخزينة المستلمة غير صالحة",IF(AND(OR($U57="RCV",$U57="PAY"),$F57=""),"الحساب المقابل ناقص",IF(AND(OR($U57="RCV",$U57="PAY"),COUNTIFS(COA!$A:$A,$F57,COA!$R:$R,1)&lt;&gt;1),"الحساب المقابل غير صالح أو رئيسي",IF(AND(OR($U57="RCV",$U57="PAY"),IFERROR(INDEX(COA!$H:$H,MATCH($F57,COA!$A:$A,0)),0)=1),"الحساب المقابل نقدي: استخدم تحويل بين الخزائن",IF(AND(OR($U57="RCV",$U57="PAY"),$F57=ACC_SUPPLIERS),"سداد الموردين يتم من Supplier_Payments",IF(AND(OR($U57="RCV",$U57="PAY"),$H57=""),"المستلم/الدافع ناقص",IF(AND(OR($U57="RCV",$U57="PAY"),$J57=""),"طريقة الدفع ناقصة",IF(AND(OR($U57="RCV",$U57="PAY"),OR($F57=ACC_CUSTOMERS,$F57=1501,$F57=1502),$G57=""),"كود الجهة إلزامي لهذا الحساب",IF(AND($F57=ACC_CUSTOMERS,$G57&lt;&gt;"",COUNTIF(Customers!$A:$A,$G57)=0),"كود العميل غير معرف",IF(AND(OR($F57=1501,$F57=1502),$G57&lt;&gt;"",COUNTIF(Employees!$A:$A,$G57)=0),"كود الموظف غير معرف",IF(AND($M57&lt;&gt;"",COUNTIF(Doc_Register!$A:$A,$M57)=0),"المستند المرتبط غير موجود",IF(AND(OR($U57="PAY",$U57="SHT"),NOT(COUNTIF(Cost_Centers!$A:$A,$AE57)&gt;0)),"مركز التكلفة غير معرف",""))))))))))))))))))))))))))))))</f>
        <v/>
      </c>
      <c r="AL57" s="32">
        <f>IF($AJ57=1,IF($AK57&lt;&gt;"",1,0),0)</f>
        <v/>
      </c>
      <c r="AM57" s="32">
        <f>IF(AND($AJ57=1,$AL57=0,$N57=ST_POST),1,0)</f>
        <v/>
      </c>
    </row>
    <row r="58">
      <c r="A58" s="29" t="n"/>
      <c r="B58" s="31" t="n"/>
      <c r="C58" s="29" t="n"/>
      <c r="D58" s="39" t="n"/>
      <c r="E58" s="39" t="n"/>
      <c r="F58" s="39" t="n"/>
      <c r="G58" s="29" t="n"/>
      <c r="H58" s="29" t="n"/>
      <c r="I58" s="42" t="n"/>
      <c r="J58" s="29" t="n"/>
      <c r="K58" s="29" t="n"/>
      <c r="L58" s="39" t="n"/>
      <c r="M58" s="29" t="n"/>
      <c r="N58" s="39" t="n"/>
      <c r="O58" s="29" t="n"/>
      <c r="P58" s="29" t="n"/>
      <c r="Q58" s="29" t="n"/>
      <c r="R58" s="29" t="n"/>
      <c r="S58" s="29" t="n"/>
      <c r="T58" s="29" t="n"/>
      <c r="U58" s="32">
        <f>IF($AJ58=1,IFERROR(INDEX(Lists!$F:$F,MATCH($C58,Lists!$E:$E,0)),"?"),"")</f>
        <v/>
      </c>
      <c r="V58" s="32">
        <f>IF($AJ58=1,IFERROR(INDEX(Lists!$G:$G,MATCH($C58,Lists!$E:$E,0)),"?"),"")</f>
        <v/>
      </c>
      <c r="W58" s="32">
        <f>IF($AJ58=1,IFERROR(INDEX(Treasuries!$E:$E,MATCH($D58,Treasuries!$A:$A,0)),"؟"),"")</f>
        <v/>
      </c>
      <c r="X58" s="32">
        <f>IF(AND($AJ58=1,$E58&lt;&gt;""),IFERROR(INDEX(Treasuries!$E:$E,MATCH($E58,Treasuries!$A:$A,0)),"؟"),"")</f>
        <v/>
      </c>
      <c r="Y58" s="32">
        <f>IF($AJ58=1,IFERROR(INDEX(Treasuries!$D:$D,MATCH($D58,Treasuries!$A:$A,0)),"؟"),"")</f>
        <v/>
      </c>
      <c r="Z58" s="32">
        <f>IF(AND($AJ58=1,$E58&lt;&gt;""),IFERROR(INDEX(Treasuries!$D:$D,MATCH($E58,Treasuries!$A:$A,0)),"؟"),"")</f>
        <v/>
      </c>
      <c r="AA58" s="44">
        <f>IF($AJ58=1,IF($U58="RCV",$W58,IF($U58="PAY",$F58,IF(OR($U58="TRF",$U58="DEP",$U58="WDR"),$X58,IF($U58="SHT",ACC_CASH_SHORT,IF($U58="OVR",$W58,"؟"))))),"")</f>
        <v/>
      </c>
      <c r="AB58" s="44">
        <f>IF($AJ58=1,IF($U58="RCV",$F58,IF($U58="PAY",$W58,IF(OR($U58="TRF",$U58="DEP",$U58="WDR"),$W58,IF($U58="SHT",$W58,IF($U58="OVR",ACC_CASH_OVER,"؟"))))),"")</f>
        <v/>
      </c>
      <c r="AC58" s="32">
        <f>IF($AJ58=1,IF(OR($U58="TRF",$U58="DEP",$U58="WDR"),$Z58,$Y58),"")</f>
        <v/>
      </c>
      <c r="AD58" s="32">
        <f>IF($AJ58=1,$Y58,"")</f>
        <v/>
      </c>
      <c r="AE58" s="32">
        <f>IF($AJ58=1,IF(OR($U58="PAY",$U58="SHT"),IF($L58="","CC00",$L58),"CC00"),"")</f>
        <v/>
      </c>
      <c r="AF58" s="32">
        <f>IF($AJ58=1,IF(OR($U58="RCV",$U58="OVR"),IF($L58="","CC00",$L58),"CC00"),"")</f>
        <v/>
      </c>
      <c r="AG58" s="32">
        <f>IF($AJ58=1,IF(AND($U58="PAY",$G58&lt;&gt;""),$G58,"-"),"")</f>
        <v/>
      </c>
      <c r="AH58" s="32">
        <f>IF($AJ58=1,IF(AND($U58="RCV",$G58&lt;&gt;""),$G58,"-"),"")</f>
        <v/>
      </c>
      <c r="AI58" s="32">
        <f>IF($AJ58=1,IF(OR($U58="TRF",$U58="DEP",$U58="WDR"),"INTERNAL",IF(OR($U58="RCV",$U58="PAY"),IFERROR(IF(INDEX(COA!$I:$I,MATCH($F58,COA!$A:$A,0))="","OPERATING",INDEX(COA!$I:$I,MATCH($F58,COA!$A:$A,0))),"OPERATING"),"OPERATING")),"")</f>
        <v/>
      </c>
      <c r="AJ58" s="32">
        <f>IF(COUNTA($A58:$T58)&gt;0,1,0)</f>
        <v/>
      </c>
      <c r="AK58" s="32">
        <f>IF($AJ58=0,"",IF($A58="","رقم المستند ناقص",IF(COUNTIF(Doc_Register!$A:$A,$A58)&gt;1,"رقم مستند مكرر في السجل المركزي",IF(LEFT($A58,LEN($V58)+1)&lt;&gt;$V58&amp;"-","بادئة الرقم لا تطابق نوع المستند",IF(NOT(ISNUMBER($B58)),"التاريخ ناقص أو غير صحيح",IF($N58="","حالة المستند ناقصة",IF($O58="","اسم المُعِد ناقص",IF(AND(OR($N58=ST_APPR,$N58=ST_POST),$P58=""),"لا يوجد معتمد",IF(AND($P58&lt;&gt;"",$P58=$O58),"المُعِد والمعتمد نفس الشخص (فصل المهام)",IF(AND($N58=ST_POST,$Q58=""),"اسم المحاسب المرحِّل ناقص",IF(AND($N58=ST_POST,$Q58&lt;&gt;"",OR($Q58=$O58,$Q58=$P58)),"المرحِّل يجب أن يختلف عن المُعِد والمعتمد",IF(AND($N58=ST_REV,$S58=""),"مرجع التصحيح/الإلغاء ناقص",IF(AND(ISNUMBER($B58),OR($N58=ST_DRAFT,$N58=ST_APPR),COUNTIFS(Period_Close!$A:$A,YEAR($B58)*100+MONTH($B58),Period_Close!$B:$B,"مقفلة")&gt;0),"الفترة مقفلة: لا يسمح بمستند جديد",IF($U58="?","نوع السند غير معرف",IF(COUNTIFS(COA!$A:$A,$W58,COA!$R:$R,1)&lt;&gt;1,"الخزينة/البنك غير معرف أو غير صالح",IF(NOT(N($I58)&gt;0),"المبلغ يجب أن يكون أكبر من صفر",IF(AND(OR($U58="TRF",$U58="DEP",$U58="WDR"),$E58=""),"الخزينة المستلمة ناقصة",IF(AND(OR($U58="TRF",$U58="DEP",$U58="WDR"),$E58=$D58),"التحويل إلى نفس الخزينة",IF(AND(OR($U58="TRF",$U58="DEP",$U58="WDR"),COUNTIFS(COA!$A:$A,$X58,COA!$R:$R,1)&lt;&gt;1),"الخزينة المستلمة غير صالحة",IF(AND(OR($U58="RCV",$U58="PAY"),$F58=""),"الحساب المقابل ناقص",IF(AND(OR($U58="RCV",$U58="PAY"),COUNTIFS(COA!$A:$A,$F58,COA!$R:$R,1)&lt;&gt;1),"الحساب المقابل غير صالح أو رئيسي",IF(AND(OR($U58="RCV",$U58="PAY"),IFERROR(INDEX(COA!$H:$H,MATCH($F58,COA!$A:$A,0)),0)=1),"الحساب المقابل نقدي: استخدم تحويل بين الخزائن",IF(AND(OR($U58="RCV",$U58="PAY"),$F58=ACC_SUPPLIERS),"سداد الموردين يتم من Supplier_Payments",IF(AND(OR($U58="RCV",$U58="PAY"),$H58=""),"المستلم/الدافع ناقص",IF(AND(OR($U58="RCV",$U58="PAY"),$J58=""),"طريقة الدفع ناقصة",IF(AND(OR($U58="RCV",$U58="PAY"),OR($F58=ACC_CUSTOMERS,$F58=1501,$F58=1502),$G58=""),"كود الجهة إلزامي لهذا الحساب",IF(AND($F58=ACC_CUSTOMERS,$G58&lt;&gt;"",COUNTIF(Customers!$A:$A,$G58)=0),"كود العميل غير معرف",IF(AND(OR($F58=1501,$F58=1502),$G58&lt;&gt;"",COUNTIF(Employees!$A:$A,$G58)=0),"كود الموظف غير معرف",IF(AND($M58&lt;&gt;"",COUNTIF(Doc_Register!$A:$A,$M58)=0),"المستند المرتبط غير موجود",IF(AND(OR($U58="PAY",$U58="SHT"),NOT(COUNTIF(Cost_Centers!$A:$A,$AE58)&gt;0)),"مركز التكلفة غير معرف",""))))))))))))))))))))))))))))))</f>
        <v/>
      </c>
      <c r="AL58" s="32">
        <f>IF($AJ58=1,IF($AK58&lt;&gt;"",1,0),0)</f>
        <v/>
      </c>
      <c r="AM58" s="32">
        <f>IF(AND($AJ58=1,$AL58=0,$N58=ST_POST),1,0)</f>
        <v/>
      </c>
    </row>
    <row r="59">
      <c r="A59" s="29" t="n"/>
      <c r="B59" s="31" t="n"/>
      <c r="C59" s="29" t="n"/>
      <c r="D59" s="39" t="n"/>
      <c r="E59" s="39" t="n"/>
      <c r="F59" s="39" t="n"/>
      <c r="G59" s="29" t="n"/>
      <c r="H59" s="29" t="n"/>
      <c r="I59" s="42" t="n"/>
      <c r="J59" s="29" t="n"/>
      <c r="K59" s="29" t="n"/>
      <c r="L59" s="39" t="n"/>
      <c r="M59" s="29" t="n"/>
      <c r="N59" s="39" t="n"/>
      <c r="O59" s="29" t="n"/>
      <c r="P59" s="29" t="n"/>
      <c r="Q59" s="29" t="n"/>
      <c r="R59" s="29" t="n"/>
      <c r="S59" s="29" t="n"/>
      <c r="T59" s="29" t="n"/>
      <c r="U59" s="32">
        <f>IF($AJ59=1,IFERROR(INDEX(Lists!$F:$F,MATCH($C59,Lists!$E:$E,0)),"?"),"")</f>
        <v/>
      </c>
      <c r="V59" s="32">
        <f>IF($AJ59=1,IFERROR(INDEX(Lists!$G:$G,MATCH($C59,Lists!$E:$E,0)),"?"),"")</f>
        <v/>
      </c>
      <c r="W59" s="32">
        <f>IF($AJ59=1,IFERROR(INDEX(Treasuries!$E:$E,MATCH($D59,Treasuries!$A:$A,0)),"؟"),"")</f>
        <v/>
      </c>
      <c r="X59" s="32">
        <f>IF(AND($AJ59=1,$E59&lt;&gt;""),IFERROR(INDEX(Treasuries!$E:$E,MATCH($E59,Treasuries!$A:$A,0)),"؟"),"")</f>
        <v/>
      </c>
      <c r="Y59" s="32">
        <f>IF($AJ59=1,IFERROR(INDEX(Treasuries!$D:$D,MATCH($D59,Treasuries!$A:$A,0)),"؟"),"")</f>
        <v/>
      </c>
      <c r="Z59" s="32">
        <f>IF(AND($AJ59=1,$E59&lt;&gt;""),IFERROR(INDEX(Treasuries!$D:$D,MATCH($E59,Treasuries!$A:$A,0)),"؟"),"")</f>
        <v/>
      </c>
      <c r="AA59" s="44">
        <f>IF($AJ59=1,IF($U59="RCV",$W59,IF($U59="PAY",$F59,IF(OR($U59="TRF",$U59="DEP",$U59="WDR"),$X59,IF($U59="SHT",ACC_CASH_SHORT,IF($U59="OVR",$W59,"؟"))))),"")</f>
        <v/>
      </c>
      <c r="AB59" s="44">
        <f>IF($AJ59=1,IF($U59="RCV",$F59,IF($U59="PAY",$W59,IF(OR($U59="TRF",$U59="DEP",$U59="WDR"),$W59,IF($U59="SHT",$W59,IF($U59="OVR",ACC_CASH_OVER,"؟"))))),"")</f>
        <v/>
      </c>
      <c r="AC59" s="32">
        <f>IF($AJ59=1,IF(OR($U59="TRF",$U59="DEP",$U59="WDR"),$Z59,$Y59),"")</f>
        <v/>
      </c>
      <c r="AD59" s="32">
        <f>IF($AJ59=1,$Y59,"")</f>
        <v/>
      </c>
      <c r="AE59" s="32">
        <f>IF($AJ59=1,IF(OR($U59="PAY",$U59="SHT"),IF($L59="","CC00",$L59),"CC00"),"")</f>
        <v/>
      </c>
      <c r="AF59" s="32">
        <f>IF($AJ59=1,IF(OR($U59="RCV",$U59="OVR"),IF($L59="","CC00",$L59),"CC00"),"")</f>
        <v/>
      </c>
      <c r="AG59" s="32">
        <f>IF($AJ59=1,IF(AND($U59="PAY",$G59&lt;&gt;""),$G59,"-"),"")</f>
        <v/>
      </c>
      <c r="AH59" s="32">
        <f>IF($AJ59=1,IF(AND($U59="RCV",$G59&lt;&gt;""),$G59,"-"),"")</f>
        <v/>
      </c>
      <c r="AI59" s="32">
        <f>IF($AJ59=1,IF(OR($U59="TRF",$U59="DEP",$U59="WDR"),"INTERNAL",IF(OR($U59="RCV",$U59="PAY"),IFERROR(IF(INDEX(COA!$I:$I,MATCH($F59,COA!$A:$A,0))="","OPERATING",INDEX(COA!$I:$I,MATCH($F59,COA!$A:$A,0))),"OPERATING"),"OPERATING")),"")</f>
        <v/>
      </c>
      <c r="AJ59" s="32">
        <f>IF(COUNTA($A59:$T59)&gt;0,1,0)</f>
        <v/>
      </c>
      <c r="AK59" s="32">
        <f>IF($AJ59=0,"",IF($A59="","رقم المستند ناقص",IF(COUNTIF(Doc_Register!$A:$A,$A59)&gt;1,"رقم مستند مكرر في السجل المركزي",IF(LEFT($A59,LEN($V59)+1)&lt;&gt;$V59&amp;"-","بادئة الرقم لا تطابق نوع المستند",IF(NOT(ISNUMBER($B59)),"التاريخ ناقص أو غير صحيح",IF($N59="","حالة المستند ناقصة",IF($O59="","اسم المُعِد ناقص",IF(AND(OR($N59=ST_APPR,$N59=ST_POST),$P59=""),"لا يوجد معتمد",IF(AND($P59&lt;&gt;"",$P59=$O59),"المُعِد والمعتمد نفس الشخص (فصل المهام)",IF(AND($N59=ST_POST,$Q59=""),"اسم المحاسب المرحِّل ناقص",IF(AND($N59=ST_POST,$Q59&lt;&gt;"",OR($Q59=$O59,$Q59=$P59)),"المرحِّل يجب أن يختلف عن المُعِد والمعتمد",IF(AND($N59=ST_REV,$S59=""),"مرجع التصحيح/الإلغاء ناقص",IF(AND(ISNUMBER($B59),OR($N59=ST_DRAFT,$N59=ST_APPR),COUNTIFS(Period_Close!$A:$A,YEAR($B59)*100+MONTH($B59),Period_Close!$B:$B,"مقفلة")&gt;0),"الفترة مقفلة: لا يسمح بمستند جديد",IF($U59="?","نوع السند غير معرف",IF(COUNTIFS(COA!$A:$A,$W59,COA!$R:$R,1)&lt;&gt;1,"الخزينة/البنك غير معرف أو غير صالح",IF(NOT(N($I59)&gt;0),"المبلغ يجب أن يكون أكبر من صفر",IF(AND(OR($U59="TRF",$U59="DEP",$U59="WDR"),$E59=""),"الخزينة المستلمة ناقصة",IF(AND(OR($U59="TRF",$U59="DEP",$U59="WDR"),$E59=$D59),"التحويل إلى نفس الخزينة",IF(AND(OR($U59="TRF",$U59="DEP",$U59="WDR"),COUNTIFS(COA!$A:$A,$X59,COA!$R:$R,1)&lt;&gt;1),"الخزينة المستلمة غير صالحة",IF(AND(OR($U59="RCV",$U59="PAY"),$F59=""),"الحساب المقابل ناقص",IF(AND(OR($U59="RCV",$U59="PAY"),COUNTIFS(COA!$A:$A,$F59,COA!$R:$R,1)&lt;&gt;1),"الحساب المقابل غير صالح أو رئيسي",IF(AND(OR($U59="RCV",$U59="PAY"),IFERROR(INDEX(COA!$H:$H,MATCH($F59,COA!$A:$A,0)),0)=1),"الحساب المقابل نقدي: استخدم تحويل بين الخزائن",IF(AND(OR($U59="RCV",$U59="PAY"),$F59=ACC_SUPPLIERS),"سداد الموردين يتم من Supplier_Payments",IF(AND(OR($U59="RCV",$U59="PAY"),$H59=""),"المستلم/الدافع ناقص",IF(AND(OR($U59="RCV",$U59="PAY"),$J59=""),"طريقة الدفع ناقصة",IF(AND(OR($U59="RCV",$U59="PAY"),OR($F59=ACC_CUSTOMERS,$F59=1501,$F59=1502),$G59=""),"كود الجهة إلزامي لهذا الحساب",IF(AND($F59=ACC_CUSTOMERS,$G59&lt;&gt;"",COUNTIF(Customers!$A:$A,$G59)=0),"كود العميل غير معرف",IF(AND(OR($F59=1501,$F59=1502),$G59&lt;&gt;"",COUNTIF(Employees!$A:$A,$G59)=0),"كود الموظف غير معرف",IF(AND($M59&lt;&gt;"",COUNTIF(Doc_Register!$A:$A,$M59)=0),"المستند المرتبط غير موجود",IF(AND(OR($U59="PAY",$U59="SHT"),NOT(COUNTIF(Cost_Centers!$A:$A,$AE59)&gt;0)),"مركز التكلفة غير معرف",""))))))))))))))))))))))))))))))</f>
        <v/>
      </c>
      <c r="AL59" s="32">
        <f>IF($AJ59=1,IF($AK59&lt;&gt;"",1,0),0)</f>
        <v/>
      </c>
      <c r="AM59" s="32">
        <f>IF(AND($AJ59=1,$AL59=0,$N59=ST_POST),1,0)</f>
        <v/>
      </c>
    </row>
    <row r="60">
      <c r="A60" s="29" t="n"/>
      <c r="B60" s="31" t="n"/>
      <c r="C60" s="29" t="n"/>
      <c r="D60" s="39" t="n"/>
      <c r="E60" s="39" t="n"/>
      <c r="F60" s="39" t="n"/>
      <c r="G60" s="29" t="n"/>
      <c r="H60" s="29" t="n"/>
      <c r="I60" s="42" t="n"/>
      <c r="J60" s="29" t="n"/>
      <c r="K60" s="29" t="n"/>
      <c r="L60" s="39" t="n"/>
      <c r="M60" s="29" t="n"/>
      <c r="N60" s="39" t="n"/>
      <c r="O60" s="29" t="n"/>
      <c r="P60" s="29" t="n"/>
      <c r="Q60" s="29" t="n"/>
      <c r="R60" s="29" t="n"/>
      <c r="S60" s="29" t="n"/>
      <c r="T60" s="29" t="n"/>
      <c r="U60" s="32">
        <f>IF($AJ60=1,IFERROR(INDEX(Lists!$F:$F,MATCH($C60,Lists!$E:$E,0)),"?"),"")</f>
        <v/>
      </c>
      <c r="V60" s="32">
        <f>IF($AJ60=1,IFERROR(INDEX(Lists!$G:$G,MATCH($C60,Lists!$E:$E,0)),"?"),"")</f>
        <v/>
      </c>
      <c r="W60" s="32">
        <f>IF($AJ60=1,IFERROR(INDEX(Treasuries!$E:$E,MATCH($D60,Treasuries!$A:$A,0)),"؟"),"")</f>
        <v/>
      </c>
      <c r="X60" s="32">
        <f>IF(AND($AJ60=1,$E60&lt;&gt;""),IFERROR(INDEX(Treasuries!$E:$E,MATCH($E60,Treasuries!$A:$A,0)),"؟"),"")</f>
        <v/>
      </c>
      <c r="Y60" s="32">
        <f>IF($AJ60=1,IFERROR(INDEX(Treasuries!$D:$D,MATCH($D60,Treasuries!$A:$A,0)),"؟"),"")</f>
        <v/>
      </c>
      <c r="Z60" s="32">
        <f>IF(AND($AJ60=1,$E60&lt;&gt;""),IFERROR(INDEX(Treasuries!$D:$D,MATCH($E60,Treasuries!$A:$A,0)),"؟"),"")</f>
        <v/>
      </c>
      <c r="AA60" s="44">
        <f>IF($AJ60=1,IF($U60="RCV",$W60,IF($U60="PAY",$F60,IF(OR($U60="TRF",$U60="DEP",$U60="WDR"),$X60,IF($U60="SHT",ACC_CASH_SHORT,IF($U60="OVR",$W60,"؟"))))),"")</f>
        <v/>
      </c>
      <c r="AB60" s="44">
        <f>IF($AJ60=1,IF($U60="RCV",$F60,IF($U60="PAY",$W60,IF(OR($U60="TRF",$U60="DEP",$U60="WDR"),$W60,IF($U60="SHT",$W60,IF($U60="OVR",ACC_CASH_OVER,"؟"))))),"")</f>
        <v/>
      </c>
      <c r="AC60" s="32">
        <f>IF($AJ60=1,IF(OR($U60="TRF",$U60="DEP",$U60="WDR"),$Z60,$Y60),"")</f>
        <v/>
      </c>
      <c r="AD60" s="32">
        <f>IF($AJ60=1,$Y60,"")</f>
        <v/>
      </c>
      <c r="AE60" s="32">
        <f>IF($AJ60=1,IF(OR($U60="PAY",$U60="SHT"),IF($L60="","CC00",$L60),"CC00"),"")</f>
        <v/>
      </c>
      <c r="AF60" s="32">
        <f>IF($AJ60=1,IF(OR($U60="RCV",$U60="OVR"),IF($L60="","CC00",$L60),"CC00"),"")</f>
        <v/>
      </c>
      <c r="AG60" s="32">
        <f>IF($AJ60=1,IF(AND($U60="PAY",$G60&lt;&gt;""),$G60,"-"),"")</f>
        <v/>
      </c>
      <c r="AH60" s="32">
        <f>IF($AJ60=1,IF(AND($U60="RCV",$G60&lt;&gt;""),$G60,"-"),"")</f>
        <v/>
      </c>
      <c r="AI60" s="32">
        <f>IF($AJ60=1,IF(OR($U60="TRF",$U60="DEP",$U60="WDR"),"INTERNAL",IF(OR($U60="RCV",$U60="PAY"),IFERROR(IF(INDEX(COA!$I:$I,MATCH($F60,COA!$A:$A,0))="","OPERATING",INDEX(COA!$I:$I,MATCH($F60,COA!$A:$A,0))),"OPERATING"),"OPERATING")),"")</f>
        <v/>
      </c>
      <c r="AJ60" s="32">
        <f>IF(COUNTA($A60:$T60)&gt;0,1,0)</f>
        <v/>
      </c>
      <c r="AK60" s="32">
        <f>IF($AJ60=0,"",IF($A60="","رقم المستند ناقص",IF(COUNTIF(Doc_Register!$A:$A,$A60)&gt;1,"رقم مستند مكرر في السجل المركزي",IF(LEFT($A60,LEN($V60)+1)&lt;&gt;$V60&amp;"-","بادئة الرقم لا تطابق نوع المستند",IF(NOT(ISNUMBER($B60)),"التاريخ ناقص أو غير صحيح",IF($N60="","حالة المستند ناقصة",IF($O60="","اسم المُعِد ناقص",IF(AND(OR($N60=ST_APPR,$N60=ST_POST),$P60=""),"لا يوجد معتمد",IF(AND($P60&lt;&gt;"",$P60=$O60),"المُعِد والمعتمد نفس الشخص (فصل المهام)",IF(AND($N60=ST_POST,$Q60=""),"اسم المحاسب المرحِّل ناقص",IF(AND($N60=ST_POST,$Q60&lt;&gt;"",OR($Q60=$O60,$Q60=$P60)),"المرحِّل يجب أن يختلف عن المُعِد والمعتمد",IF(AND($N60=ST_REV,$S60=""),"مرجع التصحيح/الإلغاء ناقص",IF(AND(ISNUMBER($B60),OR($N60=ST_DRAFT,$N60=ST_APPR),COUNTIFS(Period_Close!$A:$A,YEAR($B60)*100+MONTH($B60),Period_Close!$B:$B,"مقفلة")&gt;0),"الفترة مقفلة: لا يسمح بمستند جديد",IF($U60="?","نوع السند غير معرف",IF(COUNTIFS(COA!$A:$A,$W60,COA!$R:$R,1)&lt;&gt;1,"الخزينة/البنك غير معرف أو غير صالح",IF(NOT(N($I60)&gt;0),"المبلغ يجب أن يكون أكبر من صفر",IF(AND(OR($U60="TRF",$U60="DEP",$U60="WDR"),$E60=""),"الخزينة المستلمة ناقصة",IF(AND(OR($U60="TRF",$U60="DEP",$U60="WDR"),$E60=$D60),"التحويل إلى نفس الخزينة",IF(AND(OR($U60="TRF",$U60="DEP",$U60="WDR"),COUNTIFS(COA!$A:$A,$X60,COA!$R:$R,1)&lt;&gt;1),"الخزينة المستلمة غير صالحة",IF(AND(OR($U60="RCV",$U60="PAY"),$F60=""),"الحساب المقابل ناقص",IF(AND(OR($U60="RCV",$U60="PAY"),COUNTIFS(COA!$A:$A,$F60,COA!$R:$R,1)&lt;&gt;1),"الحساب المقابل غير صالح أو رئيسي",IF(AND(OR($U60="RCV",$U60="PAY"),IFERROR(INDEX(COA!$H:$H,MATCH($F60,COA!$A:$A,0)),0)=1),"الحساب المقابل نقدي: استخدم تحويل بين الخزائن",IF(AND(OR($U60="RCV",$U60="PAY"),$F60=ACC_SUPPLIERS),"سداد الموردين يتم من Supplier_Payments",IF(AND(OR($U60="RCV",$U60="PAY"),$H60=""),"المستلم/الدافع ناقص",IF(AND(OR($U60="RCV",$U60="PAY"),$J60=""),"طريقة الدفع ناقصة",IF(AND(OR($U60="RCV",$U60="PAY"),OR($F60=ACC_CUSTOMERS,$F60=1501,$F60=1502),$G60=""),"كود الجهة إلزامي لهذا الحساب",IF(AND($F60=ACC_CUSTOMERS,$G60&lt;&gt;"",COUNTIF(Customers!$A:$A,$G60)=0),"كود العميل غير معرف",IF(AND(OR($F60=1501,$F60=1502),$G60&lt;&gt;"",COUNTIF(Employees!$A:$A,$G60)=0),"كود الموظف غير معرف",IF(AND($M60&lt;&gt;"",COUNTIF(Doc_Register!$A:$A,$M60)=0),"المستند المرتبط غير موجود",IF(AND(OR($U60="PAY",$U60="SHT"),NOT(COUNTIF(Cost_Centers!$A:$A,$AE60)&gt;0)),"مركز التكلفة غير معرف",""))))))))))))))))))))))))))))))</f>
        <v/>
      </c>
      <c r="AL60" s="32">
        <f>IF($AJ60=1,IF($AK60&lt;&gt;"",1,0),0)</f>
        <v/>
      </c>
      <c r="AM60" s="32">
        <f>IF(AND($AJ60=1,$AL60=0,$N60=ST_POST),1,0)</f>
        <v/>
      </c>
    </row>
    <row r="61">
      <c r="A61" s="29" t="n"/>
      <c r="B61" s="31" t="n"/>
      <c r="C61" s="29" t="n"/>
      <c r="D61" s="39" t="n"/>
      <c r="E61" s="39" t="n"/>
      <c r="F61" s="39" t="n"/>
      <c r="G61" s="29" t="n"/>
      <c r="H61" s="29" t="n"/>
      <c r="I61" s="42" t="n"/>
      <c r="J61" s="29" t="n"/>
      <c r="K61" s="29" t="n"/>
      <c r="L61" s="39" t="n"/>
      <c r="M61" s="29" t="n"/>
      <c r="N61" s="39" t="n"/>
      <c r="O61" s="29" t="n"/>
      <c r="P61" s="29" t="n"/>
      <c r="Q61" s="29" t="n"/>
      <c r="R61" s="29" t="n"/>
      <c r="S61" s="29" t="n"/>
      <c r="T61" s="29" t="n"/>
      <c r="U61" s="32">
        <f>IF($AJ61=1,IFERROR(INDEX(Lists!$F:$F,MATCH($C61,Lists!$E:$E,0)),"?"),"")</f>
        <v/>
      </c>
      <c r="V61" s="32">
        <f>IF($AJ61=1,IFERROR(INDEX(Lists!$G:$G,MATCH($C61,Lists!$E:$E,0)),"?"),"")</f>
        <v/>
      </c>
      <c r="W61" s="32">
        <f>IF($AJ61=1,IFERROR(INDEX(Treasuries!$E:$E,MATCH($D61,Treasuries!$A:$A,0)),"؟"),"")</f>
        <v/>
      </c>
      <c r="X61" s="32">
        <f>IF(AND($AJ61=1,$E61&lt;&gt;""),IFERROR(INDEX(Treasuries!$E:$E,MATCH($E61,Treasuries!$A:$A,0)),"؟"),"")</f>
        <v/>
      </c>
      <c r="Y61" s="32">
        <f>IF($AJ61=1,IFERROR(INDEX(Treasuries!$D:$D,MATCH($D61,Treasuries!$A:$A,0)),"؟"),"")</f>
        <v/>
      </c>
      <c r="Z61" s="32">
        <f>IF(AND($AJ61=1,$E61&lt;&gt;""),IFERROR(INDEX(Treasuries!$D:$D,MATCH($E61,Treasuries!$A:$A,0)),"؟"),"")</f>
        <v/>
      </c>
      <c r="AA61" s="44">
        <f>IF($AJ61=1,IF($U61="RCV",$W61,IF($U61="PAY",$F61,IF(OR($U61="TRF",$U61="DEP",$U61="WDR"),$X61,IF($U61="SHT",ACC_CASH_SHORT,IF($U61="OVR",$W61,"؟"))))),"")</f>
        <v/>
      </c>
      <c r="AB61" s="44">
        <f>IF($AJ61=1,IF($U61="RCV",$F61,IF($U61="PAY",$W61,IF(OR($U61="TRF",$U61="DEP",$U61="WDR"),$W61,IF($U61="SHT",$W61,IF($U61="OVR",ACC_CASH_OVER,"؟"))))),"")</f>
        <v/>
      </c>
      <c r="AC61" s="32">
        <f>IF($AJ61=1,IF(OR($U61="TRF",$U61="DEP",$U61="WDR"),$Z61,$Y61),"")</f>
        <v/>
      </c>
      <c r="AD61" s="32">
        <f>IF($AJ61=1,$Y61,"")</f>
        <v/>
      </c>
      <c r="AE61" s="32">
        <f>IF($AJ61=1,IF(OR($U61="PAY",$U61="SHT"),IF($L61="","CC00",$L61),"CC00"),"")</f>
        <v/>
      </c>
      <c r="AF61" s="32">
        <f>IF($AJ61=1,IF(OR($U61="RCV",$U61="OVR"),IF($L61="","CC00",$L61),"CC00"),"")</f>
        <v/>
      </c>
      <c r="AG61" s="32">
        <f>IF($AJ61=1,IF(AND($U61="PAY",$G61&lt;&gt;""),$G61,"-"),"")</f>
        <v/>
      </c>
      <c r="AH61" s="32">
        <f>IF($AJ61=1,IF(AND($U61="RCV",$G61&lt;&gt;""),$G61,"-"),"")</f>
        <v/>
      </c>
      <c r="AI61" s="32">
        <f>IF($AJ61=1,IF(OR($U61="TRF",$U61="DEP",$U61="WDR"),"INTERNAL",IF(OR($U61="RCV",$U61="PAY"),IFERROR(IF(INDEX(COA!$I:$I,MATCH($F61,COA!$A:$A,0))="","OPERATING",INDEX(COA!$I:$I,MATCH($F61,COA!$A:$A,0))),"OPERATING"),"OPERATING")),"")</f>
        <v/>
      </c>
      <c r="AJ61" s="32">
        <f>IF(COUNTA($A61:$T61)&gt;0,1,0)</f>
        <v/>
      </c>
      <c r="AK61" s="32">
        <f>IF($AJ61=0,"",IF($A61="","رقم المستند ناقص",IF(COUNTIF(Doc_Register!$A:$A,$A61)&gt;1,"رقم مستند مكرر في السجل المركزي",IF(LEFT($A61,LEN($V61)+1)&lt;&gt;$V61&amp;"-","بادئة الرقم لا تطابق نوع المستند",IF(NOT(ISNUMBER($B61)),"التاريخ ناقص أو غير صحيح",IF($N61="","حالة المستند ناقصة",IF($O61="","اسم المُعِد ناقص",IF(AND(OR($N61=ST_APPR,$N61=ST_POST),$P61=""),"لا يوجد معتمد",IF(AND($P61&lt;&gt;"",$P61=$O61),"المُعِد والمعتمد نفس الشخص (فصل المهام)",IF(AND($N61=ST_POST,$Q61=""),"اسم المحاسب المرحِّل ناقص",IF(AND($N61=ST_POST,$Q61&lt;&gt;"",OR($Q61=$O61,$Q61=$P61)),"المرحِّل يجب أن يختلف عن المُعِد والمعتمد",IF(AND($N61=ST_REV,$S61=""),"مرجع التصحيح/الإلغاء ناقص",IF(AND(ISNUMBER($B61),OR($N61=ST_DRAFT,$N61=ST_APPR),COUNTIFS(Period_Close!$A:$A,YEAR($B61)*100+MONTH($B61),Period_Close!$B:$B,"مقفلة")&gt;0),"الفترة مقفلة: لا يسمح بمستند جديد",IF($U61="?","نوع السند غير معرف",IF(COUNTIFS(COA!$A:$A,$W61,COA!$R:$R,1)&lt;&gt;1,"الخزينة/البنك غير معرف أو غير صالح",IF(NOT(N($I61)&gt;0),"المبلغ يجب أن يكون أكبر من صفر",IF(AND(OR($U61="TRF",$U61="DEP",$U61="WDR"),$E61=""),"الخزينة المستلمة ناقصة",IF(AND(OR($U61="TRF",$U61="DEP",$U61="WDR"),$E61=$D61),"التحويل إلى نفس الخزينة",IF(AND(OR($U61="TRF",$U61="DEP",$U61="WDR"),COUNTIFS(COA!$A:$A,$X61,COA!$R:$R,1)&lt;&gt;1),"الخزينة المستلمة غير صالحة",IF(AND(OR($U61="RCV",$U61="PAY"),$F61=""),"الحساب المقابل ناقص",IF(AND(OR($U61="RCV",$U61="PAY"),COUNTIFS(COA!$A:$A,$F61,COA!$R:$R,1)&lt;&gt;1),"الحساب المقابل غير صالح أو رئيسي",IF(AND(OR($U61="RCV",$U61="PAY"),IFERROR(INDEX(COA!$H:$H,MATCH($F61,COA!$A:$A,0)),0)=1),"الحساب المقابل نقدي: استخدم تحويل بين الخزائن",IF(AND(OR($U61="RCV",$U61="PAY"),$F61=ACC_SUPPLIERS),"سداد الموردين يتم من Supplier_Payments",IF(AND(OR($U61="RCV",$U61="PAY"),$H61=""),"المستلم/الدافع ناقص",IF(AND(OR($U61="RCV",$U61="PAY"),$J61=""),"طريقة الدفع ناقصة",IF(AND(OR($U61="RCV",$U61="PAY"),OR($F61=ACC_CUSTOMERS,$F61=1501,$F61=1502),$G61=""),"كود الجهة إلزامي لهذا الحساب",IF(AND($F61=ACC_CUSTOMERS,$G61&lt;&gt;"",COUNTIF(Customers!$A:$A,$G61)=0),"كود العميل غير معرف",IF(AND(OR($F61=1501,$F61=1502),$G61&lt;&gt;"",COUNTIF(Employees!$A:$A,$G61)=0),"كود الموظف غير معرف",IF(AND($M61&lt;&gt;"",COUNTIF(Doc_Register!$A:$A,$M61)=0),"المستند المرتبط غير موجود",IF(AND(OR($U61="PAY",$U61="SHT"),NOT(COUNTIF(Cost_Centers!$A:$A,$AE61)&gt;0)),"مركز التكلفة غير معرف",""))))))))))))))))))))))))))))))</f>
        <v/>
      </c>
      <c r="AL61" s="32">
        <f>IF($AJ61=1,IF($AK61&lt;&gt;"",1,0),0)</f>
        <v/>
      </c>
      <c r="AM61" s="32">
        <f>IF(AND($AJ61=1,$AL61=0,$N61=ST_POST),1,0)</f>
        <v/>
      </c>
    </row>
    <row r="62">
      <c r="A62" s="29" t="n"/>
      <c r="B62" s="31" t="n"/>
      <c r="C62" s="29" t="n"/>
      <c r="D62" s="39" t="n"/>
      <c r="E62" s="39" t="n"/>
      <c r="F62" s="39" t="n"/>
      <c r="G62" s="29" t="n"/>
      <c r="H62" s="29" t="n"/>
      <c r="I62" s="42" t="n"/>
      <c r="J62" s="29" t="n"/>
      <c r="K62" s="29" t="n"/>
      <c r="L62" s="39" t="n"/>
      <c r="M62" s="29" t="n"/>
      <c r="N62" s="39" t="n"/>
      <c r="O62" s="29" t="n"/>
      <c r="P62" s="29" t="n"/>
      <c r="Q62" s="29" t="n"/>
      <c r="R62" s="29" t="n"/>
      <c r="S62" s="29" t="n"/>
      <c r="T62" s="29" t="n"/>
      <c r="U62" s="32">
        <f>IF($AJ62=1,IFERROR(INDEX(Lists!$F:$F,MATCH($C62,Lists!$E:$E,0)),"?"),"")</f>
        <v/>
      </c>
      <c r="V62" s="32">
        <f>IF($AJ62=1,IFERROR(INDEX(Lists!$G:$G,MATCH($C62,Lists!$E:$E,0)),"?"),"")</f>
        <v/>
      </c>
      <c r="W62" s="32">
        <f>IF($AJ62=1,IFERROR(INDEX(Treasuries!$E:$E,MATCH($D62,Treasuries!$A:$A,0)),"؟"),"")</f>
        <v/>
      </c>
      <c r="X62" s="32">
        <f>IF(AND($AJ62=1,$E62&lt;&gt;""),IFERROR(INDEX(Treasuries!$E:$E,MATCH($E62,Treasuries!$A:$A,0)),"؟"),"")</f>
        <v/>
      </c>
      <c r="Y62" s="32">
        <f>IF($AJ62=1,IFERROR(INDEX(Treasuries!$D:$D,MATCH($D62,Treasuries!$A:$A,0)),"؟"),"")</f>
        <v/>
      </c>
      <c r="Z62" s="32">
        <f>IF(AND($AJ62=1,$E62&lt;&gt;""),IFERROR(INDEX(Treasuries!$D:$D,MATCH($E62,Treasuries!$A:$A,0)),"؟"),"")</f>
        <v/>
      </c>
      <c r="AA62" s="44">
        <f>IF($AJ62=1,IF($U62="RCV",$W62,IF($U62="PAY",$F62,IF(OR($U62="TRF",$U62="DEP",$U62="WDR"),$X62,IF($U62="SHT",ACC_CASH_SHORT,IF($U62="OVR",$W62,"؟"))))),"")</f>
        <v/>
      </c>
      <c r="AB62" s="44">
        <f>IF($AJ62=1,IF($U62="RCV",$F62,IF($U62="PAY",$W62,IF(OR($U62="TRF",$U62="DEP",$U62="WDR"),$W62,IF($U62="SHT",$W62,IF($U62="OVR",ACC_CASH_OVER,"؟"))))),"")</f>
        <v/>
      </c>
      <c r="AC62" s="32">
        <f>IF($AJ62=1,IF(OR($U62="TRF",$U62="DEP",$U62="WDR"),$Z62,$Y62),"")</f>
        <v/>
      </c>
      <c r="AD62" s="32">
        <f>IF($AJ62=1,$Y62,"")</f>
        <v/>
      </c>
      <c r="AE62" s="32">
        <f>IF($AJ62=1,IF(OR($U62="PAY",$U62="SHT"),IF($L62="","CC00",$L62),"CC00"),"")</f>
        <v/>
      </c>
      <c r="AF62" s="32">
        <f>IF($AJ62=1,IF(OR($U62="RCV",$U62="OVR"),IF($L62="","CC00",$L62),"CC00"),"")</f>
        <v/>
      </c>
      <c r="AG62" s="32">
        <f>IF($AJ62=1,IF(AND($U62="PAY",$G62&lt;&gt;""),$G62,"-"),"")</f>
        <v/>
      </c>
      <c r="AH62" s="32">
        <f>IF($AJ62=1,IF(AND($U62="RCV",$G62&lt;&gt;""),$G62,"-"),"")</f>
        <v/>
      </c>
      <c r="AI62" s="32">
        <f>IF($AJ62=1,IF(OR($U62="TRF",$U62="DEP",$U62="WDR"),"INTERNAL",IF(OR($U62="RCV",$U62="PAY"),IFERROR(IF(INDEX(COA!$I:$I,MATCH($F62,COA!$A:$A,0))="","OPERATING",INDEX(COA!$I:$I,MATCH($F62,COA!$A:$A,0))),"OPERATING"),"OPERATING")),"")</f>
        <v/>
      </c>
      <c r="AJ62" s="32">
        <f>IF(COUNTA($A62:$T62)&gt;0,1,0)</f>
        <v/>
      </c>
      <c r="AK62" s="32">
        <f>IF($AJ62=0,"",IF($A62="","رقم المستند ناقص",IF(COUNTIF(Doc_Register!$A:$A,$A62)&gt;1,"رقم مستند مكرر في السجل المركزي",IF(LEFT($A62,LEN($V62)+1)&lt;&gt;$V62&amp;"-","بادئة الرقم لا تطابق نوع المستند",IF(NOT(ISNUMBER($B62)),"التاريخ ناقص أو غير صحيح",IF($N62="","حالة المستند ناقصة",IF($O62="","اسم المُعِد ناقص",IF(AND(OR($N62=ST_APPR,$N62=ST_POST),$P62=""),"لا يوجد معتمد",IF(AND($P62&lt;&gt;"",$P62=$O62),"المُعِد والمعتمد نفس الشخص (فصل المهام)",IF(AND($N62=ST_POST,$Q62=""),"اسم المحاسب المرحِّل ناقص",IF(AND($N62=ST_POST,$Q62&lt;&gt;"",OR($Q62=$O62,$Q62=$P62)),"المرحِّل يجب أن يختلف عن المُعِد والمعتمد",IF(AND($N62=ST_REV,$S62=""),"مرجع التصحيح/الإلغاء ناقص",IF(AND(ISNUMBER($B62),OR($N62=ST_DRAFT,$N62=ST_APPR),COUNTIFS(Period_Close!$A:$A,YEAR($B62)*100+MONTH($B62),Period_Close!$B:$B,"مقفلة")&gt;0),"الفترة مقفلة: لا يسمح بمستند جديد",IF($U62="?","نوع السند غير معرف",IF(COUNTIFS(COA!$A:$A,$W62,COA!$R:$R,1)&lt;&gt;1,"الخزينة/البنك غير معرف أو غير صالح",IF(NOT(N($I62)&gt;0),"المبلغ يجب أن يكون أكبر من صفر",IF(AND(OR($U62="TRF",$U62="DEP",$U62="WDR"),$E62=""),"الخزينة المستلمة ناقصة",IF(AND(OR($U62="TRF",$U62="DEP",$U62="WDR"),$E62=$D62),"التحويل إلى نفس الخزينة",IF(AND(OR($U62="TRF",$U62="DEP",$U62="WDR"),COUNTIFS(COA!$A:$A,$X62,COA!$R:$R,1)&lt;&gt;1),"الخزينة المستلمة غير صالحة",IF(AND(OR($U62="RCV",$U62="PAY"),$F62=""),"الحساب المقابل ناقص",IF(AND(OR($U62="RCV",$U62="PAY"),COUNTIFS(COA!$A:$A,$F62,COA!$R:$R,1)&lt;&gt;1),"الحساب المقابل غير صالح أو رئيسي",IF(AND(OR($U62="RCV",$U62="PAY"),IFERROR(INDEX(COA!$H:$H,MATCH($F62,COA!$A:$A,0)),0)=1),"الحساب المقابل نقدي: استخدم تحويل بين الخزائن",IF(AND(OR($U62="RCV",$U62="PAY"),$F62=ACC_SUPPLIERS),"سداد الموردين يتم من Supplier_Payments",IF(AND(OR($U62="RCV",$U62="PAY"),$H62=""),"المستلم/الدافع ناقص",IF(AND(OR($U62="RCV",$U62="PAY"),$J62=""),"طريقة الدفع ناقصة",IF(AND(OR($U62="RCV",$U62="PAY"),OR($F62=ACC_CUSTOMERS,$F62=1501,$F62=1502),$G62=""),"كود الجهة إلزامي لهذا الحساب",IF(AND($F62=ACC_CUSTOMERS,$G62&lt;&gt;"",COUNTIF(Customers!$A:$A,$G62)=0),"كود العميل غير معرف",IF(AND(OR($F62=1501,$F62=1502),$G62&lt;&gt;"",COUNTIF(Employees!$A:$A,$G62)=0),"كود الموظف غير معرف",IF(AND($M62&lt;&gt;"",COUNTIF(Doc_Register!$A:$A,$M62)=0),"المستند المرتبط غير موجود",IF(AND(OR($U62="PAY",$U62="SHT"),NOT(COUNTIF(Cost_Centers!$A:$A,$AE62)&gt;0)),"مركز التكلفة غير معرف",""))))))))))))))))))))))))))))))</f>
        <v/>
      </c>
      <c r="AL62" s="32">
        <f>IF($AJ62=1,IF($AK62&lt;&gt;"",1,0),0)</f>
        <v/>
      </c>
      <c r="AM62" s="32">
        <f>IF(AND($AJ62=1,$AL62=0,$N62=ST_POST),1,0)</f>
        <v/>
      </c>
    </row>
    <row r="63">
      <c r="A63" s="29" t="n"/>
      <c r="B63" s="31" t="n"/>
      <c r="C63" s="29" t="n"/>
      <c r="D63" s="39" t="n"/>
      <c r="E63" s="39" t="n"/>
      <c r="F63" s="39" t="n"/>
      <c r="G63" s="29" t="n"/>
      <c r="H63" s="29" t="n"/>
      <c r="I63" s="42" t="n"/>
      <c r="J63" s="29" t="n"/>
      <c r="K63" s="29" t="n"/>
      <c r="L63" s="39" t="n"/>
      <c r="M63" s="29" t="n"/>
      <c r="N63" s="39" t="n"/>
      <c r="O63" s="29" t="n"/>
      <c r="P63" s="29" t="n"/>
      <c r="Q63" s="29" t="n"/>
      <c r="R63" s="29" t="n"/>
      <c r="S63" s="29" t="n"/>
      <c r="T63" s="29" t="n"/>
      <c r="U63" s="32">
        <f>IF($AJ63=1,IFERROR(INDEX(Lists!$F:$F,MATCH($C63,Lists!$E:$E,0)),"?"),"")</f>
        <v/>
      </c>
      <c r="V63" s="32">
        <f>IF($AJ63=1,IFERROR(INDEX(Lists!$G:$G,MATCH($C63,Lists!$E:$E,0)),"?"),"")</f>
        <v/>
      </c>
      <c r="W63" s="32">
        <f>IF($AJ63=1,IFERROR(INDEX(Treasuries!$E:$E,MATCH($D63,Treasuries!$A:$A,0)),"؟"),"")</f>
        <v/>
      </c>
      <c r="X63" s="32">
        <f>IF(AND($AJ63=1,$E63&lt;&gt;""),IFERROR(INDEX(Treasuries!$E:$E,MATCH($E63,Treasuries!$A:$A,0)),"؟"),"")</f>
        <v/>
      </c>
      <c r="Y63" s="32">
        <f>IF($AJ63=1,IFERROR(INDEX(Treasuries!$D:$D,MATCH($D63,Treasuries!$A:$A,0)),"؟"),"")</f>
        <v/>
      </c>
      <c r="Z63" s="32">
        <f>IF(AND($AJ63=1,$E63&lt;&gt;""),IFERROR(INDEX(Treasuries!$D:$D,MATCH($E63,Treasuries!$A:$A,0)),"؟"),"")</f>
        <v/>
      </c>
      <c r="AA63" s="44">
        <f>IF($AJ63=1,IF($U63="RCV",$W63,IF($U63="PAY",$F63,IF(OR($U63="TRF",$U63="DEP",$U63="WDR"),$X63,IF($U63="SHT",ACC_CASH_SHORT,IF($U63="OVR",$W63,"؟"))))),"")</f>
        <v/>
      </c>
      <c r="AB63" s="44">
        <f>IF($AJ63=1,IF($U63="RCV",$F63,IF($U63="PAY",$W63,IF(OR($U63="TRF",$U63="DEP",$U63="WDR"),$W63,IF($U63="SHT",$W63,IF($U63="OVR",ACC_CASH_OVER,"؟"))))),"")</f>
        <v/>
      </c>
      <c r="AC63" s="32">
        <f>IF($AJ63=1,IF(OR($U63="TRF",$U63="DEP",$U63="WDR"),$Z63,$Y63),"")</f>
        <v/>
      </c>
      <c r="AD63" s="32">
        <f>IF($AJ63=1,$Y63,"")</f>
        <v/>
      </c>
      <c r="AE63" s="32">
        <f>IF($AJ63=1,IF(OR($U63="PAY",$U63="SHT"),IF($L63="","CC00",$L63),"CC00"),"")</f>
        <v/>
      </c>
      <c r="AF63" s="32">
        <f>IF($AJ63=1,IF(OR($U63="RCV",$U63="OVR"),IF($L63="","CC00",$L63),"CC00"),"")</f>
        <v/>
      </c>
      <c r="AG63" s="32">
        <f>IF($AJ63=1,IF(AND($U63="PAY",$G63&lt;&gt;""),$G63,"-"),"")</f>
        <v/>
      </c>
      <c r="AH63" s="32">
        <f>IF($AJ63=1,IF(AND($U63="RCV",$G63&lt;&gt;""),$G63,"-"),"")</f>
        <v/>
      </c>
      <c r="AI63" s="32">
        <f>IF($AJ63=1,IF(OR($U63="TRF",$U63="DEP",$U63="WDR"),"INTERNAL",IF(OR($U63="RCV",$U63="PAY"),IFERROR(IF(INDEX(COA!$I:$I,MATCH($F63,COA!$A:$A,0))="","OPERATING",INDEX(COA!$I:$I,MATCH($F63,COA!$A:$A,0))),"OPERATING"),"OPERATING")),"")</f>
        <v/>
      </c>
      <c r="AJ63" s="32">
        <f>IF(COUNTA($A63:$T63)&gt;0,1,0)</f>
        <v/>
      </c>
      <c r="AK63" s="32">
        <f>IF($AJ63=0,"",IF($A63="","رقم المستند ناقص",IF(COUNTIF(Doc_Register!$A:$A,$A63)&gt;1,"رقم مستند مكرر في السجل المركزي",IF(LEFT($A63,LEN($V63)+1)&lt;&gt;$V63&amp;"-","بادئة الرقم لا تطابق نوع المستند",IF(NOT(ISNUMBER($B63)),"التاريخ ناقص أو غير صحيح",IF($N63="","حالة المستند ناقصة",IF($O63="","اسم المُعِد ناقص",IF(AND(OR($N63=ST_APPR,$N63=ST_POST),$P63=""),"لا يوجد معتمد",IF(AND($P63&lt;&gt;"",$P63=$O63),"المُعِد والمعتمد نفس الشخص (فصل المهام)",IF(AND($N63=ST_POST,$Q63=""),"اسم المحاسب المرحِّل ناقص",IF(AND($N63=ST_POST,$Q63&lt;&gt;"",OR($Q63=$O63,$Q63=$P63)),"المرحِّل يجب أن يختلف عن المُعِد والمعتمد",IF(AND($N63=ST_REV,$S63=""),"مرجع التصحيح/الإلغاء ناقص",IF(AND(ISNUMBER($B63),OR($N63=ST_DRAFT,$N63=ST_APPR),COUNTIFS(Period_Close!$A:$A,YEAR($B63)*100+MONTH($B63),Period_Close!$B:$B,"مقفلة")&gt;0),"الفترة مقفلة: لا يسمح بمستند جديد",IF($U63="?","نوع السند غير معرف",IF(COUNTIFS(COA!$A:$A,$W63,COA!$R:$R,1)&lt;&gt;1,"الخزينة/البنك غير معرف أو غير صالح",IF(NOT(N($I63)&gt;0),"المبلغ يجب أن يكون أكبر من صفر",IF(AND(OR($U63="TRF",$U63="DEP",$U63="WDR"),$E63=""),"الخزينة المستلمة ناقصة",IF(AND(OR($U63="TRF",$U63="DEP",$U63="WDR"),$E63=$D63),"التحويل إلى نفس الخزينة",IF(AND(OR($U63="TRF",$U63="DEP",$U63="WDR"),COUNTIFS(COA!$A:$A,$X63,COA!$R:$R,1)&lt;&gt;1),"الخزينة المستلمة غير صالحة",IF(AND(OR($U63="RCV",$U63="PAY"),$F63=""),"الحساب المقابل ناقص",IF(AND(OR($U63="RCV",$U63="PAY"),COUNTIFS(COA!$A:$A,$F63,COA!$R:$R,1)&lt;&gt;1),"الحساب المقابل غير صالح أو رئيسي",IF(AND(OR($U63="RCV",$U63="PAY"),IFERROR(INDEX(COA!$H:$H,MATCH($F63,COA!$A:$A,0)),0)=1),"الحساب المقابل نقدي: استخدم تحويل بين الخزائن",IF(AND(OR($U63="RCV",$U63="PAY"),$F63=ACC_SUPPLIERS),"سداد الموردين يتم من Supplier_Payments",IF(AND(OR($U63="RCV",$U63="PAY"),$H63=""),"المستلم/الدافع ناقص",IF(AND(OR($U63="RCV",$U63="PAY"),$J63=""),"طريقة الدفع ناقصة",IF(AND(OR($U63="RCV",$U63="PAY"),OR($F63=ACC_CUSTOMERS,$F63=1501,$F63=1502),$G63=""),"كود الجهة إلزامي لهذا الحساب",IF(AND($F63=ACC_CUSTOMERS,$G63&lt;&gt;"",COUNTIF(Customers!$A:$A,$G63)=0),"كود العميل غير معرف",IF(AND(OR($F63=1501,$F63=1502),$G63&lt;&gt;"",COUNTIF(Employees!$A:$A,$G63)=0),"كود الموظف غير معرف",IF(AND($M63&lt;&gt;"",COUNTIF(Doc_Register!$A:$A,$M63)=0),"المستند المرتبط غير موجود",IF(AND(OR($U63="PAY",$U63="SHT"),NOT(COUNTIF(Cost_Centers!$A:$A,$AE63)&gt;0)),"مركز التكلفة غير معرف",""))))))))))))))))))))))))))))))</f>
        <v/>
      </c>
      <c r="AL63" s="32">
        <f>IF($AJ63=1,IF($AK63&lt;&gt;"",1,0),0)</f>
        <v/>
      </c>
      <c r="AM63" s="32">
        <f>IF(AND($AJ63=1,$AL63=0,$N63=ST_POST),1,0)</f>
        <v/>
      </c>
    </row>
    <row r="64">
      <c r="A64" s="29" t="n"/>
      <c r="B64" s="31" t="n"/>
      <c r="C64" s="29" t="n"/>
      <c r="D64" s="39" t="n"/>
      <c r="E64" s="39" t="n"/>
      <c r="F64" s="39" t="n"/>
      <c r="G64" s="29" t="n"/>
      <c r="H64" s="29" t="n"/>
      <c r="I64" s="42" t="n"/>
      <c r="J64" s="29" t="n"/>
      <c r="K64" s="29" t="n"/>
      <c r="L64" s="39" t="n"/>
      <c r="M64" s="29" t="n"/>
      <c r="N64" s="39" t="n"/>
      <c r="O64" s="29" t="n"/>
      <c r="P64" s="29" t="n"/>
      <c r="Q64" s="29" t="n"/>
      <c r="R64" s="29" t="n"/>
      <c r="S64" s="29" t="n"/>
      <c r="T64" s="29" t="n"/>
      <c r="U64" s="32">
        <f>IF($AJ64=1,IFERROR(INDEX(Lists!$F:$F,MATCH($C64,Lists!$E:$E,0)),"?"),"")</f>
        <v/>
      </c>
      <c r="V64" s="32">
        <f>IF($AJ64=1,IFERROR(INDEX(Lists!$G:$G,MATCH($C64,Lists!$E:$E,0)),"?"),"")</f>
        <v/>
      </c>
      <c r="W64" s="32">
        <f>IF($AJ64=1,IFERROR(INDEX(Treasuries!$E:$E,MATCH($D64,Treasuries!$A:$A,0)),"؟"),"")</f>
        <v/>
      </c>
      <c r="X64" s="32">
        <f>IF(AND($AJ64=1,$E64&lt;&gt;""),IFERROR(INDEX(Treasuries!$E:$E,MATCH($E64,Treasuries!$A:$A,0)),"؟"),"")</f>
        <v/>
      </c>
      <c r="Y64" s="32">
        <f>IF($AJ64=1,IFERROR(INDEX(Treasuries!$D:$D,MATCH($D64,Treasuries!$A:$A,0)),"؟"),"")</f>
        <v/>
      </c>
      <c r="Z64" s="32">
        <f>IF(AND($AJ64=1,$E64&lt;&gt;""),IFERROR(INDEX(Treasuries!$D:$D,MATCH($E64,Treasuries!$A:$A,0)),"؟"),"")</f>
        <v/>
      </c>
      <c r="AA64" s="44">
        <f>IF($AJ64=1,IF($U64="RCV",$W64,IF($U64="PAY",$F64,IF(OR($U64="TRF",$U64="DEP",$U64="WDR"),$X64,IF($U64="SHT",ACC_CASH_SHORT,IF($U64="OVR",$W64,"؟"))))),"")</f>
        <v/>
      </c>
      <c r="AB64" s="44">
        <f>IF($AJ64=1,IF($U64="RCV",$F64,IF($U64="PAY",$W64,IF(OR($U64="TRF",$U64="DEP",$U64="WDR"),$W64,IF($U64="SHT",$W64,IF($U64="OVR",ACC_CASH_OVER,"؟"))))),"")</f>
        <v/>
      </c>
      <c r="AC64" s="32">
        <f>IF($AJ64=1,IF(OR($U64="TRF",$U64="DEP",$U64="WDR"),$Z64,$Y64),"")</f>
        <v/>
      </c>
      <c r="AD64" s="32">
        <f>IF($AJ64=1,$Y64,"")</f>
        <v/>
      </c>
      <c r="AE64" s="32">
        <f>IF($AJ64=1,IF(OR($U64="PAY",$U64="SHT"),IF($L64="","CC00",$L64),"CC00"),"")</f>
        <v/>
      </c>
      <c r="AF64" s="32">
        <f>IF($AJ64=1,IF(OR($U64="RCV",$U64="OVR"),IF($L64="","CC00",$L64),"CC00"),"")</f>
        <v/>
      </c>
      <c r="AG64" s="32">
        <f>IF($AJ64=1,IF(AND($U64="PAY",$G64&lt;&gt;""),$G64,"-"),"")</f>
        <v/>
      </c>
      <c r="AH64" s="32">
        <f>IF($AJ64=1,IF(AND($U64="RCV",$G64&lt;&gt;""),$G64,"-"),"")</f>
        <v/>
      </c>
      <c r="AI64" s="32">
        <f>IF($AJ64=1,IF(OR($U64="TRF",$U64="DEP",$U64="WDR"),"INTERNAL",IF(OR($U64="RCV",$U64="PAY"),IFERROR(IF(INDEX(COA!$I:$I,MATCH($F64,COA!$A:$A,0))="","OPERATING",INDEX(COA!$I:$I,MATCH($F64,COA!$A:$A,0))),"OPERATING"),"OPERATING")),"")</f>
        <v/>
      </c>
      <c r="AJ64" s="32">
        <f>IF(COUNTA($A64:$T64)&gt;0,1,0)</f>
        <v/>
      </c>
      <c r="AK64" s="32">
        <f>IF($AJ64=0,"",IF($A64="","رقم المستند ناقص",IF(COUNTIF(Doc_Register!$A:$A,$A64)&gt;1,"رقم مستند مكرر في السجل المركزي",IF(LEFT($A64,LEN($V64)+1)&lt;&gt;$V64&amp;"-","بادئة الرقم لا تطابق نوع المستند",IF(NOT(ISNUMBER($B64)),"التاريخ ناقص أو غير صحيح",IF($N64="","حالة المستند ناقصة",IF($O64="","اسم المُعِد ناقص",IF(AND(OR($N64=ST_APPR,$N64=ST_POST),$P64=""),"لا يوجد معتمد",IF(AND($P64&lt;&gt;"",$P64=$O64),"المُعِد والمعتمد نفس الشخص (فصل المهام)",IF(AND($N64=ST_POST,$Q64=""),"اسم المحاسب المرحِّل ناقص",IF(AND($N64=ST_POST,$Q64&lt;&gt;"",OR($Q64=$O64,$Q64=$P64)),"المرحِّل يجب أن يختلف عن المُعِد والمعتمد",IF(AND($N64=ST_REV,$S64=""),"مرجع التصحيح/الإلغاء ناقص",IF(AND(ISNUMBER($B64),OR($N64=ST_DRAFT,$N64=ST_APPR),COUNTIFS(Period_Close!$A:$A,YEAR($B64)*100+MONTH($B64),Period_Close!$B:$B,"مقفلة")&gt;0),"الفترة مقفلة: لا يسمح بمستند جديد",IF($U64="?","نوع السند غير معرف",IF(COUNTIFS(COA!$A:$A,$W64,COA!$R:$R,1)&lt;&gt;1,"الخزينة/البنك غير معرف أو غير صالح",IF(NOT(N($I64)&gt;0),"المبلغ يجب أن يكون أكبر من صفر",IF(AND(OR($U64="TRF",$U64="DEP",$U64="WDR"),$E64=""),"الخزينة المستلمة ناقصة",IF(AND(OR($U64="TRF",$U64="DEP",$U64="WDR"),$E64=$D64),"التحويل إلى نفس الخزينة",IF(AND(OR($U64="TRF",$U64="DEP",$U64="WDR"),COUNTIFS(COA!$A:$A,$X64,COA!$R:$R,1)&lt;&gt;1),"الخزينة المستلمة غير صالحة",IF(AND(OR($U64="RCV",$U64="PAY"),$F64=""),"الحساب المقابل ناقص",IF(AND(OR($U64="RCV",$U64="PAY"),COUNTIFS(COA!$A:$A,$F64,COA!$R:$R,1)&lt;&gt;1),"الحساب المقابل غير صالح أو رئيسي",IF(AND(OR($U64="RCV",$U64="PAY"),IFERROR(INDEX(COA!$H:$H,MATCH($F64,COA!$A:$A,0)),0)=1),"الحساب المقابل نقدي: استخدم تحويل بين الخزائن",IF(AND(OR($U64="RCV",$U64="PAY"),$F64=ACC_SUPPLIERS),"سداد الموردين يتم من Supplier_Payments",IF(AND(OR($U64="RCV",$U64="PAY"),$H64=""),"المستلم/الدافع ناقص",IF(AND(OR($U64="RCV",$U64="PAY"),$J64=""),"طريقة الدفع ناقصة",IF(AND(OR($U64="RCV",$U64="PAY"),OR($F64=ACC_CUSTOMERS,$F64=1501,$F64=1502),$G64=""),"كود الجهة إلزامي لهذا الحساب",IF(AND($F64=ACC_CUSTOMERS,$G64&lt;&gt;"",COUNTIF(Customers!$A:$A,$G64)=0),"كود العميل غير معرف",IF(AND(OR($F64=1501,$F64=1502),$G64&lt;&gt;"",COUNTIF(Employees!$A:$A,$G64)=0),"كود الموظف غير معرف",IF(AND($M64&lt;&gt;"",COUNTIF(Doc_Register!$A:$A,$M64)=0),"المستند المرتبط غير موجود",IF(AND(OR($U64="PAY",$U64="SHT"),NOT(COUNTIF(Cost_Centers!$A:$A,$AE64)&gt;0)),"مركز التكلفة غير معرف",""))))))))))))))))))))))))))))))</f>
        <v/>
      </c>
      <c r="AL64" s="32">
        <f>IF($AJ64=1,IF($AK64&lt;&gt;"",1,0),0)</f>
        <v/>
      </c>
      <c r="AM64" s="32">
        <f>IF(AND($AJ64=1,$AL64=0,$N64=ST_POST),1,0)</f>
        <v/>
      </c>
    </row>
    <row r="65">
      <c r="A65" s="29" t="n"/>
      <c r="B65" s="31" t="n"/>
      <c r="C65" s="29" t="n"/>
      <c r="D65" s="39" t="n"/>
      <c r="E65" s="39" t="n"/>
      <c r="F65" s="39" t="n"/>
      <c r="G65" s="29" t="n"/>
      <c r="H65" s="29" t="n"/>
      <c r="I65" s="42" t="n"/>
      <c r="J65" s="29" t="n"/>
      <c r="K65" s="29" t="n"/>
      <c r="L65" s="39" t="n"/>
      <c r="M65" s="29" t="n"/>
      <c r="N65" s="39" t="n"/>
      <c r="O65" s="29" t="n"/>
      <c r="P65" s="29" t="n"/>
      <c r="Q65" s="29" t="n"/>
      <c r="R65" s="29" t="n"/>
      <c r="S65" s="29" t="n"/>
      <c r="T65" s="29" t="n"/>
      <c r="U65" s="32">
        <f>IF($AJ65=1,IFERROR(INDEX(Lists!$F:$F,MATCH($C65,Lists!$E:$E,0)),"?"),"")</f>
        <v/>
      </c>
      <c r="V65" s="32">
        <f>IF($AJ65=1,IFERROR(INDEX(Lists!$G:$G,MATCH($C65,Lists!$E:$E,0)),"?"),"")</f>
        <v/>
      </c>
      <c r="W65" s="32">
        <f>IF($AJ65=1,IFERROR(INDEX(Treasuries!$E:$E,MATCH($D65,Treasuries!$A:$A,0)),"؟"),"")</f>
        <v/>
      </c>
      <c r="X65" s="32">
        <f>IF(AND($AJ65=1,$E65&lt;&gt;""),IFERROR(INDEX(Treasuries!$E:$E,MATCH($E65,Treasuries!$A:$A,0)),"؟"),"")</f>
        <v/>
      </c>
      <c r="Y65" s="32">
        <f>IF($AJ65=1,IFERROR(INDEX(Treasuries!$D:$D,MATCH($D65,Treasuries!$A:$A,0)),"؟"),"")</f>
        <v/>
      </c>
      <c r="Z65" s="32">
        <f>IF(AND($AJ65=1,$E65&lt;&gt;""),IFERROR(INDEX(Treasuries!$D:$D,MATCH($E65,Treasuries!$A:$A,0)),"؟"),"")</f>
        <v/>
      </c>
      <c r="AA65" s="44">
        <f>IF($AJ65=1,IF($U65="RCV",$W65,IF($U65="PAY",$F65,IF(OR($U65="TRF",$U65="DEP",$U65="WDR"),$X65,IF($U65="SHT",ACC_CASH_SHORT,IF($U65="OVR",$W65,"؟"))))),"")</f>
        <v/>
      </c>
      <c r="AB65" s="44">
        <f>IF($AJ65=1,IF($U65="RCV",$F65,IF($U65="PAY",$W65,IF(OR($U65="TRF",$U65="DEP",$U65="WDR"),$W65,IF($U65="SHT",$W65,IF($U65="OVR",ACC_CASH_OVER,"؟"))))),"")</f>
        <v/>
      </c>
      <c r="AC65" s="32">
        <f>IF($AJ65=1,IF(OR($U65="TRF",$U65="DEP",$U65="WDR"),$Z65,$Y65),"")</f>
        <v/>
      </c>
      <c r="AD65" s="32">
        <f>IF($AJ65=1,$Y65,"")</f>
        <v/>
      </c>
      <c r="AE65" s="32">
        <f>IF($AJ65=1,IF(OR($U65="PAY",$U65="SHT"),IF($L65="","CC00",$L65),"CC00"),"")</f>
        <v/>
      </c>
      <c r="AF65" s="32">
        <f>IF($AJ65=1,IF(OR($U65="RCV",$U65="OVR"),IF($L65="","CC00",$L65),"CC00"),"")</f>
        <v/>
      </c>
      <c r="AG65" s="32">
        <f>IF($AJ65=1,IF(AND($U65="PAY",$G65&lt;&gt;""),$G65,"-"),"")</f>
        <v/>
      </c>
      <c r="AH65" s="32">
        <f>IF($AJ65=1,IF(AND($U65="RCV",$G65&lt;&gt;""),$G65,"-"),"")</f>
        <v/>
      </c>
      <c r="AI65" s="32">
        <f>IF($AJ65=1,IF(OR($U65="TRF",$U65="DEP",$U65="WDR"),"INTERNAL",IF(OR($U65="RCV",$U65="PAY"),IFERROR(IF(INDEX(COA!$I:$I,MATCH($F65,COA!$A:$A,0))="","OPERATING",INDEX(COA!$I:$I,MATCH($F65,COA!$A:$A,0))),"OPERATING"),"OPERATING")),"")</f>
        <v/>
      </c>
      <c r="AJ65" s="32">
        <f>IF(COUNTA($A65:$T65)&gt;0,1,0)</f>
        <v/>
      </c>
      <c r="AK65" s="32">
        <f>IF($AJ65=0,"",IF($A65="","رقم المستند ناقص",IF(COUNTIF(Doc_Register!$A:$A,$A65)&gt;1,"رقم مستند مكرر في السجل المركزي",IF(LEFT($A65,LEN($V65)+1)&lt;&gt;$V65&amp;"-","بادئة الرقم لا تطابق نوع المستند",IF(NOT(ISNUMBER($B65)),"التاريخ ناقص أو غير صحيح",IF($N65="","حالة المستند ناقصة",IF($O65="","اسم المُعِد ناقص",IF(AND(OR($N65=ST_APPR,$N65=ST_POST),$P65=""),"لا يوجد معتمد",IF(AND($P65&lt;&gt;"",$P65=$O65),"المُعِد والمعتمد نفس الشخص (فصل المهام)",IF(AND($N65=ST_POST,$Q65=""),"اسم المحاسب المرحِّل ناقص",IF(AND($N65=ST_POST,$Q65&lt;&gt;"",OR($Q65=$O65,$Q65=$P65)),"المرحِّل يجب أن يختلف عن المُعِد والمعتمد",IF(AND($N65=ST_REV,$S65=""),"مرجع التصحيح/الإلغاء ناقص",IF(AND(ISNUMBER($B65),OR($N65=ST_DRAFT,$N65=ST_APPR),COUNTIFS(Period_Close!$A:$A,YEAR($B65)*100+MONTH($B65),Period_Close!$B:$B,"مقفلة")&gt;0),"الفترة مقفلة: لا يسمح بمستند جديد",IF($U65="?","نوع السند غير معرف",IF(COUNTIFS(COA!$A:$A,$W65,COA!$R:$R,1)&lt;&gt;1,"الخزينة/البنك غير معرف أو غير صالح",IF(NOT(N($I65)&gt;0),"المبلغ يجب أن يكون أكبر من صفر",IF(AND(OR($U65="TRF",$U65="DEP",$U65="WDR"),$E65=""),"الخزينة المستلمة ناقصة",IF(AND(OR($U65="TRF",$U65="DEP",$U65="WDR"),$E65=$D65),"التحويل إلى نفس الخزينة",IF(AND(OR($U65="TRF",$U65="DEP",$U65="WDR"),COUNTIFS(COA!$A:$A,$X65,COA!$R:$R,1)&lt;&gt;1),"الخزينة المستلمة غير صالحة",IF(AND(OR($U65="RCV",$U65="PAY"),$F65=""),"الحساب المقابل ناقص",IF(AND(OR($U65="RCV",$U65="PAY"),COUNTIFS(COA!$A:$A,$F65,COA!$R:$R,1)&lt;&gt;1),"الحساب المقابل غير صالح أو رئيسي",IF(AND(OR($U65="RCV",$U65="PAY"),IFERROR(INDEX(COA!$H:$H,MATCH($F65,COA!$A:$A,0)),0)=1),"الحساب المقابل نقدي: استخدم تحويل بين الخزائن",IF(AND(OR($U65="RCV",$U65="PAY"),$F65=ACC_SUPPLIERS),"سداد الموردين يتم من Supplier_Payments",IF(AND(OR($U65="RCV",$U65="PAY"),$H65=""),"المستلم/الدافع ناقص",IF(AND(OR($U65="RCV",$U65="PAY"),$J65=""),"طريقة الدفع ناقصة",IF(AND(OR($U65="RCV",$U65="PAY"),OR($F65=ACC_CUSTOMERS,$F65=1501,$F65=1502),$G65=""),"كود الجهة إلزامي لهذا الحساب",IF(AND($F65=ACC_CUSTOMERS,$G65&lt;&gt;"",COUNTIF(Customers!$A:$A,$G65)=0),"كود العميل غير معرف",IF(AND(OR($F65=1501,$F65=1502),$G65&lt;&gt;"",COUNTIF(Employees!$A:$A,$G65)=0),"كود الموظف غير معرف",IF(AND($M65&lt;&gt;"",COUNTIF(Doc_Register!$A:$A,$M65)=0),"المستند المرتبط غير موجود",IF(AND(OR($U65="PAY",$U65="SHT"),NOT(COUNTIF(Cost_Centers!$A:$A,$AE65)&gt;0)),"مركز التكلفة غير معرف",""))))))))))))))))))))))))))))))</f>
        <v/>
      </c>
      <c r="AL65" s="32">
        <f>IF($AJ65=1,IF($AK65&lt;&gt;"",1,0),0)</f>
        <v/>
      </c>
      <c r="AM65" s="32">
        <f>IF(AND($AJ65=1,$AL65=0,$N65=ST_POST),1,0)</f>
        <v/>
      </c>
    </row>
    <row r="66">
      <c r="A66" s="29" t="n"/>
      <c r="B66" s="31" t="n"/>
      <c r="C66" s="29" t="n"/>
      <c r="D66" s="39" t="n"/>
      <c r="E66" s="39" t="n"/>
      <c r="F66" s="39" t="n"/>
      <c r="G66" s="29" t="n"/>
      <c r="H66" s="29" t="n"/>
      <c r="I66" s="42" t="n"/>
      <c r="J66" s="29" t="n"/>
      <c r="K66" s="29" t="n"/>
      <c r="L66" s="39" t="n"/>
      <c r="M66" s="29" t="n"/>
      <c r="N66" s="39" t="n"/>
      <c r="O66" s="29" t="n"/>
      <c r="P66" s="29" t="n"/>
      <c r="Q66" s="29" t="n"/>
      <c r="R66" s="29" t="n"/>
      <c r="S66" s="29" t="n"/>
      <c r="T66" s="29" t="n"/>
      <c r="U66" s="32">
        <f>IF($AJ66=1,IFERROR(INDEX(Lists!$F:$F,MATCH($C66,Lists!$E:$E,0)),"?"),"")</f>
        <v/>
      </c>
      <c r="V66" s="32">
        <f>IF($AJ66=1,IFERROR(INDEX(Lists!$G:$G,MATCH($C66,Lists!$E:$E,0)),"?"),"")</f>
        <v/>
      </c>
      <c r="W66" s="32">
        <f>IF($AJ66=1,IFERROR(INDEX(Treasuries!$E:$E,MATCH($D66,Treasuries!$A:$A,0)),"؟"),"")</f>
        <v/>
      </c>
      <c r="X66" s="32">
        <f>IF(AND($AJ66=1,$E66&lt;&gt;""),IFERROR(INDEX(Treasuries!$E:$E,MATCH($E66,Treasuries!$A:$A,0)),"؟"),"")</f>
        <v/>
      </c>
      <c r="Y66" s="32">
        <f>IF($AJ66=1,IFERROR(INDEX(Treasuries!$D:$D,MATCH($D66,Treasuries!$A:$A,0)),"؟"),"")</f>
        <v/>
      </c>
      <c r="Z66" s="32">
        <f>IF(AND($AJ66=1,$E66&lt;&gt;""),IFERROR(INDEX(Treasuries!$D:$D,MATCH($E66,Treasuries!$A:$A,0)),"؟"),"")</f>
        <v/>
      </c>
      <c r="AA66" s="44">
        <f>IF($AJ66=1,IF($U66="RCV",$W66,IF($U66="PAY",$F66,IF(OR($U66="TRF",$U66="DEP",$U66="WDR"),$X66,IF($U66="SHT",ACC_CASH_SHORT,IF($U66="OVR",$W66,"؟"))))),"")</f>
        <v/>
      </c>
      <c r="AB66" s="44">
        <f>IF($AJ66=1,IF($U66="RCV",$F66,IF($U66="PAY",$W66,IF(OR($U66="TRF",$U66="DEP",$U66="WDR"),$W66,IF($U66="SHT",$W66,IF($U66="OVR",ACC_CASH_OVER,"؟"))))),"")</f>
        <v/>
      </c>
      <c r="AC66" s="32">
        <f>IF($AJ66=1,IF(OR($U66="TRF",$U66="DEP",$U66="WDR"),$Z66,$Y66),"")</f>
        <v/>
      </c>
      <c r="AD66" s="32">
        <f>IF($AJ66=1,$Y66,"")</f>
        <v/>
      </c>
      <c r="AE66" s="32">
        <f>IF($AJ66=1,IF(OR($U66="PAY",$U66="SHT"),IF($L66="","CC00",$L66),"CC00"),"")</f>
        <v/>
      </c>
      <c r="AF66" s="32">
        <f>IF($AJ66=1,IF(OR($U66="RCV",$U66="OVR"),IF($L66="","CC00",$L66),"CC00"),"")</f>
        <v/>
      </c>
      <c r="AG66" s="32">
        <f>IF($AJ66=1,IF(AND($U66="PAY",$G66&lt;&gt;""),$G66,"-"),"")</f>
        <v/>
      </c>
      <c r="AH66" s="32">
        <f>IF($AJ66=1,IF(AND($U66="RCV",$G66&lt;&gt;""),$G66,"-"),"")</f>
        <v/>
      </c>
      <c r="AI66" s="32">
        <f>IF($AJ66=1,IF(OR($U66="TRF",$U66="DEP",$U66="WDR"),"INTERNAL",IF(OR($U66="RCV",$U66="PAY"),IFERROR(IF(INDEX(COA!$I:$I,MATCH($F66,COA!$A:$A,0))="","OPERATING",INDEX(COA!$I:$I,MATCH($F66,COA!$A:$A,0))),"OPERATING"),"OPERATING")),"")</f>
        <v/>
      </c>
      <c r="AJ66" s="32">
        <f>IF(COUNTA($A66:$T66)&gt;0,1,0)</f>
        <v/>
      </c>
      <c r="AK66" s="32">
        <f>IF($AJ66=0,"",IF($A66="","رقم المستند ناقص",IF(COUNTIF(Doc_Register!$A:$A,$A66)&gt;1,"رقم مستند مكرر في السجل المركزي",IF(LEFT($A66,LEN($V66)+1)&lt;&gt;$V66&amp;"-","بادئة الرقم لا تطابق نوع المستند",IF(NOT(ISNUMBER($B66)),"التاريخ ناقص أو غير صحيح",IF($N66="","حالة المستند ناقصة",IF($O66="","اسم المُعِد ناقص",IF(AND(OR($N66=ST_APPR,$N66=ST_POST),$P66=""),"لا يوجد معتمد",IF(AND($P66&lt;&gt;"",$P66=$O66),"المُعِد والمعتمد نفس الشخص (فصل المهام)",IF(AND($N66=ST_POST,$Q66=""),"اسم المحاسب المرحِّل ناقص",IF(AND($N66=ST_POST,$Q66&lt;&gt;"",OR($Q66=$O66,$Q66=$P66)),"المرحِّل يجب أن يختلف عن المُعِد والمعتمد",IF(AND($N66=ST_REV,$S66=""),"مرجع التصحيح/الإلغاء ناقص",IF(AND(ISNUMBER($B66),OR($N66=ST_DRAFT,$N66=ST_APPR),COUNTIFS(Period_Close!$A:$A,YEAR($B66)*100+MONTH($B66),Period_Close!$B:$B,"مقفلة")&gt;0),"الفترة مقفلة: لا يسمح بمستند جديد",IF($U66="?","نوع السند غير معرف",IF(COUNTIFS(COA!$A:$A,$W66,COA!$R:$R,1)&lt;&gt;1,"الخزينة/البنك غير معرف أو غير صالح",IF(NOT(N($I66)&gt;0),"المبلغ يجب أن يكون أكبر من صفر",IF(AND(OR($U66="TRF",$U66="DEP",$U66="WDR"),$E66=""),"الخزينة المستلمة ناقصة",IF(AND(OR($U66="TRF",$U66="DEP",$U66="WDR"),$E66=$D66),"التحويل إلى نفس الخزينة",IF(AND(OR($U66="TRF",$U66="DEP",$U66="WDR"),COUNTIFS(COA!$A:$A,$X66,COA!$R:$R,1)&lt;&gt;1),"الخزينة المستلمة غير صالحة",IF(AND(OR($U66="RCV",$U66="PAY"),$F66=""),"الحساب المقابل ناقص",IF(AND(OR($U66="RCV",$U66="PAY"),COUNTIFS(COA!$A:$A,$F66,COA!$R:$R,1)&lt;&gt;1),"الحساب المقابل غير صالح أو رئيسي",IF(AND(OR($U66="RCV",$U66="PAY"),IFERROR(INDEX(COA!$H:$H,MATCH($F66,COA!$A:$A,0)),0)=1),"الحساب المقابل نقدي: استخدم تحويل بين الخزائن",IF(AND(OR($U66="RCV",$U66="PAY"),$F66=ACC_SUPPLIERS),"سداد الموردين يتم من Supplier_Payments",IF(AND(OR($U66="RCV",$U66="PAY"),$H66=""),"المستلم/الدافع ناقص",IF(AND(OR($U66="RCV",$U66="PAY"),$J66=""),"طريقة الدفع ناقصة",IF(AND(OR($U66="RCV",$U66="PAY"),OR($F66=ACC_CUSTOMERS,$F66=1501,$F66=1502),$G66=""),"كود الجهة إلزامي لهذا الحساب",IF(AND($F66=ACC_CUSTOMERS,$G66&lt;&gt;"",COUNTIF(Customers!$A:$A,$G66)=0),"كود العميل غير معرف",IF(AND(OR($F66=1501,$F66=1502),$G66&lt;&gt;"",COUNTIF(Employees!$A:$A,$G66)=0),"كود الموظف غير معرف",IF(AND($M66&lt;&gt;"",COUNTIF(Doc_Register!$A:$A,$M66)=0),"المستند المرتبط غير موجود",IF(AND(OR($U66="PAY",$U66="SHT"),NOT(COUNTIF(Cost_Centers!$A:$A,$AE66)&gt;0)),"مركز التكلفة غير معرف",""))))))))))))))))))))))))))))))</f>
        <v/>
      </c>
      <c r="AL66" s="32">
        <f>IF($AJ66=1,IF($AK66&lt;&gt;"",1,0),0)</f>
        <v/>
      </c>
      <c r="AM66" s="32">
        <f>IF(AND($AJ66=1,$AL66=0,$N66=ST_POST),1,0)</f>
        <v/>
      </c>
    </row>
    <row r="67">
      <c r="A67" s="29" t="n"/>
      <c r="B67" s="31" t="n"/>
      <c r="C67" s="29" t="n"/>
      <c r="D67" s="39" t="n"/>
      <c r="E67" s="39" t="n"/>
      <c r="F67" s="39" t="n"/>
      <c r="G67" s="29" t="n"/>
      <c r="H67" s="29" t="n"/>
      <c r="I67" s="42" t="n"/>
      <c r="J67" s="29" t="n"/>
      <c r="K67" s="29" t="n"/>
      <c r="L67" s="39" t="n"/>
      <c r="M67" s="29" t="n"/>
      <c r="N67" s="39" t="n"/>
      <c r="O67" s="29" t="n"/>
      <c r="P67" s="29" t="n"/>
      <c r="Q67" s="29" t="n"/>
      <c r="R67" s="29" t="n"/>
      <c r="S67" s="29" t="n"/>
      <c r="T67" s="29" t="n"/>
      <c r="U67" s="32">
        <f>IF($AJ67=1,IFERROR(INDEX(Lists!$F:$F,MATCH($C67,Lists!$E:$E,0)),"?"),"")</f>
        <v/>
      </c>
      <c r="V67" s="32">
        <f>IF($AJ67=1,IFERROR(INDEX(Lists!$G:$G,MATCH($C67,Lists!$E:$E,0)),"?"),"")</f>
        <v/>
      </c>
      <c r="W67" s="32">
        <f>IF($AJ67=1,IFERROR(INDEX(Treasuries!$E:$E,MATCH($D67,Treasuries!$A:$A,0)),"؟"),"")</f>
        <v/>
      </c>
      <c r="X67" s="32">
        <f>IF(AND($AJ67=1,$E67&lt;&gt;""),IFERROR(INDEX(Treasuries!$E:$E,MATCH($E67,Treasuries!$A:$A,0)),"؟"),"")</f>
        <v/>
      </c>
      <c r="Y67" s="32">
        <f>IF($AJ67=1,IFERROR(INDEX(Treasuries!$D:$D,MATCH($D67,Treasuries!$A:$A,0)),"؟"),"")</f>
        <v/>
      </c>
      <c r="Z67" s="32">
        <f>IF(AND($AJ67=1,$E67&lt;&gt;""),IFERROR(INDEX(Treasuries!$D:$D,MATCH($E67,Treasuries!$A:$A,0)),"؟"),"")</f>
        <v/>
      </c>
      <c r="AA67" s="44">
        <f>IF($AJ67=1,IF($U67="RCV",$W67,IF($U67="PAY",$F67,IF(OR($U67="TRF",$U67="DEP",$U67="WDR"),$X67,IF($U67="SHT",ACC_CASH_SHORT,IF($U67="OVR",$W67,"؟"))))),"")</f>
        <v/>
      </c>
      <c r="AB67" s="44">
        <f>IF($AJ67=1,IF($U67="RCV",$F67,IF($U67="PAY",$W67,IF(OR($U67="TRF",$U67="DEP",$U67="WDR"),$W67,IF($U67="SHT",$W67,IF($U67="OVR",ACC_CASH_OVER,"؟"))))),"")</f>
        <v/>
      </c>
      <c r="AC67" s="32">
        <f>IF($AJ67=1,IF(OR($U67="TRF",$U67="DEP",$U67="WDR"),$Z67,$Y67),"")</f>
        <v/>
      </c>
      <c r="AD67" s="32">
        <f>IF($AJ67=1,$Y67,"")</f>
        <v/>
      </c>
      <c r="AE67" s="32">
        <f>IF($AJ67=1,IF(OR($U67="PAY",$U67="SHT"),IF($L67="","CC00",$L67),"CC00"),"")</f>
        <v/>
      </c>
      <c r="AF67" s="32">
        <f>IF($AJ67=1,IF(OR($U67="RCV",$U67="OVR"),IF($L67="","CC00",$L67),"CC00"),"")</f>
        <v/>
      </c>
      <c r="AG67" s="32">
        <f>IF($AJ67=1,IF(AND($U67="PAY",$G67&lt;&gt;""),$G67,"-"),"")</f>
        <v/>
      </c>
      <c r="AH67" s="32">
        <f>IF($AJ67=1,IF(AND($U67="RCV",$G67&lt;&gt;""),$G67,"-"),"")</f>
        <v/>
      </c>
      <c r="AI67" s="32">
        <f>IF($AJ67=1,IF(OR($U67="TRF",$U67="DEP",$U67="WDR"),"INTERNAL",IF(OR($U67="RCV",$U67="PAY"),IFERROR(IF(INDEX(COA!$I:$I,MATCH($F67,COA!$A:$A,0))="","OPERATING",INDEX(COA!$I:$I,MATCH($F67,COA!$A:$A,0))),"OPERATING"),"OPERATING")),"")</f>
        <v/>
      </c>
      <c r="AJ67" s="32">
        <f>IF(COUNTA($A67:$T67)&gt;0,1,0)</f>
        <v/>
      </c>
      <c r="AK67" s="32">
        <f>IF($AJ67=0,"",IF($A67="","رقم المستند ناقص",IF(COUNTIF(Doc_Register!$A:$A,$A67)&gt;1,"رقم مستند مكرر في السجل المركزي",IF(LEFT($A67,LEN($V67)+1)&lt;&gt;$V67&amp;"-","بادئة الرقم لا تطابق نوع المستند",IF(NOT(ISNUMBER($B67)),"التاريخ ناقص أو غير صحيح",IF($N67="","حالة المستند ناقصة",IF($O67="","اسم المُعِد ناقص",IF(AND(OR($N67=ST_APPR,$N67=ST_POST),$P67=""),"لا يوجد معتمد",IF(AND($P67&lt;&gt;"",$P67=$O67),"المُعِد والمعتمد نفس الشخص (فصل المهام)",IF(AND($N67=ST_POST,$Q67=""),"اسم المحاسب المرحِّل ناقص",IF(AND($N67=ST_POST,$Q67&lt;&gt;"",OR($Q67=$O67,$Q67=$P67)),"المرحِّل يجب أن يختلف عن المُعِد والمعتمد",IF(AND($N67=ST_REV,$S67=""),"مرجع التصحيح/الإلغاء ناقص",IF(AND(ISNUMBER($B67),OR($N67=ST_DRAFT,$N67=ST_APPR),COUNTIFS(Period_Close!$A:$A,YEAR($B67)*100+MONTH($B67),Period_Close!$B:$B,"مقفلة")&gt;0),"الفترة مقفلة: لا يسمح بمستند جديد",IF($U67="?","نوع السند غير معرف",IF(COUNTIFS(COA!$A:$A,$W67,COA!$R:$R,1)&lt;&gt;1,"الخزينة/البنك غير معرف أو غير صالح",IF(NOT(N($I67)&gt;0),"المبلغ يجب أن يكون أكبر من صفر",IF(AND(OR($U67="TRF",$U67="DEP",$U67="WDR"),$E67=""),"الخزينة المستلمة ناقصة",IF(AND(OR($U67="TRF",$U67="DEP",$U67="WDR"),$E67=$D67),"التحويل إلى نفس الخزينة",IF(AND(OR($U67="TRF",$U67="DEP",$U67="WDR"),COUNTIFS(COA!$A:$A,$X67,COA!$R:$R,1)&lt;&gt;1),"الخزينة المستلمة غير صالحة",IF(AND(OR($U67="RCV",$U67="PAY"),$F67=""),"الحساب المقابل ناقص",IF(AND(OR($U67="RCV",$U67="PAY"),COUNTIFS(COA!$A:$A,$F67,COA!$R:$R,1)&lt;&gt;1),"الحساب المقابل غير صالح أو رئيسي",IF(AND(OR($U67="RCV",$U67="PAY"),IFERROR(INDEX(COA!$H:$H,MATCH($F67,COA!$A:$A,0)),0)=1),"الحساب المقابل نقدي: استخدم تحويل بين الخزائن",IF(AND(OR($U67="RCV",$U67="PAY"),$F67=ACC_SUPPLIERS),"سداد الموردين يتم من Supplier_Payments",IF(AND(OR($U67="RCV",$U67="PAY"),$H67=""),"المستلم/الدافع ناقص",IF(AND(OR($U67="RCV",$U67="PAY"),$J67=""),"طريقة الدفع ناقصة",IF(AND(OR($U67="RCV",$U67="PAY"),OR($F67=ACC_CUSTOMERS,$F67=1501,$F67=1502),$G67=""),"كود الجهة إلزامي لهذا الحساب",IF(AND($F67=ACC_CUSTOMERS,$G67&lt;&gt;"",COUNTIF(Customers!$A:$A,$G67)=0),"كود العميل غير معرف",IF(AND(OR($F67=1501,$F67=1502),$G67&lt;&gt;"",COUNTIF(Employees!$A:$A,$G67)=0),"كود الموظف غير معرف",IF(AND($M67&lt;&gt;"",COUNTIF(Doc_Register!$A:$A,$M67)=0),"المستند المرتبط غير موجود",IF(AND(OR($U67="PAY",$U67="SHT"),NOT(COUNTIF(Cost_Centers!$A:$A,$AE67)&gt;0)),"مركز التكلفة غير معرف",""))))))))))))))))))))))))))))))</f>
        <v/>
      </c>
      <c r="AL67" s="32">
        <f>IF($AJ67=1,IF($AK67&lt;&gt;"",1,0),0)</f>
        <v/>
      </c>
      <c r="AM67" s="32">
        <f>IF(AND($AJ67=1,$AL67=0,$N67=ST_POST),1,0)</f>
        <v/>
      </c>
    </row>
    <row r="68">
      <c r="A68" s="29" t="n"/>
      <c r="B68" s="31" t="n"/>
      <c r="C68" s="29" t="n"/>
      <c r="D68" s="39" t="n"/>
      <c r="E68" s="39" t="n"/>
      <c r="F68" s="39" t="n"/>
      <c r="G68" s="29" t="n"/>
      <c r="H68" s="29" t="n"/>
      <c r="I68" s="42" t="n"/>
      <c r="J68" s="29" t="n"/>
      <c r="K68" s="29" t="n"/>
      <c r="L68" s="39" t="n"/>
      <c r="M68" s="29" t="n"/>
      <c r="N68" s="39" t="n"/>
      <c r="O68" s="29" t="n"/>
      <c r="P68" s="29" t="n"/>
      <c r="Q68" s="29" t="n"/>
      <c r="R68" s="29" t="n"/>
      <c r="S68" s="29" t="n"/>
      <c r="T68" s="29" t="n"/>
      <c r="U68" s="32">
        <f>IF($AJ68=1,IFERROR(INDEX(Lists!$F:$F,MATCH($C68,Lists!$E:$E,0)),"?"),"")</f>
        <v/>
      </c>
      <c r="V68" s="32">
        <f>IF($AJ68=1,IFERROR(INDEX(Lists!$G:$G,MATCH($C68,Lists!$E:$E,0)),"?"),"")</f>
        <v/>
      </c>
      <c r="W68" s="32">
        <f>IF($AJ68=1,IFERROR(INDEX(Treasuries!$E:$E,MATCH($D68,Treasuries!$A:$A,0)),"؟"),"")</f>
        <v/>
      </c>
      <c r="X68" s="32">
        <f>IF(AND($AJ68=1,$E68&lt;&gt;""),IFERROR(INDEX(Treasuries!$E:$E,MATCH($E68,Treasuries!$A:$A,0)),"؟"),"")</f>
        <v/>
      </c>
      <c r="Y68" s="32">
        <f>IF($AJ68=1,IFERROR(INDEX(Treasuries!$D:$D,MATCH($D68,Treasuries!$A:$A,0)),"؟"),"")</f>
        <v/>
      </c>
      <c r="Z68" s="32">
        <f>IF(AND($AJ68=1,$E68&lt;&gt;""),IFERROR(INDEX(Treasuries!$D:$D,MATCH($E68,Treasuries!$A:$A,0)),"؟"),"")</f>
        <v/>
      </c>
      <c r="AA68" s="44">
        <f>IF($AJ68=1,IF($U68="RCV",$W68,IF($U68="PAY",$F68,IF(OR($U68="TRF",$U68="DEP",$U68="WDR"),$X68,IF($U68="SHT",ACC_CASH_SHORT,IF($U68="OVR",$W68,"؟"))))),"")</f>
        <v/>
      </c>
      <c r="AB68" s="44">
        <f>IF($AJ68=1,IF($U68="RCV",$F68,IF($U68="PAY",$W68,IF(OR($U68="TRF",$U68="DEP",$U68="WDR"),$W68,IF($U68="SHT",$W68,IF($U68="OVR",ACC_CASH_OVER,"؟"))))),"")</f>
        <v/>
      </c>
      <c r="AC68" s="32">
        <f>IF($AJ68=1,IF(OR($U68="TRF",$U68="DEP",$U68="WDR"),$Z68,$Y68),"")</f>
        <v/>
      </c>
      <c r="AD68" s="32">
        <f>IF($AJ68=1,$Y68,"")</f>
        <v/>
      </c>
      <c r="AE68" s="32">
        <f>IF($AJ68=1,IF(OR($U68="PAY",$U68="SHT"),IF($L68="","CC00",$L68),"CC00"),"")</f>
        <v/>
      </c>
      <c r="AF68" s="32">
        <f>IF($AJ68=1,IF(OR($U68="RCV",$U68="OVR"),IF($L68="","CC00",$L68),"CC00"),"")</f>
        <v/>
      </c>
      <c r="AG68" s="32">
        <f>IF($AJ68=1,IF(AND($U68="PAY",$G68&lt;&gt;""),$G68,"-"),"")</f>
        <v/>
      </c>
      <c r="AH68" s="32">
        <f>IF($AJ68=1,IF(AND($U68="RCV",$G68&lt;&gt;""),$G68,"-"),"")</f>
        <v/>
      </c>
      <c r="AI68" s="32">
        <f>IF($AJ68=1,IF(OR($U68="TRF",$U68="DEP",$U68="WDR"),"INTERNAL",IF(OR($U68="RCV",$U68="PAY"),IFERROR(IF(INDEX(COA!$I:$I,MATCH($F68,COA!$A:$A,0))="","OPERATING",INDEX(COA!$I:$I,MATCH($F68,COA!$A:$A,0))),"OPERATING"),"OPERATING")),"")</f>
        <v/>
      </c>
      <c r="AJ68" s="32">
        <f>IF(COUNTA($A68:$T68)&gt;0,1,0)</f>
        <v/>
      </c>
      <c r="AK68" s="32">
        <f>IF($AJ68=0,"",IF($A68="","رقم المستند ناقص",IF(COUNTIF(Doc_Register!$A:$A,$A68)&gt;1,"رقم مستند مكرر في السجل المركزي",IF(LEFT($A68,LEN($V68)+1)&lt;&gt;$V68&amp;"-","بادئة الرقم لا تطابق نوع المستند",IF(NOT(ISNUMBER($B68)),"التاريخ ناقص أو غير صحيح",IF($N68="","حالة المستند ناقصة",IF($O68="","اسم المُعِد ناقص",IF(AND(OR($N68=ST_APPR,$N68=ST_POST),$P68=""),"لا يوجد معتمد",IF(AND($P68&lt;&gt;"",$P68=$O68),"المُعِد والمعتمد نفس الشخص (فصل المهام)",IF(AND($N68=ST_POST,$Q68=""),"اسم المحاسب المرحِّل ناقص",IF(AND($N68=ST_POST,$Q68&lt;&gt;"",OR($Q68=$O68,$Q68=$P68)),"المرحِّل يجب أن يختلف عن المُعِد والمعتمد",IF(AND($N68=ST_REV,$S68=""),"مرجع التصحيح/الإلغاء ناقص",IF(AND(ISNUMBER($B68),OR($N68=ST_DRAFT,$N68=ST_APPR),COUNTIFS(Period_Close!$A:$A,YEAR($B68)*100+MONTH($B68),Period_Close!$B:$B,"مقفلة")&gt;0),"الفترة مقفلة: لا يسمح بمستند جديد",IF($U68="?","نوع السند غير معرف",IF(COUNTIFS(COA!$A:$A,$W68,COA!$R:$R,1)&lt;&gt;1,"الخزينة/البنك غير معرف أو غير صالح",IF(NOT(N($I68)&gt;0),"المبلغ يجب أن يكون أكبر من صفر",IF(AND(OR($U68="TRF",$U68="DEP",$U68="WDR"),$E68=""),"الخزينة المستلمة ناقصة",IF(AND(OR($U68="TRF",$U68="DEP",$U68="WDR"),$E68=$D68),"التحويل إلى نفس الخزينة",IF(AND(OR($U68="TRF",$U68="DEP",$U68="WDR"),COUNTIFS(COA!$A:$A,$X68,COA!$R:$R,1)&lt;&gt;1),"الخزينة المستلمة غير صالحة",IF(AND(OR($U68="RCV",$U68="PAY"),$F68=""),"الحساب المقابل ناقص",IF(AND(OR($U68="RCV",$U68="PAY"),COUNTIFS(COA!$A:$A,$F68,COA!$R:$R,1)&lt;&gt;1),"الحساب المقابل غير صالح أو رئيسي",IF(AND(OR($U68="RCV",$U68="PAY"),IFERROR(INDEX(COA!$H:$H,MATCH($F68,COA!$A:$A,0)),0)=1),"الحساب المقابل نقدي: استخدم تحويل بين الخزائن",IF(AND(OR($U68="RCV",$U68="PAY"),$F68=ACC_SUPPLIERS),"سداد الموردين يتم من Supplier_Payments",IF(AND(OR($U68="RCV",$U68="PAY"),$H68=""),"المستلم/الدافع ناقص",IF(AND(OR($U68="RCV",$U68="PAY"),$J68=""),"طريقة الدفع ناقصة",IF(AND(OR($U68="RCV",$U68="PAY"),OR($F68=ACC_CUSTOMERS,$F68=1501,$F68=1502),$G68=""),"كود الجهة إلزامي لهذا الحساب",IF(AND($F68=ACC_CUSTOMERS,$G68&lt;&gt;"",COUNTIF(Customers!$A:$A,$G68)=0),"كود العميل غير معرف",IF(AND(OR($F68=1501,$F68=1502),$G68&lt;&gt;"",COUNTIF(Employees!$A:$A,$G68)=0),"كود الموظف غير معرف",IF(AND($M68&lt;&gt;"",COUNTIF(Doc_Register!$A:$A,$M68)=0),"المستند المرتبط غير موجود",IF(AND(OR($U68="PAY",$U68="SHT"),NOT(COUNTIF(Cost_Centers!$A:$A,$AE68)&gt;0)),"مركز التكلفة غير معرف",""))))))))))))))))))))))))))))))</f>
        <v/>
      </c>
      <c r="AL68" s="32">
        <f>IF($AJ68=1,IF($AK68&lt;&gt;"",1,0),0)</f>
        <v/>
      </c>
      <c r="AM68" s="32">
        <f>IF(AND($AJ68=1,$AL68=0,$N68=ST_POST),1,0)</f>
        <v/>
      </c>
    </row>
    <row r="69">
      <c r="A69" s="29" t="n"/>
      <c r="B69" s="31" t="n"/>
      <c r="C69" s="29" t="n"/>
      <c r="D69" s="39" t="n"/>
      <c r="E69" s="39" t="n"/>
      <c r="F69" s="39" t="n"/>
      <c r="G69" s="29" t="n"/>
      <c r="H69" s="29" t="n"/>
      <c r="I69" s="42" t="n"/>
      <c r="J69" s="29" t="n"/>
      <c r="K69" s="29" t="n"/>
      <c r="L69" s="39" t="n"/>
      <c r="M69" s="29" t="n"/>
      <c r="N69" s="39" t="n"/>
      <c r="O69" s="29" t="n"/>
      <c r="P69" s="29" t="n"/>
      <c r="Q69" s="29" t="n"/>
      <c r="R69" s="29" t="n"/>
      <c r="S69" s="29" t="n"/>
      <c r="T69" s="29" t="n"/>
      <c r="U69" s="32">
        <f>IF($AJ69=1,IFERROR(INDEX(Lists!$F:$F,MATCH($C69,Lists!$E:$E,0)),"?"),"")</f>
        <v/>
      </c>
      <c r="V69" s="32">
        <f>IF($AJ69=1,IFERROR(INDEX(Lists!$G:$G,MATCH($C69,Lists!$E:$E,0)),"?"),"")</f>
        <v/>
      </c>
      <c r="W69" s="32">
        <f>IF($AJ69=1,IFERROR(INDEX(Treasuries!$E:$E,MATCH($D69,Treasuries!$A:$A,0)),"؟"),"")</f>
        <v/>
      </c>
      <c r="X69" s="32">
        <f>IF(AND($AJ69=1,$E69&lt;&gt;""),IFERROR(INDEX(Treasuries!$E:$E,MATCH($E69,Treasuries!$A:$A,0)),"؟"),"")</f>
        <v/>
      </c>
      <c r="Y69" s="32">
        <f>IF($AJ69=1,IFERROR(INDEX(Treasuries!$D:$D,MATCH($D69,Treasuries!$A:$A,0)),"؟"),"")</f>
        <v/>
      </c>
      <c r="Z69" s="32">
        <f>IF(AND($AJ69=1,$E69&lt;&gt;""),IFERROR(INDEX(Treasuries!$D:$D,MATCH($E69,Treasuries!$A:$A,0)),"؟"),"")</f>
        <v/>
      </c>
      <c r="AA69" s="44">
        <f>IF($AJ69=1,IF($U69="RCV",$W69,IF($U69="PAY",$F69,IF(OR($U69="TRF",$U69="DEP",$U69="WDR"),$X69,IF($U69="SHT",ACC_CASH_SHORT,IF($U69="OVR",$W69,"؟"))))),"")</f>
        <v/>
      </c>
      <c r="AB69" s="44">
        <f>IF($AJ69=1,IF($U69="RCV",$F69,IF($U69="PAY",$W69,IF(OR($U69="TRF",$U69="DEP",$U69="WDR"),$W69,IF($U69="SHT",$W69,IF($U69="OVR",ACC_CASH_OVER,"؟"))))),"")</f>
        <v/>
      </c>
      <c r="AC69" s="32">
        <f>IF($AJ69=1,IF(OR($U69="TRF",$U69="DEP",$U69="WDR"),$Z69,$Y69),"")</f>
        <v/>
      </c>
      <c r="AD69" s="32">
        <f>IF($AJ69=1,$Y69,"")</f>
        <v/>
      </c>
      <c r="AE69" s="32">
        <f>IF($AJ69=1,IF(OR($U69="PAY",$U69="SHT"),IF($L69="","CC00",$L69),"CC00"),"")</f>
        <v/>
      </c>
      <c r="AF69" s="32">
        <f>IF($AJ69=1,IF(OR($U69="RCV",$U69="OVR"),IF($L69="","CC00",$L69),"CC00"),"")</f>
        <v/>
      </c>
      <c r="AG69" s="32">
        <f>IF($AJ69=1,IF(AND($U69="PAY",$G69&lt;&gt;""),$G69,"-"),"")</f>
        <v/>
      </c>
      <c r="AH69" s="32">
        <f>IF($AJ69=1,IF(AND($U69="RCV",$G69&lt;&gt;""),$G69,"-"),"")</f>
        <v/>
      </c>
      <c r="AI69" s="32">
        <f>IF($AJ69=1,IF(OR($U69="TRF",$U69="DEP",$U69="WDR"),"INTERNAL",IF(OR($U69="RCV",$U69="PAY"),IFERROR(IF(INDEX(COA!$I:$I,MATCH($F69,COA!$A:$A,0))="","OPERATING",INDEX(COA!$I:$I,MATCH($F69,COA!$A:$A,0))),"OPERATING"),"OPERATING")),"")</f>
        <v/>
      </c>
      <c r="AJ69" s="32">
        <f>IF(COUNTA($A69:$T69)&gt;0,1,0)</f>
        <v/>
      </c>
      <c r="AK69" s="32">
        <f>IF($AJ69=0,"",IF($A69="","رقم المستند ناقص",IF(COUNTIF(Doc_Register!$A:$A,$A69)&gt;1,"رقم مستند مكرر في السجل المركزي",IF(LEFT($A69,LEN($V69)+1)&lt;&gt;$V69&amp;"-","بادئة الرقم لا تطابق نوع المستند",IF(NOT(ISNUMBER($B69)),"التاريخ ناقص أو غير صحيح",IF($N69="","حالة المستند ناقصة",IF($O69="","اسم المُعِد ناقص",IF(AND(OR($N69=ST_APPR,$N69=ST_POST),$P69=""),"لا يوجد معتمد",IF(AND($P69&lt;&gt;"",$P69=$O69),"المُعِد والمعتمد نفس الشخص (فصل المهام)",IF(AND($N69=ST_POST,$Q69=""),"اسم المحاسب المرحِّل ناقص",IF(AND($N69=ST_POST,$Q69&lt;&gt;"",OR($Q69=$O69,$Q69=$P69)),"المرحِّل يجب أن يختلف عن المُعِد والمعتمد",IF(AND($N69=ST_REV,$S69=""),"مرجع التصحيح/الإلغاء ناقص",IF(AND(ISNUMBER($B69),OR($N69=ST_DRAFT,$N69=ST_APPR),COUNTIFS(Period_Close!$A:$A,YEAR($B69)*100+MONTH($B69),Period_Close!$B:$B,"مقفلة")&gt;0),"الفترة مقفلة: لا يسمح بمستند جديد",IF($U69="?","نوع السند غير معرف",IF(COUNTIFS(COA!$A:$A,$W69,COA!$R:$R,1)&lt;&gt;1,"الخزينة/البنك غير معرف أو غير صالح",IF(NOT(N($I69)&gt;0),"المبلغ يجب أن يكون أكبر من صفر",IF(AND(OR($U69="TRF",$U69="DEP",$U69="WDR"),$E69=""),"الخزينة المستلمة ناقصة",IF(AND(OR($U69="TRF",$U69="DEP",$U69="WDR"),$E69=$D69),"التحويل إلى نفس الخزينة",IF(AND(OR($U69="TRF",$U69="DEP",$U69="WDR"),COUNTIFS(COA!$A:$A,$X69,COA!$R:$R,1)&lt;&gt;1),"الخزينة المستلمة غير صالحة",IF(AND(OR($U69="RCV",$U69="PAY"),$F69=""),"الحساب المقابل ناقص",IF(AND(OR($U69="RCV",$U69="PAY"),COUNTIFS(COA!$A:$A,$F69,COA!$R:$R,1)&lt;&gt;1),"الحساب المقابل غير صالح أو رئيسي",IF(AND(OR($U69="RCV",$U69="PAY"),IFERROR(INDEX(COA!$H:$H,MATCH($F69,COA!$A:$A,0)),0)=1),"الحساب المقابل نقدي: استخدم تحويل بين الخزائن",IF(AND(OR($U69="RCV",$U69="PAY"),$F69=ACC_SUPPLIERS),"سداد الموردين يتم من Supplier_Payments",IF(AND(OR($U69="RCV",$U69="PAY"),$H69=""),"المستلم/الدافع ناقص",IF(AND(OR($U69="RCV",$U69="PAY"),$J69=""),"طريقة الدفع ناقصة",IF(AND(OR($U69="RCV",$U69="PAY"),OR($F69=ACC_CUSTOMERS,$F69=1501,$F69=1502),$G69=""),"كود الجهة إلزامي لهذا الحساب",IF(AND($F69=ACC_CUSTOMERS,$G69&lt;&gt;"",COUNTIF(Customers!$A:$A,$G69)=0),"كود العميل غير معرف",IF(AND(OR($F69=1501,$F69=1502),$G69&lt;&gt;"",COUNTIF(Employees!$A:$A,$G69)=0),"كود الموظف غير معرف",IF(AND($M69&lt;&gt;"",COUNTIF(Doc_Register!$A:$A,$M69)=0),"المستند المرتبط غير موجود",IF(AND(OR($U69="PAY",$U69="SHT"),NOT(COUNTIF(Cost_Centers!$A:$A,$AE69)&gt;0)),"مركز التكلفة غير معرف",""))))))))))))))))))))))))))))))</f>
        <v/>
      </c>
      <c r="AL69" s="32">
        <f>IF($AJ69=1,IF($AK69&lt;&gt;"",1,0),0)</f>
        <v/>
      </c>
      <c r="AM69" s="32">
        <f>IF(AND($AJ69=1,$AL69=0,$N69=ST_POST),1,0)</f>
        <v/>
      </c>
    </row>
    <row r="70">
      <c r="A70" s="29" t="n"/>
      <c r="B70" s="31" t="n"/>
      <c r="C70" s="29" t="n"/>
      <c r="D70" s="39" t="n"/>
      <c r="E70" s="39" t="n"/>
      <c r="F70" s="39" t="n"/>
      <c r="G70" s="29" t="n"/>
      <c r="H70" s="29" t="n"/>
      <c r="I70" s="42" t="n"/>
      <c r="J70" s="29" t="n"/>
      <c r="K70" s="29" t="n"/>
      <c r="L70" s="39" t="n"/>
      <c r="M70" s="29" t="n"/>
      <c r="N70" s="39" t="n"/>
      <c r="O70" s="29" t="n"/>
      <c r="P70" s="29" t="n"/>
      <c r="Q70" s="29" t="n"/>
      <c r="R70" s="29" t="n"/>
      <c r="S70" s="29" t="n"/>
      <c r="T70" s="29" t="n"/>
      <c r="U70" s="32">
        <f>IF($AJ70=1,IFERROR(INDEX(Lists!$F:$F,MATCH($C70,Lists!$E:$E,0)),"?"),"")</f>
        <v/>
      </c>
      <c r="V70" s="32">
        <f>IF($AJ70=1,IFERROR(INDEX(Lists!$G:$G,MATCH($C70,Lists!$E:$E,0)),"?"),"")</f>
        <v/>
      </c>
      <c r="W70" s="32">
        <f>IF($AJ70=1,IFERROR(INDEX(Treasuries!$E:$E,MATCH($D70,Treasuries!$A:$A,0)),"؟"),"")</f>
        <v/>
      </c>
      <c r="X70" s="32">
        <f>IF(AND($AJ70=1,$E70&lt;&gt;""),IFERROR(INDEX(Treasuries!$E:$E,MATCH($E70,Treasuries!$A:$A,0)),"؟"),"")</f>
        <v/>
      </c>
      <c r="Y70" s="32">
        <f>IF($AJ70=1,IFERROR(INDEX(Treasuries!$D:$D,MATCH($D70,Treasuries!$A:$A,0)),"؟"),"")</f>
        <v/>
      </c>
      <c r="Z70" s="32">
        <f>IF(AND($AJ70=1,$E70&lt;&gt;""),IFERROR(INDEX(Treasuries!$D:$D,MATCH($E70,Treasuries!$A:$A,0)),"؟"),"")</f>
        <v/>
      </c>
      <c r="AA70" s="44">
        <f>IF($AJ70=1,IF($U70="RCV",$W70,IF($U70="PAY",$F70,IF(OR($U70="TRF",$U70="DEP",$U70="WDR"),$X70,IF($U70="SHT",ACC_CASH_SHORT,IF($U70="OVR",$W70,"؟"))))),"")</f>
        <v/>
      </c>
      <c r="AB70" s="44">
        <f>IF($AJ70=1,IF($U70="RCV",$F70,IF($U70="PAY",$W70,IF(OR($U70="TRF",$U70="DEP",$U70="WDR"),$W70,IF($U70="SHT",$W70,IF($U70="OVR",ACC_CASH_OVER,"؟"))))),"")</f>
        <v/>
      </c>
      <c r="AC70" s="32">
        <f>IF($AJ70=1,IF(OR($U70="TRF",$U70="DEP",$U70="WDR"),$Z70,$Y70),"")</f>
        <v/>
      </c>
      <c r="AD70" s="32">
        <f>IF($AJ70=1,$Y70,"")</f>
        <v/>
      </c>
      <c r="AE70" s="32">
        <f>IF($AJ70=1,IF(OR($U70="PAY",$U70="SHT"),IF($L70="","CC00",$L70),"CC00"),"")</f>
        <v/>
      </c>
      <c r="AF70" s="32">
        <f>IF($AJ70=1,IF(OR($U70="RCV",$U70="OVR"),IF($L70="","CC00",$L70),"CC00"),"")</f>
        <v/>
      </c>
      <c r="AG70" s="32">
        <f>IF($AJ70=1,IF(AND($U70="PAY",$G70&lt;&gt;""),$G70,"-"),"")</f>
        <v/>
      </c>
      <c r="AH70" s="32">
        <f>IF($AJ70=1,IF(AND($U70="RCV",$G70&lt;&gt;""),$G70,"-"),"")</f>
        <v/>
      </c>
      <c r="AI70" s="32">
        <f>IF($AJ70=1,IF(OR($U70="TRF",$U70="DEP",$U70="WDR"),"INTERNAL",IF(OR($U70="RCV",$U70="PAY"),IFERROR(IF(INDEX(COA!$I:$I,MATCH($F70,COA!$A:$A,0))="","OPERATING",INDEX(COA!$I:$I,MATCH($F70,COA!$A:$A,0))),"OPERATING"),"OPERATING")),"")</f>
        <v/>
      </c>
      <c r="AJ70" s="32">
        <f>IF(COUNTA($A70:$T70)&gt;0,1,0)</f>
        <v/>
      </c>
      <c r="AK70" s="32">
        <f>IF($AJ70=0,"",IF($A70="","رقم المستند ناقص",IF(COUNTIF(Doc_Register!$A:$A,$A70)&gt;1,"رقم مستند مكرر في السجل المركزي",IF(LEFT($A70,LEN($V70)+1)&lt;&gt;$V70&amp;"-","بادئة الرقم لا تطابق نوع المستند",IF(NOT(ISNUMBER($B70)),"التاريخ ناقص أو غير صحيح",IF($N70="","حالة المستند ناقصة",IF($O70="","اسم المُعِد ناقص",IF(AND(OR($N70=ST_APPR,$N70=ST_POST),$P70=""),"لا يوجد معتمد",IF(AND($P70&lt;&gt;"",$P70=$O70),"المُعِد والمعتمد نفس الشخص (فصل المهام)",IF(AND($N70=ST_POST,$Q70=""),"اسم المحاسب المرحِّل ناقص",IF(AND($N70=ST_POST,$Q70&lt;&gt;"",OR($Q70=$O70,$Q70=$P70)),"المرحِّل يجب أن يختلف عن المُعِد والمعتمد",IF(AND($N70=ST_REV,$S70=""),"مرجع التصحيح/الإلغاء ناقص",IF(AND(ISNUMBER($B70),OR($N70=ST_DRAFT,$N70=ST_APPR),COUNTIFS(Period_Close!$A:$A,YEAR($B70)*100+MONTH($B70),Period_Close!$B:$B,"مقفلة")&gt;0),"الفترة مقفلة: لا يسمح بمستند جديد",IF($U70="?","نوع السند غير معرف",IF(COUNTIFS(COA!$A:$A,$W70,COA!$R:$R,1)&lt;&gt;1,"الخزينة/البنك غير معرف أو غير صالح",IF(NOT(N($I70)&gt;0),"المبلغ يجب أن يكون أكبر من صفر",IF(AND(OR($U70="TRF",$U70="DEP",$U70="WDR"),$E70=""),"الخزينة المستلمة ناقصة",IF(AND(OR($U70="TRF",$U70="DEP",$U70="WDR"),$E70=$D70),"التحويل إلى نفس الخزينة",IF(AND(OR($U70="TRF",$U70="DEP",$U70="WDR"),COUNTIFS(COA!$A:$A,$X70,COA!$R:$R,1)&lt;&gt;1),"الخزينة المستلمة غير صالحة",IF(AND(OR($U70="RCV",$U70="PAY"),$F70=""),"الحساب المقابل ناقص",IF(AND(OR($U70="RCV",$U70="PAY"),COUNTIFS(COA!$A:$A,$F70,COA!$R:$R,1)&lt;&gt;1),"الحساب المقابل غير صالح أو رئيسي",IF(AND(OR($U70="RCV",$U70="PAY"),IFERROR(INDEX(COA!$H:$H,MATCH($F70,COA!$A:$A,0)),0)=1),"الحساب المقابل نقدي: استخدم تحويل بين الخزائن",IF(AND(OR($U70="RCV",$U70="PAY"),$F70=ACC_SUPPLIERS),"سداد الموردين يتم من Supplier_Payments",IF(AND(OR($U70="RCV",$U70="PAY"),$H70=""),"المستلم/الدافع ناقص",IF(AND(OR($U70="RCV",$U70="PAY"),$J70=""),"طريقة الدفع ناقصة",IF(AND(OR($U70="RCV",$U70="PAY"),OR($F70=ACC_CUSTOMERS,$F70=1501,$F70=1502),$G70=""),"كود الجهة إلزامي لهذا الحساب",IF(AND($F70=ACC_CUSTOMERS,$G70&lt;&gt;"",COUNTIF(Customers!$A:$A,$G70)=0),"كود العميل غير معرف",IF(AND(OR($F70=1501,$F70=1502),$G70&lt;&gt;"",COUNTIF(Employees!$A:$A,$G70)=0),"كود الموظف غير معرف",IF(AND($M70&lt;&gt;"",COUNTIF(Doc_Register!$A:$A,$M70)=0),"المستند المرتبط غير موجود",IF(AND(OR($U70="PAY",$U70="SHT"),NOT(COUNTIF(Cost_Centers!$A:$A,$AE70)&gt;0)),"مركز التكلفة غير معرف",""))))))))))))))))))))))))))))))</f>
        <v/>
      </c>
      <c r="AL70" s="32">
        <f>IF($AJ70=1,IF($AK70&lt;&gt;"",1,0),0)</f>
        <v/>
      </c>
      <c r="AM70" s="32">
        <f>IF(AND($AJ70=1,$AL70=0,$N70=ST_POST),1,0)</f>
        <v/>
      </c>
    </row>
    <row r="71">
      <c r="A71" s="29" t="n"/>
      <c r="B71" s="31" t="n"/>
      <c r="C71" s="29" t="n"/>
      <c r="D71" s="39" t="n"/>
      <c r="E71" s="39" t="n"/>
      <c r="F71" s="39" t="n"/>
      <c r="G71" s="29" t="n"/>
      <c r="H71" s="29" t="n"/>
      <c r="I71" s="42" t="n"/>
      <c r="J71" s="29" t="n"/>
      <c r="K71" s="29" t="n"/>
      <c r="L71" s="39" t="n"/>
      <c r="M71" s="29" t="n"/>
      <c r="N71" s="39" t="n"/>
      <c r="O71" s="29" t="n"/>
      <c r="P71" s="29" t="n"/>
      <c r="Q71" s="29" t="n"/>
      <c r="R71" s="29" t="n"/>
      <c r="S71" s="29" t="n"/>
      <c r="T71" s="29" t="n"/>
      <c r="U71" s="32">
        <f>IF($AJ71=1,IFERROR(INDEX(Lists!$F:$F,MATCH($C71,Lists!$E:$E,0)),"?"),"")</f>
        <v/>
      </c>
      <c r="V71" s="32">
        <f>IF($AJ71=1,IFERROR(INDEX(Lists!$G:$G,MATCH($C71,Lists!$E:$E,0)),"?"),"")</f>
        <v/>
      </c>
      <c r="W71" s="32">
        <f>IF($AJ71=1,IFERROR(INDEX(Treasuries!$E:$E,MATCH($D71,Treasuries!$A:$A,0)),"؟"),"")</f>
        <v/>
      </c>
      <c r="X71" s="32">
        <f>IF(AND($AJ71=1,$E71&lt;&gt;""),IFERROR(INDEX(Treasuries!$E:$E,MATCH($E71,Treasuries!$A:$A,0)),"؟"),"")</f>
        <v/>
      </c>
      <c r="Y71" s="32">
        <f>IF($AJ71=1,IFERROR(INDEX(Treasuries!$D:$D,MATCH($D71,Treasuries!$A:$A,0)),"؟"),"")</f>
        <v/>
      </c>
      <c r="Z71" s="32">
        <f>IF(AND($AJ71=1,$E71&lt;&gt;""),IFERROR(INDEX(Treasuries!$D:$D,MATCH($E71,Treasuries!$A:$A,0)),"؟"),"")</f>
        <v/>
      </c>
      <c r="AA71" s="44">
        <f>IF($AJ71=1,IF($U71="RCV",$W71,IF($U71="PAY",$F71,IF(OR($U71="TRF",$U71="DEP",$U71="WDR"),$X71,IF($U71="SHT",ACC_CASH_SHORT,IF($U71="OVR",$W71,"؟"))))),"")</f>
        <v/>
      </c>
      <c r="AB71" s="44">
        <f>IF($AJ71=1,IF($U71="RCV",$F71,IF($U71="PAY",$W71,IF(OR($U71="TRF",$U71="DEP",$U71="WDR"),$W71,IF($U71="SHT",$W71,IF($U71="OVR",ACC_CASH_OVER,"؟"))))),"")</f>
        <v/>
      </c>
      <c r="AC71" s="32">
        <f>IF($AJ71=1,IF(OR($U71="TRF",$U71="DEP",$U71="WDR"),$Z71,$Y71),"")</f>
        <v/>
      </c>
      <c r="AD71" s="32">
        <f>IF($AJ71=1,$Y71,"")</f>
        <v/>
      </c>
      <c r="AE71" s="32">
        <f>IF($AJ71=1,IF(OR($U71="PAY",$U71="SHT"),IF($L71="","CC00",$L71),"CC00"),"")</f>
        <v/>
      </c>
      <c r="AF71" s="32">
        <f>IF($AJ71=1,IF(OR($U71="RCV",$U71="OVR"),IF($L71="","CC00",$L71),"CC00"),"")</f>
        <v/>
      </c>
      <c r="AG71" s="32">
        <f>IF($AJ71=1,IF(AND($U71="PAY",$G71&lt;&gt;""),$G71,"-"),"")</f>
        <v/>
      </c>
      <c r="AH71" s="32">
        <f>IF($AJ71=1,IF(AND($U71="RCV",$G71&lt;&gt;""),$G71,"-"),"")</f>
        <v/>
      </c>
      <c r="AI71" s="32">
        <f>IF($AJ71=1,IF(OR($U71="TRF",$U71="DEP",$U71="WDR"),"INTERNAL",IF(OR($U71="RCV",$U71="PAY"),IFERROR(IF(INDEX(COA!$I:$I,MATCH($F71,COA!$A:$A,0))="","OPERATING",INDEX(COA!$I:$I,MATCH($F71,COA!$A:$A,0))),"OPERATING"),"OPERATING")),"")</f>
        <v/>
      </c>
      <c r="AJ71" s="32">
        <f>IF(COUNTA($A71:$T71)&gt;0,1,0)</f>
        <v/>
      </c>
      <c r="AK71" s="32">
        <f>IF($AJ71=0,"",IF($A71="","رقم المستند ناقص",IF(COUNTIF(Doc_Register!$A:$A,$A71)&gt;1,"رقم مستند مكرر في السجل المركزي",IF(LEFT($A71,LEN($V71)+1)&lt;&gt;$V71&amp;"-","بادئة الرقم لا تطابق نوع المستند",IF(NOT(ISNUMBER($B71)),"التاريخ ناقص أو غير صحيح",IF($N71="","حالة المستند ناقصة",IF($O71="","اسم المُعِد ناقص",IF(AND(OR($N71=ST_APPR,$N71=ST_POST),$P71=""),"لا يوجد معتمد",IF(AND($P71&lt;&gt;"",$P71=$O71),"المُعِد والمعتمد نفس الشخص (فصل المهام)",IF(AND($N71=ST_POST,$Q71=""),"اسم المحاسب المرحِّل ناقص",IF(AND($N71=ST_POST,$Q71&lt;&gt;"",OR($Q71=$O71,$Q71=$P71)),"المرحِّل يجب أن يختلف عن المُعِد والمعتمد",IF(AND($N71=ST_REV,$S71=""),"مرجع التصحيح/الإلغاء ناقص",IF(AND(ISNUMBER($B71),OR($N71=ST_DRAFT,$N71=ST_APPR),COUNTIFS(Period_Close!$A:$A,YEAR($B71)*100+MONTH($B71),Period_Close!$B:$B,"مقفلة")&gt;0),"الفترة مقفلة: لا يسمح بمستند جديد",IF($U71="?","نوع السند غير معرف",IF(COUNTIFS(COA!$A:$A,$W71,COA!$R:$R,1)&lt;&gt;1,"الخزينة/البنك غير معرف أو غير صالح",IF(NOT(N($I71)&gt;0),"المبلغ يجب أن يكون أكبر من صفر",IF(AND(OR($U71="TRF",$U71="DEP",$U71="WDR"),$E71=""),"الخزينة المستلمة ناقصة",IF(AND(OR($U71="TRF",$U71="DEP",$U71="WDR"),$E71=$D71),"التحويل إلى نفس الخزينة",IF(AND(OR($U71="TRF",$U71="DEP",$U71="WDR"),COUNTIFS(COA!$A:$A,$X71,COA!$R:$R,1)&lt;&gt;1),"الخزينة المستلمة غير صالحة",IF(AND(OR($U71="RCV",$U71="PAY"),$F71=""),"الحساب المقابل ناقص",IF(AND(OR($U71="RCV",$U71="PAY"),COUNTIFS(COA!$A:$A,$F71,COA!$R:$R,1)&lt;&gt;1),"الحساب المقابل غير صالح أو رئيسي",IF(AND(OR($U71="RCV",$U71="PAY"),IFERROR(INDEX(COA!$H:$H,MATCH($F71,COA!$A:$A,0)),0)=1),"الحساب المقابل نقدي: استخدم تحويل بين الخزائن",IF(AND(OR($U71="RCV",$U71="PAY"),$F71=ACC_SUPPLIERS),"سداد الموردين يتم من Supplier_Payments",IF(AND(OR($U71="RCV",$U71="PAY"),$H71=""),"المستلم/الدافع ناقص",IF(AND(OR($U71="RCV",$U71="PAY"),$J71=""),"طريقة الدفع ناقصة",IF(AND(OR($U71="RCV",$U71="PAY"),OR($F71=ACC_CUSTOMERS,$F71=1501,$F71=1502),$G71=""),"كود الجهة إلزامي لهذا الحساب",IF(AND($F71=ACC_CUSTOMERS,$G71&lt;&gt;"",COUNTIF(Customers!$A:$A,$G71)=0),"كود العميل غير معرف",IF(AND(OR($F71=1501,$F71=1502),$G71&lt;&gt;"",COUNTIF(Employees!$A:$A,$G71)=0),"كود الموظف غير معرف",IF(AND($M71&lt;&gt;"",COUNTIF(Doc_Register!$A:$A,$M71)=0),"المستند المرتبط غير موجود",IF(AND(OR($U71="PAY",$U71="SHT"),NOT(COUNTIF(Cost_Centers!$A:$A,$AE71)&gt;0)),"مركز التكلفة غير معرف",""))))))))))))))))))))))))))))))</f>
        <v/>
      </c>
      <c r="AL71" s="32">
        <f>IF($AJ71=1,IF($AK71&lt;&gt;"",1,0),0)</f>
        <v/>
      </c>
      <c r="AM71" s="32">
        <f>IF(AND($AJ71=1,$AL71=0,$N71=ST_POST),1,0)</f>
        <v/>
      </c>
    </row>
    <row r="72">
      <c r="A72" s="29" t="n"/>
      <c r="B72" s="31" t="n"/>
      <c r="C72" s="29" t="n"/>
      <c r="D72" s="39" t="n"/>
      <c r="E72" s="39" t="n"/>
      <c r="F72" s="39" t="n"/>
      <c r="G72" s="29" t="n"/>
      <c r="H72" s="29" t="n"/>
      <c r="I72" s="42" t="n"/>
      <c r="J72" s="29" t="n"/>
      <c r="K72" s="29" t="n"/>
      <c r="L72" s="39" t="n"/>
      <c r="M72" s="29" t="n"/>
      <c r="N72" s="39" t="n"/>
      <c r="O72" s="29" t="n"/>
      <c r="P72" s="29" t="n"/>
      <c r="Q72" s="29" t="n"/>
      <c r="R72" s="29" t="n"/>
      <c r="S72" s="29" t="n"/>
      <c r="T72" s="29" t="n"/>
      <c r="U72" s="32">
        <f>IF($AJ72=1,IFERROR(INDEX(Lists!$F:$F,MATCH($C72,Lists!$E:$E,0)),"?"),"")</f>
        <v/>
      </c>
      <c r="V72" s="32">
        <f>IF($AJ72=1,IFERROR(INDEX(Lists!$G:$G,MATCH($C72,Lists!$E:$E,0)),"?"),"")</f>
        <v/>
      </c>
      <c r="W72" s="32">
        <f>IF($AJ72=1,IFERROR(INDEX(Treasuries!$E:$E,MATCH($D72,Treasuries!$A:$A,0)),"؟"),"")</f>
        <v/>
      </c>
      <c r="X72" s="32">
        <f>IF(AND($AJ72=1,$E72&lt;&gt;""),IFERROR(INDEX(Treasuries!$E:$E,MATCH($E72,Treasuries!$A:$A,0)),"؟"),"")</f>
        <v/>
      </c>
      <c r="Y72" s="32">
        <f>IF($AJ72=1,IFERROR(INDEX(Treasuries!$D:$D,MATCH($D72,Treasuries!$A:$A,0)),"؟"),"")</f>
        <v/>
      </c>
      <c r="Z72" s="32">
        <f>IF(AND($AJ72=1,$E72&lt;&gt;""),IFERROR(INDEX(Treasuries!$D:$D,MATCH($E72,Treasuries!$A:$A,0)),"؟"),"")</f>
        <v/>
      </c>
      <c r="AA72" s="44">
        <f>IF($AJ72=1,IF($U72="RCV",$W72,IF($U72="PAY",$F72,IF(OR($U72="TRF",$U72="DEP",$U72="WDR"),$X72,IF($U72="SHT",ACC_CASH_SHORT,IF($U72="OVR",$W72,"؟"))))),"")</f>
        <v/>
      </c>
      <c r="AB72" s="44">
        <f>IF($AJ72=1,IF($U72="RCV",$F72,IF($U72="PAY",$W72,IF(OR($U72="TRF",$U72="DEP",$U72="WDR"),$W72,IF($U72="SHT",$W72,IF($U72="OVR",ACC_CASH_OVER,"؟"))))),"")</f>
        <v/>
      </c>
      <c r="AC72" s="32">
        <f>IF($AJ72=1,IF(OR($U72="TRF",$U72="DEP",$U72="WDR"),$Z72,$Y72),"")</f>
        <v/>
      </c>
      <c r="AD72" s="32">
        <f>IF($AJ72=1,$Y72,"")</f>
        <v/>
      </c>
      <c r="AE72" s="32">
        <f>IF($AJ72=1,IF(OR($U72="PAY",$U72="SHT"),IF($L72="","CC00",$L72),"CC00"),"")</f>
        <v/>
      </c>
      <c r="AF72" s="32">
        <f>IF($AJ72=1,IF(OR($U72="RCV",$U72="OVR"),IF($L72="","CC00",$L72),"CC00"),"")</f>
        <v/>
      </c>
      <c r="AG72" s="32">
        <f>IF($AJ72=1,IF(AND($U72="PAY",$G72&lt;&gt;""),$G72,"-"),"")</f>
        <v/>
      </c>
      <c r="AH72" s="32">
        <f>IF($AJ72=1,IF(AND($U72="RCV",$G72&lt;&gt;""),$G72,"-"),"")</f>
        <v/>
      </c>
      <c r="AI72" s="32">
        <f>IF($AJ72=1,IF(OR($U72="TRF",$U72="DEP",$U72="WDR"),"INTERNAL",IF(OR($U72="RCV",$U72="PAY"),IFERROR(IF(INDEX(COA!$I:$I,MATCH($F72,COA!$A:$A,0))="","OPERATING",INDEX(COA!$I:$I,MATCH($F72,COA!$A:$A,0))),"OPERATING"),"OPERATING")),"")</f>
        <v/>
      </c>
      <c r="AJ72" s="32">
        <f>IF(COUNTA($A72:$T72)&gt;0,1,0)</f>
        <v/>
      </c>
      <c r="AK72" s="32">
        <f>IF($AJ72=0,"",IF($A72="","رقم المستند ناقص",IF(COUNTIF(Doc_Register!$A:$A,$A72)&gt;1,"رقم مستند مكرر في السجل المركزي",IF(LEFT($A72,LEN($V72)+1)&lt;&gt;$V72&amp;"-","بادئة الرقم لا تطابق نوع المستند",IF(NOT(ISNUMBER($B72)),"التاريخ ناقص أو غير صحيح",IF($N72="","حالة المستند ناقصة",IF($O72="","اسم المُعِد ناقص",IF(AND(OR($N72=ST_APPR,$N72=ST_POST),$P72=""),"لا يوجد معتمد",IF(AND($P72&lt;&gt;"",$P72=$O72),"المُعِد والمعتمد نفس الشخص (فصل المهام)",IF(AND($N72=ST_POST,$Q72=""),"اسم المحاسب المرحِّل ناقص",IF(AND($N72=ST_POST,$Q72&lt;&gt;"",OR($Q72=$O72,$Q72=$P72)),"المرحِّل يجب أن يختلف عن المُعِد والمعتمد",IF(AND($N72=ST_REV,$S72=""),"مرجع التصحيح/الإلغاء ناقص",IF(AND(ISNUMBER($B72),OR($N72=ST_DRAFT,$N72=ST_APPR),COUNTIFS(Period_Close!$A:$A,YEAR($B72)*100+MONTH($B72),Period_Close!$B:$B,"مقفلة")&gt;0),"الفترة مقفلة: لا يسمح بمستند جديد",IF($U72="?","نوع السند غير معرف",IF(COUNTIFS(COA!$A:$A,$W72,COA!$R:$R,1)&lt;&gt;1,"الخزينة/البنك غير معرف أو غير صالح",IF(NOT(N($I72)&gt;0),"المبلغ يجب أن يكون أكبر من صفر",IF(AND(OR($U72="TRF",$U72="DEP",$U72="WDR"),$E72=""),"الخزينة المستلمة ناقصة",IF(AND(OR($U72="TRF",$U72="DEP",$U72="WDR"),$E72=$D72),"التحويل إلى نفس الخزينة",IF(AND(OR($U72="TRF",$U72="DEP",$U72="WDR"),COUNTIFS(COA!$A:$A,$X72,COA!$R:$R,1)&lt;&gt;1),"الخزينة المستلمة غير صالحة",IF(AND(OR($U72="RCV",$U72="PAY"),$F72=""),"الحساب المقابل ناقص",IF(AND(OR($U72="RCV",$U72="PAY"),COUNTIFS(COA!$A:$A,$F72,COA!$R:$R,1)&lt;&gt;1),"الحساب المقابل غير صالح أو رئيسي",IF(AND(OR($U72="RCV",$U72="PAY"),IFERROR(INDEX(COA!$H:$H,MATCH($F72,COA!$A:$A,0)),0)=1),"الحساب المقابل نقدي: استخدم تحويل بين الخزائن",IF(AND(OR($U72="RCV",$U72="PAY"),$F72=ACC_SUPPLIERS),"سداد الموردين يتم من Supplier_Payments",IF(AND(OR($U72="RCV",$U72="PAY"),$H72=""),"المستلم/الدافع ناقص",IF(AND(OR($U72="RCV",$U72="PAY"),$J72=""),"طريقة الدفع ناقصة",IF(AND(OR($U72="RCV",$U72="PAY"),OR($F72=ACC_CUSTOMERS,$F72=1501,$F72=1502),$G72=""),"كود الجهة إلزامي لهذا الحساب",IF(AND($F72=ACC_CUSTOMERS,$G72&lt;&gt;"",COUNTIF(Customers!$A:$A,$G72)=0),"كود العميل غير معرف",IF(AND(OR($F72=1501,$F72=1502),$G72&lt;&gt;"",COUNTIF(Employees!$A:$A,$G72)=0),"كود الموظف غير معرف",IF(AND($M72&lt;&gt;"",COUNTIF(Doc_Register!$A:$A,$M72)=0),"المستند المرتبط غير موجود",IF(AND(OR($U72="PAY",$U72="SHT"),NOT(COUNTIF(Cost_Centers!$A:$A,$AE72)&gt;0)),"مركز التكلفة غير معرف",""))))))))))))))))))))))))))))))</f>
        <v/>
      </c>
      <c r="AL72" s="32">
        <f>IF($AJ72=1,IF($AK72&lt;&gt;"",1,0),0)</f>
        <v/>
      </c>
      <c r="AM72" s="32">
        <f>IF(AND($AJ72=1,$AL72=0,$N72=ST_POST),1,0)</f>
        <v/>
      </c>
    </row>
    <row r="73">
      <c r="A73" s="29" t="n"/>
      <c r="B73" s="31" t="n"/>
      <c r="C73" s="29" t="n"/>
      <c r="D73" s="39" t="n"/>
      <c r="E73" s="39" t="n"/>
      <c r="F73" s="39" t="n"/>
      <c r="G73" s="29" t="n"/>
      <c r="H73" s="29" t="n"/>
      <c r="I73" s="42" t="n"/>
      <c r="J73" s="29" t="n"/>
      <c r="K73" s="29" t="n"/>
      <c r="L73" s="39" t="n"/>
      <c r="M73" s="29" t="n"/>
      <c r="N73" s="39" t="n"/>
      <c r="O73" s="29" t="n"/>
      <c r="P73" s="29" t="n"/>
      <c r="Q73" s="29" t="n"/>
      <c r="R73" s="29" t="n"/>
      <c r="S73" s="29" t="n"/>
      <c r="T73" s="29" t="n"/>
      <c r="U73" s="32">
        <f>IF($AJ73=1,IFERROR(INDEX(Lists!$F:$F,MATCH($C73,Lists!$E:$E,0)),"?"),"")</f>
        <v/>
      </c>
      <c r="V73" s="32">
        <f>IF($AJ73=1,IFERROR(INDEX(Lists!$G:$G,MATCH($C73,Lists!$E:$E,0)),"?"),"")</f>
        <v/>
      </c>
      <c r="W73" s="32">
        <f>IF($AJ73=1,IFERROR(INDEX(Treasuries!$E:$E,MATCH($D73,Treasuries!$A:$A,0)),"؟"),"")</f>
        <v/>
      </c>
      <c r="X73" s="32">
        <f>IF(AND($AJ73=1,$E73&lt;&gt;""),IFERROR(INDEX(Treasuries!$E:$E,MATCH($E73,Treasuries!$A:$A,0)),"؟"),"")</f>
        <v/>
      </c>
      <c r="Y73" s="32">
        <f>IF($AJ73=1,IFERROR(INDEX(Treasuries!$D:$D,MATCH($D73,Treasuries!$A:$A,0)),"؟"),"")</f>
        <v/>
      </c>
      <c r="Z73" s="32">
        <f>IF(AND($AJ73=1,$E73&lt;&gt;""),IFERROR(INDEX(Treasuries!$D:$D,MATCH($E73,Treasuries!$A:$A,0)),"؟"),"")</f>
        <v/>
      </c>
      <c r="AA73" s="44">
        <f>IF($AJ73=1,IF($U73="RCV",$W73,IF($U73="PAY",$F73,IF(OR($U73="TRF",$U73="DEP",$U73="WDR"),$X73,IF($U73="SHT",ACC_CASH_SHORT,IF($U73="OVR",$W73,"؟"))))),"")</f>
        <v/>
      </c>
      <c r="AB73" s="44">
        <f>IF($AJ73=1,IF($U73="RCV",$F73,IF($U73="PAY",$W73,IF(OR($U73="TRF",$U73="DEP",$U73="WDR"),$W73,IF($U73="SHT",$W73,IF($U73="OVR",ACC_CASH_OVER,"؟"))))),"")</f>
        <v/>
      </c>
      <c r="AC73" s="32">
        <f>IF($AJ73=1,IF(OR($U73="TRF",$U73="DEP",$U73="WDR"),$Z73,$Y73),"")</f>
        <v/>
      </c>
      <c r="AD73" s="32">
        <f>IF($AJ73=1,$Y73,"")</f>
        <v/>
      </c>
      <c r="AE73" s="32">
        <f>IF($AJ73=1,IF(OR($U73="PAY",$U73="SHT"),IF($L73="","CC00",$L73),"CC00"),"")</f>
        <v/>
      </c>
      <c r="AF73" s="32">
        <f>IF($AJ73=1,IF(OR($U73="RCV",$U73="OVR"),IF($L73="","CC00",$L73),"CC00"),"")</f>
        <v/>
      </c>
      <c r="AG73" s="32">
        <f>IF($AJ73=1,IF(AND($U73="PAY",$G73&lt;&gt;""),$G73,"-"),"")</f>
        <v/>
      </c>
      <c r="AH73" s="32">
        <f>IF($AJ73=1,IF(AND($U73="RCV",$G73&lt;&gt;""),$G73,"-"),"")</f>
        <v/>
      </c>
      <c r="AI73" s="32">
        <f>IF($AJ73=1,IF(OR($U73="TRF",$U73="DEP",$U73="WDR"),"INTERNAL",IF(OR($U73="RCV",$U73="PAY"),IFERROR(IF(INDEX(COA!$I:$I,MATCH($F73,COA!$A:$A,0))="","OPERATING",INDEX(COA!$I:$I,MATCH($F73,COA!$A:$A,0))),"OPERATING"),"OPERATING")),"")</f>
        <v/>
      </c>
      <c r="AJ73" s="32">
        <f>IF(COUNTA($A73:$T73)&gt;0,1,0)</f>
        <v/>
      </c>
      <c r="AK73" s="32">
        <f>IF($AJ73=0,"",IF($A73="","رقم المستند ناقص",IF(COUNTIF(Doc_Register!$A:$A,$A73)&gt;1,"رقم مستند مكرر في السجل المركزي",IF(LEFT($A73,LEN($V73)+1)&lt;&gt;$V73&amp;"-","بادئة الرقم لا تطابق نوع المستند",IF(NOT(ISNUMBER($B73)),"التاريخ ناقص أو غير صحيح",IF($N73="","حالة المستند ناقصة",IF($O73="","اسم المُعِد ناقص",IF(AND(OR($N73=ST_APPR,$N73=ST_POST),$P73=""),"لا يوجد معتمد",IF(AND($P73&lt;&gt;"",$P73=$O73),"المُعِد والمعتمد نفس الشخص (فصل المهام)",IF(AND($N73=ST_POST,$Q73=""),"اسم المحاسب المرحِّل ناقص",IF(AND($N73=ST_POST,$Q73&lt;&gt;"",OR($Q73=$O73,$Q73=$P73)),"المرحِّل يجب أن يختلف عن المُعِد والمعتمد",IF(AND($N73=ST_REV,$S73=""),"مرجع التصحيح/الإلغاء ناقص",IF(AND(ISNUMBER($B73),OR($N73=ST_DRAFT,$N73=ST_APPR),COUNTIFS(Period_Close!$A:$A,YEAR($B73)*100+MONTH($B73),Period_Close!$B:$B,"مقفلة")&gt;0),"الفترة مقفلة: لا يسمح بمستند جديد",IF($U73="?","نوع السند غير معرف",IF(COUNTIFS(COA!$A:$A,$W73,COA!$R:$R,1)&lt;&gt;1,"الخزينة/البنك غير معرف أو غير صالح",IF(NOT(N($I73)&gt;0),"المبلغ يجب أن يكون أكبر من صفر",IF(AND(OR($U73="TRF",$U73="DEP",$U73="WDR"),$E73=""),"الخزينة المستلمة ناقصة",IF(AND(OR($U73="TRF",$U73="DEP",$U73="WDR"),$E73=$D73),"التحويل إلى نفس الخزينة",IF(AND(OR($U73="TRF",$U73="DEP",$U73="WDR"),COUNTIFS(COA!$A:$A,$X73,COA!$R:$R,1)&lt;&gt;1),"الخزينة المستلمة غير صالحة",IF(AND(OR($U73="RCV",$U73="PAY"),$F73=""),"الحساب المقابل ناقص",IF(AND(OR($U73="RCV",$U73="PAY"),COUNTIFS(COA!$A:$A,$F73,COA!$R:$R,1)&lt;&gt;1),"الحساب المقابل غير صالح أو رئيسي",IF(AND(OR($U73="RCV",$U73="PAY"),IFERROR(INDEX(COA!$H:$H,MATCH($F73,COA!$A:$A,0)),0)=1),"الحساب المقابل نقدي: استخدم تحويل بين الخزائن",IF(AND(OR($U73="RCV",$U73="PAY"),$F73=ACC_SUPPLIERS),"سداد الموردين يتم من Supplier_Payments",IF(AND(OR($U73="RCV",$U73="PAY"),$H73=""),"المستلم/الدافع ناقص",IF(AND(OR($U73="RCV",$U73="PAY"),$J73=""),"طريقة الدفع ناقصة",IF(AND(OR($U73="RCV",$U73="PAY"),OR($F73=ACC_CUSTOMERS,$F73=1501,$F73=1502),$G73=""),"كود الجهة إلزامي لهذا الحساب",IF(AND($F73=ACC_CUSTOMERS,$G73&lt;&gt;"",COUNTIF(Customers!$A:$A,$G73)=0),"كود العميل غير معرف",IF(AND(OR($F73=1501,$F73=1502),$G73&lt;&gt;"",COUNTIF(Employees!$A:$A,$G73)=0),"كود الموظف غير معرف",IF(AND($M73&lt;&gt;"",COUNTIF(Doc_Register!$A:$A,$M73)=0),"المستند المرتبط غير موجود",IF(AND(OR($U73="PAY",$U73="SHT"),NOT(COUNTIF(Cost_Centers!$A:$A,$AE73)&gt;0)),"مركز التكلفة غير معرف",""))))))))))))))))))))))))))))))</f>
        <v/>
      </c>
      <c r="AL73" s="32">
        <f>IF($AJ73=1,IF($AK73&lt;&gt;"",1,0),0)</f>
        <v/>
      </c>
      <c r="AM73" s="32">
        <f>IF(AND($AJ73=1,$AL73=0,$N73=ST_POST),1,0)</f>
        <v/>
      </c>
    </row>
    <row r="74">
      <c r="A74" s="29" t="n"/>
      <c r="B74" s="31" t="n"/>
      <c r="C74" s="29" t="n"/>
      <c r="D74" s="39" t="n"/>
      <c r="E74" s="39" t="n"/>
      <c r="F74" s="39" t="n"/>
      <c r="G74" s="29" t="n"/>
      <c r="H74" s="29" t="n"/>
      <c r="I74" s="42" t="n"/>
      <c r="J74" s="29" t="n"/>
      <c r="K74" s="29" t="n"/>
      <c r="L74" s="39" t="n"/>
      <c r="M74" s="29" t="n"/>
      <c r="N74" s="39" t="n"/>
      <c r="O74" s="29" t="n"/>
      <c r="P74" s="29" t="n"/>
      <c r="Q74" s="29" t="n"/>
      <c r="R74" s="29" t="n"/>
      <c r="S74" s="29" t="n"/>
      <c r="T74" s="29" t="n"/>
      <c r="U74" s="32">
        <f>IF($AJ74=1,IFERROR(INDEX(Lists!$F:$F,MATCH($C74,Lists!$E:$E,0)),"?"),"")</f>
        <v/>
      </c>
      <c r="V74" s="32">
        <f>IF($AJ74=1,IFERROR(INDEX(Lists!$G:$G,MATCH($C74,Lists!$E:$E,0)),"?"),"")</f>
        <v/>
      </c>
      <c r="W74" s="32">
        <f>IF($AJ74=1,IFERROR(INDEX(Treasuries!$E:$E,MATCH($D74,Treasuries!$A:$A,0)),"؟"),"")</f>
        <v/>
      </c>
      <c r="X74" s="32">
        <f>IF(AND($AJ74=1,$E74&lt;&gt;""),IFERROR(INDEX(Treasuries!$E:$E,MATCH($E74,Treasuries!$A:$A,0)),"؟"),"")</f>
        <v/>
      </c>
      <c r="Y74" s="32">
        <f>IF($AJ74=1,IFERROR(INDEX(Treasuries!$D:$D,MATCH($D74,Treasuries!$A:$A,0)),"؟"),"")</f>
        <v/>
      </c>
      <c r="Z74" s="32">
        <f>IF(AND($AJ74=1,$E74&lt;&gt;""),IFERROR(INDEX(Treasuries!$D:$D,MATCH($E74,Treasuries!$A:$A,0)),"؟"),"")</f>
        <v/>
      </c>
      <c r="AA74" s="44">
        <f>IF($AJ74=1,IF($U74="RCV",$W74,IF($U74="PAY",$F74,IF(OR($U74="TRF",$U74="DEP",$U74="WDR"),$X74,IF($U74="SHT",ACC_CASH_SHORT,IF($U74="OVR",$W74,"؟"))))),"")</f>
        <v/>
      </c>
      <c r="AB74" s="44">
        <f>IF($AJ74=1,IF($U74="RCV",$F74,IF($U74="PAY",$W74,IF(OR($U74="TRF",$U74="DEP",$U74="WDR"),$W74,IF($U74="SHT",$W74,IF($U74="OVR",ACC_CASH_OVER,"؟"))))),"")</f>
        <v/>
      </c>
      <c r="AC74" s="32">
        <f>IF($AJ74=1,IF(OR($U74="TRF",$U74="DEP",$U74="WDR"),$Z74,$Y74),"")</f>
        <v/>
      </c>
      <c r="AD74" s="32">
        <f>IF($AJ74=1,$Y74,"")</f>
        <v/>
      </c>
      <c r="AE74" s="32">
        <f>IF($AJ74=1,IF(OR($U74="PAY",$U74="SHT"),IF($L74="","CC00",$L74),"CC00"),"")</f>
        <v/>
      </c>
      <c r="AF74" s="32">
        <f>IF($AJ74=1,IF(OR($U74="RCV",$U74="OVR"),IF($L74="","CC00",$L74),"CC00"),"")</f>
        <v/>
      </c>
      <c r="AG74" s="32">
        <f>IF($AJ74=1,IF(AND($U74="PAY",$G74&lt;&gt;""),$G74,"-"),"")</f>
        <v/>
      </c>
      <c r="AH74" s="32">
        <f>IF($AJ74=1,IF(AND($U74="RCV",$G74&lt;&gt;""),$G74,"-"),"")</f>
        <v/>
      </c>
      <c r="AI74" s="32">
        <f>IF($AJ74=1,IF(OR($U74="TRF",$U74="DEP",$U74="WDR"),"INTERNAL",IF(OR($U74="RCV",$U74="PAY"),IFERROR(IF(INDEX(COA!$I:$I,MATCH($F74,COA!$A:$A,0))="","OPERATING",INDEX(COA!$I:$I,MATCH($F74,COA!$A:$A,0))),"OPERATING"),"OPERATING")),"")</f>
        <v/>
      </c>
      <c r="AJ74" s="32">
        <f>IF(COUNTA($A74:$T74)&gt;0,1,0)</f>
        <v/>
      </c>
      <c r="AK74" s="32">
        <f>IF($AJ74=0,"",IF($A74="","رقم المستند ناقص",IF(COUNTIF(Doc_Register!$A:$A,$A74)&gt;1,"رقم مستند مكرر في السجل المركزي",IF(LEFT($A74,LEN($V74)+1)&lt;&gt;$V74&amp;"-","بادئة الرقم لا تطابق نوع المستند",IF(NOT(ISNUMBER($B74)),"التاريخ ناقص أو غير صحيح",IF($N74="","حالة المستند ناقصة",IF($O74="","اسم المُعِد ناقص",IF(AND(OR($N74=ST_APPR,$N74=ST_POST),$P74=""),"لا يوجد معتمد",IF(AND($P74&lt;&gt;"",$P74=$O74),"المُعِد والمعتمد نفس الشخص (فصل المهام)",IF(AND($N74=ST_POST,$Q74=""),"اسم المحاسب المرحِّل ناقص",IF(AND($N74=ST_POST,$Q74&lt;&gt;"",OR($Q74=$O74,$Q74=$P74)),"المرحِّل يجب أن يختلف عن المُعِد والمعتمد",IF(AND($N74=ST_REV,$S74=""),"مرجع التصحيح/الإلغاء ناقص",IF(AND(ISNUMBER($B74),OR($N74=ST_DRAFT,$N74=ST_APPR),COUNTIFS(Period_Close!$A:$A,YEAR($B74)*100+MONTH($B74),Period_Close!$B:$B,"مقفلة")&gt;0),"الفترة مقفلة: لا يسمح بمستند جديد",IF($U74="?","نوع السند غير معرف",IF(COUNTIFS(COA!$A:$A,$W74,COA!$R:$R,1)&lt;&gt;1,"الخزينة/البنك غير معرف أو غير صالح",IF(NOT(N($I74)&gt;0),"المبلغ يجب أن يكون أكبر من صفر",IF(AND(OR($U74="TRF",$U74="DEP",$U74="WDR"),$E74=""),"الخزينة المستلمة ناقصة",IF(AND(OR($U74="TRF",$U74="DEP",$U74="WDR"),$E74=$D74),"التحويل إلى نفس الخزينة",IF(AND(OR($U74="TRF",$U74="DEP",$U74="WDR"),COUNTIFS(COA!$A:$A,$X74,COA!$R:$R,1)&lt;&gt;1),"الخزينة المستلمة غير صالحة",IF(AND(OR($U74="RCV",$U74="PAY"),$F74=""),"الحساب المقابل ناقص",IF(AND(OR($U74="RCV",$U74="PAY"),COUNTIFS(COA!$A:$A,$F74,COA!$R:$R,1)&lt;&gt;1),"الحساب المقابل غير صالح أو رئيسي",IF(AND(OR($U74="RCV",$U74="PAY"),IFERROR(INDEX(COA!$H:$H,MATCH($F74,COA!$A:$A,0)),0)=1),"الحساب المقابل نقدي: استخدم تحويل بين الخزائن",IF(AND(OR($U74="RCV",$U74="PAY"),$F74=ACC_SUPPLIERS),"سداد الموردين يتم من Supplier_Payments",IF(AND(OR($U74="RCV",$U74="PAY"),$H74=""),"المستلم/الدافع ناقص",IF(AND(OR($U74="RCV",$U74="PAY"),$J74=""),"طريقة الدفع ناقصة",IF(AND(OR($U74="RCV",$U74="PAY"),OR($F74=ACC_CUSTOMERS,$F74=1501,$F74=1502),$G74=""),"كود الجهة إلزامي لهذا الحساب",IF(AND($F74=ACC_CUSTOMERS,$G74&lt;&gt;"",COUNTIF(Customers!$A:$A,$G74)=0),"كود العميل غير معرف",IF(AND(OR($F74=1501,$F74=1502),$G74&lt;&gt;"",COUNTIF(Employees!$A:$A,$G74)=0),"كود الموظف غير معرف",IF(AND($M74&lt;&gt;"",COUNTIF(Doc_Register!$A:$A,$M74)=0),"المستند المرتبط غير موجود",IF(AND(OR($U74="PAY",$U74="SHT"),NOT(COUNTIF(Cost_Centers!$A:$A,$AE74)&gt;0)),"مركز التكلفة غير معرف",""))))))))))))))))))))))))))))))</f>
        <v/>
      </c>
      <c r="AL74" s="32">
        <f>IF($AJ74=1,IF($AK74&lt;&gt;"",1,0),0)</f>
        <v/>
      </c>
      <c r="AM74" s="32">
        <f>IF(AND($AJ74=1,$AL74=0,$N74=ST_POST),1,0)</f>
        <v/>
      </c>
    </row>
    <row r="75">
      <c r="A75" s="29" t="n"/>
      <c r="B75" s="31" t="n"/>
      <c r="C75" s="29" t="n"/>
      <c r="D75" s="39" t="n"/>
      <c r="E75" s="39" t="n"/>
      <c r="F75" s="39" t="n"/>
      <c r="G75" s="29" t="n"/>
      <c r="H75" s="29" t="n"/>
      <c r="I75" s="42" t="n"/>
      <c r="J75" s="29" t="n"/>
      <c r="K75" s="29" t="n"/>
      <c r="L75" s="39" t="n"/>
      <c r="M75" s="29" t="n"/>
      <c r="N75" s="39" t="n"/>
      <c r="O75" s="29" t="n"/>
      <c r="P75" s="29" t="n"/>
      <c r="Q75" s="29" t="n"/>
      <c r="R75" s="29" t="n"/>
      <c r="S75" s="29" t="n"/>
      <c r="T75" s="29" t="n"/>
      <c r="U75" s="32">
        <f>IF($AJ75=1,IFERROR(INDEX(Lists!$F:$F,MATCH($C75,Lists!$E:$E,0)),"?"),"")</f>
        <v/>
      </c>
      <c r="V75" s="32">
        <f>IF($AJ75=1,IFERROR(INDEX(Lists!$G:$G,MATCH($C75,Lists!$E:$E,0)),"?"),"")</f>
        <v/>
      </c>
      <c r="W75" s="32">
        <f>IF($AJ75=1,IFERROR(INDEX(Treasuries!$E:$E,MATCH($D75,Treasuries!$A:$A,0)),"؟"),"")</f>
        <v/>
      </c>
      <c r="X75" s="32">
        <f>IF(AND($AJ75=1,$E75&lt;&gt;""),IFERROR(INDEX(Treasuries!$E:$E,MATCH($E75,Treasuries!$A:$A,0)),"؟"),"")</f>
        <v/>
      </c>
      <c r="Y75" s="32">
        <f>IF($AJ75=1,IFERROR(INDEX(Treasuries!$D:$D,MATCH($D75,Treasuries!$A:$A,0)),"؟"),"")</f>
        <v/>
      </c>
      <c r="Z75" s="32">
        <f>IF(AND($AJ75=1,$E75&lt;&gt;""),IFERROR(INDEX(Treasuries!$D:$D,MATCH($E75,Treasuries!$A:$A,0)),"؟"),"")</f>
        <v/>
      </c>
      <c r="AA75" s="44">
        <f>IF($AJ75=1,IF($U75="RCV",$W75,IF($U75="PAY",$F75,IF(OR($U75="TRF",$U75="DEP",$U75="WDR"),$X75,IF($U75="SHT",ACC_CASH_SHORT,IF($U75="OVR",$W75,"؟"))))),"")</f>
        <v/>
      </c>
      <c r="AB75" s="44">
        <f>IF($AJ75=1,IF($U75="RCV",$F75,IF($U75="PAY",$W75,IF(OR($U75="TRF",$U75="DEP",$U75="WDR"),$W75,IF($U75="SHT",$W75,IF($U75="OVR",ACC_CASH_OVER,"؟"))))),"")</f>
        <v/>
      </c>
      <c r="AC75" s="32">
        <f>IF($AJ75=1,IF(OR($U75="TRF",$U75="DEP",$U75="WDR"),$Z75,$Y75),"")</f>
        <v/>
      </c>
      <c r="AD75" s="32">
        <f>IF($AJ75=1,$Y75,"")</f>
        <v/>
      </c>
      <c r="AE75" s="32">
        <f>IF($AJ75=1,IF(OR($U75="PAY",$U75="SHT"),IF($L75="","CC00",$L75),"CC00"),"")</f>
        <v/>
      </c>
      <c r="AF75" s="32">
        <f>IF($AJ75=1,IF(OR($U75="RCV",$U75="OVR"),IF($L75="","CC00",$L75),"CC00"),"")</f>
        <v/>
      </c>
      <c r="AG75" s="32">
        <f>IF($AJ75=1,IF(AND($U75="PAY",$G75&lt;&gt;""),$G75,"-"),"")</f>
        <v/>
      </c>
      <c r="AH75" s="32">
        <f>IF($AJ75=1,IF(AND($U75="RCV",$G75&lt;&gt;""),$G75,"-"),"")</f>
        <v/>
      </c>
      <c r="AI75" s="32">
        <f>IF($AJ75=1,IF(OR($U75="TRF",$U75="DEP",$U75="WDR"),"INTERNAL",IF(OR($U75="RCV",$U75="PAY"),IFERROR(IF(INDEX(COA!$I:$I,MATCH($F75,COA!$A:$A,0))="","OPERATING",INDEX(COA!$I:$I,MATCH($F75,COA!$A:$A,0))),"OPERATING"),"OPERATING")),"")</f>
        <v/>
      </c>
      <c r="AJ75" s="32">
        <f>IF(COUNTA($A75:$T75)&gt;0,1,0)</f>
        <v/>
      </c>
      <c r="AK75" s="32">
        <f>IF($AJ75=0,"",IF($A75="","رقم المستند ناقص",IF(COUNTIF(Doc_Register!$A:$A,$A75)&gt;1,"رقم مستند مكرر في السجل المركزي",IF(LEFT($A75,LEN($V75)+1)&lt;&gt;$V75&amp;"-","بادئة الرقم لا تطابق نوع المستند",IF(NOT(ISNUMBER($B75)),"التاريخ ناقص أو غير صحيح",IF($N75="","حالة المستند ناقصة",IF($O75="","اسم المُعِد ناقص",IF(AND(OR($N75=ST_APPR,$N75=ST_POST),$P75=""),"لا يوجد معتمد",IF(AND($P75&lt;&gt;"",$P75=$O75),"المُعِد والمعتمد نفس الشخص (فصل المهام)",IF(AND($N75=ST_POST,$Q75=""),"اسم المحاسب المرحِّل ناقص",IF(AND($N75=ST_POST,$Q75&lt;&gt;"",OR($Q75=$O75,$Q75=$P75)),"المرحِّل يجب أن يختلف عن المُعِد والمعتمد",IF(AND($N75=ST_REV,$S75=""),"مرجع التصحيح/الإلغاء ناقص",IF(AND(ISNUMBER($B75),OR($N75=ST_DRAFT,$N75=ST_APPR),COUNTIFS(Period_Close!$A:$A,YEAR($B75)*100+MONTH($B75),Period_Close!$B:$B,"مقفلة")&gt;0),"الفترة مقفلة: لا يسمح بمستند جديد",IF($U75="?","نوع السند غير معرف",IF(COUNTIFS(COA!$A:$A,$W75,COA!$R:$R,1)&lt;&gt;1,"الخزينة/البنك غير معرف أو غير صالح",IF(NOT(N($I75)&gt;0),"المبلغ يجب أن يكون أكبر من صفر",IF(AND(OR($U75="TRF",$U75="DEP",$U75="WDR"),$E75=""),"الخزينة المستلمة ناقصة",IF(AND(OR($U75="TRF",$U75="DEP",$U75="WDR"),$E75=$D75),"التحويل إلى نفس الخزينة",IF(AND(OR($U75="TRF",$U75="DEP",$U75="WDR"),COUNTIFS(COA!$A:$A,$X75,COA!$R:$R,1)&lt;&gt;1),"الخزينة المستلمة غير صالحة",IF(AND(OR($U75="RCV",$U75="PAY"),$F75=""),"الحساب المقابل ناقص",IF(AND(OR($U75="RCV",$U75="PAY"),COUNTIFS(COA!$A:$A,$F75,COA!$R:$R,1)&lt;&gt;1),"الحساب المقابل غير صالح أو رئيسي",IF(AND(OR($U75="RCV",$U75="PAY"),IFERROR(INDEX(COA!$H:$H,MATCH($F75,COA!$A:$A,0)),0)=1),"الحساب المقابل نقدي: استخدم تحويل بين الخزائن",IF(AND(OR($U75="RCV",$U75="PAY"),$F75=ACC_SUPPLIERS),"سداد الموردين يتم من Supplier_Payments",IF(AND(OR($U75="RCV",$U75="PAY"),$H75=""),"المستلم/الدافع ناقص",IF(AND(OR($U75="RCV",$U75="PAY"),$J75=""),"طريقة الدفع ناقصة",IF(AND(OR($U75="RCV",$U75="PAY"),OR($F75=ACC_CUSTOMERS,$F75=1501,$F75=1502),$G75=""),"كود الجهة إلزامي لهذا الحساب",IF(AND($F75=ACC_CUSTOMERS,$G75&lt;&gt;"",COUNTIF(Customers!$A:$A,$G75)=0),"كود العميل غير معرف",IF(AND(OR($F75=1501,$F75=1502),$G75&lt;&gt;"",COUNTIF(Employees!$A:$A,$G75)=0),"كود الموظف غير معرف",IF(AND($M75&lt;&gt;"",COUNTIF(Doc_Register!$A:$A,$M75)=0),"المستند المرتبط غير موجود",IF(AND(OR($U75="PAY",$U75="SHT"),NOT(COUNTIF(Cost_Centers!$A:$A,$AE75)&gt;0)),"مركز التكلفة غير معرف",""))))))))))))))))))))))))))))))</f>
        <v/>
      </c>
      <c r="AL75" s="32">
        <f>IF($AJ75=1,IF($AK75&lt;&gt;"",1,0),0)</f>
        <v/>
      </c>
      <c r="AM75" s="32">
        <f>IF(AND($AJ75=1,$AL75=0,$N75=ST_POST),1,0)</f>
        <v/>
      </c>
    </row>
    <row r="76">
      <c r="A76" s="29" t="n"/>
      <c r="B76" s="31" t="n"/>
      <c r="C76" s="29" t="n"/>
      <c r="D76" s="39" t="n"/>
      <c r="E76" s="39" t="n"/>
      <c r="F76" s="39" t="n"/>
      <c r="G76" s="29" t="n"/>
      <c r="H76" s="29" t="n"/>
      <c r="I76" s="42" t="n"/>
      <c r="J76" s="29" t="n"/>
      <c r="K76" s="29" t="n"/>
      <c r="L76" s="39" t="n"/>
      <c r="M76" s="29" t="n"/>
      <c r="N76" s="39" t="n"/>
      <c r="O76" s="29" t="n"/>
      <c r="P76" s="29" t="n"/>
      <c r="Q76" s="29" t="n"/>
      <c r="R76" s="29" t="n"/>
      <c r="S76" s="29" t="n"/>
      <c r="T76" s="29" t="n"/>
      <c r="U76" s="32">
        <f>IF($AJ76=1,IFERROR(INDEX(Lists!$F:$F,MATCH($C76,Lists!$E:$E,0)),"?"),"")</f>
        <v/>
      </c>
      <c r="V76" s="32">
        <f>IF($AJ76=1,IFERROR(INDEX(Lists!$G:$G,MATCH($C76,Lists!$E:$E,0)),"?"),"")</f>
        <v/>
      </c>
      <c r="W76" s="32">
        <f>IF($AJ76=1,IFERROR(INDEX(Treasuries!$E:$E,MATCH($D76,Treasuries!$A:$A,0)),"؟"),"")</f>
        <v/>
      </c>
      <c r="X76" s="32">
        <f>IF(AND($AJ76=1,$E76&lt;&gt;""),IFERROR(INDEX(Treasuries!$E:$E,MATCH($E76,Treasuries!$A:$A,0)),"؟"),"")</f>
        <v/>
      </c>
      <c r="Y76" s="32">
        <f>IF($AJ76=1,IFERROR(INDEX(Treasuries!$D:$D,MATCH($D76,Treasuries!$A:$A,0)),"؟"),"")</f>
        <v/>
      </c>
      <c r="Z76" s="32">
        <f>IF(AND($AJ76=1,$E76&lt;&gt;""),IFERROR(INDEX(Treasuries!$D:$D,MATCH($E76,Treasuries!$A:$A,0)),"؟"),"")</f>
        <v/>
      </c>
      <c r="AA76" s="44">
        <f>IF($AJ76=1,IF($U76="RCV",$W76,IF($U76="PAY",$F76,IF(OR($U76="TRF",$U76="DEP",$U76="WDR"),$X76,IF($U76="SHT",ACC_CASH_SHORT,IF($U76="OVR",$W76,"؟"))))),"")</f>
        <v/>
      </c>
      <c r="AB76" s="44">
        <f>IF($AJ76=1,IF($U76="RCV",$F76,IF($U76="PAY",$W76,IF(OR($U76="TRF",$U76="DEP",$U76="WDR"),$W76,IF($U76="SHT",$W76,IF($U76="OVR",ACC_CASH_OVER,"؟"))))),"")</f>
        <v/>
      </c>
      <c r="AC76" s="32">
        <f>IF($AJ76=1,IF(OR($U76="TRF",$U76="DEP",$U76="WDR"),$Z76,$Y76),"")</f>
        <v/>
      </c>
      <c r="AD76" s="32">
        <f>IF($AJ76=1,$Y76,"")</f>
        <v/>
      </c>
      <c r="AE76" s="32">
        <f>IF($AJ76=1,IF(OR($U76="PAY",$U76="SHT"),IF($L76="","CC00",$L76),"CC00"),"")</f>
        <v/>
      </c>
      <c r="AF76" s="32">
        <f>IF($AJ76=1,IF(OR($U76="RCV",$U76="OVR"),IF($L76="","CC00",$L76),"CC00"),"")</f>
        <v/>
      </c>
      <c r="AG76" s="32">
        <f>IF($AJ76=1,IF(AND($U76="PAY",$G76&lt;&gt;""),$G76,"-"),"")</f>
        <v/>
      </c>
      <c r="AH76" s="32">
        <f>IF($AJ76=1,IF(AND($U76="RCV",$G76&lt;&gt;""),$G76,"-"),"")</f>
        <v/>
      </c>
      <c r="AI76" s="32">
        <f>IF($AJ76=1,IF(OR($U76="TRF",$U76="DEP",$U76="WDR"),"INTERNAL",IF(OR($U76="RCV",$U76="PAY"),IFERROR(IF(INDEX(COA!$I:$I,MATCH($F76,COA!$A:$A,0))="","OPERATING",INDEX(COA!$I:$I,MATCH($F76,COA!$A:$A,0))),"OPERATING"),"OPERATING")),"")</f>
        <v/>
      </c>
      <c r="AJ76" s="32">
        <f>IF(COUNTA($A76:$T76)&gt;0,1,0)</f>
        <v/>
      </c>
      <c r="AK76" s="32">
        <f>IF($AJ76=0,"",IF($A76="","رقم المستند ناقص",IF(COUNTIF(Doc_Register!$A:$A,$A76)&gt;1,"رقم مستند مكرر في السجل المركزي",IF(LEFT($A76,LEN($V76)+1)&lt;&gt;$V76&amp;"-","بادئة الرقم لا تطابق نوع المستند",IF(NOT(ISNUMBER($B76)),"التاريخ ناقص أو غير صحيح",IF($N76="","حالة المستند ناقصة",IF($O76="","اسم المُعِد ناقص",IF(AND(OR($N76=ST_APPR,$N76=ST_POST),$P76=""),"لا يوجد معتمد",IF(AND($P76&lt;&gt;"",$P76=$O76),"المُعِد والمعتمد نفس الشخص (فصل المهام)",IF(AND($N76=ST_POST,$Q76=""),"اسم المحاسب المرحِّل ناقص",IF(AND($N76=ST_POST,$Q76&lt;&gt;"",OR($Q76=$O76,$Q76=$P76)),"المرحِّل يجب أن يختلف عن المُعِد والمعتمد",IF(AND($N76=ST_REV,$S76=""),"مرجع التصحيح/الإلغاء ناقص",IF(AND(ISNUMBER($B76),OR($N76=ST_DRAFT,$N76=ST_APPR),COUNTIFS(Period_Close!$A:$A,YEAR($B76)*100+MONTH($B76),Period_Close!$B:$B,"مقفلة")&gt;0),"الفترة مقفلة: لا يسمح بمستند جديد",IF($U76="?","نوع السند غير معرف",IF(COUNTIFS(COA!$A:$A,$W76,COA!$R:$R,1)&lt;&gt;1,"الخزينة/البنك غير معرف أو غير صالح",IF(NOT(N($I76)&gt;0),"المبلغ يجب أن يكون أكبر من صفر",IF(AND(OR($U76="TRF",$U76="DEP",$U76="WDR"),$E76=""),"الخزينة المستلمة ناقصة",IF(AND(OR($U76="TRF",$U76="DEP",$U76="WDR"),$E76=$D76),"التحويل إلى نفس الخزينة",IF(AND(OR($U76="TRF",$U76="DEP",$U76="WDR"),COUNTIFS(COA!$A:$A,$X76,COA!$R:$R,1)&lt;&gt;1),"الخزينة المستلمة غير صالحة",IF(AND(OR($U76="RCV",$U76="PAY"),$F76=""),"الحساب المقابل ناقص",IF(AND(OR($U76="RCV",$U76="PAY"),COUNTIFS(COA!$A:$A,$F76,COA!$R:$R,1)&lt;&gt;1),"الحساب المقابل غير صالح أو رئيسي",IF(AND(OR($U76="RCV",$U76="PAY"),IFERROR(INDEX(COA!$H:$H,MATCH($F76,COA!$A:$A,0)),0)=1),"الحساب المقابل نقدي: استخدم تحويل بين الخزائن",IF(AND(OR($U76="RCV",$U76="PAY"),$F76=ACC_SUPPLIERS),"سداد الموردين يتم من Supplier_Payments",IF(AND(OR($U76="RCV",$U76="PAY"),$H76=""),"المستلم/الدافع ناقص",IF(AND(OR($U76="RCV",$U76="PAY"),$J76=""),"طريقة الدفع ناقصة",IF(AND(OR($U76="RCV",$U76="PAY"),OR($F76=ACC_CUSTOMERS,$F76=1501,$F76=1502),$G76=""),"كود الجهة إلزامي لهذا الحساب",IF(AND($F76=ACC_CUSTOMERS,$G76&lt;&gt;"",COUNTIF(Customers!$A:$A,$G76)=0),"كود العميل غير معرف",IF(AND(OR($F76=1501,$F76=1502),$G76&lt;&gt;"",COUNTIF(Employees!$A:$A,$G76)=0),"كود الموظف غير معرف",IF(AND($M76&lt;&gt;"",COUNTIF(Doc_Register!$A:$A,$M76)=0),"المستند المرتبط غير موجود",IF(AND(OR($U76="PAY",$U76="SHT"),NOT(COUNTIF(Cost_Centers!$A:$A,$AE76)&gt;0)),"مركز التكلفة غير معرف",""))))))))))))))))))))))))))))))</f>
        <v/>
      </c>
      <c r="AL76" s="32">
        <f>IF($AJ76=1,IF($AK76&lt;&gt;"",1,0),0)</f>
        <v/>
      </c>
      <c r="AM76" s="32">
        <f>IF(AND($AJ76=1,$AL76=0,$N76=ST_POST),1,0)</f>
        <v/>
      </c>
    </row>
    <row r="77">
      <c r="A77" s="29" t="n"/>
      <c r="B77" s="31" t="n"/>
      <c r="C77" s="29" t="n"/>
      <c r="D77" s="39" t="n"/>
      <c r="E77" s="39" t="n"/>
      <c r="F77" s="39" t="n"/>
      <c r="G77" s="29" t="n"/>
      <c r="H77" s="29" t="n"/>
      <c r="I77" s="42" t="n"/>
      <c r="J77" s="29" t="n"/>
      <c r="K77" s="29" t="n"/>
      <c r="L77" s="39" t="n"/>
      <c r="M77" s="29" t="n"/>
      <c r="N77" s="39" t="n"/>
      <c r="O77" s="29" t="n"/>
      <c r="P77" s="29" t="n"/>
      <c r="Q77" s="29" t="n"/>
      <c r="R77" s="29" t="n"/>
      <c r="S77" s="29" t="n"/>
      <c r="T77" s="29" t="n"/>
      <c r="U77" s="32">
        <f>IF($AJ77=1,IFERROR(INDEX(Lists!$F:$F,MATCH($C77,Lists!$E:$E,0)),"?"),"")</f>
        <v/>
      </c>
      <c r="V77" s="32">
        <f>IF($AJ77=1,IFERROR(INDEX(Lists!$G:$G,MATCH($C77,Lists!$E:$E,0)),"?"),"")</f>
        <v/>
      </c>
      <c r="W77" s="32">
        <f>IF($AJ77=1,IFERROR(INDEX(Treasuries!$E:$E,MATCH($D77,Treasuries!$A:$A,0)),"؟"),"")</f>
        <v/>
      </c>
      <c r="X77" s="32">
        <f>IF(AND($AJ77=1,$E77&lt;&gt;""),IFERROR(INDEX(Treasuries!$E:$E,MATCH($E77,Treasuries!$A:$A,0)),"؟"),"")</f>
        <v/>
      </c>
      <c r="Y77" s="32">
        <f>IF($AJ77=1,IFERROR(INDEX(Treasuries!$D:$D,MATCH($D77,Treasuries!$A:$A,0)),"؟"),"")</f>
        <v/>
      </c>
      <c r="Z77" s="32">
        <f>IF(AND($AJ77=1,$E77&lt;&gt;""),IFERROR(INDEX(Treasuries!$D:$D,MATCH($E77,Treasuries!$A:$A,0)),"؟"),"")</f>
        <v/>
      </c>
      <c r="AA77" s="44">
        <f>IF($AJ77=1,IF($U77="RCV",$W77,IF($U77="PAY",$F77,IF(OR($U77="TRF",$U77="DEP",$U77="WDR"),$X77,IF($U77="SHT",ACC_CASH_SHORT,IF($U77="OVR",$W77,"؟"))))),"")</f>
        <v/>
      </c>
      <c r="AB77" s="44">
        <f>IF($AJ77=1,IF($U77="RCV",$F77,IF($U77="PAY",$W77,IF(OR($U77="TRF",$U77="DEP",$U77="WDR"),$W77,IF($U77="SHT",$W77,IF($U77="OVR",ACC_CASH_OVER,"؟"))))),"")</f>
        <v/>
      </c>
      <c r="AC77" s="32">
        <f>IF($AJ77=1,IF(OR($U77="TRF",$U77="DEP",$U77="WDR"),$Z77,$Y77),"")</f>
        <v/>
      </c>
      <c r="AD77" s="32">
        <f>IF($AJ77=1,$Y77,"")</f>
        <v/>
      </c>
      <c r="AE77" s="32">
        <f>IF($AJ77=1,IF(OR($U77="PAY",$U77="SHT"),IF($L77="","CC00",$L77),"CC00"),"")</f>
        <v/>
      </c>
      <c r="AF77" s="32">
        <f>IF($AJ77=1,IF(OR($U77="RCV",$U77="OVR"),IF($L77="","CC00",$L77),"CC00"),"")</f>
        <v/>
      </c>
      <c r="AG77" s="32">
        <f>IF($AJ77=1,IF(AND($U77="PAY",$G77&lt;&gt;""),$G77,"-"),"")</f>
        <v/>
      </c>
      <c r="AH77" s="32">
        <f>IF($AJ77=1,IF(AND($U77="RCV",$G77&lt;&gt;""),$G77,"-"),"")</f>
        <v/>
      </c>
      <c r="AI77" s="32">
        <f>IF($AJ77=1,IF(OR($U77="TRF",$U77="DEP",$U77="WDR"),"INTERNAL",IF(OR($U77="RCV",$U77="PAY"),IFERROR(IF(INDEX(COA!$I:$I,MATCH($F77,COA!$A:$A,0))="","OPERATING",INDEX(COA!$I:$I,MATCH($F77,COA!$A:$A,0))),"OPERATING"),"OPERATING")),"")</f>
        <v/>
      </c>
      <c r="AJ77" s="32">
        <f>IF(COUNTA($A77:$T77)&gt;0,1,0)</f>
        <v/>
      </c>
      <c r="AK77" s="32">
        <f>IF($AJ77=0,"",IF($A77="","رقم المستند ناقص",IF(COUNTIF(Doc_Register!$A:$A,$A77)&gt;1,"رقم مستند مكرر في السجل المركزي",IF(LEFT($A77,LEN($V77)+1)&lt;&gt;$V77&amp;"-","بادئة الرقم لا تطابق نوع المستند",IF(NOT(ISNUMBER($B77)),"التاريخ ناقص أو غير صحيح",IF($N77="","حالة المستند ناقصة",IF($O77="","اسم المُعِد ناقص",IF(AND(OR($N77=ST_APPR,$N77=ST_POST),$P77=""),"لا يوجد معتمد",IF(AND($P77&lt;&gt;"",$P77=$O77),"المُعِد والمعتمد نفس الشخص (فصل المهام)",IF(AND($N77=ST_POST,$Q77=""),"اسم المحاسب المرحِّل ناقص",IF(AND($N77=ST_POST,$Q77&lt;&gt;"",OR($Q77=$O77,$Q77=$P77)),"المرحِّل يجب أن يختلف عن المُعِد والمعتمد",IF(AND($N77=ST_REV,$S77=""),"مرجع التصحيح/الإلغاء ناقص",IF(AND(ISNUMBER($B77),OR($N77=ST_DRAFT,$N77=ST_APPR),COUNTIFS(Period_Close!$A:$A,YEAR($B77)*100+MONTH($B77),Period_Close!$B:$B,"مقفلة")&gt;0),"الفترة مقفلة: لا يسمح بمستند جديد",IF($U77="?","نوع السند غير معرف",IF(COUNTIFS(COA!$A:$A,$W77,COA!$R:$R,1)&lt;&gt;1,"الخزينة/البنك غير معرف أو غير صالح",IF(NOT(N($I77)&gt;0),"المبلغ يجب أن يكون أكبر من صفر",IF(AND(OR($U77="TRF",$U77="DEP",$U77="WDR"),$E77=""),"الخزينة المستلمة ناقصة",IF(AND(OR($U77="TRF",$U77="DEP",$U77="WDR"),$E77=$D77),"التحويل إلى نفس الخزينة",IF(AND(OR($U77="TRF",$U77="DEP",$U77="WDR"),COUNTIFS(COA!$A:$A,$X77,COA!$R:$R,1)&lt;&gt;1),"الخزينة المستلمة غير صالحة",IF(AND(OR($U77="RCV",$U77="PAY"),$F77=""),"الحساب المقابل ناقص",IF(AND(OR($U77="RCV",$U77="PAY"),COUNTIFS(COA!$A:$A,$F77,COA!$R:$R,1)&lt;&gt;1),"الحساب المقابل غير صالح أو رئيسي",IF(AND(OR($U77="RCV",$U77="PAY"),IFERROR(INDEX(COA!$H:$H,MATCH($F77,COA!$A:$A,0)),0)=1),"الحساب المقابل نقدي: استخدم تحويل بين الخزائن",IF(AND(OR($U77="RCV",$U77="PAY"),$F77=ACC_SUPPLIERS),"سداد الموردين يتم من Supplier_Payments",IF(AND(OR($U77="RCV",$U77="PAY"),$H77=""),"المستلم/الدافع ناقص",IF(AND(OR($U77="RCV",$U77="PAY"),$J77=""),"طريقة الدفع ناقصة",IF(AND(OR($U77="RCV",$U77="PAY"),OR($F77=ACC_CUSTOMERS,$F77=1501,$F77=1502),$G77=""),"كود الجهة إلزامي لهذا الحساب",IF(AND($F77=ACC_CUSTOMERS,$G77&lt;&gt;"",COUNTIF(Customers!$A:$A,$G77)=0),"كود العميل غير معرف",IF(AND(OR($F77=1501,$F77=1502),$G77&lt;&gt;"",COUNTIF(Employees!$A:$A,$G77)=0),"كود الموظف غير معرف",IF(AND($M77&lt;&gt;"",COUNTIF(Doc_Register!$A:$A,$M77)=0),"المستند المرتبط غير موجود",IF(AND(OR($U77="PAY",$U77="SHT"),NOT(COUNTIF(Cost_Centers!$A:$A,$AE77)&gt;0)),"مركز التكلفة غير معرف",""))))))))))))))))))))))))))))))</f>
        <v/>
      </c>
      <c r="AL77" s="32">
        <f>IF($AJ77=1,IF($AK77&lt;&gt;"",1,0),0)</f>
        <v/>
      </c>
      <c r="AM77" s="32">
        <f>IF(AND($AJ77=1,$AL77=0,$N77=ST_POST),1,0)</f>
        <v/>
      </c>
    </row>
    <row r="78">
      <c r="A78" s="29" t="n"/>
      <c r="B78" s="31" t="n"/>
      <c r="C78" s="29" t="n"/>
      <c r="D78" s="39" t="n"/>
      <c r="E78" s="39" t="n"/>
      <c r="F78" s="39" t="n"/>
      <c r="G78" s="29" t="n"/>
      <c r="H78" s="29" t="n"/>
      <c r="I78" s="42" t="n"/>
      <c r="J78" s="29" t="n"/>
      <c r="K78" s="29" t="n"/>
      <c r="L78" s="39" t="n"/>
      <c r="M78" s="29" t="n"/>
      <c r="N78" s="39" t="n"/>
      <c r="O78" s="29" t="n"/>
      <c r="P78" s="29" t="n"/>
      <c r="Q78" s="29" t="n"/>
      <c r="R78" s="29" t="n"/>
      <c r="S78" s="29" t="n"/>
      <c r="T78" s="29" t="n"/>
      <c r="U78" s="32">
        <f>IF($AJ78=1,IFERROR(INDEX(Lists!$F:$F,MATCH($C78,Lists!$E:$E,0)),"?"),"")</f>
        <v/>
      </c>
      <c r="V78" s="32">
        <f>IF($AJ78=1,IFERROR(INDEX(Lists!$G:$G,MATCH($C78,Lists!$E:$E,0)),"?"),"")</f>
        <v/>
      </c>
      <c r="W78" s="32">
        <f>IF($AJ78=1,IFERROR(INDEX(Treasuries!$E:$E,MATCH($D78,Treasuries!$A:$A,0)),"؟"),"")</f>
        <v/>
      </c>
      <c r="X78" s="32">
        <f>IF(AND($AJ78=1,$E78&lt;&gt;""),IFERROR(INDEX(Treasuries!$E:$E,MATCH($E78,Treasuries!$A:$A,0)),"؟"),"")</f>
        <v/>
      </c>
      <c r="Y78" s="32">
        <f>IF($AJ78=1,IFERROR(INDEX(Treasuries!$D:$D,MATCH($D78,Treasuries!$A:$A,0)),"؟"),"")</f>
        <v/>
      </c>
      <c r="Z78" s="32">
        <f>IF(AND($AJ78=1,$E78&lt;&gt;""),IFERROR(INDEX(Treasuries!$D:$D,MATCH($E78,Treasuries!$A:$A,0)),"؟"),"")</f>
        <v/>
      </c>
      <c r="AA78" s="44">
        <f>IF($AJ78=1,IF($U78="RCV",$W78,IF($U78="PAY",$F78,IF(OR($U78="TRF",$U78="DEP",$U78="WDR"),$X78,IF($U78="SHT",ACC_CASH_SHORT,IF($U78="OVR",$W78,"؟"))))),"")</f>
        <v/>
      </c>
      <c r="AB78" s="44">
        <f>IF($AJ78=1,IF($U78="RCV",$F78,IF($U78="PAY",$W78,IF(OR($U78="TRF",$U78="DEP",$U78="WDR"),$W78,IF($U78="SHT",$W78,IF($U78="OVR",ACC_CASH_OVER,"؟"))))),"")</f>
        <v/>
      </c>
      <c r="AC78" s="32">
        <f>IF($AJ78=1,IF(OR($U78="TRF",$U78="DEP",$U78="WDR"),$Z78,$Y78),"")</f>
        <v/>
      </c>
      <c r="AD78" s="32">
        <f>IF($AJ78=1,$Y78,"")</f>
        <v/>
      </c>
      <c r="AE78" s="32">
        <f>IF($AJ78=1,IF(OR($U78="PAY",$U78="SHT"),IF($L78="","CC00",$L78),"CC00"),"")</f>
        <v/>
      </c>
      <c r="AF78" s="32">
        <f>IF($AJ78=1,IF(OR($U78="RCV",$U78="OVR"),IF($L78="","CC00",$L78),"CC00"),"")</f>
        <v/>
      </c>
      <c r="AG78" s="32">
        <f>IF($AJ78=1,IF(AND($U78="PAY",$G78&lt;&gt;""),$G78,"-"),"")</f>
        <v/>
      </c>
      <c r="AH78" s="32">
        <f>IF($AJ78=1,IF(AND($U78="RCV",$G78&lt;&gt;""),$G78,"-"),"")</f>
        <v/>
      </c>
      <c r="AI78" s="32">
        <f>IF($AJ78=1,IF(OR($U78="TRF",$U78="DEP",$U78="WDR"),"INTERNAL",IF(OR($U78="RCV",$U78="PAY"),IFERROR(IF(INDEX(COA!$I:$I,MATCH($F78,COA!$A:$A,0))="","OPERATING",INDEX(COA!$I:$I,MATCH($F78,COA!$A:$A,0))),"OPERATING"),"OPERATING")),"")</f>
        <v/>
      </c>
      <c r="AJ78" s="32">
        <f>IF(COUNTA($A78:$T78)&gt;0,1,0)</f>
        <v/>
      </c>
      <c r="AK78" s="32">
        <f>IF($AJ78=0,"",IF($A78="","رقم المستند ناقص",IF(COUNTIF(Doc_Register!$A:$A,$A78)&gt;1,"رقم مستند مكرر في السجل المركزي",IF(LEFT($A78,LEN($V78)+1)&lt;&gt;$V78&amp;"-","بادئة الرقم لا تطابق نوع المستند",IF(NOT(ISNUMBER($B78)),"التاريخ ناقص أو غير صحيح",IF($N78="","حالة المستند ناقصة",IF($O78="","اسم المُعِد ناقص",IF(AND(OR($N78=ST_APPR,$N78=ST_POST),$P78=""),"لا يوجد معتمد",IF(AND($P78&lt;&gt;"",$P78=$O78),"المُعِد والمعتمد نفس الشخص (فصل المهام)",IF(AND($N78=ST_POST,$Q78=""),"اسم المحاسب المرحِّل ناقص",IF(AND($N78=ST_POST,$Q78&lt;&gt;"",OR($Q78=$O78,$Q78=$P78)),"المرحِّل يجب أن يختلف عن المُعِد والمعتمد",IF(AND($N78=ST_REV,$S78=""),"مرجع التصحيح/الإلغاء ناقص",IF(AND(ISNUMBER($B78),OR($N78=ST_DRAFT,$N78=ST_APPR),COUNTIFS(Period_Close!$A:$A,YEAR($B78)*100+MONTH($B78),Period_Close!$B:$B,"مقفلة")&gt;0),"الفترة مقفلة: لا يسمح بمستند جديد",IF($U78="?","نوع السند غير معرف",IF(COUNTIFS(COA!$A:$A,$W78,COA!$R:$R,1)&lt;&gt;1,"الخزينة/البنك غير معرف أو غير صالح",IF(NOT(N($I78)&gt;0),"المبلغ يجب أن يكون أكبر من صفر",IF(AND(OR($U78="TRF",$U78="DEP",$U78="WDR"),$E78=""),"الخزينة المستلمة ناقصة",IF(AND(OR($U78="TRF",$U78="DEP",$U78="WDR"),$E78=$D78),"التحويل إلى نفس الخزينة",IF(AND(OR($U78="TRF",$U78="DEP",$U78="WDR"),COUNTIFS(COA!$A:$A,$X78,COA!$R:$R,1)&lt;&gt;1),"الخزينة المستلمة غير صالحة",IF(AND(OR($U78="RCV",$U78="PAY"),$F78=""),"الحساب المقابل ناقص",IF(AND(OR($U78="RCV",$U78="PAY"),COUNTIFS(COA!$A:$A,$F78,COA!$R:$R,1)&lt;&gt;1),"الحساب المقابل غير صالح أو رئيسي",IF(AND(OR($U78="RCV",$U78="PAY"),IFERROR(INDEX(COA!$H:$H,MATCH($F78,COA!$A:$A,0)),0)=1),"الحساب المقابل نقدي: استخدم تحويل بين الخزائن",IF(AND(OR($U78="RCV",$U78="PAY"),$F78=ACC_SUPPLIERS),"سداد الموردين يتم من Supplier_Payments",IF(AND(OR($U78="RCV",$U78="PAY"),$H78=""),"المستلم/الدافع ناقص",IF(AND(OR($U78="RCV",$U78="PAY"),$J78=""),"طريقة الدفع ناقصة",IF(AND(OR($U78="RCV",$U78="PAY"),OR($F78=ACC_CUSTOMERS,$F78=1501,$F78=1502),$G78=""),"كود الجهة إلزامي لهذا الحساب",IF(AND($F78=ACC_CUSTOMERS,$G78&lt;&gt;"",COUNTIF(Customers!$A:$A,$G78)=0),"كود العميل غير معرف",IF(AND(OR($F78=1501,$F78=1502),$G78&lt;&gt;"",COUNTIF(Employees!$A:$A,$G78)=0),"كود الموظف غير معرف",IF(AND($M78&lt;&gt;"",COUNTIF(Doc_Register!$A:$A,$M78)=0),"المستند المرتبط غير موجود",IF(AND(OR($U78="PAY",$U78="SHT"),NOT(COUNTIF(Cost_Centers!$A:$A,$AE78)&gt;0)),"مركز التكلفة غير معرف",""))))))))))))))))))))))))))))))</f>
        <v/>
      </c>
      <c r="AL78" s="32">
        <f>IF($AJ78=1,IF($AK78&lt;&gt;"",1,0),0)</f>
        <v/>
      </c>
      <c r="AM78" s="32">
        <f>IF(AND($AJ78=1,$AL78=0,$N78=ST_POST),1,0)</f>
        <v/>
      </c>
    </row>
    <row r="79">
      <c r="A79" s="29" t="n"/>
      <c r="B79" s="31" t="n"/>
      <c r="C79" s="29" t="n"/>
      <c r="D79" s="39" t="n"/>
      <c r="E79" s="39" t="n"/>
      <c r="F79" s="39" t="n"/>
      <c r="G79" s="29" t="n"/>
      <c r="H79" s="29" t="n"/>
      <c r="I79" s="42" t="n"/>
      <c r="J79" s="29" t="n"/>
      <c r="K79" s="29" t="n"/>
      <c r="L79" s="39" t="n"/>
      <c r="M79" s="29" t="n"/>
      <c r="N79" s="39" t="n"/>
      <c r="O79" s="29" t="n"/>
      <c r="P79" s="29" t="n"/>
      <c r="Q79" s="29" t="n"/>
      <c r="R79" s="29" t="n"/>
      <c r="S79" s="29" t="n"/>
      <c r="T79" s="29" t="n"/>
      <c r="U79" s="32">
        <f>IF($AJ79=1,IFERROR(INDEX(Lists!$F:$F,MATCH($C79,Lists!$E:$E,0)),"?"),"")</f>
        <v/>
      </c>
      <c r="V79" s="32">
        <f>IF($AJ79=1,IFERROR(INDEX(Lists!$G:$G,MATCH($C79,Lists!$E:$E,0)),"?"),"")</f>
        <v/>
      </c>
      <c r="W79" s="32">
        <f>IF($AJ79=1,IFERROR(INDEX(Treasuries!$E:$E,MATCH($D79,Treasuries!$A:$A,0)),"؟"),"")</f>
        <v/>
      </c>
      <c r="X79" s="32">
        <f>IF(AND($AJ79=1,$E79&lt;&gt;""),IFERROR(INDEX(Treasuries!$E:$E,MATCH($E79,Treasuries!$A:$A,0)),"؟"),"")</f>
        <v/>
      </c>
      <c r="Y79" s="32">
        <f>IF($AJ79=1,IFERROR(INDEX(Treasuries!$D:$D,MATCH($D79,Treasuries!$A:$A,0)),"؟"),"")</f>
        <v/>
      </c>
      <c r="Z79" s="32">
        <f>IF(AND($AJ79=1,$E79&lt;&gt;""),IFERROR(INDEX(Treasuries!$D:$D,MATCH($E79,Treasuries!$A:$A,0)),"؟"),"")</f>
        <v/>
      </c>
      <c r="AA79" s="44">
        <f>IF($AJ79=1,IF($U79="RCV",$W79,IF($U79="PAY",$F79,IF(OR($U79="TRF",$U79="DEP",$U79="WDR"),$X79,IF($U79="SHT",ACC_CASH_SHORT,IF($U79="OVR",$W79,"؟"))))),"")</f>
        <v/>
      </c>
      <c r="AB79" s="44">
        <f>IF($AJ79=1,IF($U79="RCV",$F79,IF($U79="PAY",$W79,IF(OR($U79="TRF",$U79="DEP",$U79="WDR"),$W79,IF($U79="SHT",$W79,IF($U79="OVR",ACC_CASH_OVER,"؟"))))),"")</f>
        <v/>
      </c>
      <c r="AC79" s="32">
        <f>IF($AJ79=1,IF(OR($U79="TRF",$U79="DEP",$U79="WDR"),$Z79,$Y79),"")</f>
        <v/>
      </c>
      <c r="AD79" s="32">
        <f>IF($AJ79=1,$Y79,"")</f>
        <v/>
      </c>
      <c r="AE79" s="32">
        <f>IF($AJ79=1,IF(OR($U79="PAY",$U79="SHT"),IF($L79="","CC00",$L79),"CC00"),"")</f>
        <v/>
      </c>
      <c r="AF79" s="32">
        <f>IF($AJ79=1,IF(OR($U79="RCV",$U79="OVR"),IF($L79="","CC00",$L79),"CC00"),"")</f>
        <v/>
      </c>
      <c r="AG79" s="32">
        <f>IF($AJ79=1,IF(AND($U79="PAY",$G79&lt;&gt;""),$G79,"-"),"")</f>
        <v/>
      </c>
      <c r="AH79" s="32">
        <f>IF($AJ79=1,IF(AND($U79="RCV",$G79&lt;&gt;""),$G79,"-"),"")</f>
        <v/>
      </c>
      <c r="AI79" s="32">
        <f>IF($AJ79=1,IF(OR($U79="TRF",$U79="DEP",$U79="WDR"),"INTERNAL",IF(OR($U79="RCV",$U79="PAY"),IFERROR(IF(INDEX(COA!$I:$I,MATCH($F79,COA!$A:$A,0))="","OPERATING",INDEX(COA!$I:$I,MATCH($F79,COA!$A:$A,0))),"OPERATING"),"OPERATING")),"")</f>
        <v/>
      </c>
      <c r="AJ79" s="32">
        <f>IF(COUNTA($A79:$T79)&gt;0,1,0)</f>
        <v/>
      </c>
      <c r="AK79" s="32">
        <f>IF($AJ79=0,"",IF($A79="","رقم المستند ناقص",IF(COUNTIF(Doc_Register!$A:$A,$A79)&gt;1,"رقم مستند مكرر في السجل المركزي",IF(LEFT($A79,LEN($V79)+1)&lt;&gt;$V79&amp;"-","بادئة الرقم لا تطابق نوع المستند",IF(NOT(ISNUMBER($B79)),"التاريخ ناقص أو غير صحيح",IF($N79="","حالة المستند ناقصة",IF($O79="","اسم المُعِد ناقص",IF(AND(OR($N79=ST_APPR,$N79=ST_POST),$P79=""),"لا يوجد معتمد",IF(AND($P79&lt;&gt;"",$P79=$O79),"المُعِد والمعتمد نفس الشخص (فصل المهام)",IF(AND($N79=ST_POST,$Q79=""),"اسم المحاسب المرحِّل ناقص",IF(AND($N79=ST_POST,$Q79&lt;&gt;"",OR($Q79=$O79,$Q79=$P79)),"المرحِّل يجب أن يختلف عن المُعِد والمعتمد",IF(AND($N79=ST_REV,$S79=""),"مرجع التصحيح/الإلغاء ناقص",IF(AND(ISNUMBER($B79),OR($N79=ST_DRAFT,$N79=ST_APPR),COUNTIFS(Period_Close!$A:$A,YEAR($B79)*100+MONTH($B79),Period_Close!$B:$B,"مقفلة")&gt;0),"الفترة مقفلة: لا يسمح بمستند جديد",IF($U79="?","نوع السند غير معرف",IF(COUNTIFS(COA!$A:$A,$W79,COA!$R:$R,1)&lt;&gt;1,"الخزينة/البنك غير معرف أو غير صالح",IF(NOT(N($I79)&gt;0),"المبلغ يجب أن يكون أكبر من صفر",IF(AND(OR($U79="TRF",$U79="DEP",$U79="WDR"),$E79=""),"الخزينة المستلمة ناقصة",IF(AND(OR($U79="TRF",$U79="DEP",$U79="WDR"),$E79=$D79),"التحويل إلى نفس الخزينة",IF(AND(OR($U79="TRF",$U79="DEP",$U79="WDR"),COUNTIFS(COA!$A:$A,$X79,COA!$R:$R,1)&lt;&gt;1),"الخزينة المستلمة غير صالحة",IF(AND(OR($U79="RCV",$U79="PAY"),$F79=""),"الحساب المقابل ناقص",IF(AND(OR($U79="RCV",$U79="PAY"),COUNTIFS(COA!$A:$A,$F79,COA!$R:$R,1)&lt;&gt;1),"الحساب المقابل غير صالح أو رئيسي",IF(AND(OR($U79="RCV",$U79="PAY"),IFERROR(INDEX(COA!$H:$H,MATCH($F79,COA!$A:$A,0)),0)=1),"الحساب المقابل نقدي: استخدم تحويل بين الخزائن",IF(AND(OR($U79="RCV",$U79="PAY"),$F79=ACC_SUPPLIERS),"سداد الموردين يتم من Supplier_Payments",IF(AND(OR($U79="RCV",$U79="PAY"),$H79=""),"المستلم/الدافع ناقص",IF(AND(OR($U79="RCV",$U79="PAY"),$J79=""),"طريقة الدفع ناقصة",IF(AND(OR($U79="RCV",$U79="PAY"),OR($F79=ACC_CUSTOMERS,$F79=1501,$F79=1502),$G79=""),"كود الجهة إلزامي لهذا الحساب",IF(AND($F79=ACC_CUSTOMERS,$G79&lt;&gt;"",COUNTIF(Customers!$A:$A,$G79)=0),"كود العميل غير معرف",IF(AND(OR($F79=1501,$F79=1502),$G79&lt;&gt;"",COUNTIF(Employees!$A:$A,$G79)=0),"كود الموظف غير معرف",IF(AND($M79&lt;&gt;"",COUNTIF(Doc_Register!$A:$A,$M79)=0),"المستند المرتبط غير موجود",IF(AND(OR($U79="PAY",$U79="SHT"),NOT(COUNTIF(Cost_Centers!$A:$A,$AE79)&gt;0)),"مركز التكلفة غير معرف",""))))))))))))))))))))))))))))))</f>
        <v/>
      </c>
      <c r="AL79" s="32">
        <f>IF($AJ79=1,IF($AK79&lt;&gt;"",1,0),0)</f>
        <v/>
      </c>
      <c r="AM79" s="32">
        <f>IF(AND($AJ79=1,$AL79=0,$N79=ST_POST),1,0)</f>
        <v/>
      </c>
    </row>
    <row r="80">
      <c r="A80" s="29" t="n"/>
      <c r="B80" s="31" t="n"/>
      <c r="C80" s="29" t="n"/>
      <c r="D80" s="39" t="n"/>
      <c r="E80" s="39" t="n"/>
      <c r="F80" s="39" t="n"/>
      <c r="G80" s="29" t="n"/>
      <c r="H80" s="29" t="n"/>
      <c r="I80" s="42" t="n"/>
      <c r="J80" s="29" t="n"/>
      <c r="K80" s="29" t="n"/>
      <c r="L80" s="39" t="n"/>
      <c r="M80" s="29" t="n"/>
      <c r="N80" s="39" t="n"/>
      <c r="O80" s="29" t="n"/>
      <c r="P80" s="29" t="n"/>
      <c r="Q80" s="29" t="n"/>
      <c r="R80" s="29" t="n"/>
      <c r="S80" s="29" t="n"/>
      <c r="T80" s="29" t="n"/>
      <c r="U80" s="32">
        <f>IF($AJ80=1,IFERROR(INDEX(Lists!$F:$F,MATCH($C80,Lists!$E:$E,0)),"?"),"")</f>
        <v/>
      </c>
      <c r="V80" s="32">
        <f>IF($AJ80=1,IFERROR(INDEX(Lists!$G:$G,MATCH($C80,Lists!$E:$E,0)),"?"),"")</f>
        <v/>
      </c>
      <c r="W80" s="32">
        <f>IF($AJ80=1,IFERROR(INDEX(Treasuries!$E:$E,MATCH($D80,Treasuries!$A:$A,0)),"؟"),"")</f>
        <v/>
      </c>
      <c r="X80" s="32">
        <f>IF(AND($AJ80=1,$E80&lt;&gt;""),IFERROR(INDEX(Treasuries!$E:$E,MATCH($E80,Treasuries!$A:$A,0)),"؟"),"")</f>
        <v/>
      </c>
      <c r="Y80" s="32">
        <f>IF($AJ80=1,IFERROR(INDEX(Treasuries!$D:$D,MATCH($D80,Treasuries!$A:$A,0)),"؟"),"")</f>
        <v/>
      </c>
      <c r="Z80" s="32">
        <f>IF(AND($AJ80=1,$E80&lt;&gt;""),IFERROR(INDEX(Treasuries!$D:$D,MATCH($E80,Treasuries!$A:$A,0)),"؟"),"")</f>
        <v/>
      </c>
      <c r="AA80" s="44">
        <f>IF($AJ80=1,IF($U80="RCV",$W80,IF($U80="PAY",$F80,IF(OR($U80="TRF",$U80="DEP",$U80="WDR"),$X80,IF($U80="SHT",ACC_CASH_SHORT,IF($U80="OVR",$W80,"؟"))))),"")</f>
        <v/>
      </c>
      <c r="AB80" s="44">
        <f>IF($AJ80=1,IF($U80="RCV",$F80,IF($U80="PAY",$W80,IF(OR($U80="TRF",$U80="DEP",$U80="WDR"),$W80,IF($U80="SHT",$W80,IF($U80="OVR",ACC_CASH_OVER,"؟"))))),"")</f>
        <v/>
      </c>
      <c r="AC80" s="32">
        <f>IF($AJ80=1,IF(OR($U80="TRF",$U80="DEP",$U80="WDR"),$Z80,$Y80),"")</f>
        <v/>
      </c>
      <c r="AD80" s="32">
        <f>IF($AJ80=1,$Y80,"")</f>
        <v/>
      </c>
      <c r="AE80" s="32">
        <f>IF($AJ80=1,IF(OR($U80="PAY",$U80="SHT"),IF($L80="","CC00",$L80),"CC00"),"")</f>
        <v/>
      </c>
      <c r="AF80" s="32">
        <f>IF($AJ80=1,IF(OR($U80="RCV",$U80="OVR"),IF($L80="","CC00",$L80),"CC00"),"")</f>
        <v/>
      </c>
      <c r="AG80" s="32">
        <f>IF($AJ80=1,IF(AND($U80="PAY",$G80&lt;&gt;""),$G80,"-"),"")</f>
        <v/>
      </c>
      <c r="AH80" s="32">
        <f>IF($AJ80=1,IF(AND($U80="RCV",$G80&lt;&gt;""),$G80,"-"),"")</f>
        <v/>
      </c>
      <c r="AI80" s="32">
        <f>IF($AJ80=1,IF(OR($U80="TRF",$U80="DEP",$U80="WDR"),"INTERNAL",IF(OR($U80="RCV",$U80="PAY"),IFERROR(IF(INDEX(COA!$I:$I,MATCH($F80,COA!$A:$A,0))="","OPERATING",INDEX(COA!$I:$I,MATCH($F80,COA!$A:$A,0))),"OPERATING"),"OPERATING")),"")</f>
        <v/>
      </c>
      <c r="AJ80" s="32">
        <f>IF(COUNTA($A80:$T80)&gt;0,1,0)</f>
        <v/>
      </c>
      <c r="AK80" s="32">
        <f>IF($AJ80=0,"",IF($A80="","رقم المستند ناقص",IF(COUNTIF(Doc_Register!$A:$A,$A80)&gt;1,"رقم مستند مكرر في السجل المركزي",IF(LEFT($A80,LEN($V80)+1)&lt;&gt;$V80&amp;"-","بادئة الرقم لا تطابق نوع المستند",IF(NOT(ISNUMBER($B80)),"التاريخ ناقص أو غير صحيح",IF($N80="","حالة المستند ناقصة",IF($O80="","اسم المُعِد ناقص",IF(AND(OR($N80=ST_APPR,$N80=ST_POST),$P80=""),"لا يوجد معتمد",IF(AND($P80&lt;&gt;"",$P80=$O80),"المُعِد والمعتمد نفس الشخص (فصل المهام)",IF(AND($N80=ST_POST,$Q80=""),"اسم المحاسب المرحِّل ناقص",IF(AND($N80=ST_POST,$Q80&lt;&gt;"",OR($Q80=$O80,$Q80=$P80)),"المرحِّل يجب أن يختلف عن المُعِد والمعتمد",IF(AND($N80=ST_REV,$S80=""),"مرجع التصحيح/الإلغاء ناقص",IF(AND(ISNUMBER($B80),OR($N80=ST_DRAFT,$N80=ST_APPR),COUNTIFS(Period_Close!$A:$A,YEAR($B80)*100+MONTH($B80),Period_Close!$B:$B,"مقفلة")&gt;0),"الفترة مقفلة: لا يسمح بمستند جديد",IF($U80="?","نوع السند غير معرف",IF(COUNTIFS(COA!$A:$A,$W80,COA!$R:$R,1)&lt;&gt;1,"الخزينة/البنك غير معرف أو غير صالح",IF(NOT(N($I80)&gt;0),"المبلغ يجب أن يكون أكبر من صفر",IF(AND(OR($U80="TRF",$U80="DEP",$U80="WDR"),$E80=""),"الخزينة المستلمة ناقصة",IF(AND(OR($U80="TRF",$U80="DEP",$U80="WDR"),$E80=$D80),"التحويل إلى نفس الخزينة",IF(AND(OR($U80="TRF",$U80="DEP",$U80="WDR"),COUNTIFS(COA!$A:$A,$X80,COA!$R:$R,1)&lt;&gt;1),"الخزينة المستلمة غير صالحة",IF(AND(OR($U80="RCV",$U80="PAY"),$F80=""),"الحساب المقابل ناقص",IF(AND(OR($U80="RCV",$U80="PAY"),COUNTIFS(COA!$A:$A,$F80,COA!$R:$R,1)&lt;&gt;1),"الحساب المقابل غير صالح أو رئيسي",IF(AND(OR($U80="RCV",$U80="PAY"),IFERROR(INDEX(COA!$H:$H,MATCH($F80,COA!$A:$A,0)),0)=1),"الحساب المقابل نقدي: استخدم تحويل بين الخزائن",IF(AND(OR($U80="RCV",$U80="PAY"),$F80=ACC_SUPPLIERS),"سداد الموردين يتم من Supplier_Payments",IF(AND(OR($U80="RCV",$U80="PAY"),$H80=""),"المستلم/الدافع ناقص",IF(AND(OR($U80="RCV",$U80="PAY"),$J80=""),"طريقة الدفع ناقصة",IF(AND(OR($U80="RCV",$U80="PAY"),OR($F80=ACC_CUSTOMERS,$F80=1501,$F80=1502),$G80=""),"كود الجهة إلزامي لهذا الحساب",IF(AND($F80=ACC_CUSTOMERS,$G80&lt;&gt;"",COUNTIF(Customers!$A:$A,$G80)=0),"كود العميل غير معرف",IF(AND(OR($F80=1501,$F80=1502),$G80&lt;&gt;"",COUNTIF(Employees!$A:$A,$G80)=0),"كود الموظف غير معرف",IF(AND($M80&lt;&gt;"",COUNTIF(Doc_Register!$A:$A,$M80)=0),"المستند المرتبط غير موجود",IF(AND(OR($U80="PAY",$U80="SHT"),NOT(COUNTIF(Cost_Centers!$A:$A,$AE80)&gt;0)),"مركز التكلفة غير معرف",""))))))))))))))))))))))))))))))</f>
        <v/>
      </c>
      <c r="AL80" s="32">
        <f>IF($AJ80=1,IF($AK80&lt;&gt;"",1,0),0)</f>
        <v/>
      </c>
      <c r="AM80" s="32">
        <f>IF(AND($AJ80=1,$AL80=0,$N80=ST_POST),1,0)</f>
        <v/>
      </c>
    </row>
    <row r="81">
      <c r="A81" s="29" t="n"/>
      <c r="B81" s="31" t="n"/>
      <c r="C81" s="29" t="n"/>
      <c r="D81" s="39" t="n"/>
      <c r="E81" s="39" t="n"/>
      <c r="F81" s="39" t="n"/>
      <c r="G81" s="29" t="n"/>
      <c r="H81" s="29" t="n"/>
      <c r="I81" s="42" t="n"/>
      <c r="J81" s="29" t="n"/>
      <c r="K81" s="29" t="n"/>
      <c r="L81" s="39" t="n"/>
      <c r="M81" s="29" t="n"/>
      <c r="N81" s="39" t="n"/>
      <c r="O81" s="29" t="n"/>
      <c r="P81" s="29" t="n"/>
      <c r="Q81" s="29" t="n"/>
      <c r="R81" s="29" t="n"/>
      <c r="S81" s="29" t="n"/>
      <c r="T81" s="29" t="n"/>
      <c r="U81" s="32">
        <f>IF($AJ81=1,IFERROR(INDEX(Lists!$F:$F,MATCH($C81,Lists!$E:$E,0)),"?"),"")</f>
        <v/>
      </c>
      <c r="V81" s="32">
        <f>IF($AJ81=1,IFERROR(INDEX(Lists!$G:$G,MATCH($C81,Lists!$E:$E,0)),"?"),"")</f>
        <v/>
      </c>
      <c r="W81" s="32">
        <f>IF($AJ81=1,IFERROR(INDEX(Treasuries!$E:$E,MATCH($D81,Treasuries!$A:$A,0)),"؟"),"")</f>
        <v/>
      </c>
      <c r="X81" s="32">
        <f>IF(AND($AJ81=1,$E81&lt;&gt;""),IFERROR(INDEX(Treasuries!$E:$E,MATCH($E81,Treasuries!$A:$A,0)),"؟"),"")</f>
        <v/>
      </c>
      <c r="Y81" s="32">
        <f>IF($AJ81=1,IFERROR(INDEX(Treasuries!$D:$D,MATCH($D81,Treasuries!$A:$A,0)),"؟"),"")</f>
        <v/>
      </c>
      <c r="Z81" s="32">
        <f>IF(AND($AJ81=1,$E81&lt;&gt;""),IFERROR(INDEX(Treasuries!$D:$D,MATCH($E81,Treasuries!$A:$A,0)),"؟"),"")</f>
        <v/>
      </c>
      <c r="AA81" s="44">
        <f>IF($AJ81=1,IF($U81="RCV",$W81,IF($U81="PAY",$F81,IF(OR($U81="TRF",$U81="DEP",$U81="WDR"),$X81,IF($U81="SHT",ACC_CASH_SHORT,IF($U81="OVR",$W81,"؟"))))),"")</f>
        <v/>
      </c>
      <c r="AB81" s="44">
        <f>IF($AJ81=1,IF($U81="RCV",$F81,IF($U81="PAY",$W81,IF(OR($U81="TRF",$U81="DEP",$U81="WDR"),$W81,IF($U81="SHT",$W81,IF($U81="OVR",ACC_CASH_OVER,"؟"))))),"")</f>
        <v/>
      </c>
      <c r="AC81" s="32">
        <f>IF($AJ81=1,IF(OR($U81="TRF",$U81="DEP",$U81="WDR"),$Z81,$Y81),"")</f>
        <v/>
      </c>
      <c r="AD81" s="32">
        <f>IF($AJ81=1,$Y81,"")</f>
        <v/>
      </c>
      <c r="AE81" s="32">
        <f>IF($AJ81=1,IF(OR($U81="PAY",$U81="SHT"),IF($L81="","CC00",$L81),"CC00"),"")</f>
        <v/>
      </c>
      <c r="AF81" s="32">
        <f>IF($AJ81=1,IF(OR($U81="RCV",$U81="OVR"),IF($L81="","CC00",$L81),"CC00"),"")</f>
        <v/>
      </c>
      <c r="AG81" s="32">
        <f>IF($AJ81=1,IF(AND($U81="PAY",$G81&lt;&gt;""),$G81,"-"),"")</f>
        <v/>
      </c>
      <c r="AH81" s="32">
        <f>IF($AJ81=1,IF(AND($U81="RCV",$G81&lt;&gt;""),$G81,"-"),"")</f>
        <v/>
      </c>
      <c r="AI81" s="32">
        <f>IF($AJ81=1,IF(OR($U81="TRF",$U81="DEP",$U81="WDR"),"INTERNAL",IF(OR($U81="RCV",$U81="PAY"),IFERROR(IF(INDEX(COA!$I:$I,MATCH($F81,COA!$A:$A,0))="","OPERATING",INDEX(COA!$I:$I,MATCH($F81,COA!$A:$A,0))),"OPERATING"),"OPERATING")),"")</f>
        <v/>
      </c>
      <c r="AJ81" s="32">
        <f>IF(COUNTA($A81:$T81)&gt;0,1,0)</f>
        <v/>
      </c>
      <c r="AK81" s="32">
        <f>IF($AJ81=0,"",IF($A81="","رقم المستند ناقص",IF(COUNTIF(Doc_Register!$A:$A,$A81)&gt;1,"رقم مستند مكرر في السجل المركزي",IF(LEFT($A81,LEN($V81)+1)&lt;&gt;$V81&amp;"-","بادئة الرقم لا تطابق نوع المستند",IF(NOT(ISNUMBER($B81)),"التاريخ ناقص أو غير صحيح",IF($N81="","حالة المستند ناقصة",IF($O81="","اسم المُعِد ناقص",IF(AND(OR($N81=ST_APPR,$N81=ST_POST),$P81=""),"لا يوجد معتمد",IF(AND($P81&lt;&gt;"",$P81=$O81),"المُعِد والمعتمد نفس الشخص (فصل المهام)",IF(AND($N81=ST_POST,$Q81=""),"اسم المحاسب المرحِّل ناقص",IF(AND($N81=ST_POST,$Q81&lt;&gt;"",OR($Q81=$O81,$Q81=$P81)),"المرحِّل يجب أن يختلف عن المُعِد والمعتمد",IF(AND($N81=ST_REV,$S81=""),"مرجع التصحيح/الإلغاء ناقص",IF(AND(ISNUMBER($B81),OR($N81=ST_DRAFT,$N81=ST_APPR),COUNTIFS(Period_Close!$A:$A,YEAR($B81)*100+MONTH($B81),Period_Close!$B:$B,"مقفلة")&gt;0),"الفترة مقفلة: لا يسمح بمستند جديد",IF($U81="?","نوع السند غير معرف",IF(COUNTIFS(COA!$A:$A,$W81,COA!$R:$R,1)&lt;&gt;1,"الخزينة/البنك غير معرف أو غير صالح",IF(NOT(N($I81)&gt;0),"المبلغ يجب أن يكون أكبر من صفر",IF(AND(OR($U81="TRF",$U81="DEP",$U81="WDR"),$E81=""),"الخزينة المستلمة ناقصة",IF(AND(OR($U81="TRF",$U81="DEP",$U81="WDR"),$E81=$D81),"التحويل إلى نفس الخزينة",IF(AND(OR($U81="TRF",$U81="DEP",$U81="WDR"),COUNTIFS(COA!$A:$A,$X81,COA!$R:$R,1)&lt;&gt;1),"الخزينة المستلمة غير صالحة",IF(AND(OR($U81="RCV",$U81="PAY"),$F81=""),"الحساب المقابل ناقص",IF(AND(OR($U81="RCV",$U81="PAY"),COUNTIFS(COA!$A:$A,$F81,COA!$R:$R,1)&lt;&gt;1),"الحساب المقابل غير صالح أو رئيسي",IF(AND(OR($U81="RCV",$U81="PAY"),IFERROR(INDEX(COA!$H:$H,MATCH($F81,COA!$A:$A,0)),0)=1),"الحساب المقابل نقدي: استخدم تحويل بين الخزائن",IF(AND(OR($U81="RCV",$U81="PAY"),$F81=ACC_SUPPLIERS),"سداد الموردين يتم من Supplier_Payments",IF(AND(OR($U81="RCV",$U81="PAY"),$H81=""),"المستلم/الدافع ناقص",IF(AND(OR($U81="RCV",$U81="PAY"),$J81=""),"طريقة الدفع ناقصة",IF(AND(OR($U81="RCV",$U81="PAY"),OR($F81=ACC_CUSTOMERS,$F81=1501,$F81=1502),$G81=""),"كود الجهة إلزامي لهذا الحساب",IF(AND($F81=ACC_CUSTOMERS,$G81&lt;&gt;"",COUNTIF(Customers!$A:$A,$G81)=0),"كود العميل غير معرف",IF(AND(OR($F81=1501,$F81=1502),$G81&lt;&gt;"",COUNTIF(Employees!$A:$A,$G81)=0),"كود الموظف غير معرف",IF(AND($M81&lt;&gt;"",COUNTIF(Doc_Register!$A:$A,$M81)=0),"المستند المرتبط غير موجود",IF(AND(OR($U81="PAY",$U81="SHT"),NOT(COUNTIF(Cost_Centers!$A:$A,$AE81)&gt;0)),"مركز التكلفة غير معرف",""))))))))))))))))))))))))))))))</f>
        <v/>
      </c>
      <c r="AL81" s="32">
        <f>IF($AJ81=1,IF($AK81&lt;&gt;"",1,0),0)</f>
        <v/>
      </c>
      <c r="AM81" s="32">
        <f>IF(AND($AJ81=1,$AL81=0,$N81=ST_POST),1,0)</f>
        <v/>
      </c>
    </row>
    <row r="82">
      <c r="A82" s="29" t="n"/>
      <c r="B82" s="31" t="n"/>
      <c r="C82" s="29" t="n"/>
      <c r="D82" s="39" t="n"/>
      <c r="E82" s="39" t="n"/>
      <c r="F82" s="39" t="n"/>
      <c r="G82" s="29" t="n"/>
      <c r="H82" s="29" t="n"/>
      <c r="I82" s="42" t="n"/>
      <c r="J82" s="29" t="n"/>
      <c r="K82" s="29" t="n"/>
      <c r="L82" s="39" t="n"/>
      <c r="M82" s="29" t="n"/>
      <c r="N82" s="39" t="n"/>
      <c r="O82" s="29" t="n"/>
      <c r="P82" s="29" t="n"/>
      <c r="Q82" s="29" t="n"/>
      <c r="R82" s="29" t="n"/>
      <c r="S82" s="29" t="n"/>
      <c r="T82" s="29" t="n"/>
      <c r="U82" s="32">
        <f>IF($AJ82=1,IFERROR(INDEX(Lists!$F:$F,MATCH($C82,Lists!$E:$E,0)),"?"),"")</f>
        <v/>
      </c>
      <c r="V82" s="32">
        <f>IF($AJ82=1,IFERROR(INDEX(Lists!$G:$G,MATCH($C82,Lists!$E:$E,0)),"?"),"")</f>
        <v/>
      </c>
      <c r="W82" s="32">
        <f>IF($AJ82=1,IFERROR(INDEX(Treasuries!$E:$E,MATCH($D82,Treasuries!$A:$A,0)),"؟"),"")</f>
        <v/>
      </c>
      <c r="X82" s="32">
        <f>IF(AND($AJ82=1,$E82&lt;&gt;""),IFERROR(INDEX(Treasuries!$E:$E,MATCH($E82,Treasuries!$A:$A,0)),"؟"),"")</f>
        <v/>
      </c>
      <c r="Y82" s="32">
        <f>IF($AJ82=1,IFERROR(INDEX(Treasuries!$D:$D,MATCH($D82,Treasuries!$A:$A,0)),"؟"),"")</f>
        <v/>
      </c>
      <c r="Z82" s="32">
        <f>IF(AND($AJ82=1,$E82&lt;&gt;""),IFERROR(INDEX(Treasuries!$D:$D,MATCH($E82,Treasuries!$A:$A,0)),"؟"),"")</f>
        <v/>
      </c>
      <c r="AA82" s="44">
        <f>IF($AJ82=1,IF($U82="RCV",$W82,IF($U82="PAY",$F82,IF(OR($U82="TRF",$U82="DEP",$U82="WDR"),$X82,IF($U82="SHT",ACC_CASH_SHORT,IF($U82="OVR",$W82,"؟"))))),"")</f>
        <v/>
      </c>
      <c r="AB82" s="44">
        <f>IF($AJ82=1,IF($U82="RCV",$F82,IF($U82="PAY",$W82,IF(OR($U82="TRF",$U82="DEP",$U82="WDR"),$W82,IF($U82="SHT",$W82,IF($U82="OVR",ACC_CASH_OVER,"؟"))))),"")</f>
        <v/>
      </c>
      <c r="AC82" s="32">
        <f>IF($AJ82=1,IF(OR($U82="TRF",$U82="DEP",$U82="WDR"),$Z82,$Y82),"")</f>
        <v/>
      </c>
      <c r="AD82" s="32">
        <f>IF($AJ82=1,$Y82,"")</f>
        <v/>
      </c>
      <c r="AE82" s="32">
        <f>IF($AJ82=1,IF(OR($U82="PAY",$U82="SHT"),IF($L82="","CC00",$L82),"CC00"),"")</f>
        <v/>
      </c>
      <c r="AF82" s="32">
        <f>IF($AJ82=1,IF(OR($U82="RCV",$U82="OVR"),IF($L82="","CC00",$L82),"CC00"),"")</f>
        <v/>
      </c>
      <c r="AG82" s="32">
        <f>IF($AJ82=1,IF(AND($U82="PAY",$G82&lt;&gt;""),$G82,"-"),"")</f>
        <v/>
      </c>
      <c r="AH82" s="32">
        <f>IF($AJ82=1,IF(AND($U82="RCV",$G82&lt;&gt;""),$G82,"-"),"")</f>
        <v/>
      </c>
      <c r="AI82" s="32">
        <f>IF($AJ82=1,IF(OR($U82="TRF",$U82="DEP",$U82="WDR"),"INTERNAL",IF(OR($U82="RCV",$U82="PAY"),IFERROR(IF(INDEX(COA!$I:$I,MATCH($F82,COA!$A:$A,0))="","OPERATING",INDEX(COA!$I:$I,MATCH($F82,COA!$A:$A,0))),"OPERATING"),"OPERATING")),"")</f>
        <v/>
      </c>
      <c r="AJ82" s="32">
        <f>IF(COUNTA($A82:$T82)&gt;0,1,0)</f>
        <v/>
      </c>
      <c r="AK82" s="32">
        <f>IF($AJ82=0,"",IF($A82="","رقم المستند ناقص",IF(COUNTIF(Doc_Register!$A:$A,$A82)&gt;1,"رقم مستند مكرر في السجل المركزي",IF(LEFT($A82,LEN($V82)+1)&lt;&gt;$V82&amp;"-","بادئة الرقم لا تطابق نوع المستند",IF(NOT(ISNUMBER($B82)),"التاريخ ناقص أو غير صحيح",IF($N82="","حالة المستند ناقصة",IF($O82="","اسم المُعِد ناقص",IF(AND(OR($N82=ST_APPR,$N82=ST_POST),$P82=""),"لا يوجد معتمد",IF(AND($P82&lt;&gt;"",$P82=$O82),"المُعِد والمعتمد نفس الشخص (فصل المهام)",IF(AND($N82=ST_POST,$Q82=""),"اسم المحاسب المرحِّل ناقص",IF(AND($N82=ST_POST,$Q82&lt;&gt;"",OR($Q82=$O82,$Q82=$P82)),"المرحِّل يجب أن يختلف عن المُعِد والمعتمد",IF(AND($N82=ST_REV,$S82=""),"مرجع التصحيح/الإلغاء ناقص",IF(AND(ISNUMBER($B82),OR($N82=ST_DRAFT,$N82=ST_APPR),COUNTIFS(Period_Close!$A:$A,YEAR($B82)*100+MONTH($B82),Period_Close!$B:$B,"مقفلة")&gt;0),"الفترة مقفلة: لا يسمح بمستند جديد",IF($U82="?","نوع السند غير معرف",IF(COUNTIFS(COA!$A:$A,$W82,COA!$R:$R,1)&lt;&gt;1,"الخزينة/البنك غير معرف أو غير صالح",IF(NOT(N($I82)&gt;0),"المبلغ يجب أن يكون أكبر من صفر",IF(AND(OR($U82="TRF",$U82="DEP",$U82="WDR"),$E82=""),"الخزينة المستلمة ناقصة",IF(AND(OR($U82="TRF",$U82="DEP",$U82="WDR"),$E82=$D82),"التحويل إلى نفس الخزينة",IF(AND(OR($U82="TRF",$U82="DEP",$U82="WDR"),COUNTIFS(COA!$A:$A,$X82,COA!$R:$R,1)&lt;&gt;1),"الخزينة المستلمة غير صالحة",IF(AND(OR($U82="RCV",$U82="PAY"),$F82=""),"الحساب المقابل ناقص",IF(AND(OR($U82="RCV",$U82="PAY"),COUNTIFS(COA!$A:$A,$F82,COA!$R:$R,1)&lt;&gt;1),"الحساب المقابل غير صالح أو رئيسي",IF(AND(OR($U82="RCV",$U82="PAY"),IFERROR(INDEX(COA!$H:$H,MATCH($F82,COA!$A:$A,0)),0)=1),"الحساب المقابل نقدي: استخدم تحويل بين الخزائن",IF(AND(OR($U82="RCV",$U82="PAY"),$F82=ACC_SUPPLIERS),"سداد الموردين يتم من Supplier_Payments",IF(AND(OR($U82="RCV",$U82="PAY"),$H82=""),"المستلم/الدافع ناقص",IF(AND(OR($U82="RCV",$U82="PAY"),$J82=""),"طريقة الدفع ناقصة",IF(AND(OR($U82="RCV",$U82="PAY"),OR($F82=ACC_CUSTOMERS,$F82=1501,$F82=1502),$G82=""),"كود الجهة إلزامي لهذا الحساب",IF(AND($F82=ACC_CUSTOMERS,$G82&lt;&gt;"",COUNTIF(Customers!$A:$A,$G82)=0),"كود العميل غير معرف",IF(AND(OR($F82=1501,$F82=1502),$G82&lt;&gt;"",COUNTIF(Employees!$A:$A,$G82)=0),"كود الموظف غير معرف",IF(AND($M82&lt;&gt;"",COUNTIF(Doc_Register!$A:$A,$M82)=0),"المستند المرتبط غير موجود",IF(AND(OR($U82="PAY",$U82="SHT"),NOT(COUNTIF(Cost_Centers!$A:$A,$AE82)&gt;0)),"مركز التكلفة غير معرف",""))))))))))))))))))))))))))))))</f>
        <v/>
      </c>
      <c r="AL82" s="32">
        <f>IF($AJ82=1,IF($AK82&lt;&gt;"",1,0),0)</f>
        <v/>
      </c>
      <c r="AM82" s="32">
        <f>IF(AND($AJ82=1,$AL82=0,$N82=ST_POST),1,0)</f>
        <v/>
      </c>
    </row>
    <row r="83">
      <c r="A83" s="29" t="n"/>
      <c r="B83" s="31" t="n"/>
      <c r="C83" s="29" t="n"/>
      <c r="D83" s="39" t="n"/>
      <c r="E83" s="39" t="n"/>
      <c r="F83" s="39" t="n"/>
      <c r="G83" s="29" t="n"/>
      <c r="H83" s="29" t="n"/>
      <c r="I83" s="42" t="n"/>
      <c r="J83" s="29" t="n"/>
      <c r="K83" s="29" t="n"/>
      <c r="L83" s="39" t="n"/>
      <c r="M83" s="29" t="n"/>
      <c r="N83" s="39" t="n"/>
      <c r="O83" s="29" t="n"/>
      <c r="P83" s="29" t="n"/>
      <c r="Q83" s="29" t="n"/>
      <c r="R83" s="29" t="n"/>
      <c r="S83" s="29" t="n"/>
      <c r="T83" s="29" t="n"/>
      <c r="U83" s="32">
        <f>IF($AJ83=1,IFERROR(INDEX(Lists!$F:$F,MATCH($C83,Lists!$E:$E,0)),"?"),"")</f>
        <v/>
      </c>
      <c r="V83" s="32">
        <f>IF($AJ83=1,IFERROR(INDEX(Lists!$G:$G,MATCH($C83,Lists!$E:$E,0)),"?"),"")</f>
        <v/>
      </c>
      <c r="W83" s="32">
        <f>IF($AJ83=1,IFERROR(INDEX(Treasuries!$E:$E,MATCH($D83,Treasuries!$A:$A,0)),"؟"),"")</f>
        <v/>
      </c>
      <c r="X83" s="32">
        <f>IF(AND($AJ83=1,$E83&lt;&gt;""),IFERROR(INDEX(Treasuries!$E:$E,MATCH($E83,Treasuries!$A:$A,0)),"؟"),"")</f>
        <v/>
      </c>
      <c r="Y83" s="32">
        <f>IF($AJ83=1,IFERROR(INDEX(Treasuries!$D:$D,MATCH($D83,Treasuries!$A:$A,0)),"؟"),"")</f>
        <v/>
      </c>
      <c r="Z83" s="32">
        <f>IF(AND($AJ83=1,$E83&lt;&gt;""),IFERROR(INDEX(Treasuries!$D:$D,MATCH($E83,Treasuries!$A:$A,0)),"؟"),"")</f>
        <v/>
      </c>
      <c r="AA83" s="44">
        <f>IF($AJ83=1,IF($U83="RCV",$W83,IF($U83="PAY",$F83,IF(OR($U83="TRF",$U83="DEP",$U83="WDR"),$X83,IF($U83="SHT",ACC_CASH_SHORT,IF($U83="OVR",$W83,"؟"))))),"")</f>
        <v/>
      </c>
      <c r="AB83" s="44">
        <f>IF($AJ83=1,IF($U83="RCV",$F83,IF($U83="PAY",$W83,IF(OR($U83="TRF",$U83="DEP",$U83="WDR"),$W83,IF($U83="SHT",$W83,IF($U83="OVR",ACC_CASH_OVER,"؟"))))),"")</f>
        <v/>
      </c>
      <c r="AC83" s="32">
        <f>IF($AJ83=1,IF(OR($U83="TRF",$U83="DEP",$U83="WDR"),$Z83,$Y83),"")</f>
        <v/>
      </c>
      <c r="AD83" s="32">
        <f>IF($AJ83=1,$Y83,"")</f>
        <v/>
      </c>
      <c r="AE83" s="32">
        <f>IF($AJ83=1,IF(OR($U83="PAY",$U83="SHT"),IF($L83="","CC00",$L83),"CC00"),"")</f>
        <v/>
      </c>
      <c r="AF83" s="32">
        <f>IF($AJ83=1,IF(OR($U83="RCV",$U83="OVR"),IF($L83="","CC00",$L83),"CC00"),"")</f>
        <v/>
      </c>
      <c r="AG83" s="32">
        <f>IF($AJ83=1,IF(AND($U83="PAY",$G83&lt;&gt;""),$G83,"-"),"")</f>
        <v/>
      </c>
      <c r="AH83" s="32">
        <f>IF($AJ83=1,IF(AND($U83="RCV",$G83&lt;&gt;""),$G83,"-"),"")</f>
        <v/>
      </c>
      <c r="AI83" s="32">
        <f>IF($AJ83=1,IF(OR($U83="TRF",$U83="DEP",$U83="WDR"),"INTERNAL",IF(OR($U83="RCV",$U83="PAY"),IFERROR(IF(INDEX(COA!$I:$I,MATCH($F83,COA!$A:$A,0))="","OPERATING",INDEX(COA!$I:$I,MATCH($F83,COA!$A:$A,0))),"OPERATING"),"OPERATING")),"")</f>
        <v/>
      </c>
      <c r="AJ83" s="32">
        <f>IF(COUNTA($A83:$T83)&gt;0,1,0)</f>
        <v/>
      </c>
      <c r="AK83" s="32">
        <f>IF($AJ83=0,"",IF($A83="","رقم المستند ناقص",IF(COUNTIF(Doc_Register!$A:$A,$A83)&gt;1,"رقم مستند مكرر في السجل المركزي",IF(LEFT($A83,LEN($V83)+1)&lt;&gt;$V83&amp;"-","بادئة الرقم لا تطابق نوع المستند",IF(NOT(ISNUMBER($B83)),"التاريخ ناقص أو غير صحيح",IF($N83="","حالة المستند ناقصة",IF($O83="","اسم المُعِد ناقص",IF(AND(OR($N83=ST_APPR,$N83=ST_POST),$P83=""),"لا يوجد معتمد",IF(AND($P83&lt;&gt;"",$P83=$O83),"المُعِد والمعتمد نفس الشخص (فصل المهام)",IF(AND($N83=ST_POST,$Q83=""),"اسم المحاسب المرحِّل ناقص",IF(AND($N83=ST_POST,$Q83&lt;&gt;"",OR($Q83=$O83,$Q83=$P83)),"المرحِّل يجب أن يختلف عن المُعِد والمعتمد",IF(AND($N83=ST_REV,$S83=""),"مرجع التصحيح/الإلغاء ناقص",IF(AND(ISNUMBER($B83),OR($N83=ST_DRAFT,$N83=ST_APPR),COUNTIFS(Period_Close!$A:$A,YEAR($B83)*100+MONTH($B83),Period_Close!$B:$B,"مقفلة")&gt;0),"الفترة مقفلة: لا يسمح بمستند جديد",IF($U83="?","نوع السند غير معرف",IF(COUNTIFS(COA!$A:$A,$W83,COA!$R:$R,1)&lt;&gt;1,"الخزينة/البنك غير معرف أو غير صالح",IF(NOT(N($I83)&gt;0),"المبلغ يجب أن يكون أكبر من صفر",IF(AND(OR($U83="TRF",$U83="DEP",$U83="WDR"),$E83=""),"الخزينة المستلمة ناقصة",IF(AND(OR($U83="TRF",$U83="DEP",$U83="WDR"),$E83=$D83),"التحويل إلى نفس الخزينة",IF(AND(OR($U83="TRF",$U83="DEP",$U83="WDR"),COUNTIFS(COA!$A:$A,$X83,COA!$R:$R,1)&lt;&gt;1),"الخزينة المستلمة غير صالحة",IF(AND(OR($U83="RCV",$U83="PAY"),$F83=""),"الحساب المقابل ناقص",IF(AND(OR($U83="RCV",$U83="PAY"),COUNTIFS(COA!$A:$A,$F83,COA!$R:$R,1)&lt;&gt;1),"الحساب المقابل غير صالح أو رئيسي",IF(AND(OR($U83="RCV",$U83="PAY"),IFERROR(INDEX(COA!$H:$H,MATCH($F83,COA!$A:$A,0)),0)=1),"الحساب المقابل نقدي: استخدم تحويل بين الخزائن",IF(AND(OR($U83="RCV",$U83="PAY"),$F83=ACC_SUPPLIERS),"سداد الموردين يتم من Supplier_Payments",IF(AND(OR($U83="RCV",$U83="PAY"),$H83=""),"المستلم/الدافع ناقص",IF(AND(OR($U83="RCV",$U83="PAY"),$J83=""),"طريقة الدفع ناقصة",IF(AND(OR($U83="RCV",$U83="PAY"),OR($F83=ACC_CUSTOMERS,$F83=1501,$F83=1502),$G83=""),"كود الجهة إلزامي لهذا الحساب",IF(AND($F83=ACC_CUSTOMERS,$G83&lt;&gt;"",COUNTIF(Customers!$A:$A,$G83)=0),"كود العميل غير معرف",IF(AND(OR($F83=1501,$F83=1502),$G83&lt;&gt;"",COUNTIF(Employees!$A:$A,$G83)=0),"كود الموظف غير معرف",IF(AND($M83&lt;&gt;"",COUNTIF(Doc_Register!$A:$A,$M83)=0),"المستند المرتبط غير موجود",IF(AND(OR($U83="PAY",$U83="SHT"),NOT(COUNTIF(Cost_Centers!$A:$A,$AE83)&gt;0)),"مركز التكلفة غير معرف",""))))))))))))))))))))))))))))))</f>
        <v/>
      </c>
      <c r="AL83" s="32">
        <f>IF($AJ83=1,IF($AK83&lt;&gt;"",1,0),0)</f>
        <v/>
      </c>
      <c r="AM83" s="32">
        <f>IF(AND($AJ83=1,$AL83=0,$N83=ST_POST),1,0)</f>
        <v/>
      </c>
    </row>
    <row r="84">
      <c r="A84" s="29" t="n"/>
      <c r="B84" s="31" t="n"/>
      <c r="C84" s="29" t="n"/>
      <c r="D84" s="39" t="n"/>
      <c r="E84" s="39" t="n"/>
      <c r="F84" s="39" t="n"/>
      <c r="G84" s="29" t="n"/>
      <c r="H84" s="29" t="n"/>
      <c r="I84" s="42" t="n"/>
      <c r="J84" s="29" t="n"/>
      <c r="K84" s="29" t="n"/>
      <c r="L84" s="39" t="n"/>
      <c r="M84" s="29" t="n"/>
      <c r="N84" s="39" t="n"/>
      <c r="O84" s="29" t="n"/>
      <c r="P84" s="29" t="n"/>
      <c r="Q84" s="29" t="n"/>
      <c r="R84" s="29" t="n"/>
      <c r="S84" s="29" t="n"/>
      <c r="T84" s="29" t="n"/>
      <c r="U84" s="32">
        <f>IF($AJ84=1,IFERROR(INDEX(Lists!$F:$F,MATCH($C84,Lists!$E:$E,0)),"?"),"")</f>
        <v/>
      </c>
      <c r="V84" s="32">
        <f>IF($AJ84=1,IFERROR(INDEX(Lists!$G:$G,MATCH($C84,Lists!$E:$E,0)),"?"),"")</f>
        <v/>
      </c>
      <c r="W84" s="32">
        <f>IF($AJ84=1,IFERROR(INDEX(Treasuries!$E:$E,MATCH($D84,Treasuries!$A:$A,0)),"؟"),"")</f>
        <v/>
      </c>
      <c r="X84" s="32">
        <f>IF(AND($AJ84=1,$E84&lt;&gt;""),IFERROR(INDEX(Treasuries!$E:$E,MATCH($E84,Treasuries!$A:$A,0)),"؟"),"")</f>
        <v/>
      </c>
      <c r="Y84" s="32">
        <f>IF($AJ84=1,IFERROR(INDEX(Treasuries!$D:$D,MATCH($D84,Treasuries!$A:$A,0)),"؟"),"")</f>
        <v/>
      </c>
      <c r="Z84" s="32">
        <f>IF(AND($AJ84=1,$E84&lt;&gt;""),IFERROR(INDEX(Treasuries!$D:$D,MATCH($E84,Treasuries!$A:$A,0)),"؟"),"")</f>
        <v/>
      </c>
      <c r="AA84" s="44">
        <f>IF($AJ84=1,IF($U84="RCV",$W84,IF($U84="PAY",$F84,IF(OR($U84="TRF",$U84="DEP",$U84="WDR"),$X84,IF($U84="SHT",ACC_CASH_SHORT,IF($U84="OVR",$W84,"؟"))))),"")</f>
        <v/>
      </c>
      <c r="AB84" s="44">
        <f>IF($AJ84=1,IF($U84="RCV",$F84,IF($U84="PAY",$W84,IF(OR($U84="TRF",$U84="DEP",$U84="WDR"),$W84,IF($U84="SHT",$W84,IF($U84="OVR",ACC_CASH_OVER,"؟"))))),"")</f>
        <v/>
      </c>
      <c r="AC84" s="32">
        <f>IF($AJ84=1,IF(OR($U84="TRF",$U84="DEP",$U84="WDR"),$Z84,$Y84),"")</f>
        <v/>
      </c>
      <c r="AD84" s="32">
        <f>IF($AJ84=1,$Y84,"")</f>
        <v/>
      </c>
      <c r="AE84" s="32">
        <f>IF($AJ84=1,IF(OR($U84="PAY",$U84="SHT"),IF($L84="","CC00",$L84),"CC00"),"")</f>
        <v/>
      </c>
      <c r="AF84" s="32">
        <f>IF($AJ84=1,IF(OR($U84="RCV",$U84="OVR"),IF($L84="","CC00",$L84),"CC00"),"")</f>
        <v/>
      </c>
      <c r="AG84" s="32">
        <f>IF($AJ84=1,IF(AND($U84="PAY",$G84&lt;&gt;""),$G84,"-"),"")</f>
        <v/>
      </c>
      <c r="AH84" s="32">
        <f>IF($AJ84=1,IF(AND($U84="RCV",$G84&lt;&gt;""),$G84,"-"),"")</f>
        <v/>
      </c>
      <c r="AI84" s="32">
        <f>IF($AJ84=1,IF(OR($U84="TRF",$U84="DEP",$U84="WDR"),"INTERNAL",IF(OR($U84="RCV",$U84="PAY"),IFERROR(IF(INDEX(COA!$I:$I,MATCH($F84,COA!$A:$A,0))="","OPERATING",INDEX(COA!$I:$I,MATCH($F84,COA!$A:$A,0))),"OPERATING"),"OPERATING")),"")</f>
        <v/>
      </c>
      <c r="AJ84" s="32">
        <f>IF(COUNTA($A84:$T84)&gt;0,1,0)</f>
        <v/>
      </c>
      <c r="AK84" s="32">
        <f>IF($AJ84=0,"",IF($A84="","رقم المستند ناقص",IF(COUNTIF(Doc_Register!$A:$A,$A84)&gt;1,"رقم مستند مكرر في السجل المركزي",IF(LEFT($A84,LEN($V84)+1)&lt;&gt;$V84&amp;"-","بادئة الرقم لا تطابق نوع المستند",IF(NOT(ISNUMBER($B84)),"التاريخ ناقص أو غير صحيح",IF($N84="","حالة المستند ناقصة",IF($O84="","اسم المُعِد ناقص",IF(AND(OR($N84=ST_APPR,$N84=ST_POST),$P84=""),"لا يوجد معتمد",IF(AND($P84&lt;&gt;"",$P84=$O84),"المُعِد والمعتمد نفس الشخص (فصل المهام)",IF(AND($N84=ST_POST,$Q84=""),"اسم المحاسب المرحِّل ناقص",IF(AND($N84=ST_POST,$Q84&lt;&gt;"",OR($Q84=$O84,$Q84=$P84)),"المرحِّل يجب أن يختلف عن المُعِد والمعتمد",IF(AND($N84=ST_REV,$S84=""),"مرجع التصحيح/الإلغاء ناقص",IF(AND(ISNUMBER($B84),OR($N84=ST_DRAFT,$N84=ST_APPR),COUNTIFS(Period_Close!$A:$A,YEAR($B84)*100+MONTH($B84),Period_Close!$B:$B,"مقفلة")&gt;0),"الفترة مقفلة: لا يسمح بمستند جديد",IF($U84="?","نوع السند غير معرف",IF(COUNTIFS(COA!$A:$A,$W84,COA!$R:$R,1)&lt;&gt;1,"الخزينة/البنك غير معرف أو غير صالح",IF(NOT(N($I84)&gt;0),"المبلغ يجب أن يكون أكبر من صفر",IF(AND(OR($U84="TRF",$U84="DEP",$U84="WDR"),$E84=""),"الخزينة المستلمة ناقصة",IF(AND(OR($U84="TRF",$U84="DEP",$U84="WDR"),$E84=$D84),"التحويل إلى نفس الخزينة",IF(AND(OR($U84="TRF",$U84="DEP",$U84="WDR"),COUNTIFS(COA!$A:$A,$X84,COA!$R:$R,1)&lt;&gt;1),"الخزينة المستلمة غير صالحة",IF(AND(OR($U84="RCV",$U84="PAY"),$F84=""),"الحساب المقابل ناقص",IF(AND(OR($U84="RCV",$U84="PAY"),COUNTIFS(COA!$A:$A,$F84,COA!$R:$R,1)&lt;&gt;1),"الحساب المقابل غير صالح أو رئيسي",IF(AND(OR($U84="RCV",$U84="PAY"),IFERROR(INDEX(COA!$H:$H,MATCH($F84,COA!$A:$A,0)),0)=1),"الحساب المقابل نقدي: استخدم تحويل بين الخزائن",IF(AND(OR($U84="RCV",$U84="PAY"),$F84=ACC_SUPPLIERS),"سداد الموردين يتم من Supplier_Payments",IF(AND(OR($U84="RCV",$U84="PAY"),$H84=""),"المستلم/الدافع ناقص",IF(AND(OR($U84="RCV",$U84="PAY"),$J84=""),"طريقة الدفع ناقصة",IF(AND(OR($U84="RCV",$U84="PAY"),OR($F84=ACC_CUSTOMERS,$F84=1501,$F84=1502),$G84=""),"كود الجهة إلزامي لهذا الحساب",IF(AND($F84=ACC_CUSTOMERS,$G84&lt;&gt;"",COUNTIF(Customers!$A:$A,$G84)=0),"كود العميل غير معرف",IF(AND(OR($F84=1501,$F84=1502),$G84&lt;&gt;"",COUNTIF(Employees!$A:$A,$G84)=0),"كود الموظف غير معرف",IF(AND($M84&lt;&gt;"",COUNTIF(Doc_Register!$A:$A,$M84)=0),"المستند المرتبط غير موجود",IF(AND(OR($U84="PAY",$U84="SHT"),NOT(COUNTIF(Cost_Centers!$A:$A,$AE84)&gt;0)),"مركز التكلفة غير معرف",""))))))))))))))))))))))))))))))</f>
        <v/>
      </c>
      <c r="AL84" s="32">
        <f>IF($AJ84=1,IF($AK84&lt;&gt;"",1,0),0)</f>
        <v/>
      </c>
      <c r="AM84" s="32">
        <f>IF(AND($AJ84=1,$AL84=0,$N84=ST_POST),1,0)</f>
        <v/>
      </c>
    </row>
  </sheetData>
  <sheetProtection selectLockedCells="0" selectUnlockedCells="0" sheet="1" objects="0" insertRows="1" insertHyperlinks="1" autoFilter="0" scenarios="0" formatColumns="0" deleteColumns="1" insertColumns="1" pivotTables="1" deleteRows="1" formatCells="0" formatRows="0" sort="1"/>
  <autoFilter ref="A4:AM84"/>
  <conditionalFormatting sqref="N5:N84">
    <cfRule type="expression" priority="1" dxfId="1">
      <formula>N5="مرحل"</formula>
    </cfRule>
    <cfRule type="expression" priority="2" dxfId="0">
      <formula>N5="معكوس"</formula>
    </cfRule>
  </conditionalFormatting>
  <conditionalFormatting sqref="AK5:AK84">
    <cfRule type="expression" priority="3" dxfId="3">
      <formula>LEN(AK5)&gt;0</formula>
    </cfRule>
  </conditionalFormatting>
  <dataValidations count="12">
    <dataValidation sqref="B5:B84" showDropDown="0" showInputMessage="0" showErrorMessage="1" allowBlank="1" errorTitle="تاريخ غير صحيح" error="أدخل تاريخًا صحيحًا." type="date" operator="greaterThan">
      <formula1>36526</formula1>
    </dataValidation>
    <dataValidation sqref="C5:C84" showDropDown="0" showInputMessage="0" showErrorMessage="1" allowBlank="1" errorTitle="قيمة غير مسموحة" error="اختر قيمة من القائمة المنسدلة." type="list">
      <formula1>=Lists!$E$5:$E$11</formula1>
    </dataValidation>
    <dataValidation sqref="D5:D84" showDropDown="0" showInputMessage="0" showErrorMessage="1" allowBlank="1" errorTitle="قيمة غير مسموحة" error="اختر قيمة من القائمة المنسدلة." type="list">
      <formula1>=Treasuries!$A$5:$A$34</formula1>
    </dataValidation>
    <dataValidation sqref="E5:E84" showDropDown="0" showInputMessage="0" showErrorMessage="1" allowBlank="1" errorTitle="قيمة غير مسموحة" error="اختر قيمة من القائمة المنسدلة." type="list">
      <formula1>=Treasuries!$A$5:$A$34</formula1>
    </dataValidation>
    <dataValidation sqref="F5:F84" showDropDown="0" showInputMessage="0" showErrorMessage="1" allowBlank="1" errorTitle="قيمة غير مسموحة" error="اختر قيمة من القائمة المنسدلة." type="list">
      <formula1>=COA!$A$5:$A$254</formula1>
    </dataValidation>
    <dataValidation sqref="I5:I8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J5:J84" showDropDown="0" showInputMessage="0" showErrorMessage="1" allowBlank="1" errorTitle="قيمة غير مسموحة" error="اختر قيمة من القائمة المنسدلة." type="list">
      <formula1>"نقدًا,تحويل بنكي,شيك,محفظة إلكترونية,بطاقة"</formula1>
    </dataValidation>
    <dataValidation sqref="L5:L84" showDropDown="0" showInputMessage="0" showErrorMessage="1" allowBlank="1" errorTitle="قيمة غير مسموحة" error="اختر قيمة من القائمة المنسدلة." type="list">
      <formula1>=Cost_Centers!$A$5:$A$34</formula1>
    </dataValidation>
    <dataValidation sqref="N5:N84" showDropDown="0" showInputMessage="0" showErrorMessage="1" allowBlank="1" errorTitle="قيمة غير مسموحة" error="اختر قيمة من القائمة المنسدلة." type="list">
      <formula1>=Lists!$A$5:$A$9</formula1>
    </dataValidation>
    <dataValidation sqref="O5:O84" showDropDown="0" showInputMessage="0" showErrorMessage="1" allowBlank="1" errorTitle="قيمة غير مسموحة" error="اختر قيمة من القائمة المنسدلة." type="list">
      <formula1>=Users!$B$5:$B$44</formula1>
    </dataValidation>
    <dataValidation sqref="P5:P84" showDropDown="0" showInputMessage="0" showErrorMessage="1" allowBlank="1" errorTitle="قيمة غير مسموحة" error="اختر قيمة من القائمة المنسدلة." type="list">
      <formula1>=Users!$B$5:$B$44</formula1>
    </dataValidation>
    <dataValidation sqref="Q5:Q84" showDropDown="0" showInputMessage="0" showErrorMessage="1" allowBlank="1" errorTitle="قيمة غير مسموحة" error="اختر قيمة من القائمة المنسدلة." type="list">
      <formula1>=Users!$B$5:$B$44</formula1>
    </dataValidation>
  </dataValidations>
  <pageMargins left="0.75" right="0.75" top="1" bottom="1" header="0.5" footer="0.5"/>
  <pageSetup orientation="landscape" fitToHeight="0" fitToWidth="1"/>
</worksheet>
</file>

<file path=xl/worksheets/sheet29.xml><?xml version="1.0" encoding="utf-8"?>
<worksheet xmlns="http://schemas.openxmlformats.org/spreadsheetml/2006/main">
  <sheetPr>
    <tabColor rgb="00BF8F00"/>
    <outlinePr summaryBelow="1" summaryRight="1"/>
    <pageSetUpPr fitToPage="1"/>
  </sheetPr>
  <dimension ref="A1:P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5" customWidth="1" min="3" max="3"/>
    <col width="16" customWidth="1" min="4" max="4"/>
    <col width="22" customWidth="1" min="5" max="5"/>
    <col width="18" customWidth="1" min="6" max="6"/>
    <col width="17" customWidth="1" min="7" max="7"/>
    <col width="24" customWidth="1" min="8" max="8"/>
    <col width="9" customWidth="1" min="9" max="9"/>
    <col width="15" customWidth="1" min="10" max="10"/>
    <col width="12" customWidth="1" min="11" max="11"/>
    <col width="15" customWidth="1" min="12" max="12"/>
    <col width="14" customWidth="1" min="13" max="13"/>
    <col width="14" customWidth="1" min="14" max="14"/>
    <col width="40" customWidth="1" min="15" max="15"/>
    <col width="9" customWidth="1" min="16" max="16"/>
  </cols>
  <sheetData>
    <row r="1" ht="26" customHeight="1">
      <c r="A1" s="22" t="inlineStr">
        <is>
          <t>إقفال الخزينة اليومي وفروق الجرد (Daily Cash Close)</t>
        </is>
      </c>
      <c r="B1" s="1" t="n"/>
      <c r="C1" s="1" t="n"/>
      <c r="D1" s="1" t="n"/>
      <c r="E1" s="1" t="n"/>
      <c r="F1" s="1" t="n"/>
      <c r="G1" s="1" t="n"/>
      <c r="H1" s="1" t="n"/>
      <c r="I1" s="1" t="n"/>
      <c r="J1" s="1" t="n"/>
      <c r="K1" s="1" t="n"/>
      <c r="L1" s="1" t="n"/>
      <c r="M1" s="1" t="n"/>
      <c r="N1" s="1" t="n"/>
      <c r="O1" s="1" t="n"/>
      <c r="P1" s="1" t="n"/>
    </row>
    <row r="2">
      <c r="A2" s="35" t="inlineStr">
        <is>
          <t>المصدر: نموذج 14. أدخل المبلغ المعدود فعليًا في آخر اليوم. النظام يقارن الرصيد الدفتري قبل أي سند تسوية مع المعدود، ويطلب سند عجز/زيادة (نموذج 30) لتسوية الفرق.</t>
        </is>
      </c>
    </row>
    <row r="3">
      <c r="A3" s="36" t="inlineStr">
        <is>
          <t>خلايا الإدخال</t>
        </is>
      </c>
      <c r="B3" s="37" t="inlineStr">
        <is>
          <t>معادلات (لا تعدّل)</t>
        </is>
      </c>
    </row>
    <row r="4" ht="34" customHeight="1">
      <c r="A4" s="24" t="inlineStr">
        <is>
          <t>التاريخ</t>
        </is>
      </c>
      <c r="B4" s="24" t="inlineStr">
        <is>
          <t>الخزينة</t>
        </is>
      </c>
      <c r="C4" s="24" t="inlineStr">
        <is>
          <t>المبلغ المعدود فعليًا</t>
        </is>
      </c>
      <c r="D4" s="24" t="inlineStr">
        <is>
          <t>سبب الفرق</t>
        </is>
      </c>
      <c r="E4" s="24" t="inlineStr">
        <is>
          <t>المسؤول</t>
        </is>
      </c>
      <c r="F4" s="24" t="inlineStr">
        <is>
          <t>حالة المعالجة</t>
        </is>
      </c>
      <c r="G4" s="24" t="inlineStr">
        <is>
          <t>سند التسوية (عجز/زيادة)</t>
        </is>
      </c>
      <c r="H4" s="24" t="inlineStr">
        <is>
          <t>ملاحظات</t>
        </is>
      </c>
      <c r="I4" s="38" t="inlineStr">
        <is>
          <t>حساب الخزينة</t>
        </is>
      </c>
      <c r="J4" s="38" t="inlineStr">
        <is>
          <t>الرصيد الدفتري حتى نهاية اليوم</t>
        </is>
      </c>
      <c r="K4" s="38" t="inlineStr">
        <is>
          <t>أثر سند التسوية</t>
        </is>
      </c>
      <c r="L4" s="38" t="inlineStr">
        <is>
          <t>الدفتري قبل التسوية</t>
        </is>
      </c>
      <c r="M4" s="38" t="inlineStr">
        <is>
          <t>فرق الجرد (معدود - دفتري)</t>
        </is>
      </c>
      <c r="N4" s="38" t="inlineStr">
        <is>
          <t>فرق متبقٍ بعد التسوية</t>
        </is>
      </c>
      <c r="O4" s="38" t="inlineStr">
        <is>
          <t>فحص</t>
        </is>
      </c>
      <c r="P4" s="38" t="inlineStr">
        <is>
          <t>فرق مفتوح؟</t>
        </is>
      </c>
    </row>
    <row r="5">
      <c r="A5" s="31" t="n"/>
      <c r="B5" s="39" t="n"/>
      <c r="C5" s="42" t="n"/>
      <c r="D5" s="29" t="n"/>
      <c r="E5" s="29" t="n"/>
      <c r="F5" s="29" t="n"/>
      <c r="G5" s="29" t="n"/>
      <c r="H5" s="29" t="n"/>
      <c r="I5" s="32">
        <f>IF($B5="","",IFERROR(INDEX(Treasuries!$E:$E,MATCH($B5,Treasuries!$A:$A,0)),"؟"))</f>
        <v/>
      </c>
      <c r="J5" s="43">
        <f>IF($I5="","",SUMIFS(GL_Journal!$S:$S,GL_Journal!$G:$G,$I5,GL_Journal!$D:$D,"&lt;="&amp;$A5)-SUMIFS(GL_Journal!$T:$T,GL_Journal!$G:$G,$I5,GL_Journal!$D:$D,"&lt;="&amp;$A5))</f>
        <v/>
      </c>
      <c r="K5" s="47">
        <f>IF($I5="","",IF($G5="",0,SUMIFS(GL_Journal!$S:$S,GL_Journal!$E:$E,$G5,GL_Journal!$G:$G,$I5)-SUMIFS(GL_Journal!$T:$T,GL_Journal!$E:$E,$G5,GL_Journal!$G:$G,$I5)))</f>
        <v/>
      </c>
      <c r="L5" s="43">
        <f>IF($I5="","",$J5-$K5)</f>
        <v/>
      </c>
      <c r="M5" s="47">
        <f>IF($I5="","",IF(ISNUMBER($C5),ROUND($C5-$L5,2),""))</f>
        <v/>
      </c>
      <c r="N5" s="47">
        <f>IF($I5="","",IF(ISNUMBER($C5),ROUND($C5-$J5,2),""))</f>
        <v/>
      </c>
      <c r="O5" s="32">
        <f>IF($I5="","",IF(NOT(ISNUMBER($A5)),"التاريخ ناقص",IF(COUNTIFS(COA!$A:$A,$I5,COA!$R:$R,1)&lt;&gt;1,"الخزينة غير صالحة",IF(NOT(ISNUMBER($C5)),"المبلغ المعدود ناقص",IF(AND(ABS($M5)&gt;S_CashTol,$D5=""),"فرق بدون سبب",IF(AND(ABS($M5)&gt;S_CashTol,$E5=""),"فرق بدون مسؤول",IF(AND(ABS($M5)&gt;S_CashTol,$G5="",$F5&lt;&gt;"مقبول بموافقة الإدارة"),"فرق بدون سند تسوية",IF(AND($G5&lt;&gt;"",COUNTIF(Doc_Register!$A:$A,$G5)=0),"سند التسوية غير موجود",IF(AND($G5&lt;&gt;"",ABS($N5)&gt;S_CashTol),"الفرق لم يُسوَّ بالكامل (سند التسوية لا يطابق الفرق)","")))))))))</f>
        <v/>
      </c>
      <c r="P5" s="44">
        <f>IF($I5="","",IF(AND(ISNUMBER($M5),ABS($N5)&gt;S_CashTol),1,0))</f>
        <v/>
      </c>
    </row>
    <row r="6">
      <c r="A6" s="31" t="n"/>
      <c r="B6" s="39" t="n"/>
      <c r="C6" s="42" t="n"/>
      <c r="D6" s="29" t="n"/>
      <c r="E6" s="29" t="n"/>
      <c r="F6" s="29" t="n"/>
      <c r="G6" s="29" t="n"/>
      <c r="H6" s="29" t="n"/>
      <c r="I6" s="32">
        <f>IF($B6="","",IFERROR(INDEX(Treasuries!$E:$E,MATCH($B6,Treasuries!$A:$A,0)),"؟"))</f>
        <v/>
      </c>
      <c r="J6" s="43">
        <f>IF($I6="","",SUMIFS(GL_Journal!$S:$S,GL_Journal!$G:$G,$I6,GL_Journal!$D:$D,"&lt;="&amp;$A6)-SUMIFS(GL_Journal!$T:$T,GL_Journal!$G:$G,$I6,GL_Journal!$D:$D,"&lt;="&amp;$A6))</f>
        <v/>
      </c>
      <c r="K6" s="47">
        <f>IF($I6="","",IF($G6="",0,SUMIFS(GL_Journal!$S:$S,GL_Journal!$E:$E,$G6,GL_Journal!$G:$G,$I6)-SUMIFS(GL_Journal!$T:$T,GL_Journal!$E:$E,$G6,GL_Journal!$G:$G,$I6)))</f>
        <v/>
      </c>
      <c r="L6" s="43">
        <f>IF($I6="","",$J6-$K6)</f>
        <v/>
      </c>
      <c r="M6" s="47">
        <f>IF($I6="","",IF(ISNUMBER($C6),ROUND($C6-$L6,2),""))</f>
        <v/>
      </c>
      <c r="N6" s="47">
        <f>IF($I6="","",IF(ISNUMBER($C6),ROUND($C6-$J6,2),""))</f>
        <v/>
      </c>
      <c r="O6" s="32">
        <f>IF($I6="","",IF(NOT(ISNUMBER($A6)),"التاريخ ناقص",IF(COUNTIFS(COA!$A:$A,$I6,COA!$R:$R,1)&lt;&gt;1,"الخزينة غير صالحة",IF(NOT(ISNUMBER($C6)),"المبلغ المعدود ناقص",IF(AND(ABS($M6)&gt;S_CashTol,$D6=""),"فرق بدون سبب",IF(AND(ABS($M6)&gt;S_CashTol,$E6=""),"فرق بدون مسؤول",IF(AND(ABS($M6)&gt;S_CashTol,$G6="",$F6&lt;&gt;"مقبول بموافقة الإدارة"),"فرق بدون سند تسوية",IF(AND($G6&lt;&gt;"",COUNTIF(Doc_Register!$A:$A,$G6)=0),"سند التسوية غير موجود",IF(AND($G6&lt;&gt;"",ABS($N6)&gt;S_CashTol),"الفرق لم يُسوَّ بالكامل (سند التسوية لا يطابق الفرق)","")))))))))</f>
        <v/>
      </c>
      <c r="P6" s="44">
        <f>IF($I6="","",IF(AND(ISNUMBER($M6),ABS($N6)&gt;S_CashTol),1,0))</f>
        <v/>
      </c>
    </row>
    <row r="7">
      <c r="A7" s="31" t="n"/>
      <c r="B7" s="39" t="n"/>
      <c r="C7" s="42" t="n"/>
      <c r="D7" s="29" t="n"/>
      <c r="E7" s="29" t="n"/>
      <c r="F7" s="29" t="n"/>
      <c r="G7" s="29" t="n"/>
      <c r="H7" s="29" t="n"/>
      <c r="I7" s="32">
        <f>IF($B7="","",IFERROR(INDEX(Treasuries!$E:$E,MATCH($B7,Treasuries!$A:$A,0)),"؟"))</f>
        <v/>
      </c>
      <c r="J7" s="43">
        <f>IF($I7="","",SUMIFS(GL_Journal!$S:$S,GL_Journal!$G:$G,$I7,GL_Journal!$D:$D,"&lt;="&amp;$A7)-SUMIFS(GL_Journal!$T:$T,GL_Journal!$G:$G,$I7,GL_Journal!$D:$D,"&lt;="&amp;$A7))</f>
        <v/>
      </c>
      <c r="K7" s="47">
        <f>IF($I7="","",IF($G7="",0,SUMIFS(GL_Journal!$S:$S,GL_Journal!$E:$E,$G7,GL_Journal!$G:$G,$I7)-SUMIFS(GL_Journal!$T:$T,GL_Journal!$E:$E,$G7,GL_Journal!$G:$G,$I7)))</f>
        <v/>
      </c>
      <c r="L7" s="43">
        <f>IF($I7="","",$J7-$K7)</f>
        <v/>
      </c>
      <c r="M7" s="47">
        <f>IF($I7="","",IF(ISNUMBER($C7),ROUND($C7-$L7,2),""))</f>
        <v/>
      </c>
      <c r="N7" s="47">
        <f>IF($I7="","",IF(ISNUMBER($C7),ROUND($C7-$J7,2),""))</f>
        <v/>
      </c>
      <c r="O7" s="32">
        <f>IF($I7="","",IF(NOT(ISNUMBER($A7)),"التاريخ ناقص",IF(COUNTIFS(COA!$A:$A,$I7,COA!$R:$R,1)&lt;&gt;1,"الخزينة غير صالحة",IF(NOT(ISNUMBER($C7)),"المبلغ المعدود ناقص",IF(AND(ABS($M7)&gt;S_CashTol,$D7=""),"فرق بدون سبب",IF(AND(ABS($M7)&gt;S_CashTol,$E7=""),"فرق بدون مسؤول",IF(AND(ABS($M7)&gt;S_CashTol,$G7="",$F7&lt;&gt;"مقبول بموافقة الإدارة"),"فرق بدون سند تسوية",IF(AND($G7&lt;&gt;"",COUNTIF(Doc_Register!$A:$A,$G7)=0),"سند التسوية غير موجود",IF(AND($G7&lt;&gt;"",ABS($N7)&gt;S_CashTol),"الفرق لم يُسوَّ بالكامل (سند التسوية لا يطابق الفرق)","")))))))))</f>
        <v/>
      </c>
      <c r="P7" s="44">
        <f>IF($I7="","",IF(AND(ISNUMBER($M7),ABS($N7)&gt;S_CashTol),1,0))</f>
        <v/>
      </c>
    </row>
    <row r="8">
      <c r="A8" s="31" t="n"/>
      <c r="B8" s="39" t="n"/>
      <c r="C8" s="42" t="n"/>
      <c r="D8" s="29" t="n"/>
      <c r="E8" s="29" t="n"/>
      <c r="F8" s="29" t="n"/>
      <c r="G8" s="29" t="n"/>
      <c r="H8" s="29" t="n"/>
      <c r="I8" s="32">
        <f>IF($B8="","",IFERROR(INDEX(Treasuries!$E:$E,MATCH($B8,Treasuries!$A:$A,0)),"؟"))</f>
        <v/>
      </c>
      <c r="J8" s="43">
        <f>IF($I8="","",SUMIFS(GL_Journal!$S:$S,GL_Journal!$G:$G,$I8,GL_Journal!$D:$D,"&lt;="&amp;$A8)-SUMIFS(GL_Journal!$T:$T,GL_Journal!$G:$G,$I8,GL_Journal!$D:$D,"&lt;="&amp;$A8))</f>
        <v/>
      </c>
      <c r="K8" s="47">
        <f>IF($I8="","",IF($G8="",0,SUMIFS(GL_Journal!$S:$S,GL_Journal!$E:$E,$G8,GL_Journal!$G:$G,$I8)-SUMIFS(GL_Journal!$T:$T,GL_Journal!$E:$E,$G8,GL_Journal!$G:$G,$I8)))</f>
        <v/>
      </c>
      <c r="L8" s="43">
        <f>IF($I8="","",$J8-$K8)</f>
        <v/>
      </c>
      <c r="M8" s="47">
        <f>IF($I8="","",IF(ISNUMBER($C8),ROUND($C8-$L8,2),""))</f>
        <v/>
      </c>
      <c r="N8" s="47">
        <f>IF($I8="","",IF(ISNUMBER($C8),ROUND($C8-$J8,2),""))</f>
        <v/>
      </c>
      <c r="O8" s="32">
        <f>IF($I8="","",IF(NOT(ISNUMBER($A8)),"التاريخ ناقص",IF(COUNTIFS(COA!$A:$A,$I8,COA!$R:$R,1)&lt;&gt;1,"الخزينة غير صالحة",IF(NOT(ISNUMBER($C8)),"المبلغ المعدود ناقص",IF(AND(ABS($M8)&gt;S_CashTol,$D8=""),"فرق بدون سبب",IF(AND(ABS($M8)&gt;S_CashTol,$E8=""),"فرق بدون مسؤول",IF(AND(ABS($M8)&gt;S_CashTol,$G8="",$F8&lt;&gt;"مقبول بموافقة الإدارة"),"فرق بدون سند تسوية",IF(AND($G8&lt;&gt;"",COUNTIF(Doc_Register!$A:$A,$G8)=0),"سند التسوية غير موجود",IF(AND($G8&lt;&gt;"",ABS($N8)&gt;S_CashTol),"الفرق لم يُسوَّ بالكامل (سند التسوية لا يطابق الفرق)","")))))))))</f>
        <v/>
      </c>
      <c r="P8" s="44">
        <f>IF($I8="","",IF(AND(ISNUMBER($M8),ABS($N8)&gt;S_CashTol),1,0))</f>
        <v/>
      </c>
    </row>
    <row r="9">
      <c r="A9" s="31" t="n"/>
      <c r="B9" s="39" t="n"/>
      <c r="C9" s="42" t="n"/>
      <c r="D9" s="29" t="n"/>
      <c r="E9" s="29" t="n"/>
      <c r="F9" s="29" t="n"/>
      <c r="G9" s="29" t="n"/>
      <c r="H9" s="29" t="n"/>
      <c r="I9" s="32">
        <f>IF($B9="","",IFERROR(INDEX(Treasuries!$E:$E,MATCH($B9,Treasuries!$A:$A,0)),"؟"))</f>
        <v/>
      </c>
      <c r="J9" s="43">
        <f>IF($I9="","",SUMIFS(GL_Journal!$S:$S,GL_Journal!$G:$G,$I9,GL_Journal!$D:$D,"&lt;="&amp;$A9)-SUMIFS(GL_Journal!$T:$T,GL_Journal!$G:$G,$I9,GL_Journal!$D:$D,"&lt;="&amp;$A9))</f>
        <v/>
      </c>
      <c r="K9" s="47">
        <f>IF($I9="","",IF($G9="",0,SUMIFS(GL_Journal!$S:$S,GL_Journal!$E:$E,$G9,GL_Journal!$G:$G,$I9)-SUMIFS(GL_Journal!$T:$T,GL_Journal!$E:$E,$G9,GL_Journal!$G:$G,$I9)))</f>
        <v/>
      </c>
      <c r="L9" s="43">
        <f>IF($I9="","",$J9-$K9)</f>
        <v/>
      </c>
      <c r="M9" s="47">
        <f>IF($I9="","",IF(ISNUMBER($C9),ROUND($C9-$L9,2),""))</f>
        <v/>
      </c>
      <c r="N9" s="47">
        <f>IF($I9="","",IF(ISNUMBER($C9),ROUND($C9-$J9,2),""))</f>
        <v/>
      </c>
      <c r="O9" s="32">
        <f>IF($I9="","",IF(NOT(ISNUMBER($A9)),"التاريخ ناقص",IF(COUNTIFS(COA!$A:$A,$I9,COA!$R:$R,1)&lt;&gt;1,"الخزينة غير صالحة",IF(NOT(ISNUMBER($C9)),"المبلغ المعدود ناقص",IF(AND(ABS($M9)&gt;S_CashTol,$D9=""),"فرق بدون سبب",IF(AND(ABS($M9)&gt;S_CashTol,$E9=""),"فرق بدون مسؤول",IF(AND(ABS($M9)&gt;S_CashTol,$G9="",$F9&lt;&gt;"مقبول بموافقة الإدارة"),"فرق بدون سند تسوية",IF(AND($G9&lt;&gt;"",COUNTIF(Doc_Register!$A:$A,$G9)=0),"سند التسوية غير موجود",IF(AND($G9&lt;&gt;"",ABS($N9)&gt;S_CashTol),"الفرق لم يُسوَّ بالكامل (سند التسوية لا يطابق الفرق)","")))))))))</f>
        <v/>
      </c>
      <c r="P9" s="44">
        <f>IF($I9="","",IF(AND(ISNUMBER($M9),ABS($N9)&gt;S_CashTol),1,0))</f>
        <v/>
      </c>
    </row>
    <row r="10">
      <c r="A10" s="31" t="n"/>
      <c r="B10" s="39" t="n"/>
      <c r="C10" s="42" t="n"/>
      <c r="D10" s="29" t="n"/>
      <c r="E10" s="29" t="n"/>
      <c r="F10" s="29" t="n"/>
      <c r="G10" s="29" t="n"/>
      <c r="H10" s="29" t="n"/>
      <c r="I10" s="32">
        <f>IF($B10="","",IFERROR(INDEX(Treasuries!$E:$E,MATCH($B10,Treasuries!$A:$A,0)),"؟"))</f>
        <v/>
      </c>
      <c r="J10" s="43">
        <f>IF($I10="","",SUMIFS(GL_Journal!$S:$S,GL_Journal!$G:$G,$I10,GL_Journal!$D:$D,"&lt;="&amp;$A10)-SUMIFS(GL_Journal!$T:$T,GL_Journal!$G:$G,$I10,GL_Journal!$D:$D,"&lt;="&amp;$A10))</f>
        <v/>
      </c>
      <c r="K10" s="47">
        <f>IF($I10="","",IF($G10="",0,SUMIFS(GL_Journal!$S:$S,GL_Journal!$E:$E,$G10,GL_Journal!$G:$G,$I10)-SUMIFS(GL_Journal!$T:$T,GL_Journal!$E:$E,$G10,GL_Journal!$G:$G,$I10)))</f>
        <v/>
      </c>
      <c r="L10" s="43">
        <f>IF($I10="","",$J10-$K10)</f>
        <v/>
      </c>
      <c r="M10" s="47">
        <f>IF($I10="","",IF(ISNUMBER($C10),ROUND($C10-$L10,2),""))</f>
        <v/>
      </c>
      <c r="N10" s="47">
        <f>IF($I10="","",IF(ISNUMBER($C10),ROUND($C10-$J10,2),""))</f>
        <v/>
      </c>
      <c r="O10" s="32">
        <f>IF($I10="","",IF(NOT(ISNUMBER($A10)),"التاريخ ناقص",IF(COUNTIFS(COA!$A:$A,$I10,COA!$R:$R,1)&lt;&gt;1,"الخزينة غير صالحة",IF(NOT(ISNUMBER($C10)),"المبلغ المعدود ناقص",IF(AND(ABS($M10)&gt;S_CashTol,$D10=""),"فرق بدون سبب",IF(AND(ABS($M10)&gt;S_CashTol,$E10=""),"فرق بدون مسؤول",IF(AND(ABS($M10)&gt;S_CashTol,$G10="",$F10&lt;&gt;"مقبول بموافقة الإدارة"),"فرق بدون سند تسوية",IF(AND($G10&lt;&gt;"",COUNTIF(Doc_Register!$A:$A,$G10)=0),"سند التسوية غير موجود",IF(AND($G10&lt;&gt;"",ABS($N10)&gt;S_CashTol),"الفرق لم يُسوَّ بالكامل (سند التسوية لا يطابق الفرق)","")))))))))</f>
        <v/>
      </c>
      <c r="P10" s="44">
        <f>IF($I10="","",IF(AND(ISNUMBER($M10),ABS($N10)&gt;S_CashTol),1,0))</f>
        <v/>
      </c>
    </row>
    <row r="11">
      <c r="A11" s="31" t="n"/>
      <c r="B11" s="39" t="n"/>
      <c r="C11" s="42" t="n"/>
      <c r="D11" s="29" t="n"/>
      <c r="E11" s="29" t="n"/>
      <c r="F11" s="29" t="n"/>
      <c r="G11" s="29" t="n"/>
      <c r="H11" s="29" t="n"/>
      <c r="I11" s="32">
        <f>IF($B11="","",IFERROR(INDEX(Treasuries!$E:$E,MATCH($B11,Treasuries!$A:$A,0)),"؟"))</f>
        <v/>
      </c>
      <c r="J11" s="43">
        <f>IF($I11="","",SUMIFS(GL_Journal!$S:$S,GL_Journal!$G:$G,$I11,GL_Journal!$D:$D,"&lt;="&amp;$A11)-SUMIFS(GL_Journal!$T:$T,GL_Journal!$G:$G,$I11,GL_Journal!$D:$D,"&lt;="&amp;$A11))</f>
        <v/>
      </c>
      <c r="K11" s="47">
        <f>IF($I11="","",IF($G11="",0,SUMIFS(GL_Journal!$S:$S,GL_Journal!$E:$E,$G11,GL_Journal!$G:$G,$I11)-SUMIFS(GL_Journal!$T:$T,GL_Journal!$E:$E,$G11,GL_Journal!$G:$G,$I11)))</f>
        <v/>
      </c>
      <c r="L11" s="43">
        <f>IF($I11="","",$J11-$K11)</f>
        <v/>
      </c>
      <c r="M11" s="47">
        <f>IF($I11="","",IF(ISNUMBER($C11),ROUND($C11-$L11,2),""))</f>
        <v/>
      </c>
      <c r="N11" s="47">
        <f>IF($I11="","",IF(ISNUMBER($C11),ROUND($C11-$J11,2),""))</f>
        <v/>
      </c>
      <c r="O11" s="32">
        <f>IF($I11="","",IF(NOT(ISNUMBER($A11)),"التاريخ ناقص",IF(COUNTIFS(COA!$A:$A,$I11,COA!$R:$R,1)&lt;&gt;1,"الخزينة غير صالحة",IF(NOT(ISNUMBER($C11)),"المبلغ المعدود ناقص",IF(AND(ABS($M11)&gt;S_CashTol,$D11=""),"فرق بدون سبب",IF(AND(ABS($M11)&gt;S_CashTol,$E11=""),"فرق بدون مسؤول",IF(AND(ABS($M11)&gt;S_CashTol,$G11="",$F11&lt;&gt;"مقبول بموافقة الإدارة"),"فرق بدون سند تسوية",IF(AND($G11&lt;&gt;"",COUNTIF(Doc_Register!$A:$A,$G11)=0),"سند التسوية غير موجود",IF(AND($G11&lt;&gt;"",ABS($N11)&gt;S_CashTol),"الفرق لم يُسوَّ بالكامل (سند التسوية لا يطابق الفرق)","")))))))))</f>
        <v/>
      </c>
      <c r="P11" s="44">
        <f>IF($I11="","",IF(AND(ISNUMBER($M11),ABS($N11)&gt;S_CashTol),1,0))</f>
        <v/>
      </c>
    </row>
    <row r="12">
      <c r="A12" s="31" t="n"/>
      <c r="B12" s="39" t="n"/>
      <c r="C12" s="42" t="n"/>
      <c r="D12" s="29" t="n"/>
      <c r="E12" s="29" t="n"/>
      <c r="F12" s="29" t="n"/>
      <c r="G12" s="29" t="n"/>
      <c r="H12" s="29" t="n"/>
      <c r="I12" s="32">
        <f>IF($B12="","",IFERROR(INDEX(Treasuries!$E:$E,MATCH($B12,Treasuries!$A:$A,0)),"؟"))</f>
        <v/>
      </c>
      <c r="J12" s="43">
        <f>IF($I12="","",SUMIFS(GL_Journal!$S:$S,GL_Journal!$G:$G,$I12,GL_Journal!$D:$D,"&lt;="&amp;$A12)-SUMIFS(GL_Journal!$T:$T,GL_Journal!$G:$G,$I12,GL_Journal!$D:$D,"&lt;="&amp;$A12))</f>
        <v/>
      </c>
      <c r="K12" s="47">
        <f>IF($I12="","",IF($G12="",0,SUMIFS(GL_Journal!$S:$S,GL_Journal!$E:$E,$G12,GL_Journal!$G:$G,$I12)-SUMIFS(GL_Journal!$T:$T,GL_Journal!$E:$E,$G12,GL_Journal!$G:$G,$I12)))</f>
        <v/>
      </c>
      <c r="L12" s="43">
        <f>IF($I12="","",$J12-$K12)</f>
        <v/>
      </c>
      <c r="M12" s="47">
        <f>IF($I12="","",IF(ISNUMBER($C12),ROUND($C12-$L12,2),""))</f>
        <v/>
      </c>
      <c r="N12" s="47">
        <f>IF($I12="","",IF(ISNUMBER($C12),ROUND($C12-$J12,2),""))</f>
        <v/>
      </c>
      <c r="O12" s="32">
        <f>IF($I12="","",IF(NOT(ISNUMBER($A12)),"التاريخ ناقص",IF(COUNTIFS(COA!$A:$A,$I12,COA!$R:$R,1)&lt;&gt;1,"الخزينة غير صالحة",IF(NOT(ISNUMBER($C12)),"المبلغ المعدود ناقص",IF(AND(ABS($M12)&gt;S_CashTol,$D12=""),"فرق بدون سبب",IF(AND(ABS($M12)&gt;S_CashTol,$E12=""),"فرق بدون مسؤول",IF(AND(ABS($M12)&gt;S_CashTol,$G12="",$F12&lt;&gt;"مقبول بموافقة الإدارة"),"فرق بدون سند تسوية",IF(AND($G12&lt;&gt;"",COUNTIF(Doc_Register!$A:$A,$G12)=0),"سند التسوية غير موجود",IF(AND($G12&lt;&gt;"",ABS($N12)&gt;S_CashTol),"الفرق لم يُسوَّ بالكامل (سند التسوية لا يطابق الفرق)","")))))))))</f>
        <v/>
      </c>
      <c r="P12" s="44">
        <f>IF($I12="","",IF(AND(ISNUMBER($M12),ABS($N12)&gt;S_CashTol),1,0))</f>
        <v/>
      </c>
    </row>
    <row r="13">
      <c r="A13" s="31" t="n"/>
      <c r="B13" s="39" t="n"/>
      <c r="C13" s="42" t="n"/>
      <c r="D13" s="29" t="n"/>
      <c r="E13" s="29" t="n"/>
      <c r="F13" s="29" t="n"/>
      <c r="G13" s="29" t="n"/>
      <c r="H13" s="29" t="n"/>
      <c r="I13" s="32">
        <f>IF($B13="","",IFERROR(INDEX(Treasuries!$E:$E,MATCH($B13,Treasuries!$A:$A,0)),"؟"))</f>
        <v/>
      </c>
      <c r="J13" s="43">
        <f>IF($I13="","",SUMIFS(GL_Journal!$S:$S,GL_Journal!$G:$G,$I13,GL_Journal!$D:$D,"&lt;="&amp;$A13)-SUMIFS(GL_Journal!$T:$T,GL_Journal!$G:$G,$I13,GL_Journal!$D:$D,"&lt;="&amp;$A13))</f>
        <v/>
      </c>
      <c r="K13" s="47">
        <f>IF($I13="","",IF($G13="",0,SUMIFS(GL_Journal!$S:$S,GL_Journal!$E:$E,$G13,GL_Journal!$G:$G,$I13)-SUMIFS(GL_Journal!$T:$T,GL_Journal!$E:$E,$G13,GL_Journal!$G:$G,$I13)))</f>
        <v/>
      </c>
      <c r="L13" s="43">
        <f>IF($I13="","",$J13-$K13)</f>
        <v/>
      </c>
      <c r="M13" s="47">
        <f>IF($I13="","",IF(ISNUMBER($C13),ROUND($C13-$L13,2),""))</f>
        <v/>
      </c>
      <c r="N13" s="47">
        <f>IF($I13="","",IF(ISNUMBER($C13),ROUND($C13-$J13,2),""))</f>
        <v/>
      </c>
      <c r="O13" s="32">
        <f>IF($I13="","",IF(NOT(ISNUMBER($A13)),"التاريخ ناقص",IF(COUNTIFS(COA!$A:$A,$I13,COA!$R:$R,1)&lt;&gt;1,"الخزينة غير صالحة",IF(NOT(ISNUMBER($C13)),"المبلغ المعدود ناقص",IF(AND(ABS($M13)&gt;S_CashTol,$D13=""),"فرق بدون سبب",IF(AND(ABS($M13)&gt;S_CashTol,$E13=""),"فرق بدون مسؤول",IF(AND(ABS($M13)&gt;S_CashTol,$G13="",$F13&lt;&gt;"مقبول بموافقة الإدارة"),"فرق بدون سند تسوية",IF(AND($G13&lt;&gt;"",COUNTIF(Doc_Register!$A:$A,$G13)=0),"سند التسوية غير موجود",IF(AND($G13&lt;&gt;"",ABS($N13)&gt;S_CashTol),"الفرق لم يُسوَّ بالكامل (سند التسوية لا يطابق الفرق)","")))))))))</f>
        <v/>
      </c>
      <c r="P13" s="44">
        <f>IF($I13="","",IF(AND(ISNUMBER($M13),ABS($N13)&gt;S_CashTol),1,0))</f>
        <v/>
      </c>
    </row>
    <row r="14">
      <c r="A14" s="31" t="n"/>
      <c r="B14" s="39" t="n"/>
      <c r="C14" s="42" t="n"/>
      <c r="D14" s="29" t="n"/>
      <c r="E14" s="29" t="n"/>
      <c r="F14" s="29" t="n"/>
      <c r="G14" s="29" t="n"/>
      <c r="H14" s="29" t="n"/>
      <c r="I14" s="32">
        <f>IF($B14="","",IFERROR(INDEX(Treasuries!$E:$E,MATCH($B14,Treasuries!$A:$A,0)),"؟"))</f>
        <v/>
      </c>
      <c r="J14" s="43">
        <f>IF($I14="","",SUMIFS(GL_Journal!$S:$S,GL_Journal!$G:$G,$I14,GL_Journal!$D:$D,"&lt;="&amp;$A14)-SUMIFS(GL_Journal!$T:$T,GL_Journal!$G:$G,$I14,GL_Journal!$D:$D,"&lt;="&amp;$A14))</f>
        <v/>
      </c>
      <c r="K14" s="47">
        <f>IF($I14="","",IF($G14="",0,SUMIFS(GL_Journal!$S:$S,GL_Journal!$E:$E,$G14,GL_Journal!$G:$G,$I14)-SUMIFS(GL_Journal!$T:$T,GL_Journal!$E:$E,$G14,GL_Journal!$G:$G,$I14)))</f>
        <v/>
      </c>
      <c r="L14" s="43">
        <f>IF($I14="","",$J14-$K14)</f>
        <v/>
      </c>
      <c r="M14" s="47">
        <f>IF($I14="","",IF(ISNUMBER($C14),ROUND($C14-$L14,2),""))</f>
        <v/>
      </c>
      <c r="N14" s="47">
        <f>IF($I14="","",IF(ISNUMBER($C14),ROUND($C14-$J14,2),""))</f>
        <v/>
      </c>
      <c r="O14" s="32">
        <f>IF($I14="","",IF(NOT(ISNUMBER($A14)),"التاريخ ناقص",IF(COUNTIFS(COA!$A:$A,$I14,COA!$R:$R,1)&lt;&gt;1,"الخزينة غير صالحة",IF(NOT(ISNUMBER($C14)),"المبلغ المعدود ناقص",IF(AND(ABS($M14)&gt;S_CashTol,$D14=""),"فرق بدون سبب",IF(AND(ABS($M14)&gt;S_CashTol,$E14=""),"فرق بدون مسؤول",IF(AND(ABS($M14)&gt;S_CashTol,$G14="",$F14&lt;&gt;"مقبول بموافقة الإدارة"),"فرق بدون سند تسوية",IF(AND($G14&lt;&gt;"",COUNTIF(Doc_Register!$A:$A,$G14)=0),"سند التسوية غير موجود",IF(AND($G14&lt;&gt;"",ABS($N14)&gt;S_CashTol),"الفرق لم يُسوَّ بالكامل (سند التسوية لا يطابق الفرق)","")))))))))</f>
        <v/>
      </c>
      <c r="P14" s="44">
        <f>IF($I14="","",IF(AND(ISNUMBER($M14),ABS($N14)&gt;S_CashTol),1,0))</f>
        <v/>
      </c>
    </row>
    <row r="15">
      <c r="A15" s="31" t="n"/>
      <c r="B15" s="39" t="n"/>
      <c r="C15" s="42" t="n"/>
      <c r="D15" s="29" t="n"/>
      <c r="E15" s="29" t="n"/>
      <c r="F15" s="29" t="n"/>
      <c r="G15" s="29" t="n"/>
      <c r="H15" s="29" t="n"/>
      <c r="I15" s="32">
        <f>IF($B15="","",IFERROR(INDEX(Treasuries!$E:$E,MATCH($B15,Treasuries!$A:$A,0)),"؟"))</f>
        <v/>
      </c>
      <c r="J15" s="43">
        <f>IF($I15="","",SUMIFS(GL_Journal!$S:$S,GL_Journal!$G:$G,$I15,GL_Journal!$D:$D,"&lt;="&amp;$A15)-SUMIFS(GL_Journal!$T:$T,GL_Journal!$G:$G,$I15,GL_Journal!$D:$D,"&lt;="&amp;$A15))</f>
        <v/>
      </c>
      <c r="K15" s="47">
        <f>IF($I15="","",IF($G15="",0,SUMIFS(GL_Journal!$S:$S,GL_Journal!$E:$E,$G15,GL_Journal!$G:$G,$I15)-SUMIFS(GL_Journal!$T:$T,GL_Journal!$E:$E,$G15,GL_Journal!$G:$G,$I15)))</f>
        <v/>
      </c>
      <c r="L15" s="43">
        <f>IF($I15="","",$J15-$K15)</f>
        <v/>
      </c>
      <c r="M15" s="47">
        <f>IF($I15="","",IF(ISNUMBER($C15),ROUND($C15-$L15,2),""))</f>
        <v/>
      </c>
      <c r="N15" s="47">
        <f>IF($I15="","",IF(ISNUMBER($C15),ROUND($C15-$J15,2),""))</f>
        <v/>
      </c>
      <c r="O15" s="32">
        <f>IF($I15="","",IF(NOT(ISNUMBER($A15)),"التاريخ ناقص",IF(COUNTIFS(COA!$A:$A,$I15,COA!$R:$R,1)&lt;&gt;1,"الخزينة غير صالحة",IF(NOT(ISNUMBER($C15)),"المبلغ المعدود ناقص",IF(AND(ABS($M15)&gt;S_CashTol,$D15=""),"فرق بدون سبب",IF(AND(ABS($M15)&gt;S_CashTol,$E15=""),"فرق بدون مسؤول",IF(AND(ABS($M15)&gt;S_CashTol,$G15="",$F15&lt;&gt;"مقبول بموافقة الإدارة"),"فرق بدون سند تسوية",IF(AND($G15&lt;&gt;"",COUNTIF(Doc_Register!$A:$A,$G15)=0),"سند التسوية غير موجود",IF(AND($G15&lt;&gt;"",ABS($N15)&gt;S_CashTol),"الفرق لم يُسوَّ بالكامل (سند التسوية لا يطابق الفرق)","")))))))))</f>
        <v/>
      </c>
      <c r="P15" s="44">
        <f>IF($I15="","",IF(AND(ISNUMBER($M15),ABS($N15)&gt;S_CashTol),1,0))</f>
        <v/>
      </c>
    </row>
    <row r="16">
      <c r="A16" s="31" t="n"/>
      <c r="B16" s="39" t="n"/>
      <c r="C16" s="42" t="n"/>
      <c r="D16" s="29" t="n"/>
      <c r="E16" s="29" t="n"/>
      <c r="F16" s="29" t="n"/>
      <c r="G16" s="29" t="n"/>
      <c r="H16" s="29" t="n"/>
      <c r="I16" s="32">
        <f>IF($B16="","",IFERROR(INDEX(Treasuries!$E:$E,MATCH($B16,Treasuries!$A:$A,0)),"؟"))</f>
        <v/>
      </c>
      <c r="J16" s="43">
        <f>IF($I16="","",SUMIFS(GL_Journal!$S:$S,GL_Journal!$G:$G,$I16,GL_Journal!$D:$D,"&lt;="&amp;$A16)-SUMIFS(GL_Journal!$T:$T,GL_Journal!$G:$G,$I16,GL_Journal!$D:$D,"&lt;="&amp;$A16))</f>
        <v/>
      </c>
      <c r="K16" s="47">
        <f>IF($I16="","",IF($G16="",0,SUMIFS(GL_Journal!$S:$S,GL_Journal!$E:$E,$G16,GL_Journal!$G:$G,$I16)-SUMIFS(GL_Journal!$T:$T,GL_Journal!$E:$E,$G16,GL_Journal!$G:$G,$I16)))</f>
        <v/>
      </c>
      <c r="L16" s="43">
        <f>IF($I16="","",$J16-$K16)</f>
        <v/>
      </c>
      <c r="M16" s="47">
        <f>IF($I16="","",IF(ISNUMBER($C16),ROUND($C16-$L16,2),""))</f>
        <v/>
      </c>
      <c r="N16" s="47">
        <f>IF($I16="","",IF(ISNUMBER($C16),ROUND($C16-$J16,2),""))</f>
        <v/>
      </c>
      <c r="O16" s="32">
        <f>IF($I16="","",IF(NOT(ISNUMBER($A16)),"التاريخ ناقص",IF(COUNTIFS(COA!$A:$A,$I16,COA!$R:$R,1)&lt;&gt;1,"الخزينة غير صالحة",IF(NOT(ISNUMBER($C16)),"المبلغ المعدود ناقص",IF(AND(ABS($M16)&gt;S_CashTol,$D16=""),"فرق بدون سبب",IF(AND(ABS($M16)&gt;S_CashTol,$E16=""),"فرق بدون مسؤول",IF(AND(ABS($M16)&gt;S_CashTol,$G16="",$F16&lt;&gt;"مقبول بموافقة الإدارة"),"فرق بدون سند تسوية",IF(AND($G16&lt;&gt;"",COUNTIF(Doc_Register!$A:$A,$G16)=0),"سند التسوية غير موجود",IF(AND($G16&lt;&gt;"",ABS($N16)&gt;S_CashTol),"الفرق لم يُسوَّ بالكامل (سند التسوية لا يطابق الفرق)","")))))))))</f>
        <v/>
      </c>
      <c r="P16" s="44">
        <f>IF($I16="","",IF(AND(ISNUMBER($M16),ABS($N16)&gt;S_CashTol),1,0))</f>
        <v/>
      </c>
    </row>
    <row r="17">
      <c r="A17" s="31" t="n"/>
      <c r="B17" s="39" t="n"/>
      <c r="C17" s="42" t="n"/>
      <c r="D17" s="29" t="n"/>
      <c r="E17" s="29" t="n"/>
      <c r="F17" s="29" t="n"/>
      <c r="G17" s="29" t="n"/>
      <c r="H17" s="29" t="n"/>
      <c r="I17" s="32">
        <f>IF($B17="","",IFERROR(INDEX(Treasuries!$E:$E,MATCH($B17,Treasuries!$A:$A,0)),"؟"))</f>
        <v/>
      </c>
      <c r="J17" s="43">
        <f>IF($I17="","",SUMIFS(GL_Journal!$S:$S,GL_Journal!$G:$G,$I17,GL_Journal!$D:$D,"&lt;="&amp;$A17)-SUMIFS(GL_Journal!$T:$T,GL_Journal!$G:$G,$I17,GL_Journal!$D:$D,"&lt;="&amp;$A17))</f>
        <v/>
      </c>
      <c r="K17" s="47">
        <f>IF($I17="","",IF($G17="",0,SUMIFS(GL_Journal!$S:$S,GL_Journal!$E:$E,$G17,GL_Journal!$G:$G,$I17)-SUMIFS(GL_Journal!$T:$T,GL_Journal!$E:$E,$G17,GL_Journal!$G:$G,$I17)))</f>
        <v/>
      </c>
      <c r="L17" s="43">
        <f>IF($I17="","",$J17-$K17)</f>
        <v/>
      </c>
      <c r="M17" s="47">
        <f>IF($I17="","",IF(ISNUMBER($C17),ROUND($C17-$L17,2),""))</f>
        <v/>
      </c>
      <c r="N17" s="47">
        <f>IF($I17="","",IF(ISNUMBER($C17),ROUND($C17-$J17,2),""))</f>
        <v/>
      </c>
      <c r="O17" s="32">
        <f>IF($I17="","",IF(NOT(ISNUMBER($A17)),"التاريخ ناقص",IF(COUNTIFS(COA!$A:$A,$I17,COA!$R:$R,1)&lt;&gt;1,"الخزينة غير صالحة",IF(NOT(ISNUMBER($C17)),"المبلغ المعدود ناقص",IF(AND(ABS($M17)&gt;S_CashTol,$D17=""),"فرق بدون سبب",IF(AND(ABS($M17)&gt;S_CashTol,$E17=""),"فرق بدون مسؤول",IF(AND(ABS($M17)&gt;S_CashTol,$G17="",$F17&lt;&gt;"مقبول بموافقة الإدارة"),"فرق بدون سند تسوية",IF(AND($G17&lt;&gt;"",COUNTIF(Doc_Register!$A:$A,$G17)=0),"سند التسوية غير موجود",IF(AND($G17&lt;&gt;"",ABS($N17)&gt;S_CashTol),"الفرق لم يُسوَّ بالكامل (سند التسوية لا يطابق الفرق)","")))))))))</f>
        <v/>
      </c>
      <c r="P17" s="44">
        <f>IF($I17="","",IF(AND(ISNUMBER($M17),ABS($N17)&gt;S_CashTol),1,0))</f>
        <v/>
      </c>
    </row>
    <row r="18">
      <c r="A18" s="31" t="n"/>
      <c r="B18" s="39" t="n"/>
      <c r="C18" s="42" t="n"/>
      <c r="D18" s="29" t="n"/>
      <c r="E18" s="29" t="n"/>
      <c r="F18" s="29" t="n"/>
      <c r="G18" s="29" t="n"/>
      <c r="H18" s="29" t="n"/>
      <c r="I18" s="32">
        <f>IF($B18="","",IFERROR(INDEX(Treasuries!$E:$E,MATCH($B18,Treasuries!$A:$A,0)),"؟"))</f>
        <v/>
      </c>
      <c r="J18" s="43">
        <f>IF($I18="","",SUMIFS(GL_Journal!$S:$S,GL_Journal!$G:$G,$I18,GL_Journal!$D:$D,"&lt;="&amp;$A18)-SUMIFS(GL_Journal!$T:$T,GL_Journal!$G:$G,$I18,GL_Journal!$D:$D,"&lt;="&amp;$A18))</f>
        <v/>
      </c>
      <c r="K18" s="47">
        <f>IF($I18="","",IF($G18="",0,SUMIFS(GL_Journal!$S:$S,GL_Journal!$E:$E,$G18,GL_Journal!$G:$G,$I18)-SUMIFS(GL_Journal!$T:$T,GL_Journal!$E:$E,$G18,GL_Journal!$G:$G,$I18)))</f>
        <v/>
      </c>
      <c r="L18" s="43">
        <f>IF($I18="","",$J18-$K18)</f>
        <v/>
      </c>
      <c r="M18" s="47">
        <f>IF($I18="","",IF(ISNUMBER($C18),ROUND($C18-$L18,2),""))</f>
        <v/>
      </c>
      <c r="N18" s="47">
        <f>IF($I18="","",IF(ISNUMBER($C18),ROUND($C18-$J18,2),""))</f>
        <v/>
      </c>
      <c r="O18" s="32">
        <f>IF($I18="","",IF(NOT(ISNUMBER($A18)),"التاريخ ناقص",IF(COUNTIFS(COA!$A:$A,$I18,COA!$R:$R,1)&lt;&gt;1,"الخزينة غير صالحة",IF(NOT(ISNUMBER($C18)),"المبلغ المعدود ناقص",IF(AND(ABS($M18)&gt;S_CashTol,$D18=""),"فرق بدون سبب",IF(AND(ABS($M18)&gt;S_CashTol,$E18=""),"فرق بدون مسؤول",IF(AND(ABS($M18)&gt;S_CashTol,$G18="",$F18&lt;&gt;"مقبول بموافقة الإدارة"),"فرق بدون سند تسوية",IF(AND($G18&lt;&gt;"",COUNTIF(Doc_Register!$A:$A,$G18)=0),"سند التسوية غير موجود",IF(AND($G18&lt;&gt;"",ABS($N18)&gt;S_CashTol),"الفرق لم يُسوَّ بالكامل (سند التسوية لا يطابق الفرق)","")))))))))</f>
        <v/>
      </c>
      <c r="P18" s="44">
        <f>IF($I18="","",IF(AND(ISNUMBER($M18),ABS($N18)&gt;S_CashTol),1,0))</f>
        <v/>
      </c>
    </row>
    <row r="19">
      <c r="A19" s="31" t="n"/>
      <c r="B19" s="39" t="n"/>
      <c r="C19" s="42" t="n"/>
      <c r="D19" s="29" t="n"/>
      <c r="E19" s="29" t="n"/>
      <c r="F19" s="29" t="n"/>
      <c r="G19" s="29" t="n"/>
      <c r="H19" s="29" t="n"/>
      <c r="I19" s="32">
        <f>IF($B19="","",IFERROR(INDEX(Treasuries!$E:$E,MATCH($B19,Treasuries!$A:$A,0)),"؟"))</f>
        <v/>
      </c>
      <c r="J19" s="43">
        <f>IF($I19="","",SUMIFS(GL_Journal!$S:$S,GL_Journal!$G:$G,$I19,GL_Journal!$D:$D,"&lt;="&amp;$A19)-SUMIFS(GL_Journal!$T:$T,GL_Journal!$G:$G,$I19,GL_Journal!$D:$D,"&lt;="&amp;$A19))</f>
        <v/>
      </c>
      <c r="K19" s="47">
        <f>IF($I19="","",IF($G19="",0,SUMIFS(GL_Journal!$S:$S,GL_Journal!$E:$E,$G19,GL_Journal!$G:$G,$I19)-SUMIFS(GL_Journal!$T:$T,GL_Journal!$E:$E,$G19,GL_Journal!$G:$G,$I19)))</f>
        <v/>
      </c>
      <c r="L19" s="43">
        <f>IF($I19="","",$J19-$K19)</f>
        <v/>
      </c>
      <c r="M19" s="47">
        <f>IF($I19="","",IF(ISNUMBER($C19),ROUND($C19-$L19,2),""))</f>
        <v/>
      </c>
      <c r="N19" s="47">
        <f>IF($I19="","",IF(ISNUMBER($C19),ROUND($C19-$J19,2),""))</f>
        <v/>
      </c>
      <c r="O19" s="32">
        <f>IF($I19="","",IF(NOT(ISNUMBER($A19)),"التاريخ ناقص",IF(COUNTIFS(COA!$A:$A,$I19,COA!$R:$R,1)&lt;&gt;1,"الخزينة غير صالحة",IF(NOT(ISNUMBER($C19)),"المبلغ المعدود ناقص",IF(AND(ABS($M19)&gt;S_CashTol,$D19=""),"فرق بدون سبب",IF(AND(ABS($M19)&gt;S_CashTol,$E19=""),"فرق بدون مسؤول",IF(AND(ABS($M19)&gt;S_CashTol,$G19="",$F19&lt;&gt;"مقبول بموافقة الإدارة"),"فرق بدون سند تسوية",IF(AND($G19&lt;&gt;"",COUNTIF(Doc_Register!$A:$A,$G19)=0),"سند التسوية غير موجود",IF(AND($G19&lt;&gt;"",ABS($N19)&gt;S_CashTol),"الفرق لم يُسوَّ بالكامل (سند التسوية لا يطابق الفرق)","")))))))))</f>
        <v/>
      </c>
      <c r="P19" s="44">
        <f>IF($I19="","",IF(AND(ISNUMBER($M19),ABS($N19)&gt;S_CashTol),1,0))</f>
        <v/>
      </c>
    </row>
    <row r="20">
      <c r="A20" s="31" t="n"/>
      <c r="B20" s="39" t="n"/>
      <c r="C20" s="42" t="n"/>
      <c r="D20" s="29" t="n"/>
      <c r="E20" s="29" t="n"/>
      <c r="F20" s="29" t="n"/>
      <c r="G20" s="29" t="n"/>
      <c r="H20" s="29" t="n"/>
      <c r="I20" s="32">
        <f>IF($B20="","",IFERROR(INDEX(Treasuries!$E:$E,MATCH($B20,Treasuries!$A:$A,0)),"؟"))</f>
        <v/>
      </c>
      <c r="J20" s="43">
        <f>IF($I20="","",SUMIFS(GL_Journal!$S:$S,GL_Journal!$G:$G,$I20,GL_Journal!$D:$D,"&lt;="&amp;$A20)-SUMIFS(GL_Journal!$T:$T,GL_Journal!$G:$G,$I20,GL_Journal!$D:$D,"&lt;="&amp;$A20))</f>
        <v/>
      </c>
      <c r="K20" s="47">
        <f>IF($I20="","",IF($G20="",0,SUMIFS(GL_Journal!$S:$S,GL_Journal!$E:$E,$G20,GL_Journal!$G:$G,$I20)-SUMIFS(GL_Journal!$T:$T,GL_Journal!$E:$E,$G20,GL_Journal!$G:$G,$I20)))</f>
        <v/>
      </c>
      <c r="L20" s="43">
        <f>IF($I20="","",$J20-$K20)</f>
        <v/>
      </c>
      <c r="M20" s="47">
        <f>IF($I20="","",IF(ISNUMBER($C20),ROUND($C20-$L20,2),""))</f>
        <v/>
      </c>
      <c r="N20" s="47">
        <f>IF($I20="","",IF(ISNUMBER($C20),ROUND($C20-$J20,2),""))</f>
        <v/>
      </c>
      <c r="O20" s="32">
        <f>IF($I20="","",IF(NOT(ISNUMBER($A20)),"التاريخ ناقص",IF(COUNTIFS(COA!$A:$A,$I20,COA!$R:$R,1)&lt;&gt;1,"الخزينة غير صالحة",IF(NOT(ISNUMBER($C20)),"المبلغ المعدود ناقص",IF(AND(ABS($M20)&gt;S_CashTol,$D20=""),"فرق بدون سبب",IF(AND(ABS($M20)&gt;S_CashTol,$E20=""),"فرق بدون مسؤول",IF(AND(ABS($M20)&gt;S_CashTol,$G20="",$F20&lt;&gt;"مقبول بموافقة الإدارة"),"فرق بدون سند تسوية",IF(AND($G20&lt;&gt;"",COUNTIF(Doc_Register!$A:$A,$G20)=0),"سند التسوية غير موجود",IF(AND($G20&lt;&gt;"",ABS($N20)&gt;S_CashTol),"الفرق لم يُسوَّ بالكامل (سند التسوية لا يطابق الفرق)","")))))))))</f>
        <v/>
      </c>
      <c r="P20" s="44">
        <f>IF($I20="","",IF(AND(ISNUMBER($M20),ABS($N20)&gt;S_CashTol),1,0))</f>
        <v/>
      </c>
    </row>
    <row r="21">
      <c r="A21" s="31" t="n"/>
      <c r="B21" s="39" t="n"/>
      <c r="C21" s="42" t="n"/>
      <c r="D21" s="29" t="n"/>
      <c r="E21" s="29" t="n"/>
      <c r="F21" s="29" t="n"/>
      <c r="G21" s="29" t="n"/>
      <c r="H21" s="29" t="n"/>
      <c r="I21" s="32">
        <f>IF($B21="","",IFERROR(INDEX(Treasuries!$E:$E,MATCH($B21,Treasuries!$A:$A,0)),"؟"))</f>
        <v/>
      </c>
      <c r="J21" s="43">
        <f>IF($I21="","",SUMIFS(GL_Journal!$S:$S,GL_Journal!$G:$G,$I21,GL_Journal!$D:$D,"&lt;="&amp;$A21)-SUMIFS(GL_Journal!$T:$T,GL_Journal!$G:$G,$I21,GL_Journal!$D:$D,"&lt;="&amp;$A21))</f>
        <v/>
      </c>
      <c r="K21" s="47">
        <f>IF($I21="","",IF($G21="",0,SUMIFS(GL_Journal!$S:$S,GL_Journal!$E:$E,$G21,GL_Journal!$G:$G,$I21)-SUMIFS(GL_Journal!$T:$T,GL_Journal!$E:$E,$G21,GL_Journal!$G:$G,$I21)))</f>
        <v/>
      </c>
      <c r="L21" s="43">
        <f>IF($I21="","",$J21-$K21)</f>
        <v/>
      </c>
      <c r="M21" s="47">
        <f>IF($I21="","",IF(ISNUMBER($C21),ROUND($C21-$L21,2),""))</f>
        <v/>
      </c>
      <c r="N21" s="47">
        <f>IF($I21="","",IF(ISNUMBER($C21),ROUND($C21-$J21,2),""))</f>
        <v/>
      </c>
      <c r="O21" s="32">
        <f>IF($I21="","",IF(NOT(ISNUMBER($A21)),"التاريخ ناقص",IF(COUNTIFS(COA!$A:$A,$I21,COA!$R:$R,1)&lt;&gt;1,"الخزينة غير صالحة",IF(NOT(ISNUMBER($C21)),"المبلغ المعدود ناقص",IF(AND(ABS($M21)&gt;S_CashTol,$D21=""),"فرق بدون سبب",IF(AND(ABS($M21)&gt;S_CashTol,$E21=""),"فرق بدون مسؤول",IF(AND(ABS($M21)&gt;S_CashTol,$G21="",$F21&lt;&gt;"مقبول بموافقة الإدارة"),"فرق بدون سند تسوية",IF(AND($G21&lt;&gt;"",COUNTIF(Doc_Register!$A:$A,$G21)=0),"سند التسوية غير موجود",IF(AND($G21&lt;&gt;"",ABS($N21)&gt;S_CashTol),"الفرق لم يُسوَّ بالكامل (سند التسوية لا يطابق الفرق)","")))))))))</f>
        <v/>
      </c>
      <c r="P21" s="44">
        <f>IF($I21="","",IF(AND(ISNUMBER($M21),ABS($N21)&gt;S_CashTol),1,0))</f>
        <v/>
      </c>
    </row>
    <row r="22">
      <c r="A22" s="31" t="n"/>
      <c r="B22" s="39" t="n"/>
      <c r="C22" s="42" t="n"/>
      <c r="D22" s="29" t="n"/>
      <c r="E22" s="29" t="n"/>
      <c r="F22" s="29" t="n"/>
      <c r="G22" s="29" t="n"/>
      <c r="H22" s="29" t="n"/>
      <c r="I22" s="32">
        <f>IF($B22="","",IFERROR(INDEX(Treasuries!$E:$E,MATCH($B22,Treasuries!$A:$A,0)),"؟"))</f>
        <v/>
      </c>
      <c r="J22" s="43">
        <f>IF($I22="","",SUMIFS(GL_Journal!$S:$S,GL_Journal!$G:$G,$I22,GL_Journal!$D:$D,"&lt;="&amp;$A22)-SUMIFS(GL_Journal!$T:$T,GL_Journal!$G:$G,$I22,GL_Journal!$D:$D,"&lt;="&amp;$A22))</f>
        <v/>
      </c>
      <c r="K22" s="47">
        <f>IF($I22="","",IF($G22="",0,SUMIFS(GL_Journal!$S:$S,GL_Journal!$E:$E,$G22,GL_Journal!$G:$G,$I22)-SUMIFS(GL_Journal!$T:$T,GL_Journal!$E:$E,$G22,GL_Journal!$G:$G,$I22)))</f>
        <v/>
      </c>
      <c r="L22" s="43">
        <f>IF($I22="","",$J22-$K22)</f>
        <v/>
      </c>
      <c r="M22" s="47">
        <f>IF($I22="","",IF(ISNUMBER($C22),ROUND($C22-$L22,2),""))</f>
        <v/>
      </c>
      <c r="N22" s="47">
        <f>IF($I22="","",IF(ISNUMBER($C22),ROUND($C22-$J22,2),""))</f>
        <v/>
      </c>
      <c r="O22" s="32">
        <f>IF($I22="","",IF(NOT(ISNUMBER($A22)),"التاريخ ناقص",IF(COUNTIFS(COA!$A:$A,$I22,COA!$R:$R,1)&lt;&gt;1,"الخزينة غير صالحة",IF(NOT(ISNUMBER($C22)),"المبلغ المعدود ناقص",IF(AND(ABS($M22)&gt;S_CashTol,$D22=""),"فرق بدون سبب",IF(AND(ABS($M22)&gt;S_CashTol,$E22=""),"فرق بدون مسؤول",IF(AND(ABS($M22)&gt;S_CashTol,$G22="",$F22&lt;&gt;"مقبول بموافقة الإدارة"),"فرق بدون سند تسوية",IF(AND($G22&lt;&gt;"",COUNTIF(Doc_Register!$A:$A,$G22)=0),"سند التسوية غير موجود",IF(AND($G22&lt;&gt;"",ABS($N22)&gt;S_CashTol),"الفرق لم يُسوَّ بالكامل (سند التسوية لا يطابق الفرق)","")))))))))</f>
        <v/>
      </c>
      <c r="P22" s="44">
        <f>IF($I22="","",IF(AND(ISNUMBER($M22),ABS($N22)&gt;S_CashTol),1,0))</f>
        <v/>
      </c>
    </row>
    <row r="23">
      <c r="A23" s="31" t="n"/>
      <c r="B23" s="39" t="n"/>
      <c r="C23" s="42" t="n"/>
      <c r="D23" s="29" t="n"/>
      <c r="E23" s="29" t="n"/>
      <c r="F23" s="29" t="n"/>
      <c r="G23" s="29" t="n"/>
      <c r="H23" s="29" t="n"/>
      <c r="I23" s="32">
        <f>IF($B23="","",IFERROR(INDEX(Treasuries!$E:$E,MATCH($B23,Treasuries!$A:$A,0)),"؟"))</f>
        <v/>
      </c>
      <c r="J23" s="43">
        <f>IF($I23="","",SUMIFS(GL_Journal!$S:$S,GL_Journal!$G:$G,$I23,GL_Journal!$D:$D,"&lt;="&amp;$A23)-SUMIFS(GL_Journal!$T:$T,GL_Journal!$G:$G,$I23,GL_Journal!$D:$D,"&lt;="&amp;$A23))</f>
        <v/>
      </c>
      <c r="K23" s="47">
        <f>IF($I23="","",IF($G23="",0,SUMIFS(GL_Journal!$S:$S,GL_Journal!$E:$E,$G23,GL_Journal!$G:$G,$I23)-SUMIFS(GL_Journal!$T:$T,GL_Journal!$E:$E,$G23,GL_Journal!$G:$G,$I23)))</f>
        <v/>
      </c>
      <c r="L23" s="43">
        <f>IF($I23="","",$J23-$K23)</f>
        <v/>
      </c>
      <c r="M23" s="47">
        <f>IF($I23="","",IF(ISNUMBER($C23),ROUND($C23-$L23,2),""))</f>
        <v/>
      </c>
      <c r="N23" s="47">
        <f>IF($I23="","",IF(ISNUMBER($C23),ROUND($C23-$J23,2),""))</f>
        <v/>
      </c>
      <c r="O23" s="32">
        <f>IF($I23="","",IF(NOT(ISNUMBER($A23)),"التاريخ ناقص",IF(COUNTIFS(COA!$A:$A,$I23,COA!$R:$R,1)&lt;&gt;1,"الخزينة غير صالحة",IF(NOT(ISNUMBER($C23)),"المبلغ المعدود ناقص",IF(AND(ABS($M23)&gt;S_CashTol,$D23=""),"فرق بدون سبب",IF(AND(ABS($M23)&gt;S_CashTol,$E23=""),"فرق بدون مسؤول",IF(AND(ABS($M23)&gt;S_CashTol,$G23="",$F23&lt;&gt;"مقبول بموافقة الإدارة"),"فرق بدون سند تسوية",IF(AND($G23&lt;&gt;"",COUNTIF(Doc_Register!$A:$A,$G23)=0),"سند التسوية غير موجود",IF(AND($G23&lt;&gt;"",ABS($N23)&gt;S_CashTol),"الفرق لم يُسوَّ بالكامل (سند التسوية لا يطابق الفرق)","")))))))))</f>
        <v/>
      </c>
      <c r="P23" s="44">
        <f>IF($I23="","",IF(AND(ISNUMBER($M23),ABS($N23)&gt;S_CashTol),1,0))</f>
        <v/>
      </c>
    </row>
    <row r="24">
      <c r="A24" s="31" t="n"/>
      <c r="B24" s="39" t="n"/>
      <c r="C24" s="42" t="n"/>
      <c r="D24" s="29" t="n"/>
      <c r="E24" s="29" t="n"/>
      <c r="F24" s="29" t="n"/>
      <c r="G24" s="29" t="n"/>
      <c r="H24" s="29" t="n"/>
      <c r="I24" s="32">
        <f>IF($B24="","",IFERROR(INDEX(Treasuries!$E:$E,MATCH($B24,Treasuries!$A:$A,0)),"؟"))</f>
        <v/>
      </c>
      <c r="J24" s="43">
        <f>IF($I24="","",SUMIFS(GL_Journal!$S:$S,GL_Journal!$G:$G,$I24,GL_Journal!$D:$D,"&lt;="&amp;$A24)-SUMIFS(GL_Journal!$T:$T,GL_Journal!$G:$G,$I24,GL_Journal!$D:$D,"&lt;="&amp;$A24))</f>
        <v/>
      </c>
      <c r="K24" s="47">
        <f>IF($I24="","",IF($G24="",0,SUMIFS(GL_Journal!$S:$S,GL_Journal!$E:$E,$G24,GL_Journal!$G:$G,$I24)-SUMIFS(GL_Journal!$T:$T,GL_Journal!$E:$E,$G24,GL_Journal!$G:$G,$I24)))</f>
        <v/>
      </c>
      <c r="L24" s="43">
        <f>IF($I24="","",$J24-$K24)</f>
        <v/>
      </c>
      <c r="M24" s="47">
        <f>IF($I24="","",IF(ISNUMBER($C24),ROUND($C24-$L24,2),""))</f>
        <v/>
      </c>
      <c r="N24" s="47">
        <f>IF($I24="","",IF(ISNUMBER($C24),ROUND($C24-$J24,2),""))</f>
        <v/>
      </c>
      <c r="O24" s="32">
        <f>IF($I24="","",IF(NOT(ISNUMBER($A24)),"التاريخ ناقص",IF(COUNTIFS(COA!$A:$A,$I24,COA!$R:$R,1)&lt;&gt;1,"الخزينة غير صالحة",IF(NOT(ISNUMBER($C24)),"المبلغ المعدود ناقص",IF(AND(ABS($M24)&gt;S_CashTol,$D24=""),"فرق بدون سبب",IF(AND(ABS($M24)&gt;S_CashTol,$E24=""),"فرق بدون مسؤول",IF(AND(ABS($M24)&gt;S_CashTol,$G24="",$F24&lt;&gt;"مقبول بموافقة الإدارة"),"فرق بدون سند تسوية",IF(AND($G24&lt;&gt;"",COUNTIF(Doc_Register!$A:$A,$G24)=0),"سند التسوية غير موجود",IF(AND($G24&lt;&gt;"",ABS($N24)&gt;S_CashTol),"الفرق لم يُسوَّ بالكامل (سند التسوية لا يطابق الفرق)","")))))))))</f>
        <v/>
      </c>
      <c r="P24" s="44">
        <f>IF($I24="","",IF(AND(ISNUMBER($M24),ABS($N24)&gt;S_CashTol),1,0))</f>
        <v/>
      </c>
    </row>
    <row r="25">
      <c r="A25" s="31" t="n"/>
      <c r="B25" s="39" t="n"/>
      <c r="C25" s="42" t="n"/>
      <c r="D25" s="29" t="n"/>
      <c r="E25" s="29" t="n"/>
      <c r="F25" s="29" t="n"/>
      <c r="G25" s="29" t="n"/>
      <c r="H25" s="29" t="n"/>
      <c r="I25" s="32">
        <f>IF($B25="","",IFERROR(INDEX(Treasuries!$E:$E,MATCH($B25,Treasuries!$A:$A,0)),"؟"))</f>
        <v/>
      </c>
      <c r="J25" s="43">
        <f>IF($I25="","",SUMIFS(GL_Journal!$S:$S,GL_Journal!$G:$G,$I25,GL_Journal!$D:$D,"&lt;="&amp;$A25)-SUMIFS(GL_Journal!$T:$T,GL_Journal!$G:$G,$I25,GL_Journal!$D:$D,"&lt;="&amp;$A25))</f>
        <v/>
      </c>
      <c r="K25" s="47">
        <f>IF($I25="","",IF($G25="",0,SUMIFS(GL_Journal!$S:$S,GL_Journal!$E:$E,$G25,GL_Journal!$G:$G,$I25)-SUMIFS(GL_Journal!$T:$T,GL_Journal!$E:$E,$G25,GL_Journal!$G:$G,$I25)))</f>
        <v/>
      </c>
      <c r="L25" s="43">
        <f>IF($I25="","",$J25-$K25)</f>
        <v/>
      </c>
      <c r="M25" s="47">
        <f>IF($I25="","",IF(ISNUMBER($C25),ROUND($C25-$L25,2),""))</f>
        <v/>
      </c>
      <c r="N25" s="47">
        <f>IF($I25="","",IF(ISNUMBER($C25),ROUND($C25-$J25,2),""))</f>
        <v/>
      </c>
      <c r="O25" s="32">
        <f>IF($I25="","",IF(NOT(ISNUMBER($A25)),"التاريخ ناقص",IF(COUNTIFS(COA!$A:$A,$I25,COA!$R:$R,1)&lt;&gt;1,"الخزينة غير صالحة",IF(NOT(ISNUMBER($C25)),"المبلغ المعدود ناقص",IF(AND(ABS($M25)&gt;S_CashTol,$D25=""),"فرق بدون سبب",IF(AND(ABS($M25)&gt;S_CashTol,$E25=""),"فرق بدون مسؤول",IF(AND(ABS($M25)&gt;S_CashTol,$G25="",$F25&lt;&gt;"مقبول بموافقة الإدارة"),"فرق بدون سند تسوية",IF(AND($G25&lt;&gt;"",COUNTIF(Doc_Register!$A:$A,$G25)=0),"سند التسوية غير موجود",IF(AND($G25&lt;&gt;"",ABS($N25)&gt;S_CashTol),"الفرق لم يُسوَّ بالكامل (سند التسوية لا يطابق الفرق)","")))))))))</f>
        <v/>
      </c>
      <c r="P25" s="44">
        <f>IF($I25="","",IF(AND(ISNUMBER($M25),ABS($N25)&gt;S_CashTol),1,0))</f>
        <v/>
      </c>
    </row>
    <row r="26">
      <c r="A26" s="31" t="n"/>
      <c r="B26" s="39" t="n"/>
      <c r="C26" s="42" t="n"/>
      <c r="D26" s="29" t="n"/>
      <c r="E26" s="29" t="n"/>
      <c r="F26" s="29" t="n"/>
      <c r="G26" s="29" t="n"/>
      <c r="H26" s="29" t="n"/>
      <c r="I26" s="32">
        <f>IF($B26="","",IFERROR(INDEX(Treasuries!$E:$E,MATCH($B26,Treasuries!$A:$A,0)),"؟"))</f>
        <v/>
      </c>
      <c r="J26" s="43">
        <f>IF($I26="","",SUMIFS(GL_Journal!$S:$S,GL_Journal!$G:$G,$I26,GL_Journal!$D:$D,"&lt;="&amp;$A26)-SUMIFS(GL_Journal!$T:$T,GL_Journal!$G:$G,$I26,GL_Journal!$D:$D,"&lt;="&amp;$A26))</f>
        <v/>
      </c>
      <c r="K26" s="47">
        <f>IF($I26="","",IF($G26="",0,SUMIFS(GL_Journal!$S:$S,GL_Journal!$E:$E,$G26,GL_Journal!$G:$G,$I26)-SUMIFS(GL_Journal!$T:$T,GL_Journal!$E:$E,$G26,GL_Journal!$G:$G,$I26)))</f>
        <v/>
      </c>
      <c r="L26" s="43">
        <f>IF($I26="","",$J26-$K26)</f>
        <v/>
      </c>
      <c r="M26" s="47">
        <f>IF($I26="","",IF(ISNUMBER($C26),ROUND($C26-$L26,2),""))</f>
        <v/>
      </c>
      <c r="N26" s="47">
        <f>IF($I26="","",IF(ISNUMBER($C26),ROUND($C26-$J26,2),""))</f>
        <v/>
      </c>
      <c r="O26" s="32">
        <f>IF($I26="","",IF(NOT(ISNUMBER($A26)),"التاريخ ناقص",IF(COUNTIFS(COA!$A:$A,$I26,COA!$R:$R,1)&lt;&gt;1,"الخزينة غير صالحة",IF(NOT(ISNUMBER($C26)),"المبلغ المعدود ناقص",IF(AND(ABS($M26)&gt;S_CashTol,$D26=""),"فرق بدون سبب",IF(AND(ABS($M26)&gt;S_CashTol,$E26=""),"فرق بدون مسؤول",IF(AND(ABS($M26)&gt;S_CashTol,$G26="",$F26&lt;&gt;"مقبول بموافقة الإدارة"),"فرق بدون سند تسوية",IF(AND($G26&lt;&gt;"",COUNTIF(Doc_Register!$A:$A,$G26)=0),"سند التسوية غير موجود",IF(AND($G26&lt;&gt;"",ABS($N26)&gt;S_CashTol),"الفرق لم يُسوَّ بالكامل (سند التسوية لا يطابق الفرق)","")))))))))</f>
        <v/>
      </c>
      <c r="P26" s="44">
        <f>IF($I26="","",IF(AND(ISNUMBER($M26),ABS($N26)&gt;S_CashTol),1,0))</f>
        <v/>
      </c>
    </row>
    <row r="27">
      <c r="A27" s="31" t="n"/>
      <c r="B27" s="39" t="n"/>
      <c r="C27" s="42" t="n"/>
      <c r="D27" s="29" t="n"/>
      <c r="E27" s="29" t="n"/>
      <c r="F27" s="29" t="n"/>
      <c r="G27" s="29" t="n"/>
      <c r="H27" s="29" t="n"/>
      <c r="I27" s="32">
        <f>IF($B27="","",IFERROR(INDEX(Treasuries!$E:$E,MATCH($B27,Treasuries!$A:$A,0)),"؟"))</f>
        <v/>
      </c>
      <c r="J27" s="43">
        <f>IF($I27="","",SUMIFS(GL_Journal!$S:$S,GL_Journal!$G:$G,$I27,GL_Journal!$D:$D,"&lt;="&amp;$A27)-SUMIFS(GL_Journal!$T:$T,GL_Journal!$G:$G,$I27,GL_Journal!$D:$D,"&lt;="&amp;$A27))</f>
        <v/>
      </c>
      <c r="K27" s="47">
        <f>IF($I27="","",IF($G27="",0,SUMIFS(GL_Journal!$S:$S,GL_Journal!$E:$E,$G27,GL_Journal!$G:$G,$I27)-SUMIFS(GL_Journal!$T:$T,GL_Journal!$E:$E,$G27,GL_Journal!$G:$G,$I27)))</f>
        <v/>
      </c>
      <c r="L27" s="43">
        <f>IF($I27="","",$J27-$K27)</f>
        <v/>
      </c>
      <c r="M27" s="47">
        <f>IF($I27="","",IF(ISNUMBER($C27),ROUND($C27-$L27,2),""))</f>
        <v/>
      </c>
      <c r="N27" s="47">
        <f>IF($I27="","",IF(ISNUMBER($C27),ROUND($C27-$J27,2),""))</f>
        <v/>
      </c>
      <c r="O27" s="32">
        <f>IF($I27="","",IF(NOT(ISNUMBER($A27)),"التاريخ ناقص",IF(COUNTIFS(COA!$A:$A,$I27,COA!$R:$R,1)&lt;&gt;1,"الخزينة غير صالحة",IF(NOT(ISNUMBER($C27)),"المبلغ المعدود ناقص",IF(AND(ABS($M27)&gt;S_CashTol,$D27=""),"فرق بدون سبب",IF(AND(ABS($M27)&gt;S_CashTol,$E27=""),"فرق بدون مسؤول",IF(AND(ABS($M27)&gt;S_CashTol,$G27="",$F27&lt;&gt;"مقبول بموافقة الإدارة"),"فرق بدون سند تسوية",IF(AND($G27&lt;&gt;"",COUNTIF(Doc_Register!$A:$A,$G27)=0),"سند التسوية غير موجود",IF(AND($G27&lt;&gt;"",ABS($N27)&gt;S_CashTol),"الفرق لم يُسوَّ بالكامل (سند التسوية لا يطابق الفرق)","")))))))))</f>
        <v/>
      </c>
      <c r="P27" s="44">
        <f>IF($I27="","",IF(AND(ISNUMBER($M27),ABS($N27)&gt;S_CashTol),1,0))</f>
        <v/>
      </c>
    </row>
    <row r="28">
      <c r="A28" s="31" t="n"/>
      <c r="B28" s="39" t="n"/>
      <c r="C28" s="42" t="n"/>
      <c r="D28" s="29" t="n"/>
      <c r="E28" s="29" t="n"/>
      <c r="F28" s="29" t="n"/>
      <c r="G28" s="29" t="n"/>
      <c r="H28" s="29" t="n"/>
      <c r="I28" s="32">
        <f>IF($B28="","",IFERROR(INDEX(Treasuries!$E:$E,MATCH($B28,Treasuries!$A:$A,0)),"؟"))</f>
        <v/>
      </c>
      <c r="J28" s="43">
        <f>IF($I28="","",SUMIFS(GL_Journal!$S:$S,GL_Journal!$G:$G,$I28,GL_Journal!$D:$D,"&lt;="&amp;$A28)-SUMIFS(GL_Journal!$T:$T,GL_Journal!$G:$G,$I28,GL_Journal!$D:$D,"&lt;="&amp;$A28))</f>
        <v/>
      </c>
      <c r="K28" s="47">
        <f>IF($I28="","",IF($G28="",0,SUMIFS(GL_Journal!$S:$S,GL_Journal!$E:$E,$G28,GL_Journal!$G:$G,$I28)-SUMIFS(GL_Journal!$T:$T,GL_Journal!$E:$E,$G28,GL_Journal!$G:$G,$I28)))</f>
        <v/>
      </c>
      <c r="L28" s="43">
        <f>IF($I28="","",$J28-$K28)</f>
        <v/>
      </c>
      <c r="M28" s="47">
        <f>IF($I28="","",IF(ISNUMBER($C28),ROUND($C28-$L28,2),""))</f>
        <v/>
      </c>
      <c r="N28" s="47">
        <f>IF($I28="","",IF(ISNUMBER($C28),ROUND($C28-$J28,2),""))</f>
        <v/>
      </c>
      <c r="O28" s="32">
        <f>IF($I28="","",IF(NOT(ISNUMBER($A28)),"التاريخ ناقص",IF(COUNTIFS(COA!$A:$A,$I28,COA!$R:$R,1)&lt;&gt;1,"الخزينة غير صالحة",IF(NOT(ISNUMBER($C28)),"المبلغ المعدود ناقص",IF(AND(ABS($M28)&gt;S_CashTol,$D28=""),"فرق بدون سبب",IF(AND(ABS($M28)&gt;S_CashTol,$E28=""),"فرق بدون مسؤول",IF(AND(ABS($M28)&gt;S_CashTol,$G28="",$F28&lt;&gt;"مقبول بموافقة الإدارة"),"فرق بدون سند تسوية",IF(AND($G28&lt;&gt;"",COUNTIF(Doc_Register!$A:$A,$G28)=0),"سند التسوية غير موجود",IF(AND($G28&lt;&gt;"",ABS($N28)&gt;S_CashTol),"الفرق لم يُسوَّ بالكامل (سند التسوية لا يطابق الفرق)","")))))))))</f>
        <v/>
      </c>
      <c r="P28" s="44">
        <f>IF($I28="","",IF(AND(ISNUMBER($M28),ABS($N28)&gt;S_CashTol),1,0))</f>
        <v/>
      </c>
    </row>
    <row r="29">
      <c r="A29" s="31" t="n"/>
      <c r="B29" s="39" t="n"/>
      <c r="C29" s="42" t="n"/>
      <c r="D29" s="29" t="n"/>
      <c r="E29" s="29" t="n"/>
      <c r="F29" s="29" t="n"/>
      <c r="G29" s="29" t="n"/>
      <c r="H29" s="29" t="n"/>
      <c r="I29" s="32">
        <f>IF($B29="","",IFERROR(INDEX(Treasuries!$E:$E,MATCH($B29,Treasuries!$A:$A,0)),"؟"))</f>
        <v/>
      </c>
      <c r="J29" s="43">
        <f>IF($I29="","",SUMIFS(GL_Journal!$S:$S,GL_Journal!$G:$G,$I29,GL_Journal!$D:$D,"&lt;="&amp;$A29)-SUMIFS(GL_Journal!$T:$T,GL_Journal!$G:$G,$I29,GL_Journal!$D:$D,"&lt;="&amp;$A29))</f>
        <v/>
      </c>
      <c r="K29" s="47">
        <f>IF($I29="","",IF($G29="",0,SUMIFS(GL_Journal!$S:$S,GL_Journal!$E:$E,$G29,GL_Journal!$G:$G,$I29)-SUMIFS(GL_Journal!$T:$T,GL_Journal!$E:$E,$G29,GL_Journal!$G:$G,$I29)))</f>
        <v/>
      </c>
      <c r="L29" s="43">
        <f>IF($I29="","",$J29-$K29)</f>
        <v/>
      </c>
      <c r="M29" s="47">
        <f>IF($I29="","",IF(ISNUMBER($C29),ROUND($C29-$L29,2),""))</f>
        <v/>
      </c>
      <c r="N29" s="47">
        <f>IF($I29="","",IF(ISNUMBER($C29),ROUND($C29-$J29,2),""))</f>
        <v/>
      </c>
      <c r="O29" s="32">
        <f>IF($I29="","",IF(NOT(ISNUMBER($A29)),"التاريخ ناقص",IF(COUNTIFS(COA!$A:$A,$I29,COA!$R:$R,1)&lt;&gt;1,"الخزينة غير صالحة",IF(NOT(ISNUMBER($C29)),"المبلغ المعدود ناقص",IF(AND(ABS($M29)&gt;S_CashTol,$D29=""),"فرق بدون سبب",IF(AND(ABS($M29)&gt;S_CashTol,$E29=""),"فرق بدون مسؤول",IF(AND(ABS($M29)&gt;S_CashTol,$G29="",$F29&lt;&gt;"مقبول بموافقة الإدارة"),"فرق بدون سند تسوية",IF(AND($G29&lt;&gt;"",COUNTIF(Doc_Register!$A:$A,$G29)=0),"سند التسوية غير موجود",IF(AND($G29&lt;&gt;"",ABS($N29)&gt;S_CashTol),"الفرق لم يُسوَّ بالكامل (سند التسوية لا يطابق الفرق)","")))))))))</f>
        <v/>
      </c>
      <c r="P29" s="44">
        <f>IF($I29="","",IF(AND(ISNUMBER($M29),ABS($N29)&gt;S_CashTol),1,0))</f>
        <v/>
      </c>
    </row>
    <row r="30">
      <c r="A30" s="31" t="n"/>
      <c r="B30" s="39" t="n"/>
      <c r="C30" s="42" t="n"/>
      <c r="D30" s="29" t="n"/>
      <c r="E30" s="29" t="n"/>
      <c r="F30" s="29" t="n"/>
      <c r="G30" s="29" t="n"/>
      <c r="H30" s="29" t="n"/>
      <c r="I30" s="32">
        <f>IF($B30="","",IFERROR(INDEX(Treasuries!$E:$E,MATCH($B30,Treasuries!$A:$A,0)),"؟"))</f>
        <v/>
      </c>
      <c r="J30" s="43">
        <f>IF($I30="","",SUMIFS(GL_Journal!$S:$S,GL_Journal!$G:$G,$I30,GL_Journal!$D:$D,"&lt;="&amp;$A30)-SUMIFS(GL_Journal!$T:$T,GL_Journal!$G:$G,$I30,GL_Journal!$D:$D,"&lt;="&amp;$A30))</f>
        <v/>
      </c>
      <c r="K30" s="47">
        <f>IF($I30="","",IF($G30="",0,SUMIFS(GL_Journal!$S:$S,GL_Journal!$E:$E,$G30,GL_Journal!$G:$G,$I30)-SUMIFS(GL_Journal!$T:$T,GL_Journal!$E:$E,$G30,GL_Journal!$G:$G,$I30)))</f>
        <v/>
      </c>
      <c r="L30" s="43">
        <f>IF($I30="","",$J30-$K30)</f>
        <v/>
      </c>
      <c r="M30" s="47">
        <f>IF($I30="","",IF(ISNUMBER($C30),ROUND($C30-$L30,2),""))</f>
        <v/>
      </c>
      <c r="N30" s="47">
        <f>IF($I30="","",IF(ISNUMBER($C30),ROUND($C30-$J30,2),""))</f>
        <v/>
      </c>
      <c r="O30" s="32">
        <f>IF($I30="","",IF(NOT(ISNUMBER($A30)),"التاريخ ناقص",IF(COUNTIFS(COA!$A:$A,$I30,COA!$R:$R,1)&lt;&gt;1,"الخزينة غير صالحة",IF(NOT(ISNUMBER($C30)),"المبلغ المعدود ناقص",IF(AND(ABS($M30)&gt;S_CashTol,$D30=""),"فرق بدون سبب",IF(AND(ABS($M30)&gt;S_CashTol,$E30=""),"فرق بدون مسؤول",IF(AND(ABS($M30)&gt;S_CashTol,$G30="",$F30&lt;&gt;"مقبول بموافقة الإدارة"),"فرق بدون سند تسوية",IF(AND($G30&lt;&gt;"",COUNTIF(Doc_Register!$A:$A,$G30)=0),"سند التسوية غير موجود",IF(AND($G30&lt;&gt;"",ABS($N30)&gt;S_CashTol),"الفرق لم يُسوَّ بالكامل (سند التسوية لا يطابق الفرق)","")))))))))</f>
        <v/>
      </c>
      <c r="P30" s="44">
        <f>IF($I30="","",IF(AND(ISNUMBER($M30),ABS($N30)&gt;S_CashTol),1,0))</f>
        <v/>
      </c>
    </row>
    <row r="31">
      <c r="A31" s="31" t="n"/>
      <c r="B31" s="39" t="n"/>
      <c r="C31" s="42" t="n"/>
      <c r="D31" s="29" t="n"/>
      <c r="E31" s="29" t="n"/>
      <c r="F31" s="29" t="n"/>
      <c r="G31" s="29" t="n"/>
      <c r="H31" s="29" t="n"/>
      <c r="I31" s="32">
        <f>IF($B31="","",IFERROR(INDEX(Treasuries!$E:$E,MATCH($B31,Treasuries!$A:$A,0)),"؟"))</f>
        <v/>
      </c>
      <c r="J31" s="43">
        <f>IF($I31="","",SUMIFS(GL_Journal!$S:$S,GL_Journal!$G:$G,$I31,GL_Journal!$D:$D,"&lt;="&amp;$A31)-SUMIFS(GL_Journal!$T:$T,GL_Journal!$G:$G,$I31,GL_Journal!$D:$D,"&lt;="&amp;$A31))</f>
        <v/>
      </c>
      <c r="K31" s="47">
        <f>IF($I31="","",IF($G31="",0,SUMIFS(GL_Journal!$S:$S,GL_Journal!$E:$E,$G31,GL_Journal!$G:$G,$I31)-SUMIFS(GL_Journal!$T:$T,GL_Journal!$E:$E,$G31,GL_Journal!$G:$G,$I31)))</f>
        <v/>
      </c>
      <c r="L31" s="43">
        <f>IF($I31="","",$J31-$K31)</f>
        <v/>
      </c>
      <c r="M31" s="47">
        <f>IF($I31="","",IF(ISNUMBER($C31),ROUND($C31-$L31,2),""))</f>
        <v/>
      </c>
      <c r="N31" s="47">
        <f>IF($I31="","",IF(ISNUMBER($C31),ROUND($C31-$J31,2),""))</f>
        <v/>
      </c>
      <c r="O31" s="32">
        <f>IF($I31="","",IF(NOT(ISNUMBER($A31)),"التاريخ ناقص",IF(COUNTIFS(COA!$A:$A,$I31,COA!$R:$R,1)&lt;&gt;1,"الخزينة غير صالحة",IF(NOT(ISNUMBER($C31)),"المبلغ المعدود ناقص",IF(AND(ABS($M31)&gt;S_CashTol,$D31=""),"فرق بدون سبب",IF(AND(ABS($M31)&gt;S_CashTol,$E31=""),"فرق بدون مسؤول",IF(AND(ABS($M31)&gt;S_CashTol,$G31="",$F31&lt;&gt;"مقبول بموافقة الإدارة"),"فرق بدون سند تسوية",IF(AND($G31&lt;&gt;"",COUNTIF(Doc_Register!$A:$A,$G31)=0),"سند التسوية غير موجود",IF(AND($G31&lt;&gt;"",ABS($N31)&gt;S_CashTol),"الفرق لم يُسوَّ بالكامل (سند التسوية لا يطابق الفرق)","")))))))))</f>
        <v/>
      </c>
      <c r="P31" s="44">
        <f>IF($I31="","",IF(AND(ISNUMBER($M31),ABS($N31)&gt;S_CashTol),1,0))</f>
        <v/>
      </c>
    </row>
    <row r="32">
      <c r="A32" s="31" t="n"/>
      <c r="B32" s="39" t="n"/>
      <c r="C32" s="42" t="n"/>
      <c r="D32" s="29" t="n"/>
      <c r="E32" s="29" t="n"/>
      <c r="F32" s="29" t="n"/>
      <c r="G32" s="29" t="n"/>
      <c r="H32" s="29" t="n"/>
      <c r="I32" s="32">
        <f>IF($B32="","",IFERROR(INDEX(Treasuries!$E:$E,MATCH($B32,Treasuries!$A:$A,0)),"؟"))</f>
        <v/>
      </c>
      <c r="J32" s="43">
        <f>IF($I32="","",SUMIFS(GL_Journal!$S:$S,GL_Journal!$G:$G,$I32,GL_Journal!$D:$D,"&lt;="&amp;$A32)-SUMIFS(GL_Journal!$T:$T,GL_Journal!$G:$G,$I32,GL_Journal!$D:$D,"&lt;="&amp;$A32))</f>
        <v/>
      </c>
      <c r="K32" s="47">
        <f>IF($I32="","",IF($G32="",0,SUMIFS(GL_Journal!$S:$S,GL_Journal!$E:$E,$G32,GL_Journal!$G:$G,$I32)-SUMIFS(GL_Journal!$T:$T,GL_Journal!$E:$E,$G32,GL_Journal!$G:$G,$I32)))</f>
        <v/>
      </c>
      <c r="L32" s="43">
        <f>IF($I32="","",$J32-$K32)</f>
        <v/>
      </c>
      <c r="M32" s="47">
        <f>IF($I32="","",IF(ISNUMBER($C32),ROUND($C32-$L32,2),""))</f>
        <v/>
      </c>
      <c r="N32" s="47">
        <f>IF($I32="","",IF(ISNUMBER($C32),ROUND($C32-$J32,2),""))</f>
        <v/>
      </c>
      <c r="O32" s="32">
        <f>IF($I32="","",IF(NOT(ISNUMBER($A32)),"التاريخ ناقص",IF(COUNTIFS(COA!$A:$A,$I32,COA!$R:$R,1)&lt;&gt;1,"الخزينة غير صالحة",IF(NOT(ISNUMBER($C32)),"المبلغ المعدود ناقص",IF(AND(ABS($M32)&gt;S_CashTol,$D32=""),"فرق بدون سبب",IF(AND(ABS($M32)&gt;S_CashTol,$E32=""),"فرق بدون مسؤول",IF(AND(ABS($M32)&gt;S_CashTol,$G32="",$F32&lt;&gt;"مقبول بموافقة الإدارة"),"فرق بدون سند تسوية",IF(AND($G32&lt;&gt;"",COUNTIF(Doc_Register!$A:$A,$G32)=0),"سند التسوية غير موجود",IF(AND($G32&lt;&gt;"",ABS($N32)&gt;S_CashTol),"الفرق لم يُسوَّ بالكامل (سند التسوية لا يطابق الفرق)","")))))))))</f>
        <v/>
      </c>
      <c r="P32" s="44">
        <f>IF($I32="","",IF(AND(ISNUMBER($M32),ABS($N32)&gt;S_CashTol),1,0))</f>
        <v/>
      </c>
    </row>
    <row r="33">
      <c r="A33" s="31" t="n"/>
      <c r="B33" s="39" t="n"/>
      <c r="C33" s="42" t="n"/>
      <c r="D33" s="29" t="n"/>
      <c r="E33" s="29" t="n"/>
      <c r="F33" s="29" t="n"/>
      <c r="G33" s="29" t="n"/>
      <c r="H33" s="29" t="n"/>
      <c r="I33" s="32">
        <f>IF($B33="","",IFERROR(INDEX(Treasuries!$E:$E,MATCH($B33,Treasuries!$A:$A,0)),"؟"))</f>
        <v/>
      </c>
      <c r="J33" s="43">
        <f>IF($I33="","",SUMIFS(GL_Journal!$S:$S,GL_Journal!$G:$G,$I33,GL_Journal!$D:$D,"&lt;="&amp;$A33)-SUMIFS(GL_Journal!$T:$T,GL_Journal!$G:$G,$I33,GL_Journal!$D:$D,"&lt;="&amp;$A33))</f>
        <v/>
      </c>
      <c r="K33" s="47">
        <f>IF($I33="","",IF($G33="",0,SUMIFS(GL_Journal!$S:$S,GL_Journal!$E:$E,$G33,GL_Journal!$G:$G,$I33)-SUMIFS(GL_Journal!$T:$T,GL_Journal!$E:$E,$G33,GL_Journal!$G:$G,$I33)))</f>
        <v/>
      </c>
      <c r="L33" s="43">
        <f>IF($I33="","",$J33-$K33)</f>
        <v/>
      </c>
      <c r="M33" s="47">
        <f>IF($I33="","",IF(ISNUMBER($C33),ROUND($C33-$L33,2),""))</f>
        <v/>
      </c>
      <c r="N33" s="47">
        <f>IF($I33="","",IF(ISNUMBER($C33),ROUND($C33-$J33,2),""))</f>
        <v/>
      </c>
      <c r="O33" s="32">
        <f>IF($I33="","",IF(NOT(ISNUMBER($A33)),"التاريخ ناقص",IF(COUNTIFS(COA!$A:$A,$I33,COA!$R:$R,1)&lt;&gt;1,"الخزينة غير صالحة",IF(NOT(ISNUMBER($C33)),"المبلغ المعدود ناقص",IF(AND(ABS($M33)&gt;S_CashTol,$D33=""),"فرق بدون سبب",IF(AND(ABS($M33)&gt;S_CashTol,$E33=""),"فرق بدون مسؤول",IF(AND(ABS($M33)&gt;S_CashTol,$G33="",$F33&lt;&gt;"مقبول بموافقة الإدارة"),"فرق بدون سند تسوية",IF(AND($G33&lt;&gt;"",COUNTIF(Doc_Register!$A:$A,$G33)=0),"سند التسوية غير موجود",IF(AND($G33&lt;&gt;"",ABS($N33)&gt;S_CashTol),"الفرق لم يُسوَّ بالكامل (سند التسوية لا يطابق الفرق)","")))))))))</f>
        <v/>
      </c>
      <c r="P33" s="44">
        <f>IF($I33="","",IF(AND(ISNUMBER($M33),ABS($N33)&gt;S_CashTol),1,0))</f>
        <v/>
      </c>
    </row>
    <row r="34">
      <c r="A34" s="31" t="n"/>
      <c r="B34" s="39" t="n"/>
      <c r="C34" s="42" t="n"/>
      <c r="D34" s="29" t="n"/>
      <c r="E34" s="29" t="n"/>
      <c r="F34" s="29" t="n"/>
      <c r="G34" s="29" t="n"/>
      <c r="H34" s="29" t="n"/>
      <c r="I34" s="32">
        <f>IF($B34="","",IFERROR(INDEX(Treasuries!$E:$E,MATCH($B34,Treasuries!$A:$A,0)),"؟"))</f>
        <v/>
      </c>
      <c r="J34" s="43">
        <f>IF($I34="","",SUMIFS(GL_Journal!$S:$S,GL_Journal!$G:$G,$I34,GL_Journal!$D:$D,"&lt;="&amp;$A34)-SUMIFS(GL_Journal!$T:$T,GL_Journal!$G:$G,$I34,GL_Journal!$D:$D,"&lt;="&amp;$A34))</f>
        <v/>
      </c>
      <c r="K34" s="47">
        <f>IF($I34="","",IF($G34="",0,SUMIFS(GL_Journal!$S:$S,GL_Journal!$E:$E,$G34,GL_Journal!$G:$G,$I34)-SUMIFS(GL_Journal!$T:$T,GL_Journal!$E:$E,$G34,GL_Journal!$G:$G,$I34)))</f>
        <v/>
      </c>
      <c r="L34" s="43">
        <f>IF($I34="","",$J34-$K34)</f>
        <v/>
      </c>
      <c r="M34" s="47">
        <f>IF($I34="","",IF(ISNUMBER($C34),ROUND($C34-$L34,2),""))</f>
        <v/>
      </c>
      <c r="N34" s="47">
        <f>IF($I34="","",IF(ISNUMBER($C34),ROUND($C34-$J34,2),""))</f>
        <v/>
      </c>
      <c r="O34" s="32">
        <f>IF($I34="","",IF(NOT(ISNUMBER($A34)),"التاريخ ناقص",IF(COUNTIFS(COA!$A:$A,$I34,COA!$R:$R,1)&lt;&gt;1,"الخزينة غير صالحة",IF(NOT(ISNUMBER($C34)),"المبلغ المعدود ناقص",IF(AND(ABS($M34)&gt;S_CashTol,$D34=""),"فرق بدون سبب",IF(AND(ABS($M34)&gt;S_CashTol,$E34=""),"فرق بدون مسؤول",IF(AND(ABS($M34)&gt;S_CashTol,$G34="",$F34&lt;&gt;"مقبول بموافقة الإدارة"),"فرق بدون سند تسوية",IF(AND($G34&lt;&gt;"",COUNTIF(Doc_Register!$A:$A,$G34)=0),"سند التسوية غير موجود",IF(AND($G34&lt;&gt;"",ABS($N34)&gt;S_CashTol),"الفرق لم يُسوَّ بالكامل (سند التسوية لا يطابق الفرق)","")))))))))</f>
        <v/>
      </c>
      <c r="P34" s="44">
        <f>IF($I34="","",IF(AND(ISNUMBER($M34),ABS($N34)&gt;S_CashTol),1,0))</f>
        <v/>
      </c>
    </row>
    <row r="35">
      <c r="A35" s="31" t="n"/>
      <c r="B35" s="39" t="n"/>
      <c r="C35" s="42" t="n"/>
      <c r="D35" s="29" t="n"/>
      <c r="E35" s="29" t="n"/>
      <c r="F35" s="29" t="n"/>
      <c r="G35" s="29" t="n"/>
      <c r="H35" s="29" t="n"/>
      <c r="I35" s="32">
        <f>IF($B35="","",IFERROR(INDEX(Treasuries!$E:$E,MATCH($B35,Treasuries!$A:$A,0)),"؟"))</f>
        <v/>
      </c>
      <c r="J35" s="43">
        <f>IF($I35="","",SUMIFS(GL_Journal!$S:$S,GL_Journal!$G:$G,$I35,GL_Journal!$D:$D,"&lt;="&amp;$A35)-SUMIFS(GL_Journal!$T:$T,GL_Journal!$G:$G,$I35,GL_Journal!$D:$D,"&lt;="&amp;$A35))</f>
        <v/>
      </c>
      <c r="K35" s="47">
        <f>IF($I35="","",IF($G35="",0,SUMIFS(GL_Journal!$S:$S,GL_Journal!$E:$E,$G35,GL_Journal!$G:$G,$I35)-SUMIFS(GL_Journal!$T:$T,GL_Journal!$E:$E,$G35,GL_Journal!$G:$G,$I35)))</f>
        <v/>
      </c>
      <c r="L35" s="43">
        <f>IF($I35="","",$J35-$K35)</f>
        <v/>
      </c>
      <c r="M35" s="47">
        <f>IF($I35="","",IF(ISNUMBER($C35),ROUND($C35-$L35,2),""))</f>
        <v/>
      </c>
      <c r="N35" s="47">
        <f>IF($I35="","",IF(ISNUMBER($C35),ROUND($C35-$J35,2),""))</f>
        <v/>
      </c>
      <c r="O35" s="32">
        <f>IF($I35="","",IF(NOT(ISNUMBER($A35)),"التاريخ ناقص",IF(COUNTIFS(COA!$A:$A,$I35,COA!$R:$R,1)&lt;&gt;1,"الخزينة غير صالحة",IF(NOT(ISNUMBER($C35)),"المبلغ المعدود ناقص",IF(AND(ABS($M35)&gt;S_CashTol,$D35=""),"فرق بدون سبب",IF(AND(ABS($M35)&gt;S_CashTol,$E35=""),"فرق بدون مسؤول",IF(AND(ABS($M35)&gt;S_CashTol,$G35="",$F35&lt;&gt;"مقبول بموافقة الإدارة"),"فرق بدون سند تسوية",IF(AND($G35&lt;&gt;"",COUNTIF(Doc_Register!$A:$A,$G35)=0),"سند التسوية غير موجود",IF(AND($G35&lt;&gt;"",ABS($N35)&gt;S_CashTol),"الفرق لم يُسوَّ بالكامل (سند التسوية لا يطابق الفرق)","")))))))))</f>
        <v/>
      </c>
      <c r="P35" s="44">
        <f>IF($I35="","",IF(AND(ISNUMBER($M35),ABS($N35)&gt;S_CashTol),1,0))</f>
        <v/>
      </c>
    </row>
    <row r="36">
      <c r="A36" s="31" t="n"/>
      <c r="B36" s="39" t="n"/>
      <c r="C36" s="42" t="n"/>
      <c r="D36" s="29" t="n"/>
      <c r="E36" s="29" t="n"/>
      <c r="F36" s="29" t="n"/>
      <c r="G36" s="29" t="n"/>
      <c r="H36" s="29" t="n"/>
      <c r="I36" s="32">
        <f>IF($B36="","",IFERROR(INDEX(Treasuries!$E:$E,MATCH($B36,Treasuries!$A:$A,0)),"؟"))</f>
        <v/>
      </c>
      <c r="J36" s="43">
        <f>IF($I36="","",SUMIFS(GL_Journal!$S:$S,GL_Journal!$G:$G,$I36,GL_Journal!$D:$D,"&lt;="&amp;$A36)-SUMIFS(GL_Journal!$T:$T,GL_Journal!$G:$G,$I36,GL_Journal!$D:$D,"&lt;="&amp;$A36))</f>
        <v/>
      </c>
      <c r="K36" s="47">
        <f>IF($I36="","",IF($G36="",0,SUMIFS(GL_Journal!$S:$S,GL_Journal!$E:$E,$G36,GL_Journal!$G:$G,$I36)-SUMIFS(GL_Journal!$T:$T,GL_Journal!$E:$E,$G36,GL_Journal!$G:$G,$I36)))</f>
        <v/>
      </c>
      <c r="L36" s="43">
        <f>IF($I36="","",$J36-$K36)</f>
        <v/>
      </c>
      <c r="M36" s="47">
        <f>IF($I36="","",IF(ISNUMBER($C36),ROUND($C36-$L36,2),""))</f>
        <v/>
      </c>
      <c r="N36" s="47">
        <f>IF($I36="","",IF(ISNUMBER($C36),ROUND($C36-$J36,2),""))</f>
        <v/>
      </c>
      <c r="O36" s="32">
        <f>IF($I36="","",IF(NOT(ISNUMBER($A36)),"التاريخ ناقص",IF(COUNTIFS(COA!$A:$A,$I36,COA!$R:$R,1)&lt;&gt;1,"الخزينة غير صالحة",IF(NOT(ISNUMBER($C36)),"المبلغ المعدود ناقص",IF(AND(ABS($M36)&gt;S_CashTol,$D36=""),"فرق بدون سبب",IF(AND(ABS($M36)&gt;S_CashTol,$E36=""),"فرق بدون مسؤول",IF(AND(ABS($M36)&gt;S_CashTol,$G36="",$F36&lt;&gt;"مقبول بموافقة الإدارة"),"فرق بدون سند تسوية",IF(AND($G36&lt;&gt;"",COUNTIF(Doc_Register!$A:$A,$G36)=0),"سند التسوية غير موجود",IF(AND($G36&lt;&gt;"",ABS($N36)&gt;S_CashTol),"الفرق لم يُسوَّ بالكامل (سند التسوية لا يطابق الفرق)","")))))))))</f>
        <v/>
      </c>
      <c r="P36" s="44">
        <f>IF($I36="","",IF(AND(ISNUMBER($M36),ABS($N36)&gt;S_CashTol),1,0))</f>
        <v/>
      </c>
    </row>
    <row r="37">
      <c r="A37" s="31" t="n"/>
      <c r="B37" s="39" t="n"/>
      <c r="C37" s="42" t="n"/>
      <c r="D37" s="29" t="n"/>
      <c r="E37" s="29" t="n"/>
      <c r="F37" s="29" t="n"/>
      <c r="G37" s="29" t="n"/>
      <c r="H37" s="29" t="n"/>
      <c r="I37" s="32">
        <f>IF($B37="","",IFERROR(INDEX(Treasuries!$E:$E,MATCH($B37,Treasuries!$A:$A,0)),"؟"))</f>
        <v/>
      </c>
      <c r="J37" s="43">
        <f>IF($I37="","",SUMIFS(GL_Journal!$S:$S,GL_Journal!$G:$G,$I37,GL_Journal!$D:$D,"&lt;="&amp;$A37)-SUMIFS(GL_Journal!$T:$T,GL_Journal!$G:$G,$I37,GL_Journal!$D:$D,"&lt;="&amp;$A37))</f>
        <v/>
      </c>
      <c r="K37" s="47">
        <f>IF($I37="","",IF($G37="",0,SUMIFS(GL_Journal!$S:$S,GL_Journal!$E:$E,$G37,GL_Journal!$G:$G,$I37)-SUMIFS(GL_Journal!$T:$T,GL_Journal!$E:$E,$G37,GL_Journal!$G:$G,$I37)))</f>
        <v/>
      </c>
      <c r="L37" s="43">
        <f>IF($I37="","",$J37-$K37)</f>
        <v/>
      </c>
      <c r="M37" s="47">
        <f>IF($I37="","",IF(ISNUMBER($C37),ROUND($C37-$L37,2),""))</f>
        <v/>
      </c>
      <c r="N37" s="47">
        <f>IF($I37="","",IF(ISNUMBER($C37),ROUND($C37-$J37,2),""))</f>
        <v/>
      </c>
      <c r="O37" s="32">
        <f>IF($I37="","",IF(NOT(ISNUMBER($A37)),"التاريخ ناقص",IF(COUNTIFS(COA!$A:$A,$I37,COA!$R:$R,1)&lt;&gt;1,"الخزينة غير صالحة",IF(NOT(ISNUMBER($C37)),"المبلغ المعدود ناقص",IF(AND(ABS($M37)&gt;S_CashTol,$D37=""),"فرق بدون سبب",IF(AND(ABS($M37)&gt;S_CashTol,$E37=""),"فرق بدون مسؤول",IF(AND(ABS($M37)&gt;S_CashTol,$G37="",$F37&lt;&gt;"مقبول بموافقة الإدارة"),"فرق بدون سند تسوية",IF(AND($G37&lt;&gt;"",COUNTIF(Doc_Register!$A:$A,$G37)=0),"سند التسوية غير موجود",IF(AND($G37&lt;&gt;"",ABS($N37)&gt;S_CashTol),"الفرق لم يُسوَّ بالكامل (سند التسوية لا يطابق الفرق)","")))))))))</f>
        <v/>
      </c>
      <c r="P37" s="44">
        <f>IF($I37="","",IF(AND(ISNUMBER($M37),ABS($N37)&gt;S_CashTol),1,0))</f>
        <v/>
      </c>
    </row>
    <row r="38">
      <c r="A38" s="31" t="n"/>
      <c r="B38" s="39" t="n"/>
      <c r="C38" s="42" t="n"/>
      <c r="D38" s="29" t="n"/>
      <c r="E38" s="29" t="n"/>
      <c r="F38" s="29" t="n"/>
      <c r="G38" s="29" t="n"/>
      <c r="H38" s="29" t="n"/>
      <c r="I38" s="32">
        <f>IF($B38="","",IFERROR(INDEX(Treasuries!$E:$E,MATCH($B38,Treasuries!$A:$A,0)),"؟"))</f>
        <v/>
      </c>
      <c r="J38" s="43">
        <f>IF($I38="","",SUMIFS(GL_Journal!$S:$S,GL_Journal!$G:$G,$I38,GL_Journal!$D:$D,"&lt;="&amp;$A38)-SUMIFS(GL_Journal!$T:$T,GL_Journal!$G:$G,$I38,GL_Journal!$D:$D,"&lt;="&amp;$A38))</f>
        <v/>
      </c>
      <c r="K38" s="47">
        <f>IF($I38="","",IF($G38="",0,SUMIFS(GL_Journal!$S:$S,GL_Journal!$E:$E,$G38,GL_Journal!$G:$G,$I38)-SUMIFS(GL_Journal!$T:$T,GL_Journal!$E:$E,$G38,GL_Journal!$G:$G,$I38)))</f>
        <v/>
      </c>
      <c r="L38" s="43">
        <f>IF($I38="","",$J38-$K38)</f>
        <v/>
      </c>
      <c r="M38" s="47">
        <f>IF($I38="","",IF(ISNUMBER($C38),ROUND($C38-$L38,2),""))</f>
        <v/>
      </c>
      <c r="N38" s="47">
        <f>IF($I38="","",IF(ISNUMBER($C38),ROUND($C38-$J38,2),""))</f>
        <v/>
      </c>
      <c r="O38" s="32">
        <f>IF($I38="","",IF(NOT(ISNUMBER($A38)),"التاريخ ناقص",IF(COUNTIFS(COA!$A:$A,$I38,COA!$R:$R,1)&lt;&gt;1,"الخزينة غير صالحة",IF(NOT(ISNUMBER($C38)),"المبلغ المعدود ناقص",IF(AND(ABS($M38)&gt;S_CashTol,$D38=""),"فرق بدون سبب",IF(AND(ABS($M38)&gt;S_CashTol,$E38=""),"فرق بدون مسؤول",IF(AND(ABS($M38)&gt;S_CashTol,$G38="",$F38&lt;&gt;"مقبول بموافقة الإدارة"),"فرق بدون سند تسوية",IF(AND($G38&lt;&gt;"",COUNTIF(Doc_Register!$A:$A,$G38)=0),"سند التسوية غير موجود",IF(AND($G38&lt;&gt;"",ABS($N38)&gt;S_CashTol),"الفرق لم يُسوَّ بالكامل (سند التسوية لا يطابق الفرق)","")))))))))</f>
        <v/>
      </c>
      <c r="P38" s="44">
        <f>IF($I38="","",IF(AND(ISNUMBER($M38),ABS($N38)&gt;S_CashTol),1,0))</f>
        <v/>
      </c>
    </row>
    <row r="39">
      <c r="A39" s="31" t="n"/>
      <c r="B39" s="39" t="n"/>
      <c r="C39" s="42" t="n"/>
      <c r="D39" s="29" t="n"/>
      <c r="E39" s="29" t="n"/>
      <c r="F39" s="29" t="n"/>
      <c r="G39" s="29" t="n"/>
      <c r="H39" s="29" t="n"/>
      <c r="I39" s="32">
        <f>IF($B39="","",IFERROR(INDEX(Treasuries!$E:$E,MATCH($B39,Treasuries!$A:$A,0)),"؟"))</f>
        <v/>
      </c>
      <c r="J39" s="43">
        <f>IF($I39="","",SUMIFS(GL_Journal!$S:$S,GL_Journal!$G:$G,$I39,GL_Journal!$D:$D,"&lt;="&amp;$A39)-SUMIFS(GL_Journal!$T:$T,GL_Journal!$G:$G,$I39,GL_Journal!$D:$D,"&lt;="&amp;$A39))</f>
        <v/>
      </c>
      <c r="K39" s="47">
        <f>IF($I39="","",IF($G39="",0,SUMIFS(GL_Journal!$S:$S,GL_Journal!$E:$E,$G39,GL_Journal!$G:$G,$I39)-SUMIFS(GL_Journal!$T:$T,GL_Journal!$E:$E,$G39,GL_Journal!$G:$G,$I39)))</f>
        <v/>
      </c>
      <c r="L39" s="43">
        <f>IF($I39="","",$J39-$K39)</f>
        <v/>
      </c>
      <c r="M39" s="47">
        <f>IF($I39="","",IF(ISNUMBER($C39),ROUND($C39-$L39,2),""))</f>
        <v/>
      </c>
      <c r="N39" s="47">
        <f>IF($I39="","",IF(ISNUMBER($C39),ROUND($C39-$J39,2),""))</f>
        <v/>
      </c>
      <c r="O39" s="32">
        <f>IF($I39="","",IF(NOT(ISNUMBER($A39)),"التاريخ ناقص",IF(COUNTIFS(COA!$A:$A,$I39,COA!$R:$R,1)&lt;&gt;1,"الخزينة غير صالحة",IF(NOT(ISNUMBER($C39)),"المبلغ المعدود ناقص",IF(AND(ABS($M39)&gt;S_CashTol,$D39=""),"فرق بدون سبب",IF(AND(ABS($M39)&gt;S_CashTol,$E39=""),"فرق بدون مسؤول",IF(AND(ABS($M39)&gt;S_CashTol,$G39="",$F39&lt;&gt;"مقبول بموافقة الإدارة"),"فرق بدون سند تسوية",IF(AND($G39&lt;&gt;"",COUNTIF(Doc_Register!$A:$A,$G39)=0),"سند التسوية غير موجود",IF(AND($G39&lt;&gt;"",ABS($N39)&gt;S_CashTol),"الفرق لم يُسوَّ بالكامل (سند التسوية لا يطابق الفرق)","")))))))))</f>
        <v/>
      </c>
      <c r="P39" s="44">
        <f>IF($I39="","",IF(AND(ISNUMBER($M39),ABS($N39)&gt;S_CashTol),1,0))</f>
        <v/>
      </c>
    </row>
    <row r="40">
      <c r="A40" s="31" t="n"/>
      <c r="B40" s="39" t="n"/>
      <c r="C40" s="42" t="n"/>
      <c r="D40" s="29" t="n"/>
      <c r="E40" s="29" t="n"/>
      <c r="F40" s="29" t="n"/>
      <c r="G40" s="29" t="n"/>
      <c r="H40" s="29" t="n"/>
      <c r="I40" s="32">
        <f>IF($B40="","",IFERROR(INDEX(Treasuries!$E:$E,MATCH($B40,Treasuries!$A:$A,0)),"؟"))</f>
        <v/>
      </c>
      <c r="J40" s="43">
        <f>IF($I40="","",SUMIFS(GL_Journal!$S:$S,GL_Journal!$G:$G,$I40,GL_Journal!$D:$D,"&lt;="&amp;$A40)-SUMIFS(GL_Journal!$T:$T,GL_Journal!$G:$G,$I40,GL_Journal!$D:$D,"&lt;="&amp;$A40))</f>
        <v/>
      </c>
      <c r="K40" s="47">
        <f>IF($I40="","",IF($G40="",0,SUMIFS(GL_Journal!$S:$S,GL_Journal!$E:$E,$G40,GL_Journal!$G:$G,$I40)-SUMIFS(GL_Journal!$T:$T,GL_Journal!$E:$E,$G40,GL_Journal!$G:$G,$I40)))</f>
        <v/>
      </c>
      <c r="L40" s="43">
        <f>IF($I40="","",$J40-$K40)</f>
        <v/>
      </c>
      <c r="M40" s="47">
        <f>IF($I40="","",IF(ISNUMBER($C40),ROUND($C40-$L40,2),""))</f>
        <v/>
      </c>
      <c r="N40" s="47">
        <f>IF($I40="","",IF(ISNUMBER($C40),ROUND($C40-$J40,2),""))</f>
        <v/>
      </c>
      <c r="O40" s="32">
        <f>IF($I40="","",IF(NOT(ISNUMBER($A40)),"التاريخ ناقص",IF(COUNTIFS(COA!$A:$A,$I40,COA!$R:$R,1)&lt;&gt;1,"الخزينة غير صالحة",IF(NOT(ISNUMBER($C40)),"المبلغ المعدود ناقص",IF(AND(ABS($M40)&gt;S_CashTol,$D40=""),"فرق بدون سبب",IF(AND(ABS($M40)&gt;S_CashTol,$E40=""),"فرق بدون مسؤول",IF(AND(ABS($M40)&gt;S_CashTol,$G40="",$F40&lt;&gt;"مقبول بموافقة الإدارة"),"فرق بدون سند تسوية",IF(AND($G40&lt;&gt;"",COUNTIF(Doc_Register!$A:$A,$G40)=0),"سند التسوية غير موجود",IF(AND($G40&lt;&gt;"",ABS($N40)&gt;S_CashTol),"الفرق لم يُسوَّ بالكامل (سند التسوية لا يطابق الفرق)","")))))))))</f>
        <v/>
      </c>
      <c r="P40" s="44">
        <f>IF($I40="","",IF(AND(ISNUMBER($M40),ABS($N40)&gt;S_CashTol),1,0))</f>
        <v/>
      </c>
    </row>
    <row r="41">
      <c r="A41" s="31" t="n"/>
      <c r="B41" s="39" t="n"/>
      <c r="C41" s="42" t="n"/>
      <c r="D41" s="29" t="n"/>
      <c r="E41" s="29" t="n"/>
      <c r="F41" s="29" t="n"/>
      <c r="G41" s="29" t="n"/>
      <c r="H41" s="29" t="n"/>
      <c r="I41" s="32">
        <f>IF($B41="","",IFERROR(INDEX(Treasuries!$E:$E,MATCH($B41,Treasuries!$A:$A,0)),"؟"))</f>
        <v/>
      </c>
      <c r="J41" s="43">
        <f>IF($I41="","",SUMIFS(GL_Journal!$S:$S,GL_Journal!$G:$G,$I41,GL_Journal!$D:$D,"&lt;="&amp;$A41)-SUMIFS(GL_Journal!$T:$T,GL_Journal!$G:$G,$I41,GL_Journal!$D:$D,"&lt;="&amp;$A41))</f>
        <v/>
      </c>
      <c r="K41" s="47">
        <f>IF($I41="","",IF($G41="",0,SUMIFS(GL_Journal!$S:$S,GL_Journal!$E:$E,$G41,GL_Journal!$G:$G,$I41)-SUMIFS(GL_Journal!$T:$T,GL_Journal!$E:$E,$G41,GL_Journal!$G:$G,$I41)))</f>
        <v/>
      </c>
      <c r="L41" s="43">
        <f>IF($I41="","",$J41-$K41)</f>
        <v/>
      </c>
      <c r="M41" s="47">
        <f>IF($I41="","",IF(ISNUMBER($C41),ROUND($C41-$L41,2),""))</f>
        <v/>
      </c>
      <c r="N41" s="47">
        <f>IF($I41="","",IF(ISNUMBER($C41),ROUND($C41-$J41,2),""))</f>
        <v/>
      </c>
      <c r="O41" s="32">
        <f>IF($I41="","",IF(NOT(ISNUMBER($A41)),"التاريخ ناقص",IF(COUNTIFS(COA!$A:$A,$I41,COA!$R:$R,1)&lt;&gt;1,"الخزينة غير صالحة",IF(NOT(ISNUMBER($C41)),"المبلغ المعدود ناقص",IF(AND(ABS($M41)&gt;S_CashTol,$D41=""),"فرق بدون سبب",IF(AND(ABS($M41)&gt;S_CashTol,$E41=""),"فرق بدون مسؤول",IF(AND(ABS($M41)&gt;S_CashTol,$G41="",$F41&lt;&gt;"مقبول بموافقة الإدارة"),"فرق بدون سند تسوية",IF(AND($G41&lt;&gt;"",COUNTIF(Doc_Register!$A:$A,$G41)=0),"سند التسوية غير موجود",IF(AND($G41&lt;&gt;"",ABS($N41)&gt;S_CashTol),"الفرق لم يُسوَّ بالكامل (سند التسوية لا يطابق الفرق)","")))))))))</f>
        <v/>
      </c>
      <c r="P41" s="44">
        <f>IF($I41="","",IF(AND(ISNUMBER($M41),ABS($N41)&gt;S_CashTol),1,0))</f>
        <v/>
      </c>
    </row>
    <row r="42">
      <c r="A42" s="31" t="n"/>
      <c r="B42" s="39" t="n"/>
      <c r="C42" s="42" t="n"/>
      <c r="D42" s="29" t="n"/>
      <c r="E42" s="29" t="n"/>
      <c r="F42" s="29" t="n"/>
      <c r="G42" s="29" t="n"/>
      <c r="H42" s="29" t="n"/>
      <c r="I42" s="32">
        <f>IF($B42="","",IFERROR(INDEX(Treasuries!$E:$E,MATCH($B42,Treasuries!$A:$A,0)),"؟"))</f>
        <v/>
      </c>
      <c r="J42" s="43">
        <f>IF($I42="","",SUMIFS(GL_Journal!$S:$S,GL_Journal!$G:$G,$I42,GL_Journal!$D:$D,"&lt;="&amp;$A42)-SUMIFS(GL_Journal!$T:$T,GL_Journal!$G:$G,$I42,GL_Journal!$D:$D,"&lt;="&amp;$A42))</f>
        <v/>
      </c>
      <c r="K42" s="47">
        <f>IF($I42="","",IF($G42="",0,SUMIFS(GL_Journal!$S:$S,GL_Journal!$E:$E,$G42,GL_Journal!$G:$G,$I42)-SUMIFS(GL_Journal!$T:$T,GL_Journal!$E:$E,$G42,GL_Journal!$G:$G,$I42)))</f>
        <v/>
      </c>
      <c r="L42" s="43">
        <f>IF($I42="","",$J42-$K42)</f>
        <v/>
      </c>
      <c r="M42" s="47">
        <f>IF($I42="","",IF(ISNUMBER($C42),ROUND($C42-$L42,2),""))</f>
        <v/>
      </c>
      <c r="N42" s="47">
        <f>IF($I42="","",IF(ISNUMBER($C42),ROUND($C42-$J42,2),""))</f>
        <v/>
      </c>
      <c r="O42" s="32">
        <f>IF($I42="","",IF(NOT(ISNUMBER($A42)),"التاريخ ناقص",IF(COUNTIFS(COA!$A:$A,$I42,COA!$R:$R,1)&lt;&gt;1,"الخزينة غير صالحة",IF(NOT(ISNUMBER($C42)),"المبلغ المعدود ناقص",IF(AND(ABS($M42)&gt;S_CashTol,$D42=""),"فرق بدون سبب",IF(AND(ABS($M42)&gt;S_CashTol,$E42=""),"فرق بدون مسؤول",IF(AND(ABS($M42)&gt;S_CashTol,$G42="",$F42&lt;&gt;"مقبول بموافقة الإدارة"),"فرق بدون سند تسوية",IF(AND($G42&lt;&gt;"",COUNTIF(Doc_Register!$A:$A,$G42)=0),"سند التسوية غير موجود",IF(AND($G42&lt;&gt;"",ABS($N42)&gt;S_CashTol),"الفرق لم يُسوَّ بالكامل (سند التسوية لا يطابق الفرق)","")))))))))</f>
        <v/>
      </c>
      <c r="P42" s="44">
        <f>IF($I42="","",IF(AND(ISNUMBER($M42),ABS($N42)&gt;S_CashTol),1,0))</f>
        <v/>
      </c>
    </row>
    <row r="43">
      <c r="A43" s="31" t="n"/>
      <c r="B43" s="39" t="n"/>
      <c r="C43" s="42" t="n"/>
      <c r="D43" s="29" t="n"/>
      <c r="E43" s="29" t="n"/>
      <c r="F43" s="29" t="n"/>
      <c r="G43" s="29" t="n"/>
      <c r="H43" s="29" t="n"/>
      <c r="I43" s="32">
        <f>IF($B43="","",IFERROR(INDEX(Treasuries!$E:$E,MATCH($B43,Treasuries!$A:$A,0)),"؟"))</f>
        <v/>
      </c>
      <c r="J43" s="43">
        <f>IF($I43="","",SUMIFS(GL_Journal!$S:$S,GL_Journal!$G:$G,$I43,GL_Journal!$D:$D,"&lt;="&amp;$A43)-SUMIFS(GL_Journal!$T:$T,GL_Journal!$G:$G,$I43,GL_Journal!$D:$D,"&lt;="&amp;$A43))</f>
        <v/>
      </c>
      <c r="K43" s="47">
        <f>IF($I43="","",IF($G43="",0,SUMIFS(GL_Journal!$S:$S,GL_Journal!$E:$E,$G43,GL_Journal!$G:$G,$I43)-SUMIFS(GL_Journal!$T:$T,GL_Journal!$E:$E,$G43,GL_Journal!$G:$G,$I43)))</f>
        <v/>
      </c>
      <c r="L43" s="43">
        <f>IF($I43="","",$J43-$K43)</f>
        <v/>
      </c>
      <c r="M43" s="47">
        <f>IF($I43="","",IF(ISNUMBER($C43),ROUND($C43-$L43,2),""))</f>
        <v/>
      </c>
      <c r="N43" s="47">
        <f>IF($I43="","",IF(ISNUMBER($C43),ROUND($C43-$J43,2),""))</f>
        <v/>
      </c>
      <c r="O43" s="32">
        <f>IF($I43="","",IF(NOT(ISNUMBER($A43)),"التاريخ ناقص",IF(COUNTIFS(COA!$A:$A,$I43,COA!$R:$R,1)&lt;&gt;1,"الخزينة غير صالحة",IF(NOT(ISNUMBER($C43)),"المبلغ المعدود ناقص",IF(AND(ABS($M43)&gt;S_CashTol,$D43=""),"فرق بدون سبب",IF(AND(ABS($M43)&gt;S_CashTol,$E43=""),"فرق بدون مسؤول",IF(AND(ABS($M43)&gt;S_CashTol,$G43="",$F43&lt;&gt;"مقبول بموافقة الإدارة"),"فرق بدون سند تسوية",IF(AND($G43&lt;&gt;"",COUNTIF(Doc_Register!$A:$A,$G43)=0),"سند التسوية غير موجود",IF(AND($G43&lt;&gt;"",ABS($N43)&gt;S_CashTol),"الفرق لم يُسوَّ بالكامل (سند التسوية لا يطابق الفرق)","")))))))))</f>
        <v/>
      </c>
      <c r="P43" s="44">
        <f>IF($I43="","",IF(AND(ISNUMBER($M43),ABS($N43)&gt;S_CashTol),1,0))</f>
        <v/>
      </c>
    </row>
    <row r="44">
      <c r="A44" s="31" t="n"/>
      <c r="B44" s="39" t="n"/>
      <c r="C44" s="42" t="n"/>
      <c r="D44" s="29" t="n"/>
      <c r="E44" s="29" t="n"/>
      <c r="F44" s="29" t="n"/>
      <c r="G44" s="29" t="n"/>
      <c r="H44" s="29" t="n"/>
      <c r="I44" s="32">
        <f>IF($B44="","",IFERROR(INDEX(Treasuries!$E:$E,MATCH($B44,Treasuries!$A:$A,0)),"؟"))</f>
        <v/>
      </c>
      <c r="J44" s="43">
        <f>IF($I44="","",SUMIFS(GL_Journal!$S:$S,GL_Journal!$G:$G,$I44,GL_Journal!$D:$D,"&lt;="&amp;$A44)-SUMIFS(GL_Journal!$T:$T,GL_Journal!$G:$G,$I44,GL_Journal!$D:$D,"&lt;="&amp;$A44))</f>
        <v/>
      </c>
      <c r="K44" s="47">
        <f>IF($I44="","",IF($G44="",0,SUMIFS(GL_Journal!$S:$S,GL_Journal!$E:$E,$G44,GL_Journal!$G:$G,$I44)-SUMIFS(GL_Journal!$T:$T,GL_Journal!$E:$E,$G44,GL_Journal!$G:$G,$I44)))</f>
        <v/>
      </c>
      <c r="L44" s="43">
        <f>IF($I44="","",$J44-$K44)</f>
        <v/>
      </c>
      <c r="M44" s="47">
        <f>IF($I44="","",IF(ISNUMBER($C44),ROUND($C44-$L44,2),""))</f>
        <v/>
      </c>
      <c r="N44" s="47">
        <f>IF($I44="","",IF(ISNUMBER($C44),ROUND($C44-$J44,2),""))</f>
        <v/>
      </c>
      <c r="O44" s="32">
        <f>IF($I44="","",IF(NOT(ISNUMBER($A44)),"التاريخ ناقص",IF(COUNTIFS(COA!$A:$A,$I44,COA!$R:$R,1)&lt;&gt;1,"الخزينة غير صالحة",IF(NOT(ISNUMBER($C44)),"المبلغ المعدود ناقص",IF(AND(ABS($M44)&gt;S_CashTol,$D44=""),"فرق بدون سبب",IF(AND(ABS($M44)&gt;S_CashTol,$E44=""),"فرق بدون مسؤول",IF(AND(ABS($M44)&gt;S_CashTol,$G44="",$F44&lt;&gt;"مقبول بموافقة الإدارة"),"فرق بدون سند تسوية",IF(AND($G44&lt;&gt;"",COUNTIF(Doc_Register!$A:$A,$G44)=0),"سند التسوية غير موجود",IF(AND($G44&lt;&gt;"",ABS($N44)&gt;S_CashTol),"الفرق لم يُسوَّ بالكامل (سند التسوية لا يطابق الفرق)","")))))))))</f>
        <v/>
      </c>
      <c r="P44" s="44">
        <f>IF($I44="","",IF(AND(ISNUMBER($M44),ABS($N44)&gt;S_CashTol),1,0))</f>
        <v/>
      </c>
    </row>
  </sheetData>
  <sheetProtection selectLockedCells="0" selectUnlockedCells="0" sheet="1" objects="0" insertRows="1" insertHyperlinks="1" autoFilter="0" scenarios="0" formatColumns="0" deleteColumns="1" insertColumns="1" pivotTables="1" deleteRows="1" formatCells="0" formatRows="0" sort="1"/>
  <autoFilter ref="A4:P44"/>
  <conditionalFormatting sqref="M5:M44">
    <cfRule type="expression" priority="1" dxfId="2">
      <formula>AND(ISNUMBER(M5),ABS(M5)&gt;0.005)</formula>
    </cfRule>
  </conditionalFormatting>
  <conditionalFormatting sqref="N5:N44">
    <cfRule type="expression" priority="2" dxfId="2">
      <formula>AND(ISNUMBER(N5),ABS(N5)&gt;0.005)</formula>
    </cfRule>
  </conditionalFormatting>
  <conditionalFormatting sqref="O5:O44">
    <cfRule type="expression" priority="3" dxfId="3">
      <formula>LEN(O5)&gt;0</formula>
    </cfRule>
  </conditionalFormatting>
  <dataValidations count="6">
    <dataValidation sqref="A5:A44" showDropDown="0" showInputMessage="0" showErrorMessage="1" allowBlank="1" errorTitle="تاريخ غير صحيح" error="أدخل تاريخًا صحيحًا." type="date" operator="greaterThan">
      <formula1>36526</formula1>
    </dataValidation>
    <dataValidation sqref="B5:B44" showDropDown="0" showInputMessage="0" showErrorMessage="1" allowBlank="1" errorTitle="قيمة غير مسموحة" error="اختر قيمة من القائمة المنسدلة." type="list">
      <formula1>=Treasuries!$A$5:$A$34</formula1>
    </dataValidation>
    <dataValidation sqref="C5:C4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D5:D44" showDropDown="0" showInputMessage="0" showErrorMessage="1" allowBlank="1" errorTitle="قيمة غير مسموحة" error="اختر قيمة من القائمة المنسدلة." type="list">
      <formula1>=Lists!$Y$5:$Y$13</formula1>
    </dataValidation>
    <dataValidation sqref="E5:E44" showDropDown="0" showInputMessage="0" showErrorMessage="1" allowBlank="1" errorTitle="قيمة غير مسموحة" error="اختر قيمة من القائمة المنسدلة." type="list">
      <formula1>=Users!$B$5:$B$44</formula1>
    </dataValidation>
    <dataValidation sqref="F5:F44" showDropDown="0" showInputMessage="0" showErrorMessage="1" allowBlank="1" errorTitle="قيمة غير مسموحة" error="اختر قيمة من القائمة المنسدلة." type="list">
      <formula1>=Lists!$AA$5:$AA$7</formula1>
    </dataValidation>
  </dataValidations>
  <pageMargins left="0.75" right="0.75" top="1" bottom="1" header="0.5" footer="0.5"/>
  <pageSetup orientation="landscape" fitToHeight="0" fitToWidth="1"/>
</worksheet>
</file>

<file path=xl/worksheets/sheet30.xml><?xml version="1.0" encoding="utf-8"?>
<worksheet xmlns="http://schemas.openxmlformats.org/spreadsheetml/2006/main">
  <sheetPr>
    <tabColor rgb="00BF8F00"/>
    <outlinePr summaryBelow="1" summaryRight="1"/>
    <pageSetUpPr fitToPage="1"/>
  </sheetPr>
  <dimension ref="A1:L38"/>
  <sheetViews>
    <sheetView rightToLeft="1" zoomScale="90" workbookViewId="0">
      <pane xSplit="1" ySplit="8" topLeftCell="B9" activePane="bottomRight" state="frozen"/>
      <selection pane="topRight"/>
      <selection pane="bottomLeft"/>
      <selection pane="bottomRight" activeCell="A1" sqref="A1"/>
    </sheetView>
  </sheetViews>
  <sheetFormatPr baseColWidth="8" defaultRowHeight="15"/>
  <cols>
    <col width="22" customWidth="1" min="1" max="1"/>
    <col width="32" customWidth="1" min="2" max="2"/>
    <col width="11" customWidth="1" min="3" max="3"/>
    <col width="26" customWidth="1" min="4" max="4"/>
    <col width="17" customWidth="1" min="5" max="5"/>
    <col width="15" customWidth="1" min="6" max="6"/>
    <col width="15" customWidth="1" min="7" max="7"/>
    <col width="15" customWidth="1" min="8" max="8"/>
    <col width="15" customWidth="1" min="9" max="9"/>
    <col width="15" customWidth="1" min="10" max="10"/>
    <col width="15" customWidth="1" min="11" max="11"/>
    <col width="24" customWidth="1" min="12" max="12"/>
  </cols>
  <sheetData>
    <row r="1" ht="26" customHeight="1">
      <c r="A1" s="22" t="inlineStr">
        <is>
          <t>أرصدة الخزائن والبنوك وحركة النقدية (Cash &amp; Bank Balances)</t>
        </is>
      </c>
      <c r="B1" s="1" t="n"/>
      <c r="C1" s="1" t="n"/>
      <c r="D1" s="1" t="n"/>
      <c r="E1" s="1" t="n"/>
      <c r="F1" s="1" t="n"/>
      <c r="G1" s="1" t="n"/>
      <c r="H1" s="1" t="n"/>
      <c r="I1" s="1" t="n"/>
      <c r="J1" s="1" t="n"/>
      <c r="K1" s="1" t="n"/>
      <c r="L1" s="1" t="n"/>
    </row>
    <row r="2">
      <c r="A2" s="35" t="inlineStr">
        <is>
          <t>رصيد كل خزينة = الرصيد الافتتاحي + المقبوضات - المدفوعات (من الأستاذ العام). العمود الأخير يعرض حركة يوم محدد.</t>
        </is>
      </c>
    </row>
    <row r="3">
      <c r="A3" s="36" t="inlineStr">
        <is>
          <t>خلايا الإدخال</t>
        </is>
      </c>
      <c r="B3" s="37" t="inlineStr">
        <is>
          <t>معادلات (لا تعدّل)</t>
        </is>
      </c>
    </row>
    <row r="4">
      <c r="A4" s="53" t="inlineStr">
        <is>
          <t>من تاريخ</t>
        </is>
      </c>
      <c r="B4" s="31">
        <f>S_From</f>
        <v/>
      </c>
      <c r="D4" s="53" t="inlineStr">
        <is>
          <t>إجمالي النقدية والبنوك</t>
        </is>
      </c>
      <c r="E4" s="47">
        <f>SUM(Treasury_Balances!$I$9:$I$38)</f>
        <v/>
      </c>
    </row>
    <row r="5">
      <c r="A5" s="53" t="inlineStr">
        <is>
          <t>إلى تاريخ</t>
        </is>
      </c>
      <c r="B5" s="31">
        <f>S_To</f>
        <v/>
      </c>
      <c r="D5" s="53" t="inlineStr">
        <is>
          <t>عدد خزائن برصيد سالب</t>
        </is>
      </c>
      <c r="E5" s="32">
        <f>COUNTIFS(Treasury_Balances!$I$9:$I$38,"&lt;0")</f>
        <v/>
      </c>
    </row>
    <row r="6">
      <c r="A6" s="53" t="inlineStr">
        <is>
          <t>يوم الحركة اليومية</t>
        </is>
      </c>
      <c r="B6" s="31">
        <f>S_To</f>
        <v/>
      </c>
    </row>
    <row r="8" ht="34" customHeight="1">
      <c r="A8" s="38" t="inlineStr">
        <is>
          <t>الخزينة/البنك</t>
        </is>
      </c>
      <c r="B8" s="38" t="inlineStr">
        <is>
          <t>الاسم</t>
        </is>
      </c>
      <c r="C8" s="38" t="inlineStr">
        <is>
          <t>النوع</t>
        </is>
      </c>
      <c r="D8" s="38" t="inlineStr">
        <is>
          <t>الموقع</t>
        </is>
      </c>
      <c r="E8" s="38" t="inlineStr">
        <is>
          <t>الحساب</t>
        </is>
      </c>
      <c r="F8" s="38" t="inlineStr">
        <is>
          <t>الرصيد الافتتاحي</t>
        </is>
      </c>
      <c r="G8" s="38" t="inlineStr">
        <is>
          <t>المقبوضات</t>
        </is>
      </c>
      <c r="H8" s="38" t="inlineStr">
        <is>
          <t>المدفوعات</t>
        </is>
      </c>
      <c r="I8" s="38" t="inlineStr">
        <is>
          <t>الرصيد الختامي</t>
        </is>
      </c>
      <c r="J8" s="38" t="inlineStr">
        <is>
          <t>مقبوضات اليوم المحدد</t>
        </is>
      </c>
      <c r="K8" s="38" t="inlineStr">
        <is>
          <t>مدفوعات اليوم المحدد</t>
        </is>
      </c>
      <c r="L8" s="38" t="inlineStr">
        <is>
          <t>تنبيه</t>
        </is>
      </c>
    </row>
    <row r="9">
      <c r="A9" s="44">
        <f>IF(INDEX(Treasuries!$A:$A,ROW()-4)="","",INDEX(Treasuries!$A:$A,ROW()-4))</f>
        <v/>
      </c>
      <c r="B9" s="32">
        <f>IF($A9="","",INDEX(Treasuries!$B:$B,ROW()-4))</f>
        <v/>
      </c>
      <c r="C9" s="32">
        <f>IF($A9="","",INDEX(Treasuries!$C:$C,ROW()-4))</f>
        <v/>
      </c>
      <c r="D9" s="44">
        <f>IF($A9="","",INDEX(Treasuries!$D:$D,ROW()-4))</f>
        <v/>
      </c>
      <c r="E9" s="44">
        <f>IF($A9="","",INDEX(Treasuries!$E:$E,ROW()-4))</f>
        <v/>
      </c>
      <c r="F9" s="47">
        <f>IF($A9="","",(SUMIFS(GL_Journal!$S:$S,GL_Journal!$G:$G,$E9,GL_Journal!$D:$D,"&lt;"&amp;TR_From)-SUMIFS(GL_Journal!$T:$T,GL_Journal!$G:$G,$E9,GL_Journal!$D:$D,"&lt;"&amp;TR_From)))</f>
        <v/>
      </c>
      <c r="G9" s="43">
        <f>IF($A9="","",SUMIFS(GL_Journal!$S:$S,GL_Journal!$G:$G,$E9,GL_Journal!$D:$D,"&gt;="&amp;TR_From,GL_Journal!$D:$D,"&lt;="&amp;TR_To))</f>
        <v/>
      </c>
      <c r="H9" s="43">
        <f>IF($A9="","",SUMIFS(GL_Journal!$T:$T,GL_Journal!$G:$G,$E9,GL_Journal!$D:$D,"&gt;="&amp;TR_From,GL_Journal!$D:$D,"&lt;="&amp;TR_To))</f>
        <v/>
      </c>
      <c r="I9" s="47">
        <f>IF($A9="","",$F9+$G9-$H9)</f>
        <v/>
      </c>
      <c r="J9" s="43">
        <f>IF($A9="","",SUMIFS(GL_Journal!$S:$S,GL_Journal!$G:$G,$E9,GL_Journal!$D:$D,TR_Day))</f>
        <v/>
      </c>
      <c r="K9" s="43">
        <f>IF($A9="","",SUMIFS(GL_Journal!$T:$T,GL_Journal!$G:$G,$E9,GL_Journal!$D:$D,TR_Day))</f>
        <v/>
      </c>
      <c r="L9" s="32">
        <f>IF($A9="","",IF($I9&lt;-S_Tol,"رصيد سالب - تحقق من المستندات",""))</f>
        <v/>
      </c>
    </row>
    <row r="10">
      <c r="A10" s="44">
        <f>IF(INDEX(Treasuries!$A:$A,ROW()-4)="","",INDEX(Treasuries!$A:$A,ROW()-4))</f>
        <v/>
      </c>
      <c r="B10" s="32">
        <f>IF($A10="","",INDEX(Treasuries!$B:$B,ROW()-4))</f>
        <v/>
      </c>
      <c r="C10" s="32">
        <f>IF($A10="","",INDEX(Treasuries!$C:$C,ROW()-4))</f>
        <v/>
      </c>
      <c r="D10" s="44">
        <f>IF($A10="","",INDEX(Treasuries!$D:$D,ROW()-4))</f>
        <v/>
      </c>
      <c r="E10" s="44">
        <f>IF($A10="","",INDEX(Treasuries!$E:$E,ROW()-4))</f>
        <v/>
      </c>
      <c r="F10" s="47">
        <f>IF($A10="","",(SUMIFS(GL_Journal!$S:$S,GL_Journal!$G:$G,$E10,GL_Journal!$D:$D,"&lt;"&amp;TR_From)-SUMIFS(GL_Journal!$T:$T,GL_Journal!$G:$G,$E10,GL_Journal!$D:$D,"&lt;"&amp;TR_From)))</f>
        <v/>
      </c>
      <c r="G10" s="43">
        <f>IF($A10="","",SUMIFS(GL_Journal!$S:$S,GL_Journal!$G:$G,$E10,GL_Journal!$D:$D,"&gt;="&amp;TR_From,GL_Journal!$D:$D,"&lt;="&amp;TR_To))</f>
        <v/>
      </c>
      <c r="H10" s="43">
        <f>IF($A10="","",SUMIFS(GL_Journal!$T:$T,GL_Journal!$G:$G,$E10,GL_Journal!$D:$D,"&gt;="&amp;TR_From,GL_Journal!$D:$D,"&lt;="&amp;TR_To))</f>
        <v/>
      </c>
      <c r="I10" s="47">
        <f>IF($A10="","",$F10+$G10-$H10)</f>
        <v/>
      </c>
      <c r="J10" s="43">
        <f>IF($A10="","",SUMIFS(GL_Journal!$S:$S,GL_Journal!$G:$G,$E10,GL_Journal!$D:$D,TR_Day))</f>
        <v/>
      </c>
      <c r="K10" s="43">
        <f>IF($A10="","",SUMIFS(GL_Journal!$T:$T,GL_Journal!$G:$G,$E10,GL_Journal!$D:$D,TR_Day))</f>
        <v/>
      </c>
      <c r="L10" s="32">
        <f>IF($A10="","",IF($I10&lt;-S_Tol,"رصيد سالب - تحقق من المستندات",""))</f>
        <v/>
      </c>
    </row>
    <row r="11">
      <c r="A11" s="44">
        <f>IF(INDEX(Treasuries!$A:$A,ROW()-4)="","",INDEX(Treasuries!$A:$A,ROW()-4))</f>
        <v/>
      </c>
      <c r="B11" s="32">
        <f>IF($A11="","",INDEX(Treasuries!$B:$B,ROW()-4))</f>
        <v/>
      </c>
      <c r="C11" s="32">
        <f>IF($A11="","",INDEX(Treasuries!$C:$C,ROW()-4))</f>
        <v/>
      </c>
      <c r="D11" s="44">
        <f>IF($A11="","",INDEX(Treasuries!$D:$D,ROW()-4))</f>
        <v/>
      </c>
      <c r="E11" s="44">
        <f>IF($A11="","",INDEX(Treasuries!$E:$E,ROW()-4))</f>
        <v/>
      </c>
      <c r="F11" s="47">
        <f>IF($A11="","",(SUMIFS(GL_Journal!$S:$S,GL_Journal!$G:$G,$E11,GL_Journal!$D:$D,"&lt;"&amp;TR_From)-SUMIFS(GL_Journal!$T:$T,GL_Journal!$G:$G,$E11,GL_Journal!$D:$D,"&lt;"&amp;TR_From)))</f>
        <v/>
      </c>
      <c r="G11" s="43">
        <f>IF($A11="","",SUMIFS(GL_Journal!$S:$S,GL_Journal!$G:$G,$E11,GL_Journal!$D:$D,"&gt;="&amp;TR_From,GL_Journal!$D:$D,"&lt;="&amp;TR_To))</f>
        <v/>
      </c>
      <c r="H11" s="43">
        <f>IF($A11="","",SUMIFS(GL_Journal!$T:$T,GL_Journal!$G:$G,$E11,GL_Journal!$D:$D,"&gt;="&amp;TR_From,GL_Journal!$D:$D,"&lt;="&amp;TR_To))</f>
        <v/>
      </c>
      <c r="I11" s="47">
        <f>IF($A11="","",$F11+$G11-$H11)</f>
        <v/>
      </c>
      <c r="J11" s="43">
        <f>IF($A11="","",SUMIFS(GL_Journal!$S:$S,GL_Journal!$G:$G,$E11,GL_Journal!$D:$D,TR_Day))</f>
        <v/>
      </c>
      <c r="K11" s="43">
        <f>IF($A11="","",SUMIFS(GL_Journal!$T:$T,GL_Journal!$G:$G,$E11,GL_Journal!$D:$D,TR_Day))</f>
        <v/>
      </c>
      <c r="L11" s="32">
        <f>IF($A11="","",IF($I11&lt;-S_Tol,"رصيد سالب - تحقق من المستندات",""))</f>
        <v/>
      </c>
    </row>
    <row r="12">
      <c r="A12" s="44">
        <f>IF(INDEX(Treasuries!$A:$A,ROW()-4)="","",INDEX(Treasuries!$A:$A,ROW()-4))</f>
        <v/>
      </c>
      <c r="B12" s="32">
        <f>IF($A12="","",INDEX(Treasuries!$B:$B,ROW()-4))</f>
        <v/>
      </c>
      <c r="C12" s="32">
        <f>IF($A12="","",INDEX(Treasuries!$C:$C,ROW()-4))</f>
        <v/>
      </c>
      <c r="D12" s="44">
        <f>IF($A12="","",INDEX(Treasuries!$D:$D,ROW()-4))</f>
        <v/>
      </c>
      <c r="E12" s="44">
        <f>IF($A12="","",INDEX(Treasuries!$E:$E,ROW()-4))</f>
        <v/>
      </c>
      <c r="F12" s="47">
        <f>IF($A12="","",(SUMIFS(GL_Journal!$S:$S,GL_Journal!$G:$G,$E12,GL_Journal!$D:$D,"&lt;"&amp;TR_From)-SUMIFS(GL_Journal!$T:$T,GL_Journal!$G:$G,$E12,GL_Journal!$D:$D,"&lt;"&amp;TR_From)))</f>
        <v/>
      </c>
      <c r="G12" s="43">
        <f>IF($A12="","",SUMIFS(GL_Journal!$S:$S,GL_Journal!$G:$G,$E12,GL_Journal!$D:$D,"&gt;="&amp;TR_From,GL_Journal!$D:$D,"&lt;="&amp;TR_To))</f>
        <v/>
      </c>
      <c r="H12" s="43">
        <f>IF($A12="","",SUMIFS(GL_Journal!$T:$T,GL_Journal!$G:$G,$E12,GL_Journal!$D:$D,"&gt;="&amp;TR_From,GL_Journal!$D:$D,"&lt;="&amp;TR_To))</f>
        <v/>
      </c>
      <c r="I12" s="47">
        <f>IF($A12="","",$F12+$G12-$H12)</f>
        <v/>
      </c>
      <c r="J12" s="43">
        <f>IF($A12="","",SUMIFS(GL_Journal!$S:$S,GL_Journal!$G:$G,$E12,GL_Journal!$D:$D,TR_Day))</f>
        <v/>
      </c>
      <c r="K12" s="43">
        <f>IF($A12="","",SUMIFS(GL_Journal!$T:$T,GL_Journal!$G:$G,$E12,GL_Journal!$D:$D,TR_Day))</f>
        <v/>
      </c>
      <c r="L12" s="32">
        <f>IF($A12="","",IF($I12&lt;-S_Tol,"رصيد سالب - تحقق من المستندات",""))</f>
        <v/>
      </c>
    </row>
    <row r="13">
      <c r="A13" s="44">
        <f>IF(INDEX(Treasuries!$A:$A,ROW()-4)="","",INDEX(Treasuries!$A:$A,ROW()-4))</f>
        <v/>
      </c>
      <c r="B13" s="32">
        <f>IF($A13="","",INDEX(Treasuries!$B:$B,ROW()-4))</f>
        <v/>
      </c>
      <c r="C13" s="32">
        <f>IF($A13="","",INDEX(Treasuries!$C:$C,ROW()-4))</f>
        <v/>
      </c>
      <c r="D13" s="44">
        <f>IF($A13="","",INDEX(Treasuries!$D:$D,ROW()-4))</f>
        <v/>
      </c>
      <c r="E13" s="44">
        <f>IF($A13="","",INDEX(Treasuries!$E:$E,ROW()-4))</f>
        <v/>
      </c>
      <c r="F13" s="47">
        <f>IF($A13="","",(SUMIFS(GL_Journal!$S:$S,GL_Journal!$G:$G,$E13,GL_Journal!$D:$D,"&lt;"&amp;TR_From)-SUMIFS(GL_Journal!$T:$T,GL_Journal!$G:$G,$E13,GL_Journal!$D:$D,"&lt;"&amp;TR_From)))</f>
        <v/>
      </c>
      <c r="G13" s="43">
        <f>IF($A13="","",SUMIFS(GL_Journal!$S:$S,GL_Journal!$G:$G,$E13,GL_Journal!$D:$D,"&gt;="&amp;TR_From,GL_Journal!$D:$D,"&lt;="&amp;TR_To))</f>
        <v/>
      </c>
      <c r="H13" s="43">
        <f>IF($A13="","",SUMIFS(GL_Journal!$T:$T,GL_Journal!$G:$G,$E13,GL_Journal!$D:$D,"&gt;="&amp;TR_From,GL_Journal!$D:$D,"&lt;="&amp;TR_To))</f>
        <v/>
      </c>
      <c r="I13" s="47">
        <f>IF($A13="","",$F13+$G13-$H13)</f>
        <v/>
      </c>
      <c r="J13" s="43">
        <f>IF($A13="","",SUMIFS(GL_Journal!$S:$S,GL_Journal!$G:$G,$E13,GL_Journal!$D:$D,TR_Day))</f>
        <v/>
      </c>
      <c r="K13" s="43">
        <f>IF($A13="","",SUMIFS(GL_Journal!$T:$T,GL_Journal!$G:$G,$E13,GL_Journal!$D:$D,TR_Day))</f>
        <v/>
      </c>
      <c r="L13" s="32">
        <f>IF($A13="","",IF($I13&lt;-S_Tol,"رصيد سالب - تحقق من المستندات",""))</f>
        <v/>
      </c>
    </row>
    <row r="14">
      <c r="A14" s="44">
        <f>IF(INDEX(Treasuries!$A:$A,ROW()-4)="","",INDEX(Treasuries!$A:$A,ROW()-4))</f>
        <v/>
      </c>
      <c r="B14" s="32">
        <f>IF($A14="","",INDEX(Treasuries!$B:$B,ROW()-4))</f>
        <v/>
      </c>
      <c r="C14" s="32">
        <f>IF($A14="","",INDEX(Treasuries!$C:$C,ROW()-4))</f>
        <v/>
      </c>
      <c r="D14" s="44">
        <f>IF($A14="","",INDEX(Treasuries!$D:$D,ROW()-4))</f>
        <v/>
      </c>
      <c r="E14" s="44">
        <f>IF($A14="","",INDEX(Treasuries!$E:$E,ROW()-4))</f>
        <v/>
      </c>
      <c r="F14" s="47">
        <f>IF($A14="","",(SUMIFS(GL_Journal!$S:$S,GL_Journal!$G:$G,$E14,GL_Journal!$D:$D,"&lt;"&amp;TR_From)-SUMIFS(GL_Journal!$T:$T,GL_Journal!$G:$G,$E14,GL_Journal!$D:$D,"&lt;"&amp;TR_From)))</f>
        <v/>
      </c>
      <c r="G14" s="43">
        <f>IF($A14="","",SUMIFS(GL_Journal!$S:$S,GL_Journal!$G:$G,$E14,GL_Journal!$D:$D,"&gt;="&amp;TR_From,GL_Journal!$D:$D,"&lt;="&amp;TR_To))</f>
        <v/>
      </c>
      <c r="H14" s="43">
        <f>IF($A14="","",SUMIFS(GL_Journal!$T:$T,GL_Journal!$G:$G,$E14,GL_Journal!$D:$D,"&gt;="&amp;TR_From,GL_Journal!$D:$D,"&lt;="&amp;TR_To))</f>
        <v/>
      </c>
      <c r="I14" s="47">
        <f>IF($A14="","",$F14+$G14-$H14)</f>
        <v/>
      </c>
      <c r="J14" s="43">
        <f>IF($A14="","",SUMIFS(GL_Journal!$S:$S,GL_Journal!$G:$G,$E14,GL_Journal!$D:$D,TR_Day))</f>
        <v/>
      </c>
      <c r="K14" s="43">
        <f>IF($A14="","",SUMIFS(GL_Journal!$T:$T,GL_Journal!$G:$G,$E14,GL_Journal!$D:$D,TR_Day))</f>
        <v/>
      </c>
      <c r="L14" s="32">
        <f>IF($A14="","",IF($I14&lt;-S_Tol,"رصيد سالب - تحقق من المستندات",""))</f>
        <v/>
      </c>
    </row>
    <row r="15">
      <c r="A15" s="44">
        <f>IF(INDEX(Treasuries!$A:$A,ROW()-4)="","",INDEX(Treasuries!$A:$A,ROW()-4))</f>
        <v/>
      </c>
      <c r="B15" s="32">
        <f>IF($A15="","",INDEX(Treasuries!$B:$B,ROW()-4))</f>
        <v/>
      </c>
      <c r="C15" s="32">
        <f>IF($A15="","",INDEX(Treasuries!$C:$C,ROW()-4))</f>
        <v/>
      </c>
      <c r="D15" s="44">
        <f>IF($A15="","",INDEX(Treasuries!$D:$D,ROW()-4))</f>
        <v/>
      </c>
      <c r="E15" s="44">
        <f>IF($A15="","",INDEX(Treasuries!$E:$E,ROW()-4))</f>
        <v/>
      </c>
      <c r="F15" s="47">
        <f>IF($A15="","",(SUMIFS(GL_Journal!$S:$S,GL_Journal!$G:$G,$E15,GL_Journal!$D:$D,"&lt;"&amp;TR_From)-SUMIFS(GL_Journal!$T:$T,GL_Journal!$G:$G,$E15,GL_Journal!$D:$D,"&lt;"&amp;TR_From)))</f>
        <v/>
      </c>
      <c r="G15" s="43">
        <f>IF($A15="","",SUMIFS(GL_Journal!$S:$S,GL_Journal!$G:$G,$E15,GL_Journal!$D:$D,"&gt;="&amp;TR_From,GL_Journal!$D:$D,"&lt;="&amp;TR_To))</f>
        <v/>
      </c>
      <c r="H15" s="43">
        <f>IF($A15="","",SUMIFS(GL_Journal!$T:$T,GL_Journal!$G:$G,$E15,GL_Journal!$D:$D,"&gt;="&amp;TR_From,GL_Journal!$D:$D,"&lt;="&amp;TR_To))</f>
        <v/>
      </c>
      <c r="I15" s="47">
        <f>IF($A15="","",$F15+$G15-$H15)</f>
        <v/>
      </c>
      <c r="J15" s="43">
        <f>IF($A15="","",SUMIFS(GL_Journal!$S:$S,GL_Journal!$G:$G,$E15,GL_Journal!$D:$D,TR_Day))</f>
        <v/>
      </c>
      <c r="K15" s="43">
        <f>IF($A15="","",SUMIFS(GL_Journal!$T:$T,GL_Journal!$G:$G,$E15,GL_Journal!$D:$D,TR_Day))</f>
        <v/>
      </c>
      <c r="L15" s="32">
        <f>IF($A15="","",IF($I15&lt;-S_Tol,"رصيد سالب - تحقق من المستندات",""))</f>
        <v/>
      </c>
    </row>
    <row r="16">
      <c r="A16" s="44">
        <f>IF(INDEX(Treasuries!$A:$A,ROW()-4)="","",INDEX(Treasuries!$A:$A,ROW()-4))</f>
        <v/>
      </c>
      <c r="B16" s="32">
        <f>IF($A16="","",INDEX(Treasuries!$B:$B,ROW()-4))</f>
        <v/>
      </c>
      <c r="C16" s="32">
        <f>IF($A16="","",INDEX(Treasuries!$C:$C,ROW()-4))</f>
        <v/>
      </c>
      <c r="D16" s="44">
        <f>IF($A16="","",INDEX(Treasuries!$D:$D,ROW()-4))</f>
        <v/>
      </c>
      <c r="E16" s="44">
        <f>IF($A16="","",INDEX(Treasuries!$E:$E,ROW()-4))</f>
        <v/>
      </c>
      <c r="F16" s="47">
        <f>IF($A16="","",(SUMIFS(GL_Journal!$S:$S,GL_Journal!$G:$G,$E16,GL_Journal!$D:$D,"&lt;"&amp;TR_From)-SUMIFS(GL_Journal!$T:$T,GL_Journal!$G:$G,$E16,GL_Journal!$D:$D,"&lt;"&amp;TR_From)))</f>
        <v/>
      </c>
      <c r="G16" s="43">
        <f>IF($A16="","",SUMIFS(GL_Journal!$S:$S,GL_Journal!$G:$G,$E16,GL_Journal!$D:$D,"&gt;="&amp;TR_From,GL_Journal!$D:$D,"&lt;="&amp;TR_To))</f>
        <v/>
      </c>
      <c r="H16" s="43">
        <f>IF($A16="","",SUMIFS(GL_Journal!$T:$T,GL_Journal!$G:$G,$E16,GL_Journal!$D:$D,"&gt;="&amp;TR_From,GL_Journal!$D:$D,"&lt;="&amp;TR_To))</f>
        <v/>
      </c>
      <c r="I16" s="47">
        <f>IF($A16="","",$F16+$G16-$H16)</f>
        <v/>
      </c>
      <c r="J16" s="43">
        <f>IF($A16="","",SUMIFS(GL_Journal!$S:$S,GL_Journal!$G:$G,$E16,GL_Journal!$D:$D,TR_Day))</f>
        <v/>
      </c>
      <c r="K16" s="43">
        <f>IF($A16="","",SUMIFS(GL_Journal!$T:$T,GL_Journal!$G:$G,$E16,GL_Journal!$D:$D,TR_Day))</f>
        <v/>
      </c>
      <c r="L16" s="32">
        <f>IF($A16="","",IF($I16&lt;-S_Tol,"رصيد سالب - تحقق من المستندات",""))</f>
        <v/>
      </c>
    </row>
    <row r="17">
      <c r="A17" s="44">
        <f>IF(INDEX(Treasuries!$A:$A,ROW()-4)="","",INDEX(Treasuries!$A:$A,ROW()-4))</f>
        <v/>
      </c>
      <c r="B17" s="32">
        <f>IF($A17="","",INDEX(Treasuries!$B:$B,ROW()-4))</f>
        <v/>
      </c>
      <c r="C17" s="32">
        <f>IF($A17="","",INDEX(Treasuries!$C:$C,ROW()-4))</f>
        <v/>
      </c>
      <c r="D17" s="44">
        <f>IF($A17="","",INDEX(Treasuries!$D:$D,ROW()-4))</f>
        <v/>
      </c>
      <c r="E17" s="44">
        <f>IF($A17="","",INDEX(Treasuries!$E:$E,ROW()-4))</f>
        <v/>
      </c>
      <c r="F17" s="47">
        <f>IF($A17="","",(SUMIFS(GL_Journal!$S:$S,GL_Journal!$G:$G,$E17,GL_Journal!$D:$D,"&lt;"&amp;TR_From)-SUMIFS(GL_Journal!$T:$T,GL_Journal!$G:$G,$E17,GL_Journal!$D:$D,"&lt;"&amp;TR_From)))</f>
        <v/>
      </c>
      <c r="G17" s="43">
        <f>IF($A17="","",SUMIFS(GL_Journal!$S:$S,GL_Journal!$G:$G,$E17,GL_Journal!$D:$D,"&gt;="&amp;TR_From,GL_Journal!$D:$D,"&lt;="&amp;TR_To))</f>
        <v/>
      </c>
      <c r="H17" s="43">
        <f>IF($A17="","",SUMIFS(GL_Journal!$T:$T,GL_Journal!$G:$G,$E17,GL_Journal!$D:$D,"&gt;="&amp;TR_From,GL_Journal!$D:$D,"&lt;="&amp;TR_To))</f>
        <v/>
      </c>
      <c r="I17" s="47">
        <f>IF($A17="","",$F17+$G17-$H17)</f>
        <v/>
      </c>
      <c r="J17" s="43">
        <f>IF($A17="","",SUMIFS(GL_Journal!$S:$S,GL_Journal!$G:$G,$E17,GL_Journal!$D:$D,TR_Day))</f>
        <v/>
      </c>
      <c r="K17" s="43">
        <f>IF($A17="","",SUMIFS(GL_Journal!$T:$T,GL_Journal!$G:$G,$E17,GL_Journal!$D:$D,TR_Day))</f>
        <v/>
      </c>
      <c r="L17" s="32">
        <f>IF($A17="","",IF($I17&lt;-S_Tol,"رصيد سالب - تحقق من المستندات",""))</f>
        <v/>
      </c>
    </row>
    <row r="18">
      <c r="A18" s="44">
        <f>IF(INDEX(Treasuries!$A:$A,ROW()-4)="","",INDEX(Treasuries!$A:$A,ROW()-4))</f>
        <v/>
      </c>
      <c r="B18" s="32">
        <f>IF($A18="","",INDEX(Treasuries!$B:$B,ROW()-4))</f>
        <v/>
      </c>
      <c r="C18" s="32">
        <f>IF($A18="","",INDEX(Treasuries!$C:$C,ROW()-4))</f>
        <v/>
      </c>
      <c r="D18" s="44">
        <f>IF($A18="","",INDEX(Treasuries!$D:$D,ROW()-4))</f>
        <v/>
      </c>
      <c r="E18" s="44">
        <f>IF($A18="","",INDEX(Treasuries!$E:$E,ROW()-4))</f>
        <v/>
      </c>
      <c r="F18" s="47">
        <f>IF($A18="","",(SUMIFS(GL_Journal!$S:$S,GL_Journal!$G:$G,$E18,GL_Journal!$D:$D,"&lt;"&amp;TR_From)-SUMIFS(GL_Journal!$T:$T,GL_Journal!$G:$G,$E18,GL_Journal!$D:$D,"&lt;"&amp;TR_From)))</f>
        <v/>
      </c>
      <c r="G18" s="43">
        <f>IF($A18="","",SUMIFS(GL_Journal!$S:$S,GL_Journal!$G:$G,$E18,GL_Journal!$D:$D,"&gt;="&amp;TR_From,GL_Journal!$D:$D,"&lt;="&amp;TR_To))</f>
        <v/>
      </c>
      <c r="H18" s="43">
        <f>IF($A18="","",SUMIFS(GL_Journal!$T:$T,GL_Journal!$G:$G,$E18,GL_Journal!$D:$D,"&gt;="&amp;TR_From,GL_Journal!$D:$D,"&lt;="&amp;TR_To))</f>
        <v/>
      </c>
      <c r="I18" s="47">
        <f>IF($A18="","",$F18+$G18-$H18)</f>
        <v/>
      </c>
      <c r="J18" s="43">
        <f>IF($A18="","",SUMIFS(GL_Journal!$S:$S,GL_Journal!$G:$G,$E18,GL_Journal!$D:$D,TR_Day))</f>
        <v/>
      </c>
      <c r="K18" s="43">
        <f>IF($A18="","",SUMIFS(GL_Journal!$T:$T,GL_Journal!$G:$G,$E18,GL_Journal!$D:$D,TR_Day))</f>
        <v/>
      </c>
      <c r="L18" s="32">
        <f>IF($A18="","",IF($I18&lt;-S_Tol,"رصيد سالب - تحقق من المستندات",""))</f>
        <v/>
      </c>
    </row>
    <row r="19">
      <c r="A19" s="44">
        <f>IF(INDEX(Treasuries!$A:$A,ROW()-4)="","",INDEX(Treasuries!$A:$A,ROW()-4))</f>
        <v/>
      </c>
      <c r="B19" s="32">
        <f>IF($A19="","",INDEX(Treasuries!$B:$B,ROW()-4))</f>
        <v/>
      </c>
      <c r="C19" s="32">
        <f>IF($A19="","",INDEX(Treasuries!$C:$C,ROW()-4))</f>
        <v/>
      </c>
      <c r="D19" s="44">
        <f>IF($A19="","",INDEX(Treasuries!$D:$D,ROW()-4))</f>
        <v/>
      </c>
      <c r="E19" s="44">
        <f>IF($A19="","",INDEX(Treasuries!$E:$E,ROW()-4))</f>
        <v/>
      </c>
      <c r="F19" s="47">
        <f>IF($A19="","",(SUMIFS(GL_Journal!$S:$S,GL_Journal!$G:$G,$E19,GL_Journal!$D:$D,"&lt;"&amp;TR_From)-SUMIFS(GL_Journal!$T:$T,GL_Journal!$G:$G,$E19,GL_Journal!$D:$D,"&lt;"&amp;TR_From)))</f>
        <v/>
      </c>
      <c r="G19" s="43">
        <f>IF($A19="","",SUMIFS(GL_Journal!$S:$S,GL_Journal!$G:$G,$E19,GL_Journal!$D:$D,"&gt;="&amp;TR_From,GL_Journal!$D:$D,"&lt;="&amp;TR_To))</f>
        <v/>
      </c>
      <c r="H19" s="43">
        <f>IF($A19="","",SUMIFS(GL_Journal!$T:$T,GL_Journal!$G:$G,$E19,GL_Journal!$D:$D,"&gt;="&amp;TR_From,GL_Journal!$D:$D,"&lt;="&amp;TR_To))</f>
        <v/>
      </c>
      <c r="I19" s="47">
        <f>IF($A19="","",$F19+$G19-$H19)</f>
        <v/>
      </c>
      <c r="J19" s="43">
        <f>IF($A19="","",SUMIFS(GL_Journal!$S:$S,GL_Journal!$G:$G,$E19,GL_Journal!$D:$D,TR_Day))</f>
        <v/>
      </c>
      <c r="K19" s="43">
        <f>IF($A19="","",SUMIFS(GL_Journal!$T:$T,GL_Journal!$G:$G,$E19,GL_Journal!$D:$D,TR_Day))</f>
        <v/>
      </c>
      <c r="L19" s="32">
        <f>IF($A19="","",IF($I19&lt;-S_Tol,"رصيد سالب - تحقق من المستندات",""))</f>
        <v/>
      </c>
    </row>
    <row r="20">
      <c r="A20" s="44">
        <f>IF(INDEX(Treasuries!$A:$A,ROW()-4)="","",INDEX(Treasuries!$A:$A,ROW()-4))</f>
        <v/>
      </c>
      <c r="B20" s="32">
        <f>IF($A20="","",INDEX(Treasuries!$B:$B,ROW()-4))</f>
        <v/>
      </c>
      <c r="C20" s="32">
        <f>IF($A20="","",INDEX(Treasuries!$C:$C,ROW()-4))</f>
        <v/>
      </c>
      <c r="D20" s="44">
        <f>IF($A20="","",INDEX(Treasuries!$D:$D,ROW()-4))</f>
        <v/>
      </c>
      <c r="E20" s="44">
        <f>IF($A20="","",INDEX(Treasuries!$E:$E,ROW()-4))</f>
        <v/>
      </c>
      <c r="F20" s="47">
        <f>IF($A20="","",(SUMIFS(GL_Journal!$S:$S,GL_Journal!$G:$G,$E20,GL_Journal!$D:$D,"&lt;"&amp;TR_From)-SUMIFS(GL_Journal!$T:$T,GL_Journal!$G:$G,$E20,GL_Journal!$D:$D,"&lt;"&amp;TR_From)))</f>
        <v/>
      </c>
      <c r="G20" s="43">
        <f>IF($A20="","",SUMIFS(GL_Journal!$S:$S,GL_Journal!$G:$G,$E20,GL_Journal!$D:$D,"&gt;="&amp;TR_From,GL_Journal!$D:$D,"&lt;="&amp;TR_To))</f>
        <v/>
      </c>
      <c r="H20" s="43">
        <f>IF($A20="","",SUMIFS(GL_Journal!$T:$T,GL_Journal!$G:$G,$E20,GL_Journal!$D:$D,"&gt;="&amp;TR_From,GL_Journal!$D:$D,"&lt;="&amp;TR_To))</f>
        <v/>
      </c>
      <c r="I20" s="47">
        <f>IF($A20="","",$F20+$G20-$H20)</f>
        <v/>
      </c>
      <c r="J20" s="43">
        <f>IF($A20="","",SUMIFS(GL_Journal!$S:$S,GL_Journal!$G:$G,$E20,GL_Journal!$D:$D,TR_Day))</f>
        <v/>
      </c>
      <c r="K20" s="43">
        <f>IF($A20="","",SUMIFS(GL_Journal!$T:$T,GL_Journal!$G:$G,$E20,GL_Journal!$D:$D,TR_Day))</f>
        <v/>
      </c>
      <c r="L20" s="32">
        <f>IF($A20="","",IF($I20&lt;-S_Tol,"رصيد سالب - تحقق من المستندات",""))</f>
        <v/>
      </c>
    </row>
    <row r="21">
      <c r="A21" s="44">
        <f>IF(INDEX(Treasuries!$A:$A,ROW()-4)="","",INDEX(Treasuries!$A:$A,ROW()-4))</f>
        <v/>
      </c>
      <c r="B21" s="32">
        <f>IF($A21="","",INDEX(Treasuries!$B:$B,ROW()-4))</f>
        <v/>
      </c>
      <c r="C21" s="32">
        <f>IF($A21="","",INDEX(Treasuries!$C:$C,ROW()-4))</f>
        <v/>
      </c>
      <c r="D21" s="44">
        <f>IF($A21="","",INDEX(Treasuries!$D:$D,ROW()-4))</f>
        <v/>
      </c>
      <c r="E21" s="44">
        <f>IF($A21="","",INDEX(Treasuries!$E:$E,ROW()-4))</f>
        <v/>
      </c>
      <c r="F21" s="47">
        <f>IF($A21="","",(SUMIFS(GL_Journal!$S:$S,GL_Journal!$G:$G,$E21,GL_Journal!$D:$D,"&lt;"&amp;TR_From)-SUMIFS(GL_Journal!$T:$T,GL_Journal!$G:$G,$E21,GL_Journal!$D:$D,"&lt;"&amp;TR_From)))</f>
        <v/>
      </c>
      <c r="G21" s="43">
        <f>IF($A21="","",SUMIFS(GL_Journal!$S:$S,GL_Journal!$G:$G,$E21,GL_Journal!$D:$D,"&gt;="&amp;TR_From,GL_Journal!$D:$D,"&lt;="&amp;TR_To))</f>
        <v/>
      </c>
      <c r="H21" s="43">
        <f>IF($A21="","",SUMIFS(GL_Journal!$T:$T,GL_Journal!$G:$G,$E21,GL_Journal!$D:$D,"&gt;="&amp;TR_From,GL_Journal!$D:$D,"&lt;="&amp;TR_To))</f>
        <v/>
      </c>
      <c r="I21" s="47">
        <f>IF($A21="","",$F21+$G21-$H21)</f>
        <v/>
      </c>
      <c r="J21" s="43">
        <f>IF($A21="","",SUMIFS(GL_Journal!$S:$S,GL_Journal!$G:$G,$E21,GL_Journal!$D:$D,TR_Day))</f>
        <v/>
      </c>
      <c r="K21" s="43">
        <f>IF($A21="","",SUMIFS(GL_Journal!$T:$T,GL_Journal!$G:$G,$E21,GL_Journal!$D:$D,TR_Day))</f>
        <v/>
      </c>
      <c r="L21" s="32">
        <f>IF($A21="","",IF($I21&lt;-S_Tol,"رصيد سالب - تحقق من المستندات",""))</f>
        <v/>
      </c>
    </row>
    <row r="22">
      <c r="A22" s="44">
        <f>IF(INDEX(Treasuries!$A:$A,ROW()-4)="","",INDEX(Treasuries!$A:$A,ROW()-4))</f>
        <v/>
      </c>
      <c r="B22" s="32">
        <f>IF($A22="","",INDEX(Treasuries!$B:$B,ROW()-4))</f>
        <v/>
      </c>
      <c r="C22" s="32">
        <f>IF($A22="","",INDEX(Treasuries!$C:$C,ROW()-4))</f>
        <v/>
      </c>
      <c r="D22" s="44">
        <f>IF($A22="","",INDEX(Treasuries!$D:$D,ROW()-4))</f>
        <v/>
      </c>
      <c r="E22" s="44">
        <f>IF($A22="","",INDEX(Treasuries!$E:$E,ROW()-4))</f>
        <v/>
      </c>
      <c r="F22" s="47">
        <f>IF($A22="","",(SUMIFS(GL_Journal!$S:$S,GL_Journal!$G:$G,$E22,GL_Journal!$D:$D,"&lt;"&amp;TR_From)-SUMIFS(GL_Journal!$T:$T,GL_Journal!$G:$G,$E22,GL_Journal!$D:$D,"&lt;"&amp;TR_From)))</f>
        <v/>
      </c>
      <c r="G22" s="43">
        <f>IF($A22="","",SUMIFS(GL_Journal!$S:$S,GL_Journal!$G:$G,$E22,GL_Journal!$D:$D,"&gt;="&amp;TR_From,GL_Journal!$D:$D,"&lt;="&amp;TR_To))</f>
        <v/>
      </c>
      <c r="H22" s="43">
        <f>IF($A22="","",SUMIFS(GL_Journal!$T:$T,GL_Journal!$G:$G,$E22,GL_Journal!$D:$D,"&gt;="&amp;TR_From,GL_Journal!$D:$D,"&lt;="&amp;TR_To))</f>
        <v/>
      </c>
      <c r="I22" s="47">
        <f>IF($A22="","",$F22+$G22-$H22)</f>
        <v/>
      </c>
      <c r="J22" s="43">
        <f>IF($A22="","",SUMIFS(GL_Journal!$S:$S,GL_Journal!$G:$G,$E22,GL_Journal!$D:$D,TR_Day))</f>
        <v/>
      </c>
      <c r="K22" s="43">
        <f>IF($A22="","",SUMIFS(GL_Journal!$T:$T,GL_Journal!$G:$G,$E22,GL_Journal!$D:$D,TR_Day))</f>
        <v/>
      </c>
      <c r="L22" s="32">
        <f>IF($A22="","",IF($I22&lt;-S_Tol,"رصيد سالب - تحقق من المستندات",""))</f>
        <v/>
      </c>
    </row>
    <row r="23">
      <c r="A23" s="44">
        <f>IF(INDEX(Treasuries!$A:$A,ROW()-4)="","",INDEX(Treasuries!$A:$A,ROW()-4))</f>
        <v/>
      </c>
      <c r="B23" s="32">
        <f>IF($A23="","",INDEX(Treasuries!$B:$B,ROW()-4))</f>
        <v/>
      </c>
      <c r="C23" s="32">
        <f>IF($A23="","",INDEX(Treasuries!$C:$C,ROW()-4))</f>
        <v/>
      </c>
      <c r="D23" s="44">
        <f>IF($A23="","",INDEX(Treasuries!$D:$D,ROW()-4))</f>
        <v/>
      </c>
      <c r="E23" s="44">
        <f>IF($A23="","",INDEX(Treasuries!$E:$E,ROW()-4))</f>
        <v/>
      </c>
      <c r="F23" s="47">
        <f>IF($A23="","",(SUMIFS(GL_Journal!$S:$S,GL_Journal!$G:$G,$E23,GL_Journal!$D:$D,"&lt;"&amp;TR_From)-SUMIFS(GL_Journal!$T:$T,GL_Journal!$G:$G,$E23,GL_Journal!$D:$D,"&lt;"&amp;TR_From)))</f>
        <v/>
      </c>
      <c r="G23" s="43">
        <f>IF($A23="","",SUMIFS(GL_Journal!$S:$S,GL_Journal!$G:$G,$E23,GL_Journal!$D:$D,"&gt;="&amp;TR_From,GL_Journal!$D:$D,"&lt;="&amp;TR_To))</f>
        <v/>
      </c>
      <c r="H23" s="43">
        <f>IF($A23="","",SUMIFS(GL_Journal!$T:$T,GL_Journal!$G:$G,$E23,GL_Journal!$D:$D,"&gt;="&amp;TR_From,GL_Journal!$D:$D,"&lt;="&amp;TR_To))</f>
        <v/>
      </c>
      <c r="I23" s="47">
        <f>IF($A23="","",$F23+$G23-$H23)</f>
        <v/>
      </c>
      <c r="J23" s="43">
        <f>IF($A23="","",SUMIFS(GL_Journal!$S:$S,GL_Journal!$G:$G,$E23,GL_Journal!$D:$D,TR_Day))</f>
        <v/>
      </c>
      <c r="K23" s="43">
        <f>IF($A23="","",SUMIFS(GL_Journal!$T:$T,GL_Journal!$G:$G,$E23,GL_Journal!$D:$D,TR_Day))</f>
        <v/>
      </c>
      <c r="L23" s="32">
        <f>IF($A23="","",IF($I23&lt;-S_Tol,"رصيد سالب - تحقق من المستندات",""))</f>
        <v/>
      </c>
    </row>
    <row r="24">
      <c r="A24" s="44">
        <f>IF(INDEX(Treasuries!$A:$A,ROW()-4)="","",INDEX(Treasuries!$A:$A,ROW()-4))</f>
        <v/>
      </c>
      <c r="B24" s="32">
        <f>IF($A24="","",INDEX(Treasuries!$B:$B,ROW()-4))</f>
        <v/>
      </c>
      <c r="C24" s="32">
        <f>IF($A24="","",INDEX(Treasuries!$C:$C,ROW()-4))</f>
        <v/>
      </c>
      <c r="D24" s="44">
        <f>IF($A24="","",INDEX(Treasuries!$D:$D,ROW()-4))</f>
        <v/>
      </c>
      <c r="E24" s="44">
        <f>IF($A24="","",INDEX(Treasuries!$E:$E,ROW()-4))</f>
        <v/>
      </c>
      <c r="F24" s="47">
        <f>IF($A24="","",(SUMIFS(GL_Journal!$S:$S,GL_Journal!$G:$G,$E24,GL_Journal!$D:$D,"&lt;"&amp;TR_From)-SUMIFS(GL_Journal!$T:$T,GL_Journal!$G:$G,$E24,GL_Journal!$D:$D,"&lt;"&amp;TR_From)))</f>
        <v/>
      </c>
      <c r="G24" s="43">
        <f>IF($A24="","",SUMIFS(GL_Journal!$S:$S,GL_Journal!$G:$G,$E24,GL_Journal!$D:$D,"&gt;="&amp;TR_From,GL_Journal!$D:$D,"&lt;="&amp;TR_To))</f>
        <v/>
      </c>
      <c r="H24" s="43">
        <f>IF($A24="","",SUMIFS(GL_Journal!$T:$T,GL_Journal!$G:$G,$E24,GL_Journal!$D:$D,"&gt;="&amp;TR_From,GL_Journal!$D:$D,"&lt;="&amp;TR_To))</f>
        <v/>
      </c>
      <c r="I24" s="47">
        <f>IF($A24="","",$F24+$G24-$H24)</f>
        <v/>
      </c>
      <c r="J24" s="43">
        <f>IF($A24="","",SUMIFS(GL_Journal!$S:$S,GL_Journal!$G:$G,$E24,GL_Journal!$D:$D,TR_Day))</f>
        <v/>
      </c>
      <c r="K24" s="43">
        <f>IF($A24="","",SUMIFS(GL_Journal!$T:$T,GL_Journal!$G:$G,$E24,GL_Journal!$D:$D,TR_Day))</f>
        <v/>
      </c>
      <c r="L24" s="32">
        <f>IF($A24="","",IF($I24&lt;-S_Tol,"رصيد سالب - تحقق من المستندات",""))</f>
        <v/>
      </c>
    </row>
    <row r="25">
      <c r="A25" s="44">
        <f>IF(INDEX(Treasuries!$A:$A,ROW()-4)="","",INDEX(Treasuries!$A:$A,ROW()-4))</f>
        <v/>
      </c>
      <c r="B25" s="32">
        <f>IF($A25="","",INDEX(Treasuries!$B:$B,ROW()-4))</f>
        <v/>
      </c>
      <c r="C25" s="32">
        <f>IF($A25="","",INDEX(Treasuries!$C:$C,ROW()-4))</f>
        <v/>
      </c>
      <c r="D25" s="44">
        <f>IF($A25="","",INDEX(Treasuries!$D:$D,ROW()-4))</f>
        <v/>
      </c>
      <c r="E25" s="44">
        <f>IF($A25="","",INDEX(Treasuries!$E:$E,ROW()-4))</f>
        <v/>
      </c>
      <c r="F25" s="47">
        <f>IF($A25="","",(SUMIFS(GL_Journal!$S:$S,GL_Journal!$G:$G,$E25,GL_Journal!$D:$D,"&lt;"&amp;TR_From)-SUMIFS(GL_Journal!$T:$T,GL_Journal!$G:$G,$E25,GL_Journal!$D:$D,"&lt;"&amp;TR_From)))</f>
        <v/>
      </c>
      <c r="G25" s="43">
        <f>IF($A25="","",SUMIFS(GL_Journal!$S:$S,GL_Journal!$G:$G,$E25,GL_Journal!$D:$D,"&gt;="&amp;TR_From,GL_Journal!$D:$D,"&lt;="&amp;TR_To))</f>
        <v/>
      </c>
      <c r="H25" s="43">
        <f>IF($A25="","",SUMIFS(GL_Journal!$T:$T,GL_Journal!$G:$G,$E25,GL_Journal!$D:$D,"&gt;="&amp;TR_From,GL_Journal!$D:$D,"&lt;="&amp;TR_To))</f>
        <v/>
      </c>
      <c r="I25" s="47">
        <f>IF($A25="","",$F25+$G25-$H25)</f>
        <v/>
      </c>
      <c r="J25" s="43">
        <f>IF($A25="","",SUMIFS(GL_Journal!$S:$S,GL_Journal!$G:$G,$E25,GL_Journal!$D:$D,TR_Day))</f>
        <v/>
      </c>
      <c r="K25" s="43">
        <f>IF($A25="","",SUMIFS(GL_Journal!$T:$T,GL_Journal!$G:$G,$E25,GL_Journal!$D:$D,TR_Day))</f>
        <v/>
      </c>
      <c r="L25" s="32">
        <f>IF($A25="","",IF($I25&lt;-S_Tol,"رصيد سالب - تحقق من المستندات",""))</f>
        <v/>
      </c>
    </row>
    <row r="26">
      <c r="A26" s="44">
        <f>IF(INDEX(Treasuries!$A:$A,ROW()-4)="","",INDEX(Treasuries!$A:$A,ROW()-4))</f>
        <v/>
      </c>
      <c r="B26" s="32">
        <f>IF($A26="","",INDEX(Treasuries!$B:$B,ROW()-4))</f>
        <v/>
      </c>
      <c r="C26" s="32">
        <f>IF($A26="","",INDEX(Treasuries!$C:$C,ROW()-4))</f>
        <v/>
      </c>
      <c r="D26" s="44">
        <f>IF($A26="","",INDEX(Treasuries!$D:$D,ROW()-4))</f>
        <v/>
      </c>
      <c r="E26" s="44">
        <f>IF($A26="","",INDEX(Treasuries!$E:$E,ROW()-4))</f>
        <v/>
      </c>
      <c r="F26" s="47">
        <f>IF($A26="","",(SUMIFS(GL_Journal!$S:$S,GL_Journal!$G:$G,$E26,GL_Journal!$D:$D,"&lt;"&amp;TR_From)-SUMIFS(GL_Journal!$T:$T,GL_Journal!$G:$G,$E26,GL_Journal!$D:$D,"&lt;"&amp;TR_From)))</f>
        <v/>
      </c>
      <c r="G26" s="43">
        <f>IF($A26="","",SUMIFS(GL_Journal!$S:$S,GL_Journal!$G:$G,$E26,GL_Journal!$D:$D,"&gt;="&amp;TR_From,GL_Journal!$D:$D,"&lt;="&amp;TR_To))</f>
        <v/>
      </c>
      <c r="H26" s="43">
        <f>IF($A26="","",SUMIFS(GL_Journal!$T:$T,GL_Journal!$G:$G,$E26,GL_Journal!$D:$D,"&gt;="&amp;TR_From,GL_Journal!$D:$D,"&lt;="&amp;TR_To))</f>
        <v/>
      </c>
      <c r="I26" s="47">
        <f>IF($A26="","",$F26+$G26-$H26)</f>
        <v/>
      </c>
      <c r="J26" s="43">
        <f>IF($A26="","",SUMIFS(GL_Journal!$S:$S,GL_Journal!$G:$G,$E26,GL_Journal!$D:$D,TR_Day))</f>
        <v/>
      </c>
      <c r="K26" s="43">
        <f>IF($A26="","",SUMIFS(GL_Journal!$T:$T,GL_Journal!$G:$G,$E26,GL_Journal!$D:$D,TR_Day))</f>
        <v/>
      </c>
      <c r="L26" s="32">
        <f>IF($A26="","",IF($I26&lt;-S_Tol,"رصيد سالب - تحقق من المستندات",""))</f>
        <v/>
      </c>
    </row>
    <row r="27">
      <c r="A27" s="44">
        <f>IF(INDEX(Treasuries!$A:$A,ROW()-4)="","",INDEX(Treasuries!$A:$A,ROW()-4))</f>
        <v/>
      </c>
      <c r="B27" s="32">
        <f>IF($A27="","",INDEX(Treasuries!$B:$B,ROW()-4))</f>
        <v/>
      </c>
      <c r="C27" s="32">
        <f>IF($A27="","",INDEX(Treasuries!$C:$C,ROW()-4))</f>
        <v/>
      </c>
      <c r="D27" s="44">
        <f>IF($A27="","",INDEX(Treasuries!$D:$D,ROW()-4))</f>
        <v/>
      </c>
      <c r="E27" s="44">
        <f>IF($A27="","",INDEX(Treasuries!$E:$E,ROW()-4))</f>
        <v/>
      </c>
      <c r="F27" s="47">
        <f>IF($A27="","",(SUMIFS(GL_Journal!$S:$S,GL_Journal!$G:$G,$E27,GL_Journal!$D:$D,"&lt;"&amp;TR_From)-SUMIFS(GL_Journal!$T:$T,GL_Journal!$G:$G,$E27,GL_Journal!$D:$D,"&lt;"&amp;TR_From)))</f>
        <v/>
      </c>
      <c r="G27" s="43">
        <f>IF($A27="","",SUMIFS(GL_Journal!$S:$S,GL_Journal!$G:$G,$E27,GL_Journal!$D:$D,"&gt;="&amp;TR_From,GL_Journal!$D:$D,"&lt;="&amp;TR_To))</f>
        <v/>
      </c>
      <c r="H27" s="43">
        <f>IF($A27="","",SUMIFS(GL_Journal!$T:$T,GL_Journal!$G:$G,$E27,GL_Journal!$D:$D,"&gt;="&amp;TR_From,GL_Journal!$D:$D,"&lt;="&amp;TR_To))</f>
        <v/>
      </c>
      <c r="I27" s="47">
        <f>IF($A27="","",$F27+$G27-$H27)</f>
        <v/>
      </c>
      <c r="J27" s="43">
        <f>IF($A27="","",SUMIFS(GL_Journal!$S:$S,GL_Journal!$G:$G,$E27,GL_Journal!$D:$D,TR_Day))</f>
        <v/>
      </c>
      <c r="K27" s="43">
        <f>IF($A27="","",SUMIFS(GL_Journal!$T:$T,GL_Journal!$G:$G,$E27,GL_Journal!$D:$D,TR_Day))</f>
        <v/>
      </c>
      <c r="L27" s="32">
        <f>IF($A27="","",IF($I27&lt;-S_Tol,"رصيد سالب - تحقق من المستندات",""))</f>
        <v/>
      </c>
    </row>
    <row r="28">
      <c r="A28" s="44">
        <f>IF(INDEX(Treasuries!$A:$A,ROW()-4)="","",INDEX(Treasuries!$A:$A,ROW()-4))</f>
        <v/>
      </c>
      <c r="B28" s="32">
        <f>IF($A28="","",INDEX(Treasuries!$B:$B,ROW()-4))</f>
        <v/>
      </c>
      <c r="C28" s="32">
        <f>IF($A28="","",INDEX(Treasuries!$C:$C,ROW()-4))</f>
        <v/>
      </c>
      <c r="D28" s="44">
        <f>IF($A28="","",INDEX(Treasuries!$D:$D,ROW()-4))</f>
        <v/>
      </c>
      <c r="E28" s="44">
        <f>IF($A28="","",INDEX(Treasuries!$E:$E,ROW()-4))</f>
        <v/>
      </c>
      <c r="F28" s="47">
        <f>IF($A28="","",(SUMIFS(GL_Journal!$S:$S,GL_Journal!$G:$G,$E28,GL_Journal!$D:$D,"&lt;"&amp;TR_From)-SUMIFS(GL_Journal!$T:$T,GL_Journal!$G:$G,$E28,GL_Journal!$D:$D,"&lt;"&amp;TR_From)))</f>
        <v/>
      </c>
      <c r="G28" s="43">
        <f>IF($A28="","",SUMIFS(GL_Journal!$S:$S,GL_Journal!$G:$G,$E28,GL_Journal!$D:$D,"&gt;="&amp;TR_From,GL_Journal!$D:$D,"&lt;="&amp;TR_To))</f>
        <v/>
      </c>
      <c r="H28" s="43">
        <f>IF($A28="","",SUMIFS(GL_Journal!$T:$T,GL_Journal!$G:$G,$E28,GL_Journal!$D:$D,"&gt;="&amp;TR_From,GL_Journal!$D:$D,"&lt;="&amp;TR_To))</f>
        <v/>
      </c>
      <c r="I28" s="47">
        <f>IF($A28="","",$F28+$G28-$H28)</f>
        <v/>
      </c>
      <c r="J28" s="43">
        <f>IF($A28="","",SUMIFS(GL_Journal!$S:$S,GL_Journal!$G:$G,$E28,GL_Journal!$D:$D,TR_Day))</f>
        <v/>
      </c>
      <c r="K28" s="43">
        <f>IF($A28="","",SUMIFS(GL_Journal!$T:$T,GL_Journal!$G:$G,$E28,GL_Journal!$D:$D,TR_Day))</f>
        <v/>
      </c>
      <c r="L28" s="32">
        <f>IF($A28="","",IF($I28&lt;-S_Tol,"رصيد سالب - تحقق من المستندات",""))</f>
        <v/>
      </c>
    </row>
    <row r="29">
      <c r="A29" s="44">
        <f>IF(INDEX(Treasuries!$A:$A,ROW()-4)="","",INDEX(Treasuries!$A:$A,ROW()-4))</f>
        <v/>
      </c>
      <c r="B29" s="32">
        <f>IF($A29="","",INDEX(Treasuries!$B:$B,ROW()-4))</f>
        <v/>
      </c>
      <c r="C29" s="32">
        <f>IF($A29="","",INDEX(Treasuries!$C:$C,ROW()-4))</f>
        <v/>
      </c>
      <c r="D29" s="44">
        <f>IF($A29="","",INDEX(Treasuries!$D:$D,ROW()-4))</f>
        <v/>
      </c>
      <c r="E29" s="44">
        <f>IF($A29="","",INDEX(Treasuries!$E:$E,ROW()-4))</f>
        <v/>
      </c>
      <c r="F29" s="47">
        <f>IF($A29="","",(SUMIFS(GL_Journal!$S:$S,GL_Journal!$G:$G,$E29,GL_Journal!$D:$D,"&lt;"&amp;TR_From)-SUMIFS(GL_Journal!$T:$T,GL_Journal!$G:$G,$E29,GL_Journal!$D:$D,"&lt;"&amp;TR_From)))</f>
        <v/>
      </c>
      <c r="G29" s="43">
        <f>IF($A29="","",SUMIFS(GL_Journal!$S:$S,GL_Journal!$G:$G,$E29,GL_Journal!$D:$D,"&gt;="&amp;TR_From,GL_Journal!$D:$D,"&lt;="&amp;TR_To))</f>
        <v/>
      </c>
      <c r="H29" s="43">
        <f>IF($A29="","",SUMIFS(GL_Journal!$T:$T,GL_Journal!$G:$G,$E29,GL_Journal!$D:$D,"&gt;="&amp;TR_From,GL_Journal!$D:$D,"&lt;="&amp;TR_To))</f>
        <v/>
      </c>
      <c r="I29" s="47">
        <f>IF($A29="","",$F29+$G29-$H29)</f>
        <v/>
      </c>
      <c r="J29" s="43">
        <f>IF($A29="","",SUMIFS(GL_Journal!$S:$S,GL_Journal!$G:$G,$E29,GL_Journal!$D:$D,TR_Day))</f>
        <v/>
      </c>
      <c r="K29" s="43">
        <f>IF($A29="","",SUMIFS(GL_Journal!$T:$T,GL_Journal!$G:$G,$E29,GL_Journal!$D:$D,TR_Day))</f>
        <v/>
      </c>
      <c r="L29" s="32">
        <f>IF($A29="","",IF($I29&lt;-S_Tol,"رصيد سالب - تحقق من المستندات",""))</f>
        <v/>
      </c>
    </row>
    <row r="30">
      <c r="A30" s="44">
        <f>IF(INDEX(Treasuries!$A:$A,ROW()-4)="","",INDEX(Treasuries!$A:$A,ROW()-4))</f>
        <v/>
      </c>
      <c r="B30" s="32">
        <f>IF($A30="","",INDEX(Treasuries!$B:$B,ROW()-4))</f>
        <v/>
      </c>
      <c r="C30" s="32">
        <f>IF($A30="","",INDEX(Treasuries!$C:$C,ROW()-4))</f>
        <v/>
      </c>
      <c r="D30" s="44">
        <f>IF($A30="","",INDEX(Treasuries!$D:$D,ROW()-4))</f>
        <v/>
      </c>
      <c r="E30" s="44">
        <f>IF($A30="","",INDEX(Treasuries!$E:$E,ROW()-4))</f>
        <v/>
      </c>
      <c r="F30" s="47">
        <f>IF($A30="","",(SUMIFS(GL_Journal!$S:$S,GL_Journal!$G:$G,$E30,GL_Journal!$D:$D,"&lt;"&amp;TR_From)-SUMIFS(GL_Journal!$T:$T,GL_Journal!$G:$G,$E30,GL_Journal!$D:$D,"&lt;"&amp;TR_From)))</f>
        <v/>
      </c>
      <c r="G30" s="43">
        <f>IF($A30="","",SUMIFS(GL_Journal!$S:$S,GL_Journal!$G:$G,$E30,GL_Journal!$D:$D,"&gt;="&amp;TR_From,GL_Journal!$D:$D,"&lt;="&amp;TR_To))</f>
        <v/>
      </c>
      <c r="H30" s="43">
        <f>IF($A30="","",SUMIFS(GL_Journal!$T:$T,GL_Journal!$G:$G,$E30,GL_Journal!$D:$D,"&gt;="&amp;TR_From,GL_Journal!$D:$D,"&lt;="&amp;TR_To))</f>
        <v/>
      </c>
      <c r="I30" s="47">
        <f>IF($A30="","",$F30+$G30-$H30)</f>
        <v/>
      </c>
      <c r="J30" s="43">
        <f>IF($A30="","",SUMIFS(GL_Journal!$S:$S,GL_Journal!$G:$G,$E30,GL_Journal!$D:$D,TR_Day))</f>
        <v/>
      </c>
      <c r="K30" s="43">
        <f>IF($A30="","",SUMIFS(GL_Journal!$T:$T,GL_Journal!$G:$G,$E30,GL_Journal!$D:$D,TR_Day))</f>
        <v/>
      </c>
      <c r="L30" s="32">
        <f>IF($A30="","",IF($I30&lt;-S_Tol,"رصيد سالب - تحقق من المستندات",""))</f>
        <v/>
      </c>
    </row>
    <row r="31">
      <c r="A31" s="44">
        <f>IF(INDEX(Treasuries!$A:$A,ROW()-4)="","",INDEX(Treasuries!$A:$A,ROW()-4))</f>
        <v/>
      </c>
      <c r="B31" s="32">
        <f>IF($A31="","",INDEX(Treasuries!$B:$B,ROW()-4))</f>
        <v/>
      </c>
      <c r="C31" s="32">
        <f>IF($A31="","",INDEX(Treasuries!$C:$C,ROW()-4))</f>
        <v/>
      </c>
      <c r="D31" s="44">
        <f>IF($A31="","",INDEX(Treasuries!$D:$D,ROW()-4))</f>
        <v/>
      </c>
      <c r="E31" s="44">
        <f>IF($A31="","",INDEX(Treasuries!$E:$E,ROW()-4))</f>
        <v/>
      </c>
      <c r="F31" s="47">
        <f>IF($A31="","",(SUMIFS(GL_Journal!$S:$S,GL_Journal!$G:$G,$E31,GL_Journal!$D:$D,"&lt;"&amp;TR_From)-SUMIFS(GL_Journal!$T:$T,GL_Journal!$G:$G,$E31,GL_Journal!$D:$D,"&lt;"&amp;TR_From)))</f>
        <v/>
      </c>
      <c r="G31" s="43">
        <f>IF($A31="","",SUMIFS(GL_Journal!$S:$S,GL_Journal!$G:$G,$E31,GL_Journal!$D:$D,"&gt;="&amp;TR_From,GL_Journal!$D:$D,"&lt;="&amp;TR_To))</f>
        <v/>
      </c>
      <c r="H31" s="43">
        <f>IF($A31="","",SUMIFS(GL_Journal!$T:$T,GL_Journal!$G:$G,$E31,GL_Journal!$D:$D,"&gt;="&amp;TR_From,GL_Journal!$D:$D,"&lt;="&amp;TR_To))</f>
        <v/>
      </c>
      <c r="I31" s="47">
        <f>IF($A31="","",$F31+$G31-$H31)</f>
        <v/>
      </c>
      <c r="J31" s="43">
        <f>IF($A31="","",SUMIFS(GL_Journal!$S:$S,GL_Journal!$G:$G,$E31,GL_Journal!$D:$D,TR_Day))</f>
        <v/>
      </c>
      <c r="K31" s="43">
        <f>IF($A31="","",SUMIFS(GL_Journal!$T:$T,GL_Journal!$G:$G,$E31,GL_Journal!$D:$D,TR_Day))</f>
        <v/>
      </c>
      <c r="L31" s="32">
        <f>IF($A31="","",IF($I31&lt;-S_Tol,"رصيد سالب - تحقق من المستندات",""))</f>
        <v/>
      </c>
    </row>
    <row r="32">
      <c r="A32" s="44">
        <f>IF(INDEX(Treasuries!$A:$A,ROW()-4)="","",INDEX(Treasuries!$A:$A,ROW()-4))</f>
        <v/>
      </c>
      <c r="B32" s="32">
        <f>IF($A32="","",INDEX(Treasuries!$B:$B,ROW()-4))</f>
        <v/>
      </c>
      <c r="C32" s="32">
        <f>IF($A32="","",INDEX(Treasuries!$C:$C,ROW()-4))</f>
        <v/>
      </c>
      <c r="D32" s="44">
        <f>IF($A32="","",INDEX(Treasuries!$D:$D,ROW()-4))</f>
        <v/>
      </c>
      <c r="E32" s="44">
        <f>IF($A32="","",INDEX(Treasuries!$E:$E,ROW()-4))</f>
        <v/>
      </c>
      <c r="F32" s="47">
        <f>IF($A32="","",(SUMIFS(GL_Journal!$S:$S,GL_Journal!$G:$G,$E32,GL_Journal!$D:$D,"&lt;"&amp;TR_From)-SUMIFS(GL_Journal!$T:$T,GL_Journal!$G:$G,$E32,GL_Journal!$D:$D,"&lt;"&amp;TR_From)))</f>
        <v/>
      </c>
      <c r="G32" s="43">
        <f>IF($A32="","",SUMIFS(GL_Journal!$S:$S,GL_Journal!$G:$G,$E32,GL_Journal!$D:$D,"&gt;="&amp;TR_From,GL_Journal!$D:$D,"&lt;="&amp;TR_To))</f>
        <v/>
      </c>
      <c r="H32" s="43">
        <f>IF($A32="","",SUMIFS(GL_Journal!$T:$T,GL_Journal!$G:$G,$E32,GL_Journal!$D:$D,"&gt;="&amp;TR_From,GL_Journal!$D:$D,"&lt;="&amp;TR_To))</f>
        <v/>
      </c>
      <c r="I32" s="47">
        <f>IF($A32="","",$F32+$G32-$H32)</f>
        <v/>
      </c>
      <c r="J32" s="43">
        <f>IF($A32="","",SUMIFS(GL_Journal!$S:$S,GL_Journal!$G:$G,$E32,GL_Journal!$D:$D,TR_Day))</f>
        <v/>
      </c>
      <c r="K32" s="43">
        <f>IF($A32="","",SUMIFS(GL_Journal!$T:$T,GL_Journal!$G:$G,$E32,GL_Journal!$D:$D,TR_Day))</f>
        <v/>
      </c>
      <c r="L32" s="32">
        <f>IF($A32="","",IF($I32&lt;-S_Tol,"رصيد سالب - تحقق من المستندات",""))</f>
        <v/>
      </c>
    </row>
    <row r="33">
      <c r="A33" s="44">
        <f>IF(INDEX(Treasuries!$A:$A,ROW()-4)="","",INDEX(Treasuries!$A:$A,ROW()-4))</f>
        <v/>
      </c>
      <c r="B33" s="32">
        <f>IF($A33="","",INDEX(Treasuries!$B:$B,ROW()-4))</f>
        <v/>
      </c>
      <c r="C33" s="32">
        <f>IF($A33="","",INDEX(Treasuries!$C:$C,ROW()-4))</f>
        <v/>
      </c>
      <c r="D33" s="44">
        <f>IF($A33="","",INDEX(Treasuries!$D:$D,ROW()-4))</f>
        <v/>
      </c>
      <c r="E33" s="44">
        <f>IF($A33="","",INDEX(Treasuries!$E:$E,ROW()-4))</f>
        <v/>
      </c>
      <c r="F33" s="47">
        <f>IF($A33="","",(SUMIFS(GL_Journal!$S:$S,GL_Journal!$G:$G,$E33,GL_Journal!$D:$D,"&lt;"&amp;TR_From)-SUMIFS(GL_Journal!$T:$T,GL_Journal!$G:$G,$E33,GL_Journal!$D:$D,"&lt;"&amp;TR_From)))</f>
        <v/>
      </c>
      <c r="G33" s="43">
        <f>IF($A33="","",SUMIFS(GL_Journal!$S:$S,GL_Journal!$G:$G,$E33,GL_Journal!$D:$D,"&gt;="&amp;TR_From,GL_Journal!$D:$D,"&lt;="&amp;TR_To))</f>
        <v/>
      </c>
      <c r="H33" s="43">
        <f>IF($A33="","",SUMIFS(GL_Journal!$T:$T,GL_Journal!$G:$G,$E33,GL_Journal!$D:$D,"&gt;="&amp;TR_From,GL_Journal!$D:$D,"&lt;="&amp;TR_To))</f>
        <v/>
      </c>
      <c r="I33" s="47">
        <f>IF($A33="","",$F33+$G33-$H33)</f>
        <v/>
      </c>
      <c r="J33" s="43">
        <f>IF($A33="","",SUMIFS(GL_Journal!$S:$S,GL_Journal!$G:$G,$E33,GL_Journal!$D:$D,TR_Day))</f>
        <v/>
      </c>
      <c r="K33" s="43">
        <f>IF($A33="","",SUMIFS(GL_Journal!$T:$T,GL_Journal!$G:$G,$E33,GL_Journal!$D:$D,TR_Day))</f>
        <v/>
      </c>
      <c r="L33" s="32">
        <f>IF($A33="","",IF($I33&lt;-S_Tol,"رصيد سالب - تحقق من المستندات",""))</f>
        <v/>
      </c>
    </row>
    <row r="34">
      <c r="A34" s="44">
        <f>IF(INDEX(Treasuries!$A:$A,ROW()-4)="","",INDEX(Treasuries!$A:$A,ROW()-4))</f>
        <v/>
      </c>
      <c r="B34" s="32">
        <f>IF($A34="","",INDEX(Treasuries!$B:$B,ROW()-4))</f>
        <v/>
      </c>
      <c r="C34" s="32">
        <f>IF($A34="","",INDEX(Treasuries!$C:$C,ROW()-4))</f>
        <v/>
      </c>
      <c r="D34" s="44">
        <f>IF($A34="","",INDEX(Treasuries!$D:$D,ROW()-4))</f>
        <v/>
      </c>
      <c r="E34" s="44">
        <f>IF($A34="","",INDEX(Treasuries!$E:$E,ROW()-4))</f>
        <v/>
      </c>
      <c r="F34" s="47">
        <f>IF($A34="","",(SUMIFS(GL_Journal!$S:$S,GL_Journal!$G:$G,$E34,GL_Journal!$D:$D,"&lt;"&amp;TR_From)-SUMIFS(GL_Journal!$T:$T,GL_Journal!$G:$G,$E34,GL_Journal!$D:$D,"&lt;"&amp;TR_From)))</f>
        <v/>
      </c>
      <c r="G34" s="43">
        <f>IF($A34="","",SUMIFS(GL_Journal!$S:$S,GL_Journal!$G:$G,$E34,GL_Journal!$D:$D,"&gt;="&amp;TR_From,GL_Journal!$D:$D,"&lt;="&amp;TR_To))</f>
        <v/>
      </c>
      <c r="H34" s="43">
        <f>IF($A34="","",SUMIFS(GL_Journal!$T:$T,GL_Journal!$G:$G,$E34,GL_Journal!$D:$D,"&gt;="&amp;TR_From,GL_Journal!$D:$D,"&lt;="&amp;TR_To))</f>
        <v/>
      </c>
      <c r="I34" s="47">
        <f>IF($A34="","",$F34+$G34-$H34)</f>
        <v/>
      </c>
      <c r="J34" s="43">
        <f>IF($A34="","",SUMIFS(GL_Journal!$S:$S,GL_Journal!$G:$G,$E34,GL_Journal!$D:$D,TR_Day))</f>
        <v/>
      </c>
      <c r="K34" s="43">
        <f>IF($A34="","",SUMIFS(GL_Journal!$T:$T,GL_Journal!$G:$G,$E34,GL_Journal!$D:$D,TR_Day))</f>
        <v/>
      </c>
      <c r="L34" s="32">
        <f>IF($A34="","",IF($I34&lt;-S_Tol,"رصيد سالب - تحقق من المستندات",""))</f>
        <v/>
      </c>
    </row>
    <row r="35">
      <c r="A35" s="44">
        <f>IF(INDEX(Treasuries!$A:$A,ROW()-4)="","",INDEX(Treasuries!$A:$A,ROW()-4))</f>
        <v/>
      </c>
      <c r="B35" s="32">
        <f>IF($A35="","",INDEX(Treasuries!$B:$B,ROW()-4))</f>
        <v/>
      </c>
      <c r="C35" s="32">
        <f>IF($A35="","",INDEX(Treasuries!$C:$C,ROW()-4))</f>
        <v/>
      </c>
      <c r="D35" s="44">
        <f>IF($A35="","",INDEX(Treasuries!$D:$D,ROW()-4))</f>
        <v/>
      </c>
      <c r="E35" s="44">
        <f>IF($A35="","",INDEX(Treasuries!$E:$E,ROW()-4))</f>
        <v/>
      </c>
      <c r="F35" s="47">
        <f>IF($A35="","",(SUMIFS(GL_Journal!$S:$S,GL_Journal!$G:$G,$E35,GL_Journal!$D:$D,"&lt;"&amp;TR_From)-SUMIFS(GL_Journal!$T:$T,GL_Journal!$G:$G,$E35,GL_Journal!$D:$D,"&lt;"&amp;TR_From)))</f>
        <v/>
      </c>
      <c r="G35" s="43">
        <f>IF($A35="","",SUMIFS(GL_Journal!$S:$S,GL_Journal!$G:$G,$E35,GL_Journal!$D:$D,"&gt;="&amp;TR_From,GL_Journal!$D:$D,"&lt;="&amp;TR_To))</f>
        <v/>
      </c>
      <c r="H35" s="43">
        <f>IF($A35="","",SUMIFS(GL_Journal!$T:$T,GL_Journal!$G:$G,$E35,GL_Journal!$D:$D,"&gt;="&amp;TR_From,GL_Journal!$D:$D,"&lt;="&amp;TR_To))</f>
        <v/>
      </c>
      <c r="I35" s="47">
        <f>IF($A35="","",$F35+$G35-$H35)</f>
        <v/>
      </c>
      <c r="J35" s="43">
        <f>IF($A35="","",SUMIFS(GL_Journal!$S:$S,GL_Journal!$G:$G,$E35,GL_Journal!$D:$D,TR_Day))</f>
        <v/>
      </c>
      <c r="K35" s="43">
        <f>IF($A35="","",SUMIFS(GL_Journal!$T:$T,GL_Journal!$G:$G,$E35,GL_Journal!$D:$D,TR_Day))</f>
        <v/>
      </c>
      <c r="L35" s="32">
        <f>IF($A35="","",IF($I35&lt;-S_Tol,"رصيد سالب - تحقق من المستندات",""))</f>
        <v/>
      </c>
    </row>
    <row r="36">
      <c r="A36" s="44">
        <f>IF(INDEX(Treasuries!$A:$A,ROW()-4)="","",INDEX(Treasuries!$A:$A,ROW()-4))</f>
        <v/>
      </c>
      <c r="B36" s="32">
        <f>IF($A36="","",INDEX(Treasuries!$B:$B,ROW()-4))</f>
        <v/>
      </c>
      <c r="C36" s="32">
        <f>IF($A36="","",INDEX(Treasuries!$C:$C,ROW()-4))</f>
        <v/>
      </c>
      <c r="D36" s="44">
        <f>IF($A36="","",INDEX(Treasuries!$D:$D,ROW()-4))</f>
        <v/>
      </c>
      <c r="E36" s="44">
        <f>IF($A36="","",INDEX(Treasuries!$E:$E,ROW()-4))</f>
        <v/>
      </c>
      <c r="F36" s="47">
        <f>IF($A36="","",(SUMIFS(GL_Journal!$S:$S,GL_Journal!$G:$G,$E36,GL_Journal!$D:$D,"&lt;"&amp;TR_From)-SUMIFS(GL_Journal!$T:$T,GL_Journal!$G:$G,$E36,GL_Journal!$D:$D,"&lt;"&amp;TR_From)))</f>
        <v/>
      </c>
      <c r="G36" s="43">
        <f>IF($A36="","",SUMIFS(GL_Journal!$S:$S,GL_Journal!$G:$G,$E36,GL_Journal!$D:$D,"&gt;="&amp;TR_From,GL_Journal!$D:$D,"&lt;="&amp;TR_To))</f>
        <v/>
      </c>
      <c r="H36" s="43">
        <f>IF($A36="","",SUMIFS(GL_Journal!$T:$T,GL_Journal!$G:$G,$E36,GL_Journal!$D:$D,"&gt;="&amp;TR_From,GL_Journal!$D:$D,"&lt;="&amp;TR_To))</f>
        <v/>
      </c>
      <c r="I36" s="47">
        <f>IF($A36="","",$F36+$G36-$H36)</f>
        <v/>
      </c>
      <c r="J36" s="43">
        <f>IF($A36="","",SUMIFS(GL_Journal!$S:$S,GL_Journal!$G:$G,$E36,GL_Journal!$D:$D,TR_Day))</f>
        <v/>
      </c>
      <c r="K36" s="43">
        <f>IF($A36="","",SUMIFS(GL_Journal!$T:$T,GL_Journal!$G:$G,$E36,GL_Journal!$D:$D,TR_Day))</f>
        <v/>
      </c>
      <c r="L36" s="32">
        <f>IF($A36="","",IF($I36&lt;-S_Tol,"رصيد سالب - تحقق من المستندات",""))</f>
        <v/>
      </c>
    </row>
    <row r="37">
      <c r="A37" s="44">
        <f>IF(INDEX(Treasuries!$A:$A,ROW()-4)="","",INDEX(Treasuries!$A:$A,ROW()-4))</f>
        <v/>
      </c>
      <c r="B37" s="32">
        <f>IF($A37="","",INDEX(Treasuries!$B:$B,ROW()-4))</f>
        <v/>
      </c>
      <c r="C37" s="32">
        <f>IF($A37="","",INDEX(Treasuries!$C:$C,ROW()-4))</f>
        <v/>
      </c>
      <c r="D37" s="44">
        <f>IF($A37="","",INDEX(Treasuries!$D:$D,ROW()-4))</f>
        <v/>
      </c>
      <c r="E37" s="44">
        <f>IF($A37="","",INDEX(Treasuries!$E:$E,ROW()-4))</f>
        <v/>
      </c>
      <c r="F37" s="47">
        <f>IF($A37="","",(SUMIFS(GL_Journal!$S:$S,GL_Journal!$G:$G,$E37,GL_Journal!$D:$D,"&lt;"&amp;TR_From)-SUMIFS(GL_Journal!$T:$T,GL_Journal!$G:$G,$E37,GL_Journal!$D:$D,"&lt;"&amp;TR_From)))</f>
        <v/>
      </c>
      <c r="G37" s="43">
        <f>IF($A37="","",SUMIFS(GL_Journal!$S:$S,GL_Journal!$G:$G,$E37,GL_Journal!$D:$D,"&gt;="&amp;TR_From,GL_Journal!$D:$D,"&lt;="&amp;TR_To))</f>
        <v/>
      </c>
      <c r="H37" s="43">
        <f>IF($A37="","",SUMIFS(GL_Journal!$T:$T,GL_Journal!$G:$G,$E37,GL_Journal!$D:$D,"&gt;="&amp;TR_From,GL_Journal!$D:$D,"&lt;="&amp;TR_To))</f>
        <v/>
      </c>
      <c r="I37" s="47">
        <f>IF($A37="","",$F37+$G37-$H37)</f>
        <v/>
      </c>
      <c r="J37" s="43">
        <f>IF($A37="","",SUMIFS(GL_Journal!$S:$S,GL_Journal!$G:$G,$E37,GL_Journal!$D:$D,TR_Day))</f>
        <v/>
      </c>
      <c r="K37" s="43">
        <f>IF($A37="","",SUMIFS(GL_Journal!$T:$T,GL_Journal!$G:$G,$E37,GL_Journal!$D:$D,TR_Day))</f>
        <v/>
      </c>
      <c r="L37" s="32">
        <f>IF($A37="","",IF($I37&lt;-S_Tol,"رصيد سالب - تحقق من المستندات",""))</f>
        <v/>
      </c>
    </row>
    <row r="38">
      <c r="A38" s="44">
        <f>IF(INDEX(Treasuries!$A:$A,ROW()-4)="","",INDEX(Treasuries!$A:$A,ROW()-4))</f>
        <v/>
      </c>
      <c r="B38" s="32">
        <f>IF($A38="","",INDEX(Treasuries!$B:$B,ROW()-4))</f>
        <v/>
      </c>
      <c r="C38" s="32">
        <f>IF($A38="","",INDEX(Treasuries!$C:$C,ROW()-4))</f>
        <v/>
      </c>
      <c r="D38" s="44">
        <f>IF($A38="","",INDEX(Treasuries!$D:$D,ROW()-4))</f>
        <v/>
      </c>
      <c r="E38" s="44">
        <f>IF($A38="","",INDEX(Treasuries!$E:$E,ROW()-4))</f>
        <v/>
      </c>
      <c r="F38" s="47">
        <f>IF($A38="","",(SUMIFS(GL_Journal!$S:$S,GL_Journal!$G:$G,$E38,GL_Journal!$D:$D,"&lt;"&amp;TR_From)-SUMIFS(GL_Journal!$T:$T,GL_Journal!$G:$G,$E38,GL_Journal!$D:$D,"&lt;"&amp;TR_From)))</f>
        <v/>
      </c>
      <c r="G38" s="43">
        <f>IF($A38="","",SUMIFS(GL_Journal!$S:$S,GL_Journal!$G:$G,$E38,GL_Journal!$D:$D,"&gt;="&amp;TR_From,GL_Journal!$D:$D,"&lt;="&amp;TR_To))</f>
        <v/>
      </c>
      <c r="H38" s="43">
        <f>IF($A38="","",SUMIFS(GL_Journal!$T:$T,GL_Journal!$G:$G,$E38,GL_Journal!$D:$D,"&gt;="&amp;TR_From,GL_Journal!$D:$D,"&lt;="&amp;TR_To))</f>
        <v/>
      </c>
      <c r="I38" s="47">
        <f>IF($A38="","",$F38+$G38-$H38)</f>
        <v/>
      </c>
      <c r="J38" s="43">
        <f>IF($A38="","",SUMIFS(GL_Journal!$S:$S,GL_Journal!$G:$G,$E38,GL_Journal!$D:$D,TR_Day))</f>
        <v/>
      </c>
      <c r="K38" s="43">
        <f>IF($A38="","",SUMIFS(GL_Journal!$T:$T,GL_Journal!$G:$G,$E38,GL_Journal!$D:$D,TR_Day))</f>
        <v/>
      </c>
      <c r="L38" s="32">
        <f>IF($A38="","",IF($I38&lt;-S_Tol,"رصيد سالب - تحقق من المستندات",""))</f>
        <v/>
      </c>
    </row>
  </sheetData>
  <sheetProtection selectLockedCells="0" selectUnlockedCells="0" sheet="1" objects="0" insertRows="1" insertHyperlinks="1" autoFilter="0" scenarios="0" formatColumns="0" deleteColumns="1" insertColumns="1" pivotTables="1" deleteRows="1" formatCells="0" formatRows="0" sort="1"/>
  <autoFilter ref="A8:L38"/>
  <conditionalFormatting sqref="L9:L38">
    <cfRule type="expression" priority="1" dxfId="3">
      <formula>LEN(L9)&gt;0</formula>
    </cfRule>
  </conditionalFormatting>
  <pageMargins left="0.75" right="0.75" top="1" bottom="1" header="0.5" footer="0.5"/>
  <pageSetup orientation="landscape" fitToHeight="0" fitToWidth="1"/>
</worksheet>
</file>

<file path=xl/worksheets/sheet31.xml><?xml version="1.0" encoding="utf-8"?>
<worksheet xmlns="http://schemas.openxmlformats.org/spreadsheetml/2006/main">
  <sheetPr>
    <tabColor rgb="00BF8F00"/>
    <outlinePr summaryBelow="1" summaryRight="1"/>
    <pageSetUpPr/>
  </sheetPr>
  <dimension ref="A1:H22"/>
  <sheetViews>
    <sheetView rightToLeft="1" workbookViewId="0">
      <pane xSplit="1" ySplit="7" topLeftCell="B8" activePane="bottomRight" state="frozen"/>
      <selection pane="topRight"/>
      <selection pane="bottomLeft"/>
      <selection pane="bottomRight" activeCell="A1" sqref="A1"/>
    </sheetView>
  </sheetViews>
  <sheetFormatPr baseColWidth="8" defaultRowHeight="15"/>
  <cols>
    <col width="44"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22" t="inlineStr">
        <is>
          <t>قائمة التدفقات النقدية (الطريقة المباشرة المبسطة)</t>
        </is>
      </c>
      <c r="B1" s="1" t="n"/>
      <c r="C1" s="1" t="n"/>
      <c r="D1" s="1" t="n"/>
      <c r="E1" s="1" t="n"/>
      <c r="F1" s="1" t="n"/>
      <c r="G1" s="1" t="n"/>
      <c r="H1" s="1" t="n"/>
    </row>
    <row r="2">
      <c r="A2" s="26" t="inlineStr">
        <is>
          <t>كل سطر نقدي (خزائن وبنوك) يحمل تصنيف تدفق من مستنده. عمود (التحويلات الداخلية) يجب أن يساوي صفرًا؛ أي رقم فيه يعني تحويلًا غير مكتمل.</t>
        </is>
      </c>
    </row>
    <row r="4">
      <c r="A4" s="53" t="inlineStr">
        <is>
          <t>من تاريخ</t>
        </is>
      </c>
      <c r="B4" s="31">
        <f>S_From</f>
        <v/>
      </c>
    </row>
    <row r="5">
      <c r="A5" s="53" t="inlineStr">
        <is>
          <t>إلى تاريخ</t>
        </is>
      </c>
      <c r="B5" s="31">
        <f>S_To</f>
        <v/>
      </c>
    </row>
    <row r="7">
      <c r="A7" s="54" t="inlineStr">
        <is>
          <t>مصدر الحركة</t>
        </is>
      </c>
      <c r="B7" s="54" t="inlineStr">
        <is>
          <t>تشغيلية</t>
        </is>
      </c>
      <c r="C7" s="54" t="inlineStr">
        <is>
          <t>استثمارية</t>
        </is>
      </c>
      <c r="D7" s="54" t="inlineStr">
        <is>
          <t>تمويلية</t>
        </is>
      </c>
      <c r="E7" s="54" t="inlineStr">
        <is>
          <t>تحويلات داخلية (=0)</t>
        </is>
      </c>
      <c r="F7" s="54" t="inlineStr">
        <is>
          <t>رصيد افتتاحي مرحّل</t>
        </is>
      </c>
      <c r="G7" s="54" t="inlineStr">
        <is>
          <t>الإجمالي</t>
        </is>
      </c>
    </row>
    <row r="8">
      <c r="A8" s="8" t="inlineStr">
        <is>
          <t>مقبوضات المبيعات النقدية والتحويلات المباشرة</t>
        </is>
      </c>
      <c r="B8" s="55">
        <f>(SUMIFS(GL_Journal!$S:$S,GL_Journal!$V:$V,1,GL_Journal!$F:$F,"SAL",GL_Journal!$W:$W,"OPERATING",GL_Journal!$D:$D,"&gt;="&amp;CF_From,GL_Journal!$D:$D,"&lt;="&amp;CF_To)-SUMIFS(GL_Journal!$T:$T,GL_Journal!$V:$V,1,GL_Journal!$F:$F,"SAL",GL_Journal!$W:$W,"OPERATING",GL_Journal!$D:$D,"&gt;="&amp;CF_From,GL_Journal!$D:$D,"&lt;="&amp;CF_To))</f>
        <v/>
      </c>
      <c r="C8" s="55">
        <f>(SUMIFS(GL_Journal!$S:$S,GL_Journal!$V:$V,1,GL_Journal!$F:$F,"SAL",GL_Journal!$W:$W,"INVESTING",GL_Journal!$D:$D,"&gt;="&amp;CF_From,GL_Journal!$D:$D,"&lt;="&amp;CF_To)-SUMIFS(GL_Journal!$T:$T,GL_Journal!$V:$V,1,GL_Journal!$F:$F,"SAL",GL_Journal!$W:$W,"INVESTING",GL_Journal!$D:$D,"&gt;="&amp;CF_From,GL_Journal!$D:$D,"&lt;="&amp;CF_To))</f>
        <v/>
      </c>
      <c r="D8" s="55">
        <f>(SUMIFS(GL_Journal!$S:$S,GL_Journal!$V:$V,1,GL_Journal!$F:$F,"SAL",GL_Journal!$W:$W,"FINANCING",GL_Journal!$D:$D,"&gt;="&amp;CF_From,GL_Journal!$D:$D,"&lt;="&amp;CF_To)-SUMIFS(GL_Journal!$T:$T,GL_Journal!$V:$V,1,GL_Journal!$F:$F,"SAL",GL_Journal!$W:$W,"FINANCING",GL_Journal!$D:$D,"&gt;="&amp;CF_From,GL_Journal!$D:$D,"&lt;="&amp;CF_To))</f>
        <v/>
      </c>
      <c r="E8" s="55">
        <f>(SUMIFS(GL_Journal!$S:$S,GL_Journal!$V:$V,1,GL_Journal!$F:$F,"SAL",GL_Journal!$W:$W,"INTERNAL",GL_Journal!$D:$D,"&gt;="&amp;CF_From,GL_Journal!$D:$D,"&lt;="&amp;CF_To)-SUMIFS(GL_Journal!$T:$T,GL_Journal!$V:$V,1,GL_Journal!$F:$F,"SAL",GL_Journal!$W:$W,"INTERNAL",GL_Journal!$D:$D,"&gt;="&amp;CF_From,GL_Journal!$D:$D,"&lt;="&amp;CF_To))</f>
        <v/>
      </c>
      <c r="F8" s="55">
        <f>(SUMIFS(GL_Journal!$S:$S,GL_Journal!$V:$V,1,GL_Journal!$F:$F,"SAL",GL_Journal!$W:$W,"OPENING",GL_Journal!$D:$D,"&gt;="&amp;CF_From,GL_Journal!$D:$D,"&lt;="&amp;CF_To)-SUMIFS(GL_Journal!$T:$T,GL_Journal!$V:$V,1,GL_Journal!$F:$F,"SAL",GL_Journal!$W:$W,"OPENING",GL_Journal!$D:$D,"&gt;="&amp;CF_From,GL_Journal!$D:$D,"&lt;="&amp;CF_To))</f>
        <v/>
      </c>
      <c r="G8" s="55">
        <f>SUM(B8:F8)</f>
        <v/>
      </c>
    </row>
    <row r="9">
      <c r="A9" s="8" t="inlineStr">
        <is>
          <t>تحصيل تسويات المنصات والبطاقات</t>
        </is>
      </c>
      <c r="B9" s="55">
        <f>(SUMIFS(GL_Journal!$S:$S,GL_Journal!$V:$V,1,GL_Journal!$F:$F,"PLT",GL_Journal!$W:$W,"OPERATING",GL_Journal!$D:$D,"&gt;="&amp;CF_From,GL_Journal!$D:$D,"&lt;="&amp;CF_To)-SUMIFS(GL_Journal!$T:$T,GL_Journal!$V:$V,1,GL_Journal!$F:$F,"PLT",GL_Journal!$W:$W,"OPERATING",GL_Journal!$D:$D,"&gt;="&amp;CF_From,GL_Journal!$D:$D,"&lt;="&amp;CF_To))</f>
        <v/>
      </c>
      <c r="C9" s="55">
        <f>(SUMIFS(GL_Journal!$S:$S,GL_Journal!$V:$V,1,GL_Journal!$F:$F,"PLT",GL_Journal!$W:$W,"INVESTING",GL_Journal!$D:$D,"&gt;="&amp;CF_From,GL_Journal!$D:$D,"&lt;="&amp;CF_To)-SUMIFS(GL_Journal!$T:$T,GL_Journal!$V:$V,1,GL_Journal!$F:$F,"PLT",GL_Journal!$W:$W,"INVESTING",GL_Journal!$D:$D,"&gt;="&amp;CF_From,GL_Journal!$D:$D,"&lt;="&amp;CF_To))</f>
        <v/>
      </c>
      <c r="D9" s="55">
        <f>(SUMIFS(GL_Journal!$S:$S,GL_Journal!$V:$V,1,GL_Journal!$F:$F,"PLT",GL_Journal!$W:$W,"FINANCING",GL_Journal!$D:$D,"&gt;="&amp;CF_From,GL_Journal!$D:$D,"&lt;="&amp;CF_To)-SUMIFS(GL_Journal!$T:$T,GL_Journal!$V:$V,1,GL_Journal!$F:$F,"PLT",GL_Journal!$W:$W,"FINANCING",GL_Journal!$D:$D,"&gt;="&amp;CF_From,GL_Journal!$D:$D,"&lt;="&amp;CF_To))</f>
        <v/>
      </c>
      <c r="E9" s="55">
        <f>(SUMIFS(GL_Journal!$S:$S,GL_Journal!$V:$V,1,GL_Journal!$F:$F,"PLT",GL_Journal!$W:$W,"INTERNAL",GL_Journal!$D:$D,"&gt;="&amp;CF_From,GL_Journal!$D:$D,"&lt;="&amp;CF_To)-SUMIFS(GL_Journal!$T:$T,GL_Journal!$V:$V,1,GL_Journal!$F:$F,"PLT",GL_Journal!$W:$W,"INTERNAL",GL_Journal!$D:$D,"&gt;="&amp;CF_From,GL_Journal!$D:$D,"&lt;="&amp;CF_To))</f>
        <v/>
      </c>
      <c r="F9" s="55">
        <f>(SUMIFS(GL_Journal!$S:$S,GL_Journal!$V:$V,1,GL_Journal!$F:$F,"PLT",GL_Journal!$W:$W,"OPENING",GL_Journal!$D:$D,"&gt;="&amp;CF_From,GL_Journal!$D:$D,"&lt;="&amp;CF_To)-SUMIFS(GL_Journal!$T:$T,GL_Journal!$V:$V,1,GL_Journal!$F:$F,"PLT",GL_Journal!$W:$W,"OPENING",GL_Journal!$D:$D,"&gt;="&amp;CF_From,GL_Journal!$D:$D,"&lt;="&amp;CF_To))</f>
        <v/>
      </c>
      <c r="G9" s="55">
        <f>SUM(B9:F9)</f>
        <v/>
      </c>
    </row>
    <row r="10">
      <c r="A10" s="8" t="inlineStr">
        <is>
          <t>مشتريات مدفوعة فورًا</t>
        </is>
      </c>
      <c r="B10" s="55">
        <f>(SUMIFS(GL_Journal!$S:$S,GL_Journal!$V:$V,1,GL_Journal!$F:$F,"SINV",GL_Journal!$W:$W,"OPERATING",GL_Journal!$D:$D,"&gt;="&amp;CF_From,GL_Journal!$D:$D,"&lt;="&amp;CF_To)-SUMIFS(GL_Journal!$T:$T,GL_Journal!$V:$V,1,GL_Journal!$F:$F,"SINV",GL_Journal!$W:$W,"OPERATING",GL_Journal!$D:$D,"&gt;="&amp;CF_From,GL_Journal!$D:$D,"&lt;="&amp;CF_To))</f>
        <v/>
      </c>
      <c r="C10" s="55">
        <f>(SUMIFS(GL_Journal!$S:$S,GL_Journal!$V:$V,1,GL_Journal!$F:$F,"SINV",GL_Journal!$W:$W,"INVESTING",GL_Journal!$D:$D,"&gt;="&amp;CF_From,GL_Journal!$D:$D,"&lt;="&amp;CF_To)-SUMIFS(GL_Journal!$T:$T,GL_Journal!$V:$V,1,GL_Journal!$F:$F,"SINV",GL_Journal!$W:$W,"INVESTING",GL_Journal!$D:$D,"&gt;="&amp;CF_From,GL_Journal!$D:$D,"&lt;="&amp;CF_To))</f>
        <v/>
      </c>
      <c r="D10" s="55">
        <f>(SUMIFS(GL_Journal!$S:$S,GL_Journal!$V:$V,1,GL_Journal!$F:$F,"SINV",GL_Journal!$W:$W,"FINANCING",GL_Journal!$D:$D,"&gt;="&amp;CF_From,GL_Journal!$D:$D,"&lt;="&amp;CF_To)-SUMIFS(GL_Journal!$T:$T,GL_Journal!$V:$V,1,GL_Journal!$F:$F,"SINV",GL_Journal!$W:$W,"FINANCING",GL_Journal!$D:$D,"&gt;="&amp;CF_From,GL_Journal!$D:$D,"&lt;="&amp;CF_To))</f>
        <v/>
      </c>
      <c r="E10" s="55">
        <f>(SUMIFS(GL_Journal!$S:$S,GL_Journal!$V:$V,1,GL_Journal!$F:$F,"SINV",GL_Journal!$W:$W,"INTERNAL",GL_Journal!$D:$D,"&gt;="&amp;CF_From,GL_Journal!$D:$D,"&lt;="&amp;CF_To)-SUMIFS(GL_Journal!$T:$T,GL_Journal!$V:$V,1,GL_Journal!$F:$F,"SINV",GL_Journal!$W:$W,"INTERNAL",GL_Journal!$D:$D,"&gt;="&amp;CF_From,GL_Journal!$D:$D,"&lt;="&amp;CF_To))</f>
        <v/>
      </c>
      <c r="F10" s="55">
        <f>(SUMIFS(GL_Journal!$S:$S,GL_Journal!$V:$V,1,GL_Journal!$F:$F,"SINV",GL_Journal!$W:$W,"OPENING",GL_Journal!$D:$D,"&gt;="&amp;CF_From,GL_Journal!$D:$D,"&lt;="&amp;CF_To)-SUMIFS(GL_Journal!$T:$T,GL_Journal!$V:$V,1,GL_Journal!$F:$F,"SINV",GL_Journal!$W:$W,"OPENING",GL_Journal!$D:$D,"&gt;="&amp;CF_From,GL_Journal!$D:$D,"&lt;="&amp;CF_To))</f>
        <v/>
      </c>
      <c r="G10" s="55">
        <f>SUM(B10:F10)</f>
        <v/>
      </c>
    </row>
    <row r="11">
      <c r="A11" s="8" t="inlineStr">
        <is>
          <t>دفعات الموردين</t>
        </is>
      </c>
      <c r="B11" s="55">
        <f>(SUMIFS(GL_Journal!$S:$S,GL_Journal!$V:$V,1,GL_Journal!$F:$F,"SPAY",GL_Journal!$W:$W,"OPERATING",GL_Journal!$D:$D,"&gt;="&amp;CF_From,GL_Journal!$D:$D,"&lt;="&amp;CF_To)-SUMIFS(GL_Journal!$T:$T,GL_Journal!$V:$V,1,GL_Journal!$F:$F,"SPAY",GL_Journal!$W:$W,"OPERATING",GL_Journal!$D:$D,"&gt;="&amp;CF_From,GL_Journal!$D:$D,"&lt;="&amp;CF_To))</f>
        <v/>
      </c>
      <c r="C11" s="55">
        <f>(SUMIFS(GL_Journal!$S:$S,GL_Journal!$V:$V,1,GL_Journal!$F:$F,"SPAY",GL_Journal!$W:$W,"INVESTING",GL_Journal!$D:$D,"&gt;="&amp;CF_From,GL_Journal!$D:$D,"&lt;="&amp;CF_To)-SUMIFS(GL_Journal!$T:$T,GL_Journal!$V:$V,1,GL_Journal!$F:$F,"SPAY",GL_Journal!$W:$W,"INVESTING",GL_Journal!$D:$D,"&gt;="&amp;CF_From,GL_Journal!$D:$D,"&lt;="&amp;CF_To))</f>
        <v/>
      </c>
      <c r="D11" s="55">
        <f>(SUMIFS(GL_Journal!$S:$S,GL_Journal!$V:$V,1,GL_Journal!$F:$F,"SPAY",GL_Journal!$W:$W,"FINANCING",GL_Journal!$D:$D,"&gt;="&amp;CF_From,GL_Journal!$D:$D,"&lt;="&amp;CF_To)-SUMIFS(GL_Journal!$T:$T,GL_Journal!$V:$V,1,GL_Journal!$F:$F,"SPAY",GL_Journal!$W:$W,"FINANCING",GL_Journal!$D:$D,"&gt;="&amp;CF_From,GL_Journal!$D:$D,"&lt;="&amp;CF_To))</f>
        <v/>
      </c>
      <c r="E11" s="55">
        <f>(SUMIFS(GL_Journal!$S:$S,GL_Journal!$V:$V,1,GL_Journal!$F:$F,"SPAY",GL_Journal!$W:$W,"INTERNAL",GL_Journal!$D:$D,"&gt;="&amp;CF_From,GL_Journal!$D:$D,"&lt;="&amp;CF_To)-SUMIFS(GL_Journal!$T:$T,GL_Journal!$V:$V,1,GL_Journal!$F:$F,"SPAY",GL_Journal!$W:$W,"INTERNAL",GL_Journal!$D:$D,"&gt;="&amp;CF_From,GL_Journal!$D:$D,"&lt;="&amp;CF_To))</f>
        <v/>
      </c>
      <c r="F11" s="55">
        <f>(SUMIFS(GL_Journal!$S:$S,GL_Journal!$V:$V,1,GL_Journal!$F:$F,"SPAY",GL_Journal!$W:$W,"OPENING",GL_Journal!$D:$D,"&gt;="&amp;CF_From,GL_Journal!$D:$D,"&lt;="&amp;CF_To)-SUMIFS(GL_Journal!$T:$T,GL_Journal!$V:$V,1,GL_Journal!$F:$F,"SPAY",GL_Journal!$W:$W,"OPENING",GL_Journal!$D:$D,"&gt;="&amp;CF_From,GL_Journal!$D:$D,"&lt;="&amp;CF_To))</f>
        <v/>
      </c>
      <c r="G11" s="55">
        <f>SUM(B11:F11)</f>
        <v/>
      </c>
    </row>
    <row r="12">
      <c r="A12" s="8" t="inlineStr">
        <is>
          <t>مصروفات مدفوعة فورًا</t>
        </is>
      </c>
      <c r="B12" s="55">
        <f>(SUMIFS(GL_Journal!$S:$S,GL_Journal!$V:$V,1,GL_Journal!$F:$F,"EXP",GL_Journal!$W:$W,"OPERATING",GL_Journal!$D:$D,"&gt;="&amp;CF_From,GL_Journal!$D:$D,"&lt;="&amp;CF_To)-SUMIFS(GL_Journal!$T:$T,GL_Journal!$V:$V,1,GL_Journal!$F:$F,"EXP",GL_Journal!$W:$W,"OPERATING",GL_Journal!$D:$D,"&gt;="&amp;CF_From,GL_Journal!$D:$D,"&lt;="&amp;CF_To))</f>
        <v/>
      </c>
      <c r="C12" s="55">
        <f>(SUMIFS(GL_Journal!$S:$S,GL_Journal!$V:$V,1,GL_Journal!$F:$F,"EXP",GL_Journal!$W:$W,"INVESTING",GL_Journal!$D:$D,"&gt;="&amp;CF_From,GL_Journal!$D:$D,"&lt;="&amp;CF_To)-SUMIFS(GL_Journal!$T:$T,GL_Journal!$V:$V,1,GL_Journal!$F:$F,"EXP",GL_Journal!$W:$W,"INVESTING",GL_Journal!$D:$D,"&gt;="&amp;CF_From,GL_Journal!$D:$D,"&lt;="&amp;CF_To))</f>
        <v/>
      </c>
      <c r="D12" s="55">
        <f>(SUMIFS(GL_Journal!$S:$S,GL_Journal!$V:$V,1,GL_Journal!$F:$F,"EXP",GL_Journal!$W:$W,"FINANCING",GL_Journal!$D:$D,"&gt;="&amp;CF_From,GL_Journal!$D:$D,"&lt;="&amp;CF_To)-SUMIFS(GL_Journal!$T:$T,GL_Journal!$V:$V,1,GL_Journal!$F:$F,"EXP",GL_Journal!$W:$W,"FINANCING",GL_Journal!$D:$D,"&gt;="&amp;CF_From,GL_Journal!$D:$D,"&lt;="&amp;CF_To))</f>
        <v/>
      </c>
      <c r="E12" s="55">
        <f>(SUMIFS(GL_Journal!$S:$S,GL_Journal!$V:$V,1,GL_Journal!$F:$F,"EXP",GL_Journal!$W:$W,"INTERNAL",GL_Journal!$D:$D,"&gt;="&amp;CF_From,GL_Journal!$D:$D,"&lt;="&amp;CF_To)-SUMIFS(GL_Journal!$T:$T,GL_Journal!$V:$V,1,GL_Journal!$F:$F,"EXP",GL_Journal!$W:$W,"INTERNAL",GL_Journal!$D:$D,"&gt;="&amp;CF_From,GL_Journal!$D:$D,"&lt;="&amp;CF_To))</f>
        <v/>
      </c>
      <c r="F12" s="55">
        <f>(SUMIFS(GL_Journal!$S:$S,GL_Journal!$V:$V,1,GL_Journal!$F:$F,"EXP",GL_Journal!$W:$W,"OPENING",GL_Journal!$D:$D,"&gt;="&amp;CF_From,GL_Journal!$D:$D,"&lt;="&amp;CF_To)-SUMIFS(GL_Journal!$T:$T,GL_Journal!$V:$V,1,GL_Journal!$F:$F,"EXP",GL_Journal!$W:$W,"OPENING",GL_Journal!$D:$D,"&gt;="&amp;CF_From,GL_Journal!$D:$D,"&lt;="&amp;CF_To))</f>
        <v/>
      </c>
      <c r="G12" s="55">
        <f>SUM(B12:F12)</f>
        <v/>
      </c>
    </row>
    <row r="13">
      <c r="A13" s="8" t="inlineStr">
        <is>
          <t>سندات الخزينة (قبض/صرف/تحويل/عجز)</t>
        </is>
      </c>
      <c r="B13" s="55">
        <f>(SUMIFS(GL_Journal!$S:$S,GL_Journal!$V:$V,1,GL_Journal!$F:$F,"CV",GL_Journal!$W:$W,"OPERATING",GL_Journal!$D:$D,"&gt;="&amp;CF_From,GL_Journal!$D:$D,"&lt;="&amp;CF_To)-SUMIFS(GL_Journal!$T:$T,GL_Journal!$V:$V,1,GL_Journal!$F:$F,"CV",GL_Journal!$W:$W,"OPERATING",GL_Journal!$D:$D,"&gt;="&amp;CF_From,GL_Journal!$D:$D,"&lt;="&amp;CF_To))</f>
        <v/>
      </c>
      <c r="C13" s="55">
        <f>(SUMIFS(GL_Journal!$S:$S,GL_Journal!$V:$V,1,GL_Journal!$F:$F,"CV",GL_Journal!$W:$W,"INVESTING",GL_Journal!$D:$D,"&gt;="&amp;CF_From,GL_Journal!$D:$D,"&lt;="&amp;CF_To)-SUMIFS(GL_Journal!$T:$T,GL_Journal!$V:$V,1,GL_Journal!$F:$F,"CV",GL_Journal!$W:$W,"INVESTING",GL_Journal!$D:$D,"&gt;="&amp;CF_From,GL_Journal!$D:$D,"&lt;="&amp;CF_To))</f>
        <v/>
      </c>
      <c r="D13" s="55">
        <f>(SUMIFS(GL_Journal!$S:$S,GL_Journal!$V:$V,1,GL_Journal!$F:$F,"CV",GL_Journal!$W:$W,"FINANCING",GL_Journal!$D:$D,"&gt;="&amp;CF_From,GL_Journal!$D:$D,"&lt;="&amp;CF_To)-SUMIFS(GL_Journal!$T:$T,GL_Journal!$V:$V,1,GL_Journal!$F:$F,"CV",GL_Journal!$W:$W,"FINANCING",GL_Journal!$D:$D,"&gt;="&amp;CF_From,GL_Journal!$D:$D,"&lt;="&amp;CF_To))</f>
        <v/>
      </c>
      <c r="E13" s="55">
        <f>(SUMIFS(GL_Journal!$S:$S,GL_Journal!$V:$V,1,GL_Journal!$F:$F,"CV",GL_Journal!$W:$W,"INTERNAL",GL_Journal!$D:$D,"&gt;="&amp;CF_From,GL_Journal!$D:$D,"&lt;="&amp;CF_To)-SUMIFS(GL_Journal!$T:$T,GL_Journal!$V:$V,1,GL_Journal!$F:$F,"CV",GL_Journal!$W:$W,"INTERNAL",GL_Journal!$D:$D,"&gt;="&amp;CF_From,GL_Journal!$D:$D,"&lt;="&amp;CF_To))</f>
        <v/>
      </c>
      <c r="F13" s="55">
        <f>(SUMIFS(GL_Journal!$S:$S,GL_Journal!$V:$V,1,GL_Journal!$F:$F,"CV",GL_Journal!$W:$W,"OPENING",GL_Journal!$D:$D,"&gt;="&amp;CF_From,GL_Journal!$D:$D,"&lt;="&amp;CF_To)-SUMIFS(GL_Journal!$T:$T,GL_Journal!$V:$V,1,GL_Journal!$F:$F,"CV",GL_Journal!$W:$W,"OPENING",GL_Journal!$D:$D,"&gt;="&amp;CF_From,GL_Journal!$D:$D,"&lt;="&amp;CF_To))</f>
        <v/>
      </c>
      <c r="G13" s="55">
        <f>SUM(B13:F13)</f>
        <v/>
      </c>
    </row>
    <row r="14">
      <c r="A14" s="8" t="inlineStr">
        <is>
          <t>قيود يدوية تمس النقدية (افتتاحي/تسويات)</t>
        </is>
      </c>
      <c r="B14" s="55">
        <f>(SUMIFS(GL_Journal!$S:$S,GL_Journal!$V:$V,1,GL_Journal!$F:$F,"MJE",GL_Journal!$W:$W,"OPERATING",GL_Journal!$D:$D,"&gt;="&amp;CF_From,GL_Journal!$D:$D,"&lt;="&amp;CF_To)-SUMIFS(GL_Journal!$T:$T,GL_Journal!$V:$V,1,GL_Journal!$F:$F,"MJE",GL_Journal!$W:$W,"OPERATING",GL_Journal!$D:$D,"&gt;="&amp;CF_From,GL_Journal!$D:$D,"&lt;="&amp;CF_To))</f>
        <v/>
      </c>
      <c r="C14" s="55">
        <f>(SUMIFS(GL_Journal!$S:$S,GL_Journal!$V:$V,1,GL_Journal!$F:$F,"MJE",GL_Journal!$W:$W,"INVESTING",GL_Journal!$D:$D,"&gt;="&amp;CF_From,GL_Journal!$D:$D,"&lt;="&amp;CF_To)-SUMIFS(GL_Journal!$T:$T,GL_Journal!$V:$V,1,GL_Journal!$F:$F,"MJE",GL_Journal!$W:$W,"INVESTING",GL_Journal!$D:$D,"&gt;="&amp;CF_From,GL_Journal!$D:$D,"&lt;="&amp;CF_To))</f>
        <v/>
      </c>
      <c r="D14" s="55">
        <f>(SUMIFS(GL_Journal!$S:$S,GL_Journal!$V:$V,1,GL_Journal!$F:$F,"MJE",GL_Journal!$W:$W,"FINANCING",GL_Journal!$D:$D,"&gt;="&amp;CF_From,GL_Journal!$D:$D,"&lt;="&amp;CF_To)-SUMIFS(GL_Journal!$T:$T,GL_Journal!$V:$V,1,GL_Journal!$F:$F,"MJE",GL_Journal!$W:$W,"FINANCING",GL_Journal!$D:$D,"&gt;="&amp;CF_From,GL_Journal!$D:$D,"&lt;="&amp;CF_To))</f>
        <v/>
      </c>
      <c r="E14" s="55">
        <f>(SUMIFS(GL_Journal!$S:$S,GL_Journal!$V:$V,1,GL_Journal!$F:$F,"MJE",GL_Journal!$W:$W,"INTERNAL",GL_Journal!$D:$D,"&gt;="&amp;CF_From,GL_Journal!$D:$D,"&lt;="&amp;CF_To)-SUMIFS(GL_Journal!$T:$T,GL_Journal!$V:$V,1,GL_Journal!$F:$F,"MJE",GL_Journal!$W:$W,"INTERNAL",GL_Journal!$D:$D,"&gt;="&amp;CF_From,GL_Journal!$D:$D,"&lt;="&amp;CF_To))</f>
        <v/>
      </c>
      <c r="F14" s="55">
        <f>(SUMIFS(GL_Journal!$S:$S,GL_Journal!$V:$V,1,GL_Journal!$F:$F,"MJE",GL_Journal!$W:$W,"OPENING",GL_Journal!$D:$D,"&gt;="&amp;CF_From,GL_Journal!$D:$D,"&lt;="&amp;CF_To)-SUMIFS(GL_Journal!$T:$T,GL_Journal!$V:$V,1,GL_Journal!$F:$F,"MJE",GL_Journal!$W:$W,"OPENING",GL_Journal!$D:$D,"&gt;="&amp;CF_From,GL_Journal!$D:$D,"&lt;="&amp;CF_To))</f>
        <v/>
      </c>
      <c r="G14" s="55">
        <f>SUM(B14:F14)</f>
        <v/>
      </c>
    </row>
    <row r="15">
      <c r="A15" s="27" t="inlineStr">
        <is>
          <t>صافي التدفق</t>
        </is>
      </c>
      <c r="B15" s="56">
        <f>SUM(B8:B14)</f>
        <v/>
      </c>
      <c r="C15" s="56">
        <f>SUM(C8:C14)</f>
        <v/>
      </c>
      <c r="D15" s="56">
        <f>SUM(D8:D14)</f>
        <v/>
      </c>
      <c r="E15" s="56">
        <f>SUM(E8:E14)</f>
        <v/>
      </c>
      <c r="F15" s="56">
        <f>SUM(F8:F14)</f>
        <v/>
      </c>
      <c r="G15" s="56">
        <f>SUM(G8:G14)</f>
        <v/>
      </c>
    </row>
    <row r="17">
      <c r="A17" s="27" t="inlineStr">
        <is>
          <t>رصيد النقدية والبنوك أول الفترة</t>
        </is>
      </c>
      <c r="B17" s="55">
        <f>(SUMIFS(GL_Journal!$S:$S,GL_Journal!$V:$V,1,GL_Journal!$D:$D,"&lt;"&amp;CF_From)-SUMIFS(GL_Journal!$T:$T,GL_Journal!$V:$V,1,GL_Journal!$D:$D,"&lt;"&amp;CF_From))</f>
        <v/>
      </c>
    </row>
    <row r="18">
      <c r="A18" s="27" t="inlineStr">
        <is>
          <t>(+) صافي التدفق خلال الفترة</t>
        </is>
      </c>
      <c r="B18" s="55">
        <f>G15</f>
        <v/>
      </c>
    </row>
    <row r="19">
      <c r="A19" s="27" t="inlineStr">
        <is>
          <t>رصيد النقدية والبنوك آخر الفترة (محسوب)</t>
        </is>
      </c>
      <c r="B19" s="55">
        <f>B17+B18</f>
        <v/>
      </c>
    </row>
    <row r="20">
      <c r="A20" s="27" t="inlineStr">
        <is>
          <t>رصيد النقدية والبنوك من الأستاذ العام</t>
        </is>
      </c>
      <c r="B20" s="55">
        <f>(SUMIFS(GL_Journal!$S:$S,GL_Journal!$V:$V,1,GL_Journal!$D:$D,"&lt;="&amp;CF_To)-SUMIFS(GL_Journal!$T:$T,GL_Journal!$V:$V,1,GL_Journal!$D:$D,"&lt;="&amp;CF_To))</f>
        <v/>
      </c>
    </row>
    <row r="21">
      <c r="A21" s="27" t="inlineStr">
        <is>
          <t>الفرق</t>
        </is>
      </c>
      <c r="B21" s="55">
        <f>ROUND(B19-B20,2)</f>
        <v/>
      </c>
      <c r="C21">
        <f>IF(ABS(B21)&lt;=S_Tol,"✔ متطابق","✖ فرق")</f>
        <v/>
      </c>
    </row>
    <row r="22">
      <c r="A22" s="27" t="inlineStr">
        <is>
          <t>فحص: التحويلات الداخلية صافيها صفر</t>
        </is>
      </c>
      <c r="B22" s="55">
        <f>E15</f>
        <v/>
      </c>
      <c r="C22">
        <f>IF(ABS(B22)&lt;=S_Tol,"✔","✖ تحويل غير مكتمل")</f>
        <v/>
      </c>
    </row>
  </sheetData>
  <sheetProtection selectLockedCells="0" selectUnlockedCells="0" sheet="1" objects="0" insertRows="1" insertHyperlinks="1" autoFilter="0" scenarios="0" formatColumns="0" deleteColumns="1" insertColumns="1" pivotTables="1" deleteRows="1" formatCells="0" formatRows="0" sort="1"/>
  <pageMargins left="0.75" right="0.75" top="1" bottom="1" header="0.5" footer="0.5"/>
</worksheet>
</file>

<file path=xl/worksheets/sheet32.xml><?xml version="1.0" encoding="utf-8"?>
<worksheet xmlns="http://schemas.openxmlformats.org/spreadsheetml/2006/main">
  <sheetPr>
    <tabColor rgb="007030A0"/>
    <outlinePr summaryBelow="1" summaryRight="1"/>
    <pageSetUpPr fitToPage="1"/>
  </sheetPr>
  <dimension ref="A1:AG8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0" customWidth="1" min="3" max="3"/>
    <col width="12" customWidth="1" min="4" max="4"/>
    <col width="12" customWidth="1" min="5" max="5"/>
    <col width="16" customWidth="1" min="6" max="6"/>
    <col width="13" customWidth="1" min="7" max="7"/>
    <col width="9" customWidth="1" min="8" max="8"/>
    <col width="9" customWidth="1" min="9" max="9"/>
    <col width="13" customWidth="1" min="10" max="10"/>
    <col width="10" customWidth="1" min="11" max="11"/>
    <col width="13" customWidth="1" min="12" max="12"/>
    <col width="12" customWidth="1" min="13" max="13"/>
    <col width="12" customWidth="1" min="14" max="14"/>
    <col width="11" customWidth="1" min="15" max="15"/>
    <col width="22" customWidth="1" min="16" max="16"/>
    <col width="22" customWidth="1" min="17" max="17"/>
    <col width="22" customWidth="1" min="18" max="18"/>
    <col width="16" customWidth="1" min="19" max="19"/>
    <col width="18" customWidth="1" min="20" max="20"/>
    <col width="24" customWidth="1" min="21" max="21"/>
    <col hidden="1" width="7" customWidth="1" min="22" max="22"/>
    <col width="12" customWidth="1" min="23" max="23"/>
    <col hidden="1" width="8" customWidth="1" min="24" max="24"/>
    <col width="12" customWidth="1" min="25" max="25"/>
    <col hidden="1" width="9" customWidth="1" min="26" max="26"/>
    <col hidden="1" width="9" customWidth="1" min="27" max="27"/>
    <col width="11" customWidth="1" min="28" max="28"/>
    <col hidden="1" width="12" customWidth="1" min="29" max="29"/>
    <col hidden="1" width="7" customWidth="1" min="30" max="30"/>
    <col width="44" customWidth="1" min="31" max="31"/>
    <col hidden="1" width="6" customWidth="1" min="32" max="32"/>
    <col hidden="1" width="7" customWidth="1" min="33" max="33"/>
  </cols>
  <sheetData>
    <row r="1" ht="26" customHeight="1">
      <c r="A1" s="22" t="inlineStr">
        <is>
          <t>فواتير الموردين (Supplier Invoices &amp; Notes)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row>
    <row r="2">
      <c r="A2" s="35" t="inlineStr">
        <is>
          <t>تسجيل الفاتورة بعد الاستلام ومطابقة المستندات (طلب/أمر/استلام - المرحلة 2). يُمنع تسجيل نفس رقم الفاتورة لنفس المورد مرتين. مخزون = حساب مخزون (لا مصروف). شراء نقدي = اختر خزينة في (الدفع الفوري).</t>
        </is>
      </c>
    </row>
    <row r="3">
      <c r="A3" s="36" t="inlineStr">
        <is>
          <t>خلايا الإدخال</t>
        </is>
      </c>
      <c r="B3" s="37" t="inlineStr">
        <is>
          <t>معادلات (لا تعدّل)</t>
        </is>
      </c>
    </row>
    <row r="4" ht="34" customHeight="1">
      <c r="A4" s="24" t="inlineStr">
        <is>
          <t>رقم التسجيل الداخلي</t>
        </is>
      </c>
      <c r="B4" s="24" t="inlineStr">
        <is>
          <t>رقم فاتورة المورد</t>
        </is>
      </c>
      <c r="C4" s="24" t="inlineStr">
        <is>
          <t>المورد</t>
        </is>
      </c>
      <c r="D4" s="24" t="inlineStr">
        <is>
          <t>تاريخ الفاتورة</t>
        </is>
      </c>
      <c r="E4" s="24" t="inlineStr">
        <is>
          <t>تاريخ الإثبات المحاسبي</t>
        </is>
      </c>
      <c r="F4" s="24" t="inlineStr">
        <is>
          <t>النوع</t>
        </is>
      </c>
      <c r="G4" s="24" t="inlineStr">
        <is>
          <t>الحساب المدين (مخزون/أصل/مصروف)</t>
        </is>
      </c>
      <c r="H4" s="24" t="inlineStr">
        <is>
          <t>جهة الاستلام</t>
        </is>
      </c>
      <c r="I4" s="24" t="inlineStr">
        <is>
          <t>مركز التكلفة</t>
        </is>
      </c>
      <c r="J4" s="24" t="inlineStr">
        <is>
          <t>الصافي قبل الضريبة</t>
        </is>
      </c>
      <c r="K4" s="24" t="inlineStr">
        <is>
          <t>الضريبة</t>
        </is>
      </c>
      <c r="L4" s="24" t="inlineStr">
        <is>
          <t>الدفع الفوري (خزينة/بنك)</t>
        </is>
      </c>
      <c r="M4" s="24" t="inlineStr">
        <is>
          <t>أمر الشراء</t>
        </is>
      </c>
      <c r="N4" s="24" t="inlineStr">
        <is>
          <t>إذن الاستلام</t>
        </is>
      </c>
      <c r="O4" s="24" t="inlineStr">
        <is>
          <t>حالة المستند</t>
        </is>
      </c>
      <c r="P4" s="24" t="inlineStr">
        <is>
          <t>المُعِد / مقدم الطلب</t>
        </is>
      </c>
      <c r="Q4" s="24" t="inlineStr">
        <is>
          <t>المعتمد</t>
        </is>
      </c>
      <c r="R4" s="24" t="inlineStr">
        <is>
          <t>المحاسب المرحِّل</t>
        </is>
      </c>
      <c r="S4" s="24" t="inlineStr">
        <is>
          <t>مرفق / مرجع ورقي</t>
        </is>
      </c>
      <c r="T4" s="24" t="inlineStr">
        <is>
          <t>مرجع التصحيح / الإلغاء</t>
        </is>
      </c>
      <c r="U4" s="24" t="inlineStr">
        <is>
          <t>ملاحظات</t>
        </is>
      </c>
      <c r="V4" s="38" t="inlineStr">
        <is>
          <t>رمز النوع</t>
        </is>
      </c>
      <c r="W4" s="38" t="inlineStr">
        <is>
          <t>الإجمالي</t>
        </is>
      </c>
      <c r="X4" s="38" t="inlineStr">
        <is>
          <t>مدة السداد</t>
        </is>
      </c>
      <c r="Y4" s="38" t="inlineStr">
        <is>
          <t>تاريخ الاستحقاق</t>
        </is>
      </c>
      <c r="Z4" s="38" t="inlineStr">
        <is>
          <t>فاتورة مكررة؟</t>
        </is>
      </c>
      <c r="AA4" s="38" t="inlineStr">
        <is>
          <t>حساب الدفع الفوري</t>
        </is>
      </c>
      <c r="AB4" s="38" t="inlineStr">
        <is>
          <t>تصنيف التدفق</t>
        </is>
      </c>
      <c r="AC4" s="38" t="inlineStr">
        <is>
          <t>المستحق للسداد</t>
        </is>
      </c>
      <c r="AD4" s="38" t="inlineStr">
        <is>
          <t>مستخدم</t>
        </is>
      </c>
      <c r="AE4" s="38" t="inlineStr">
        <is>
          <t>فحص المستند (أول خطأ)</t>
        </is>
      </c>
      <c r="AF4" s="38" t="inlineStr">
        <is>
          <t>خطأ؟</t>
        </is>
      </c>
      <c r="AG4" s="38" t="inlineStr">
        <is>
          <t>يُرحَّل؟</t>
        </is>
      </c>
    </row>
    <row r="5">
      <c r="A5" s="29" t="n"/>
      <c r="B5" s="29" t="n"/>
      <c r="C5" s="39" t="n"/>
      <c r="D5" s="31" t="n"/>
      <c r="E5" s="31" t="n"/>
      <c r="F5" s="29" t="n"/>
      <c r="G5" s="39" t="n"/>
      <c r="H5" s="39" t="n"/>
      <c r="I5" s="39" t="n"/>
      <c r="J5" s="42" t="n"/>
      <c r="K5" s="42" t="n"/>
      <c r="L5" s="39" t="n"/>
      <c r="M5" s="29" t="n"/>
      <c r="N5" s="29" t="n"/>
      <c r="O5" s="39" t="n"/>
      <c r="P5" s="29" t="n"/>
      <c r="Q5" s="29" t="n"/>
      <c r="R5" s="29" t="n"/>
      <c r="S5" s="29" t="n"/>
      <c r="T5" s="29" t="n"/>
      <c r="U5" s="29" t="n"/>
      <c r="V5" s="32">
        <f>IF($AD5=1,IFERROR(INDEX(Lists!$K$5:$K$7,MATCH($F5,Lists!$J$5:$J$7,0)),"?"),"")</f>
        <v/>
      </c>
      <c r="W5" s="43">
        <f>IF($AD5=1,$J5+$K5,"")</f>
        <v/>
      </c>
      <c r="X5" s="32">
        <f>IF($AD5=1,IFERROR(INDEX(Suppliers!$D:$D,MATCH($C5,Suppliers!$A:$A,0)),"؟"),"")</f>
        <v/>
      </c>
      <c r="Y5" s="33">
        <f>IF($AD5=1,IF(AND(ISNUMBER($D5),ISNUMBER($X5)),$D5+$X5,""),"")</f>
        <v/>
      </c>
      <c r="Z5" s="44">
        <f>IF($AD5=1,IF(AND($O5&lt;&gt;ST_REV,$O5&lt;&gt;ST_CANC,COUNTIFS($C$4:$C4,$C5,$B$4:$B4,$B5,$O$4:$O4,"&lt;&gt;"&amp;ST_REV,$O$4:$O4,"&lt;&gt;"&amp;ST_CANC)&gt;0),1,0),"")</f>
        <v/>
      </c>
      <c r="AA5" s="32">
        <f>IF(AND($AD5=1,$L5&lt;&gt;""),IFERROR(INDEX(Treasuries!$E:$E,MATCH($L5,Treasuries!$A:$A,0)),"؟"),"")</f>
        <v/>
      </c>
      <c r="AB5" s="32">
        <f>IF($AD5=1,IFERROR(IF(INDEX(COA!$I:$I,MATCH($G5,COA!$A:$A,0))="","OPERATING",INDEX(COA!$I:$I,MATCH($G5,COA!$A:$A,0))),"OPERATING"),"")</f>
        <v/>
      </c>
      <c r="AC5" s="43">
        <f>IF($AD5=1,IF(AND($V5&lt;&gt;"CN",$L5=""),$W5,0),"")</f>
        <v/>
      </c>
      <c r="AD5" s="32">
        <f>IF(COUNTA($A5:$U5)&gt;0,1,0)</f>
        <v/>
      </c>
      <c r="AE5" s="32">
        <f>IF($AD5=0,"",IF($A5="","رقم المستند ناقص",IF(COUNTIF(Doc_Register!$A:$A,$A5)&gt;1,"رقم مستند مكرر في السجل المركزي",IF(LEFT($A5,LEN("SINV")+1)&lt;&gt;"SINV"&amp;"-","بادئة الرقم لا تطابق نوع المستند",IF(NOT(ISNUMBER($E5)),"التاريخ ناقص أو غير صحيح",IF($O5="","حالة المستند ناقصة",IF($P5="","اسم المُعِد ناقص",IF(AND(OR($O5=ST_APPR,$O5=ST_POST),$Q5=""),"لا يوجد معتمد",IF(AND($Q5&lt;&gt;"",$Q5=$P5),"المُعِد والمعتمد نفس الشخص (فصل المهام)",IF(AND($O5=ST_POST,$R5=""),"اسم المحاسب المرحِّل ناقص",IF(AND($O5=ST_POST,$R5&lt;&gt;"",OR($R5=$P5,$R5=$Q5)),"المرحِّل يجب أن يختلف عن المُعِد والمعتمد",IF(AND($O5=ST_REV,$T5=""),"مرجع التصحيح/الإلغاء ناقص",IF(AND(ISNUMBER($E5),OR($O5=ST_DRAFT,$O5=ST_APPR),COUNTIFS(Period_Close!$A:$A,YEAR($E5)*100+MONTH($E5),Period_Close!$B:$B,"مقفلة")&gt;0),"الفترة مقفلة: لا يسمح بمستند جديد",IF(COUNTIF(Suppliers!$A:$A,$C5)=0,"المورد غير معرف",IF($B5="","رقم فاتورة المورد ناقص",IF($Z5=1,"فاتورة مكررة (نفس المورد ونفس الرقم)",IF(NOT(ISNUMBER($D5)),"تاريخ الفاتورة ناقص",IF($V5="?","نوع المستند غير معرف",IF(COUNTIFS(COA!$A:$A,$G5,COA!$K:$K,"نعم",COA!$R:$R,1)&lt;&gt;1,"حساب مدين غير مسموح في المشتريات",IF(NOT(COUNTIF(Locations!$A:$A,$H5)&gt;0),"جهة الاستلام غير معرفة",IF(NOT(COUNTIF(Cost_Centers!$A:$A,$I5)&gt;0),"مركز التكلفة غير معرف",IF(NOT(N($J5)&gt;0),"الصافي يجب أن يكون أكبر من صفر",IF(AND(N($K5)&gt;0,S_VATOn&lt;&gt;"نعم"),"الضريبة غير مفعلة في Tax_Settings",IF(AND($L5&lt;&gt;"",COUNTIFS(COA!$A:$A,$AA5,COA!$R:$R,1)&lt;&gt;1),"خزينة الدفع الفوري غير صالحة",IF(AND($L5&lt;&gt;"",$V5="CN"),"الإشعار الدائن لا يُسدَّد فوريًا",IF(AND($V5="INV",$M5="",$N5="",$S5=""),"فاتورة بدون مرجع (أمر شراء/استلام/مرفق)",""))))))))))))))))))))))))))</f>
        <v/>
      </c>
      <c r="AF5" s="32">
        <f>IF($AD5=1,IF($AE5&lt;&gt;"",1,0),0)</f>
        <v/>
      </c>
      <c r="AG5" s="32">
        <f>IF(AND($AD5=1,$AF5=0,$O5=ST_POST),1,0)</f>
        <v/>
      </c>
    </row>
    <row r="6">
      <c r="A6" s="29" t="n"/>
      <c r="B6" s="29" t="n"/>
      <c r="C6" s="39" t="n"/>
      <c r="D6" s="31" t="n"/>
      <c r="E6" s="31" t="n"/>
      <c r="F6" s="29" t="n"/>
      <c r="G6" s="39" t="n"/>
      <c r="H6" s="39" t="n"/>
      <c r="I6" s="39" t="n"/>
      <c r="J6" s="42" t="n"/>
      <c r="K6" s="42" t="n"/>
      <c r="L6" s="39" t="n"/>
      <c r="M6" s="29" t="n"/>
      <c r="N6" s="29" t="n"/>
      <c r="O6" s="39" t="n"/>
      <c r="P6" s="29" t="n"/>
      <c r="Q6" s="29" t="n"/>
      <c r="R6" s="29" t="n"/>
      <c r="S6" s="29" t="n"/>
      <c r="T6" s="29" t="n"/>
      <c r="U6" s="29" t="n"/>
      <c r="V6" s="32">
        <f>IF($AD6=1,IFERROR(INDEX(Lists!$K$5:$K$7,MATCH($F6,Lists!$J$5:$J$7,0)),"?"),"")</f>
        <v/>
      </c>
      <c r="W6" s="43">
        <f>IF($AD6=1,$J6+$K6,"")</f>
        <v/>
      </c>
      <c r="X6" s="32">
        <f>IF($AD6=1,IFERROR(INDEX(Suppliers!$D:$D,MATCH($C6,Suppliers!$A:$A,0)),"؟"),"")</f>
        <v/>
      </c>
      <c r="Y6" s="33">
        <f>IF($AD6=1,IF(AND(ISNUMBER($D6),ISNUMBER($X6)),$D6+$X6,""),"")</f>
        <v/>
      </c>
      <c r="Z6" s="44">
        <f>IF($AD6=1,IF(AND($O6&lt;&gt;ST_REV,$O6&lt;&gt;ST_CANC,COUNTIFS($C$4:$C5,$C6,$B$4:$B5,$B6,$O$4:$O5,"&lt;&gt;"&amp;ST_REV,$O$4:$O5,"&lt;&gt;"&amp;ST_CANC)&gt;0),1,0),"")</f>
        <v/>
      </c>
      <c r="AA6" s="32">
        <f>IF(AND($AD6=1,$L6&lt;&gt;""),IFERROR(INDEX(Treasuries!$E:$E,MATCH($L6,Treasuries!$A:$A,0)),"؟"),"")</f>
        <v/>
      </c>
      <c r="AB6" s="32">
        <f>IF($AD6=1,IFERROR(IF(INDEX(COA!$I:$I,MATCH($G6,COA!$A:$A,0))="","OPERATING",INDEX(COA!$I:$I,MATCH($G6,COA!$A:$A,0))),"OPERATING"),"")</f>
        <v/>
      </c>
      <c r="AC6" s="43">
        <f>IF($AD6=1,IF(AND($V6&lt;&gt;"CN",$L6=""),$W6,0),"")</f>
        <v/>
      </c>
      <c r="AD6" s="32">
        <f>IF(COUNTA($A6:$U6)&gt;0,1,0)</f>
        <v/>
      </c>
      <c r="AE6" s="32">
        <f>IF($AD6=0,"",IF($A6="","رقم المستند ناقص",IF(COUNTIF(Doc_Register!$A:$A,$A6)&gt;1,"رقم مستند مكرر في السجل المركزي",IF(LEFT($A6,LEN("SINV")+1)&lt;&gt;"SINV"&amp;"-","بادئة الرقم لا تطابق نوع المستند",IF(NOT(ISNUMBER($E6)),"التاريخ ناقص أو غير صحيح",IF($O6="","حالة المستند ناقصة",IF($P6="","اسم المُعِد ناقص",IF(AND(OR($O6=ST_APPR,$O6=ST_POST),$Q6=""),"لا يوجد معتمد",IF(AND($Q6&lt;&gt;"",$Q6=$P6),"المُعِد والمعتمد نفس الشخص (فصل المهام)",IF(AND($O6=ST_POST,$R6=""),"اسم المحاسب المرحِّل ناقص",IF(AND($O6=ST_POST,$R6&lt;&gt;"",OR($R6=$P6,$R6=$Q6)),"المرحِّل يجب أن يختلف عن المُعِد والمعتمد",IF(AND($O6=ST_REV,$T6=""),"مرجع التصحيح/الإلغاء ناقص",IF(AND(ISNUMBER($E6),OR($O6=ST_DRAFT,$O6=ST_APPR),COUNTIFS(Period_Close!$A:$A,YEAR($E6)*100+MONTH($E6),Period_Close!$B:$B,"مقفلة")&gt;0),"الفترة مقفلة: لا يسمح بمستند جديد",IF(COUNTIF(Suppliers!$A:$A,$C6)=0,"المورد غير معرف",IF($B6="","رقم فاتورة المورد ناقص",IF($Z6=1,"فاتورة مكررة (نفس المورد ونفس الرقم)",IF(NOT(ISNUMBER($D6)),"تاريخ الفاتورة ناقص",IF($V6="?","نوع المستند غير معرف",IF(COUNTIFS(COA!$A:$A,$G6,COA!$K:$K,"نعم",COA!$R:$R,1)&lt;&gt;1,"حساب مدين غير مسموح في المشتريات",IF(NOT(COUNTIF(Locations!$A:$A,$H6)&gt;0),"جهة الاستلام غير معرفة",IF(NOT(COUNTIF(Cost_Centers!$A:$A,$I6)&gt;0),"مركز التكلفة غير معرف",IF(NOT(N($J6)&gt;0),"الصافي يجب أن يكون أكبر من صفر",IF(AND(N($K6)&gt;0,S_VATOn&lt;&gt;"نعم"),"الضريبة غير مفعلة في Tax_Settings",IF(AND($L6&lt;&gt;"",COUNTIFS(COA!$A:$A,$AA6,COA!$R:$R,1)&lt;&gt;1),"خزينة الدفع الفوري غير صالحة",IF(AND($L6&lt;&gt;"",$V6="CN"),"الإشعار الدائن لا يُسدَّد فوريًا",IF(AND($V6="INV",$M6="",$N6="",$S6=""),"فاتورة بدون مرجع (أمر شراء/استلام/مرفق)",""))))))))))))))))))))))))))</f>
        <v/>
      </c>
      <c r="AF6" s="32">
        <f>IF($AD6=1,IF($AE6&lt;&gt;"",1,0),0)</f>
        <v/>
      </c>
      <c r="AG6" s="32">
        <f>IF(AND($AD6=1,$AF6=0,$O6=ST_POST),1,0)</f>
        <v/>
      </c>
    </row>
    <row r="7">
      <c r="A7" s="29" t="n"/>
      <c r="B7" s="29" t="n"/>
      <c r="C7" s="39" t="n"/>
      <c r="D7" s="31" t="n"/>
      <c r="E7" s="31" t="n"/>
      <c r="F7" s="29" t="n"/>
      <c r="G7" s="39" t="n"/>
      <c r="H7" s="39" t="n"/>
      <c r="I7" s="39" t="n"/>
      <c r="J7" s="42" t="n"/>
      <c r="K7" s="42" t="n"/>
      <c r="L7" s="39" t="n"/>
      <c r="M7" s="29" t="n"/>
      <c r="N7" s="29" t="n"/>
      <c r="O7" s="39" t="n"/>
      <c r="P7" s="29" t="n"/>
      <c r="Q7" s="29" t="n"/>
      <c r="R7" s="29" t="n"/>
      <c r="S7" s="29" t="n"/>
      <c r="T7" s="29" t="n"/>
      <c r="U7" s="29" t="n"/>
      <c r="V7" s="32">
        <f>IF($AD7=1,IFERROR(INDEX(Lists!$K$5:$K$7,MATCH($F7,Lists!$J$5:$J$7,0)),"?"),"")</f>
        <v/>
      </c>
      <c r="W7" s="43">
        <f>IF($AD7=1,$J7+$K7,"")</f>
        <v/>
      </c>
      <c r="X7" s="32">
        <f>IF($AD7=1,IFERROR(INDEX(Suppliers!$D:$D,MATCH($C7,Suppliers!$A:$A,0)),"؟"),"")</f>
        <v/>
      </c>
      <c r="Y7" s="33">
        <f>IF($AD7=1,IF(AND(ISNUMBER($D7),ISNUMBER($X7)),$D7+$X7,""),"")</f>
        <v/>
      </c>
      <c r="Z7" s="44">
        <f>IF($AD7=1,IF(AND($O7&lt;&gt;ST_REV,$O7&lt;&gt;ST_CANC,COUNTIFS($C$4:$C6,$C7,$B$4:$B6,$B7,$O$4:$O6,"&lt;&gt;"&amp;ST_REV,$O$4:$O6,"&lt;&gt;"&amp;ST_CANC)&gt;0),1,0),"")</f>
        <v/>
      </c>
      <c r="AA7" s="32">
        <f>IF(AND($AD7=1,$L7&lt;&gt;""),IFERROR(INDEX(Treasuries!$E:$E,MATCH($L7,Treasuries!$A:$A,0)),"؟"),"")</f>
        <v/>
      </c>
      <c r="AB7" s="32">
        <f>IF($AD7=1,IFERROR(IF(INDEX(COA!$I:$I,MATCH($G7,COA!$A:$A,0))="","OPERATING",INDEX(COA!$I:$I,MATCH($G7,COA!$A:$A,0))),"OPERATING"),"")</f>
        <v/>
      </c>
      <c r="AC7" s="43">
        <f>IF($AD7=1,IF(AND($V7&lt;&gt;"CN",$L7=""),$W7,0),"")</f>
        <v/>
      </c>
      <c r="AD7" s="32">
        <f>IF(COUNTA($A7:$U7)&gt;0,1,0)</f>
        <v/>
      </c>
      <c r="AE7" s="32">
        <f>IF($AD7=0,"",IF($A7="","رقم المستند ناقص",IF(COUNTIF(Doc_Register!$A:$A,$A7)&gt;1,"رقم مستند مكرر في السجل المركزي",IF(LEFT($A7,LEN("SINV")+1)&lt;&gt;"SINV"&amp;"-","بادئة الرقم لا تطابق نوع المستند",IF(NOT(ISNUMBER($E7)),"التاريخ ناقص أو غير صحيح",IF($O7="","حالة المستند ناقصة",IF($P7="","اسم المُعِد ناقص",IF(AND(OR($O7=ST_APPR,$O7=ST_POST),$Q7=""),"لا يوجد معتمد",IF(AND($Q7&lt;&gt;"",$Q7=$P7),"المُعِد والمعتمد نفس الشخص (فصل المهام)",IF(AND($O7=ST_POST,$R7=""),"اسم المحاسب المرحِّل ناقص",IF(AND($O7=ST_POST,$R7&lt;&gt;"",OR($R7=$P7,$R7=$Q7)),"المرحِّل يجب أن يختلف عن المُعِد والمعتمد",IF(AND($O7=ST_REV,$T7=""),"مرجع التصحيح/الإلغاء ناقص",IF(AND(ISNUMBER($E7),OR($O7=ST_DRAFT,$O7=ST_APPR),COUNTIFS(Period_Close!$A:$A,YEAR($E7)*100+MONTH($E7),Period_Close!$B:$B,"مقفلة")&gt;0),"الفترة مقفلة: لا يسمح بمستند جديد",IF(COUNTIF(Suppliers!$A:$A,$C7)=0,"المورد غير معرف",IF($B7="","رقم فاتورة المورد ناقص",IF($Z7=1,"فاتورة مكررة (نفس المورد ونفس الرقم)",IF(NOT(ISNUMBER($D7)),"تاريخ الفاتورة ناقص",IF($V7="?","نوع المستند غير معرف",IF(COUNTIFS(COA!$A:$A,$G7,COA!$K:$K,"نعم",COA!$R:$R,1)&lt;&gt;1,"حساب مدين غير مسموح في المشتريات",IF(NOT(COUNTIF(Locations!$A:$A,$H7)&gt;0),"جهة الاستلام غير معرفة",IF(NOT(COUNTIF(Cost_Centers!$A:$A,$I7)&gt;0),"مركز التكلفة غير معرف",IF(NOT(N($J7)&gt;0),"الصافي يجب أن يكون أكبر من صفر",IF(AND(N($K7)&gt;0,S_VATOn&lt;&gt;"نعم"),"الضريبة غير مفعلة في Tax_Settings",IF(AND($L7&lt;&gt;"",COUNTIFS(COA!$A:$A,$AA7,COA!$R:$R,1)&lt;&gt;1),"خزينة الدفع الفوري غير صالحة",IF(AND($L7&lt;&gt;"",$V7="CN"),"الإشعار الدائن لا يُسدَّد فوريًا",IF(AND($V7="INV",$M7="",$N7="",$S7=""),"فاتورة بدون مرجع (أمر شراء/استلام/مرفق)",""))))))))))))))))))))))))))</f>
        <v/>
      </c>
      <c r="AF7" s="32">
        <f>IF($AD7=1,IF($AE7&lt;&gt;"",1,0),0)</f>
        <v/>
      </c>
      <c r="AG7" s="32">
        <f>IF(AND($AD7=1,$AF7=0,$O7=ST_POST),1,0)</f>
        <v/>
      </c>
    </row>
    <row r="8">
      <c r="A8" s="29" t="n"/>
      <c r="B8" s="29" t="n"/>
      <c r="C8" s="39" t="n"/>
      <c r="D8" s="31" t="n"/>
      <c r="E8" s="31" t="n"/>
      <c r="F8" s="29" t="n"/>
      <c r="G8" s="39" t="n"/>
      <c r="H8" s="39" t="n"/>
      <c r="I8" s="39" t="n"/>
      <c r="J8" s="42" t="n"/>
      <c r="K8" s="42" t="n"/>
      <c r="L8" s="39" t="n"/>
      <c r="M8" s="29" t="n"/>
      <c r="N8" s="29" t="n"/>
      <c r="O8" s="39" t="n"/>
      <c r="P8" s="29" t="n"/>
      <c r="Q8" s="29" t="n"/>
      <c r="R8" s="29" t="n"/>
      <c r="S8" s="29" t="n"/>
      <c r="T8" s="29" t="n"/>
      <c r="U8" s="29" t="n"/>
      <c r="V8" s="32">
        <f>IF($AD8=1,IFERROR(INDEX(Lists!$K$5:$K$7,MATCH($F8,Lists!$J$5:$J$7,0)),"?"),"")</f>
        <v/>
      </c>
      <c r="W8" s="43">
        <f>IF($AD8=1,$J8+$K8,"")</f>
        <v/>
      </c>
      <c r="X8" s="32">
        <f>IF($AD8=1,IFERROR(INDEX(Suppliers!$D:$D,MATCH($C8,Suppliers!$A:$A,0)),"؟"),"")</f>
        <v/>
      </c>
      <c r="Y8" s="33">
        <f>IF($AD8=1,IF(AND(ISNUMBER($D8),ISNUMBER($X8)),$D8+$X8,""),"")</f>
        <v/>
      </c>
      <c r="Z8" s="44">
        <f>IF($AD8=1,IF(AND($O8&lt;&gt;ST_REV,$O8&lt;&gt;ST_CANC,COUNTIFS($C$4:$C7,$C8,$B$4:$B7,$B8,$O$4:$O7,"&lt;&gt;"&amp;ST_REV,$O$4:$O7,"&lt;&gt;"&amp;ST_CANC)&gt;0),1,0),"")</f>
        <v/>
      </c>
      <c r="AA8" s="32">
        <f>IF(AND($AD8=1,$L8&lt;&gt;""),IFERROR(INDEX(Treasuries!$E:$E,MATCH($L8,Treasuries!$A:$A,0)),"؟"),"")</f>
        <v/>
      </c>
      <c r="AB8" s="32">
        <f>IF($AD8=1,IFERROR(IF(INDEX(COA!$I:$I,MATCH($G8,COA!$A:$A,0))="","OPERATING",INDEX(COA!$I:$I,MATCH($G8,COA!$A:$A,0))),"OPERATING"),"")</f>
        <v/>
      </c>
      <c r="AC8" s="43">
        <f>IF($AD8=1,IF(AND($V8&lt;&gt;"CN",$L8=""),$W8,0),"")</f>
        <v/>
      </c>
      <c r="AD8" s="32">
        <f>IF(COUNTA($A8:$U8)&gt;0,1,0)</f>
        <v/>
      </c>
      <c r="AE8" s="32">
        <f>IF($AD8=0,"",IF($A8="","رقم المستند ناقص",IF(COUNTIF(Doc_Register!$A:$A,$A8)&gt;1,"رقم مستند مكرر في السجل المركزي",IF(LEFT($A8,LEN("SINV")+1)&lt;&gt;"SINV"&amp;"-","بادئة الرقم لا تطابق نوع المستند",IF(NOT(ISNUMBER($E8)),"التاريخ ناقص أو غير صحيح",IF($O8="","حالة المستند ناقصة",IF($P8="","اسم المُعِد ناقص",IF(AND(OR($O8=ST_APPR,$O8=ST_POST),$Q8=""),"لا يوجد معتمد",IF(AND($Q8&lt;&gt;"",$Q8=$P8),"المُعِد والمعتمد نفس الشخص (فصل المهام)",IF(AND($O8=ST_POST,$R8=""),"اسم المحاسب المرحِّل ناقص",IF(AND($O8=ST_POST,$R8&lt;&gt;"",OR($R8=$P8,$R8=$Q8)),"المرحِّل يجب أن يختلف عن المُعِد والمعتمد",IF(AND($O8=ST_REV,$T8=""),"مرجع التصحيح/الإلغاء ناقص",IF(AND(ISNUMBER($E8),OR($O8=ST_DRAFT,$O8=ST_APPR),COUNTIFS(Period_Close!$A:$A,YEAR($E8)*100+MONTH($E8),Period_Close!$B:$B,"مقفلة")&gt;0),"الفترة مقفلة: لا يسمح بمستند جديد",IF(COUNTIF(Suppliers!$A:$A,$C8)=0,"المورد غير معرف",IF($B8="","رقم فاتورة المورد ناقص",IF($Z8=1,"فاتورة مكررة (نفس المورد ونفس الرقم)",IF(NOT(ISNUMBER($D8)),"تاريخ الفاتورة ناقص",IF($V8="?","نوع المستند غير معرف",IF(COUNTIFS(COA!$A:$A,$G8,COA!$K:$K,"نعم",COA!$R:$R,1)&lt;&gt;1,"حساب مدين غير مسموح في المشتريات",IF(NOT(COUNTIF(Locations!$A:$A,$H8)&gt;0),"جهة الاستلام غير معرفة",IF(NOT(COUNTIF(Cost_Centers!$A:$A,$I8)&gt;0),"مركز التكلفة غير معرف",IF(NOT(N($J8)&gt;0),"الصافي يجب أن يكون أكبر من صفر",IF(AND(N($K8)&gt;0,S_VATOn&lt;&gt;"نعم"),"الضريبة غير مفعلة في Tax_Settings",IF(AND($L8&lt;&gt;"",COUNTIFS(COA!$A:$A,$AA8,COA!$R:$R,1)&lt;&gt;1),"خزينة الدفع الفوري غير صالحة",IF(AND($L8&lt;&gt;"",$V8="CN"),"الإشعار الدائن لا يُسدَّد فوريًا",IF(AND($V8="INV",$M8="",$N8="",$S8=""),"فاتورة بدون مرجع (أمر شراء/استلام/مرفق)",""))))))))))))))))))))))))))</f>
        <v/>
      </c>
      <c r="AF8" s="32">
        <f>IF($AD8=1,IF($AE8&lt;&gt;"",1,0),0)</f>
        <v/>
      </c>
      <c r="AG8" s="32">
        <f>IF(AND($AD8=1,$AF8=0,$O8=ST_POST),1,0)</f>
        <v/>
      </c>
    </row>
    <row r="9">
      <c r="A9" s="29" t="n"/>
      <c r="B9" s="29" t="n"/>
      <c r="C9" s="39" t="n"/>
      <c r="D9" s="31" t="n"/>
      <c r="E9" s="31" t="n"/>
      <c r="F9" s="29" t="n"/>
      <c r="G9" s="39" t="n"/>
      <c r="H9" s="39" t="n"/>
      <c r="I9" s="39" t="n"/>
      <c r="J9" s="42" t="n"/>
      <c r="K9" s="42" t="n"/>
      <c r="L9" s="39" t="n"/>
      <c r="M9" s="29" t="n"/>
      <c r="N9" s="29" t="n"/>
      <c r="O9" s="39" t="n"/>
      <c r="P9" s="29" t="n"/>
      <c r="Q9" s="29" t="n"/>
      <c r="R9" s="29" t="n"/>
      <c r="S9" s="29" t="n"/>
      <c r="T9" s="29" t="n"/>
      <c r="U9" s="29" t="n"/>
      <c r="V9" s="32">
        <f>IF($AD9=1,IFERROR(INDEX(Lists!$K$5:$K$7,MATCH($F9,Lists!$J$5:$J$7,0)),"?"),"")</f>
        <v/>
      </c>
      <c r="W9" s="43">
        <f>IF($AD9=1,$J9+$K9,"")</f>
        <v/>
      </c>
      <c r="X9" s="32">
        <f>IF($AD9=1,IFERROR(INDEX(Suppliers!$D:$D,MATCH($C9,Suppliers!$A:$A,0)),"؟"),"")</f>
        <v/>
      </c>
      <c r="Y9" s="33">
        <f>IF($AD9=1,IF(AND(ISNUMBER($D9),ISNUMBER($X9)),$D9+$X9,""),"")</f>
        <v/>
      </c>
      <c r="Z9" s="44">
        <f>IF($AD9=1,IF(AND($O9&lt;&gt;ST_REV,$O9&lt;&gt;ST_CANC,COUNTIFS($C$4:$C8,$C9,$B$4:$B8,$B9,$O$4:$O8,"&lt;&gt;"&amp;ST_REV,$O$4:$O8,"&lt;&gt;"&amp;ST_CANC)&gt;0),1,0),"")</f>
        <v/>
      </c>
      <c r="AA9" s="32">
        <f>IF(AND($AD9=1,$L9&lt;&gt;""),IFERROR(INDEX(Treasuries!$E:$E,MATCH($L9,Treasuries!$A:$A,0)),"؟"),"")</f>
        <v/>
      </c>
      <c r="AB9" s="32">
        <f>IF($AD9=1,IFERROR(IF(INDEX(COA!$I:$I,MATCH($G9,COA!$A:$A,0))="","OPERATING",INDEX(COA!$I:$I,MATCH($G9,COA!$A:$A,0))),"OPERATING"),"")</f>
        <v/>
      </c>
      <c r="AC9" s="43">
        <f>IF($AD9=1,IF(AND($V9&lt;&gt;"CN",$L9=""),$W9,0),"")</f>
        <v/>
      </c>
      <c r="AD9" s="32">
        <f>IF(COUNTA($A9:$U9)&gt;0,1,0)</f>
        <v/>
      </c>
      <c r="AE9" s="32">
        <f>IF($AD9=0,"",IF($A9="","رقم المستند ناقص",IF(COUNTIF(Doc_Register!$A:$A,$A9)&gt;1,"رقم مستند مكرر في السجل المركزي",IF(LEFT($A9,LEN("SINV")+1)&lt;&gt;"SINV"&amp;"-","بادئة الرقم لا تطابق نوع المستند",IF(NOT(ISNUMBER($E9)),"التاريخ ناقص أو غير صحيح",IF($O9="","حالة المستند ناقصة",IF($P9="","اسم المُعِد ناقص",IF(AND(OR($O9=ST_APPR,$O9=ST_POST),$Q9=""),"لا يوجد معتمد",IF(AND($Q9&lt;&gt;"",$Q9=$P9),"المُعِد والمعتمد نفس الشخص (فصل المهام)",IF(AND($O9=ST_POST,$R9=""),"اسم المحاسب المرحِّل ناقص",IF(AND($O9=ST_POST,$R9&lt;&gt;"",OR($R9=$P9,$R9=$Q9)),"المرحِّل يجب أن يختلف عن المُعِد والمعتمد",IF(AND($O9=ST_REV,$T9=""),"مرجع التصحيح/الإلغاء ناقص",IF(AND(ISNUMBER($E9),OR($O9=ST_DRAFT,$O9=ST_APPR),COUNTIFS(Period_Close!$A:$A,YEAR($E9)*100+MONTH($E9),Period_Close!$B:$B,"مقفلة")&gt;0),"الفترة مقفلة: لا يسمح بمستند جديد",IF(COUNTIF(Suppliers!$A:$A,$C9)=0,"المورد غير معرف",IF($B9="","رقم فاتورة المورد ناقص",IF($Z9=1,"فاتورة مكررة (نفس المورد ونفس الرقم)",IF(NOT(ISNUMBER($D9)),"تاريخ الفاتورة ناقص",IF($V9="?","نوع المستند غير معرف",IF(COUNTIFS(COA!$A:$A,$G9,COA!$K:$K,"نعم",COA!$R:$R,1)&lt;&gt;1,"حساب مدين غير مسموح في المشتريات",IF(NOT(COUNTIF(Locations!$A:$A,$H9)&gt;0),"جهة الاستلام غير معرفة",IF(NOT(COUNTIF(Cost_Centers!$A:$A,$I9)&gt;0),"مركز التكلفة غير معرف",IF(NOT(N($J9)&gt;0),"الصافي يجب أن يكون أكبر من صفر",IF(AND(N($K9)&gt;0,S_VATOn&lt;&gt;"نعم"),"الضريبة غير مفعلة في Tax_Settings",IF(AND($L9&lt;&gt;"",COUNTIFS(COA!$A:$A,$AA9,COA!$R:$R,1)&lt;&gt;1),"خزينة الدفع الفوري غير صالحة",IF(AND($L9&lt;&gt;"",$V9="CN"),"الإشعار الدائن لا يُسدَّد فوريًا",IF(AND($V9="INV",$M9="",$N9="",$S9=""),"فاتورة بدون مرجع (أمر شراء/استلام/مرفق)",""))))))))))))))))))))))))))</f>
        <v/>
      </c>
      <c r="AF9" s="32">
        <f>IF($AD9=1,IF($AE9&lt;&gt;"",1,0),0)</f>
        <v/>
      </c>
      <c r="AG9" s="32">
        <f>IF(AND($AD9=1,$AF9=0,$O9=ST_POST),1,0)</f>
        <v/>
      </c>
    </row>
    <row r="10">
      <c r="A10" s="29" t="n"/>
      <c r="B10" s="29" t="n"/>
      <c r="C10" s="39" t="n"/>
      <c r="D10" s="31" t="n"/>
      <c r="E10" s="31" t="n"/>
      <c r="F10" s="29" t="n"/>
      <c r="G10" s="39" t="n"/>
      <c r="H10" s="39" t="n"/>
      <c r="I10" s="39" t="n"/>
      <c r="J10" s="42" t="n"/>
      <c r="K10" s="42" t="n"/>
      <c r="L10" s="39" t="n"/>
      <c r="M10" s="29" t="n"/>
      <c r="N10" s="29" t="n"/>
      <c r="O10" s="39" t="n"/>
      <c r="P10" s="29" t="n"/>
      <c r="Q10" s="29" t="n"/>
      <c r="R10" s="29" t="n"/>
      <c r="S10" s="29" t="n"/>
      <c r="T10" s="29" t="n"/>
      <c r="U10" s="29" t="n"/>
      <c r="V10" s="32">
        <f>IF($AD10=1,IFERROR(INDEX(Lists!$K$5:$K$7,MATCH($F10,Lists!$J$5:$J$7,0)),"?"),"")</f>
        <v/>
      </c>
      <c r="W10" s="43">
        <f>IF($AD10=1,$J10+$K10,"")</f>
        <v/>
      </c>
      <c r="X10" s="32">
        <f>IF($AD10=1,IFERROR(INDEX(Suppliers!$D:$D,MATCH($C10,Suppliers!$A:$A,0)),"؟"),"")</f>
        <v/>
      </c>
      <c r="Y10" s="33">
        <f>IF($AD10=1,IF(AND(ISNUMBER($D10),ISNUMBER($X10)),$D10+$X10,""),"")</f>
        <v/>
      </c>
      <c r="Z10" s="44">
        <f>IF($AD10=1,IF(AND($O10&lt;&gt;ST_REV,$O10&lt;&gt;ST_CANC,COUNTIFS($C$4:$C9,$C10,$B$4:$B9,$B10,$O$4:$O9,"&lt;&gt;"&amp;ST_REV,$O$4:$O9,"&lt;&gt;"&amp;ST_CANC)&gt;0),1,0),"")</f>
        <v/>
      </c>
      <c r="AA10" s="32">
        <f>IF(AND($AD10=1,$L10&lt;&gt;""),IFERROR(INDEX(Treasuries!$E:$E,MATCH($L10,Treasuries!$A:$A,0)),"؟"),"")</f>
        <v/>
      </c>
      <c r="AB10" s="32">
        <f>IF($AD10=1,IFERROR(IF(INDEX(COA!$I:$I,MATCH($G10,COA!$A:$A,0))="","OPERATING",INDEX(COA!$I:$I,MATCH($G10,COA!$A:$A,0))),"OPERATING"),"")</f>
        <v/>
      </c>
      <c r="AC10" s="43">
        <f>IF($AD10=1,IF(AND($V10&lt;&gt;"CN",$L10=""),$W10,0),"")</f>
        <v/>
      </c>
      <c r="AD10" s="32">
        <f>IF(COUNTA($A10:$U10)&gt;0,1,0)</f>
        <v/>
      </c>
      <c r="AE10" s="32">
        <f>IF($AD10=0,"",IF($A10="","رقم المستند ناقص",IF(COUNTIF(Doc_Register!$A:$A,$A10)&gt;1,"رقم مستند مكرر في السجل المركزي",IF(LEFT($A10,LEN("SINV")+1)&lt;&gt;"SINV"&amp;"-","بادئة الرقم لا تطابق نوع المستند",IF(NOT(ISNUMBER($E10)),"التاريخ ناقص أو غير صحيح",IF($O10="","حالة المستند ناقصة",IF($P10="","اسم المُعِد ناقص",IF(AND(OR($O10=ST_APPR,$O10=ST_POST),$Q10=""),"لا يوجد معتمد",IF(AND($Q10&lt;&gt;"",$Q10=$P10),"المُعِد والمعتمد نفس الشخص (فصل المهام)",IF(AND($O10=ST_POST,$R10=""),"اسم المحاسب المرحِّل ناقص",IF(AND($O10=ST_POST,$R10&lt;&gt;"",OR($R10=$P10,$R10=$Q10)),"المرحِّل يجب أن يختلف عن المُعِد والمعتمد",IF(AND($O10=ST_REV,$T10=""),"مرجع التصحيح/الإلغاء ناقص",IF(AND(ISNUMBER($E10),OR($O10=ST_DRAFT,$O10=ST_APPR),COUNTIFS(Period_Close!$A:$A,YEAR($E10)*100+MONTH($E10),Period_Close!$B:$B,"مقفلة")&gt;0),"الفترة مقفلة: لا يسمح بمستند جديد",IF(COUNTIF(Suppliers!$A:$A,$C10)=0,"المورد غير معرف",IF($B10="","رقم فاتورة المورد ناقص",IF($Z10=1,"فاتورة مكررة (نفس المورد ونفس الرقم)",IF(NOT(ISNUMBER($D10)),"تاريخ الفاتورة ناقص",IF($V10="?","نوع المستند غير معرف",IF(COUNTIFS(COA!$A:$A,$G10,COA!$K:$K,"نعم",COA!$R:$R,1)&lt;&gt;1,"حساب مدين غير مسموح في المشتريات",IF(NOT(COUNTIF(Locations!$A:$A,$H10)&gt;0),"جهة الاستلام غير معرفة",IF(NOT(COUNTIF(Cost_Centers!$A:$A,$I10)&gt;0),"مركز التكلفة غير معرف",IF(NOT(N($J10)&gt;0),"الصافي يجب أن يكون أكبر من صفر",IF(AND(N($K10)&gt;0,S_VATOn&lt;&gt;"نعم"),"الضريبة غير مفعلة في Tax_Settings",IF(AND($L10&lt;&gt;"",COUNTIFS(COA!$A:$A,$AA10,COA!$R:$R,1)&lt;&gt;1),"خزينة الدفع الفوري غير صالحة",IF(AND($L10&lt;&gt;"",$V10="CN"),"الإشعار الدائن لا يُسدَّد فوريًا",IF(AND($V10="INV",$M10="",$N10="",$S10=""),"فاتورة بدون مرجع (أمر شراء/استلام/مرفق)",""))))))))))))))))))))))))))</f>
        <v/>
      </c>
      <c r="AF10" s="32">
        <f>IF($AD10=1,IF($AE10&lt;&gt;"",1,0),0)</f>
        <v/>
      </c>
      <c r="AG10" s="32">
        <f>IF(AND($AD10=1,$AF10=0,$O10=ST_POST),1,0)</f>
        <v/>
      </c>
    </row>
    <row r="11">
      <c r="A11" s="29" t="n"/>
      <c r="B11" s="29" t="n"/>
      <c r="C11" s="39" t="n"/>
      <c r="D11" s="31" t="n"/>
      <c r="E11" s="31" t="n"/>
      <c r="F11" s="29" t="n"/>
      <c r="G11" s="39" t="n"/>
      <c r="H11" s="39" t="n"/>
      <c r="I11" s="39" t="n"/>
      <c r="J11" s="42" t="n"/>
      <c r="K11" s="42" t="n"/>
      <c r="L11" s="39" t="n"/>
      <c r="M11" s="29" t="n"/>
      <c r="N11" s="29" t="n"/>
      <c r="O11" s="39" t="n"/>
      <c r="P11" s="29" t="n"/>
      <c r="Q11" s="29" t="n"/>
      <c r="R11" s="29" t="n"/>
      <c r="S11" s="29" t="n"/>
      <c r="T11" s="29" t="n"/>
      <c r="U11" s="29" t="n"/>
      <c r="V11" s="32">
        <f>IF($AD11=1,IFERROR(INDEX(Lists!$K$5:$K$7,MATCH($F11,Lists!$J$5:$J$7,0)),"?"),"")</f>
        <v/>
      </c>
      <c r="W11" s="43">
        <f>IF($AD11=1,$J11+$K11,"")</f>
        <v/>
      </c>
      <c r="X11" s="32">
        <f>IF($AD11=1,IFERROR(INDEX(Suppliers!$D:$D,MATCH($C11,Suppliers!$A:$A,0)),"؟"),"")</f>
        <v/>
      </c>
      <c r="Y11" s="33">
        <f>IF($AD11=1,IF(AND(ISNUMBER($D11),ISNUMBER($X11)),$D11+$X11,""),"")</f>
        <v/>
      </c>
      <c r="Z11" s="44">
        <f>IF($AD11=1,IF(AND($O11&lt;&gt;ST_REV,$O11&lt;&gt;ST_CANC,COUNTIFS($C$4:$C10,$C11,$B$4:$B10,$B11,$O$4:$O10,"&lt;&gt;"&amp;ST_REV,$O$4:$O10,"&lt;&gt;"&amp;ST_CANC)&gt;0),1,0),"")</f>
        <v/>
      </c>
      <c r="AA11" s="32">
        <f>IF(AND($AD11=1,$L11&lt;&gt;""),IFERROR(INDEX(Treasuries!$E:$E,MATCH($L11,Treasuries!$A:$A,0)),"؟"),"")</f>
        <v/>
      </c>
      <c r="AB11" s="32">
        <f>IF($AD11=1,IFERROR(IF(INDEX(COA!$I:$I,MATCH($G11,COA!$A:$A,0))="","OPERATING",INDEX(COA!$I:$I,MATCH($G11,COA!$A:$A,0))),"OPERATING"),"")</f>
        <v/>
      </c>
      <c r="AC11" s="43">
        <f>IF($AD11=1,IF(AND($V11&lt;&gt;"CN",$L11=""),$W11,0),"")</f>
        <v/>
      </c>
      <c r="AD11" s="32">
        <f>IF(COUNTA($A11:$U11)&gt;0,1,0)</f>
        <v/>
      </c>
      <c r="AE11" s="32">
        <f>IF($AD11=0,"",IF($A11="","رقم المستند ناقص",IF(COUNTIF(Doc_Register!$A:$A,$A11)&gt;1,"رقم مستند مكرر في السجل المركزي",IF(LEFT($A11,LEN("SINV")+1)&lt;&gt;"SINV"&amp;"-","بادئة الرقم لا تطابق نوع المستند",IF(NOT(ISNUMBER($E11)),"التاريخ ناقص أو غير صحيح",IF($O11="","حالة المستند ناقصة",IF($P11="","اسم المُعِد ناقص",IF(AND(OR($O11=ST_APPR,$O11=ST_POST),$Q11=""),"لا يوجد معتمد",IF(AND($Q11&lt;&gt;"",$Q11=$P11),"المُعِد والمعتمد نفس الشخص (فصل المهام)",IF(AND($O11=ST_POST,$R11=""),"اسم المحاسب المرحِّل ناقص",IF(AND($O11=ST_POST,$R11&lt;&gt;"",OR($R11=$P11,$R11=$Q11)),"المرحِّل يجب أن يختلف عن المُعِد والمعتمد",IF(AND($O11=ST_REV,$T11=""),"مرجع التصحيح/الإلغاء ناقص",IF(AND(ISNUMBER($E11),OR($O11=ST_DRAFT,$O11=ST_APPR),COUNTIFS(Period_Close!$A:$A,YEAR($E11)*100+MONTH($E11),Period_Close!$B:$B,"مقفلة")&gt;0),"الفترة مقفلة: لا يسمح بمستند جديد",IF(COUNTIF(Suppliers!$A:$A,$C11)=0,"المورد غير معرف",IF($B11="","رقم فاتورة المورد ناقص",IF($Z11=1,"فاتورة مكررة (نفس المورد ونفس الرقم)",IF(NOT(ISNUMBER($D11)),"تاريخ الفاتورة ناقص",IF($V11="?","نوع المستند غير معرف",IF(COUNTIFS(COA!$A:$A,$G11,COA!$K:$K,"نعم",COA!$R:$R,1)&lt;&gt;1,"حساب مدين غير مسموح في المشتريات",IF(NOT(COUNTIF(Locations!$A:$A,$H11)&gt;0),"جهة الاستلام غير معرفة",IF(NOT(COUNTIF(Cost_Centers!$A:$A,$I11)&gt;0),"مركز التكلفة غير معرف",IF(NOT(N($J11)&gt;0),"الصافي يجب أن يكون أكبر من صفر",IF(AND(N($K11)&gt;0,S_VATOn&lt;&gt;"نعم"),"الضريبة غير مفعلة في Tax_Settings",IF(AND($L11&lt;&gt;"",COUNTIFS(COA!$A:$A,$AA11,COA!$R:$R,1)&lt;&gt;1),"خزينة الدفع الفوري غير صالحة",IF(AND($L11&lt;&gt;"",$V11="CN"),"الإشعار الدائن لا يُسدَّد فوريًا",IF(AND($V11="INV",$M11="",$N11="",$S11=""),"فاتورة بدون مرجع (أمر شراء/استلام/مرفق)",""))))))))))))))))))))))))))</f>
        <v/>
      </c>
      <c r="AF11" s="32">
        <f>IF($AD11=1,IF($AE11&lt;&gt;"",1,0),0)</f>
        <v/>
      </c>
      <c r="AG11" s="32">
        <f>IF(AND($AD11=1,$AF11=0,$O11=ST_POST),1,0)</f>
        <v/>
      </c>
    </row>
    <row r="12">
      <c r="A12" s="29" t="n"/>
      <c r="B12" s="29" t="n"/>
      <c r="C12" s="39" t="n"/>
      <c r="D12" s="31" t="n"/>
      <c r="E12" s="31" t="n"/>
      <c r="F12" s="29" t="n"/>
      <c r="G12" s="39" t="n"/>
      <c r="H12" s="39" t="n"/>
      <c r="I12" s="39" t="n"/>
      <c r="J12" s="42" t="n"/>
      <c r="K12" s="42" t="n"/>
      <c r="L12" s="39" t="n"/>
      <c r="M12" s="29" t="n"/>
      <c r="N12" s="29" t="n"/>
      <c r="O12" s="39" t="n"/>
      <c r="P12" s="29" t="n"/>
      <c r="Q12" s="29" t="n"/>
      <c r="R12" s="29" t="n"/>
      <c r="S12" s="29" t="n"/>
      <c r="T12" s="29" t="n"/>
      <c r="U12" s="29" t="n"/>
      <c r="V12" s="32">
        <f>IF($AD12=1,IFERROR(INDEX(Lists!$K$5:$K$7,MATCH($F12,Lists!$J$5:$J$7,0)),"?"),"")</f>
        <v/>
      </c>
      <c r="W12" s="43">
        <f>IF($AD12=1,$J12+$K12,"")</f>
        <v/>
      </c>
      <c r="X12" s="32">
        <f>IF($AD12=1,IFERROR(INDEX(Suppliers!$D:$D,MATCH($C12,Suppliers!$A:$A,0)),"؟"),"")</f>
        <v/>
      </c>
      <c r="Y12" s="33">
        <f>IF($AD12=1,IF(AND(ISNUMBER($D12),ISNUMBER($X12)),$D12+$X12,""),"")</f>
        <v/>
      </c>
      <c r="Z12" s="44">
        <f>IF($AD12=1,IF(AND($O12&lt;&gt;ST_REV,$O12&lt;&gt;ST_CANC,COUNTIFS($C$4:$C11,$C12,$B$4:$B11,$B12,$O$4:$O11,"&lt;&gt;"&amp;ST_REV,$O$4:$O11,"&lt;&gt;"&amp;ST_CANC)&gt;0),1,0),"")</f>
        <v/>
      </c>
      <c r="AA12" s="32">
        <f>IF(AND($AD12=1,$L12&lt;&gt;""),IFERROR(INDEX(Treasuries!$E:$E,MATCH($L12,Treasuries!$A:$A,0)),"؟"),"")</f>
        <v/>
      </c>
      <c r="AB12" s="32">
        <f>IF($AD12=1,IFERROR(IF(INDEX(COA!$I:$I,MATCH($G12,COA!$A:$A,0))="","OPERATING",INDEX(COA!$I:$I,MATCH($G12,COA!$A:$A,0))),"OPERATING"),"")</f>
        <v/>
      </c>
      <c r="AC12" s="43">
        <f>IF($AD12=1,IF(AND($V12&lt;&gt;"CN",$L12=""),$W12,0),"")</f>
        <v/>
      </c>
      <c r="AD12" s="32">
        <f>IF(COUNTA($A12:$U12)&gt;0,1,0)</f>
        <v/>
      </c>
      <c r="AE12" s="32">
        <f>IF($AD12=0,"",IF($A12="","رقم المستند ناقص",IF(COUNTIF(Doc_Register!$A:$A,$A12)&gt;1,"رقم مستند مكرر في السجل المركزي",IF(LEFT($A12,LEN("SINV")+1)&lt;&gt;"SINV"&amp;"-","بادئة الرقم لا تطابق نوع المستند",IF(NOT(ISNUMBER($E12)),"التاريخ ناقص أو غير صحيح",IF($O12="","حالة المستند ناقصة",IF($P12="","اسم المُعِد ناقص",IF(AND(OR($O12=ST_APPR,$O12=ST_POST),$Q12=""),"لا يوجد معتمد",IF(AND($Q12&lt;&gt;"",$Q12=$P12),"المُعِد والمعتمد نفس الشخص (فصل المهام)",IF(AND($O12=ST_POST,$R12=""),"اسم المحاسب المرحِّل ناقص",IF(AND($O12=ST_POST,$R12&lt;&gt;"",OR($R12=$P12,$R12=$Q12)),"المرحِّل يجب أن يختلف عن المُعِد والمعتمد",IF(AND($O12=ST_REV,$T12=""),"مرجع التصحيح/الإلغاء ناقص",IF(AND(ISNUMBER($E12),OR($O12=ST_DRAFT,$O12=ST_APPR),COUNTIFS(Period_Close!$A:$A,YEAR($E12)*100+MONTH($E12),Period_Close!$B:$B,"مقفلة")&gt;0),"الفترة مقفلة: لا يسمح بمستند جديد",IF(COUNTIF(Suppliers!$A:$A,$C12)=0,"المورد غير معرف",IF($B12="","رقم فاتورة المورد ناقص",IF($Z12=1,"فاتورة مكررة (نفس المورد ونفس الرقم)",IF(NOT(ISNUMBER($D12)),"تاريخ الفاتورة ناقص",IF($V12="?","نوع المستند غير معرف",IF(COUNTIFS(COA!$A:$A,$G12,COA!$K:$K,"نعم",COA!$R:$R,1)&lt;&gt;1,"حساب مدين غير مسموح في المشتريات",IF(NOT(COUNTIF(Locations!$A:$A,$H12)&gt;0),"جهة الاستلام غير معرفة",IF(NOT(COUNTIF(Cost_Centers!$A:$A,$I12)&gt;0),"مركز التكلفة غير معرف",IF(NOT(N($J12)&gt;0),"الصافي يجب أن يكون أكبر من صفر",IF(AND(N($K12)&gt;0,S_VATOn&lt;&gt;"نعم"),"الضريبة غير مفعلة في Tax_Settings",IF(AND($L12&lt;&gt;"",COUNTIFS(COA!$A:$A,$AA12,COA!$R:$R,1)&lt;&gt;1),"خزينة الدفع الفوري غير صالحة",IF(AND($L12&lt;&gt;"",$V12="CN"),"الإشعار الدائن لا يُسدَّد فوريًا",IF(AND($V12="INV",$M12="",$N12="",$S12=""),"فاتورة بدون مرجع (أمر شراء/استلام/مرفق)",""))))))))))))))))))))))))))</f>
        <v/>
      </c>
      <c r="AF12" s="32">
        <f>IF($AD12=1,IF($AE12&lt;&gt;"",1,0),0)</f>
        <v/>
      </c>
      <c r="AG12" s="32">
        <f>IF(AND($AD12=1,$AF12=0,$O12=ST_POST),1,0)</f>
        <v/>
      </c>
    </row>
    <row r="13">
      <c r="A13" s="29" t="n"/>
      <c r="B13" s="29" t="n"/>
      <c r="C13" s="39" t="n"/>
      <c r="D13" s="31" t="n"/>
      <c r="E13" s="31" t="n"/>
      <c r="F13" s="29" t="n"/>
      <c r="G13" s="39" t="n"/>
      <c r="H13" s="39" t="n"/>
      <c r="I13" s="39" t="n"/>
      <c r="J13" s="42" t="n"/>
      <c r="K13" s="42" t="n"/>
      <c r="L13" s="39" t="n"/>
      <c r="M13" s="29" t="n"/>
      <c r="N13" s="29" t="n"/>
      <c r="O13" s="39" t="n"/>
      <c r="P13" s="29" t="n"/>
      <c r="Q13" s="29" t="n"/>
      <c r="R13" s="29" t="n"/>
      <c r="S13" s="29" t="n"/>
      <c r="T13" s="29" t="n"/>
      <c r="U13" s="29" t="n"/>
      <c r="V13" s="32">
        <f>IF($AD13=1,IFERROR(INDEX(Lists!$K$5:$K$7,MATCH($F13,Lists!$J$5:$J$7,0)),"?"),"")</f>
        <v/>
      </c>
      <c r="W13" s="43">
        <f>IF($AD13=1,$J13+$K13,"")</f>
        <v/>
      </c>
      <c r="X13" s="32">
        <f>IF($AD13=1,IFERROR(INDEX(Suppliers!$D:$D,MATCH($C13,Suppliers!$A:$A,0)),"؟"),"")</f>
        <v/>
      </c>
      <c r="Y13" s="33">
        <f>IF($AD13=1,IF(AND(ISNUMBER($D13),ISNUMBER($X13)),$D13+$X13,""),"")</f>
        <v/>
      </c>
      <c r="Z13" s="44">
        <f>IF($AD13=1,IF(AND($O13&lt;&gt;ST_REV,$O13&lt;&gt;ST_CANC,COUNTIFS($C$4:$C12,$C13,$B$4:$B12,$B13,$O$4:$O12,"&lt;&gt;"&amp;ST_REV,$O$4:$O12,"&lt;&gt;"&amp;ST_CANC)&gt;0),1,0),"")</f>
        <v/>
      </c>
      <c r="AA13" s="32">
        <f>IF(AND($AD13=1,$L13&lt;&gt;""),IFERROR(INDEX(Treasuries!$E:$E,MATCH($L13,Treasuries!$A:$A,0)),"؟"),"")</f>
        <v/>
      </c>
      <c r="AB13" s="32">
        <f>IF($AD13=1,IFERROR(IF(INDEX(COA!$I:$I,MATCH($G13,COA!$A:$A,0))="","OPERATING",INDEX(COA!$I:$I,MATCH($G13,COA!$A:$A,0))),"OPERATING"),"")</f>
        <v/>
      </c>
      <c r="AC13" s="43">
        <f>IF($AD13=1,IF(AND($V13&lt;&gt;"CN",$L13=""),$W13,0),"")</f>
        <v/>
      </c>
      <c r="AD13" s="32">
        <f>IF(COUNTA($A13:$U13)&gt;0,1,0)</f>
        <v/>
      </c>
      <c r="AE13" s="32">
        <f>IF($AD13=0,"",IF($A13="","رقم المستند ناقص",IF(COUNTIF(Doc_Register!$A:$A,$A13)&gt;1,"رقم مستند مكرر في السجل المركزي",IF(LEFT($A13,LEN("SINV")+1)&lt;&gt;"SINV"&amp;"-","بادئة الرقم لا تطابق نوع المستند",IF(NOT(ISNUMBER($E13)),"التاريخ ناقص أو غير صحيح",IF($O13="","حالة المستند ناقصة",IF($P13="","اسم المُعِد ناقص",IF(AND(OR($O13=ST_APPR,$O13=ST_POST),$Q13=""),"لا يوجد معتمد",IF(AND($Q13&lt;&gt;"",$Q13=$P13),"المُعِد والمعتمد نفس الشخص (فصل المهام)",IF(AND($O13=ST_POST,$R13=""),"اسم المحاسب المرحِّل ناقص",IF(AND($O13=ST_POST,$R13&lt;&gt;"",OR($R13=$P13,$R13=$Q13)),"المرحِّل يجب أن يختلف عن المُعِد والمعتمد",IF(AND($O13=ST_REV,$T13=""),"مرجع التصحيح/الإلغاء ناقص",IF(AND(ISNUMBER($E13),OR($O13=ST_DRAFT,$O13=ST_APPR),COUNTIFS(Period_Close!$A:$A,YEAR($E13)*100+MONTH($E13),Period_Close!$B:$B,"مقفلة")&gt;0),"الفترة مقفلة: لا يسمح بمستند جديد",IF(COUNTIF(Suppliers!$A:$A,$C13)=0,"المورد غير معرف",IF($B13="","رقم فاتورة المورد ناقص",IF($Z13=1,"فاتورة مكررة (نفس المورد ونفس الرقم)",IF(NOT(ISNUMBER($D13)),"تاريخ الفاتورة ناقص",IF($V13="?","نوع المستند غير معرف",IF(COUNTIFS(COA!$A:$A,$G13,COA!$K:$K,"نعم",COA!$R:$R,1)&lt;&gt;1,"حساب مدين غير مسموح في المشتريات",IF(NOT(COUNTIF(Locations!$A:$A,$H13)&gt;0),"جهة الاستلام غير معرفة",IF(NOT(COUNTIF(Cost_Centers!$A:$A,$I13)&gt;0),"مركز التكلفة غير معرف",IF(NOT(N($J13)&gt;0),"الصافي يجب أن يكون أكبر من صفر",IF(AND(N($K13)&gt;0,S_VATOn&lt;&gt;"نعم"),"الضريبة غير مفعلة في Tax_Settings",IF(AND($L13&lt;&gt;"",COUNTIFS(COA!$A:$A,$AA13,COA!$R:$R,1)&lt;&gt;1),"خزينة الدفع الفوري غير صالحة",IF(AND($L13&lt;&gt;"",$V13="CN"),"الإشعار الدائن لا يُسدَّد فوريًا",IF(AND($V13="INV",$M13="",$N13="",$S13=""),"فاتورة بدون مرجع (أمر شراء/استلام/مرفق)",""))))))))))))))))))))))))))</f>
        <v/>
      </c>
      <c r="AF13" s="32">
        <f>IF($AD13=1,IF($AE13&lt;&gt;"",1,0),0)</f>
        <v/>
      </c>
      <c r="AG13" s="32">
        <f>IF(AND($AD13=1,$AF13=0,$O13=ST_POST),1,0)</f>
        <v/>
      </c>
    </row>
    <row r="14">
      <c r="A14" s="29" t="n"/>
      <c r="B14" s="29" t="n"/>
      <c r="C14" s="39" t="n"/>
      <c r="D14" s="31" t="n"/>
      <c r="E14" s="31" t="n"/>
      <c r="F14" s="29" t="n"/>
      <c r="G14" s="39" t="n"/>
      <c r="H14" s="39" t="n"/>
      <c r="I14" s="39" t="n"/>
      <c r="J14" s="42" t="n"/>
      <c r="K14" s="42" t="n"/>
      <c r="L14" s="39" t="n"/>
      <c r="M14" s="29" t="n"/>
      <c r="N14" s="29" t="n"/>
      <c r="O14" s="39" t="n"/>
      <c r="P14" s="29" t="n"/>
      <c r="Q14" s="29" t="n"/>
      <c r="R14" s="29" t="n"/>
      <c r="S14" s="29" t="n"/>
      <c r="T14" s="29" t="n"/>
      <c r="U14" s="29" t="n"/>
      <c r="V14" s="32">
        <f>IF($AD14=1,IFERROR(INDEX(Lists!$K$5:$K$7,MATCH($F14,Lists!$J$5:$J$7,0)),"?"),"")</f>
        <v/>
      </c>
      <c r="W14" s="43">
        <f>IF($AD14=1,$J14+$K14,"")</f>
        <v/>
      </c>
      <c r="X14" s="32">
        <f>IF($AD14=1,IFERROR(INDEX(Suppliers!$D:$D,MATCH($C14,Suppliers!$A:$A,0)),"؟"),"")</f>
        <v/>
      </c>
      <c r="Y14" s="33">
        <f>IF($AD14=1,IF(AND(ISNUMBER($D14),ISNUMBER($X14)),$D14+$X14,""),"")</f>
        <v/>
      </c>
      <c r="Z14" s="44">
        <f>IF($AD14=1,IF(AND($O14&lt;&gt;ST_REV,$O14&lt;&gt;ST_CANC,COUNTIFS($C$4:$C13,$C14,$B$4:$B13,$B14,$O$4:$O13,"&lt;&gt;"&amp;ST_REV,$O$4:$O13,"&lt;&gt;"&amp;ST_CANC)&gt;0),1,0),"")</f>
        <v/>
      </c>
      <c r="AA14" s="32">
        <f>IF(AND($AD14=1,$L14&lt;&gt;""),IFERROR(INDEX(Treasuries!$E:$E,MATCH($L14,Treasuries!$A:$A,0)),"؟"),"")</f>
        <v/>
      </c>
      <c r="AB14" s="32">
        <f>IF($AD14=1,IFERROR(IF(INDEX(COA!$I:$I,MATCH($G14,COA!$A:$A,0))="","OPERATING",INDEX(COA!$I:$I,MATCH($G14,COA!$A:$A,0))),"OPERATING"),"")</f>
        <v/>
      </c>
      <c r="AC14" s="43">
        <f>IF($AD14=1,IF(AND($V14&lt;&gt;"CN",$L14=""),$W14,0),"")</f>
        <v/>
      </c>
      <c r="AD14" s="32">
        <f>IF(COUNTA($A14:$U14)&gt;0,1,0)</f>
        <v/>
      </c>
      <c r="AE14" s="32">
        <f>IF($AD14=0,"",IF($A14="","رقم المستند ناقص",IF(COUNTIF(Doc_Register!$A:$A,$A14)&gt;1,"رقم مستند مكرر في السجل المركزي",IF(LEFT($A14,LEN("SINV")+1)&lt;&gt;"SINV"&amp;"-","بادئة الرقم لا تطابق نوع المستند",IF(NOT(ISNUMBER($E14)),"التاريخ ناقص أو غير صحيح",IF($O14="","حالة المستند ناقصة",IF($P14="","اسم المُعِد ناقص",IF(AND(OR($O14=ST_APPR,$O14=ST_POST),$Q14=""),"لا يوجد معتمد",IF(AND($Q14&lt;&gt;"",$Q14=$P14),"المُعِد والمعتمد نفس الشخص (فصل المهام)",IF(AND($O14=ST_POST,$R14=""),"اسم المحاسب المرحِّل ناقص",IF(AND($O14=ST_POST,$R14&lt;&gt;"",OR($R14=$P14,$R14=$Q14)),"المرحِّل يجب أن يختلف عن المُعِد والمعتمد",IF(AND($O14=ST_REV,$T14=""),"مرجع التصحيح/الإلغاء ناقص",IF(AND(ISNUMBER($E14),OR($O14=ST_DRAFT,$O14=ST_APPR),COUNTIFS(Period_Close!$A:$A,YEAR($E14)*100+MONTH($E14),Period_Close!$B:$B,"مقفلة")&gt;0),"الفترة مقفلة: لا يسمح بمستند جديد",IF(COUNTIF(Suppliers!$A:$A,$C14)=0,"المورد غير معرف",IF($B14="","رقم فاتورة المورد ناقص",IF($Z14=1,"فاتورة مكررة (نفس المورد ونفس الرقم)",IF(NOT(ISNUMBER($D14)),"تاريخ الفاتورة ناقص",IF($V14="?","نوع المستند غير معرف",IF(COUNTIFS(COA!$A:$A,$G14,COA!$K:$K,"نعم",COA!$R:$R,1)&lt;&gt;1,"حساب مدين غير مسموح في المشتريات",IF(NOT(COUNTIF(Locations!$A:$A,$H14)&gt;0),"جهة الاستلام غير معرفة",IF(NOT(COUNTIF(Cost_Centers!$A:$A,$I14)&gt;0),"مركز التكلفة غير معرف",IF(NOT(N($J14)&gt;0),"الصافي يجب أن يكون أكبر من صفر",IF(AND(N($K14)&gt;0,S_VATOn&lt;&gt;"نعم"),"الضريبة غير مفعلة في Tax_Settings",IF(AND($L14&lt;&gt;"",COUNTIFS(COA!$A:$A,$AA14,COA!$R:$R,1)&lt;&gt;1),"خزينة الدفع الفوري غير صالحة",IF(AND($L14&lt;&gt;"",$V14="CN"),"الإشعار الدائن لا يُسدَّد فوريًا",IF(AND($V14="INV",$M14="",$N14="",$S14=""),"فاتورة بدون مرجع (أمر شراء/استلام/مرفق)",""))))))))))))))))))))))))))</f>
        <v/>
      </c>
      <c r="AF14" s="32">
        <f>IF($AD14=1,IF($AE14&lt;&gt;"",1,0),0)</f>
        <v/>
      </c>
      <c r="AG14" s="32">
        <f>IF(AND($AD14=1,$AF14=0,$O14=ST_POST),1,0)</f>
        <v/>
      </c>
    </row>
    <row r="15">
      <c r="A15" s="29" t="n"/>
      <c r="B15" s="29" t="n"/>
      <c r="C15" s="39" t="n"/>
      <c r="D15" s="31" t="n"/>
      <c r="E15" s="31" t="n"/>
      <c r="F15" s="29" t="n"/>
      <c r="G15" s="39" t="n"/>
      <c r="H15" s="39" t="n"/>
      <c r="I15" s="39" t="n"/>
      <c r="J15" s="42" t="n"/>
      <c r="K15" s="42" t="n"/>
      <c r="L15" s="39" t="n"/>
      <c r="M15" s="29" t="n"/>
      <c r="N15" s="29" t="n"/>
      <c r="O15" s="39" t="n"/>
      <c r="P15" s="29" t="n"/>
      <c r="Q15" s="29" t="n"/>
      <c r="R15" s="29" t="n"/>
      <c r="S15" s="29" t="n"/>
      <c r="T15" s="29" t="n"/>
      <c r="U15" s="29" t="n"/>
      <c r="V15" s="32">
        <f>IF($AD15=1,IFERROR(INDEX(Lists!$K$5:$K$7,MATCH($F15,Lists!$J$5:$J$7,0)),"?"),"")</f>
        <v/>
      </c>
      <c r="W15" s="43">
        <f>IF($AD15=1,$J15+$K15,"")</f>
        <v/>
      </c>
      <c r="X15" s="32">
        <f>IF($AD15=1,IFERROR(INDEX(Suppliers!$D:$D,MATCH($C15,Suppliers!$A:$A,0)),"؟"),"")</f>
        <v/>
      </c>
      <c r="Y15" s="33">
        <f>IF($AD15=1,IF(AND(ISNUMBER($D15),ISNUMBER($X15)),$D15+$X15,""),"")</f>
        <v/>
      </c>
      <c r="Z15" s="44">
        <f>IF($AD15=1,IF(AND($O15&lt;&gt;ST_REV,$O15&lt;&gt;ST_CANC,COUNTIFS($C$4:$C14,$C15,$B$4:$B14,$B15,$O$4:$O14,"&lt;&gt;"&amp;ST_REV,$O$4:$O14,"&lt;&gt;"&amp;ST_CANC)&gt;0),1,0),"")</f>
        <v/>
      </c>
      <c r="AA15" s="32">
        <f>IF(AND($AD15=1,$L15&lt;&gt;""),IFERROR(INDEX(Treasuries!$E:$E,MATCH($L15,Treasuries!$A:$A,0)),"؟"),"")</f>
        <v/>
      </c>
      <c r="AB15" s="32">
        <f>IF($AD15=1,IFERROR(IF(INDEX(COA!$I:$I,MATCH($G15,COA!$A:$A,0))="","OPERATING",INDEX(COA!$I:$I,MATCH($G15,COA!$A:$A,0))),"OPERATING"),"")</f>
        <v/>
      </c>
      <c r="AC15" s="43">
        <f>IF($AD15=1,IF(AND($V15&lt;&gt;"CN",$L15=""),$W15,0),"")</f>
        <v/>
      </c>
      <c r="AD15" s="32">
        <f>IF(COUNTA($A15:$U15)&gt;0,1,0)</f>
        <v/>
      </c>
      <c r="AE15" s="32">
        <f>IF($AD15=0,"",IF($A15="","رقم المستند ناقص",IF(COUNTIF(Doc_Register!$A:$A,$A15)&gt;1,"رقم مستند مكرر في السجل المركزي",IF(LEFT($A15,LEN("SINV")+1)&lt;&gt;"SINV"&amp;"-","بادئة الرقم لا تطابق نوع المستند",IF(NOT(ISNUMBER($E15)),"التاريخ ناقص أو غير صحيح",IF($O15="","حالة المستند ناقصة",IF($P15="","اسم المُعِد ناقص",IF(AND(OR($O15=ST_APPR,$O15=ST_POST),$Q15=""),"لا يوجد معتمد",IF(AND($Q15&lt;&gt;"",$Q15=$P15),"المُعِد والمعتمد نفس الشخص (فصل المهام)",IF(AND($O15=ST_POST,$R15=""),"اسم المحاسب المرحِّل ناقص",IF(AND($O15=ST_POST,$R15&lt;&gt;"",OR($R15=$P15,$R15=$Q15)),"المرحِّل يجب أن يختلف عن المُعِد والمعتمد",IF(AND($O15=ST_REV,$T15=""),"مرجع التصحيح/الإلغاء ناقص",IF(AND(ISNUMBER($E15),OR($O15=ST_DRAFT,$O15=ST_APPR),COUNTIFS(Period_Close!$A:$A,YEAR($E15)*100+MONTH($E15),Period_Close!$B:$B,"مقفلة")&gt;0),"الفترة مقفلة: لا يسمح بمستند جديد",IF(COUNTIF(Suppliers!$A:$A,$C15)=0,"المورد غير معرف",IF($B15="","رقم فاتورة المورد ناقص",IF($Z15=1,"فاتورة مكررة (نفس المورد ونفس الرقم)",IF(NOT(ISNUMBER($D15)),"تاريخ الفاتورة ناقص",IF($V15="?","نوع المستند غير معرف",IF(COUNTIFS(COA!$A:$A,$G15,COA!$K:$K,"نعم",COA!$R:$R,1)&lt;&gt;1,"حساب مدين غير مسموح في المشتريات",IF(NOT(COUNTIF(Locations!$A:$A,$H15)&gt;0),"جهة الاستلام غير معرفة",IF(NOT(COUNTIF(Cost_Centers!$A:$A,$I15)&gt;0),"مركز التكلفة غير معرف",IF(NOT(N($J15)&gt;0),"الصافي يجب أن يكون أكبر من صفر",IF(AND(N($K15)&gt;0,S_VATOn&lt;&gt;"نعم"),"الضريبة غير مفعلة في Tax_Settings",IF(AND($L15&lt;&gt;"",COUNTIFS(COA!$A:$A,$AA15,COA!$R:$R,1)&lt;&gt;1),"خزينة الدفع الفوري غير صالحة",IF(AND($L15&lt;&gt;"",$V15="CN"),"الإشعار الدائن لا يُسدَّد فوريًا",IF(AND($V15="INV",$M15="",$N15="",$S15=""),"فاتورة بدون مرجع (أمر شراء/استلام/مرفق)",""))))))))))))))))))))))))))</f>
        <v/>
      </c>
      <c r="AF15" s="32">
        <f>IF($AD15=1,IF($AE15&lt;&gt;"",1,0),0)</f>
        <v/>
      </c>
      <c r="AG15" s="32">
        <f>IF(AND($AD15=1,$AF15=0,$O15=ST_POST),1,0)</f>
        <v/>
      </c>
    </row>
    <row r="16">
      <c r="A16" s="29" t="n"/>
      <c r="B16" s="29" t="n"/>
      <c r="C16" s="39" t="n"/>
      <c r="D16" s="31" t="n"/>
      <c r="E16" s="31" t="n"/>
      <c r="F16" s="29" t="n"/>
      <c r="G16" s="39" t="n"/>
      <c r="H16" s="39" t="n"/>
      <c r="I16" s="39" t="n"/>
      <c r="J16" s="42" t="n"/>
      <c r="K16" s="42" t="n"/>
      <c r="L16" s="39" t="n"/>
      <c r="M16" s="29" t="n"/>
      <c r="N16" s="29" t="n"/>
      <c r="O16" s="39" t="n"/>
      <c r="P16" s="29" t="n"/>
      <c r="Q16" s="29" t="n"/>
      <c r="R16" s="29" t="n"/>
      <c r="S16" s="29" t="n"/>
      <c r="T16" s="29" t="n"/>
      <c r="U16" s="29" t="n"/>
      <c r="V16" s="32">
        <f>IF($AD16=1,IFERROR(INDEX(Lists!$K$5:$K$7,MATCH($F16,Lists!$J$5:$J$7,0)),"?"),"")</f>
        <v/>
      </c>
      <c r="W16" s="43">
        <f>IF($AD16=1,$J16+$K16,"")</f>
        <v/>
      </c>
      <c r="X16" s="32">
        <f>IF($AD16=1,IFERROR(INDEX(Suppliers!$D:$D,MATCH($C16,Suppliers!$A:$A,0)),"؟"),"")</f>
        <v/>
      </c>
      <c r="Y16" s="33">
        <f>IF($AD16=1,IF(AND(ISNUMBER($D16),ISNUMBER($X16)),$D16+$X16,""),"")</f>
        <v/>
      </c>
      <c r="Z16" s="44">
        <f>IF($AD16=1,IF(AND($O16&lt;&gt;ST_REV,$O16&lt;&gt;ST_CANC,COUNTIFS($C$4:$C15,$C16,$B$4:$B15,$B16,$O$4:$O15,"&lt;&gt;"&amp;ST_REV,$O$4:$O15,"&lt;&gt;"&amp;ST_CANC)&gt;0),1,0),"")</f>
        <v/>
      </c>
      <c r="AA16" s="32">
        <f>IF(AND($AD16=1,$L16&lt;&gt;""),IFERROR(INDEX(Treasuries!$E:$E,MATCH($L16,Treasuries!$A:$A,0)),"؟"),"")</f>
        <v/>
      </c>
      <c r="AB16" s="32">
        <f>IF($AD16=1,IFERROR(IF(INDEX(COA!$I:$I,MATCH($G16,COA!$A:$A,0))="","OPERATING",INDEX(COA!$I:$I,MATCH($G16,COA!$A:$A,0))),"OPERATING"),"")</f>
        <v/>
      </c>
      <c r="AC16" s="43">
        <f>IF($AD16=1,IF(AND($V16&lt;&gt;"CN",$L16=""),$W16,0),"")</f>
        <v/>
      </c>
      <c r="AD16" s="32">
        <f>IF(COUNTA($A16:$U16)&gt;0,1,0)</f>
        <v/>
      </c>
      <c r="AE16" s="32">
        <f>IF($AD16=0,"",IF($A16="","رقم المستند ناقص",IF(COUNTIF(Doc_Register!$A:$A,$A16)&gt;1,"رقم مستند مكرر في السجل المركزي",IF(LEFT($A16,LEN("SINV")+1)&lt;&gt;"SINV"&amp;"-","بادئة الرقم لا تطابق نوع المستند",IF(NOT(ISNUMBER($E16)),"التاريخ ناقص أو غير صحيح",IF($O16="","حالة المستند ناقصة",IF($P16="","اسم المُعِد ناقص",IF(AND(OR($O16=ST_APPR,$O16=ST_POST),$Q16=""),"لا يوجد معتمد",IF(AND($Q16&lt;&gt;"",$Q16=$P16),"المُعِد والمعتمد نفس الشخص (فصل المهام)",IF(AND($O16=ST_POST,$R16=""),"اسم المحاسب المرحِّل ناقص",IF(AND($O16=ST_POST,$R16&lt;&gt;"",OR($R16=$P16,$R16=$Q16)),"المرحِّل يجب أن يختلف عن المُعِد والمعتمد",IF(AND($O16=ST_REV,$T16=""),"مرجع التصحيح/الإلغاء ناقص",IF(AND(ISNUMBER($E16),OR($O16=ST_DRAFT,$O16=ST_APPR),COUNTIFS(Period_Close!$A:$A,YEAR($E16)*100+MONTH($E16),Period_Close!$B:$B,"مقفلة")&gt;0),"الفترة مقفلة: لا يسمح بمستند جديد",IF(COUNTIF(Suppliers!$A:$A,$C16)=0,"المورد غير معرف",IF($B16="","رقم فاتورة المورد ناقص",IF($Z16=1,"فاتورة مكررة (نفس المورد ونفس الرقم)",IF(NOT(ISNUMBER($D16)),"تاريخ الفاتورة ناقص",IF($V16="?","نوع المستند غير معرف",IF(COUNTIFS(COA!$A:$A,$G16,COA!$K:$K,"نعم",COA!$R:$R,1)&lt;&gt;1,"حساب مدين غير مسموح في المشتريات",IF(NOT(COUNTIF(Locations!$A:$A,$H16)&gt;0),"جهة الاستلام غير معرفة",IF(NOT(COUNTIF(Cost_Centers!$A:$A,$I16)&gt;0),"مركز التكلفة غير معرف",IF(NOT(N($J16)&gt;0),"الصافي يجب أن يكون أكبر من صفر",IF(AND(N($K16)&gt;0,S_VATOn&lt;&gt;"نعم"),"الضريبة غير مفعلة في Tax_Settings",IF(AND($L16&lt;&gt;"",COUNTIFS(COA!$A:$A,$AA16,COA!$R:$R,1)&lt;&gt;1),"خزينة الدفع الفوري غير صالحة",IF(AND($L16&lt;&gt;"",$V16="CN"),"الإشعار الدائن لا يُسدَّد فوريًا",IF(AND($V16="INV",$M16="",$N16="",$S16=""),"فاتورة بدون مرجع (أمر شراء/استلام/مرفق)",""))))))))))))))))))))))))))</f>
        <v/>
      </c>
      <c r="AF16" s="32">
        <f>IF($AD16=1,IF($AE16&lt;&gt;"",1,0),0)</f>
        <v/>
      </c>
      <c r="AG16" s="32">
        <f>IF(AND($AD16=1,$AF16=0,$O16=ST_POST),1,0)</f>
        <v/>
      </c>
    </row>
    <row r="17">
      <c r="A17" s="29" t="n"/>
      <c r="B17" s="29" t="n"/>
      <c r="C17" s="39" t="n"/>
      <c r="D17" s="31" t="n"/>
      <c r="E17" s="31" t="n"/>
      <c r="F17" s="29" t="n"/>
      <c r="G17" s="39" t="n"/>
      <c r="H17" s="39" t="n"/>
      <c r="I17" s="39" t="n"/>
      <c r="J17" s="42" t="n"/>
      <c r="K17" s="42" t="n"/>
      <c r="L17" s="39" t="n"/>
      <c r="M17" s="29" t="n"/>
      <c r="N17" s="29" t="n"/>
      <c r="O17" s="39" t="n"/>
      <c r="P17" s="29" t="n"/>
      <c r="Q17" s="29" t="n"/>
      <c r="R17" s="29" t="n"/>
      <c r="S17" s="29" t="n"/>
      <c r="T17" s="29" t="n"/>
      <c r="U17" s="29" t="n"/>
      <c r="V17" s="32">
        <f>IF($AD17=1,IFERROR(INDEX(Lists!$K$5:$K$7,MATCH($F17,Lists!$J$5:$J$7,0)),"?"),"")</f>
        <v/>
      </c>
      <c r="W17" s="43">
        <f>IF($AD17=1,$J17+$K17,"")</f>
        <v/>
      </c>
      <c r="X17" s="32">
        <f>IF($AD17=1,IFERROR(INDEX(Suppliers!$D:$D,MATCH($C17,Suppliers!$A:$A,0)),"؟"),"")</f>
        <v/>
      </c>
      <c r="Y17" s="33">
        <f>IF($AD17=1,IF(AND(ISNUMBER($D17),ISNUMBER($X17)),$D17+$X17,""),"")</f>
        <v/>
      </c>
      <c r="Z17" s="44">
        <f>IF($AD17=1,IF(AND($O17&lt;&gt;ST_REV,$O17&lt;&gt;ST_CANC,COUNTIFS($C$4:$C16,$C17,$B$4:$B16,$B17,$O$4:$O16,"&lt;&gt;"&amp;ST_REV,$O$4:$O16,"&lt;&gt;"&amp;ST_CANC)&gt;0),1,0),"")</f>
        <v/>
      </c>
      <c r="AA17" s="32">
        <f>IF(AND($AD17=1,$L17&lt;&gt;""),IFERROR(INDEX(Treasuries!$E:$E,MATCH($L17,Treasuries!$A:$A,0)),"؟"),"")</f>
        <v/>
      </c>
      <c r="AB17" s="32">
        <f>IF($AD17=1,IFERROR(IF(INDEX(COA!$I:$I,MATCH($G17,COA!$A:$A,0))="","OPERATING",INDEX(COA!$I:$I,MATCH($G17,COA!$A:$A,0))),"OPERATING"),"")</f>
        <v/>
      </c>
      <c r="AC17" s="43">
        <f>IF($AD17=1,IF(AND($V17&lt;&gt;"CN",$L17=""),$W17,0),"")</f>
        <v/>
      </c>
      <c r="AD17" s="32">
        <f>IF(COUNTA($A17:$U17)&gt;0,1,0)</f>
        <v/>
      </c>
      <c r="AE17" s="32">
        <f>IF($AD17=0,"",IF($A17="","رقم المستند ناقص",IF(COUNTIF(Doc_Register!$A:$A,$A17)&gt;1,"رقم مستند مكرر في السجل المركزي",IF(LEFT($A17,LEN("SINV")+1)&lt;&gt;"SINV"&amp;"-","بادئة الرقم لا تطابق نوع المستند",IF(NOT(ISNUMBER($E17)),"التاريخ ناقص أو غير صحيح",IF($O17="","حالة المستند ناقصة",IF($P17="","اسم المُعِد ناقص",IF(AND(OR($O17=ST_APPR,$O17=ST_POST),$Q17=""),"لا يوجد معتمد",IF(AND($Q17&lt;&gt;"",$Q17=$P17),"المُعِد والمعتمد نفس الشخص (فصل المهام)",IF(AND($O17=ST_POST,$R17=""),"اسم المحاسب المرحِّل ناقص",IF(AND($O17=ST_POST,$R17&lt;&gt;"",OR($R17=$P17,$R17=$Q17)),"المرحِّل يجب أن يختلف عن المُعِد والمعتمد",IF(AND($O17=ST_REV,$T17=""),"مرجع التصحيح/الإلغاء ناقص",IF(AND(ISNUMBER($E17),OR($O17=ST_DRAFT,$O17=ST_APPR),COUNTIFS(Period_Close!$A:$A,YEAR($E17)*100+MONTH($E17),Period_Close!$B:$B,"مقفلة")&gt;0),"الفترة مقفلة: لا يسمح بمستند جديد",IF(COUNTIF(Suppliers!$A:$A,$C17)=0,"المورد غير معرف",IF($B17="","رقم فاتورة المورد ناقص",IF($Z17=1,"فاتورة مكررة (نفس المورد ونفس الرقم)",IF(NOT(ISNUMBER($D17)),"تاريخ الفاتورة ناقص",IF($V17="?","نوع المستند غير معرف",IF(COUNTIFS(COA!$A:$A,$G17,COA!$K:$K,"نعم",COA!$R:$R,1)&lt;&gt;1,"حساب مدين غير مسموح في المشتريات",IF(NOT(COUNTIF(Locations!$A:$A,$H17)&gt;0),"جهة الاستلام غير معرفة",IF(NOT(COUNTIF(Cost_Centers!$A:$A,$I17)&gt;0),"مركز التكلفة غير معرف",IF(NOT(N($J17)&gt;0),"الصافي يجب أن يكون أكبر من صفر",IF(AND(N($K17)&gt;0,S_VATOn&lt;&gt;"نعم"),"الضريبة غير مفعلة في Tax_Settings",IF(AND($L17&lt;&gt;"",COUNTIFS(COA!$A:$A,$AA17,COA!$R:$R,1)&lt;&gt;1),"خزينة الدفع الفوري غير صالحة",IF(AND($L17&lt;&gt;"",$V17="CN"),"الإشعار الدائن لا يُسدَّد فوريًا",IF(AND($V17="INV",$M17="",$N17="",$S17=""),"فاتورة بدون مرجع (أمر شراء/استلام/مرفق)",""))))))))))))))))))))))))))</f>
        <v/>
      </c>
      <c r="AF17" s="32">
        <f>IF($AD17=1,IF($AE17&lt;&gt;"",1,0),0)</f>
        <v/>
      </c>
      <c r="AG17" s="32">
        <f>IF(AND($AD17=1,$AF17=0,$O17=ST_POST),1,0)</f>
        <v/>
      </c>
    </row>
    <row r="18">
      <c r="A18" s="29" t="n"/>
      <c r="B18" s="29" t="n"/>
      <c r="C18" s="39" t="n"/>
      <c r="D18" s="31" t="n"/>
      <c r="E18" s="31" t="n"/>
      <c r="F18" s="29" t="n"/>
      <c r="G18" s="39" t="n"/>
      <c r="H18" s="39" t="n"/>
      <c r="I18" s="39" t="n"/>
      <c r="J18" s="42" t="n"/>
      <c r="K18" s="42" t="n"/>
      <c r="L18" s="39" t="n"/>
      <c r="M18" s="29" t="n"/>
      <c r="N18" s="29" t="n"/>
      <c r="O18" s="39" t="n"/>
      <c r="P18" s="29" t="n"/>
      <c r="Q18" s="29" t="n"/>
      <c r="R18" s="29" t="n"/>
      <c r="S18" s="29" t="n"/>
      <c r="T18" s="29" t="n"/>
      <c r="U18" s="29" t="n"/>
      <c r="V18" s="32">
        <f>IF($AD18=1,IFERROR(INDEX(Lists!$K$5:$K$7,MATCH($F18,Lists!$J$5:$J$7,0)),"?"),"")</f>
        <v/>
      </c>
      <c r="W18" s="43">
        <f>IF($AD18=1,$J18+$K18,"")</f>
        <v/>
      </c>
      <c r="X18" s="32">
        <f>IF($AD18=1,IFERROR(INDEX(Suppliers!$D:$D,MATCH($C18,Suppliers!$A:$A,0)),"؟"),"")</f>
        <v/>
      </c>
      <c r="Y18" s="33">
        <f>IF($AD18=1,IF(AND(ISNUMBER($D18),ISNUMBER($X18)),$D18+$X18,""),"")</f>
        <v/>
      </c>
      <c r="Z18" s="44">
        <f>IF($AD18=1,IF(AND($O18&lt;&gt;ST_REV,$O18&lt;&gt;ST_CANC,COUNTIFS($C$4:$C17,$C18,$B$4:$B17,$B18,$O$4:$O17,"&lt;&gt;"&amp;ST_REV,$O$4:$O17,"&lt;&gt;"&amp;ST_CANC)&gt;0),1,0),"")</f>
        <v/>
      </c>
      <c r="AA18" s="32">
        <f>IF(AND($AD18=1,$L18&lt;&gt;""),IFERROR(INDEX(Treasuries!$E:$E,MATCH($L18,Treasuries!$A:$A,0)),"؟"),"")</f>
        <v/>
      </c>
      <c r="AB18" s="32">
        <f>IF($AD18=1,IFERROR(IF(INDEX(COA!$I:$I,MATCH($G18,COA!$A:$A,0))="","OPERATING",INDEX(COA!$I:$I,MATCH($G18,COA!$A:$A,0))),"OPERATING"),"")</f>
        <v/>
      </c>
      <c r="AC18" s="43">
        <f>IF($AD18=1,IF(AND($V18&lt;&gt;"CN",$L18=""),$W18,0),"")</f>
        <v/>
      </c>
      <c r="AD18" s="32">
        <f>IF(COUNTA($A18:$U18)&gt;0,1,0)</f>
        <v/>
      </c>
      <c r="AE18" s="32">
        <f>IF($AD18=0,"",IF($A18="","رقم المستند ناقص",IF(COUNTIF(Doc_Register!$A:$A,$A18)&gt;1,"رقم مستند مكرر في السجل المركزي",IF(LEFT($A18,LEN("SINV")+1)&lt;&gt;"SINV"&amp;"-","بادئة الرقم لا تطابق نوع المستند",IF(NOT(ISNUMBER($E18)),"التاريخ ناقص أو غير صحيح",IF($O18="","حالة المستند ناقصة",IF($P18="","اسم المُعِد ناقص",IF(AND(OR($O18=ST_APPR,$O18=ST_POST),$Q18=""),"لا يوجد معتمد",IF(AND($Q18&lt;&gt;"",$Q18=$P18),"المُعِد والمعتمد نفس الشخص (فصل المهام)",IF(AND($O18=ST_POST,$R18=""),"اسم المحاسب المرحِّل ناقص",IF(AND($O18=ST_POST,$R18&lt;&gt;"",OR($R18=$P18,$R18=$Q18)),"المرحِّل يجب أن يختلف عن المُعِد والمعتمد",IF(AND($O18=ST_REV,$T18=""),"مرجع التصحيح/الإلغاء ناقص",IF(AND(ISNUMBER($E18),OR($O18=ST_DRAFT,$O18=ST_APPR),COUNTIFS(Period_Close!$A:$A,YEAR($E18)*100+MONTH($E18),Period_Close!$B:$B,"مقفلة")&gt;0),"الفترة مقفلة: لا يسمح بمستند جديد",IF(COUNTIF(Suppliers!$A:$A,$C18)=0,"المورد غير معرف",IF($B18="","رقم فاتورة المورد ناقص",IF($Z18=1,"فاتورة مكررة (نفس المورد ونفس الرقم)",IF(NOT(ISNUMBER($D18)),"تاريخ الفاتورة ناقص",IF($V18="?","نوع المستند غير معرف",IF(COUNTIFS(COA!$A:$A,$G18,COA!$K:$K,"نعم",COA!$R:$R,1)&lt;&gt;1,"حساب مدين غير مسموح في المشتريات",IF(NOT(COUNTIF(Locations!$A:$A,$H18)&gt;0),"جهة الاستلام غير معرفة",IF(NOT(COUNTIF(Cost_Centers!$A:$A,$I18)&gt;0),"مركز التكلفة غير معرف",IF(NOT(N($J18)&gt;0),"الصافي يجب أن يكون أكبر من صفر",IF(AND(N($K18)&gt;0,S_VATOn&lt;&gt;"نعم"),"الضريبة غير مفعلة في Tax_Settings",IF(AND($L18&lt;&gt;"",COUNTIFS(COA!$A:$A,$AA18,COA!$R:$R,1)&lt;&gt;1),"خزينة الدفع الفوري غير صالحة",IF(AND($L18&lt;&gt;"",$V18="CN"),"الإشعار الدائن لا يُسدَّد فوريًا",IF(AND($V18="INV",$M18="",$N18="",$S18=""),"فاتورة بدون مرجع (أمر شراء/استلام/مرفق)",""))))))))))))))))))))))))))</f>
        <v/>
      </c>
      <c r="AF18" s="32">
        <f>IF($AD18=1,IF($AE18&lt;&gt;"",1,0),0)</f>
        <v/>
      </c>
      <c r="AG18" s="32">
        <f>IF(AND($AD18=1,$AF18=0,$O18=ST_POST),1,0)</f>
        <v/>
      </c>
    </row>
    <row r="19">
      <c r="A19" s="29" t="n"/>
      <c r="B19" s="29" t="n"/>
      <c r="C19" s="39" t="n"/>
      <c r="D19" s="31" t="n"/>
      <c r="E19" s="31" t="n"/>
      <c r="F19" s="29" t="n"/>
      <c r="G19" s="39" t="n"/>
      <c r="H19" s="39" t="n"/>
      <c r="I19" s="39" t="n"/>
      <c r="J19" s="42" t="n"/>
      <c r="K19" s="42" t="n"/>
      <c r="L19" s="39" t="n"/>
      <c r="M19" s="29" t="n"/>
      <c r="N19" s="29" t="n"/>
      <c r="O19" s="39" t="n"/>
      <c r="P19" s="29" t="n"/>
      <c r="Q19" s="29" t="n"/>
      <c r="R19" s="29" t="n"/>
      <c r="S19" s="29" t="n"/>
      <c r="T19" s="29" t="n"/>
      <c r="U19" s="29" t="n"/>
      <c r="V19" s="32">
        <f>IF($AD19=1,IFERROR(INDEX(Lists!$K$5:$K$7,MATCH($F19,Lists!$J$5:$J$7,0)),"?"),"")</f>
        <v/>
      </c>
      <c r="W19" s="43">
        <f>IF($AD19=1,$J19+$K19,"")</f>
        <v/>
      </c>
      <c r="X19" s="32">
        <f>IF($AD19=1,IFERROR(INDEX(Suppliers!$D:$D,MATCH($C19,Suppliers!$A:$A,0)),"؟"),"")</f>
        <v/>
      </c>
      <c r="Y19" s="33">
        <f>IF($AD19=1,IF(AND(ISNUMBER($D19),ISNUMBER($X19)),$D19+$X19,""),"")</f>
        <v/>
      </c>
      <c r="Z19" s="44">
        <f>IF($AD19=1,IF(AND($O19&lt;&gt;ST_REV,$O19&lt;&gt;ST_CANC,COUNTIFS($C$4:$C18,$C19,$B$4:$B18,$B19,$O$4:$O18,"&lt;&gt;"&amp;ST_REV,$O$4:$O18,"&lt;&gt;"&amp;ST_CANC)&gt;0),1,0),"")</f>
        <v/>
      </c>
      <c r="AA19" s="32">
        <f>IF(AND($AD19=1,$L19&lt;&gt;""),IFERROR(INDEX(Treasuries!$E:$E,MATCH($L19,Treasuries!$A:$A,0)),"؟"),"")</f>
        <v/>
      </c>
      <c r="AB19" s="32">
        <f>IF($AD19=1,IFERROR(IF(INDEX(COA!$I:$I,MATCH($G19,COA!$A:$A,0))="","OPERATING",INDEX(COA!$I:$I,MATCH($G19,COA!$A:$A,0))),"OPERATING"),"")</f>
        <v/>
      </c>
      <c r="AC19" s="43">
        <f>IF($AD19=1,IF(AND($V19&lt;&gt;"CN",$L19=""),$W19,0),"")</f>
        <v/>
      </c>
      <c r="AD19" s="32">
        <f>IF(COUNTA($A19:$U19)&gt;0,1,0)</f>
        <v/>
      </c>
      <c r="AE19" s="32">
        <f>IF($AD19=0,"",IF($A19="","رقم المستند ناقص",IF(COUNTIF(Doc_Register!$A:$A,$A19)&gt;1,"رقم مستند مكرر في السجل المركزي",IF(LEFT($A19,LEN("SINV")+1)&lt;&gt;"SINV"&amp;"-","بادئة الرقم لا تطابق نوع المستند",IF(NOT(ISNUMBER($E19)),"التاريخ ناقص أو غير صحيح",IF($O19="","حالة المستند ناقصة",IF($P19="","اسم المُعِد ناقص",IF(AND(OR($O19=ST_APPR,$O19=ST_POST),$Q19=""),"لا يوجد معتمد",IF(AND($Q19&lt;&gt;"",$Q19=$P19),"المُعِد والمعتمد نفس الشخص (فصل المهام)",IF(AND($O19=ST_POST,$R19=""),"اسم المحاسب المرحِّل ناقص",IF(AND($O19=ST_POST,$R19&lt;&gt;"",OR($R19=$P19,$R19=$Q19)),"المرحِّل يجب أن يختلف عن المُعِد والمعتمد",IF(AND($O19=ST_REV,$T19=""),"مرجع التصحيح/الإلغاء ناقص",IF(AND(ISNUMBER($E19),OR($O19=ST_DRAFT,$O19=ST_APPR),COUNTIFS(Period_Close!$A:$A,YEAR($E19)*100+MONTH($E19),Period_Close!$B:$B,"مقفلة")&gt;0),"الفترة مقفلة: لا يسمح بمستند جديد",IF(COUNTIF(Suppliers!$A:$A,$C19)=0,"المورد غير معرف",IF($B19="","رقم فاتورة المورد ناقص",IF($Z19=1,"فاتورة مكررة (نفس المورد ونفس الرقم)",IF(NOT(ISNUMBER($D19)),"تاريخ الفاتورة ناقص",IF($V19="?","نوع المستند غير معرف",IF(COUNTIFS(COA!$A:$A,$G19,COA!$K:$K,"نعم",COA!$R:$R,1)&lt;&gt;1,"حساب مدين غير مسموح في المشتريات",IF(NOT(COUNTIF(Locations!$A:$A,$H19)&gt;0),"جهة الاستلام غير معرفة",IF(NOT(COUNTIF(Cost_Centers!$A:$A,$I19)&gt;0),"مركز التكلفة غير معرف",IF(NOT(N($J19)&gt;0),"الصافي يجب أن يكون أكبر من صفر",IF(AND(N($K19)&gt;0,S_VATOn&lt;&gt;"نعم"),"الضريبة غير مفعلة في Tax_Settings",IF(AND($L19&lt;&gt;"",COUNTIFS(COA!$A:$A,$AA19,COA!$R:$R,1)&lt;&gt;1),"خزينة الدفع الفوري غير صالحة",IF(AND($L19&lt;&gt;"",$V19="CN"),"الإشعار الدائن لا يُسدَّد فوريًا",IF(AND($V19="INV",$M19="",$N19="",$S19=""),"فاتورة بدون مرجع (أمر شراء/استلام/مرفق)",""))))))))))))))))))))))))))</f>
        <v/>
      </c>
      <c r="AF19" s="32">
        <f>IF($AD19=1,IF($AE19&lt;&gt;"",1,0),0)</f>
        <v/>
      </c>
      <c r="AG19" s="32">
        <f>IF(AND($AD19=1,$AF19=0,$O19=ST_POST),1,0)</f>
        <v/>
      </c>
    </row>
    <row r="20">
      <c r="A20" s="29" t="n"/>
      <c r="B20" s="29" t="n"/>
      <c r="C20" s="39" t="n"/>
      <c r="D20" s="31" t="n"/>
      <c r="E20" s="31" t="n"/>
      <c r="F20" s="29" t="n"/>
      <c r="G20" s="39" t="n"/>
      <c r="H20" s="39" t="n"/>
      <c r="I20" s="39" t="n"/>
      <c r="J20" s="42" t="n"/>
      <c r="K20" s="42" t="n"/>
      <c r="L20" s="39" t="n"/>
      <c r="M20" s="29" t="n"/>
      <c r="N20" s="29" t="n"/>
      <c r="O20" s="39" t="n"/>
      <c r="P20" s="29" t="n"/>
      <c r="Q20" s="29" t="n"/>
      <c r="R20" s="29" t="n"/>
      <c r="S20" s="29" t="n"/>
      <c r="T20" s="29" t="n"/>
      <c r="U20" s="29" t="n"/>
      <c r="V20" s="32">
        <f>IF($AD20=1,IFERROR(INDEX(Lists!$K$5:$K$7,MATCH($F20,Lists!$J$5:$J$7,0)),"?"),"")</f>
        <v/>
      </c>
      <c r="W20" s="43">
        <f>IF($AD20=1,$J20+$K20,"")</f>
        <v/>
      </c>
      <c r="X20" s="32">
        <f>IF($AD20=1,IFERROR(INDEX(Suppliers!$D:$D,MATCH($C20,Suppliers!$A:$A,0)),"؟"),"")</f>
        <v/>
      </c>
      <c r="Y20" s="33">
        <f>IF($AD20=1,IF(AND(ISNUMBER($D20),ISNUMBER($X20)),$D20+$X20,""),"")</f>
        <v/>
      </c>
      <c r="Z20" s="44">
        <f>IF($AD20=1,IF(AND($O20&lt;&gt;ST_REV,$O20&lt;&gt;ST_CANC,COUNTIFS($C$4:$C19,$C20,$B$4:$B19,$B20,$O$4:$O19,"&lt;&gt;"&amp;ST_REV,$O$4:$O19,"&lt;&gt;"&amp;ST_CANC)&gt;0),1,0),"")</f>
        <v/>
      </c>
      <c r="AA20" s="32">
        <f>IF(AND($AD20=1,$L20&lt;&gt;""),IFERROR(INDEX(Treasuries!$E:$E,MATCH($L20,Treasuries!$A:$A,0)),"؟"),"")</f>
        <v/>
      </c>
      <c r="AB20" s="32">
        <f>IF($AD20=1,IFERROR(IF(INDEX(COA!$I:$I,MATCH($G20,COA!$A:$A,0))="","OPERATING",INDEX(COA!$I:$I,MATCH($G20,COA!$A:$A,0))),"OPERATING"),"")</f>
        <v/>
      </c>
      <c r="AC20" s="43">
        <f>IF($AD20=1,IF(AND($V20&lt;&gt;"CN",$L20=""),$W20,0),"")</f>
        <v/>
      </c>
      <c r="AD20" s="32">
        <f>IF(COUNTA($A20:$U20)&gt;0,1,0)</f>
        <v/>
      </c>
      <c r="AE20" s="32">
        <f>IF($AD20=0,"",IF($A20="","رقم المستند ناقص",IF(COUNTIF(Doc_Register!$A:$A,$A20)&gt;1,"رقم مستند مكرر في السجل المركزي",IF(LEFT($A20,LEN("SINV")+1)&lt;&gt;"SINV"&amp;"-","بادئة الرقم لا تطابق نوع المستند",IF(NOT(ISNUMBER($E20)),"التاريخ ناقص أو غير صحيح",IF($O20="","حالة المستند ناقصة",IF($P20="","اسم المُعِد ناقص",IF(AND(OR($O20=ST_APPR,$O20=ST_POST),$Q20=""),"لا يوجد معتمد",IF(AND($Q20&lt;&gt;"",$Q20=$P20),"المُعِد والمعتمد نفس الشخص (فصل المهام)",IF(AND($O20=ST_POST,$R20=""),"اسم المحاسب المرحِّل ناقص",IF(AND($O20=ST_POST,$R20&lt;&gt;"",OR($R20=$P20,$R20=$Q20)),"المرحِّل يجب أن يختلف عن المُعِد والمعتمد",IF(AND($O20=ST_REV,$T20=""),"مرجع التصحيح/الإلغاء ناقص",IF(AND(ISNUMBER($E20),OR($O20=ST_DRAFT,$O20=ST_APPR),COUNTIFS(Period_Close!$A:$A,YEAR($E20)*100+MONTH($E20),Period_Close!$B:$B,"مقفلة")&gt;0),"الفترة مقفلة: لا يسمح بمستند جديد",IF(COUNTIF(Suppliers!$A:$A,$C20)=0,"المورد غير معرف",IF($B20="","رقم فاتورة المورد ناقص",IF($Z20=1,"فاتورة مكررة (نفس المورد ونفس الرقم)",IF(NOT(ISNUMBER($D20)),"تاريخ الفاتورة ناقص",IF($V20="?","نوع المستند غير معرف",IF(COUNTIFS(COA!$A:$A,$G20,COA!$K:$K,"نعم",COA!$R:$R,1)&lt;&gt;1,"حساب مدين غير مسموح في المشتريات",IF(NOT(COUNTIF(Locations!$A:$A,$H20)&gt;0),"جهة الاستلام غير معرفة",IF(NOT(COUNTIF(Cost_Centers!$A:$A,$I20)&gt;0),"مركز التكلفة غير معرف",IF(NOT(N($J20)&gt;0),"الصافي يجب أن يكون أكبر من صفر",IF(AND(N($K20)&gt;0,S_VATOn&lt;&gt;"نعم"),"الضريبة غير مفعلة في Tax_Settings",IF(AND($L20&lt;&gt;"",COUNTIFS(COA!$A:$A,$AA20,COA!$R:$R,1)&lt;&gt;1),"خزينة الدفع الفوري غير صالحة",IF(AND($L20&lt;&gt;"",$V20="CN"),"الإشعار الدائن لا يُسدَّد فوريًا",IF(AND($V20="INV",$M20="",$N20="",$S20=""),"فاتورة بدون مرجع (أمر شراء/استلام/مرفق)",""))))))))))))))))))))))))))</f>
        <v/>
      </c>
      <c r="AF20" s="32">
        <f>IF($AD20=1,IF($AE20&lt;&gt;"",1,0),0)</f>
        <v/>
      </c>
      <c r="AG20" s="32">
        <f>IF(AND($AD20=1,$AF20=0,$O20=ST_POST),1,0)</f>
        <v/>
      </c>
    </row>
    <row r="21">
      <c r="A21" s="29" t="n"/>
      <c r="B21" s="29" t="n"/>
      <c r="C21" s="39" t="n"/>
      <c r="D21" s="31" t="n"/>
      <c r="E21" s="31" t="n"/>
      <c r="F21" s="29" t="n"/>
      <c r="G21" s="39" t="n"/>
      <c r="H21" s="39" t="n"/>
      <c r="I21" s="39" t="n"/>
      <c r="J21" s="42" t="n"/>
      <c r="K21" s="42" t="n"/>
      <c r="L21" s="39" t="n"/>
      <c r="M21" s="29" t="n"/>
      <c r="N21" s="29" t="n"/>
      <c r="O21" s="39" t="n"/>
      <c r="P21" s="29" t="n"/>
      <c r="Q21" s="29" t="n"/>
      <c r="R21" s="29" t="n"/>
      <c r="S21" s="29" t="n"/>
      <c r="T21" s="29" t="n"/>
      <c r="U21" s="29" t="n"/>
      <c r="V21" s="32">
        <f>IF($AD21=1,IFERROR(INDEX(Lists!$K$5:$K$7,MATCH($F21,Lists!$J$5:$J$7,0)),"?"),"")</f>
        <v/>
      </c>
      <c r="W21" s="43">
        <f>IF($AD21=1,$J21+$K21,"")</f>
        <v/>
      </c>
      <c r="X21" s="32">
        <f>IF($AD21=1,IFERROR(INDEX(Suppliers!$D:$D,MATCH($C21,Suppliers!$A:$A,0)),"؟"),"")</f>
        <v/>
      </c>
      <c r="Y21" s="33">
        <f>IF($AD21=1,IF(AND(ISNUMBER($D21),ISNUMBER($X21)),$D21+$X21,""),"")</f>
        <v/>
      </c>
      <c r="Z21" s="44">
        <f>IF($AD21=1,IF(AND($O21&lt;&gt;ST_REV,$O21&lt;&gt;ST_CANC,COUNTIFS($C$4:$C20,$C21,$B$4:$B20,$B21,$O$4:$O20,"&lt;&gt;"&amp;ST_REV,$O$4:$O20,"&lt;&gt;"&amp;ST_CANC)&gt;0),1,0),"")</f>
        <v/>
      </c>
      <c r="AA21" s="32">
        <f>IF(AND($AD21=1,$L21&lt;&gt;""),IFERROR(INDEX(Treasuries!$E:$E,MATCH($L21,Treasuries!$A:$A,0)),"؟"),"")</f>
        <v/>
      </c>
      <c r="AB21" s="32">
        <f>IF($AD21=1,IFERROR(IF(INDEX(COA!$I:$I,MATCH($G21,COA!$A:$A,0))="","OPERATING",INDEX(COA!$I:$I,MATCH($G21,COA!$A:$A,0))),"OPERATING"),"")</f>
        <v/>
      </c>
      <c r="AC21" s="43">
        <f>IF($AD21=1,IF(AND($V21&lt;&gt;"CN",$L21=""),$W21,0),"")</f>
        <v/>
      </c>
      <c r="AD21" s="32">
        <f>IF(COUNTA($A21:$U21)&gt;0,1,0)</f>
        <v/>
      </c>
      <c r="AE21" s="32">
        <f>IF($AD21=0,"",IF($A21="","رقم المستند ناقص",IF(COUNTIF(Doc_Register!$A:$A,$A21)&gt;1,"رقم مستند مكرر في السجل المركزي",IF(LEFT($A21,LEN("SINV")+1)&lt;&gt;"SINV"&amp;"-","بادئة الرقم لا تطابق نوع المستند",IF(NOT(ISNUMBER($E21)),"التاريخ ناقص أو غير صحيح",IF($O21="","حالة المستند ناقصة",IF($P21="","اسم المُعِد ناقص",IF(AND(OR($O21=ST_APPR,$O21=ST_POST),$Q21=""),"لا يوجد معتمد",IF(AND($Q21&lt;&gt;"",$Q21=$P21),"المُعِد والمعتمد نفس الشخص (فصل المهام)",IF(AND($O21=ST_POST,$R21=""),"اسم المحاسب المرحِّل ناقص",IF(AND($O21=ST_POST,$R21&lt;&gt;"",OR($R21=$P21,$R21=$Q21)),"المرحِّل يجب أن يختلف عن المُعِد والمعتمد",IF(AND($O21=ST_REV,$T21=""),"مرجع التصحيح/الإلغاء ناقص",IF(AND(ISNUMBER($E21),OR($O21=ST_DRAFT,$O21=ST_APPR),COUNTIFS(Period_Close!$A:$A,YEAR($E21)*100+MONTH($E21),Period_Close!$B:$B,"مقفلة")&gt;0),"الفترة مقفلة: لا يسمح بمستند جديد",IF(COUNTIF(Suppliers!$A:$A,$C21)=0,"المورد غير معرف",IF($B21="","رقم فاتورة المورد ناقص",IF($Z21=1,"فاتورة مكررة (نفس المورد ونفس الرقم)",IF(NOT(ISNUMBER($D21)),"تاريخ الفاتورة ناقص",IF($V21="?","نوع المستند غير معرف",IF(COUNTIFS(COA!$A:$A,$G21,COA!$K:$K,"نعم",COA!$R:$R,1)&lt;&gt;1,"حساب مدين غير مسموح في المشتريات",IF(NOT(COUNTIF(Locations!$A:$A,$H21)&gt;0),"جهة الاستلام غير معرفة",IF(NOT(COUNTIF(Cost_Centers!$A:$A,$I21)&gt;0),"مركز التكلفة غير معرف",IF(NOT(N($J21)&gt;0),"الصافي يجب أن يكون أكبر من صفر",IF(AND(N($K21)&gt;0,S_VATOn&lt;&gt;"نعم"),"الضريبة غير مفعلة في Tax_Settings",IF(AND($L21&lt;&gt;"",COUNTIFS(COA!$A:$A,$AA21,COA!$R:$R,1)&lt;&gt;1),"خزينة الدفع الفوري غير صالحة",IF(AND($L21&lt;&gt;"",$V21="CN"),"الإشعار الدائن لا يُسدَّد فوريًا",IF(AND($V21="INV",$M21="",$N21="",$S21=""),"فاتورة بدون مرجع (أمر شراء/استلام/مرفق)",""))))))))))))))))))))))))))</f>
        <v/>
      </c>
      <c r="AF21" s="32">
        <f>IF($AD21=1,IF($AE21&lt;&gt;"",1,0),0)</f>
        <v/>
      </c>
      <c r="AG21" s="32">
        <f>IF(AND($AD21=1,$AF21=0,$O21=ST_POST),1,0)</f>
        <v/>
      </c>
    </row>
    <row r="22">
      <c r="A22" s="29" t="n"/>
      <c r="B22" s="29" t="n"/>
      <c r="C22" s="39" t="n"/>
      <c r="D22" s="31" t="n"/>
      <c r="E22" s="31" t="n"/>
      <c r="F22" s="29" t="n"/>
      <c r="G22" s="39" t="n"/>
      <c r="H22" s="39" t="n"/>
      <c r="I22" s="39" t="n"/>
      <c r="J22" s="42" t="n"/>
      <c r="K22" s="42" t="n"/>
      <c r="L22" s="39" t="n"/>
      <c r="M22" s="29" t="n"/>
      <c r="N22" s="29" t="n"/>
      <c r="O22" s="39" t="n"/>
      <c r="P22" s="29" t="n"/>
      <c r="Q22" s="29" t="n"/>
      <c r="R22" s="29" t="n"/>
      <c r="S22" s="29" t="n"/>
      <c r="T22" s="29" t="n"/>
      <c r="U22" s="29" t="n"/>
      <c r="V22" s="32">
        <f>IF($AD22=1,IFERROR(INDEX(Lists!$K$5:$K$7,MATCH($F22,Lists!$J$5:$J$7,0)),"?"),"")</f>
        <v/>
      </c>
      <c r="W22" s="43">
        <f>IF($AD22=1,$J22+$K22,"")</f>
        <v/>
      </c>
      <c r="X22" s="32">
        <f>IF($AD22=1,IFERROR(INDEX(Suppliers!$D:$D,MATCH($C22,Suppliers!$A:$A,0)),"؟"),"")</f>
        <v/>
      </c>
      <c r="Y22" s="33">
        <f>IF($AD22=1,IF(AND(ISNUMBER($D22),ISNUMBER($X22)),$D22+$X22,""),"")</f>
        <v/>
      </c>
      <c r="Z22" s="44">
        <f>IF($AD22=1,IF(AND($O22&lt;&gt;ST_REV,$O22&lt;&gt;ST_CANC,COUNTIFS($C$4:$C21,$C22,$B$4:$B21,$B22,$O$4:$O21,"&lt;&gt;"&amp;ST_REV,$O$4:$O21,"&lt;&gt;"&amp;ST_CANC)&gt;0),1,0),"")</f>
        <v/>
      </c>
      <c r="AA22" s="32">
        <f>IF(AND($AD22=1,$L22&lt;&gt;""),IFERROR(INDEX(Treasuries!$E:$E,MATCH($L22,Treasuries!$A:$A,0)),"؟"),"")</f>
        <v/>
      </c>
      <c r="AB22" s="32">
        <f>IF($AD22=1,IFERROR(IF(INDEX(COA!$I:$I,MATCH($G22,COA!$A:$A,0))="","OPERATING",INDEX(COA!$I:$I,MATCH($G22,COA!$A:$A,0))),"OPERATING"),"")</f>
        <v/>
      </c>
      <c r="AC22" s="43">
        <f>IF($AD22=1,IF(AND($V22&lt;&gt;"CN",$L22=""),$W22,0),"")</f>
        <v/>
      </c>
      <c r="AD22" s="32">
        <f>IF(COUNTA($A22:$U22)&gt;0,1,0)</f>
        <v/>
      </c>
      <c r="AE22" s="32">
        <f>IF($AD22=0,"",IF($A22="","رقم المستند ناقص",IF(COUNTIF(Doc_Register!$A:$A,$A22)&gt;1,"رقم مستند مكرر في السجل المركزي",IF(LEFT($A22,LEN("SINV")+1)&lt;&gt;"SINV"&amp;"-","بادئة الرقم لا تطابق نوع المستند",IF(NOT(ISNUMBER($E22)),"التاريخ ناقص أو غير صحيح",IF($O22="","حالة المستند ناقصة",IF($P22="","اسم المُعِد ناقص",IF(AND(OR($O22=ST_APPR,$O22=ST_POST),$Q22=""),"لا يوجد معتمد",IF(AND($Q22&lt;&gt;"",$Q22=$P22),"المُعِد والمعتمد نفس الشخص (فصل المهام)",IF(AND($O22=ST_POST,$R22=""),"اسم المحاسب المرحِّل ناقص",IF(AND($O22=ST_POST,$R22&lt;&gt;"",OR($R22=$P22,$R22=$Q22)),"المرحِّل يجب أن يختلف عن المُعِد والمعتمد",IF(AND($O22=ST_REV,$T22=""),"مرجع التصحيح/الإلغاء ناقص",IF(AND(ISNUMBER($E22),OR($O22=ST_DRAFT,$O22=ST_APPR),COUNTIFS(Period_Close!$A:$A,YEAR($E22)*100+MONTH($E22),Period_Close!$B:$B,"مقفلة")&gt;0),"الفترة مقفلة: لا يسمح بمستند جديد",IF(COUNTIF(Suppliers!$A:$A,$C22)=0,"المورد غير معرف",IF($B22="","رقم فاتورة المورد ناقص",IF($Z22=1,"فاتورة مكررة (نفس المورد ونفس الرقم)",IF(NOT(ISNUMBER($D22)),"تاريخ الفاتورة ناقص",IF($V22="?","نوع المستند غير معرف",IF(COUNTIFS(COA!$A:$A,$G22,COA!$K:$K,"نعم",COA!$R:$R,1)&lt;&gt;1,"حساب مدين غير مسموح في المشتريات",IF(NOT(COUNTIF(Locations!$A:$A,$H22)&gt;0),"جهة الاستلام غير معرفة",IF(NOT(COUNTIF(Cost_Centers!$A:$A,$I22)&gt;0),"مركز التكلفة غير معرف",IF(NOT(N($J22)&gt;0),"الصافي يجب أن يكون أكبر من صفر",IF(AND(N($K22)&gt;0,S_VATOn&lt;&gt;"نعم"),"الضريبة غير مفعلة في Tax_Settings",IF(AND($L22&lt;&gt;"",COUNTIFS(COA!$A:$A,$AA22,COA!$R:$R,1)&lt;&gt;1),"خزينة الدفع الفوري غير صالحة",IF(AND($L22&lt;&gt;"",$V22="CN"),"الإشعار الدائن لا يُسدَّد فوريًا",IF(AND($V22="INV",$M22="",$N22="",$S22=""),"فاتورة بدون مرجع (أمر شراء/استلام/مرفق)",""))))))))))))))))))))))))))</f>
        <v/>
      </c>
      <c r="AF22" s="32">
        <f>IF($AD22=1,IF($AE22&lt;&gt;"",1,0),0)</f>
        <v/>
      </c>
      <c r="AG22" s="32">
        <f>IF(AND($AD22=1,$AF22=0,$O22=ST_POST),1,0)</f>
        <v/>
      </c>
    </row>
    <row r="23">
      <c r="A23" s="29" t="n"/>
      <c r="B23" s="29" t="n"/>
      <c r="C23" s="39" t="n"/>
      <c r="D23" s="31" t="n"/>
      <c r="E23" s="31" t="n"/>
      <c r="F23" s="29" t="n"/>
      <c r="G23" s="39" t="n"/>
      <c r="H23" s="39" t="n"/>
      <c r="I23" s="39" t="n"/>
      <c r="J23" s="42" t="n"/>
      <c r="K23" s="42" t="n"/>
      <c r="L23" s="39" t="n"/>
      <c r="M23" s="29" t="n"/>
      <c r="N23" s="29" t="n"/>
      <c r="O23" s="39" t="n"/>
      <c r="P23" s="29" t="n"/>
      <c r="Q23" s="29" t="n"/>
      <c r="R23" s="29" t="n"/>
      <c r="S23" s="29" t="n"/>
      <c r="T23" s="29" t="n"/>
      <c r="U23" s="29" t="n"/>
      <c r="V23" s="32">
        <f>IF($AD23=1,IFERROR(INDEX(Lists!$K$5:$K$7,MATCH($F23,Lists!$J$5:$J$7,0)),"?"),"")</f>
        <v/>
      </c>
      <c r="W23" s="43">
        <f>IF($AD23=1,$J23+$K23,"")</f>
        <v/>
      </c>
      <c r="X23" s="32">
        <f>IF($AD23=1,IFERROR(INDEX(Suppliers!$D:$D,MATCH($C23,Suppliers!$A:$A,0)),"؟"),"")</f>
        <v/>
      </c>
      <c r="Y23" s="33">
        <f>IF($AD23=1,IF(AND(ISNUMBER($D23),ISNUMBER($X23)),$D23+$X23,""),"")</f>
        <v/>
      </c>
      <c r="Z23" s="44">
        <f>IF($AD23=1,IF(AND($O23&lt;&gt;ST_REV,$O23&lt;&gt;ST_CANC,COUNTIFS($C$4:$C22,$C23,$B$4:$B22,$B23,$O$4:$O22,"&lt;&gt;"&amp;ST_REV,$O$4:$O22,"&lt;&gt;"&amp;ST_CANC)&gt;0),1,0),"")</f>
        <v/>
      </c>
      <c r="AA23" s="32">
        <f>IF(AND($AD23=1,$L23&lt;&gt;""),IFERROR(INDEX(Treasuries!$E:$E,MATCH($L23,Treasuries!$A:$A,0)),"؟"),"")</f>
        <v/>
      </c>
      <c r="AB23" s="32">
        <f>IF($AD23=1,IFERROR(IF(INDEX(COA!$I:$I,MATCH($G23,COA!$A:$A,0))="","OPERATING",INDEX(COA!$I:$I,MATCH($G23,COA!$A:$A,0))),"OPERATING"),"")</f>
        <v/>
      </c>
      <c r="AC23" s="43">
        <f>IF($AD23=1,IF(AND($V23&lt;&gt;"CN",$L23=""),$W23,0),"")</f>
        <v/>
      </c>
      <c r="AD23" s="32">
        <f>IF(COUNTA($A23:$U23)&gt;0,1,0)</f>
        <v/>
      </c>
      <c r="AE23" s="32">
        <f>IF($AD23=0,"",IF($A23="","رقم المستند ناقص",IF(COUNTIF(Doc_Register!$A:$A,$A23)&gt;1,"رقم مستند مكرر في السجل المركزي",IF(LEFT($A23,LEN("SINV")+1)&lt;&gt;"SINV"&amp;"-","بادئة الرقم لا تطابق نوع المستند",IF(NOT(ISNUMBER($E23)),"التاريخ ناقص أو غير صحيح",IF($O23="","حالة المستند ناقصة",IF($P23="","اسم المُعِد ناقص",IF(AND(OR($O23=ST_APPR,$O23=ST_POST),$Q23=""),"لا يوجد معتمد",IF(AND($Q23&lt;&gt;"",$Q23=$P23),"المُعِد والمعتمد نفس الشخص (فصل المهام)",IF(AND($O23=ST_POST,$R23=""),"اسم المحاسب المرحِّل ناقص",IF(AND($O23=ST_POST,$R23&lt;&gt;"",OR($R23=$P23,$R23=$Q23)),"المرحِّل يجب أن يختلف عن المُعِد والمعتمد",IF(AND($O23=ST_REV,$T23=""),"مرجع التصحيح/الإلغاء ناقص",IF(AND(ISNUMBER($E23),OR($O23=ST_DRAFT,$O23=ST_APPR),COUNTIFS(Period_Close!$A:$A,YEAR($E23)*100+MONTH($E23),Period_Close!$B:$B,"مقفلة")&gt;0),"الفترة مقفلة: لا يسمح بمستند جديد",IF(COUNTIF(Suppliers!$A:$A,$C23)=0,"المورد غير معرف",IF($B23="","رقم فاتورة المورد ناقص",IF($Z23=1,"فاتورة مكررة (نفس المورد ونفس الرقم)",IF(NOT(ISNUMBER($D23)),"تاريخ الفاتورة ناقص",IF($V23="?","نوع المستند غير معرف",IF(COUNTIFS(COA!$A:$A,$G23,COA!$K:$K,"نعم",COA!$R:$R,1)&lt;&gt;1,"حساب مدين غير مسموح في المشتريات",IF(NOT(COUNTIF(Locations!$A:$A,$H23)&gt;0),"جهة الاستلام غير معرفة",IF(NOT(COUNTIF(Cost_Centers!$A:$A,$I23)&gt;0),"مركز التكلفة غير معرف",IF(NOT(N($J23)&gt;0),"الصافي يجب أن يكون أكبر من صفر",IF(AND(N($K23)&gt;0,S_VATOn&lt;&gt;"نعم"),"الضريبة غير مفعلة في Tax_Settings",IF(AND($L23&lt;&gt;"",COUNTIFS(COA!$A:$A,$AA23,COA!$R:$R,1)&lt;&gt;1),"خزينة الدفع الفوري غير صالحة",IF(AND($L23&lt;&gt;"",$V23="CN"),"الإشعار الدائن لا يُسدَّد فوريًا",IF(AND($V23="INV",$M23="",$N23="",$S23=""),"فاتورة بدون مرجع (أمر شراء/استلام/مرفق)",""))))))))))))))))))))))))))</f>
        <v/>
      </c>
      <c r="AF23" s="32">
        <f>IF($AD23=1,IF($AE23&lt;&gt;"",1,0),0)</f>
        <v/>
      </c>
      <c r="AG23" s="32">
        <f>IF(AND($AD23=1,$AF23=0,$O23=ST_POST),1,0)</f>
        <v/>
      </c>
    </row>
    <row r="24">
      <c r="A24" s="29" t="n"/>
      <c r="B24" s="29" t="n"/>
      <c r="C24" s="39" t="n"/>
      <c r="D24" s="31" t="n"/>
      <c r="E24" s="31" t="n"/>
      <c r="F24" s="29" t="n"/>
      <c r="G24" s="39" t="n"/>
      <c r="H24" s="39" t="n"/>
      <c r="I24" s="39" t="n"/>
      <c r="J24" s="42" t="n"/>
      <c r="K24" s="42" t="n"/>
      <c r="L24" s="39" t="n"/>
      <c r="M24" s="29" t="n"/>
      <c r="N24" s="29" t="n"/>
      <c r="O24" s="39" t="n"/>
      <c r="P24" s="29" t="n"/>
      <c r="Q24" s="29" t="n"/>
      <c r="R24" s="29" t="n"/>
      <c r="S24" s="29" t="n"/>
      <c r="T24" s="29" t="n"/>
      <c r="U24" s="29" t="n"/>
      <c r="V24" s="32">
        <f>IF($AD24=1,IFERROR(INDEX(Lists!$K$5:$K$7,MATCH($F24,Lists!$J$5:$J$7,0)),"?"),"")</f>
        <v/>
      </c>
      <c r="W24" s="43">
        <f>IF($AD24=1,$J24+$K24,"")</f>
        <v/>
      </c>
      <c r="X24" s="32">
        <f>IF($AD24=1,IFERROR(INDEX(Suppliers!$D:$D,MATCH($C24,Suppliers!$A:$A,0)),"؟"),"")</f>
        <v/>
      </c>
      <c r="Y24" s="33">
        <f>IF($AD24=1,IF(AND(ISNUMBER($D24),ISNUMBER($X24)),$D24+$X24,""),"")</f>
        <v/>
      </c>
      <c r="Z24" s="44">
        <f>IF($AD24=1,IF(AND($O24&lt;&gt;ST_REV,$O24&lt;&gt;ST_CANC,COUNTIFS($C$4:$C23,$C24,$B$4:$B23,$B24,$O$4:$O23,"&lt;&gt;"&amp;ST_REV,$O$4:$O23,"&lt;&gt;"&amp;ST_CANC)&gt;0),1,0),"")</f>
        <v/>
      </c>
      <c r="AA24" s="32">
        <f>IF(AND($AD24=1,$L24&lt;&gt;""),IFERROR(INDEX(Treasuries!$E:$E,MATCH($L24,Treasuries!$A:$A,0)),"؟"),"")</f>
        <v/>
      </c>
      <c r="AB24" s="32">
        <f>IF($AD24=1,IFERROR(IF(INDEX(COA!$I:$I,MATCH($G24,COA!$A:$A,0))="","OPERATING",INDEX(COA!$I:$I,MATCH($G24,COA!$A:$A,0))),"OPERATING"),"")</f>
        <v/>
      </c>
      <c r="AC24" s="43">
        <f>IF($AD24=1,IF(AND($V24&lt;&gt;"CN",$L24=""),$W24,0),"")</f>
        <v/>
      </c>
      <c r="AD24" s="32">
        <f>IF(COUNTA($A24:$U24)&gt;0,1,0)</f>
        <v/>
      </c>
      <c r="AE24" s="32">
        <f>IF($AD24=0,"",IF($A24="","رقم المستند ناقص",IF(COUNTIF(Doc_Register!$A:$A,$A24)&gt;1,"رقم مستند مكرر في السجل المركزي",IF(LEFT($A24,LEN("SINV")+1)&lt;&gt;"SINV"&amp;"-","بادئة الرقم لا تطابق نوع المستند",IF(NOT(ISNUMBER($E24)),"التاريخ ناقص أو غير صحيح",IF($O24="","حالة المستند ناقصة",IF($P24="","اسم المُعِد ناقص",IF(AND(OR($O24=ST_APPR,$O24=ST_POST),$Q24=""),"لا يوجد معتمد",IF(AND($Q24&lt;&gt;"",$Q24=$P24),"المُعِد والمعتمد نفس الشخص (فصل المهام)",IF(AND($O24=ST_POST,$R24=""),"اسم المحاسب المرحِّل ناقص",IF(AND($O24=ST_POST,$R24&lt;&gt;"",OR($R24=$P24,$R24=$Q24)),"المرحِّل يجب أن يختلف عن المُعِد والمعتمد",IF(AND($O24=ST_REV,$T24=""),"مرجع التصحيح/الإلغاء ناقص",IF(AND(ISNUMBER($E24),OR($O24=ST_DRAFT,$O24=ST_APPR),COUNTIFS(Period_Close!$A:$A,YEAR($E24)*100+MONTH($E24),Period_Close!$B:$B,"مقفلة")&gt;0),"الفترة مقفلة: لا يسمح بمستند جديد",IF(COUNTIF(Suppliers!$A:$A,$C24)=0,"المورد غير معرف",IF($B24="","رقم فاتورة المورد ناقص",IF($Z24=1,"فاتورة مكررة (نفس المورد ونفس الرقم)",IF(NOT(ISNUMBER($D24)),"تاريخ الفاتورة ناقص",IF($V24="?","نوع المستند غير معرف",IF(COUNTIFS(COA!$A:$A,$G24,COA!$K:$K,"نعم",COA!$R:$R,1)&lt;&gt;1,"حساب مدين غير مسموح في المشتريات",IF(NOT(COUNTIF(Locations!$A:$A,$H24)&gt;0),"جهة الاستلام غير معرفة",IF(NOT(COUNTIF(Cost_Centers!$A:$A,$I24)&gt;0),"مركز التكلفة غير معرف",IF(NOT(N($J24)&gt;0),"الصافي يجب أن يكون أكبر من صفر",IF(AND(N($K24)&gt;0,S_VATOn&lt;&gt;"نعم"),"الضريبة غير مفعلة في Tax_Settings",IF(AND($L24&lt;&gt;"",COUNTIFS(COA!$A:$A,$AA24,COA!$R:$R,1)&lt;&gt;1),"خزينة الدفع الفوري غير صالحة",IF(AND($L24&lt;&gt;"",$V24="CN"),"الإشعار الدائن لا يُسدَّد فوريًا",IF(AND($V24="INV",$M24="",$N24="",$S24=""),"فاتورة بدون مرجع (أمر شراء/استلام/مرفق)",""))))))))))))))))))))))))))</f>
        <v/>
      </c>
      <c r="AF24" s="32">
        <f>IF($AD24=1,IF($AE24&lt;&gt;"",1,0),0)</f>
        <v/>
      </c>
      <c r="AG24" s="32">
        <f>IF(AND($AD24=1,$AF24=0,$O24=ST_POST),1,0)</f>
        <v/>
      </c>
    </row>
    <row r="25">
      <c r="A25" s="29" t="n"/>
      <c r="B25" s="29" t="n"/>
      <c r="C25" s="39" t="n"/>
      <c r="D25" s="31" t="n"/>
      <c r="E25" s="31" t="n"/>
      <c r="F25" s="29" t="n"/>
      <c r="G25" s="39" t="n"/>
      <c r="H25" s="39" t="n"/>
      <c r="I25" s="39" t="n"/>
      <c r="J25" s="42" t="n"/>
      <c r="K25" s="42" t="n"/>
      <c r="L25" s="39" t="n"/>
      <c r="M25" s="29" t="n"/>
      <c r="N25" s="29" t="n"/>
      <c r="O25" s="39" t="n"/>
      <c r="P25" s="29" t="n"/>
      <c r="Q25" s="29" t="n"/>
      <c r="R25" s="29" t="n"/>
      <c r="S25" s="29" t="n"/>
      <c r="T25" s="29" t="n"/>
      <c r="U25" s="29" t="n"/>
      <c r="V25" s="32">
        <f>IF($AD25=1,IFERROR(INDEX(Lists!$K$5:$K$7,MATCH($F25,Lists!$J$5:$J$7,0)),"?"),"")</f>
        <v/>
      </c>
      <c r="W25" s="43">
        <f>IF($AD25=1,$J25+$K25,"")</f>
        <v/>
      </c>
      <c r="X25" s="32">
        <f>IF($AD25=1,IFERROR(INDEX(Suppliers!$D:$D,MATCH($C25,Suppliers!$A:$A,0)),"؟"),"")</f>
        <v/>
      </c>
      <c r="Y25" s="33">
        <f>IF($AD25=1,IF(AND(ISNUMBER($D25),ISNUMBER($X25)),$D25+$X25,""),"")</f>
        <v/>
      </c>
      <c r="Z25" s="44">
        <f>IF($AD25=1,IF(AND($O25&lt;&gt;ST_REV,$O25&lt;&gt;ST_CANC,COUNTIFS($C$4:$C24,$C25,$B$4:$B24,$B25,$O$4:$O24,"&lt;&gt;"&amp;ST_REV,$O$4:$O24,"&lt;&gt;"&amp;ST_CANC)&gt;0),1,0),"")</f>
        <v/>
      </c>
      <c r="AA25" s="32">
        <f>IF(AND($AD25=1,$L25&lt;&gt;""),IFERROR(INDEX(Treasuries!$E:$E,MATCH($L25,Treasuries!$A:$A,0)),"؟"),"")</f>
        <v/>
      </c>
      <c r="AB25" s="32">
        <f>IF($AD25=1,IFERROR(IF(INDEX(COA!$I:$I,MATCH($G25,COA!$A:$A,0))="","OPERATING",INDEX(COA!$I:$I,MATCH($G25,COA!$A:$A,0))),"OPERATING"),"")</f>
        <v/>
      </c>
      <c r="AC25" s="43">
        <f>IF($AD25=1,IF(AND($V25&lt;&gt;"CN",$L25=""),$W25,0),"")</f>
        <v/>
      </c>
      <c r="AD25" s="32">
        <f>IF(COUNTA($A25:$U25)&gt;0,1,0)</f>
        <v/>
      </c>
      <c r="AE25" s="32">
        <f>IF($AD25=0,"",IF($A25="","رقم المستند ناقص",IF(COUNTIF(Doc_Register!$A:$A,$A25)&gt;1,"رقم مستند مكرر في السجل المركزي",IF(LEFT($A25,LEN("SINV")+1)&lt;&gt;"SINV"&amp;"-","بادئة الرقم لا تطابق نوع المستند",IF(NOT(ISNUMBER($E25)),"التاريخ ناقص أو غير صحيح",IF($O25="","حالة المستند ناقصة",IF($P25="","اسم المُعِد ناقص",IF(AND(OR($O25=ST_APPR,$O25=ST_POST),$Q25=""),"لا يوجد معتمد",IF(AND($Q25&lt;&gt;"",$Q25=$P25),"المُعِد والمعتمد نفس الشخص (فصل المهام)",IF(AND($O25=ST_POST,$R25=""),"اسم المحاسب المرحِّل ناقص",IF(AND($O25=ST_POST,$R25&lt;&gt;"",OR($R25=$P25,$R25=$Q25)),"المرحِّل يجب أن يختلف عن المُعِد والمعتمد",IF(AND($O25=ST_REV,$T25=""),"مرجع التصحيح/الإلغاء ناقص",IF(AND(ISNUMBER($E25),OR($O25=ST_DRAFT,$O25=ST_APPR),COUNTIFS(Period_Close!$A:$A,YEAR($E25)*100+MONTH($E25),Period_Close!$B:$B,"مقفلة")&gt;0),"الفترة مقفلة: لا يسمح بمستند جديد",IF(COUNTIF(Suppliers!$A:$A,$C25)=0,"المورد غير معرف",IF($B25="","رقم فاتورة المورد ناقص",IF($Z25=1,"فاتورة مكررة (نفس المورد ونفس الرقم)",IF(NOT(ISNUMBER($D25)),"تاريخ الفاتورة ناقص",IF($V25="?","نوع المستند غير معرف",IF(COUNTIFS(COA!$A:$A,$G25,COA!$K:$K,"نعم",COA!$R:$R,1)&lt;&gt;1,"حساب مدين غير مسموح في المشتريات",IF(NOT(COUNTIF(Locations!$A:$A,$H25)&gt;0),"جهة الاستلام غير معرفة",IF(NOT(COUNTIF(Cost_Centers!$A:$A,$I25)&gt;0),"مركز التكلفة غير معرف",IF(NOT(N($J25)&gt;0),"الصافي يجب أن يكون أكبر من صفر",IF(AND(N($K25)&gt;0,S_VATOn&lt;&gt;"نعم"),"الضريبة غير مفعلة في Tax_Settings",IF(AND($L25&lt;&gt;"",COUNTIFS(COA!$A:$A,$AA25,COA!$R:$R,1)&lt;&gt;1),"خزينة الدفع الفوري غير صالحة",IF(AND($L25&lt;&gt;"",$V25="CN"),"الإشعار الدائن لا يُسدَّد فوريًا",IF(AND($V25="INV",$M25="",$N25="",$S25=""),"فاتورة بدون مرجع (أمر شراء/استلام/مرفق)",""))))))))))))))))))))))))))</f>
        <v/>
      </c>
      <c r="AF25" s="32">
        <f>IF($AD25=1,IF($AE25&lt;&gt;"",1,0),0)</f>
        <v/>
      </c>
      <c r="AG25" s="32">
        <f>IF(AND($AD25=1,$AF25=0,$O25=ST_POST),1,0)</f>
        <v/>
      </c>
    </row>
    <row r="26">
      <c r="A26" s="29" t="n"/>
      <c r="B26" s="29" t="n"/>
      <c r="C26" s="39" t="n"/>
      <c r="D26" s="31" t="n"/>
      <c r="E26" s="31" t="n"/>
      <c r="F26" s="29" t="n"/>
      <c r="G26" s="39" t="n"/>
      <c r="H26" s="39" t="n"/>
      <c r="I26" s="39" t="n"/>
      <c r="J26" s="42" t="n"/>
      <c r="K26" s="42" t="n"/>
      <c r="L26" s="39" t="n"/>
      <c r="M26" s="29" t="n"/>
      <c r="N26" s="29" t="n"/>
      <c r="O26" s="39" t="n"/>
      <c r="P26" s="29" t="n"/>
      <c r="Q26" s="29" t="n"/>
      <c r="R26" s="29" t="n"/>
      <c r="S26" s="29" t="n"/>
      <c r="T26" s="29" t="n"/>
      <c r="U26" s="29" t="n"/>
      <c r="V26" s="32">
        <f>IF($AD26=1,IFERROR(INDEX(Lists!$K$5:$K$7,MATCH($F26,Lists!$J$5:$J$7,0)),"?"),"")</f>
        <v/>
      </c>
      <c r="W26" s="43">
        <f>IF($AD26=1,$J26+$K26,"")</f>
        <v/>
      </c>
      <c r="X26" s="32">
        <f>IF($AD26=1,IFERROR(INDEX(Suppliers!$D:$D,MATCH($C26,Suppliers!$A:$A,0)),"؟"),"")</f>
        <v/>
      </c>
      <c r="Y26" s="33">
        <f>IF($AD26=1,IF(AND(ISNUMBER($D26),ISNUMBER($X26)),$D26+$X26,""),"")</f>
        <v/>
      </c>
      <c r="Z26" s="44">
        <f>IF($AD26=1,IF(AND($O26&lt;&gt;ST_REV,$O26&lt;&gt;ST_CANC,COUNTIFS($C$4:$C25,$C26,$B$4:$B25,$B26,$O$4:$O25,"&lt;&gt;"&amp;ST_REV,$O$4:$O25,"&lt;&gt;"&amp;ST_CANC)&gt;0),1,0),"")</f>
        <v/>
      </c>
      <c r="AA26" s="32">
        <f>IF(AND($AD26=1,$L26&lt;&gt;""),IFERROR(INDEX(Treasuries!$E:$E,MATCH($L26,Treasuries!$A:$A,0)),"؟"),"")</f>
        <v/>
      </c>
      <c r="AB26" s="32">
        <f>IF($AD26=1,IFERROR(IF(INDEX(COA!$I:$I,MATCH($G26,COA!$A:$A,0))="","OPERATING",INDEX(COA!$I:$I,MATCH($G26,COA!$A:$A,0))),"OPERATING"),"")</f>
        <v/>
      </c>
      <c r="AC26" s="43">
        <f>IF($AD26=1,IF(AND($V26&lt;&gt;"CN",$L26=""),$W26,0),"")</f>
        <v/>
      </c>
      <c r="AD26" s="32">
        <f>IF(COUNTA($A26:$U26)&gt;0,1,0)</f>
        <v/>
      </c>
      <c r="AE26" s="32">
        <f>IF($AD26=0,"",IF($A26="","رقم المستند ناقص",IF(COUNTIF(Doc_Register!$A:$A,$A26)&gt;1,"رقم مستند مكرر في السجل المركزي",IF(LEFT($A26,LEN("SINV")+1)&lt;&gt;"SINV"&amp;"-","بادئة الرقم لا تطابق نوع المستند",IF(NOT(ISNUMBER($E26)),"التاريخ ناقص أو غير صحيح",IF($O26="","حالة المستند ناقصة",IF($P26="","اسم المُعِد ناقص",IF(AND(OR($O26=ST_APPR,$O26=ST_POST),$Q26=""),"لا يوجد معتمد",IF(AND($Q26&lt;&gt;"",$Q26=$P26),"المُعِد والمعتمد نفس الشخص (فصل المهام)",IF(AND($O26=ST_POST,$R26=""),"اسم المحاسب المرحِّل ناقص",IF(AND($O26=ST_POST,$R26&lt;&gt;"",OR($R26=$P26,$R26=$Q26)),"المرحِّل يجب أن يختلف عن المُعِد والمعتمد",IF(AND($O26=ST_REV,$T26=""),"مرجع التصحيح/الإلغاء ناقص",IF(AND(ISNUMBER($E26),OR($O26=ST_DRAFT,$O26=ST_APPR),COUNTIFS(Period_Close!$A:$A,YEAR($E26)*100+MONTH($E26),Period_Close!$B:$B,"مقفلة")&gt;0),"الفترة مقفلة: لا يسمح بمستند جديد",IF(COUNTIF(Suppliers!$A:$A,$C26)=0,"المورد غير معرف",IF($B26="","رقم فاتورة المورد ناقص",IF($Z26=1,"فاتورة مكررة (نفس المورد ونفس الرقم)",IF(NOT(ISNUMBER($D26)),"تاريخ الفاتورة ناقص",IF($V26="?","نوع المستند غير معرف",IF(COUNTIFS(COA!$A:$A,$G26,COA!$K:$K,"نعم",COA!$R:$R,1)&lt;&gt;1,"حساب مدين غير مسموح في المشتريات",IF(NOT(COUNTIF(Locations!$A:$A,$H26)&gt;0),"جهة الاستلام غير معرفة",IF(NOT(COUNTIF(Cost_Centers!$A:$A,$I26)&gt;0),"مركز التكلفة غير معرف",IF(NOT(N($J26)&gt;0),"الصافي يجب أن يكون أكبر من صفر",IF(AND(N($K26)&gt;0,S_VATOn&lt;&gt;"نعم"),"الضريبة غير مفعلة في Tax_Settings",IF(AND($L26&lt;&gt;"",COUNTIFS(COA!$A:$A,$AA26,COA!$R:$R,1)&lt;&gt;1),"خزينة الدفع الفوري غير صالحة",IF(AND($L26&lt;&gt;"",$V26="CN"),"الإشعار الدائن لا يُسدَّد فوريًا",IF(AND($V26="INV",$M26="",$N26="",$S26=""),"فاتورة بدون مرجع (أمر شراء/استلام/مرفق)",""))))))))))))))))))))))))))</f>
        <v/>
      </c>
      <c r="AF26" s="32">
        <f>IF($AD26=1,IF($AE26&lt;&gt;"",1,0),0)</f>
        <v/>
      </c>
      <c r="AG26" s="32">
        <f>IF(AND($AD26=1,$AF26=0,$O26=ST_POST),1,0)</f>
        <v/>
      </c>
    </row>
    <row r="27">
      <c r="A27" s="29" t="n"/>
      <c r="B27" s="29" t="n"/>
      <c r="C27" s="39" t="n"/>
      <c r="D27" s="31" t="n"/>
      <c r="E27" s="31" t="n"/>
      <c r="F27" s="29" t="n"/>
      <c r="G27" s="39" t="n"/>
      <c r="H27" s="39" t="n"/>
      <c r="I27" s="39" t="n"/>
      <c r="J27" s="42" t="n"/>
      <c r="K27" s="42" t="n"/>
      <c r="L27" s="39" t="n"/>
      <c r="M27" s="29" t="n"/>
      <c r="N27" s="29" t="n"/>
      <c r="O27" s="39" t="n"/>
      <c r="P27" s="29" t="n"/>
      <c r="Q27" s="29" t="n"/>
      <c r="R27" s="29" t="n"/>
      <c r="S27" s="29" t="n"/>
      <c r="T27" s="29" t="n"/>
      <c r="U27" s="29" t="n"/>
      <c r="V27" s="32">
        <f>IF($AD27=1,IFERROR(INDEX(Lists!$K$5:$K$7,MATCH($F27,Lists!$J$5:$J$7,0)),"?"),"")</f>
        <v/>
      </c>
      <c r="W27" s="43">
        <f>IF($AD27=1,$J27+$K27,"")</f>
        <v/>
      </c>
      <c r="X27" s="32">
        <f>IF($AD27=1,IFERROR(INDEX(Suppliers!$D:$D,MATCH($C27,Suppliers!$A:$A,0)),"؟"),"")</f>
        <v/>
      </c>
      <c r="Y27" s="33">
        <f>IF($AD27=1,IF(AND(ISNUMBER($D27),ISNUMBER($X27)),$D27+$X27,""),"")</f>
        <v/>
      </c>
      <c r="Z27" s="44">
        <f>IF($AD27=1,IF(AND($O27&lt;&gt;ST_REV,$O27&lt;&gt;ST_CANC,COUNTIFS($C$4:$C26,$C27,$B$4:$B26,$B27,$O$4:$O26,"&lt;&gt;"&amp;ST_REV,$O$4:$O26,"&lt;&gt;"&amp;ST_CANC)&gt;0),1,0),"")</f>
        <v/>
      </c>
      <c r="AA27" s="32">
        <f>IF(AND($AD27=1,$L27&lt;&gt;""),IFERROR(INDEX(Treasuries!$E:$E,MATCH($L27,Treasuries!$A:$A,0)),"؟"),"")</f>
        <v/>
      </c>
      <c r="AB27" s="32">
        <f>IF($AD27=1,IFERROR(IF(INDEX(COA!$I:$I,MATCH($G27,COA!$A:$A,0))="","OPERATING",INDEX(COA!$I:$I,MATCH($G27,COA!$A:$A,0))),"OPERATING"),"")</f>
        <v/>
      </c>
      <c r="AC27" s="43">
        <f>IF($AD27=1,IF(AND($V27&lt;&gt;"CN",$L27=""),$W27,0),"")</f>
        <v/>
      </c>
      <c r="AD27" s="32">
        <f>IF(COUNTA($A27:$U27)&gt;0,1,0)</f>
        <v/>
      </c>
      <c r="AE27" s="32">
        <f>IF($AD27=0,"",IF($A27="","رقم المستند ناقص",IF(COUNTIF(Doc_Register!$A:$A,$A27)&gt;1,"رقم مستند مكرر في السجل المركزي",IF(LEFT($A27,LEN("SINV")+1)&lt;&gt;"SINV"&amp;"-","بادئة الرقم لا تطابق نوع المستند",IF(NOT(ISNUMBER($E27)),"التاريخ ناقص أو غير صحيح",IF($O27="","حالة المستند ناقصة",IF($P27="","اسم المُعِد ناقص",IF(AND(OR($O27=ST_APPR,$O27=ST_POST),$Q27=""),"لا يوجد معتمد",IF(AND($Q27&lt;&gt;"",$Q27=$P27),"المُعِد والمعتمد نفس الشخص (فصل المهام)",IF(AND($O27=ST_POST,$R27=""),"اسم المحاسب المرحِّل ناقص",IF(AND($O27=ST_POST,$R27&lt;&gt;"",OR($R27=$P27,$R27=$Q27)),"المرحِّل يجب أن يختلف عن المُعِد والمعتمد",IF(AND($O27=ST_REV,$T27=""),"مرجع التصحيح/الإلغاء ناقص",IF(AND(ISNUMBER($E27),OR($O27=ST_DRAFT,$O27=ST_APPR),COUNTIFS(Period_Close!$A:$A,YEAR($E27)*100+MONTH($E27),Period_Close!$B:$B,"مقفلة")&gt;0),"الفترة مقفلة: لا يسمح بمستند جديد",IF(COUNTIF(Suppliers!$A:$A,$C27)=0,"المورد غير معرف",IF($B27="","رقم فاتورة المورد ناقص",IF($Z27=1,"فاتورة مكررة (نفس المورد ونفس الرقم)",IF(NOT(ISNUMBER($D27)),"تاريخ الفاتورة ناقص",IF($V27="?","نوع المستند غير معرف",IF(COUNTIFS(COA!$A:$A,$G27,COA!$K:$K,"نعم",COA!$R:$R,1)&lt;&gt;1,"حساب مدين غير مسموح في المشتريات",IF(NOT(COUNTIF(Locations!$A:$A,$H27)&gt;0),"جهة الاستلام غير معرفة",IF(NOT(COUNTIF(Cost_Centers!$A:$A,$I27)&gt;0),"مركز التكلفة غير معرف",IF(NOT(N($J27)&gt;0),"الصافي يجب أن يكون أكبر من صفر",IF(AND(N($K27)&gt;0,S_VATOn&lt;&gt;"نعم"),"الضريبة غير مفعلة في Tax_Settings",IF(AND($L27&lt;&gt;"",COUNTIFS(COA!$A:$A,$AA27,COA!$R:$R,1)&lt;&gt;1),"خزينة الدفع الفوري غير صالحة",IF(AND($L27&lt;&gt;"",$V27="CN"),"الإشعار الدائن لا يُسدَّد فوريًا",IF(AND($V27="INV",$M27="",$N27="",$S27=""),"فاتورة بدون مرجع (أمر شراء/استلام/مرفق)",""))))))))))))))))))))))))))</f>
        <v/>
      </c>
      <c r="AF27" s="32">
        <f>IF($AD27=1,IF($AE27&lt;&gt;"",1,0),0)</f>
        <v/>
      </c>
      <c r="AG27" s="32">
        <f>IF(AND($AD27=1,$AF27=0,$O27=ST_POST),1,0)</f>
        <v/>
      </c>
    </row>
    <row r="28">
      <c r="A28" s="29" t="n"/>
      <c r="B28" s="29" t="n"/>
      <c r="C28" s="39" t="n"/>
      <c r="D28" s="31" t="n"/>
      <c r="E28" s="31" t="n"/>
      <c r="F28" s="29" t="n"/>
      <c r="G28" s="39" t="n"/>
      <c r="H28" s="39" t="n"/>
      <c r="I28" s="39" t="n"/>
      <c r="J28" s="42" t="n"/>
      <c r="K28" s="42" t="n"/>
      <c r="L28" s="39" t="n"/>
      <c r="M28" s="29" t="n"/>
      <c r="N28" s="29" t="n"/>
      <c r="O28" s="39" t="n"/>
      <c r="P28" s="29" t="n"/>
      <c r="Q28" s="29" t="n"/>
      <c r="R28" s="29" t="n"/>
      <c r="S28" s="29" t="n"/>
      <c r="T28" s="29" t="n"/>
      <c r="U28" s="29" t="n"/>
      <c r="V28" s="32">
        <f>IF($AD28=1,IFERROR(INDEX(Lists!$K$5:$K$7,MATCH($F28,Lists!$J$5:$J$7,0)),"?"),"")</f>
        <v/>
      </c>
      <c r="W28" s="43">
        <f>IF($AD28=1,$J28+$K28,"")</f>
        <v/>
      </c>
      <c r="X28" s="32">
        <f>IF($AD28=1,IFERROR(INDEX(Suppliers!$D:$D,MATCH($C28,Suppliers!$A:$A,0)),"؟"),"")</f>
        <v/>
      </c>
      <c r="Y28" s="33">
        <f>IF($AD28=1,IF(AND(ISNUMBER($D28),ISNUMBER($X28)),$D28+$X28,""),"")</f>
        <v/>
      </c>
      <c r="Z28" s="44">
        <f>IF($AD28=1,IF(AND($O28&lt;&gt;ST_REV,$O28&lt;&gt;ST_CANC,COUNTIFS($C$4:$C27,$C28,$B$4:$B27,$B28,$O$4:$O27,"&lt;&gt;"&amp;ST_REV,$O$4:$O27,"&lt;&gt;"&amp;ST_CANC)&gt;0),1,0),"")</f>
        <v/>
      </c>
      <c r="AA28" s="32">
        <f>IF(AND($AD28=1,$L28&lt;&gt;""),IFERROR(INDEX(Treasuries!$E:$E,MATCH($L28,Treasuries!$A:$A,0)),"؟"),"")</f>
        <v/>
      </c>
      <c r="AB28" s="32">
        <f>IF($AD28=1,IFERROR(IF(INDEX(COA!$I:$I,MATCH($G28,COA!$A:$A,0))="","OPERATING",INDEX(COA!$I:$I,MATCH($G28,COA!$A:$A,0))),"OPERATING"),"")</f>
        <v/>
      </c>
      <c r="AC28" s="43">
        <f>IF($AD28=1,IF(AND($V28&lt;&gt;"CN",$L28=""),$W28,0),"")</f>
        <v/>
      </c>
      <c r="AD28" s="32">
        <f>IF(COUNTA($A28:$U28)&gt;0,1,0)</f>
        <v/>
      </c>
      <c r="AE28" s="32">
        <f>IF($AD28=0,"",IF($A28="","رقم المستند ناقص",IF(COUNTIF(Doc_Register!$A:$A,$A28)&gt;1,"رقم مستند مكرر في السجل المركزي",IF(LEFT($A28,LEN("SINV")+1)&lt;&gt;"SINV"&amp;"-","بادئة الرقم لا تطابق نوع المستند",IF(NOT(ISNUMBER($E28)),"التاريخ ناقص أو غير صحيح",IF($O28="","حالة المستند ناقصة",IF($P28="","اسم المُعِد ناقص",IF(AND(OR($O28=ST_APPR,$O28=ST_POST),$Q28=""),"لا يوجد معتمد",IF(AND($Q28&lt;&gt;"",$Q28=$P28),"المُعِد والمعتمد نفس الشخص (فصل المهام)",IF(AND($O28=ST_POST,$R28=""),"اسم المحاسب المرحِّل ناقص",IF(AND($O28=ST_POST,$R28&lt;&gt;"",OR($R28=$P28,$R28=$Q28)),"المرحِّل يجب أن يختلف عن المُعِد والمعتمد",IF(AND($O28=ST_REV,$T28=""),"مرجع التصحيح/الإلغاء ناقص",IF(AND(ISNUMBER($E28),OR($O28=ST_DRAFT,$O28=ST_APPR),COUNTIFS(Period_Close!$A:$A,YEAR($E28)*100+MONTH($E28),Period_Close!$B:$B,"مقفلة")&gt;0),"الفترة مقفلة: لا يسمح بمستند جديد",IF(COUNTIF(Suppliers!$A:$A,$C28)=0,"المورد غير معرف",IF($B28="","رقم فاتورة المورد ناقص",IF($Z28=1,"فاتورة مكررة (نفس المورد ونفس الرقم)",IF(NOT(ISNUMBER($D28)),"تاريخ الفاتورة ناقص",IF($V28="?","نوع المستند غير معرف",IF(COUNTIFS(COA!$A:$A,$G28,COA!$K:$K,"نعم",COA!$R:$R,1)&lt;&gt;1,"حساب مدين غير مسموح في المشتريات",IF(NOT(COUNTIF(Locations!$A:$A,$H28)&gt;0),"جهة الاستلام غير معرفة",IF(NOT(COUNTIF(Cost_Centers!$A:$A,$I28)&gt;0),"مركز التكلفة غير معرف",IF(NOT(N($J28)&gt;0),"الصافي يجب أن يكون أكبر من صفر",IF(AND(N($K28)&gt;0,S_VATOn&lt;&gt;"نعم"),"الضريبة غير مفعلة في Tax_Settings",IF(AND($L28&lt;&gt;"",COUNTIFS(COA!$A:$A,$AA28,COA!$R:$R,1)&lt;&gt;1),"خزينة الدفع الفوري غير صالحة",IF(AND($L28&lt;&gt;"",$V28="CN"),"الإشعار الدائن لا يُسدَّد فوريًا",IF(AND($V28="INV",$M28="",$N28="",$S28=""),"فاتورة بدون مرجع (أمر شراء/استلام/مرفق)",""))))))))))))))))))))))))))</f>
        <v/>
      </c>
      <c r="AF28" s="32">
        <f>IF($AD28=1,IF($AE28&lt;&gt;"",1,0),0)</f>
        <v/>
      </c>
      <c r="AG28" s="32">
        <f>IF(AND($AD28=1,$AF28=0,$O28=ST_POST),1,0)</f>
        <v/>
      </c>
    </row>
    <row r="29">
      <c r="A29" s="29" t="n"/>
      <c r="B29" s="29" t="n"/>
      <c r="C29" s="39" t="n"/>
      <c r="D29" s="31" t="n"/>
      <c r="E29" s="31" t="n"/>
      <c r="F29" s="29" t="n"/>
      <c r="G29" s="39" t="n"/>
      <c r="H29" s="39" t="n"/>
      <c r="I29" s="39" t="n"/>
      <c r="J29" s="42" t="n"/>
      <c r="K29" s="42" t="n"/>
      <c r="L29" s="39" t="n"/>
      <c r="M29" s="29" t="n"/>
      <c r="N29" s="29" t="n"/>
      <c r="O29" s="39" t="n"/>
      <c r="P29" s="29" t="n"/>
      <c r="Q29" s="29" t="n"/>
      <c r="R29" s="29" t="n"/>
      <c r="S29" s="29" t="n"/>
      <c r="T29" s="29" t="n"/>
      <c r="U29" s="29" t="n"/>
      <c r="V29" s="32">
        <f>IF($AD29=1,IFERROR(INDEX(Lists!$K$5:$K$7,MATCH($F29,Lists!$J$5:$J$7,0)),"?"),"")</f>
        <v/>
      </c>
      <c r="W29" s="43">
        <f>IF($AD29=1,$J29+$K29,"")</f>
        <v/>
      </c>
      <c r="X29" s="32">
        <f>IF($AD29=1,IFERROR(INDEX(Suppliers!$D:$D,MATCH($C29,Suppliers!$A:$A,0)),"؟"),"")</f>
        <v/>
      </c>
      <c r="Y29" s="33">
        <f>IF($AD29=1,IF(AND(ISNUMBER($D29),ISNUMBER($X29)),$D29+$X29,""),"")</f>
        <v/>
      </c>
      <c r="Z29" s="44">
        <f>IF($AD29=1,IF(AND($O29&lt;&gt;ST_REV,$O29&lt;&gt;ST_CANC,COUNTIFS($C$4:$C28,$C29,$B$4:$B28,$B29,$O$4:$O28,"&lt;&gt;"&amp;ST_REV,$O$4:$O28,"&lt;&gt;"&amp;ST_CANC)&gt;0),1,0),"")</f>
        <v/>
      </c>
      <c r="AA29" s="32">
        <f>IF(AND($AD29=1,$L29&lt;&gt;""),IFERROR(INDEX(Treasuries!$E:$E,MATCH($L29,Treasuries!$A:$A,0)),"؟"),"")</f>
        <v/>
      </c>
      <c r="AB29" s="32">
        <f>IF($AD29=1,IFERROR(IF(INDEX(COA!$I:$I,MATCH($G29,COA!$A:$A,0))="","OPERATING",INDEX(COA!$I:$I,MATCH($G29,COA!$A:$A,0))),"OPERATING"),"")</f>
        <v/>
      </c>
      <c r="AC29" s="43">
        <f>IF($AD29=1,IF(AND($V29&lt;&gt;"CN",$L29=""),$W29,0),"")</f>
        <v/>
      </c>
      <c r="AD29" s="32">
        <f>IF(COUNTA($A29:$U29)&gt;0,1,0)</f>
        <v/>
      </c>
      <c r="AE29" s="32">
        <f>IF($AD29=0,"",IF($A29="","رقم المستند ناقص",IF(COUNTIF(Doc_Register!$A:$A,$A29)&gt;1,"رقم مستند مكرر في السجل المركزي",IF(LEFT($A29,LEN("SINV")+1)&lt;&gt;"SINV"&amp;"-","بادئة الرقم لا تطابق نوع المستند",IF(NOT(ISNUMBER($E29)),"التاريخ ناقص أو غير صحيح",IF($O29="","حالة المستند ناقصة",IF($P29="","اسم المُعِد ناقص",IF(AND(OR($O29=ST_APPR,$O29=ST_POST),$Q29=""),"لا يوجد معتمد",IF(AND($Q29&lt;&gt;"",$Q29=$P29),"المُعِد والمعتمد نفس الشخص (فصل المهام)",IF(AND($O29=ST_POST,$R29=""),"اسم المحاسب المرحِّل ناقص",IF(AND($O29=ST_POST,$R29&lt;&gt;"",OR($R29=$P29,$R29=$Q29)),"المرحِّل يجب أن يختلف عن المُعِد والمعتمد",IF(AND($O29=ST_REV,$T29=""),"مرجع التصحيح/الإلغاء ناقص",IF(AND(ISNUMBER($E29),OR($O29=ST_DRAFT,$O29=ST_APPR),COUNTIFS(Period_Close!$A:$A,YEAR($E29)*100+MONTH($E29),Period_Close!$B:$B,"مقفلة")&gt;0),"الفترة مقفلة: لا يسمح بمستند جديد",IF(COUNTIF(Suppliers!$A:$A,$C29)=0,"المورد غير معرف",IF($B29="","رقم فاتورة المورد ناقص",IF($Z29=1,"فاتورة مكررة (نفس المورد ونفس الرقم)",IF(NOT(ISNUMBER($D29)),"تاريخ الفاتورة ناقص",IF($V29="?","نوع المستند غير معرف",IF(COUNTIFS(COA!$A:$A,$G29,COA!$K:$K,"نعم",COA!$R:$R,1)&lt;&gt;1,"حساب مدين غير مسموح في المشتريات",IF(NOT(COUNTIF(Locations!$A:$A,$H29)&gt;0),"جهة الاستلام غير معرفة",IF(NOT(COUNTIF(Cost_Centers!$A:$A,$I29)&gt;0),"مركز التكلفة غير معرف",IF(NOT(N($J29)&gt;0),"الصافي يجب أن يكون أكبر من صفر",IF(AND(N($K29)&gt;0,S_VATOn&lt;&gt;"نعم"),"الضريبة غير مفعلة في Tax_Settings",IF(AND($L29&lt;&gt;"",COUNTIFS(COA!$A:$A,$AA29,COA!$R:$R,1)&lt;&gt;1),"خزينة الدفع الفوري غير صالحة",IF(AND($L29&lt;&gt;"",$V29="CN"),"الإشعار الدائن لا يُسدَّد فوريًا",IF(AND($V29="INV",$M29="",$N29="",$S29=""),"فاتورة بدون مرجع (أمر شراء/استلام/مرفق)",""))))))))))))))))))))))))))</f>
        <v/>
      </c>
      <c r="AF29" s="32">
        <f>IF($AD29=1,IF($AE29&lt;&gt;"",1,0),0)</f>
        <v/>
      </c>
      <c r="AG29" s="32">
        <f>IF(AND($AD29=1,$AF29=0,$O29=ST_POST),1,0)</f>
        <v/>
      </c>
    </row>
    <row r="30">
      <c r="A30" s="29" t="n"/>
      <c r="B30" s="29" t="n"/>
      <c r="C30" s="39" t="n"/>
      <c r="D30" s="31" t="n"/>
      <c r="E30" s="31" t="n"/>
      <c r="F30" s="29" t="n"/>
      <c r="G30" s="39" t="n"/>
      <c r="H30" s="39" t="n"/>
      <c r="I30" s="39" t="n"/>
      <c r="J30" s="42" t="n"/>
      <c r="K30" s="42" t="n"/>
      <c r="L30" s="39" t="n"/>
      <c r="M30" s="29" t="n"/>
      <c r="N30" s="29" t="n"/>
      <c r="O30" s="39" t="n"/>
      <c r="P30" s="29" t="n"/>
      <c r="Q30" s="29" t="n"/>
      <c r="R30" s="29" t="n"/>
      <c r="S30" s="29" t="n"/>
      <c r="T30" s="29" t="n"/>
      <c r="U30" s="29" t="n"/>
      <c r="V30" s="32">
        <f>IF($AD30=1,IFERROR(INDEX(Lists!$K$5:$K$7,MATCH($F30,Lists!$J$5:$J$7,0)),"?"),"")</f>
        <v/>
      </c>
      <c r="W30" s="43">
        <f>IF($AD30=1,$J30+$K30,"")</f>
        <v/>
      </c>
      <c r="X30" s="32">
        <f>IF($AD30=1,IFERROR(INDEX(Suppliers!$D:$D,MATCH($C30,Suppliers!$A:$A,0)),"؟"),"")</f>
        <v/>
      </c>
      <c r="Y30" s="33">
        <f>IF($AD30=1,IF(AND(ISNUMBER($D30),ISNUMBER($X30)),$D30+$X30,""),"")</f>
        <v/>
      </c>
      <c r="Z30" s="44">
        <f>IF($AD30=1,IF(AND($O30&lt;&gt;ST_REV,$O30&lt;&gt;ST_CANC,COUNTIFS($C$4:$C29,$C30,$B$4:$B29,$B30,$O$4:$O29,"&lt;&gt;"&amp;ST_REV,$O$4:$O29,"&lt;&gt;"&amp;ST_CANC)&gt;0),1,0),"")</f>
        <v/>
      </c>
      <c r="AA30" s="32">
        <f>IF(AND($AD30=1,$L30&lt;&gt;""),IFERROR(INDEX(Treasuries!$E:$E,MATCH($L30,Treasuries!$A:$A,0)),"؟"),"")</f>
        <v/>
      </c>
      <c r="AB30" s="32">
        <f>IF($AD30=1,IFERROR(IF(INDEX(COA!$I:$I,MATCH($G30,COA!$A:$A,0))="","OPERATING",INDEX(COA!$I:$I,MATCH($G30,COA!$A:$A,0))),"OPERATING"),"")</f>
        <v/>
      </c>
      <c r="AC30" s="43">
        <f>IF($AD30=1,IF(AND($V30&lt;&gt;"CN",$L30=""),$W30,0),"")</f>
        <v/>
      </c>
      <c r="AD30" s="32">
        <f>IF(COUNTA($A30:$U30)&gt;0,1,0)</f>
        <v/>
      </c>
      <c r="AE30" s="32">
        <f>IF($AD30=0,"",IF($A30="","رقم المستند ناقص",IF(COUNTIF(Doc_Register!$A:$A,$A30)&gt;1,"رقم مستند مكرر في السجل المركزي",IF(LEFT($A30,LEN("SINV")+1)&lt;&gt;"SINV"&amp;"-","بادئة الرقم لا تطابق نوع المستند",IF(NOT(ISNUMBER($E30)),"التاريخ ناقص أو غير صحيح",IF($O30="","حالة المستند ناقصة",IF($P30="","اسم المُعِد ناقص",IF(AND(OR($O30=ST_APPR,$O30=ST_POST),$Q30=""),"لا يوجد معتمد",IF(AND($Q30&lt;&gt;"",$Q30=$P30),"المُعِد والمعتمد نفس الشخص (فصل المهام)",IF(AND($O30=ST_POST,$R30=""),"اسم المحاسب المرحِّل ناقص",IF(AND($O30=ST_POST,$R30&lt;&gt;"",OR($R30=$P30,$R30=$Q30)),"المرحِّل يجب أن يختلف عن المُعِد والمعتمد",IF(AND($O30=ST_REV,$T30=""),"مرجع التصحيح/الإلغاء ناقص",IF(AND(ISNUMBER($E30),OR($O30=ST_DRAFT,$O30=ST_APPR),COUNTIFS(Period_Close!$A:$A,YEAR($E30)*100+MONTH($E30),Period_Close!$B:$B,"مقفلة")&gt;0),"الفترة مقفلة: لا يسمح بمستند جديد",IF(COUNTIF(Suppliers!$A:$A,$C30)=0,"المورد غير معرف",IF($B30="","رقم فاتورة المورد ناقص",IF($Z30=1,"فاتورة مكررة (نفس المورد ونفس الرقم)",IF(NOT(ISNUMBER($D30)),"تاريخ الفاتورة ناقص",IF($V30="?","نوع المستند غير معرف",IF(COUNTIFS(COA!$A:$A,$G30,COA!$K:$K,"نعم",COA!$R:$R,1)&lt;&gt;1,"حساب مدين غير مسموح في المشتريات",IF(NOT(COUNTIF(Locations!$A:$A,$H30)&gt;0),"جهة الاستلام غير معرفة",IF(NOT(COUNTIF(Cost_Centers!$A:$A,$I30)&gt;0),"مركز التكلفة غير معرف",IF(NOT(N($J30)&gt;0),"الصافي يجب أن يكون أكبر من صفر",IF(AND(N($K30)&gt;0,S_VATOn&lt;&gt;"نعم"),"الضريبة غير مفعلة في Tax_Settings",IF(AND($L30&lt;&gt;"",COUNTIFS(COA!$A:$A,$AA30,COA!$R:$R,1)&lt;&gt;1),"خزينة الدفع الفوري غير صالحة",IF(AND($L30&lt;&gt;"",$V30="CN"),"الإشعار الدائن لا يُسدَّد فوريًا",IF(AND($V30="INV",$M30="",$N30="",$S30=""),"فاتورة بدون مرجع (أمر شراء/استلام/مرفق)",""))))))))))))))))))))))))))</f>
        <v/>
      </c>
      <c r="AF30" s="32">
        <f>IF($AD30=1,IF($AE30&lt;&gt;"",1,0),0)</f>
        <v/>
      </c>
      <c r="AG30" s="32">
        <f>IF(AND($AD30=1,$AF30=0,$O30=ST_POST),1,0)</f>
        <v/>
      </c>
    </row>
    <row r="31">
      <c r="A31" s="29" t="n"/>
      <c r="B31" s="29" t="n"/>
      <c r="C31" s="39" t="n"/>
      <c r="D31" s="31" t="n"/>
      <c r="E31" s="31" t="n"/>
      <c r="F31" s="29" t="n"/>
      <c r="G31" s="39" t="n"/>
      <c r="H31" s="39" t="n"/>
      <c r="I31" s="39" t="n"/>
      <c r="J31" s="42" t="n"/>
      <c r="K31" s="42" t="n"/>
      <c r="L31" s="39" t="n"/>
      <c r="M31" s="29" t="n"/>
      <c r="N31" s="29" t="n"/>
      <c r="O31" s="39" t="n"/>
      <c r="P31" s="29" t="n"/>
      <c r="Q31" s="29" t="n"/>
      <c r="R31" s="29" t="n"/>
      <c r="S31" s="29" t="n"/>
      <c r="T31" s="29" t="n"/>
      <c r="U31" s="29" t="n"/>
      <c r="V31" s="32">
        <f>IF($AD31=1,IFERROR(INDEX(Lists!$K$5:$K$7,MATCH($F31,Lists!$J$5:$J$7,0)),"?"),"")</f>
        <v/>
      </c>
      <c r="W31" s="43">
        <f>IF($AD31=1,$J31+$K31,"")</f>
        <v/>
      </c>
      <c r="X31" s="32">
        <f>IF($AD31=1,IFERROR(INDEX(Suppliers!$D:$D,MATCH($C31,Suppliers!$A:$A,0)),"؟"),"")</f>
        <v/>
      </c>
      <c r="Y31" s="33">
        <f>IF($AD31=1,IF(AND(ISNUMBER($D31),ISNUMBER($X31)),$D31+$X31,""),"")</f>
        <v/>
      </c>
      <c r="Z31" s="44">
        <f>IF($AD31=1,IF(AND($O31&lt;&gt;ST_REV,$O31&lt;&gt;ST_CANC,COUNTIFS($C$4:$C30,$C31,$B$4:$B30,$B31,$O$4:$O30,"&lt;&gt;"&amp;ST_REV,$O$4:$O30,"&lt;&gt;"&amp;ST_CANC)&gt;0),1,0),"")</f>
        <v/>
      </c>
      <c r="AA31" s="32">
        <f>IF(AND($AD31=1,$L31&lt;&gt;""),IFERROR(INDEX(Treasuries!$E:$E,MATCH($L31,Treasuries!$A:$A,0)),"؟"),"")</f>
        <v/>
      </c>
      <c r="AB31" s="32">
        <f>IF($AD31=1,IFERROR(IF(INDEX(COA!$I:$I,MATCH($G31,COA!$A:$A,0))="","OPERATING",INDEX(COA!$I:$I,MATCH($G31,COA!$A:$A,0))),"OPERATING"),"")</f>
        <v/>
      </c>
      <c r="AC31" s="43">
        <f>IF($AD31=1,IF(AND($V31&lt;&gt;"CN",$L31=""),$W31,0),"")</f>
        <v/>
      </c>
      <c r="AD31" s="32">
        <f>IF(COUNTA($A31:$U31)&gt;0,1,0)</f>
        <v/>
      </c>
      <c r="AE31" s="32">
        <f>IF($AD31=0,"",IF($A31="","رقم المستند ناقص",IF(COUNTIF(Doc_Register!$A:$A,$A31)&gt;1,"رقم مستند مكرر في السجل المركزي",IF(LEFT($A31,LEN("SINV")+1)&lt;&gt;"SINV"&amp;"-","بادئة الرقم لا تطابق نوع المستند",IF(NOT(ISNUMBER($E31)),"التاريخ ناقص أو غير صحيح",IF($O31="","حالة المستند ناقصة",IF($P31="","اسم المُعِد ناقص",IF(AND(OR($O31=ST_APPR,$O31=ST_POST),$Q31=""),"لا يوجد معتمد",IF(AND($Q31&lt;&gt;"",$Q31=$P31),"المُعِد والمعتمد نفس الشخص (فصل المهام)",IF(AND($O31=ST_POST,$R31=""),"اسم المحاسب المرحِّل ناقص",IF(AND($O31=ST_POST,$R31&lt;&gt;"",OR($R31=$P31,$R31=$Q31)),"المرحِّل يجب أن يختلف عن المُعِد والمعتمد",IF(AND($O31=ST_REV,$T31=""),"مرجع التصحيح/الإلغاء ناقص",IF(AND(ISNUMBER($E31),OR($O31=ST_DRAFT,$O31=ST_APPR),COUNTIFS(Period_Close!$A:$A,YEAR($E31)*100+MONTH($E31),Period_Close!$B:$B,"مقفلة")&gt;0),"الفترة مقفلة: لا يسمح بمستند جديد",IF(COUNTIF(Suppliers!$A:$A,$C31)=0,"المورد غير معرف",IF($B31="","رقم فاتورة المورد ناقص",IF($Z31=1,"فاتورة مكررة (نفس المورد ونفس الرقم)",IF(NOT(ISNUMBER($D31)),"تاريخ الفاتورة ناقص",IF($V31="?","نوع المستند غير معرف",IF(COUNTIFS(COA!$A:$A,$G31,COA!$K:$K,"نعم",COA!$R:$R,1)&lt;&gt;1,"حساب مدين غير مسموح في المشتريات",IF(NOT(COUNTIF(Locations!$A:$A,$H31)&gt;0),"جهة الاستلام غير معرفة",IF(NOT(COUNTIF(Cost_Centers!$A:$A,$I31)&gt;0),"مركز التكلفة غير معرف",IF(NOT(N($J31)&gt;0),"الصافي يجب أن يكون أكبر من صفر",IF(AND(N($K31)&gt;0,S_VATOn&lt;&gt;"نعم"),"الضريبة غير مفعلة في Tax_Settings",IF(AND($L31&lt;&gt;"",COUNTIFS(COA!$A:$A,$AA31,COA!$R:$R,1)&lt;&gt;1),"خزينة الدفع الفوري غير صالحة",IF(AND($L31&lt;&gt;"",$V31="CN"),"الإشعار الدائن لا يُسدَّد فوريًا",IF(AND($V31="INV",$M31="",$N31="",$S31=""),"فاتورة بدون مرجع (أمر شراء/استلام/مرفق)",""))))))))))))))))))))))))))</f>
        <v/>
      </c>
      <c r="AF31" s="32">
        <f>IF($AD31=1,IF($AE31&lt;&gt;"",1,0),0)</f>
        <v/>
      </c>
      <c r="AG31" s="32">
        <f>IF(AND($AD31=1,$AF31=0,$O31=ST_POST),1,0)</f>
        <v/>
      </c>
    </row>
    <row r="32">
      <c r="A32" s="29" t="n"/>
      <c r="B32" s="29" t="n"/>
      <c r="C32" s="39" t="n"/>
      <c r="D32" s="31" t="n"/>
      <c r="E32" s="31" t="n"/>
      <c r="F32" s="29" t="n"/>
      <c r="G32" s="39" t="n"/>
      <c r="H32" s="39" t="n"/>
      <c r="I32" s="39" t="n"/>
      <c r="J32" s="42" t="n"/>
      <c r="K32" s="42" t="n"/>
      <c r="L32" s="39" t="n"/>
      <c r="M32" s="29" t="n"/>
      <c r="N32" s="29" t="n"/>
      <c r="O32" s="39" t="n"/>
      <c r="P32" s="29" t="n"/>
      <c r="Q32" s="29" t="n"/>
      <c r="R32" s="29" t="n"/>
      <c r="S32" s="29" t="n"/>
      <c r="T32" s="29" t="n"/>
      <c r="U32" s="29" t="n"/>
      <c r="V32" s="32">
        <f>IF($AD32=1,IFERROR(INDEX(Lists!$K$5:$K$7,MATCH($F32,Lists!$J$5:$J$7,0)),"?"),"")</f>
        <v/>
      </c>
      <c r="W32" s="43">
        <f>IF($AD32=1,$J32+$K32,"")</f>
        <v/>
      </c>
      <c r="X32" s="32">
        <f>IF($AD32=1,IFERROR(INDEX(Suppliers!$D:$D,MATCH($C32,Suppliers!$A:$A,0)),"؟"),"")</f>
        <v/>
      </c>
      <c r="Y32" s="33">
        <f>IF($AD32=1,IF(AND(ISNUMBER($D32),ISNUMBER($X32)),$D32+$X32,""),"")</f>
        <v/>
      </c>
      <c r="Z32" s="44">
        <f>IF($AD32=1,IF(AND($O32&lt;&gt;ST_REV,$O32&lt;&gt;ST_CANC,COUNTIFS($C$4:$C31,$C32,$B$4:$B31,$B32,$O$4:$O31,"&lt;&gt;"&amp;ST_REV,$O$4:$O31,"&lt;&gt;"&amp;ST_CANC)&gt;0),1,0),"")</f>
        <v/>
      </c>
      <c r="AA32" s="32">
        <f>IF(AND($AD32=1,$L32&lt;&gt;""),IFERROR(INDEX(Treasuries!$E:$E,MATCH($L32,Treasuries!$A:$A,0)),"؟"),"")</f>
        <v/>
      </c>
      <c r="AB32" s="32">
        <f>IF($AD32=1,IFERROR(IF(INDEX(COA!$I:$I,MATCH($G32,COA!$A:$A,0))="","OPERATING",INDEX(COA!$I:$I,MATCH($G32,COA!$A:$A,0))),"OPERATING"),"")</f>
        <v/>
      </c>
      <c r="AC32" s="43">
        <f>IF($AD32=1,IF(AND($V32&lt;&gt;"CN",$L32=""),$W32,0),"")</f>
        <v/>
      </c>
      <c r="AD32" s="32">
        <f>IF(COUNTA($A32:$U32)&gt;0,1,0)</f>
        <v/>
      </c>
      <c r="AE32" s="32">
        <f>IF($AD32=0,"",IF($A32="","رقم المستند ناقص",IF(COUNTIF(Doc_Register!$A:$A,$A32)&gt;1,"رقم مستند مكرر في السجل المركزي",IF(LEFT($A32,LEN("SINV")+1)&lt;&gt;"SINV"&amp;"-","بادئة الرقم لا تطابق نوع المستند",IF(NOT(ISNUMBER($E32)),"التاريخ ناقص أو غير صحيح",IF($O32="","حالة المستند ناقصة",IF($P32="","اسم المُعِد ناقص",IF(AND(OR($O32=ST_APPR,$O32=ST_POST),$Q32=""),"لا يوجد معتمد",IF(AND($Q32&lt;&gt;"",$Q32=$P32),"المُعِد والمعتمد نفس الشخص (فصل المهام)",IF(AND($O32=ST_POST,$R32=""),"اسم المحاسب المرحِّل ناقص",IF(AND($O32=ST_POST,$R32&lt;&gt;"",OR($R32=$P32,$R32=$Q32)),"المرحِّل يجب أن يختلف عن المُعِد والمعتمد",IF(AND($O32=ST_REV,$T32=""),"مرجع التصحيح/الإلغاء ناقص",IF(AND(ISNUMBER($E32),OR($O32=ST_DRAFT,$O32=ST_APPR),COUNTIFS(Period_Close!$A:$A,YEAR($E32)*100+MONTH($E32),Period_Close!$B:$B,"مقفلة")&gt;0),"الفترة مقفلة: لا يسمح بمستند جديد",IF(COUNTIF(Suppliers!$A:$A,$C32)=0,"المورد غير معرف",IF($B32="","رقم فاتورة المورد ناقص",IF($Z32=1,"فاتورة مكررة (نفس المورد ونفس الرقم)",IF(NOT(ISNUMBER($D32)),"تاريخ الفاتورة ناقص",IF($V32="?","نوع المستند غير معرف",IF(COUNTIFS(COA!$A:$A,$G32,COA!$K:$K,"نعم",COA!$R:$R,1)&lt;&gt;1,"حساب مدين غير مسموح في المشتريات",IF(NOT(COUNTIF(Locations!$A:$A,$H32)&gt;0),"جهة الاستلام غير معرفة",IF(NOT(COUNTIF(Cost_Centers!$A:$A,$I32)&gt;0),"مركز التكلفة غير معرف",IF(NOT(N($J32)&gt;0),"الصافي يجب أن يكون أكبر من صفر",IF(AND(N($K32)&gt;0,S_VATOn&lt;&gt;"نعم"),"الضريبة غير مفعلة في Tax_Settings",IF(AND($L32&lt;&gt;"",COUNTIFS(COA!$A:$A,$AA32,COA!$R:$R,1)&lt;&gt;1),"خزينة الدفع الفوري غير صالحة",IF(AND($L32&lt;&gt;"",$V32="CN"),"الإشعار الدائن لا يُسدَّد فوريًا",IF(AND($V32="INV",$M32="",$N32="",$S32=""),"فاتورة بدون مرجع (أمر شراء/استلام/مرفق)",""))))))))))))))))))))))))))</f>
        <v/>
      </c>
      <c r="AF32" s="32">
        <f>IF($AD32=1,IF($AE32&lt;&gt;"",1,0),0)</f>
        <v/>
      </c>
      <c r="AG32" s="32">
        <f>IF(AND($AD32=1,$AF32=0,$O32=ST_POST),1,0)</f>
        <v/>
      </c>
    </row>
    <row r="33">
      <c r="A33" s="29" t="n"/>
      <c r="B33" s="29" t="n"/>
      <c r="C33" s="39" t="n"/>
      <c r="D33" s="31" t="n"/>
      <c r="E33" s="31" t="n"/>
      <c r="F33" s="29" t="n"/>
      <c r="G33" s="39" t="n"/>
      <c r="H33" s="39" t="n"/>
      <c r="I33" s="39" t="n"/>
      <c r="J33" s="42" t="n"/>
      <c r="K33" s="42" t="n"/>
      <c r="L33" s="39" t="n"/>
      <c r="M33" s="29" t="n"/>
      <c r="N33" s="29" t="n"/>
      <c r="O33" s="39" t="n"/>
      <c r="P33" s="29" t="n"/>
      <c r="Q33" s="29" t="n"/>
      <c r="R33" s="29" t="n"/>
      <c r="S33" s="29" t="n"/>
      <c r="T33" s="29" t="n"/>
      <c r="U33" s="29" t="n"/>
      <c r="V33" s="32">
        <f>IF($AD33=1,IFERROR(INDEX(Lists!$K$5:$K$7,MATCH($F33,Lists!$J$5:$J$7,0)),"?"),"")</f>
        <v/>
      </c>
      <c r="W33" s="43">
        <f>IF($AD33=1,$J33+$K33,"")</f>
        <v/>
      </c>
      <c r="X33" s="32">
        <f>IF($AD33=1,IFERROR(INDEX(Suppliers!$D:$D,MATCH($C33,Suppliers!$A:$A,0)),"؟"),"")</f>
        <v/>
      </c>
      <c r="Y33" s="33">
        <f>IF($AD33=1,IF(AND(ISNUMBER($D33),ISNUMBER($X33)),$D33+$X33,""),"")</f>
        <v/>
      </c>
      <c r="Z33" s="44">
        <f>IF($AD33=1,IF(AND($O33&lt;&gt;ST_REV,$O33&lt;&gt;ST_CANC,COUNTIFS($C$4:$C32,$C33,$B$4:$B32,$B33,$O$4:$O32,"&lt;&gt;"&amp;ST_REV,$O$4:$O32,"&lt;&gt;"&amp;ST_CANC)&gt;0),1,0),"")</f>
        <v/>
      </c>
      <c r="AA33" s="32">
        <f>IF(AND($AD33=1,$L33&lt;&gt;""),IFERROR(INDEX(Treasuries!$E:$E,MATCH($L33,Treasuries!$A:$A,0)),"؟"),"")</f>
        <v/>
      </c>
      <c r="AB33" s="32">
        <f>IF($AD33=1,IFERROR(IF(INDEX(COA!$I:$I,MATCH($G33,COA!$A:$A,0))="","OPERATING",INDEX(COA!$I:$I,MATCH($G33,COA!$A:$A,0))),"OPERATING"),"")</f>
        <v/>
      </c>
      <c r="AC33" s="43">
        <f>IF($AD33=1,IF(AND($V33&lt;&gt;"CN",$L33=""),$W33,0),"")</f>
        <v/>
      </c>
      <c r="AD33" s="32">
        <f>IF(COUNTA($A33:$U33)&gt;0,1,0)</f>
        <v/>
      </c>
      <c r="AE33" s="32">
        <f>IF($AD33=0,"",IF($A33="","رقم المستند ناقص",IF(COUNTIF(Doc_Register!$A:$A,$A33)&gt;1,"رقم مستند مكرر في السجل المركزي",IF(LEFT($A33,LEN("SINV")+1)&lt;&gt;"SINV"&amp;"-","بادئة الرقم لا تطابق نوع المستند",IF(NOT(ISNUMBER($E33)),"التاريخ ناقص أو غير صحيح",IF($O33="","حالة المستند ناقصة",IF($P33="","اسم المُعِد ناقص",IF(AND(OR($O33=ST_APPR,$O33=ST_POST),$Q33=""),"لا يوجد معتمد",IF(AND($Q33&lt;&gt;"",$Q33=$P33),"المُعِد والمعتمد نفس الشخص (فصل المهام)",IF(AND($O33=ST_POST,$R33=""),"اسم المحاسب المرحِّل ناقص",IF(AND($O33=ST_POST,$R33&lt;&gt;"",OR($R33=$P33,$R33=$Q33)),"المرحِّل يجب أن يختلف عن المُعِد والمعتمد",IF(AND($O33=ST_REV,$T33=""),"مرجع التصحيح/الإلغاء ناقص",IF(AND(ISNUMBER($E33),OR($O33=ST_DRAFT,$O33=ST_APPR),COUNTIFS(Period_Close!$A:$A,YEAR($E33)*100+MONTH($E33),Period_Close!$B:$B,"مقفلة")&gt;0),"الفترة مقفلة: لا يسمح بمستند جديد",IF(COUNTIF(Suppliers!$A:$A,$C33)=0,"المورد غير معرف",IF($B33="","رقم فاتورة المورد ناقص",IF($Z33=1,"فاتورة مكررة (نفس المورد ونفس الرقم)",IF(NOT(ISNUMBER($D33)),"تاريخ الفاتورة ناقص",IF($V33="?","نوع المستند غير معرف",IF(COUNTIFS(COA!$A:$A,$G33,COA!$K:$K,"نعم",COA!$R:$R,1)&lt;&gt;1,"حساب مدين غير مسموح في المشتريات",IF(NOT(COUNTIF(Locations!$A:$A,$H33)&gt;0),"جهة الاستلام غير معرفة",IF(NOT(COUNTIF(Cost_Centers!$A:$A,$I33)&gt;0),"مركز التكلفة غير معرف",IF(NOT(N($J33)&gt;0),"الصافي يجب أن يكون أكبر من صفر",IF(AND(N($K33)&gt;0,S_VATOn&lt;&gt;"نعم"),"الضريبة غير مفعلة في Tax_Settings",IF(AND($L33&lt;&gt;"",COUNTIFS(COA!$A:$A,$AA33,COA!$R:$R,1)&lt;&gt;1),"خزينة الدفع الفوري غير صالحة",IF(AND($L33&lt;&gt;"",$V33="CN"),"الإشعار الدائن لا يُسدَّد فوريًا",IF(AND($V33="INV",$M33="",$N33="",$S33=""),"فاتورة بدون مرجع (أمر شراء/استلام/مرفق)",""))))))))))))))))))))))))))</f>
        <v/>
      </c>
      <c r="AF33" s="32">
        <f>IF($AD33=1,IF($AE33&lt;&gt;"",1,0),0)</f>
        <v/>
      </c>
      <c r="AG33" s="32">
        <f>IF(AND($AD33=1,$AF33=0,$O33=ST_POST),1,0)</f>
        <v/>
      </c>
    </row>
    <row r="34">
      <c r="A34" s="29" t="n"/>
      <c r="B34" s="29" t="n"/>
      <c r="C34" s="39" t="n"/>
      <c r="D34" s="31" t="n"/>
      <c r="E34" s="31" t="n"/>
      <c r="F34" s="29" t="n"/>
      <c r="G34" s="39" t="n"/>
      <c r="H34" s="39" t="n"/>
      <c r="I34" s="39" t="n"/>
      <c r="J34" s="42" t="n"/>
      <c r="K34" s="42" t="n"/>
      <c r="L34" s="39" t="n"/>
      <c r="M34" s="29" t="n"/>
      <c r="N34" s="29" t="n"/>
      <c r="O34" s="39" t="n"/>
      <c r="P34" s="29" t="n"/>
      <c r="Q34" s="29" t="n"/>
      <c r="R34" s="29" t="n"/>
      <c r="S34" s="29" t="n"/>
      <c r="T34" s="29" t="n"/>
      <c r="U34" s="29" t="n"/>
      <c r="V34" s="32">
        <f>IF($AD34=1,IFERROR(INDEX(Lists!$K$5:$K$7,MATCH($F34,Lists!$J$5:$J$7,0)),"?"),"")</f>
        <v/>
      </c>
      <c r="W34" s="43">
        <f>IF($AD34=1,$J34+$K34,"")</f>
        <v/>
      </c>
      <c r="X34" s="32">
        <f>IF($AD34=1,IFERROR(INDEX(Suppliers!$D:$D,MATCH($C34,Suppliers!$A:$A,0)),"؟"),"")</f>
        <v/>
      </c>
      <c r="Y34" s="33">
        <f>IF($AD34=1,IF(AND(ISNUMBER($D34),ISNUMBER($X34)),$D34+$X34,""),"")</f>
        <v/>
      </c>
      <c r="Z34" s="44">
        <f>IF($AD34=1,IF(AND($O34&lt;&gt;ST_REV,$O34&lt;&gt;ST_CANC,COUNTIFS($C$4:$C33,$C34,$B$4:$B33,$B34,$O$4:$O33,"&lt;&gt;"&amp;ST_REV,$O$4:$O33,"&lt;&gt;"&amp;ST_CANC)&gt;0),1,0),"")</f>
        <v/>
      </c>
      <c r="AA34" s="32">
        <f>IF(AND($AD34=1,$L34&lt;&gt;""),IFERROR(INDEX(Treasuries!$E:$E,MATCH($L34,Treasuries!$A:$A,0)),"؟"),"")</f>
        <v/>
      </c>
      <c r="AB34" s="32">
        <f>IF($AD34=1,IFERROR(IF(INDEX(COA!$I:$I,MATCH($G34,COA!$A:$A,0))="","OPERATING",INDEX(COA!$I:$I,MATCH($G34,COA!$A:$A,0))),"OPERATING"),"")</f>
        <v/>
      </c>
      <c r="AC34" s="43">
        <f>IF($AD34=1,IF(AND($V34&lt;&gt;"CN",$L34=""),$W34,0),"")</f>
        <v/>
      </c>
      <c r="AD34" s="32">
        <f>IF(COUNTA($A34:$U34)&gt;0,1,0)</f>
        <v/>
      </c>
      <c r="AE34" s="32">
        <f>IF($AD34=0,"",IF($A34="","رقم المستند ناقص",IF(COUNTIF(Doc_Register!$A:$A,$A34)&gt;1,"رقم مستند مكرر في السجل المركزي",IF(LEFT($A34,LEN("SINV")+1)&lt;&gt;"SINV"&amp;"-","بادئة الرقم لا تطابق نوع المستند",IF(NOT(ISNUMBER($E34)),"التاريخ ناقص أو غير صحيح",IF($O34="","حالة المستند ناقصة",IF($P34="","اسم المُعِد ناقص",IF(AND(OR($O34=ST_APPR,$O34=ST_POST),$Q34=""),"لا يوجد معتمد",IF(AND($Q34&lt;&gt;"",$Q34=$P34),"المُعِد والمعتمد نفس الشخص (فصل المهام)",IF(AND($O34=ST_POST,$R34=""),"اسم المحاسب المرحِّل ناقص",IF(AND($O34=ST_POST,$R34&lt;&gt;"",OR($R34=$P34,$R34=$Q34)),"المرحِّل يجب أن يختلف عن المُعِد والمعتمد",IF(AND($O34=ST_REV,$T34=""),"مرجع التصحيح/الإلغاء ناقص",IF(AND(ISNUMBER($E34),OR($O34=ST_DRAFT,$O34=ST_APPR),COUNTIFS(Period_Close!$A:$A,YEAR($E34)*100+MONTH($E34),Period_Close!$B:$B,"مقفلة")&gt;0),"الفترة مقفلة: لا يسمح بمستند جديد",IF(COUNTIF(Suppliers!$A:$A,$C34)=0,"المورد غير معرف",IF($B34="","رقم فاتورة المورد ناقص",IF($Z34=1,"فاتورة مكررة (نفس المورد ونفس الرقم)",IF(NOT(ISNUMBER($D34)),"تاريخ الفاتورة ناقص",IF($V34="?","نوع المستند غير معرف",IF(COUNTIFS(COA!$A:$A,$G34,COA!$K:$K,"نعم",COA!$R:$R,1)&lt;&gt;1,"حساب مدين غير مسموح في المشتريات",IF(NOT(COUNTIF(Locations!$A:$A,$H34)&gt;0),"جهة الاستلام غير معرفة",IF(NOT(COUNTIF(Cost_Centers!$A:$A,$I34)&gt;0),"مركز التكلفة غير معرف",IF(NOT(N($J34)&gt;0),"الصافي يجب أن يكون أكبر من صفر",IF(AND(N($K34)&gt;0,S_VATOn&lt;&gt;"نعم"),"الضريبة غير مفعلة في Tax_Settings",IF(AND($L34&lt;&gt;"",COUNTIFS(COA!$A:$A,$AA34,COA!$R:$R,1)&lt;&gt;1),"خزينة الدفع الفوري غير صالحة",IF(AND($L34&lt;&gt;"",$V34="CN"),"الإشعار الدائن لا يُسدَّد فوريًا",IF(AND($V34="INV",$M34="",$N34="",$S34=""),"فاتورة بدون مرجع (أمر شراء/استلام/مرفق)",""))))))))))))))))))))))))))</f>
        <v/>
      </c>
      <c r="AF34" s="32">
        <f>IF($AD34=1,IF($AE34&lt;&gt;"",1,0),0)</f>
        <v/>
      </c>
      <c r="AG34" s="32">
        <f>IF(AND($AD34=1,$AF34=0,$O34=ST_POST),1,0)</f>
        <v/>
      </c>
    </row>
    <row r="35">
      <c r="A35" s="29" t="n"/>
      <c r="B35" s="29" t="n"/>
      <c r="C35" s="39" t="n"/>
      <c r="D35" s="31" t="n"/>
      <c r="E35" s="31" t="n"/>
      <c r="F35" s="29" t="n"/>
      <c r="G35" s="39" t="n"/>
      <c r="H35" s="39" t="n"/>
      <c r="I35" s="39" t="n"/>
      <c r="J35" s="42" t="n"/>
      <c r="K35" s="42" t="n"/>
      <c r="L35" s="39" t="n"/>
      <c r="M35" s="29" t="n"/>
      <c r="N35" s="29" t="n"/>
      <c r="O35" s="39" t="n"/>
      <c r="P35" s="29" t="n"/>
      <c r="Q35" s="29" t="n"/>
      <c r="R35" s="29" t="n"/>
      <c r="S35" s="29" t="n"/>
      <c r="T35" s="29" t="n"/>
      <c r="U35" s="29" t="n"/>
      <c r="V35" s="32">
        <f>IF($AD35=1,IFERROR(INDEX(Lists!$K$5:$K$7,MATCH($F35,Lists!$J$5:$J$7,0)),"?"),"")</f>
        <v/>
      </c>
      <c r="W35" s="43">
        <f>IF($AD35=1,$J35+$K35,"")</f>
        <v/>
      </c>
      <c r="X35" s="32">
        <f>IF($AD35=1,IFERROR(INDEX(Suppliers!$D:$D,MATCH($C35,Suppliers!$A:$A,0)),"؟"),"")</f>
        <v/>
      </c>
      <c r="Y35" s="33">
        <f>IF($AD35=1,IF(AND(ISNUMBER($D35),ISNUMBER($X35)),$D35+$X35,""),"")</f>
        <v/>
      </c>
      <c r="Z35" s="44">
        <f>IF($AD35=1,IF(AND($O35&lt;&gt;ST_REV,$O35&lt;&gt;ST_CANC,COUNTIFS($C$4:$C34,$C35,$B$4:$B34,$B35,$O$4:$O34,"&lt;&gt;"&amp;ST_REV,$O$4:$O34,"&lt;&gt;"&amp;ST_CANC)&gt;0),1,0),"")</f>
        <v/>
      </c>
      <c r="AA35" s="32">
        <f>IF(AND($AD35=1,$L35&lt;&gt;""),IFERROR(INDEX(Treasuries!$E:$E,MATCH($L35,Treasuries!$A:$A,0)),"؟"),"")</f>
        <v/>
      </c>
      <c r="AB35" s="32">
        <f>IF($AD35=1,IFERROR(IF(INDEX(COA!$I:$I,MATCH($G35,COA!$A:$A,0))="","OPERATING",INDEX(COA!$I:$I,MATCH($G35,COA!$A:$A,0))),"OPERATING"),"")</f>
        <v/>
      </c>
      <c r="AC35" s="43">
        <f>IF($AD35=1,IF(AND($V35&lt;&gt;"CN",$L35=""),$W35,0),"")</f>
        <v/>
      </c>
      <c r="AD35" s="32">
        <f>IF(COUNTA($A35:$U35)&gt;0,1,0)</f>
        <v/>
      </c>
      <c r="AE35" s="32">
        <f>IF($AD35=0,"",IF($A35="","رقم المستند ناقص",IF(COUNTIF(Doc_Register!$A:$A,$A35)&gt;1,"رقم مستند مكرر في السجل المركزي",IF(LEFT($A35,LEN("SINV")+1)&lt;&gt;"SINV"&amp;"-","بادئة الرقم لا تطابق نوع المستند",IF(NOT(ISNUMBER($E35)),"التاريخ ناقص أو غير صحيح",IF($O35="","حالة المستند ناقصة",IF($P35="","اسم المُعِد ناقص",IF(AND(OR($O35=ST_APPR,$O35=ST_POST),$Q35=""),"لا يوجد معتمد",IF(AND($Q35&lt;&gt;"",$Q35=$P35),"المُعِد والمعتمد نفس الشخص (فصل المهام)",IF(AND($O35=ST_POST,$R35=""),"اسم المحاسب المرحِّل ناقص",IF(AND($O35=ST_POST,$R35&lt;&gt;"",OR($R35=$P35,$R35=$Q35)),"المرحِّل يجب أن يختلف عن المُعِد والمعتمد",IF(AND($O35=ST_REV,$T35=""),"مرجع التصحيح/الإلغاء ناقص",IF(AND(ISNUMBER($E35),OR($O35=ST_DRAFT,$O35=ST_APPR),COUNTIFS(Period_Close!$A:$A,YEAR($E35)*100+MONTH($E35),Period_Close!$B:$B,"مقفلة")&gt;0),"الفترة مقفلة: لا يسمح بمستند جديد",IF(COUNTIF(Suppliers!$A:$A,$C35)=0,"المورد غير معرف",IF($B35="","رقم فاتورة المورد ناقص",IF($Z35=1,"فاتورة مكررة (نفس المورد ونفس الرقم)",IF(NOT(ISNUMBER($D35)),"تاريخ الفاتورة ناقص",IF($V35="?","نوع المستند غير معرف",IF(COUNTIFS(COA!$A:$A,$G35,COA!$K:$K,"نعم",COA!$R:$R,1)&lt;&gt;1,"حساب مدين غير مسموح في المشتريات",IF(NOT(COUNTIF(Locations!$A:$A,$H35)&gt;0),"جهة الاستلام غير معرفة",IF(NOT(COUNTIF(Cost_Centers!$A:$A,$I35)&gt;0),"مركز التكلفة غير معرف",IF(NOT(N($J35)&gt;0),"الصافي يجب أن يكون أكبر من صفر",IF(AND(N($K35)&gt;0,S_VATOn&lt;&gt;"نعم"),"الضريبة غير مفعلة في Tax_Settings",IF(AND($L35&lt;&gt;"",COUNTIFS(COA!$A:$A,$AA35,COA!$R:$R,1)&lt;&gt;1),"خزينة الدفع الفوري غير صالحة",IF(AND($L35&lt;&gt;"",$V35="CN"),"الإشعار الدائن لا يُسدَّد فوريًا",IF(AND($V35="INV",$M35="",$N35="",$S35=""),"فاتورة بدون مرجع (أمر شراء/استلام/مرفق)",""))))))))))))))))))))))))))</f>
        <v/>
      </c>
      <c r="AF35" s="32">
        <f>IF($AD35=1,IF($AE35&lt;&gt;"",1,0),0)</f>
        <v/>
      </c>
      <c r="AG35" s="32">
        <f>IF(AND($AD35=1,$AF35=0,$O35=ST_POST),1,0)</f>
        <v/>
      </c>
    </row>
    <row r="36">
      <c r="A36" s="29" t="n"/>
      <c r="B36" s="29" t="n"/>
      <c r="C36" s="39" t="n"/>
      <c r="D36" s="31" t="n"/>
      <c r="E36" s="31" t="n"/>
      <c r="F36" s="29" t="n"/>
      <c r="G36" s="39" t="n"/>
      <c r="H36" s="39" t="n"/>
      <c r="I36" s="39" t="n"/>
      <c r="J36" s="42" t="n"/>
      <c r="K36" s="42" t="n"/>
      <c r="L36" s="39" t="n"/>
      <c r="M36" s="29" t="n"/>
      <c r="N36" s="29" t="n"/>
      <c r="O36" s="39" t="n"/>
      <c r="P36" s="29" t="n"/>
      <c r="Q36" s="29" t="n"/>
      <c r="R36" s="29" t="n"/>
      <c r="S36" s="29" t="n"/>
      <c r="T36" s="29" t="n"/>
      <c r="U36" s="29" t="n"/>
      <c r="V36" s="32">
        <f>IF($AD36=1,IFERROR(INDEX(Lists!$K$5:$K$7,MATCH($F36,Lists!$J$5:$J$7,0)),"?"),"")</f>
        <v/>
      </c>
      <c r="W36" s="43">
        <f>IF($AD36=1,$J36+$K36,"")</f>
        <v/>
      </c>
      <c r="X36" s="32">
        <f>IF($AD36=1,IFERROR(INDEX(Suppliers!$D:$D,MATCH($C36,Suppliers!$A:$A,0)),"؟"),"")</f>
        <v/>
      </c>
      <c r="Y36" s="33">
        <f>IF($AD36=1,IF(AND(ISNUMBER($D36),ISNUMBER($X36)),$D36+$X36,""),"")</f>
        <v/>
      </c>
      <c r="Z36" s="44">
        <f>IF($AD36=1,IF(AND($O36&lt;&gt;ST_REV,$O36&lt;&gt;ST_CANC,COUNTIFS($C$4:$C35,$C36,$B$4:$B35,$B36,$O$4:$O35,"&lt;&gt;"&amp;ST_REV,$O$4:$O35,"&lt;&gt;"&amp;ST_CANC)&gt;0),1,0),"")</f>
        <v/>
      </c>
      <c r="AA36" s="32">
        <f>IF(AND($AD36=1,$L36&lt;&gt;""),IFERROR(INDEX(Treasuries!$E:$E,MATCH($L36,Treasuries!$A:$A,0)),"؟"),"")</f>
        <v/>
      </c>
      <c r="AB36" s="32">
        <f>IF($AD36=1,IFERROR(IF(INDEX(COA!$I:$I,MATCH($G36,COA!$A:$A,0))="","OPERATING",INDEX(COA!$I:$I,MATCH($G36,COA!$A:$A,0))),"OPERATING"),"")</f>
        <v/>
      </c>
      <c r="AC36" s="43">
        <f>IF($AD36=1,IF(AND($V36&lt;&gt;"CN",$L36=""),$W36,0),"")</f>
        <v/>
      </c>
      <c r="AD36" s="32">
        <f>IF(COUNTA($A36:$U36)&gt;0,1,0)</f>
        <v/>
      </c>
      <c r="AE36" s="32">
        <f>IF($AD36=0,"",IF($A36="","رقم المستند ناقص",IF(COUNTIF(Doc_Register!$A:$A,$A36)&gt;1,"رقم مستند مكرر في السجل المركزي",IF(LEFT($A36,LEN("SINV")+1)&lt;&gt;"SINV"&amp;"-","بادئة الرقم لا تطابق نوع المستند",IF(NOT(ISNUMBER($E36)),"التاريخ ناقص أو غير صحيح",IF($O36="","حالة المستند ناقصة",IF($P36="","اسم المُعِد ناقص",IF(AND(OR($O36=ST_APPR,$O36=ST_POST),$Q36=""),"لا يوجد معتمد",IF(AND($Q36&lt;&gt;"",$Q36=$P36),"المُعِد والمعتمد نفس الشخص (فصل المهام)",IF(AND($O36=ST_POST,$R36=""),"اسم المحاسب المرحِّل ناقص",IF(AND($O36=ST_POST,$R36&lt;&gt;"",OR($R36=$P36,$R36=$Q36)),"المرحِّل يجب أن يختلف عن المُعِد والمعتمد",IF(AND($O36=ST_REV,$T36=""),"مرجع التصحيح/الإلغاء ناقص",IF(AND(ISNUMBER($E36),OR($O36=ST_DRAFT,$O36=ST_APPR),COUNTIFS(Period_Close!$A:$A,YEAR($E36)*100+MONTH($E36),Period_Close!$B:$B,"مقفلة")&gt;0),"الفترة مقفلة: لا يسمح بمستند جديد",IF(COUNTIF(Suppliers!$A:$A,$C36)=0,"المورد غير معرف",IF($B36="","رقم فاتورة المورد ناقص",IF($Z36=1,"فاتورة مكررة (نفس المورد ونفس الرقم)",IF(NOT(ISNUMBER($D36)),"تاريخ الفاتورة ناقص",IF($V36="?","نوع المستند غير معرف",IF(COUNTIFS(COA!$A:$A,$G36,COA!$K:$K,"نعم",COA!$R:$R,1)&lt;&gt;1,"حساب مدين غير مسموح في المشتريات",IF(NOT(COUNTIF(Locations!$A:$A,$H36)&gt;0),"جهة الاستلام غير معرفة",IF(NOT(COUNTIF(Cost_Centers!$A:$A,$I36)&gt;0),"مركز التكلفة غير معرف",IF(NOT(N($J36)&gt;0),"الصافي يجب أن يكون أكبر من صفر",IF(AND(N($K36)&gt;0,S_VATOn&lt;&gt;"نعم"),"الضريبة غير مفعلة في Tax_Settings",IF(AND($L36&lt;&gt;"",COUNTIFS(COA!$A:$A,$AA36,COA!$R:$R,1)&lt;&gt;1),"خزينة الدفع الفوري غير صالحة",IF(AND($L36&lt;&gt;"",$V36="CN"),"الإشعار الدائن لا يُسدَّد فوريًا",IF(AND($V36="INV",$M36="",$N36="",$S36=""),"فاتورة بدون مرجع (أمر شراء/استلام/مرفق)",""))))))))))))))))))))))))))</f>
        <v/>
      </c>
      <c r="AF36" s="32">
        <f>IF($AD36=1,IF($AE36&lt;&gt;"",1,0),0)</f>
        <v/>
      </c>
      <c r="AG36" s="32">
        <f>IF(AND($AD36=1,$AF36=0,$O36=ST_POST),1,0)</f>
        <v/>
      </c>
    </row>
    <row r="37">
      <c r="A37" s="29" t="n"/>
      <c r="B37" s="29" t="n"/>
      <c r="C37" s="39" t="n"/>
      <c r="D37" s="31" t="n"/>
      <c r="E37" s="31" t="n"/>
      <c r="F37" s="29" t="n"/>
      <c r="G37" s="39" t="n"/>
      <c r="H37" s="39" t="n"/>
      <c r="I37" s="39" t="n"/>
      <c r="J37" s="42" t="n"/>
      <c r="K37" s="42" t="n"/>
      <c r="L37" s="39" t="n"/>
      <c r="M37" s="29" t="n"/>
      <c r="N37" s="29" t="n"/>
      <c r="O37" s="39" t="n"/>
      <c r="P37" s="29" t="n"/>
      <c r="Q37" s="29" t="n"/>
      <c r="R37" s="29" t="n"/>
      <c r="S37" s="29" t="n"/>
      <c r="T37" s="29" t="n"/>
      <c r="U37" s="29" t="n"/>
      <c r="V37" s="32">
        <f>IF($AD37=1,IFERROR(INDEX(Lists!$K$5:$K$7,MATCH($F37,Lists!$J$5:$J$7,0)),"?"),"")</f>
        <v/>
      </c>
      <c r="W37" s="43">
        <f>IF($AD37=1,$J37+$K37,"")</f>
        <v/>
      </c>
      <c r="X37" s="32">
        <f>IF($AD37=1,IFERROR(INDEX(Suppliers!$D:$D,MATCH($C37,Suppliers!$A:$A,0)),"؟"),"")</f>
        <v/>
      </c>
      <c r="Y37" s="33">
        <f>IF($AD37=1,IF(AND(ISNUMBER($D37),ISNUMBER($X37)),$D37+$X37,""),"")</f>
        <v/>
      </c>
      <c r="Z37" s="44">
        <f>IF($AD37=1,IF(AND($O37&lt;&gt;ST_REV,$O37&lt;&gt;ST_CANC,COUNTIFS($C$4:$C36,$C37,$B$4:$B36,$B37,$O$4:$O36,"&lt;&gt;"&amp;ST_REV,$O$4:$O36,"&lt;&gt;"&amp;ST_CANC)&gt;0),1,0),"")</f>
        <v/>
      </c>
      <c r="AA37" s="32">
        <f>IF(AND($AD37=1,$L37&lt;&gt;""),IFERROR(INDEX(Treasuries!$E:$E,MATCH($L37,Treasuries!$A:$A,0)),"؟"),"")</f>
        <v/>
      </c>
      <c r="AB37" s="32">
        <f>IF($AD37=1,IFERROR(IF(INDEX(COA!$I:$I,MATCH($G37,COA!$A:$A,0))="","OPERATING",INDEX(COA!$I:$I,MATCH($G37,COA!$A:$A,0))),"OPERATING"),"")</f>
        <v/>
      </c>
      <c r="AC37" s="43">
        <f>IF($AD37=1,IF(AND($V37&lt;&gt;"CN",$L37=""),$W37,0),"")</f>
        <v/>
      </c>
      <c r="AD37" s="32">
        <f>IF(COUNTA($A37:$U37)&gt;0,1,0)</f>
        <v/>
      </c>
      <c r="AE37" s="32">
        <f>IF($AD37=0,"",IF($A37="","رقم المستند ناقص",IF(COUNTIF(Doc_Register!$A:$A,$A37)&gt;1,"رقم مستند مكرر في السجل المركزي",IF(LEFT($A37,LEN("SINV")+1)&lt;&gt;"SINV"&amp;"-","بادئة الرقم لا تطابق نوع المستند",IF(NOT(ISNUMBER($E37)),"التاريخ ناقص أو غير صحيح",IF($O37="","حالة المستند ناقصة",IF($P37="","اسم المُعِد ناقص",IF(AND(OR($O37=ST_APPR,$O37=ST_POST),$Q37=""),"لا يوجد معتمد",IF(AND($Q37&lt;&gt;"",$Q37=$P37),"المُعِد والمعتمد نفس الشخص (فصل المهام)",IF(AND($O37=ST_POST,$R37=""),"اسم المحاسب المرحِّل ناقص",IF(AND($O37=ST_POST,$R37&lt;&gt;"",OR($R37=$P37,$R37=$Q37)),"المرحِّل يجب أن يختلف عن المُعِد والمعتمد",IF(AND($O37=ST_REV,$T37=""),"مرجع التصحيح/الإلغاء ناقص",IF(AND(ISNUMBER($E37),OR($O37=ST_DRAFT,$O37=ST_APPR),COUNTIFS(Period_Close!$A:$A,YEAR($E37)*100+MONTH($E37),Period_Close!$B:$B,"مقفلة")&gt;0),"الفترة مقفلة: لا يسمح بمستند جديد",IF(COUNTIF(Suppliers!$A:$A,$C37)=0,"المورد غير معرف",IF($B37="","رقم فاتورة المورد ناقص",IF($Z37=1,"فاتورة مكررة (نفس المورد ونفس الرقم)",IF(NOT(ISNUMBER($D37)),"تاريخ الفاتورة ناقص",IF($V37="?","نوع المستند غير معرف",IF(COUNTIFS(COA!$A:$A,$G37,COA!$K:$K,"نعم",COA!$R:$R,1)&lt;&gt;1,"حساب مدين غير مسموح في المشتريات",IF(NOT(COUNTIF(Locations!$A:$A,$H37)&gt;0),"جهة الاستلام غير معرفة",IF(NOT(COUNTIF(Cost_Centers!$A:$A,$I37)&gt;0),"مركز التكلفة غير معرف",IF(NOT(N($J37)&gt;0),"الصافي يجب أن يكون أكبر من صفر",IF(AND(N($K37)&gt;0,S_VATOn&lt;&gt;"نعم"),"الضريبة غير مفعلة في Tax_Settings",IF(AND($L37&lt;&gt;"",COUNTIFS(COA!$A:$A,$AA37,COA!$R:$R,1)&lt;&gt;1),"خزينة الدفع الفوري غير صالحة",IF(AND($L37&lt;&gt;"",$V37="CN"),"الإشعار الدائن لا يُسدَّد فوريًا",IF(AND($V37="INV",$M37="",$N37="",$S37=""),"فاتورة بدون مرجع (أمر شراء/استلام/مرفق)",""))))))))))))))))))))))))))</f>
        <v/>
      </c>
      <c r="AF37" s="32">
        <f>IF($AD37=1,IF($AE37&lt;&gt;"",1,0),0)</f>
        <v/>
      </c>
      <c r="AG37" s="32">
        <f>IF(AND($AD37=1,$AF37=0,$O37=ST_POST),1,0)</f>
        <v/>
      </c>
    </row>
    <row r="38">
      <c r="A38" s="29" t="n"/>
      <c r="B38" s="29" t="n"/>
      <c r="C38" s="39" t="n"/>
      <c r="D38" s="31" t="n"/>
      <c r="E38" s="31" t="n"/>
      <c r="F38" s="29" t="n"/>
      <c r="G38" s="39" t="n"/>
      <c r="H38" s="39" t="n"/>
      <c r="I38" s="39" t="n"/>
      <c r="J38" s="42" t="n"/>
      <c r="K38" s="42" t="n"/>
      <c r="L38" s="39" t="n"/>
      <c r="M38" s="29" t="n"/>
      <c r="N38" s="29" t="n"/>
      <c r="O38" s="39" t="n"/>
      <c r="P38" s="29" t="n"/>
      <c r="Q38" s="29" t="n"/>
      <c r="R38" s="29" t="n"/>
      <c r="S38" s="29" t="n"/>
      <c r="T38" s="29" t="n"/>
      <c r="U38" s="29" t="n"/>
      <c r="V38" s="32">
        <f>IF($AD38=1,IFERROR(INDEX(Lists!$K$5:$K$7,MATCH($F38,Lists!$J$5:$J$7,0)),"?"),"")</f>
        <v/>
      </c>
      <c r="W38" s="43">
        <f>IF($AD38=1,$J38+$K38,"")</f>
        <v/>
      </c>
      <c r="X38" s="32">
        <f>IF($AD38=1,IFERROR(INDEX(Suppliers!$D:$D,MATCH($C38,Suppliers!$A:$A,0)),"؟"),"")</f>
        <v/>
      </c>
      <c r="Y38" s="33">
        <f>IF($AD38=1,IF(AND(ISNUMBER($D38),ISNUMBER($X38)),$D38+$X38,""),"")</f>
        <v/>
      </c>
      <c r="Z38" s="44">
        <f>IF($AD38=1,IF(AND($O38&lt;&gt;ST_REV,$O38&lt;&gt;ST_CANC,COUNTIFS($C$4:$C37,$C38,$B$4:$B37,$B38,$O$4:$O37,"&lt;&gt;"&amp;ST_REV,$O$4:$O37,"&lt;&gt;"&amp;ST_CANC)&gt;0),1,0),"")</f>
        <v/>
      </c>
      <c r="AA38" s="32">
        <f>IF(AND($AD38=1,$L38&lt;&gt;""),IFERROR(INDEX(Treasuries!$E:$E,MATCH($L38,Treasuries!$A:$A,0)),"؟"),"")</f>
        <v/>
      </c>
      <c r="AB38" s="32">
        <f>IF($AD38=1,IFERROR(IF(INDEX(COA!$I:$I,MATCH($G38,COA!$A:$A,0))="","OPERATING",INDEX(COA!$I:$I,MATCH($G38,COA!$A:$A,0))),"OPERATING"),"")</f>
        <v/>
      </c>
      <c r="AC38" s="43">
        <f>IF($AD38=1,IF(AND($V38&lt;&gt;"CN",$L38=""),$W38,0),"")</f>
        <v/>
      </c>
      <c r="AD38" s="32">
        <f>IF(COUNTA($A38:$U38)&gt;0,1,0)</f>
        <v/>
      </c>
      <c r="AE38" s="32">
        <f>IF($AD38=0,"",IF($A38="","رقم المستند ناقص",IF(COUNTIF(Doc_Register!$A:$A,$A38)&gt;1,"رقم مستند مكرر في السجل المركزي",IF(LEFT($A38,LEN("SINV")+1)&lt;&gt;"SINV"&amp;"-","بادئة الرقم لا تطابق نوع المستند",IF(NOT(ISNUMBER($E38)),"التاريخ ناقص أو غير صحيح",IF($O38="","حالة المستند ناقصة",IF($P38="","اسم المُعِد ناقص",IF(AND(OR($O38=ST_APPR,$O38=ST_POST),$Q38=""),"لا يوجد معتمد",IF(AND($Q38&lt;&gt;"",$Q38=$P38),"المُعِد والمعتمد نفس الشخص (فصل المهام)",IF(AND($O38=ST_POST,$R38=""),"اسم المحاسب المرحِّل ناقص",IF(AND($O38=ST_POST,$R38&lt;&gt;"",OR($R38=$P38,$R38=$Q38)),"المرحِّل يجب أن يختلف عن المُعِد والمعتمد",IF(AND($O38=ST_REV,$T38=""),"مرجع التصحيح/الإلغاء ناقص",IF(AND(ISNUMBER($E38),OR($O38=ST_DRAFT,$O38=ST_APPR),COUNTIFS(Period_Close!$A:$A,YEAR($E38)*100+MONTH($E38),Period_Close!$B:$B,"مقفلة")&gt;0),"الفترة مقفلة: لا يسمح بمستند جديد",IF(COUNTIF(Suppliers!$A:$A,$C38)=0,"المورد غير معرف",IF($B38="","رقم فاتورة المورد ناقص",IF($Z38=1,"فاتورة مكررة (نفس المورد ونفس الرقم)",IF(NOT(ISNUMBER($D38)),"تاريخ الفاتورة ناقص",IF($V38="?","نوع المستند غير معرف",IF(COUNTIFS(COA!$A:$A,$G38,COA!$K:$K,"نعم",COA!$R:$R,1)&lt;&gt;1,"حساب مدين غير مسموح في المشتريات",IF(NOT(COUNTIF(Locations!$A:$A,$H38)&gt;0),"جهة الاستلام غير معرفة",IF(NOT(COUNTIF(Cost_Centers!$A:$A,$I38)&gt;0),"مركز التكلفة غير معرف",IF(NOT(N($J38)&gt;0),"الصافي يجب أن يكون أكبر من صفر",IF(AND(N($K38)&gt;0,S_VATOn&lt;&gt;"نعم"),"الضريبة غير مفعلة في Tax_Settings",IF(AND($L38&lt;&gt;"",COUNTIFS(COA!$A:$A,$AA38,COA!$R:$R,1)&lt;&gt;1),"خزينة الدفع الفوري غير صالحة",IF(AND($L38&lt;&gt;"",$V38="CN"),"الإشعار الدائن لا يُسدَّد فوريًا",IF(AND($V38="INV",$M38="",$N38="",$S38=""),"فاتورة بدون مرجع (أمر شراء/استلام/مرفق)",""))))))))))))))))))))))))))</f>
        <v/>
      </c>
      <c r="AF38" s="32">
        <f>IF($AD38=1,IF($AE38&lt;&gt;"",1,0),0)</f>
        <v/>
      </c>
      <c r="AG38" s="32">
        <f>IF(AND($AD38=1,$AF38=0,$O38=ST_POST),1,0)</f>
        <v/>
      </c>
    </row>
    <row r="39">
      <c r="A39" s="29" t="n"/>
      <c r="B39" s="29" t="n"/>
      <c r="C39" s="39" t="n"/>
      <c r="D39" s="31" t="n"/>
      <c r="E39" s="31" t="n"/>
      <c r="F39" s="29" t="n"/>
      <c r="G39" s="39" t="n"/>
      <c r="H39" s="39" t="n"/>
      <c r="I39" s="39" t="n"/>
      <c r="J39" s="42" t="n"/>
      <c r="K39" s="42" t="n"/>
      <c r="L39" s="39" t="n"/>
      <c r="M39" s="29" t="n"/>
      <c r="N39" s="29" t="n"/>
      <c r="O39" s="39" t="n"/>
      <c r="P39" s="29" t="n"/>
      <c r="Q39" s="29" t="n"/>
      <c r="R39" s="29" t="n"/>
      <c r="S39" s="29" t="n"/>
      <c r="T39" s="29" t="n"/>
      <c r="U39" s="29" t="n"/>
      <c r="V39" s="32">
        <f>IF($AD39=1,IFERROR(INDEX(Lists!$K$5:$K$7,MATCH($F39,Lists!$J$5:$J$7,0)),"?"),"")</f>
        <v/>
      </c>
      <c r="W39" s="43">
        <f>IF($AD39=1,$J39+$K39,"")</f>
        <v/>
      </c>
      <c r="X39" s="32">
        <f>IF($AD39=1,IFERROR(INDEX(Suppliers!$D:$D,MATCH($C39,Suppliers!$A:$A,0)),"؟"),"")</f>
        <v/>
      </c>
      <c r="Y39" s="33">
        <f>IF($AD39=1,IF(AND(ISNUMBER($D39),ISNUMBER($X39)),$D39+$X39,""),"")</f>
        <v/>
      </c>
      <c r="Z39" s="44">
        <f>IF($AD39=1,IF(AND($O39&lt;&gt;ST_REV,$O39&lt;&gt;ST_CANC,COUNTIFS($C$4:$C38,$C39,$B$4:$B38,$B39,$O$4:$O38,"&lt;&gt;"&amp;ST_REV,$O$4:$O38,"&lt;&gt;"&amp;ST_CANC)&gt;0),1,0),"")</f>
        <v/>
      </c>
      <c r="AA39" s="32">
        <f>IF(AND($AD39=1,$L39&lt;&gt;""),IFERROR(INDEX(Treasuries!$E:$E,MATCH($L39,Treasuries!$A:$A,0)),"؟"),"")</f>
        <v/>
      </c>
      <c r="AB39" s="32">
        <f>IF($AD39=1,IFERROR(IF(INDEX(COA!$I:$I,MATCH($G39,COA!$A:$A,0))="","OPERATING",INDEX(COA!$I:$I,MATCH($G39,COA!$A:$A,0))),"OPERATING"),"")</f>
        <v/>
      </c>
      <c r="AC39" s="43">
        <f>IF($AD39=1,IF(AND($V39&lt;&gt;"CN",$L39=""),$W39,0),"")</f>
        <v/>
      </c>
      <c r="AD39" s="32">
        <f>IF(COUNTA($A39:$U39)&gt;0,1,0)</f>
        <v/>
      </c>
      <c r="AE39" s="32">
        <f>IF($AD39=0,"",IF($A39="","رقم المستند ناقص",IF(COUNTIF(Doc_Register!$A:$A,$A39)&gt;1,"رقم مستند مكرر في السجل المركزي",IF(LEFT($A39,LEN("SINV")+1)&lt;&gt;"SINV"&amp;"-","بادئة الرقم لا تطابق نوع المستند",IF(NOT(ISNUMBER($E39)),"التاريخ ناقص أو غير صحيح",IF($O39="","حالة المستند ناقصة",IF($P39="","اسم المُعِد ناقص",IF(AND(OR($O39=ST_APPR,$O39=ST_POST),$Q39=""),"لا يوجد معتمد",IF(AND($Q39&lt;&gt;"",$Q39=$P39),"المُعِد والمعتمد نفس الشخص (فصل المهام)",IF(AND($O39=ST_POST,$R39=""),"اسم المحاسب المرحِّل ناقص",IF(AND($O39=ST_POST,$R39&lt;&gt;"",OR($R39=$P39,$R39=$Q39)),"المرحِّل يجب أن يختلف عن المُعِد والمعتمد",IF(AND($O39=ST_REV,$T39=""),"مرجع التصحيح/الإلغاء ناقص",IF(AND(ISNUMBER($E39),OR($O39=ST_DRAFT,$O39=ST_APPR),COUNTIFS(Period_Close!$A:$A,YEAR($E39)*100+MONTH($E39),Period_Close!$B:$B,"مقفلة")&gt;0),"الفترة مقفلة: لا يسمح بمستند جديد",IF(COUNTIF(Suppliers!$A:$A,$C39)=0,"المورد غير معرف",IF($B39="","رقم فاتورة المورد ناقص",IF($Z39=1,"فاتورة مكررة (نفس المورد ونفس الرقم)",IF(NOT(ISNUMBER($D39)),"تاريخ الفاتورة ناقص",IF($V39="?","نوع المستند غير معرف",IF(COUNTIFS(COA!$A:$A,$G39,COA!$K:$K,"نعم",COA!$R:$R,1)&lt;&gt;1,"حساب مدين غير مسموح في المشتريات",IF(NOT(COUNTIF(Locations!$A:$A,$H39)&gt;0),"جهة الاستلام غير معرفة",IF(NOT(COUNTIF(Cost_Centers!$A:$A,$I39)&gt;0),"مركز التكلفة غير معرف",IF(NOT(N($J39)&gt;0),"الصافي يجب أن يكون أكبر من صفر",IF(AND(N($K39)&gt;0,S_VATOn&lt;&gt;"نعم"),"الضريبة غير مفعلة في Tax_Settings",IF(AND($L39&lt;&gt;"",COUNTIFS(COA!$A:$A,$AA39,COA!$R:$R,1)&lt;&gt;1),"خزينة الدفع الفوري غير صالحة",IF(AND($L39&lt;&gt;"",$V39="CN"),"الإشعار الدائن لا يُسدَّد فوريًا",IF(AND($V39="INV",$M39="",$N39="",$S39=""),"فاتورة بدون مرجع (أمر شراء/استلام/مرفق)",""))))))))))))))))))))))))))</f>
        <v/>
      </c>
      <c r="AF39" s="32">
        <f>IF($AD39=1,IF($AE39&lt;&gt;"",1,0),0)</f>
        <v/>
      </c>
      <c r="AG39" s="32">
        <f>IF(AND($AD39=1,$AF39=0,$O39=ST_POST),1,0)</f>
        <v/>
      </c>
    </row>
    <row r="40">
      <c r="A40" s="29" t="n"/>
      <c r="B40" s="29" t="n"/>
      <c r="C40" s="39" t="n"/>
      <c r="D40" s="31" t="n"/>
      <c r="E40" s="31" t="n"/>
      <c r="F40" s="29" t="n"/>
      <c r="G40" s="39" t="n"/>
      <c r="H40" s="39" t="n"/>
      <c r="I40" s="39" t="n"/>
      <c r="J40" s="42" t="n"/>
      <c r="K40" s="42" t="n"/>
      <c r="L40" s="39" t="n"/>
      <c r="M40" s="29" t="n"/>
      <c r="N40" s="29" t="n"/>
      <c r="O40" s="39" t="n"/>
      <c r="P40" s="29" t="n"/>
      <c r="Q40" s="29" t="n"/>
      <c r="R40" s="29" t="n"/>
      <c r="S40" s="29" t="n"/>
      <c r="T40" s="29" t="n"/>
      <c r="U40" s="29" t="n"/>
      <c r="V40" s="32">
        <f>IF($AD40=1,IFERROR(INDEX(Lists!$K$5:$K$7,MATCH($F40,Lists!$J$5:$J$7,0)),"?"),"")</f>
        <v/>
      </c>
      <c r="W40" s="43">
        <f>IF($AD40=1,$J40+$K40,"")</f>
        <v/>
      </c>
      <c r="X40" s="32">
        <f>IF($AD40=1,IFERROR(INDEX(Suppliers!$D:$D,MATCH($C40,Suppliers!$A:$A,0)),"؟"),"")</f>
        <v/>
      </c>
      <c r="Y40" s="33">
        <f>IF($AD40=1,IF(AND(ISNUMBER($D40),ISNUMBER($X40)),$D40+$X40,""),"")</f>
        <v/>
      </c>
      <c r="Z40" s="44">
        <f>IF($AD40=1,IF(AND($O40&lt;&gt;ST_REV,$O40&lt;&gt;ST_CANC,COUNTIFS($C$4:$C39,$C40,$B$4:$B39,$B40,$O$4:$O39,"&lt;&gt;"&amp;ST_REV,$O$4:$O39,"&lt;&gt;"&amp;ST_CANC)&gt;0),1,0),"")</f>
        <v/>
      </c>
      <c r="AA40" s="32">
        <f>IF(AND($AD40=1,$L40&lt;&gt;""),IFERROR(INDEX(Treasuries!$E:$E,MATCH($L40,Treasuries!$A:$A,0)),"؟"),"")</f>
        <v/>
      </c>
      <c r="AB40" s="32">
        <f>IF($AD40=1,IFERROR(IF(INDEX(COA!$I:$I,MATCH($G40,COA!$A:$A,0))="","OPERATING",INDEX(COA!$I:$I,MATCH($G40,COA!$A:$A,0))),"OPERATING"),"")</f>
        <v/>
      </c>
      <c r="AC40" s="43">
        <f>IF($AD40=1,IF(AND($V40&lt;&gt;"CN",$L40=""),$W40,0),"")</f>
        <v/>
      </c>
      <c r="AD40" s="32">
        <f>IF(COUNTA($A40:$U40)&gt;0,1,0)</f>
        <v/>
      </c>
      <c r="AE40" s="32">
        <f>IF($AD40=0,"",IF($A40="","رقم المستند ناقص",IF(COUNTIF(Doc_Register!$A:$A,$A40)&gt;1,"رقم مستند مكرر في السجل المركزي",IF(LEFT($A40,LEN("SINV")+1)&lt;&gt;"SINV"&amp;"-","بادئة الرقم لا تطابق نوع المستند",IF(NOT(ISNUMBER($E40)),"التاريخ ناقص أو غير صحيح",IF($O40="","حالة المستند ناقصة",IF($P40="","اسم المُعِد ناقص",IF(AND(OR($O40=ST_APPR,$O40=ST_POST),$Q40=""),"لا يوجد معتمد",IF(AND($Q40&lt;&gt;"",$Q40=$P40),"المُعِد والمعتمد نفس الشخص (فصل المهام)",IF(AND($O40=ST_POST,$R40=""),"اسم المحاسب المرحِّل ناقص",IF(AND($O40=ST_POST,$R40&lt;&gt;"",OR($R40=$P40,$R40=$Q40)),"المرحِّل يجب أن يختلف عن المُعِد والمعتمد",IF(AND($O40=ST_REV,$T40=""),"مرجع التصحيح/الإلغاء ناقص",IF(AND(ISNUMBER($E40),OR($O40=ST_DRAFT,$O40=ST_APPR),COUNTIFS(Period_Close!$A:$A,YEAR($E40)*100+MONTH($E40),Period_Close!$B:$B,"مقفلة")&gt;0),"الفترة مقفلة: لا يسمح بمستند جديد",IF(COUNTIF(Suppliers!$A:$A,$C40)=0,"المورد غير معرف",IF($B40="","رقم فاتورة المورد ناقص",IF($Z40=1,"فاتورة مكررة (نفس المورد ونفس الرقم)",IF(NOT(ISNUMBER($D40)),"تاريخ الفاتورة ناقص",IF($V40="?","نوع المستند غير معرف",IF(COUNTIFS(COA!$A:$A,$G40,COA!$K:$K,"نعم",COA!$R:$R,1)&lt;&gt;1,"حساب مدين غير مسموح في المشتريات",IF(NOT(COUNTIF(Locations!$A:$A,$H40)&gt;0),"جهة الاستلام غير معرفة",IF(NOT(COUNTIF(Cost_Centers!$A:$A,$I40)&gt;0),"مركز التكلفة غير معرف",IF(NOT(N($J40)&gt;0),"الصافي يجب أن يكون أكبر من صفر",IF(AND(N($K40)&gt;0,S_VATOn&lt;&gt;"نعم"),"الضريبة غير مفعلة في Tax_Settings",IF(AND($L40&lt;&gt;"",COUNTIFS(COA!$A:$A,$AA40,COA!$R:$R,1)&lt;&gt;1),"خزينة الدفع الفوري غير صالحة",IF(AND($L40&lt;&gt;"",$V40="CN"),"الإشعار الدائن لا يُسدَّد فوريًا",IF(AND($V40="INV",$M40="",$N40="",$S40=""),"فاتورة بدون مرجع (أمر شراء/استلام/مرفق)",""))))))))))))))))))))))))))</f>
        <v/>
      </c>
      <c r="AF40" s="32">
        <f>IF($AD40=1,IF($AE40&lt;&gt;"",1,0),0)</f>
        <v/>
      </c>
      <c r="AG40" s="32">
        <f>IF(AND($AD40=1,$AF40=0,$O40=ST_POST),1,0)</f>
        <v/>
      </c>
    </row>
    <row r="41">
      <c r="A41" s="29" t="n"/>
      <c r="B41" s="29" t="n"/>
      <c r="C41" s="39" t="n"/>
      <c r="D41" s="31" t="n"/>
      <c r="E41" s="31" t="n"/>
      <c r="F41" s="29" t="n"/>
      <c r="G41" s="39" t="n"/>
      <c r="H41" s="39" t="n"/>
      <c r="I41" s="39" t="n"/>
      <c r="J41" s="42" t="n"/>
      <c r="K41" s="42" t="n"/>
      <c r="L41" s="39" t="n"/>
      <c r="M41" s="29" t="n"/>
      <c r="N41" s="29" t="n"/>
      <c r="O41" s="39" t="n"/>
      <c r="P41" s="29" t="n"/>
      <c r="Q41" s="29" t="n"/>
      <c r="R41" s="29" t="n"/>
      <c r="S41" s="29" t="n"/>
      <c r="T41" s="29" t="n"/>
      <c r="U41" s="29" t="n"/>
      <c r="V41" s="32">
        <f>IF($AD41=1,IFERROR(INDEX(Lists!$K$5:$K$7,MATCH($F41,Lists!$J$5:$J$7,0)),"?"),"")</f>
        <v/>
      </c>
      <c r="W41" s="43">
        <f>IF($AD41=1,$J41+$K41,"")</f>
        <v/>
      </c>
      <c r="X41" s="32">
        <f>IF($AD41=1,IFERROR(INDEX(Suppliers!$D:$D,MATCH($C41,Suppliers!$A:$A,0)),"؟"),"")</f>
        <v/>
      </c>
      <c r="Y41" s="33">
        <f>IF($AD41=1,IF(AND(ISNUMBER($D41),ISNUMBER($X41)),$D41+$X41,""),"")</f>
        <v/>
      </c>
      <c r="Z41" s="44">
        <f>IF($AD41=1,IF(AND($O41&lt;&gt;ST_REV,$O41&lt;&gt;ST_CANC,COUNTIFS($C$4:$C40,$C41,$B$4:$B40,$B41,$O$4:$O40,"&lt;&gt;"&amp;ST_REV,$O$4:$O40,"&lt;&gt;"&amp;ST_CANC)&gt;0),1,0),"")</f>
        <v/>
      </c>
      <c r="AA41" s="32">
        <f>IF(AND($AD41=1,$L41&lt;&gt;""),IFERROR(INDEX(Treasuries!$E:$E,MATCH($L41,Treasuries!$A:$A,0)),"؟"),"")</f>
        <v/>
      </c>
      <c r="AB41" s="32">
        <f>IF($AD41=1,IFERROR(IF(INDEX(COA!$I:$I,MATCH($G41,COA!$A:$A,0))="","OPERATING",INDEX(COA!$I:$I,MATCH($G41,COA!$A:$A,0))),"OPERATING"),"")</f>
        <v/>
      </c>
      <c r="AC41" s="43">
        <f>IF($AD41=1,IF(AND($V41&lt;&gt;"CN",$L41=""),$W41,0),"")</f>
        <v/>
      </c>
      <c r="AD41" s="32">
        <f>IF(COUNTA($A41:$U41)&gt;0,1,0)</f>
        <v/>
      </c>
      <c r="AE41" s="32">
        <f>IF($AD41=0,"",IF($A41="","رقم المستند ناقص",IF(COUNTIF(Doc_Register!$A:$A,$A41)&gt;1,"رقم مستند مكرر في السجل المركزي",IF(LEFT($A41,LEN("SINV")+1)&lt;&gt;"SINV"&amp;"-","بادئة الرقم لا تطابق نوع المستند",IF(NOT(ISNUMBER($E41)),"التاريخ ناقص أو غير صحيح",IF($O41="","حالة المستند ناقصة",IF($P41="","اسم المُعِد ناقص",IF(AND(OR($O41=ST_APPR,$O41=ST_POST),$Q41=""),"لا يوجد معتمد",IF(AND($Q41&lt;&gt;"",$Q41=$P41),"المُعِد والمعتمد نفس الشخص (فصل المهام)",IF(AND($O41=ST_POST,$R41=""),"اسم المحاسب المرحِّل ناقص",IF(AND($O41=ST_POST,$R41&lt;&gt;"",OR($R41=$P41,$R41=$Q41)),"المرحِّل يجب أن يختلف عن المُعِد والمعتمد",IF(AND($O41=ST_REV,$T41=""),"مرجع التصحيح/الإلغاء ناقص",IF(AND(ISNUMBER($E41),OR($O41=ST_DRAFT,$O41=ST_APPR),COUNTIFS(Period_Close!$A:$A,YEAR($E41)*100+MONTH($E41),Period_Close!$B:$B,"مقفلة")&gt;0),"الفترة مقفلة: لا يسمح بمستند جديد",IF(COUNTIF(Suppliers!$A:$A,$C41)=0,"المورد غير معرف",IF($B41="","رقم فاتورة المورد ناقص",IF($Z41=1,"فاتورة مكررة (نفس المورد ونفس الرقم)",IF(NOT(ISNUMBER($D41)),"تاريخ الفاتورة ناقص",IF($V41="?","نوع المستند غير معرف",IF(COUNTIFS(COA!$A:$A,$G41,COA!$K:$K,"نعم",COA!$R:$R,1)&lt;&gt;1,"حساب مدين غير مسموح في المشتريات",IF(NOT(COUNTIF(Locations!$A:$A,$H41)&gt;0),"جهة الاستلام غير معرفة",IF(NOT(COUNTIF(Cost_Centers!$A:$A,$I41)&gt;0),"مركز التكلفة غير معرف",IF(NOT(N($J41)&gt;0),"الصافي يجب أن يكون أكبر من صفر",IF(AND(N($K41)&gt;0,S_VATOn&lt;&gt;"نعم"),"الضريبة غير مفعلة في Tax_Settings",IF(AND($L41&lt;&gt;"",COUNTIFS(COA!$A:$A,$AA41,COA!$R:$R,1)&lt;&gt;1),"خزينة الدفع الفوري غير صالحة",IF(AND($L41&lt;&gt;"",$V41="CN"),"الإشعار الدائن لا يُسدَّد فوريًا",IF(AND($V41="INV",$M41="",$N41="",$S41=""),"فاتورة بدون مرجع (أمر شراء/استلام/مرفق)",""))))))))))))))))))))))))))</f>
        <v/>
      </c>
      <c r="AF41" s="32">
        <f>IF($AD41=1,IF($AE41&lt;&gt;"",1,0),0)</f>
        <v/>
      </c>
      <c r="AG41" s="32">
        <f>IF(AND($AD41=1,$AF41=0,$O41=ST_POST),1,0)</f>
        <v/>
      </c>
    </row>
    <row r="42">
      <c r="A42" s="29" t="n"/>
      <c r="B42" s="29" t="n"/>
      <c r="C42" s="39" t="n"/>
      <c r="D42" s="31" t="n"/>
      <c r="E42" s="31" t="n"/>
      <c r="F42" s="29" t="n"/>
      <c r="G42" s="39" t="n"/>
      <c r="H42" s="39" t="n"/>
      <c r="I42" s="39" t="n"/>
      <c r="J42" s="42" t="n"/>
      <c r="K42" s="42" t="n"/>
      <c r="L42" s="39" t="n"/>
      <c r="M42" s="29" t="n"/>
      <c r="N42" s="29" t="n"/>
      <c r="O42" s="39" t="n"/>
      <c r="P42" s="29" t="n"/>
      <c r="Q42" s="29" t="n"/>
      <c r="R42" s="29" t="n"/>
      <c r="S42" s="29" t="n"/>
      <c r="T42" s="29" t="n"/>
      <c r="U42" s="29" t="n"/>
      <c r="V42" s="32">
        <f>IF($AD42=1,IFERROR(INDEX(Lists!$K$5:$K$7,MATCH($F42,Lists!$J$5:$J$7,0)),"?"),"")</f>
        <v/>
      </c>
      <c r="W42" s="43">
        <f>IF($AD42=1,$J42+$K42,"")</f>
        <v/>
      </c>
      <c r="X42" s="32">
        <f>IF($AD42=1,IFERROR(INDEX(Suppliers!$D:$D,MATCH($C42,Suppliers!$A:$A,0)),"؟"),"")</f>
        <v/>
      </c>
      <c r="Y42" s="33">
        <f>IF($AD42=1,IF(AND(ISNUMBER($D42),ISNUMBER($X42)),$D42+$X42,""),"")</f>
        <v/>
      </c>
      <c r="Z42" s="44">
        <f>IF($AD42=1,IF(AND($O42&lt;&gt;ST_REV,$O42&lt;&gt;ST_CANC,COUNTIFS($C$4:$C41,$C42,$B$4:$B41,$B42,$O$4:$O41,"&lt;&gt;"&amp;ST_REV,$O$4:$O41,"&lt;&gt;"&amp;ST_CANC)&gt;0),1,0),"")</f>
        <v/>
      </c>
      <c r="AA42" s="32">
        <f>IF(AND($AD42=1,$L42&lt;&gt;""),IFERROR(INDEX(Treasuries!$E:$E,MATCH($L42,Treasuries!$A:$A,0)),"؟"),"")</f>
        <v/>
      </c>
      <c r="AB42" s="32">
        <f>IF($AD42=1,IFERROR(IF(INDEX(COA!$I:$I,MATCH($G42,COA!$A:$A,0))="","OPERATING",INDEX(COA!$I:$I,MATCH($G42,COA!$A:$A,0))),"OPERATING"),"")</f>
        <v/>
      </c>
      <c r="AC42" s="43">
        <f>IF($AD42=1,IF(AND($V42&lt;&gt;"CN",$L42=""),$W42,0),"")</f>
        <v/>
      </c>
      <c r="AD42" s="32">
        <f>IF(COUNTA($A42:$U42)&gt;0,1,0)</f>
        <v/>
      </c>
      <c r="AE42" s="32">
        <f>IF($AD42=0,"",IF($A42="","رقم المستند ناقص",IF(COUNTIF(Doc_Register!$A:$A,$A42)&gt;1,"رقم مستند مكرر في السجل المركزي",IF(LEFT($A42,LEN("SINV")+1)&lt;&gt;"SINV"&amp;"-","بادئة الرقم لا تطابق نوع المستند",IF(NOT(ISNUMBER($E42)),"التاريخ ناقص أو غير صحيح",IF($O42="","حالة المستند ناقصة",IF($P42="","اسم المُعِد ناقص",IF(AND(OR($O42=ST_APPR,$O42=ST_POST),$Q42=""),"لا يوجد معتمد",IF(AND($Q42&lt;&gt;"",$Q42=$P42),"المُعِد والمعتمد نفس الشخص (فصل المهام)",IF(AND($O42=ST_POST,$R42=""),"اسم المحاسب المرحِّل ناقص",IF(AND($O42=ST_POST,$R42&lt;&gt;"",OR($R42=$P42,$R42=$Q42)),"المرحِّل يجب أن يختلف عن المُعِد والمعتمد",IF(AND($O42=ST_REV,$T42=""),"مرجع التصحيح/الإلغاء ناقص",IF(AND(ISNUMBER($E42),OR($O42=ST_DRAFT,$O42=ST_APPR),COUNTIFS(Period_Close!$A:$A,YEAR($E42)*100+MONTH($E42),Period_Close!$B:$B,"مقفلة")&gt;0),"الفترة مقفلة: لا يسمح بمستند جديد",IF(COUNTIF(Suppliers!$A:$A,$C42)=0,"المورد غير معرف",IF($B42="","رقم فاتورة المورد ناقص",IF($Z42=1,"فاتورة مكررة (نفس المورد ونفس الرقم)",IF(NOT(ISNUMBER($D42)),"تاريخ الفاتورة ناقص",IF($V42="?","نوع المستند غير معرف",IF(COUNTIFS(COA!$A:$A,$G42,COA!$K:$K,"نعم",COA!$R:$R,1)&lt;&gt;1,"حساب مدين غير مسموح في المشتريات",IF(NOT(COUNTIF(Locations!$A:$A,$H42)&gt;0),"جهة الاستلام غير معرفة",IF(NOT(COUNTIF(Cost_Centers!$A:$A,$I42)&gt;0),"مركز التكلفة غير معرف",IF(NOT(N($J42)&gt;0),"الصافي يجب أن يكون أكبر من صفر",IF(AND(N($K42)&gt;0,S_VATOn&lt;&gt;"نعم"),"الضريبة غير مفعلة في Tax_Settings",IF(AND($L42&lt;&gt;"",COUNTIFS(COA!$A:$A,$AA42,COA!$R:$R,1)&lt;&gt;1),"خزينة الدفع الفوري غير صالحة",IF(AND($L42&lt;&gt;"",$V42="CN"),"الإشعار الدائن لا يُسدَّد فوريًا",IF(AND($V42="INV",$M42="",$N42="",$S42=""),"فاتورة بدون مرجع (أمر شراء/استلام/مرفق)",""))))))))))))))))))))))))))</f>
        <v/>
      </c>
      <c r="AF42" s="32">
        <f>IF($AD42=1,IF($AE42&lt;&gt;"",1,0),0)</f>
        <v/>
      </c>
      <c r="AG42" s="32">
        <f>IF(AND($AD42=1,$AF42=0,$O42=ST_POST),1,0)</f>
        <v/>
      </c>
    </row>
    <row r="43">
      <c r="A43" s="29" t="n"/>
      <c r="B43" s="29" t="n"/>
      <c r="C43" s="39" t="n"/>
      <c r="D43" s="31" t="n"/>
      <c r="E43" s="31" t="n"/>
      <c r="F43" s="29" t="n"/>
      <c r="G43" s="39" t="n"/>
      <c r="H43" s="39" t="n"/>
      <c r="I43" s="39" t="n"/>
      <c r="J43" s="42" t="n"/>
      <c r="K43" s="42" t="n"/>
      <c r="L43" s="39" t="n"/>
      <c r="M43" s="29" t="n"/>
      <c r="N43" s="29" t="n"/>
      <c r="O43" s="39" t="n"/>
      <c r="P43" s="29" t="n"/>
      <c r="Q43" s="29" t="n"/>
      <c r="R43" s="29" t="n"/>
      <c r="S43" s="29" t="n"/>
      <c r="T43" s="29" t="n"/>
      <c r="U43" s="29" t="n"/>
      <c r="V43" s="32">
        <f>IF($AD43=1,IFERROR(INDEX(Lists!$K$5:$K$7,MATCH($F43,Lists!$J$5:$J$7,0)),"?"),"")</f>
        <v/>
      </c>
      <c r="W43" s="43">
        <f>IF($AD43=1,$J43+$K43,"")</f>
        <v/>
      </c>
      <c r="X43" s="32">
        <f>IF($AD43=1,IFERROR(INDEX(Suppliers!$D:$D,MATCH($C43,Suppliers!$A:$A,0)),"؟"),"")</f>
        <v/>
      </c>
      <c r="Y43" s="33">
        <f>IF($AD43=1,IF(AND(ISNUMBER($D43),ISNUMBER($X43)),$D43+$X43,""),"")</f>
        <v/>
      </c>
      <c r="Z43" s="44">
        <f>IF($AD43=1,IF(AND($O43&lt;&gt;ST_REV,$O43&lt;&gt;ST_CANC,COUNTIFS($C$4:$C42,$C43,$B$4:$B42,$B43,$O$4:$O42,"&lt;&gt;"&amp;ST_REV,$O$4:$O42,"&lt;&gt;"&amp;ST_CANC)&gt;0),1,0),"")</f>
        <v/>
      </c>
      <c r="AA43" s="32">
        <f>IF(AND($AD43=1,$L43&lt;&gt;""),IFERROR(INDEX(Treasuries!$E:$E,MATCH($L43,Treasuries!$A:$A,0)),"؟"),"")</f>
        <v/>
      </c>
      <c r="AB43" s="32">
        <f>IF($AD43=1,IFERROR(IF(INDEX(COA!$I:$I,MATCH($G43,COA!$A:$A,0))="","OPERATING",INDEX(COA!$I:$I,MATCH($G43,COA!$A:$A,0))),"OPERATING"),"")</f>
        <v/>
      </c>
      <c r="AC43" s="43">
        <f>IF($AD43=1,IF(AND($V43&lt;&gt;"CN",$L43=""),$W43,0),"")</f>
        <v/>
      </c>
      <c r="AD43" s="32">
        <f>IF(COUNTA($A43:$U43)&gt;0,1,0)</f>
        <v/>
      </c>
      <c r="AE43" s="32">
        <f>IF($AD43=0,"",IF($A43="","رقم المستند ناقص",IF(COUNTIF(Doc_Register!$A:$A,$A43)&gt;1,"رقم مستند مكرر في السجل المركزي",IF(LEFT($A43,LEN("SINV")+1)&lt;&gt;"SINV"&amp;"-","بادئة الرقم لا تطابق نوع المستند",IF(NOT(ISNUMBER($E43)),"التاريخ ناقص أو غير صحيح",IF($O43="","حالة المستند ناقصة",IF($P43="","اسم المُعِد ناقص",IF(AND(OR($O43=ST_APPR,$O43=ST_POST),$Q43=""),"لا يوجد معتمد",IF(AND($Q43&lt;&gt;"",$Q43=$P43),"المُعِد والمعتمد نفس الشخص (فصل المهام)",IF(AND($O43=ST_POST,$R43=""),"اسم المحاسب المرحِّل ناقص",IF(AND($O43=ST_POST,$R43&lt;&gt;"",OR($R43=$P43,$R43=$Q43)),"المرحِّل يجب أن يختلف عن المُعِد والمعتمد",IF(AND($O43=ST_REV,$T43=""),"مرجع التصحيح/الإلغاء ناقص",IF(AND(ISNUMBER($E43),OR($O43=ST_DRAFT,$O43=ST_APPR),COUNTIFS(Period_Close!$A:$A,YEAR($E43)*100+MONTH($E43),Period_Close!$B:$B,"مقفلة")&gt;0),"الفترة مقفلة: لا يسمح بمستند جديد",IF(COUNTIF(Suppliers!$A:$A,$C43)=0,"المورد غير معرف",IF($B43="","رقم فاتورة المورد ناقص",IF($Z43=1,"فاتورة مكررة (نفس المورد ونفس الرقم)",IF(NOT(ISNUMBER($D43)),"تاريخ الفاتورة ناقص",IF($V43="?","نوع المستند غير معرف",IF(COUNTIFS(COA!$A:$A,$G43,COA!$K:$K,"نعم",COA!$R:$R,1)&lt;&gt;1,"حساب مدين غير مسموح في المشتريات",IF(NOT(COUNTIF(Locations!$A:$A,$H43)&gt;0),"جهة الاستلام غير معرفة",IF(NOT(COUNTIF(Cost_Centers!$A:$A,$I43)&gt;0),"مركز التكلفة غير معرف",IF(NOT(N($J43)&gt;0),"الصافي يجب أن يكون أكبر من صفر",IF(AND(N($K43)&gt;0,S_VATOn&lt;&gt;"نعم"),"الضريبة غير مفعلة في Tax_Settings",IF(AND($L43&lt;&gt;"",COUNTIFS(COA!$A:$A,$AA43,COA!$R:$R,1)&lt;&gt;1),"خزينة الدفع الفوري غير صالحة",IF(AND($L43&lt;&gt;"",$V43="CN"),"الإشعار الدائن لا يُسدَّد فوريًا",IF(AND($V43="INV",$M43="",$N43="",$S43=""),"فاتورة بدون مرجع (أمر شراء/استلام/مرفق)",""))))))))))))))))))))))))))</f>
        <v/>
      </c>
      <c r="AF43" s="32">
        <f>IF($AD43=1,IF($AE43&lt;&gt;"",1,0),0)</f>
        <v/>
      </c>
      <c r="AG43" s="32">
        <f>IF(AND($AD43=1,$AF43=0,$O43=ST_POST),1,0)</f>
        <v/>
      </c>
    </row>
    <row r="44">
      <c r="A44" s="29" t="n"/>
      <c r="B44" s="29" t="n"/>
      <c r="C44" s="39" t="n"/>
      <c r="D44" s="31" t="n"/>
      <c r="E44" s="31" t="n"/>
      <c r="F44" s="29" t="n"/>
      <c r="G44" s="39" t="n"/>
      <c r="H44" s="39" t="n"/>
      <c r="I44" s="39" t="n"/>
      <c r="J44" s="42" t="n"/>
      <c r="K44" s="42" t="n"/>
      <c r="L44" s="39" t="n"/>
      <c r="M44" s="29" t="n"/>
      <c r="N44" s="29" t="n"/>
      <c r="O44" s="39" t="n"/>
      <c r="P44" s="29" t="n"/>
      <c r="Q44" s="29" t="n"/>
      <c r="R44" s="29" t="n"/>
      <c r="S44" s="29" t="n"/>
      <c r="T44" s="29" t="n"/>
      <c r="U44" s="29" t="n"/>
      <c r="V44" s="32">
        <f>IF($AD44=1,IFERROR(INDEX(Lists!$K$5:$K$7,MATCH($F44,Lists!$J$5:$J$7,0)),"?"),"")</f>
        <v/>
      </c>
      <c r="W44" s="43">
        <f>IF($AD44=1,$J44+$K44,"")</f>
        <v/>
      </c>
      <c r="X44" s="32">
        <f>IF($AD44=1,IFERROR(INDEX(Suppliers!$D:$D,MATCH($C44,Suppliers!$A:$A,0)),"؟"),"")</f>
        <v/>
      </c>
      <c r="Y44" s="33">
        <f>IF($AD44=1,IF(AND(ISNUMBER($D44),ISNUMBER($X44)),$D44+$X44,""),"")</f>
        <v/>
      </c>
      <c r="Z44" s="44">
        <f>IF($AD44=1,IF(AND($O44&lt;&gt;ST_REV,$O44&lt;&gt;ST_CANC,COUNTIFS($C$4:$C43,$C44,$B$4:$B43,$B44,$O$4:$O43,"&lt;&gt;"&amp;ST_REV,$O$4:$O43,"&lt;&gt;"&amp;ST_CANC)&gt;0),1,0),"")</f>
        <v/>
      </c>
      <c r="AA44" s="32">
        <f>IF(AND($AD44=1,$L44&lt;&gt;""),IFERROR(INDEX(Treasuries!$E:$E,MATCH($L44,Treasuries!$A:$A,0)),"؟"),"")</f>
        <v/>
      </c>
      <c r="AB44" s="32">
        <f>IF($AD44=1,IFERROR(IF(INDEX(COA!$I:$I,MATCH($G44,COA!$A:$A,0))="","OPERATING",INDEX(COA!$I:$I,MATCH($G44,COA!$A:$A,0))),"OPERATING"),"")</f>
        <v/>
      </c>
      <c r="AC44" s="43">
        <f>IF($AD44=1,IF(AND($V44&lt;&gt;"CN",$L44=""),$W44,0),"")</f>
        <v/>
      </c>
      <c r="AD44" s="32">
        <f>IF(COUNTA($A44:$U44)&gt;0,1,0)</f>
        <v/>
      </c>
      <c r="AE44" s="32">
        <f>IF($AD44=0,"",IF($A44="","رقم المستند ناقص",IF(COUNTIF(Doc_Register!$A:$A,$A44)&gt;1,"رقم مستند مكرر في السجل المركزي",IF(LEFT($A44,LEN("SINV")+1)&lt;&gt;"SINV"&amp;"-","بادئة الرقم لا تطابق نوع المستند",IF(NOT(ISNUMBER($E44)),"التاريخ ناقص أو غير صحيح",IF($O44="","حالة المستند ناقصة",IF($P44="","اسم المُعِد ناقص",IF(AND(OR($O44=ST_APPR,$O44=ST_POST),$Q44=""),"لا يوجد معتمد",IF(AND($Q44&lt;&gt;"",$Q44=$P44),"المُعِد والمعتمد نفس الشخص (فصل المهام)",IF(AND($O44=ST_POST,$R44=""),"اسم المحاسب المرحِّل ناقص",IF(AND($O44=ST_POST,$R44&lt;&gt;"",OR($R44=$P44,$R44=$Q44)),"المرحِّل يجب أن يختلف عن المُعِد والمعتمد",IF(AND($O44=ST_REV,$T44=""),"مرجع التصحيح/الإلغاء ناقص",IF(AND(ISNUMBER($E44),OR($O44=ST_DRAFT,$O44=ST_APPR),COUNTIFS(Period_Close!$A:$A,YEAR($E44)*100+MONTH($E44),Period_Close!$B:$B,"مقفلة")&gt;0),"الفترة مقفلة: لا يسمح بمستند جديد",IF(COUNTIF(Suppliers!$A:$A,$C44)=0,"المورد غير معرف",IF($B44="","رقم فاتورة المورد ناقص",IF($Z44=1,"فاتورة مكررة (نفس المورد ونفس الرقم)",IF(NOT(ISNUMBER($D44)),"تاريخ الفاتورة ناقص",IF($V44="?","نوع المستند غير معرف",IF(COUNTIFS(COA!$A:$A,$G44,COA!$K:$K,"نعم",COA!$R:$R,1)&lt;&gt;1,"حساب مدين غير مسموح في المشتريات",IF(NOT(COUNTIF(Locations!$A:$A,$H44)&gt;0),"جهة الاستلام غير معرفة",IF(NOT(COUNTIF(Cost_Centers!$A:$A,$I44)&gt;0),"مركز التكلفة غير معرف",IF(NOT(N($J44)&gt;0),"الصافي يجب أن يكون أكبر من صفر",IF(AND(N($K44)&gt;0,S_VATOn&lt;&gt;"نعم"),"الضريبة غير مفعلة في Tax_Settings",IF(AND($L44&lt;&gt;"",COUNTIFS(COA!$A:$A,$AA44,COA!$R:$R,1)&lt;&gt;1),"خزينة الدفع الفوري غير صالحة",IF(AND($L44&lt;&gt;"",$V44="CN"),"الإشعار الدائن لا يُسدَّد فوريًا",IF(AND($V44="INV",$M44="",$N44="",$S44=""),"فاتورة بدون مرجع (أمر شراء/استلام/مرفق)",""))))))))))))))))))))))))))</f>
        <v/>
      </c>
      <c r="AF44" s="32">
        <f>IF($AD44=1,IF($AE44&lt;&gt;"",1,0),0)</f>
        <v/>
      </c>
      <c r="AG44" s="32">
        <f>IF(AND($AD44=1,$AF44=0,$O44=ST_POST),1,0)</f>
        <v/>
      </c>
    </row>
    <row r="45">
      <c r="A45" s="29" t="n"/>
      <c r="B45" s="29" t="n"/>
      <c r="C45" s="39" t="n"/>
      <c r="D45" s="31" t="n"/>
      <c r="E45" s="31" t="n"/>
      <c r="F45" s="29" t="n"/>
      <c r="G45" s="39" t="n"/>
      <c r="H45" s="39" t="n"/>
      <c r="I45" s="39" t="n"/>
      <c r="J45" s="42" t="n"/>
      <c r="K45" s="42" t="n"/>
      <c r="L45" s="39" t="n"/>
      <c r="M45" s="29" t="n"/>
      <c r="N45" s="29" t="n"/>
      <c r="O45" s="39" t="n"/>
      <c r="P45" s="29" t="n"/>
      <c r="Q45" s="29" t="n"/>
      <c r="R45" s="29" t="n"/>
      <c r="S45" s="29" t="n"/>
      <c r="T45" s="29" t="n"/>
      <c r="U45" s="29" t="n"/>
      <c r="V45" s="32">
        <f>IF($AD45=1,IFERROR(INDEX(Lists!$K$5:$K$7,MATCH($F45,Lists!$J$5:$J$7,0)),"?"),"")</f>
        <v/>
      </c>
      <c r="W45" s="43">
        <f>IF($AD45=1,$J45+$K45,"")</f>
        <v/>
      </c>
      <c r="X45" s="32">
        <f>IF($AD45=1,IFERROR(INDEX(Suppliers!$D:$D,MATCH($C45,Suppliers!$A:$A,0)),"؟"),"")</f>
        <v/>
      </c>
      <c r="Y45" s="33">
        <f>IF($AD45=1,IF(AND(ISNUMBER($D45),ISNUMBER($X45)),$D45+$X45,""),"")</f>
        <v/>
      </c>
      <c r="Z45" s="44">
        <f>IF($AD45=1,IF(AND($O45&lt;&gt;ST_REV,$O45&lt;&gt;ST_CANC,COUNTIFS($C$4:$C44,$C45,$B$4:$B44,$B45,$O$4:$O44,"&lt;&gt;"&amp;ST_REV,$O$4:$O44,"&lt;&gt;"&amp;ST_CANC)&gt;0),1,0),"")</f>
        <v/>
      </c>
      <c r="AA45" s="32">
        <f>IF(AND($AD45=1,$L45&lt;&gt;""),IFERROR(INDEX(Treasuries!$E:$E,MATCH($L45,Treasuries!$A:$A,0)),"؟"),"")</f>
        <v/>
      </c>
      <c r="AB45" s="32">
        <f>IF($AD45=1,IFERROR(IF(INDEX(COA!$I:$I,MATCH($G45,COA!$A:$A,0))="","OPERATING",INDEX(COA!$I:$I,MATCH($G45,COA!$A:$A,0))),"OPERATING"),"")</f>
        <v/>
      </c>
      <c r="AC45" s="43">
        <f>IF($AD45=1,IF(AND($V45&lt;&gt;"CN",$L45=""),$W45,0),"")</f>
        <v/>
      </c>
      <c r="AD45" s="32">
        <f>IF(COUNTA($A45:$U45)&gt;0,1,0)</f>
        <v/>
      </c>
      <c r="AE45" s="32">
        <f>IF($AD45=0,"",IF($A45="","رقم المستند ناقص",IF(COUNTIF(Doc_Register!$A:$A,$A45)&gt;1,"رقم مستند مكرر في السجل المركزي",IF(LEFT($A45,LEN("SINV")+1)&lt;&gt;"SINV"&amp;"-","بادئة الرقم لا تطابق نوع المستند",IF(NOT(ISNUMBER($E45)),"التاريخ ناقص أو غير صحيح",IF($O45="","حالة المستند ناقصة",IF($P45="","اسم المُعِد ناقص",IF(AND(OR($O45=ST_APPR,$O45=ST_POST),$Q45=""),"لا يوجد معتمد",IF(AND($Q45&lt;&gt;"",$Q45=$P45),"المُعِد والمعتمد نفس الشخص (فصل المهام)",IF(AND($O45=ST_POST,$R45=""),"اسم المحاسب المرحِّل ناقص",IF(AND($O45=ST_POST,$R45&lt;&gt;"",OR($R45=$P45,$R45=$Q45)),"المرحِّل يجب أن يختلف عن المُعِد والمعتمد",IF(AND($O45=ST_REV,$T45=""),"مرجع التصحيح/الإلغاء ناقص",IF(AND(ISNUMBER($E45),OR($O45=ST_DRAFT,$O45=ST_APPR),COUNTIFS(Period_Close!$A:$A,YEAR($E45)*100+MONTH($E45),Period_Close!$B:$B,"مقفلة")&gt;0),"الفترة مقفلة: لا يسمح بمستند جديد",IF(COUNTIF(Suppliers!$A:$A,$C45)=0,"المورد غير معرف",IF($B45="","رقم فاتورة المورد ناقص",IF($Z45=1,"فاتورة مكررة (نفس المورد ونفس الرقم)",IF(NOT(ISNUMBER($D45)),"تاريخ الفاتورة ناقص",IF($V45="?","نوع المستند غير معرف",IF(COUNTIFS(COA!$A:$A,$G45,COA!$K:$K,"نعم",COA!$R:$R,1)&lt;&gt;1,"حساب مدين غير مسموح في المشتريات",IF(NOT(COUNTIF(Locations!$A:$A,$H45)&gt;0),"جهة الاستلام غير معرفة",IF(NOT(COUNTIF(Cost_Centers!$A:$A,$I45)&gt;0),"مركز التكلفة غير معرف",IF(NOT(N($J45)&gt;0),"الصافي يجب أن يكون أكبر من صفر",IF(AND(N($K45)&gt;0,S_VATOn&lt;&gt;"نعم"),"الضريبة غير مفعلة في Tax_Settings",IF(AND($L45&lt;&gt;"",COUNTIFS(COA!$A:$A,$AA45,COA!$R:$R,1)&lt;&gt;1),"خزينة الدفع الفوري غير صالحة",IF(AND($L45&lt;&gt;"",$V45="CN"),"الإشعار الدائن لا يُسدَّد فوريًا",IF(AND($V45="INV",$M45="",$N45="",$S45=""),"فاتورة بدون مرجع (أمر شراء/استلام/مرفق)",""))))))))))))))))))))))))))</f>
        <v/>
      </c>
      <c r="AF45" s="32">
        <f>IF($AD45=1,IF($AE45&lt;&gt;"",1,0),0)</f>
        <v/>
      </c>
      <c r="AG45" s="32">
        <f>IF(AND($AD45=1,$AF45=0,$O45=ST_POST),1,0)</f>
        <v/>
      </c>
    </row>
    <row r="46">
      <c r="A46" s="29" t="n"/>
      <c r="B46" s="29" t="n"/>
      <c r="C46" s="39" t="n"/>
      <c r="D46" s="31" t="n"/>
      <c r="E46" s="31" t="n"/>
      <c r="F46" s="29" t="n"/>
      <c r="G46" s="39" t="n"/>
      <c r="H46" s="39" t="n"/>
      <c r="I46" s="39" t="n"/>
      <c r="J46" s="42" t="n"/>
      <c r="K46" s="42" t="n"/>
      <c r="L46" s="39" t="n"/>
      <c r="M46" s="29" t="n"/>
      <c r="N46" s="29" t="n"/>
      <c r="O46" s="39" t="n"/>
      <c r="P46" s="29" t="n"/>
      <c r="Q46" s="29" t="n"/>
      <c r="R46" s="29" t="n"/>
      <c r="S46" s="29" t="n"/>
      <c r="T46" s="29" t="n"/>
      <c r="U46" s="29" t="n"/>
      <c r="V46" s="32">
        <f>IF($AD46=1,IFERROR(INDEX(Lists!$K$5:$K$7,MATCH($F46,Lists!$J$5:$J$7,0)),"?"),"")</f>
        <v/>
      </c>
      <c r="W46" s="43">
        <f>IF($AD46=1,$J46+$K46,"")</f>
        <v/>
      </c>
      <c r="X46" s="32">
        <f>IF($AD46=1,IFERROR(INDEX(Suppliers!$D:$D,MATCH($C46,Suppliers!$A:$A,0)),"؟"),"")</f>
        <v/>
      </c>
      <c r="Y46" s="33">
        <f>IF($AD46=1,IF(AND(ISNUMBER($D46),ISNUMBER($X46)),$D46+$X46,""),"")</f>
        <v/>
      </c>
      <c r="Z46" s="44">
        <f>IF($AD46=1,IF(AND($O46&lt;&gt;ST_REV,$O46&lt;&gt;ST_CANC,COUNTIFS($C$4:$C45,$C46,$B$4:$B45,$B46,$O$4:$O45,"&lt;&gt;"&amp;ST_REV,$O$4:$O45,"&lt;&gt;"&amp;ST_CANC)&gt;0),1,0),"")</f>
        <v/>
      </c>
      <c r="AA46" s="32">
        <f>IF(AND($AD46=1,$L46&lt;&gt;""),IFERROR(INDEX(Treasuries!$E:$E,MATCH($L46,Treasuries!$A:$A,0)),"؟"),"")</f>
        <v/>
      </c>
      <c r="AB46" s="32">
        <f>IF($AD46=1,IFERROR(IF(INDEX(COA!$I:$I,MATCH($G46,COA!$A:$A,0))="","OPERATING",INDEX(COA!$I:$I,MATCH($G46,COA!$A:$A,0))),"OPERATING"),"")</f>
        <v/>
      </c>
      <c r="AC46" s="43">
        <f>IF($AD46=1,IF(AND($V46&lt;&gt;"CN",$L46=""),$W46,0),"")</f>
        <v/>
      </c>
      <c r="AD46" s="32">
        <f>IF(COUNTA($A46:$U46)&gt;0,1,0)</f>
        <v/>
      </c>
      <c r="AE46" s="32">
        <f>IF($AD46=0,"",IF($A46="","رقم المستند ناقص",IF(COUNTIF(Doc_Register!$A:$A,$A46)&gt;1,"رقم مستند مكرر في السجل المركزي",IF(LEFT($A46,LEN("SINV")+1)&lt;&gt;"SINV"&amp;"-","بادئة الرقم لا تطابق نوع المستند",IF(NOT(ISNUMBER($E46)),"التاريخ ناقص أو غير صحيح",IF($O46="","حالة المستند ناقصة",IF($P46="","اسم المُعِد ناقص",IF(AND(OR($O46=ST_APPR,$O46=ST_POST),$Q46=""),"لا يوجد معتمد",IF(AND($Q46&lt;&gt;"",$Q46=$P46),"المُعِد والمعتمد نفس الشخص (فصل المهام)",IF(AND($O46=ST_POST,$R46=""),"اسم المحاسب المرحِّل ناقص",IF(AND($O46=ST_POST,$R46&lt;&gt;"",OR($R46=$P46,$R46=$Q46)),"المرحِّل يجب أن يختلف عن المُعِد والمعتمد",IF(AND($O46=ST_REV,$T46=""),"مرجع التصحيح/الإلغاء ناقص",IF(AND(ISNUMBER($E46),OR($O46=ST_DRAFT,$O46=ST_APPR),COUNTIFS(Period_Close!$A:$A,YEAR($E46)*100+MONTH($E46),Period_Close!$B:$B,"مقفلة")&gt;0),"الفترة مقفلة: لا يسمح بمستند جديد",IF(COUNTIF(Suppliers!$A:$A,$C46)=0,"المورد غير معرف",IF($B46="","رقم فاتورة المورد ناقص",IF($Z46=1,"فاتورة مكررة (نفس المورد ونفس الرقم)",IF(NOT(ISNUMBER($D46)),"تاريخ الفاتورة ناقص",IF($V46="?","نوع المستند غير معرف",IF(COUNTIFS(COA!$A:$A,$G46,COA!$K:$K,"نعم",COA!$R:$R,1)&lt;&gt;1,"حساب مدين غير مسموح في المشتريات",IF(NOT(COUNTIF(Locations!$A:$A,$H46)&gt;0),"جهة الاستلام غير معرفة",IF(NOT(COUNTIF(Cost_Centers!$A:$A,$I46)&gt;0),"مركز التكلفة غير معرف",IF(NOT(N($J46)&gt;0),"الصافي يجب أن يكون أكبر من صفر",IF(AND(N($K46)&gt;0,S_VATOn&lt;&gt;"نعم"),"الضريبة غير مفعلة في Tax_Settings",IF(AND($L46&lt;&gt;"",COUNTIFS(COA!$A:$A,$AA46,COA!$R:$R,1)&lt;&gt;1),"خزينة الدفع الفوري غير صالحة",IF(AND($L46&lt;&gt;"",$V46="CN"),"الإشعار الدائن لا يُسدَّد فوريًا",IF(AND($V46="INV",$M46="",$N46="",$S46=""),"فاتورة بدون مرجع (أمر شراء/استلام/مرفق)",""))))))))))))))))))))))))))</f>
        <v/>
      </c>
      <c r="AF46" s="32">
        <f>IF($AD46=1,IF($AE46&lt;&gt;"",1,0),0)</f>
        <v/>
      </c>
      <c r="AG46" s="32">
        <f>IF(AND($AD46=1,$AF46=0,$O46=ST_POST),1,0)</f>
        <v/>
      </c>
    </row>
    <row r="47">
      <c r="A47" s="29" t="n"/>
      <c r="B47" s="29" t="n"/>
      <c r="C47" s="39" t="n"/>
      <c r="D47" s="31" t="n"/>
      <c r="E47" s="31" t="n"/>
      <c r="F47" s="29" t="n"/>
      <c r="G47" s="39" t="n"/>
      <c r="H47" s="39" t="n"/>
      <c r="I47" s="39" t="n"/>
      <c r="J47" s="42" t="n"/>
      <c r="K47" s="42" t="n"/>
      <c r="L47" s="39" t="n"/>
      <c r="M47" s="29" t="n"/>
      <c r="N47" s="29" t="n"/>
      <c r="O47" s="39" t="n"/>
      <c r="P47" s="29" t="n"/>
      <c r="Q47" s="29" t="n"/>
      <c r="R47" s="29" t="n"/>
      <c r="S47" s="29" t="n"/>
      <c r="T47" s="29" t="n"/>
      <c r="U47" s="29" t="n"/>
      <c r="V47" s="32">
        <f>IF($AD47=1,IFERROR(INDEX(Lists!$K$5:$K$7,MATCH($F47,Lists!$J$5:$J$7,0)),"?"),"")</f>
        <v/>
      </c>
      <c r="W47" s="43">
        <f>IF($AD47=1,$J47+$K47,"")</f>
        <v/>
      </c>
      <c r="X47" s="32">
        <f>IF($AD47=1,IFERROR(INDEX(Suppliers!$D:$D,MATCH($C47,Suppliers!$A:$A,0)),"؟"),"")</f>
        <v/>
      </c>
      <c r="Y47" s="33">
        <f>IF($AD47=1,IF(AND(ISNUMBER($D47),ISNUMBER($X47)),$D47+$X47,""),"")</f>
        <v/>
      </c>
      <c r="Z47" s="44">
        <f>IF($AD47=1,IF(AND($O47&lt;&gt;ST_REV,$O47&lt;&gt;ST_CANC,COUNTIFS($C$4:$C46,$C47,$B$4:$B46,$B47,$O$4:$O46,"&lt;&gt;"&amp;ST_REV,$O$4:$O46,"&lt;&gt;"&amp;ST_CANC)&gt;0),1,0),"")</f>
        <v/>
      </c>
      <c r="AA47" s="32">
        <f>IF(AND($AD47=1,$L47&lt;&gt;""),IFERROR(INDEX(Treasuries!$E:$E,MATCH($L47,Treasuries!$A:$A,0)),"؟"),"")</f>
        <v/>
      </c>
      <c r="AB47" s="32">
        <f>IF($AD47=1,IFERROR(IF(INDEX(COA!$I:$I,MATCH($G47,COA!$A:$A,0))="","OPERATING",INDEX(COA!$I:$I,MATCH($G47,COA!$A:$A,0))),"OPERATING"),"")</f>
        <v/>
      </c>
      <c r="AC47" s="43">
        <f>IF($AD47=1,IF(AND($V47&lt;&gt;"CN",$L47=""),$W47,0),"")</f>
        <v/>
      </c>
      <c r="AD47" s="32">
        <f>IF(COUNTA($A47:$U47)&gt;0,1,0)</f>
        <v/>
      </c>
      <c r="AE47" s="32">
        <f>IF($AD47=0,"",IF($A47="","رقم المستند ناقص",IF(COUNTIF(Doc_Register!$A:$A,$A47)&gt;1,"رقم مستند مكرر في السجل المركزي",IF(LEFT($A47,LEN("SINV")+1)&lt;&gt;"SINV"&amp;"-","بادئة الرقم لا تطابق نوع المستند",IF(NOT(ISNUMBER($E47)),"التاريخ ناقص أو غير صحيح",IF($O47="","حالة المستند ناقصة",IF($P47="","اسم المُعِد ناقص",IF(AND(OR($O47=ST_APPR,$O47=ST_POST),$Q47=""),"لا يوجد معتمد",IF(AND($Q47&lt;&gt;"",$Q47=$P47),"المُعِد والمعتمد نفس الشخص (فصل المهام)",IF(AND($O47=ST_POST,$R47=""),"اسم المحاسب المرحِّل ناقص",IF(AND($O47=ST_POST,$R47&lt;&gt;"",OR($R47=$P47,$R47=$Q47)),"المرحِّل يجب أن يختلف عن المُعِد والمعتمد",IF(AND($O47=ST_REV,$T47=""),"مرجع التصحيح/الإلغاء ناقص",IF(AND(ISNUMBER($E47),OR($O47=ST_DRAFT,$O47=ST_APPR),COUNTIFS(Period_Close!$A:$A,YEAR($E47)*100+MONTH($E47),Period_Close!$B:$B,"مقفلة")&gt;0),"الفترة مقفلة: لا يسمح بمستند جديد",IF(COUNTIF(Suppliers!$A:$A,$C47)=0,"المورد غير معرف",IF($B47="","رقم فاتورة المورد ناقص",IF($Z47=1,"فاتورة مكررة (نفس المورد ونفس الرقم)",IF(NOT(ISNUMBER($D47)),"تاريخ الفاتورة ناقص",IF($V47="?","نوع المستند غير معرف",IF(COUNTIFS(COA!$A:$A,$G47,COA!$K:$K,"نعم",COA!$R:$R,1)&lt;&gt;1,"حساب مدين غير مسموح في المشتريات",IF(NOT(COUNTIF(Locations!$A:$A,$H47)&gt;0),"جهة الاستلام غير معرفة",IF(NOT(COUNTIF(Cost_Centers!$A:$A,$I47)&gt;0),"مركز التكلفة غير معرف",IF(NOT(N($J47)&gt;0),"الصافي يجب أن يكون أكبر من صفر",IF(AND(N($K47)&gt;0,S_VATOn&lt;&gt;"نعم"),"الضريبة غير مفعلة في Tax_Settings",IF(AND($L47&lt;&gt;"",COUNTIFS(COA!$A:$A,$AA47,COA!$R:$R,1)&lt;&gt;1),"خزينة الدفع الفوري غير صالحة",IF(AND($L47&lt;&gt;"",$V47="CN"),"الإشعار الدائن لا يُسدَّد فوريًا",IF(AND($V47="INV",$M47="",$N47="",$S47=""),"فاتورة بدون مرجع (أمر شراء/استلام/مرفق)",""))))))))))))))))))))))))))</f>
        <v/>
      </c>
      <c r="AF47" s="32">
        <f>IF($AD47=1,IF($AE47&lt;&gt;"",1,0),0)</f>
        <v/>
      </c>
      <c r="AG47" s="32">
        <f>IF(AND($AD47=1,$AF47=0,$O47=ST_POST),1,0)</f>
        <v/>
      </c>
    </row>
    <row r="48">
      <c r="A48" s="29" t="n"/>
      <c r="B48" s="29" t="n"/>
      <c r="C48" s="39" t="n"/>
      <c r="D48" s="31" t="n"/>
      <c r="E48" s="31" t="n"/>
      <c r="F48" s="29" t="n"/>
      <c r="G48" s="39" t="n"/>
      <c r="H48" s="39" t="n"/>
      <c r="I48" s="39" t="n"/>
      <c r="J48" s="42" t="n"/>
      <c r="K48" s="42" t="n"/>
      <c r="L48" s="39" t="n"/>
      <c r="M48" s="29" t="n"/>
      <c r="N48" s="29" t="n"/>
      <c r="O48" s="39" t="n"/>
      <c r="P48" s="29" t="n"/>
      <c r="Q48" s="29" t="n"/>
      <c r="R48" s="29" t="n"/>
      <c r="S48" s="29" t="n"/>
      <c r="T48" s="29" t="n"/>
      <c r="U48" s="29" t="n"/>
      <c r="V48" s="32">
        <f>IF($AD48=1,IFERROR(INDEX(Lists!$K$5:$K$7,MATCH($F48,Lists!$J$5:$J$7,0)),"?"),"")</f>
        <v/>
      </c>
      <c r="W48" s="43">
        <f>IF($AD48=1,$J48+$K48,"")</f>
        <v/>
      </c>
      <c r="X48" s="32">
        <f>IF($AD48=1,IFERROR(INDEX(Suppliers!$D:$D,MATCH($C48,Suppliers!$A:$A,0)),"؟"),"")</f>
        <v/>
      </c>
      <c r="Y48" s="33">
        <f>IF($AD48=1,IF(AND(ISNUMBER($D48),ISNUMBER($X48)),$D48+$X48,""),"")</f>
        <v/>
      </c>
      <c r="Z48" s="44">
        <f>IF($AD48=1,IF(AND($O48&lt;&gt;ST_REV,$O48&lt;&gt;ST_CANC,COUNTIFS($C$4:$C47,$C48,$B$4:$B47,$B48,$O$4:$O47,"&lt;&gt;"&amp;ST_REV,$O$4:$O47,"&lt;&gt;"&amp;ST_CANC)&gt;0),1,0),"")</f>
        <v/>
      </c>
      <c r="AA48" s="32">
        <f>IF(AND($AD48=1,$L48&lt;&gt;""),IFERROR(INDEX(Treasuries!$E:$E,MATCH($L48,Treasuries!$A:$A,0)),"؟"),"")</f>
        <v/>
      </c>
      <c r="AB48" s="32">
        <f>IF($AD48=1,IFERROR(IF(INDEX(COA!$I:$I,MATCH($G48,COA!$A:$A,0))="","OPERATING",INDEX(COA!$I:$I,MATCH($G48,COA!$A:$A,0))),"OPERATING"),"")</f>
        <v/>
      </c>
      <c r="AC48" s="43">
        <f>IF($AD48=1,IF(AND($V48&lt;&gt;"CN",$L48=""),$W48,0),"")</f>
        <v/>
      </c>
      <c r="AD48" s="32">
        <f>IF(COUNTA($A48:$U48)&gt;0,1,0)</f>
        <v/>
      </c>
      <c r="AE48" s="32">
        <f>IF($AD48=0,"",IF($A48="","رقم المستند ناقص",IF(COUNTIF(Doc_Register!$A:$A,$A48)&gt;1,"رقم مستند مكرر في السجل المركزي",IF(LEFT($A48,LEN("SINV")+1)&lt;&gt;"SINV"&amp;"-","بادئة الرقم لا تطابق نوع المستند",IF(NOT(ISNUMBER($E48)),"التاريخ ناقص أو غير صحيح",IF($O48="","حالة المستند ناقصة",IF($P48="","اسم المُعِد ناقص",IF(AND(OR($O48=ST_APPR,$O48=ST_POST),$Q48=""),"لا يوجد معتمد",IF(AND($Q48&lt;&gt;"",$Q48=$P48),"المُعِد والمعتمد نفس الشخص (فصل المهام)",IF(AND($O48=ST_POST,$R48=""),"اسم المحاسب المرحِّل ناقص",IF(AND($O48=ST_POST,$R48&lt;&gt;"",OR($R48=$P48,$R48=$Q48)),"المرحِّل يجب أن يختلف عن المُعِد والمعتمد",IF(AND($O48=ST_REV,$T48=""),"مرجع التصحيح/الإلغاء ناقص",IF(AND(ISNUMBER($E48),OR($O48=ST_DRAFT,$O48=ST_APPR),COUNTIFS(Period_Close!$A:$A,YEAR($E48)*100+MONTH($E48),Period_Close!$B:$B,"مقفلة")&gt;0),"الفترة مقفلة: لا يسمح بمستند جديد",IF(COUNTIF(Suppliers!$A:$A,$C48)=0,"المورد غير معرف",IF($B48="","رقم فاتورة المورد ناقص",IF($Z48=1,"فاتورة مكررة (نفس المورد ونفس الرقم)",IF(NOT(ISNUMBER($D48)),"تاريخ الفاتورة ناقص",IF($V48="?","نوع المستند غير معرف",IF(COUNTIFS(COA!$A:$A,$G48,COA!$K:$K,"نعم",COA!$R:$R,1)&lt;&gt;1,"حساب مدين غير مسموح في المشتريات",IF(NOT(COUNTIF(Locations!$A:$A,$H48)&gt;0),"جهة الاستلام غير معرفة",IF(NOT(COUNTIF(Cost_Centers!$A:$A,$I48)&gt;0),"مركز التكلفة غير معرف",IF(NOT(N($J48)&gt;0),"الصافي يجب أن يكون أكبر من صفر",IF(AND(N($K48)&gt;0,S_VATOn&lt;&gt;"نعم"),"الضريبة غير مفعلة في Tax_Settings",IF(AND($L48&lt;&gt;"",COUNTIFS(COA!$A:$A,$AA48,COA!$R:$R,1)&lt;&gt;1),"خزينة الدفع الفوري غير صالحة",IF(AND($L48&lt;&gt;"",$V48="CN"),"الإشعار الدائن لا يُسدَّد فوريًا",IF(AND($V48="INV",$M48="",$N48="",$S48=""),"فاتورة بدون مرجع (أمر شراء/استلام/مرفق)",""))))))))))))))))))))))))))</f>
        <v/>
      </c>
      <c r="AF48" s="32">
        <f>IF($AD48=1,IF($AE48&lt;&gt;"",1,0),0)</f>
        <v/>
      </c>
      <c r="AG48" s="32">
        <f>IF(AND($AD48=1,$AF48=0,$O48=ST_POST),1,0)</f>
        <v/>
      </c>
    </row>
    <row r="49">
      <c r="A49" s="29" t="n"/>
      <c r="B49" s="29" t="n"/>
      <c r="C49" s="39" t="n"/>
      <c r="D49" s="31" t="n"/>
      <c r="E49" s="31" t="n"/>
      <c r="F49" s="29" t="n"/>
      <c r="G49" s="39" t="n"/>
      <c r="H49" s="39" t="n"/>
      <c r="I49" s="39" t="n"/>
      <c r="J49" s="42" t="n"/>
      <c r="K49" s="42" t="n"/>
      <c r="L49" s="39" t="n"/>
      <c r="M49" s="29" t="n"/>
      <c r="N49" s="29" t="n"/>
      <c r="O49" s="39" t="n"/>
      <c r="P49" s="29" t="n"/>
      <c r="Q49" s="29" t="n"/>
      <c r="R49" s="29" t="n"/>
      <c r="S49" s="29" t="n"/>
      <c r="T49" s="29" t="n"/>
      <c r="U49" s="29" t="n"/>
      <c r="V49" s="32">
        <f>IF($AD49=1,IFERROR(INDEX(Lists!$K$5:$K$7,MATCH($F49,Lists!$J$5:$J$7,0)),"?"),"")</f>
        <v/>
      </c>
      <c r="W49" s="43">
        <f>IF($AD49=1,$J49+$K49,"")</f>
        <v/>
      </c>
      <c r="X49" s="32">
        <f>IF($AD49=1,IFERROR(INDEX(Suppliers!$D:$D,MATCH($C49,Suppliers!$A:$A,0)),"؟"),"")</f>
        <v/>
      </c>
      <c r="Y49" s="33">
        <f>IF($AD49=1,IF(AND(ISNUMBER($D49),ISNUMBER($X49)),$D49+$X49,""),"")</f>
        <v/>
      </c>
      <c r="Z49" s="44">
        <f>IF($AD49=1,IF(AND($O49&lt;&gt;ST_REV,$O49&lt;&gt;ST_CANC,COUNTIFS($C$4:$C48,$C49,$B$4:$B48,$B49,$O$4:$O48,"&lt;&gt;"&amp;ST_REV,$O$4:$O48,"&lt;&gt;"&amp;ST_CANC)&gt;0),1,0),"")</f>
        <v/>
      </c>
      <c r="AA49" s="32">
        <f>IF(AND($AD49=1,$L49&lt;&gt;""),IFERROR(INDEX(Treasuries!$E:$E,MATCH($L49,Treasuries!$A:$A,0)),"؟"),"")</f>
        <v/>
      </c>
      <c r="AB49" s="32">
        <f>IF($AD49=1,IFERROR(IF(INDEX(COA!$I:$I,MATCH($G49,COA!$A:$A,0))="","OPERATING",INDEX(COA!$I:$I,MATCH($G49,COA!$A:$A,0))),"OPERATING"),"")</f>
        <v/>
      </c>
      <c r="AC49" s="43">
        <f>IF($AD49=1,IF(AND($V49&lt;&gt;"CN",$L49=""),$W49,0),"")</f>
        <v/>
      </c>
      <c r="AD49" s="32">
        <f>IF(COUNTA($A49:$U49)&gt;0,1,0)</f>
        <v/>
      </c>
      <c r="AE49" s="32">
        <f>IF($AD49=0,"",IF($A49="","رقم المستند ناقص",IF(COUNTIF(Doc_Register!$A:$A,$A49)&gt;1,"رقم مستند مكرر في السجل المركزي",IF(LEFT($A49,LEN("SINV")+1)&lt;&gt;"SINV"&amp;"-","بادئة الرقم لا تطابق نوع المستند",IF(NOT(ISNUMBER($E49)),"التاريخ ناقص أو غير صحيح",IF($O49="","حالة المستند ناقصة",IF($P49="","اسم المُعِد ناقص",IF(AND(OR($O49=ST_APPR,$O49=ST_POST),$Q49=""),"لا يوجد معتمد",IF(AND($Q49&lt;&gt;"",$Q49=$P49),"المُعِد والمعتمد نفس الشخص (فصل المهام)",IF(AND($O49=ST_POST,$R49=""),"اسم المحاسب المرحِّل ناقص",IF(AND($O49=ST_POST,$R49&lt;&gt;"",OR($R49=$P49,$R49=$Q49)),"المرحِّل يجب أن يختلف عن المُعِد والمعتمد",IF(AND($O49=ST_REV,$T49=""),"مرجع التصحيح/الإلغاء ناقص",IF(AND(ISNUMBER($E49),OR($O49=ST_DRAFT,$O49=ST_APPR),COUNTIFS(Period_Close!$A:$A,YEAR($E49)*100+MONTH($E49),Period_Close!$B:$B,"مقفلة")&gt;0),"الفترة مقفلة: لا يسمح بمستند جديد",IF(COUNTIF(Suppliers!$A:$A,$C49)=0,"المورد غير معرف",IF($B49="","رقم فاتورة المورد ناقص",IF($Z49=1,"فاتورة مكررة (نفس المورد ونفس الرقم)",IF(NOT(ISNUMBER($D49)),"تاريخ الفاتورة ناقص",IF($V49="?","نوع المستند غير معرف",IF(COUNTIFS(COA!$A:$A,$G49,COA!$K:$K,"نعم",COA!$R:$R,1)&lt;&gt;1,"حساب مدين غير مسموح في المشتريات",IF(NOT(COUNTIF(Locations!$A:$A,$H49)&gt;0),"جهة الاستلام غير معرفة",IF(NOT(COUNTIF(Cost_Centers!$A:$A,$I49)&gt;0),"مركز التكلفة غير معرف",IF(NOT(N($J49)&gt;0),"الصافي يجب أن يكون أكبر من صفر",IF(AND(N($K49)&gt;0,S_VATOn&lt;&gt;"نعم"),"الضريبة غير مفعلة في Tax_Settings",IF(AND($L49&lt;&gt;"",COUNTIFS(COA!$A:$A,$AA49,COA!$R:$R,1)&lt;&gt;1),"خزينة الدفع الفوري غير صالحة",IF(AND($L49&lt;&gt;"",$V49="CN"),"الإشعار الدائن لا يُسدَّد فوريًا",IF(AND($V49="INV",$M49="",$N49="",$S49=""),"فاتورة بدون مرجع (أمر شراء/استلام/مرفق)",""))))))))))))))))))))))))))</f>
        <v/>
      </c>
      <c r="AF49" s="32">
        <f>IF($AD49=1,IF($AE49&lt;&gt;"",1,0),0)</f>
        <v/>
      </c>
      <c r="AG49" s="32">
        <f>IF(AND($AD49=1,$AF49=0,$O49=ST_POST),1,0)</f>
        <v/>
      </c>
    </row>
    <row r="50">
      <c r="A50" s="29" t="n"/>
      <c r="B50" s="29" t="n"/>
      <c r="C50" s="39" t="n"/>
      <c r="D50" s="31" t="n"/>
      <c r="E50" s="31" t="n"/>
      <c r="F50" s="29" t="n"/>
      <c r="G50" s="39" t="n"/>
      <c r="H50" s="39" t="n"/>
      <c r="I50" s="39" t="n"/>
      <c r="J50" s="42" t="n"/>
      <c r="K50" s="42" t="n"/>
      <c r="L50" s="39" t="n"/>
      <c r="M50" s="29" t="n"/>
      <c r="N50" s="29" t="n"/>
      <c r="O50" s="39" t="n"/>
      <c r="P50" s="29" t="n"/>
      <c r="Q50" s="29" t="n"/>
      <c r="R50" s="29" t="n"/>
      <c r="S50" s="29" t="n"/>
      <c r="T50" s="29" t="n"/>
      <c r="U50" s="29" t="n"/>
      <c r="V50" s="32">
        <f>IF($AD50=1,IFERROR(INDEX(Lists!$K$5:$K$7,MATCH($F50,Lists!$J$5:$J$7,0)),"?"),"")</f>
        <v/>
      </c>
      <c r="W50" s="43">
        <f>IF($AD50=1,$J50+$K50,"")</f>
        <v/>
      </c>
      <c r="X50" s="32">
        <f>IF($AD50=1,IFERROR(INDEX(Suppliers!$D:$D,MATCH($C50,Suppliers!$A:$A,0)),"؟"),"")</f>
        <v/>
      </c>
      <c r="Y50" s="33">
        <f>IF($AD50=1,IF(AND(ISNUMBER($D50),ISNUMBER($X50)),$D50+$X50,""),"")</f>
        <v/>
      </c>
      <c r="Z50" s="44">
        <f>IF($AD50=1,IF(AND($O50&lt;&gt;ST_REV,$O50&lt;&gt;ST_CANC,COUNTIFS($C$4:$C49,$C50,$B$4:$B49,$B50,$O$4:$O49,"&lt;&gt;"&amp;ST_REV,$O$4:$O49,"&lt;&gt;"&amp;ST_CANC)&gt;0),1,0),"")</f>
        <v/>
      </c>
      <c r="AA50" s="32">
        <f>IF(AND($AD50=1,$L50&lt;&gt;""),IFERROR(INDEX(Treasuries!$E:$E,MATCH($L50,Treasuries!$A:$A,0)),"؟"),"")</f>
        <v/>
      </c>
      <c r="AB50" s="32">
        <f>IF($AD50=1,IFERROR(IF(INDEX(COA!$I:$I,MATCH($G50,COA!$A:$A,0))="","OPERATING",INDEX(COA!$I:$I,MATCH($G50,COA!$A:$A,0))),"OPERATING"),"")</f>
        <v/>
      </c>
      <c r="AC50" s="43">
        <f>IF($AD50=1,IF(AND($V50&lt;&gt;"CN",$L50=""),$W50,0),"")</f>
        <v/>
      </c>
      <c r="AD50" s="32">
        <f>IF(COUNTA($A50:$U50)&gt;0,1,0)</f>
        <v/>
      </c>
      <c r="AE50" s="32">
        <f>IF($AD50=0,"",IF($A50="","رقم المستند ناقص",IF(COUNTIF(Doc_Register!$A:$A,$A50)&gt;1,"رقم مستند مكرر في السجل المركزي",IF(LEFT($A50,LEN("SINV")+1)&lt;&gt;"SINV"&amp;"-","بادئة الرقم لا تطابق نوع المستند",IF(NOT(ISNUMBER($E50)),"التاريخ ناقص أو غير صحيح",IF($O50="","حالة المستند ناقصة",IF($P50="","اسم المُعِد ناقص",IF(AND(OR($O50=ST_APPR,$O50=ST_POST),$Q50=""),"لا يوجد معتمد",IF(AND($Q50&lt;&gt;"",$Q50=$P50),"المُعِد والمعتمد نفس الشخص (فصل المهام)",IF(AND($O50=ST_POST,$R50=""),"اسم المحاسب المرحِّل ناقص",IF(AND($O50=ST_POST,$R50&lt;&gt;"",OR($R50=$P50,$R50=$Q50)),"المرحِّل يجب أن يختلف عن المُعِد والمعتمد",IF(AND($O50=ST_REV,$T50=""),"مرجع التصحيح/الإلغاء ناقص",IF(AND(ISNUMBER($E50),OR($O50=ST_DRAFT,$O50=ST_APPR),COUNTIFS(Period_Close!$A:$A,YEAR($E50)*100+MONTH($E50),Period_Close!$B:$B,"مقفلة")&gt;0),"الفترة مقفلة: لا يسمح بمستند جديد",IF(COUNTIF(Suppliers!$A:$A,$C50)=0,"المورد غير معرف",IF($B50="","رقم فاتورة المورد ناقص",IF($Z50=1,"فاتورة مكررة (نفس المورد ونفس الرقم)",IF(NOT(ISNUMBER($D50)),"تاريخ الفاتورة ناقص",IF($V50="?","نوع المستند غير معرف",IF(COUNTIFS(COA!$A:$A,$G50,COA!$K:$K,"نعم",COA!$R:$R,1)&lt;&gt;1,"حساب مدين غير مسموح في المشتريات",IF(NOT(COUNTIF(Locations!$A:$A,$H50)&gt;0),"جهة الاستلام غير معرفة",IF(NOT(COUNTIF(Cost_Centers!$A:$A,$I50)&gt;0),"مركز التكلفة غير معرف",IF(NOT(N($J50)&gt;0),"الصافي يجب أن يكون أكبر من صفر",IF(AND(N($K50)&gt;0,S_VATOn&lt;&gt;"نعم"),"الضريبة غير مفعلة في Tax_Settings",IF(AND($L50&lt;&gt;"",COUNTIFS(COA!$A:$A,$AA50,COA!$R:$R,1)&lt;&gt;1),"خزينة الدفع الفوري غير صالحة",IF(AND($L50&lt;&gt;"",$V50="CN"),"الإشعار الدائن لا يُسدَّد فوريًا",IF(AND($V50="INV",$M50="",$N50="",$S50=""),"فاتورة بدون مرجع (أمر شراء/استلام/مرفق)",""))))))))))))))))))))))))))</f>
        <v/>
      </c>
      <c r="AF50" s="32">
        <f>IF($AD50=1,IF($AE50&lt;&gt;"",1,0),0)</f>
        <v/>
      </c>
      <c r="AG50" s="32">
        <f>IF(AND($AD50=1,$AF50=0,$O50=ST_POST),1,0)</f>
        <v/>
      </c>
    </row>
    <row r="51">
      <c r="A51" s="29" t="n"/>
      <c r="B51" s="29" t="n"/>
      <c r="C51" s="39" t="n"/>
      <c r="D51" s="31" t="n"/>
      <c r="E51" s="31" t="n"/>
      <c r="F51" s="29" t="n"/>
      <c r="G51" s="39" t="n"/>
      <c r="H51" s="39" t="n"/>
      <c r="I51" s="39" t="n"/>
      <c r="J51" s="42" t="n"/>
      <c r="K51" s="42" t="n"/>
      <c r="L51" s="39" t="n"/>
      <c r="M51" s="29" t="n"/>
      <c r="N51" s="29" t="n"/>
      <c r="O51" s="39" t="n"/>
      <c r="P51" s="29" t="n"/>
      <c r="Q51" s="29" t="n"/>
      <c r="R51" s="29" t="n"/>
      <c r="S51" s="29" t="n"/>
      <c r="T51" s="29" t="n"/>
      <c r="U51" s="29" t="n"/>
      <c r="V51" s="32">
        <f>IF($AD51=1,IFERROR(INDEX(Lists!$K$5:$K$7,MATCH($F51,Lists!$J$5:$J$7,0)),"?"),"")</f>
        <v/>
      </c>
      <c r="W51" s="43">
        <f>IF($AD51=1,$J51+$K51,"")</f>
        <v/>
      </c>
      <c r="X51" s="32">
        <f>IF($AD51=1,IFERROR(INDEX(Suppliers!$D:$D,MATCH($C51,Suppliers!$A:$A,0)),"؟"),"")</f>
        <v/>
      </c>
      <c r="Y51" s="33">
        <f>IF($AD51=1,IF(AND(ISNUMBER($D51),ISNUMBER($X51)),$D51+$X51,""),"")</f>
        <v/>
      </c>
      <c r="Z51" s="44">
        <f>IF($AD51=1,IF(AND($O51&lt;&gt;ST_REV,$O51&lt;&gt;ST_CANC,COUNTIFS($C$4:$C50,$C51,$B$4:$B50,$B51,$O$4:$O50,"&lt;&gt;"&amp;ST_REV,$O$4:$O50,"&lt;&gt;"&amp;ST_CANC)&gt;0),1,0),"")</f>
        <v/>
      </c>
      <c r="AA51" s="32">
        <f>IF(AND($AD51=1,$L51&lt;&gt;""),IFERROR(INDEX(Treasuries!$E:$E,MATCH($L51,Treasuries!$A:$A,0)),"؟"),"")</f>
        <v/>
      </c>
      <c r="AB51" s="32">
        <f>IF($AD51=1,IFERROR(IF(INDEX(COA!$I:$I,MATCH($G51,COA!$A:$A,0))="","OPERATING",INDEX(COA!$I:$I,MATCH($G51,COA!$A:$A,0))),"OPERATING"),"")</f>
        <v/>
      </c>
      <c r="AC51" s="43">
        <f>IF($AD51=1,IF(AND($V51&lt;&gt;"CN",$L51=""),$W51,0),"")</f>
        <v/>
      </c>
      <c r="AD51" s="32">
        <f>IF(COUNTA($A51:$U51)&gt;0,1,0)</f>
        <v/>
      </c>
      <c r="AE51" s="32">
        <f>IF($AD51=0,"",IF($A51="","رقم المستند ناقص",IF(COUNTIF(Doc_Register!$A:$A,$A51)&gt;1,"رقم مستند مكرر في السجل المركزي",IF(LEFT($A51,LEN("SINV")+1)&lt;&gt;"SINV"&amp;"-","بادئة الرقم لا تطابق نوع المستند",IF(NOT(ISNUMBER($E51)),"التاريخ ناقص أو غير صحيح",IF($O51="","حالة المستند ناقصة",IF($P51="","اسم المُعِد ناقص",IF(AND(OR($O51=ST_APPR,$O51=ST_POST),$Q51=""),"لا يوجد معتمد",IF(AND($Q51&lt;&gt;"",$Q51=$P51),"المُعِد والمعتمد نفس الشخص (فصل المهام)",IF(AND($O51=ST_POST,$R51=""),"اسم المحاسب المرحِّل ناقص",IF(AND($O51=ST_POST,$R51&lt;&gt;"",OR($R51=$P51,$R51=$Q51)),"المرحِّل يجب أن يختلف عن المُعِد والمعتمد",IF(AND($O51=ST_REV,$T51=""),"مرجع التصحيح/الإلغاء ناقص",IF(AND(ISNUMBER($E51),OR($O51=ST_DRAFT,$O51=ST_APPR),COUNTIFS(Period_Close!$A:$A,YEAR($E51)*100+MONTH($E51),Period_Close!$B:$B,"مقفلة")&gt;0),"الفترة مقفلة: لا يسمح بمستند جديد",IF(COUNTIF(Suppliers!$A:$A,$C51)=0,"المورد غير معرف",IF($B51="","رقم فاتورة المورد ناقص",IF($Z51=1,"فاتورة مكررة (نفس المورد ونفس الرقم)",IF(NOT(ISNUMBER($D51)),"تاريخ الفاتورة ناقص",IF($V51="?","نوع المستند غير معرف",IF(COUNTIFS(COA!$A:$A,$G51,COA!$K:$K,"نعم",COA!$R:$R,1)&lt;&gt;1,"حساب مدين غير مسموح في المشتريات",IF(NOT(COUNTIF(Locations!$A:$A,$H51)&gt;0),"جهة الاستلام غير معرفة",IF(NOT(COUNTIF(Cost_Centers!$A:$A,$I51)&gt;0),"مركز التكلفة غير معرف",IF(NOT(N($J51)&gt;0),"الصافي يجب أن يكون أكبر من صفر",IF(AND(N($K51)&gt;0,S_VATOn&lt;&gt;"نعم"),"الضريبة غير مفعلة في Tax_Settings",IF(AND($L51&lt;&gt;"",COUNTIFS(COA!$A:$A,$AA51,COA!$R:$R,1)&lt;&gt;1),"خزينة الدفع الفوري غير صالحة",IF(AND($L51&lt;&gt;"",$V51="CN"),"الإشعار الدائن لا يُسدَّد فوريًا",IF(AND($V51="INV",$M51="",$N51="",$S51=""),"فاتورة بدون مرجع (أمر شراء/استلام/مرفق)",""))))))))))))))))))))))))))</f>
        <v/>
      </c>
      <c r="AF51" s="32">
        <f>IF($AD51=1,IF($AE51&lt;&gt;"",1,0),0)</f>
        <v/>
      </c>
      <c r="AG51" s="32">
        <f>IF(AND($AD51=1,$AF51=0,$O51=ST_POST),1,0)</f>
        <v/>
      </c>
    </row>
    <row r="52">
      <c r="A52" s="29" t="n"/>
      <c r="B52" s="29" t="n"/>
      <c r="C52" s="39" t="n"/>
      <c r="D52" s="31" t="n"/>
      <c r="E52" s="31" t="n"/>
      <c r="F52" s="29" t="n"/>
      <c r="G52" s="39" t="n"/>
      <c r="H52" s="39" t="n"/>
      <c r="I52" s="39" t="n"/>
      <c r="J52" s="42" t="n"/>
      <c r="K52" s="42" t="n"/>
      <c r="L52" s="39" t="n"/>
      <c r="M52" s="29" t="n"/>
      <c r="N52" s="29" t="n"/>
      <c r="O52" s="39" t="n"/>
      <c r="P52" s="29" t="n"/>
      <c r="Q52" s="29" t="n"/>
      <c r="R52" s="29" t="n"/>
      <c r="S52" s="29" t="n"/>
      <c r="T52" s="29" t="n"/>
      <c r="U52" s="29" t="n"/>
      <c r="V52" s="32">
        <f>IF($AD52=1,IFERROR(INDEX(Lists!$K$5:$K$7,MATCH($F52,Lists!$J$5:$J$7,0)),"?"),"")</f>
        <v/>
      </c>
      <c r="W52" s="43">
        <f>IF($AD52=1,$J52+$K52,"")</f>
        <v/>
      </c>
      <c r="X52" s="32">
        <f>IF($AD52=1,IFERROR(INDEX(Suppliers!$D:$D,MATCH($C52,Suppliers!$A:$A,0)),"؟"),"")</f>
        <v/>
      </c>
      <c r="Y52" s="33">
        <f>IF($AD52=1,IF(AND(ISNUMBER($D52),ISNUMBER($X52)),$D52+$X52,""),"")</f>
        <v/>
      </c>
      <c r="Z52" s="44">
        <f>IF($AD52=1,IF(AND($O52&lt;&gt;ST_REV,$O52&lt;&gt;ST_CANC,COUNTIFS($C$4:$C51,$C52,$B$4:$B51,$B52,$O$4:$O51,"&lt;&gt;"&amp;ST_REV,$O$4:$O51,"&lt;&gt;"&amp;ST_CANC)&gt;0),1,0),"")</f>
        <v/>
      </c>
      <c r="AA52" s="32">
        <f>IF(AND($AD52=1,$L52&lt;&gt;""),IFERROR(INDEX(Treasuries!$E:$E,MATCH($L52,Treasuries!$A:$A,0)),"؟"),"")</f>
        <v/>
      </c>
      <c r="AB52" s="32">
        <f>IF($AD52=1,IFERROR(IF(INDEX(COA!$I:$I,MATCH($G52,COA!$A:$A,0))="","OPERATING",INDEX(COA!$I:$I,MATCH($G52,COA!$A:$A,0))),"OPERATING"),"")</f>
        <v/>
      </c>
      <c r="AC52" s="43">
        <f>IF($AD52=1,IF(AND($V52&lt;&gt;"CN",$L52=""),$W52,0),"")</f>
        <v/>
      </c>
      <c r="AD52" s="32">
        <f>IF(COUNTA($A52:$U52)&gt;0,1,0)</f>
        <v/>
      </c>
      <c r="AE52" s="32">
        <f>IF($AD52=0,"",IF($A52="","رقم المستند ناقص",IF(COUNTIF(Doc_Register!$A:$A,$A52)&gt;1,"رقم مستند مكرر في السجل المركزي",IF(LEFT($A52,LEN("SINV")+1)&lt;&gt;"SINV"&amp;"-","بادئة الرقم لا تطابق نوع المستند",IF(NOT(ISNUMBER($E52)),"التاريخ ناقص أو غير صحيح",IF($O52="","حالة المستند ناقصة",IF($P52="","اسم المُعِد ناقص",IF(AND(OR($O52=ST_APPR,$O52=ST_POST),$Q52=""),"لا يوجد معتمد",IF(AND($Q52&lt;&gt;"",$Q52=$P52),"المُعِد والمعتمد نفس الشخص (فصل المهام)",IF(AND($O52=ST_POST,$R52=""),"اسم المحاسب المرحِّل ناقص",IF(AND($O52=ST_POST,$R52&lt;&gt;"",OR($R52=$P52,$R52=$Q52)),"المرحِّل يجب أن يختلف عن المُعِد والمعتمد",IF(AND($O52=ST_REV,$T52=""),"مرجع التصحيح/الإلغاء ناقص",IF(AND(ISNUMBER($E52),OR($O52=ST_DRAFT,$O52=ST_APPR),COUNTIFS(Period_Close!$A:$A,YEAR($E52)*100+MONTH($E52),Period_Close!$B:$B,"مقفلة")&gt;0),"الفترة مقفلة: لا يسمح بمستند جديد",IF(COUNTIF(Suppliers!$A:$A,$C52)=0,"المورد غير معرف",IF($B52="","رقم فاتورة المورد ناقص",IF($Z52=1,"فاتورة مكررة (نفس المورد ونفس الرقم)",IF(NOT(ISNUMBER($D52)),"تاريخ الفاتورة ناقص",IF($V52="?","نوع المستند غير معرف",IF(COUNTIFS(COA!$A:$A,$G52,COA!$K:$K,"نعم",COA!$R:$R,1)&lt;&gt;1,"حساب مدين غير مسموح في المشتريات",IF(NOT(COUNTIF(Locations!$A:$A,$H52)&gt;0),"جهة الاستلام غير معرفة",IF(NOT(COUNTIF(Cost_Centers!$A:$A,$I52)&gt;0),"مركز التكلفة غير معرف",IF(NOT(N($J52)&gt;0),"الصافي يجب أن يكون أكبر من صفر",IF(AND(N($K52)&gt;0,S_VATOn&lt;&gt;"نعم"),"الضريبة غير مفعلة في Tax_Settings",IF(AND($L52&lt;&gt;"",COUNTIFS(COA!$A:$A,$AA52,COA!$R:$R,1)&lt;&gt;1),"خزينة الدفع الفوري غير صالحة",IF(AND($L52&lt;&gt;"",$V52="CN"),"الإشعار الدائن لا يُسدَّد فوريًا",IF(AND($V52="INV",$M52="",$N52="",$S52=""),"فاتورة بدون مرجع (أمر شراء/استلام/مرفق)",""))))))))))))))))))))))))))</f>
        <v/>
      </c>
      <c r="AF52" s="32">
        <f>IF($AD52=1,IF($AE52&lt;&gt;"",1,0),0)</f>
        <v/>
      </c>
      <c r="AG52" s="32">
        <f>IF(AND($AD52=1,$AF52=0,$O52=ST_POST),1,0)</f>
        <v/>
      </c>
    </row>
    <row r="53">
      <c r="A53" s="29" t="n"/>
      <c r="B53" s="29" t="n"/>
      <c r="C53" s="39" t="n"/>
      <c r="D53" s="31" t="n"/>
      <c r="E53" s="31" t="n"/>
      <c r="F53" s="29" t="n"/>
      <c r="G53" s="39" t="n"/>
      <c r="H53" s="39" t="n"/>
      <c r="I53" s="39" t="n"/>
      <c r="J53" s="42" t="n"/>
      <c r="K53" s="42" t="n"/>
      <c r="L53" s="39" t="n"/>
      <c r="M53" s="29" t="n"/>
      <c r="N53" s="29" t="n"/>
      <c r="O53" s="39" t="n"/>
      <c r="P53" s="29" t="n"/>
      <c r="Q53" s="29" t="n"/>
      <c r="R53" s="29" t="n"/>
      <c r="S53" s="29" t="n"/>
      <c r="T53" s="29" t="n"/>
      <c r="U53" s="29" t="n"/>
      <c r="V53" s="32">
        <f>IF($AD53=1,IFERROR(INDEX(Lists!$K$5:$K$7,MATCH($F53,Lists!$J$5:$J$7,0)),"?"),"")</f>
        <v/>
      </c>
      <c r="W53" s="43">
        <f>IF($AD53=1,$J53+$K53,"")</f>
        <v/>
      </c>
      <c r="X53" s="32">
        <f>IF($AD53=1,IFERROR(INDEX(Suppliers!$D:$D,MATCH($C53,Suppliers!$A:$A,0)),"؟"),"")</f>
        <v/>
      </c>
      <c r="Y53" s="33">
        <f>IF($AD53=1,IF(AND(ISNUMBER($D53),ISNUMBER($X53)),$D53+$X53,""),"")</f>
        <v/>
      </c>
      <c r="Z53" s="44">
        <f>IF($AD53=1,IF(AND($O53&lt;&gt;ST_REV,$O53&lt;&gt;ST_CANC,COUNTIFS($C$4:$C52,$C53,$B$4:$B52,$B53,$O$4:$O52,"&lt;&gt;"&amp;ST_REV,$O$4:$O52,"&lt;&gt;"&amp;ST_CANC)&gt;0),1,0),"")</f>
        <v/>
      </c>
      <c r="AA53" s="32">
        <f>IF(AND($AD53=1,$L53&lt;&gt;""),IFERROR(INDEX(Treasuries!$E:$E,MATCH($L53,Treasuries!$A:$A,0)),"؟"),"")</f>
        <v/>
      </c>
      <c r="AB53" s="32">
        <f>IF($AD53=1,IFERROR(IF(INDEX(COA!$I:$I,MATCH($G53,COA!$A:$A,0))="","OPERATING",INDEX(COA!$I:$I,MATCH($G53,COA!$A:$A,0))),"OPERATING"),"")</f>
        <v/>
      </c>
      <c r="AC53" s="43">
        <f>IF($AD53=1,IF(AND($V53&lt;&gt;"CN",$L53=""),$W53,0),"")</f>
        <v/>
      </c>
      <c r="AD53" s="32">
        <f>IF(COUNTA($A53:$U53)&gt;0,1,0)</f>
        <v/>
      </c>
      <c r="AE53" s="32">
        <f>IF($AD53=0,"",IF($A53="","رقم المستند ناقص",IF(COUNTIF(Doc_Register!$A:$A,$A53)&gt;1,"رقم مستند مكرر في السجل المركزي",IF(LEFT($A53,LEN("SINV")+1)&lt;&gt;"SINV"&amp;"-","بادئة الرقم لا تطابق نوع المستند",IF(NOT(ISNUMBER($E53)),"التاريخ ناقص أو غير صحيح",IF($O53="","حالة المستند ناقصة",IF($P53="","اسم المُعِد ناقص",IF(AND(OR($O53=ST_APPR,$O53=ST_POST),$Q53=""),"لا يوجد معتمد",IF(AND($Q53&lt;&gt;"",$Q53=$P53),"المُعِد والمعتمد نفس الشخص (فصل المهام)",IF(AND($O53=ST_POST,$R53=""),"اسم المحاسب المرحِّل ناقص",IF(AND($O53=ST_POST,$R53&lt;&gt;"",OR($R53=$P53,$R53=$Q53)),"المرحِّل يجب أن يختلف عن المُعِد والمعتمد",IF(AND($O53=ST_REV,$T53=""),"مرجع التصحيح/الإلغاء ناقص",IF(AND(ISNUMBER($E53),OR($O53=ST_DRAFT,$O53=ST_APPR),COUNTIFS(Period_Close!$A:$A,YEAR($E53)*100+MONTH($E53),Period_Close!$B:$B,"مقفلة")&gt;0),"الفترة مقفلة: لا يسمح بمستند جديد",IF(COUNTIF(Suppliers!$A:$A,$C53)=0,"المورد غير معرف",IF($B53="","رقم فاتورة المورد ناقص",IF($Z53=1,"فاتورة مكررة (نفس المورد ونفس الرقم)",IF(NOT(ISNUMBER($D53)),"تاريخ الفاتورة ناقص",IF($V53="?","نوع المستند غير معرف",IF(COUNTIFS(COA!$A:$A,$G53,COA!$K:$K,"نعم",COA!$R:$R,1)&lt;&gt;1,"حساب مدين غير مسموح في المشتريات",IF(NOT(COUNTIF(Locations!$A:$A,$H53)&gt;0),"جهة الاستلام غير معرفة",IF(NOT(COUNTIF(Cost_Centers!$A:$A,$I53)&gt;0),"مركز التكلفة غير معرف",IF(NOT(N($J53)&gt;0),"الصافي يجب أن يكون أكبر من صفر",IF(AND(N($K53)&gt;0,S_VATOn&lt;&gt;"نعم"),"الضريبة غير مفعلة في Tax_Settings",IF(AND($L53&lt;&gt;"",COUNTIFS(COA!$A:$A,$AA53,COA!$R:$R,1)&lt;&gt;1),"خزينة الدفع الفوري غير صالحة",IF(AND($L53&lt;&gt;"",$V53="CN"),"الإشعار الدائن لا يُسدَّد فوريًا",IF(AND($V53="INV",$M53="",$N53="",$S53=""),"فاتورة بدون مرجع (أمر شراء/استلام/مرفق)",""))))))))))))))))))))))))))</f>
        <v/>
      </c>
      <c r="AF53" s="32">
        <f>IF($AD53=1,IF($AE53&lt;&gt;"",1,0),0)</f>
        <v/>
      </c>
      <c r="AG53" s="32">
        <f>IF(AND($AD53=1,$AF53=0,$O53=ST_POST),1,0)</f>
        <v/>
      </c>
    </row>
    <row r="54">
      <c r="A54" s="29" t="n"/>
      <c r="B54" s="29" t="n"/>
      <c r="C54" s="39" t="n"/>
      <c r="D54" s="31" t="n"/>
      <c r="E54" s="31" t="n"/>
      <c r="F54" s="29" t="n"/>
      <c r="G54" s="39" t="n"/>
      <c r="H54" s="39" t="n"/>
      <c r="I54" s="39" t="n"/>
      <c r="J54" s="42" t="n"/>
      <c r="K54" s="42" t="n"/>
      <c r="L54" s="39" t="n"/>
      <c r="M54" s="29" t="n"/>
      <c r="N54" s="29" t="n"/>
      <c r="O54" s="39" t="n"/>
      <c r="P54" s="29" t="n"/>
      <c r="Q54" s="29" t="n"/>
      <c r="R54" s="29" t="n"/>
      <c r="S54" s="29" t="n"/>
      <c r="T54" s="29" t="n"/>
      <c r="U54" s="29" t="n"/>
      <c r="V54" s="32">
        <f>IF($AD54=1,IFERROR(INDEX(Lists!$K$5:$K$7,MATCH($F54,Lists!$J$5:$J$7,0)),"?"),"")</f>
        <v/>
      </c>
      <c r="W54" s="43">
        <f>IF($AD54=1,$J54+$K54,"")</f>
        <v/>
      </c>
      <c r="X54" s="32">
        <f>IF($AD54=1,IFERROR(INDEX(Suppliers!$D:$D,MATCH($C54,Suppliers!$A:$A,0)),"؟"),"")</f>
        <v/>
      </c>
      <c r="Y54" s="33">
        <f>IF($AD54=1,IF(AND(ISNUMBER($D54),ISNUMBER($X54)),$D54+$X54,""),"")</f>
        <v/>
      </c>
      <c r="Z54" s="44">
        <f>IF($AD54=1,IF(AND($O54&lt;&gt;ST_REV,$O54&lt;&gt;ST_CANC,COUNTIFS($C$4:$C53,$C54,$B$4:$B53,$B54,$O$4:$O53,"&lt;&gt;"&amp;ST_REV,$O$4:$O53,"&lt;&gt;"&amp;ST_CANC)&gt;0),1,0),"")</f>
        <v/>
      </c>
      <c r="AA54" s="32">
        <f>IF(AND($AD54=1,$L54&lt;&gt;""),IFERROR(INDEX(Treasuries!$E:$E,MATCH($L54,Treasuries!$A:$A,0)),"؟"),"")</f>
        <v/>
      </c>
      <c r="AB54" s="32">
        <f>IF($AD54=1,IFERROR(IF(INDEX(COA!$I:$I,MATCH($G54,COA!$A:$A,0))="","OPERATING",INDEX(COA!$I:$I,MATCH($G54,COA!$A:$A,0))),"OPERATING"),"")</f>
        <v/>
      </c>
      <c r="AC54" s="43">
        <f>IF($AD54=1,IF(AND($V54&lt;&gt;"CN",$L54=""),$W54,0),"")</f>
        <v/>
      </c>
      <c r="AD54" s="32">
        <f>IF(COUNTA($A54:$U54)&gt;0,1,0)</f>
        <v/>
      </c>
      <c r="AE54" s="32">
        <f>IF($AD54=0,"",IF($A54="","رقم المستند ناقص",IF(COUNTIF(Doc_Register!$A:$A,$A54)&gt;1,"رقم مستند مكرر في السجل المركزي",IF(LEFT($A54,LEN("SINV")+1)&lt;&gt;"SINV"&amp;"-","بادئة الرقم لا تطابق نوع المستند",IF(NOT(ISNUMBER($E54)),"التاريخ ناقص أو غير صحيح",IF($O54="","حالة المستند ناقصة",IF($P54="","اسم المُعِد ناقص",IF(AND(OR($O54=ST_APPR,$O54=ST_POST),$Q54=""),"لا يوجد معتمد",IF(AND($Q54&lt;&gt;"",$Q54=$P54),"المُعِد والمعتمد نفس الشخص (فصل المهام)",IF(AND($O54=ST_POST,$R54=""),"اسم المحاسب المرحِّل ناقص",IF(AND($O54=ST_POST,$R54&lt;&gt;"",OR($R54=$P54,$R54=$Q54)),"المرحِّل يجب أن يختلف عن المُعِد والمعتمد",IF(AND($O54=ST_REV,$T54=""),"مرجع التصحيح/الإلغاء ناقص",IF(AND(ISNUMBER($E54),OR($O54=ST_DRAFT,$O54=ST_APPR),COUNTIFS(Period_Close!$A:$A,YEAR($E54)*100+MONTH($E54),Period_Close!$B:$B,"مقفلة")&gt;0),"الفترة مقفلة: لا يسمح بمستند جديد",IF(COUNTIF(Suppliers!$A:$A,$C54)=0,"المورد غير معرف",IF($B54="","رقم فاتورة المورد ناقص",IF($Z54=1,"فاتورة مكررة (نفس المورد ونفس الرقم)",IF(NOT(ISNUMBER($D54)),"تاريخ الفاتورة ناقص",IF($V54="?","نوع المستند غير معرف",IF(COUNTIFS(COA!$A:$A,$G54,COA!$K:$K,"نعم",COA!$R:$R,1)&lt;&gt;1,"حساب مدين غير مسموح في المشتريات",IF(NOT(COUNTIF(Locations!$A:$A,$H54)&gt;0),"جهة الاستلام غير معرفة",IF(NOT(COUNTIF(Cost_Centers!$A:$A,$I54)&gt;0),"مركز التكلفة غير معرف",IF(NOT(N($J54)&gt;0),"الصافي يجب أن يكون أكبر من صفر",IF(AND(N($K54)&gt;0,S_VATOn&lt;&gt;"نعم"),"الضريبة غير مفعلة في Tax_Settings",IF(AND($L54&lt;&gt;"",COUNTIFS(COA!$A:$A,$AA54,COA!$R:$R,1)&lt;&gt;1),"خزينة الدفع الفوري غير صالحة",IF(AND($L54&lt;&gt;"",$V54="CN"),"الإشعار الدائن لا يُسدَّد فوريًا",IF(AND($V54="INV",$M54="",$N54="",$S54=""),"فاتورة بدون مرجع (أمر شراء/استلام/مرفق)",""))))))))))))))))))))))))))</f>
        <v/>
      </c>
      <c r="AF54" s="32">
        <f>IF($AD54=1,IF($AE54&lt;&gt;"",1,0),0)</f>
        <v/>
      </c>
      <c r="AG54" s="32">
        <f>IF(AND($AD54=1,$AF54=0,$O54=ST_POST),1,0)</f>
        <v/>
      </c>
    </row>
    <row r="55">
      <c r="A55" s="29" t="n"/>
      <c r="B55" s="29" t="n"/>
      <c r="C55" s="39" t="n"/>
      <c r="D55" s="31" t="n"/>
      <c r="E55" s="31" t="n"/>
      <c r="F55" s="29" t="n"/>
      <c r="G55" s="39" t="n"/>
      <c r="H55" s="39" t="n"/>
      <c r="I55" s="39" t="n"/>
      <c r="J55" s="42" t="n"/>
      <c r="K55" s="42" t="n"/>
      <c r="L55" s="39" t="n"/>
      <c r="M55" s="29" t="n"/>
      <c r="N55" s="29" t="n"/>
      <c r="O55" s="39" t="n"/>
      <c r="P55" s="29" t="n"/>
      <c r="Q55" s="29" t="n"/>
      <c r="R55" s="29" t="n"/>
      <c r="S55" s="29" t="n"/>
      <c r="T55" s="29" t="n"/>
      <c r="U55" s="29" t="n"/>
      <c r="V55" s="32">
        <f>IF($AD55=1,IFERROR(INDEX(Lists!$K$5:$K$7,MATCH($F55,Lists!$J$5:$J$7,0)),"?"),"")</f>
        <v/>
      </c>
      <c r="W55" s="43">
        <f>IF($AD55=1,$J55+$K55,"")</f>
        <v/>
      </c>
      <c r="X55" s="32">
        <f>IF($AD55=1,IFERROR(INDEX(Suppliers!$D:$D,MATCH($C55,Suppliers!$A:$A,0)),"؟"),"")</f>
        <v/>
      </c>
      <c r="Y55" s="33">
        <f>IF($AD55=1,IF(AND(ISNUMBER($D55),ISNUMBER($X55)),$D55+$X55,""),"")</f>
        <v/>
      </c>
      <c r="Z55" s="44">
        <f>IF($AD55=1,IF(AND($O55&lt;&gt;ST_REV,$O55&lt;&gt;ST_CANC,COUNTIFS($C$4:$C54,$C55,$B$4:$B54,$B55,$O$4:$O54,"&lt;&gt;"&amp;ST_REV,$O$4:$O54,"&lt;&gt;"&amp;ST_CANC)&gt;0),1,0),"")</f>
        <v/>
      </c>
      <c r="AA55" s="32">
        <f>IF(AND($AD55=1,$L55&lt;&gt;""),IFERROR(INDEX(Treasuries!$E:$E,MATCH($L55,Treasuries!$A:$A,0)),"؟"),"")</f>
        <v/>
      </c>
      <c r="AB55" s="32">
        <f>IF($AD55=1,IFERROR(IF(INDEX(COA!$I:$I,MATCH($G55,COA!$A:$A,0))="","OPERATING",INDEX(COA!$I:$I,MATCH($G55,COA!$A:$A,0))),"OPERATING"),"")</f>
        <v/>
      </c>
      <c r="AC55" s="43">
        <f>IF($AD55=1,IF(AND($V55&lt;&gt;"CN",$L55=""),$W55,0),"")</f>
        <v/>
      </c>
      <c r="AD55" s="32">
        <f>IF(COUNTA($A55:$U55)&gt;0,1,0)</f>
        <v/>
      </c>
      <c r="AE55" s="32">
        <f>IF($AD55=0,"",IF($A55="","رقم المستند ناقص",IF(COUNTIF(Doc_Register!$A:$A,$A55)&gt;1,"رقم مستند مكرر في السجل المركزي",IF(LEFT($A55,LEN("SINV")+1)&lt;&gt;"SINV"&amp;"-","بادئة الرقم لا تطابق نوع المستند",IF(NOT(ISNUMBER($E55)),"التاريخ ناقص أو غير صحيح",IF($O55="","حالة المستند ناقصة",IF($P55="","اسم المُعِد ناقص",IF(AND(OR($O55=ST_APPR,$O55=ST_POST),$Q55=""),"لا يوجد معتمد",IF(AND($Q55&lt;&gt;"",$Q55=$P55),"المُعِد والمعتمد نفس الشخص (فصل المهام)",IF(AND($O55=ST_POST,$R55=""),"اسم المحاسب المرحِّل ناقص",IF(AND($O55=ST_POST,$R55&lt;&gt;"",OR($R55=$P55,$R55=$Q55)),"المرحِّل يجب أن يختلف عن المُعِد والمعتمد",IF(AND($O55=ST_REV,$T55=""),"مرجع التصحيح/الإلغاء ناقص",IF(AND(ISNUMBER($E55),OR($O55=ST_DRAFT,$O55=ST_APPR),COUNTIFS(Period_Close!$A:$A,YEAR($E55)*100+MONTH($E55),Period_Close!$B:$B,"مقفلة")&gt;0),"الفترة مقفلة: لا يسمح بمستند جديد",IF(COUNTIF(Suppliers!$A:$A,$C55)=0,"المورد غير معرف",IF($B55="","رقم فاتورة المورد ناقص",IF($Z55=1,"فاتورة مكررة (نفس المورد ونفس الرقم)",IF(NOT(ISNUMBER($D55)),"تاريخ الفاتورة ناقص",IF($V55="?","نوع المستند غير معرف",IF(COUNTIFS(COA!$A:$A,$G55,COA!$K:$K,"نعم",COA!$R:$R,1)&lt;&gt;1,"حساب مدين غير مسموح في المشتريات",IF(NOT(COUNTIF(Locations!$A:$A,$H55)&gt;0),"جهة الاستلام غير معرفة",IF(NOT(COUNTIF(Cost_Centers!$A:$A,$I55)&gt;0),"مركز التكلفة غير معرف",IF(NOT(N($J55)&gt;0),"الصافي يجب أن يكون أكبر من صفر",IF(AND(N($K55)&gt;0,S_VATOn&lt;&gt;"نعم"),"الضريبة غير مفعلة في Tax_Settings",IF(AND($L55&lt;&gt;"",COUNTIFS(COA!$A:$A,$AA55,COA!$R:$R,1)&lt;&gt;1),"خزينة الدفع الفوري غير صالحة",IF(AND($L55&lt;&gt;"",$V55="CN"),"الإشعار الدائن لا يُسدَّد فوريًا",IF(AND($V55="INV",$M55="",$N55="",$S55=""),"فاتورة بدون مرجع (أمر شراء/استلام/مرفق)",""))))))))))))))))))))))))))</f>
        <v/>
      </c>
      <c r="AF55" s="32">
        <f>IF($AD55=1,IF($AE55&lt;&gt;"",1,0),0)</f>
        <v/>
      </c>
      <c r="AG55" s="32">
        <f>IF(AND($AD55=1,$AF55=0,$O55=ST_POST),1,0)</f>
        <v/>
      </c>
    </row>
    <row r="56">
      <c r="A56" s="29" t="n"/>
      <c r="B56" s="29" t="n"/>
      <c r="C56" s="39" t="n"/>
      <c r="D56" s="31" t="n"/>
      <c r="E56" s="31" t="n"/>
      <c r="F56" s="29" t="n"/>
      <c r="G56" s="39" t="n"/>
      <c r="H56" s="39" t="n"/>
      <c r="I56" s="39" t="n"/>
      <c r="J56" s="42" t="n"/>
      <c r="K56" s="42" t="n"/>
      <c r="L56" s="39" t="n"/>
      <c r="M56" s="29" t="n"/>
      <c r="N56" s="29" t="n"/>
      <c r="O56" s="39" t="n"/>
      <c r="P56" s="29" t="n"/>
      <c r="Q56" s="29" t="n"/>
      <c r="R56" s="29" t="n"/>
      <c r="S56" s="29" t="n"/>
      <c r="T56" s="29" t="n"/>
      <c r="U56" s="29" t="n"/>
      <c r="V56" s="32">
        <f>IF($AD56=1,IFERROR(INDEX(Lists!$K$5:$K$7,MATCH($F56,Lists!$J$5:$J$7,0)),"?"),"")</f>
        <v/>
      </c>
      <c r="W56" s="43">
        <f>IF($AD56=1,$J56+$K56,"")</f>
        <v/>
      </c>
      <c r="X56" s="32">
        <f>IF($AD56=1,IFERROR(INDEX(Suppliers!$D:$D,MATCH($C56,Suppliers!$A:$A,0)),"؟"),"")</f>
        <v/>
      </c>
      <c r="Y56" s="33">
        <f>IF($AD56=1,IF(AND(ISNUMBER($D56),ISNUMBER($X56)),$D56+$X56,""),"")</f>
        <v/>
      </c>
      <c r="Z56" s="44">
        <f>IF($AD56=1,IF(AND($O56&lt;&gt;ST_REV,$O56&lt;&gt;ST_CANC,COUNTIFS($C$4:$C55,$C56,$B$4:$B55,$B56,$O$4:$O55,"&lt;&gt;"&amp;ST_REV,$O$4:$O55,"&lt;&gt;"&amp;ST_CANC)&gt;0),1,0),"")</f>
        <v/>
      </c>
      <c r="AA56" s="32">
        <f>IF(AND($AD56=1,$L56&lt;&gt;""),IFERROR(INDEX(Treasuries!$E:$E,MATCH($L56,Treasuries!$A:$A,0)),"؟"),"")</f>
        <v/>
      </c>
      <c r="AB56" s="32">
        <f>IF($AD56=1,IFERROR(IF(INDEX(COA!$I:$I,MATCH($G56,COA!$A:$A,0))="","OPERATING",INDEX(COA!$I:$I,MATCH($G56,COA!$A:$A,0))),"OPERATING"),"")</f>
        <v/>
      </c>
      <c r="AC56" s="43">
        <f>IF($AD56=1,IF(AND($V56&lt;&gt;"CN",$L56=""),$W56,0),"")</f>
        <v/>
      </c>
      <c r="AD56" s="32">
        <f>IF(COUNTA($A56:$U56)&gt;0,1,0)</f>
        <v/>
      </c>
      <c r="AE56" s="32">
        <f>IF($AD56=0,"",IF($A56="","رقم المستند ناقص",IF(COUNTIF(Doc_Register!$A:$A,$A56)&gt;1,"رقم مستند مكرر في السجل المركزي",IF(LEFT($A56,LEN("SINV")+1)&lt;&gt;"SINV"&amp;"-","بادئة الرقم لا تطابق نوع المستند",IF(NOT(ISNUMBER($E56)),"التاريخ ناقص أو غير صحيح",IF($O56="","حالة المستند ناقصة",IF($P56="","اسم المُعِد ناقص",IF(AND(OR($O56=ST_APPR,$O56=ST_POST),$Q56=""),"لا يوجد معتمد",IF(AND($Q56&lt;&gt;"",$Q56=$P56),"المُعِد والمعتمد نفس الشخص (فصل المهام)",IF(AND($O56=ST_POST,$R56=""),"اسم المحاسب المرحِّل ناقص",IF(AND($O56=ST_POST,$R56&lt;&gt;"",OR($R56=$P56,$R56=$Q56)),"المرحِّل يجب أن يختلف عن المُعِد والمعتمد",IF(AND($O56=ST_REV,$T56=""),"مرجع التصحيح/الإلغاء ناقص",IF(AND(ISNUMBER($E56),OR($O56=ST_DRAFT,$O56=ST_APPR),COUNTIFS(Period_Close!$A:$A,YEAR($E56)*100+MONTH($E56),Period_Close!$B:$B,"مقفلة")&gt;0),"الفترة مقفلة: لا يسمح بمستند جديد",IF(COUNTIF(Suppliers!$A:$A,$C56)=0,"المورد غير معرف",IF($B56="","رقم فاتورة المورد ناقص",IF($Z56=1,"فاتورة مكررة (نفس المورد ونفس الرقم)",IF(NOT(ISNUMBER($D56)),"تاريخ الفاتورة ناقص",IF($V56="?","نوع المستند غير معرف",IF(COUNTIFS(COA!$A:$A,$G56,COA!$K:$K,"نعم",COA!$R:$R,1)&lt;&gt;1,"حساب مدين غير مسموح في المشتريات",IF(NOT(COUNTIF(Locations!$A:$A,$H56)&gt;0),"جهة الاستلام غير معرفة",IF(NOT(COUNTIF(Cost_Centers!$A:$A,$I56)&gt;0),"مركز التكلفة غير معرف",IF(NOT(N($J56)&gt;0),"الصافي يجب أن يكون أكبر من صفر",IF(AND(N($K56)&gt;0,S_VATOn&lt;&gt;"نعم"),"الضريبة غير مفعلة في Tax_Settings",IF(AND($L56&lt;&gt;"",COUNTIFS(COA!$A:$A,$AA56,COA!$R:$R,1)&lt;&gt;1),"خزينة الدفع الفوري غير صالحة",IF(AND($L56&lt;&gt;"",$V56="CN"),"الإشعار الدائن لا يُسدَّد فوريًا",IF(AND($V56="INV",$M56="",$N56="",$S56=""),"فاتورة بدون مرجع (أمر شراء/استلام/مرفق)",""))))))))))))))))))))))))))</f>
        <v/>
      </c>
      <c r="AF56" s="32">
        <f>IF($AD56=1,IF($AE56&lt;&gt;"",1,0),0)</f>
        <v/>
      </c>
      <c r="AG56" s="32">
        <f>IF(AND($AD56=1,$AF56=0,$O56=ST_POST),1,0)</f>
        <v/>
      </c>
    </row>
    <row r="57">
      <c r="A57" s="29" t="n"/>
      <c r="B57" s="29" t="n"/>
      <c r="C57" s="39" t="n"/>
      <c r="D57" s="31" t="n"/>
      <c r="E57" s="31" t="n"/>
      <c r="F57" s="29" t="n"/>
      <c r="G57" s="39" t="n"/>
      <c r="H57" s="39" t="n"/>
      <c r="I57" s="39" t="n"/>
      <c r="J57" s="42" t="n"/>
      <c r="K57" s="42" t="n"/>
      <c r="L57" s="39" t="n"/>
      <c r="M57" s="29" t="n"/>
      <c r="N57" s="29" t="n"/>
      <c r="O57" s="39" t="n"/>
      <c r="P57" s="29" t="n"/>
      <c r="Q57" s="29" t="n"/>
      <c r="R57" s="29" t="n"/>
      <c r="S57" s="29" t="n"/>
      <c r="T57" s="29" t="n"/>
      <c r="U57" s="29" t="n"/>
      <c r="V57" s="32">
        <f>IF($AD57=1,IFERROR(INDEX(Lists!$K$5:$K$7,MATCH($F57,Lists!$J$5:$J$7,0)),"?"),"")</f>
        <v/>
      </c>
      <c r="W57" s="43">
        <f>IF($AD57=1,$J57+$K57,"")</f>
        <v/>
      </c>
      <c r="X57" s="32">
        <f>IF($AD57=1,IFERROR(INDEX(Suppliers!$D:$D,MATCH($C57,Suppliers!$A:$A,0)),"؟"),"")</f>
        <v/>
      </c>
      <c r="Y57" s="33">
        <f>IF($AD57=1,IF(AND(ISNUMBER($D57),ISNUMBER($X57)),$D57+$X57,""),"")</f>
        <v/>
      </c>
      <c r="Z57" s="44">
        <f>IF($AD57=1,IF(AND($O57&lt;&gt;ST_REV,$O57&lt;&gt;ST_CANC,COUNTIFS($C$4:$C56,$C57,$B$4:$B56,$B57,$O$4:$O56,"&lt;&gt;"&amp;ST_REV,$O$4:$O56,"&lt;&gt;"&amp;ST_CANC)&gt;0),1,0),"")</f>
        <v/>
      </c>
      <c r="AA57" s="32">
        <f>IF(AND($AD57=1,$L57&lt;&gt;""),IFERROR(INDEX(Treasuries!$E:$E,MATCH($L57,Treasuries!$A:$A,0)),"؟"),"")</f>
        <v/>
      </c>
      <c r="AB57" s="32">
        <f>IF($AD57=1,IFERROR(IF(INDEX(COA!$I:$I,MATCH($G57,COA!$A:$A,0))="","OPERATING",INDEX(COA!$I:$I,MATCH($G57,COA!$A:$A,0))),"OPERATING"),"")</f>
        <v/>
      </c>
      <c r="AC57" s="43">
        <f>IF($AD57=1,IF(AND($V57&lt;&gt;"CN",$L57=""),$W57,0),"")</f>
        <v/>
      </c>
      <c r="AD57" s="32">
        <f>IF(COUNTA($A57:$U57)&gt;0,1,0)</f>
        <v/>
      </c>
      <c r="AE57" s="32">
        <f>IF($AD57=0,"",IF($A57="","رقم المستند ناقص",IF(COUNTIF(Doc_Register!$A:$A,$A57)&gt;1,"رقم مستند مكرر في السجل المركزي",IF(LEFT($A57,LEN("SINV")+1)&lt;&gt;"SINV"&amp;"-","بادئة الرقم لا تطابق نوع المستند",IF(NOT(ISNUMBER($E57)),"التاريخ ناقص أو غير صحيح",IF($O57="","حالة المستند ناقصة",IF($P57="","اسم المُعِد ناقص",IF(AND(OR($O57=ST_APPR,$O57=ST_POST),$Q57=""),"لا يوجد معتمد",IF(AND($Q57&lt;&gt;"",$Q57=$P57),"المُعِد والمعتمد نفس الشخص (فصل المهام)",IF(AND($O57=ST_POST,$R57=""),"اسم المحاسب المرحِّل ناقص",IF(AND($O57=ST_POST,$R57&lt;&gt;"",OR($R57=$P57,$R57=$Q57)),"المرحِّل يجب أن يختلف عن المُعِد والمعتمد",IF(AND($O57=ST_REV,$T57=""),"مرجع التصحيح/الإلغاء ناقص",IF(AND(ISNUMBER($E57),OR($O57=ST_DRAFT,$O57=ST_APPR),COUNTIFS(Period_Close!$A:$A,YEAR($E57)*100+MONTH($E57),Period_Close!$B:$B,"مقفلة")&gt;0),"الفترة مقفلة: لا يسمح بمستند جديد",IF(COUNTIF(Suppliers!$A:$A,$C57)=0,"المورد غير معرف",IF($B57="","رقم فاتورة المورد ناقص",IF($Z57=1,"فاتورة مكررة (نفس المورد ونفس الرقم)",IF(NOT(ISNUMBER($D57)),"تاريخ الفاتورة ناقص",IF($V57="?","نوع المستند غير معرف",IF(COUNTIFS(COA!$A:$A,$G57,COA!$K:$K,"نعم",COA!$R:$R,1)&lt;&gt;1,"حساب مدين غير مسموح في المشتريات",IF(NOT(COUNTIF(Locations!$A:$A,$H57)&gt;0),"جهة الاستلام غير معرفة",IF(NOT(COUNTIF(Cost_Centers!$A:$A,$I57)&gt;0),"مركز التكلفة غير معرف",IF(NOT(N($J57)&gt;0),"الصافي يجب أن يكون أكبر من صفر",IF(AND(N($K57)&gt;0,S_VATOn&lt;&gt;"نعم"),"الضريبة غير مفعلة في Tax_Settings",IF(AND($L57&lt;&gt;"",COUNTIFS(COA!$A:$A,$AA57,COA!$R:$R,1)&lt;&gt;1),"خزينة الدفع الفوري غير صالحة",IF(AND($L57&lt;&gt;"",$V57="CN"),"الإشعار الدائن لا يُسدَّد فوريًا",IF(AND($V57="INV",$M57="",$N57="",$S57=""),"فاتورة بدون مرجع (أمر شراء/استلام/مرفق)",""))))))))))))))))))))))))))</f>
        <v/>
      </c>
      <c r="AF57" s="32">
        <f>IF($AD57=1,IF($AE57&lt;&gt;"",1,0),0)</f>
        <v/>
      </c>
      <c r="AG57" s="32">
        <f>IF(AND($AD57=1,$AF57=0,$O57=ST_POST),1,0)</f>
        <v/>
      </c>
    </row>
    <row r="58">
      <c r="A58" s="29" t="n"/>
      <c r="B58" s="29" t="n"/>
      <c r="C58" s="39" t="n"/>
      <c r="D58" s="31" t="n"/>
      <c r="E58" s="31" t="n"/>
      <c r="F58" s="29" t="n"/>
      <c r="G58" s="39" t="n"/>
      <c r="H58" s="39" t="n"/>
      <c r="I58" s="39" t="n"/>
      <c r="J58" s="42" t="n"/>
      <c r="K58" s="42" t="n"/>
      <c r="L58" s="39" t="n"/>
      <c r="M58" s="29" t="n"/>
      <c r="N58" s="29" t="n"/>
      <c r="O58" s="39" t="n"/>
      <c r="P58" s="29" t="n"/>
      <c r="Q58" s="29" t="n"/>
      <c r="R58" s="29" t="n"/>
      <c r="S58" s="29" t="n"/>
      <c r="T58" s="29" t="n"/>
      <c r="U58" s="29" t="n"/>
      <c r="V58" s="32">
        <f>IF($AD58=1,IFERROR(INDEX(Lists!$K$5:$K$7,MATCH($F58,Lists!$J$5:$J$7,0)),"?"),"")</f>
        <v/>
      </c>
      <c r="W58" s="43">
        <f>IF($AD58=1,$J58+$K58,"")</f>
        <v/>
      </c>
      <c r="X58" s="32">
        <f>IF($AD58=1,IFERROR(INDEX(Suppliers!$D:$D,MATCH($C58,Suppliers!$A:$A,0)),"؟"),"")</f>
        <v/>
      </c>
      <c r="Y58" s="33">
        <f>IF($AD58=1,IF(AND(ISNUMBER($D58),ISNUMBER($X58)),$D58+$X58,""),"")</f>
        <v/>
      </c>
      <c r="Z58" s="44">
        <f>IF($AD58=1,IF(AND($O58&lt;&gt;ST_REV,$O58&lt;&gt;ST_CANC,COUNTIFS($C$4:$C57,$C58,$B$4:$B57,$B58,$O$4:$O57,"&lt;&gt;"&amp;ST_REV,$O$4:$O57,"&lt;&gt;"&amp;ST_CANC)&gt;0),1,0),"")</f>
        <v/>
      </c>
      <c r="AA58" s="32">
        <f>IF(AND($AD58=1,$L58&lt;&gt;""),IFERROR(INDEX(Treasuries!$E:$E,MATCH($L58,Treasuries!$A:$A,0)),"؟"),"")</f>
        <v/>
      </c>
      <c r="AB58" s="32">
        <f>IF($AD58=1,IFERROR(IF(INDEX(COA!$I:$I,MATCH($G58,COA!$A:$A,0))="","OPERATING",INDEX(COA!$I:$I,MATCH($G58,COA!$A:$A,0))),"OPERATING"),"")</f>
        <v/>
      </c>
      <c r="AC58" s="43">
        <f>IF($AD58=1,IF(AND($V58&lt;&gt;"CN",$L58=""),$W58,0),"")</f>
        <v/>
      </c>
      <c r="AD58" s="32">
        <f>IF(COUNTA($A58:$U58)&gt;0,1,0)</f>
        <v/>
      </c>
      <c r="AE58" s="32">
        <f>IF($AD58=0,"",IF($A58="","رقم المستند ناقص",IF(COUNTIF(Doc_Register!$A:$A,$A58)&gt;1,"رقم مستند مكرر في السجل المركزي",IF(LEFT($A58,LEN("SINV")+1)&lt;&gt;"SINV"&amp;"-","بادئة الرقم لا تطابق نوع المستند",IF(NOT(ISNUMBER($E58)),"التاريخ ناقص أو غير صحيح",IF($O58="","حالة المستند ناقصة",IF($P58="","اسم المُعِد ناقص",IF(AND(OR($O58=ST_APPR,$O58=ST_POST),$Q58=""),"لا يوجد معتمد",IF(AND($Q58&lt;&gt;"",$Q58=$P58),"المُعِد والمعتمد نفس الشخص (فصل المهام)",IF(AND($O58=ST_POST,$R58=""),"اسم المحاسب المرحِّل ناقص",IF(AND($O58=ST_POST,$R58&lt;&gt;"",OR($R58=$P58,$R58=$Q58)),"المرحِّل يجب أن يختلف عن المُعِد والمعتمد",IF(AND($O58=ST_REV,$T58=""),"مرجع التصحيح/الإلغاء ناقص",IF(AND(ISNUMBER($E58),OR($O58=ST_DRAFT,$O58=ST_APPR),COUNTIFS(Period_Close!$A:$A,YEAR($E58)*100+MONTH($E58),Period_Close!$B:$B,"مقفلة")&gt;0),"الفترة مقفلة: لا يسمح بمستند جديد",IF(COUNTIF(Suppliers!$A:$A,$C58)=0,"المورد غير معرف",IF($B58="","رقم فاتورة المورد ناقص",IF($Z58=1,"فاتورة مكررة (نفس المورد ونفس الرقم)",IF(NOT(ISNUMBER($D58)),"تاريخ الفاتورة ناقص",IF($V58="?","نوع المستند غير معرف",IF(COUNTIFS(COA!$A:$A,$G58,COA!$K:$K,"نعم",COA!$R:$R,1)&lt;&gt;1,"حساب مدين غير مسموح في المشتريات",IF(NOT(COUNTIF(Locations!$A:$A,$H58)&gt;0),"جهة الاستلام غير معرفة",IF(NOT(COUNTIF(Cost_Centers!$A:$A,$I58)&gt;0),"مركز التكلفة غير معرف",IF(NOT(N($J58)&gt;0),"الصافي يجب أن يكون أكبر من صفر",IF(AND(N($K58)&gt;0,S_VATOn&lt;&gt;"نعم"),"الضريبة غير مفعلة في Tax_Settings",IF(AND($L58&lt;&gt;"",COUNTIFS(COA!$A:$A,$AA58,COA!$R:$R,1)&lt;&gt;1),"خزينة الدفع الفوري غير صالحة",IF(AND($L58&lt;&gt;"",$V58="CN"),"الإشعار الدائن لا يُسدَّد فوريًا",IF(AND($V58="INV",$M58="",$N58="",$S58=""),"فاتورة بدون مرجع (أمر شراء/استلام/مرفق)",""))))))))))))))))))))))))))</f>
        <v/>
      </c>
      <c r="AF58" s="32">
        <f>IF($AD58=1,IF($AE58&lt;&gt;"",1,0),0)</f>
        <v/>
      </c>
      <c r="AG58" s="32">
        <f>IF(AND($AD58=1,$AF58=0,$O58=ST_POST),1,0)</f>
        <v/>
      </c>
    </row>
    <row r="59">
      <c r="A59" s="29" t="n"/>
      <c r="B59" s="29" t="n"/>
      <c r="C59" s="39" t="n"/>
      <c r="D59" s="31" t="n"/>
      <c r="E59" s="31" t="n"/>
      <c r="F59" s="29" t="n"/>
      <c r="G59" s="39" t="n"/>
      <c r="H59" s="39" t="n"/>
      <c r="I59" s="39" t="n"/>
      <c r="J59" s="42" t="n"/>
      <c r="K59" s="42" t="n"/>
      <c r="L59" s="39" t="n"/>
      <c r="M59" s="29" t="n"/>
      <c r="N59" s="29" t="n"/>
      <c r="O59" s="39" t="n"/>
      <c r="P59" s="29" t="n"/>
      <c r="Q59" s="29" t="n"/>
      <c r="R59" s="29" t="n"/>
      <c r="S59" s="29" t="n"/>
      <c r="T59" s="29" t="n"/>
      <c r="U59" s="29" t="n"/>
      <c r="V59" s="32">
        <f>IF($AD59=1,IFERROR(INDEX(Lists!$K$5:$K$7,MATCH($F59,Lists!$J$5:$J$7,0)),"?"),"")</f>
        <v/>
      </c>
      <c r="W59" s="43">
        <f>IF($AD59=1,$J59+$K59,"")</f>
        <v/>
      </c>
      <c r="X59" s="32">
        <f>IF($AD59=1,IFERROR(INDEX(Suppliers!$D:$D,MATCH($C59,Suppliers!$A:$A,0)),"؟"),"")</f>
        <v/>
      </c>
      <c r="Y59" s="33">
        <f>IF($AD59=1,IF(AND(ISNUMBER($D59),ISNUMBER($X59)),$D59+$X59,""),"")</f>
        <v/>
      </c>
      <c r="Z59" s="44">
        <f>IF($AD59=1,IF(AND($O59&lt;&gt;ST_REV,$O59&lt;&gt;ST_CANC,COUNTIFS($C$4:$C58,$C59,$B$4:$B58,$B59,$O$4:$O58,"&lt;&gt;"&amp;ST_REV,$O$4:$O58,"&lt;&gt;"&amp;ST_CANC)&gt;0),1,0),"")</f>
        <v/>
      </c>
      <c r="AA59" s="32">
        <f>IF(AND($AD59=1,$L59&lt;&gt;""),IFERROR(INDEX(Treasuries!$E:$E,MATCH($L59,Treasuries!$A:$A,0)),"؟"),"")</f>
        <v/>
      </c>
      <c r="AB59" s="32">
        <f>IF($AD59=1,IFERROR(IF(INDEX(COA!$I:$I,MATCH($G59,COA!$A:$A,0))="","OPERATING",INDEX(COA!$I:$I,MATCH($G59,COA!$A:$A,0))),"OPERATING"),"")</f>
        <v/>
      </c>
      <c r="AC59" s="43">
        <f>IF($AD59=1,IF(AND($V59&lt;&gt;"CN",$L59=""),$W59,0),"")</f>
        <v/>
      </c>
      <c r="AD59" s="32">
        <f>IF(COUNTA($A59:$U59)&gt;0,1,0)</f>
        <v/>
      </c>
      <c r="AE59" s="32">
        <f>IF($AD59=0,"",IF($A59="","رقم المستند ناقص",IF(COUNTIF(Doc_Register!$A:$A,$A59)&gt;1,"رقم مستند مكرر في السجل المركزي",IF(LEFT($A59,LEN("SINV")+1)&lt;&gt;"SINV"&amp;"-","بادئة الرقم لا تطابق نوع المستند",IF(NOT(ISNUMBER($E59)),"التاريخ ناقص أو غير صحيح",IF($O59="","حالة المستند ناقصة",IF($P59="","اسم المُعِد ناقص",IF(AND(OR($O59=ST_APPR,$O59=ST_POST),$Q59=""),"لا يوجد معتمد",IF(AND($Q59&lt;&gt;"",$Q59=$P59),"المُعِد والمعتمد نفس الشخص (فصل المهام)",IF(AND($O59=ST_POST,$R59=""),"اسم المحاسب المرحِّل ناقص",IF(AND($O59=ST_POST,$R59&lt;&gt;"",OR($R59=$P59,$R59=$Q59)),"المرحِّل يجب أن يختلف عن المُعِد والمعتمد",IF(AND($O59=ST_REV,$T59=""),"مرجع التصحيح/الإلغاء ناقص",IF(AND(ISNUMBER($E59),OR($O59=ST_DRAFT,$O59=ST_APPR),COUNTIFS(Period_Close!$A:$A,YEAR($E59)*100+MONTH($E59),Period_Close!$B:$B,"مقفلة")&gt;0),"الفترة مقفلة: لا يسمح بمستند جديد",IF(COUNTIF(Suppliers!$A:$A,$C59)=0,"المورد غير معرف",IF($B59="","رقم فاتورة المورد ناقص",IF($Z59=1,"فاتورة مكررة (نفس المورد ونفس الرقم)",IF(NOT(ISNUMBER($D59)),"تاريخ الفاتورة ناقص",IF($V59="?","نوع المستند غير معرف",IF(COUNTIFS(COA!$A:$A,$G59,COA!$K:$K,"نعم",COA!$R:$R,1)&lt;&gt;1,"حساب مدين غير مسموح في المشتريات",IF(NOT(COUNTIF(Locations!$A:$A,$H59)&gt;0),"جهة الاستلام غير معرفة",IF(NOT(COUNTIF(Cost_Centers!$A:$A,$I59)&gt;0),"مركز التكلفة غير معرف",IF(NOT(N($J59)&gt;0),"الصافي يجب أن يكون أكبر من صفر",IF(AND(N($K59)&gt;0,S_VATOn&lt;&gt;"نعم"),"الضريبة غير مفعلة في Tax_Settings",IF(AND($L59&lt;&gt;"",COUNTIFS(COA!$A:$A,$AA59,COA!$R:$R,1)&lt;&gt;1),"خزينة الدفع الفوري غير صالحة",IF(AND($L59&lt;&gt;"",$V59="CN"),"الإشعار الدائن لا يُسدَّد فوريًا",IF(AND($V59="INV",$M59="",$N59="",$S59=""),"فاتورة بدون مرجع (أمر شراء/استلام/مرفق)",""))))))))))))))))))))))))))</f>
        <v/>
      </c>
      <c r="AF59" s="32">
        <f>IF($AD59=1,IF($AE59&lt;&gt;"",1,0),0)</f>
        <v/>
      </c>
      <c r="AG59" s="32">
        <f>IF(AND($AD59=1,$AF59=0,$O59=ST_POST),1,0)</f>
        <v/>
      </c>
    </row>
    <row r="60">
      <c r="A60" s="29" t="n"/>
      <c r="B60" s="29" t="n"/>
      <c r="C60" s="39" t="n"/>
      <c r="D60" s="31" t="n"/>
      <c r="E60" s="31" t="n"/>
      <c r="F60" s="29" t="n"/>
      <c r="G60" s="39" t="n"/>
      <c r="H60" s="39" t="n"/>
      <c r="I60" s="39" t="n"/>
      <c r="J60" s="42" t="n"/>
      <c r="K60" s="42" t="n"/>
      <c r="L60" s="39" t="n"/>
      <c r="M60" s="29" t="n"/>
      <c r="N60" s="29" t="n"/>
      <c r="O60" s="39" t="n"/>
      <c r="P60" s="29" t="n"/>
      <c r="Q60" s="29" t="n"/>
      <c r="R60" s="29" t="n"/>
      <c r="S60" s="29" t="n"/>
      <c r="T60" s="29" t="n"/>
      <c r="U60" s="29" t="n"/>
      <c r="V60" s="32">
        <f>IF($AD60=1,IFERROR(INDEX(Lists!$K$5:$K$7,MATCH($F60,Lists!$J$5:$J$7,0)),"?"),"")</f>
        <v/>
      </c>
      <c r="W60" s="43">
        <f>IF($AD60=1,$J60+$K60,"")</f>
        <v/>
      </c>
      <c r="X60" s="32">
        <f>IF($AD60=1,IFERROR(INDEX(Suppliers!$D:$D,MATCH($C60,Suppliers!$A:$A,0)),"؟"),"")</f>
        <v/>
      </c>
      <c r="Y60" s="33">
        <f>IF($AD60=1,IF(AND(ISNUMBER($D60),ISNUMBER($X60)),$D60+$X60,""),"")</f>
        <v/>
      </c>
      <c r="Z60" s="44">
        <f>IF($AD60=1,IF(AND($O60&lt;&gt;ST_REV,$O60&lt;&gt;ST_CANC,COUNTIFS($C$4:$C59,$C60,$B$4:$B59,$B60,$O$4:$O59,"&lt;&gt;"&amp;ST_REV,$O$4:$O59,"&lt;&gt;"&amp;ST_CANC)&gt;0),1,0),"")</f>
        <v/>
      </c>
      <c r="AA60" s="32">
        <f>IF(AND($AD60=1,$L60&lt;&gt;""),IFERROR(INDEX(Treasuries!$E:$E,MATCH($L60,Treasuries!$A:$A,0)),"؟"),"")</f>
        <v/>
      </c>
      <c r="AB60" s="32">
        <f>IF($AD60=1,IFERROR(IF(INDEX(COA!$I:$I,MATCH($G60,COA!$A:$A,0))="","OPERATING",INDEX(COA!$I:$I,MATCH($G60,COA!$A:$A,0))),"OPERATING"),"")</f>
        <v/>
      </c>
      <c r="AC60" s="43">
        <f>IF($AD60=1,IF(AND($V60&lt;&gt;"CN",$L60=""),$W60,0),"")</f>
        <v/>
      </c>
      <c r="AD60" s="32">
        <f>IF(COUNTA($A60:$U60)&gt;0,1,0)</f>
        <v/>
      </c>
      <c r="AE60" s="32">
        <f>IF($AD60=0,"",IF($A60="","رقم المستند ناقص",IF(COUNTIF(Doc_Register!$A:$A,$A60)&gt;1,"رقم مستند مكرر في السجل المركزي",IF(LEFT($A60,LEN("SINV")+1)&lt;&gt;"SINV"&amp;"-","بادئة الرقم لا تطابق نوع المستند",IF(NOT(ISNUMBER($E60)),"التاريخ ناقص أو غير صحيح",IF($O60="","حالة المستند ناقصة",IF($P60="","اسم المُعِد ناقص",IF(AND(OR($O60=ST_APPR,$O60=ST_POST),$Q60=""),"لا يوجد معتمد",IF(AND($Q60&lt;&gt;"",$Q60=$P60),"المُعِد والمعتمد نفس الشخص (فصل المهام)",IF(AND($O60=ST_POST,$R60=""),"اسم المحاسب المرحِّل ناقص",IF(AND($O60=ST_POST,$R60&lt;&gt;"",OR($R60=$P60,$R60=$Q60)),"المرحِّل يجب أن يختلف عن المُعِد والمعتمد",IF(AND($O60=ST_REV,$T60=""),"مرجع التصحيح/الإلغاء ناقص",IF(AND(ISNUMBER($E60),OR($O60=ST_DRAFT,$O60=ST_APPR),COUNTIFS(Period_Close!$A:$A,YEAR($E60)*100+MONTH($E60),Period_Close!$B:$B,"مقفلة")&gt;0),"الفترة مقفلة: لا يسمح بمستند جديد",IF(COUNTIF(Suppliers!$A:$A,$C60)=0,"المورد غير معرف",IF($B60="","رقم فاتورة المورد ناقص",IF($Z60=1,"فاتورة مكررة (نفس المورد ونفس الرقم)",IF(NOT(ISNUMBER($D60)),"تاريخ الفاتورة ناقص",IF($V60="?","نوع المستند غير معرف",IF(COUNTIFS(COA!$A:$A,$G60,COA!$K:$K,"نعم",COA!$R:$R,1)&lt;&gt;1,"حساب مدين غير مسموح في المشتريات",IF(NOT(COUNTIF(Locations!$A:$A,$H60)&gt;0),"جهة الاستلام غير معرفة",IF(NOT(COUNTIF(Cost_Centers!$A:$A,$I60)&gt;0),"مركز التكلفة غير معرف",IF(NOT(N($J60)&gt;0),"الصافي يجب أن يكون أكبر من صفر",IF(AND(N($K60)&gt;0,S_VATOn&lt;&gt;"نعم"),"الضريبة غير مفعلة في Tax_Settings",IF(AND($L60&lt;&gt;"",COUNTIFS(COA!$A:$A,$AA60,COA!$R:$R,1)&lt;&gt;1),"خزينة الدفع الفوري غير صالحة",IF(AND($L60&lt;&gt;"",$V60="CN"),"الإشعار الدائن لا يُسدَّد فوريًا",IF(AND($V60="INV",$M60="",$N60="",$S60=""),"فاتورة بدون مرجع (أمر شراء/استلام/مرفق)",""))))))))))))))))))))))))))</f>
        <v/>
      </c>
      <c r="AF60" s="32">
        <f>IF($AD60=1,IF($AE60&lt;&gt;"",1,0),0)</f>
        <v/>
      </c>
      <c r="AG60" s="32">
        <f>IF(AND($AD60=1,$AF60=0,$O60=ST_POST),1,0)</f>
        <v/>
      </c>
    </row>
    <row r="61">
      <c r="A61" s="29" t="n"/>
      <c r="B61" s="29" t="n"/>
      <c r="C61" s="39" t="n"/>
      <c r="D61" s="31" t="n"/>
      <c r="E61" s="31" t="n"/>
      <c r="F61" s="29" t="n"/>
      <c r="G61" s="39" t="n"/>
      <c r="H61" s="39" t="n"/>
      <c r="I61" s="39" t="n"/>
      <c r="J61" s="42" t="n"/>
      <c r="K61" s="42" t="n"/>
      <c r="L61" s="39" t="n"/>
      <c r="M61" s="29" t="n"/>
      <c r="N61" s="29" t="n"/>
      <c r="O61" s="39" t="n"/>
      <c r="P61" s="29" t="n"/>
      <c r="Q61" s="29" t="n"/>
      <c r="R61" s="29" t="n"/>
      <c r="S61" s="29" t="n"/>
      <c r="T61" s="29" t="n"/>
      <c r="U61" s="29" t="n"/>
      <c r="V61" s="32">
        <f>IF($AD61=1,IFERROR(INDEX(Lists!$K$5:$K$7,MATCH($F61,Lists!$J$5:$J$7,0)),"?"),"")</f>
        <v/>
      </c>
      <c r="W61" s="43">
        <f>IF($AD61=1,$J61+$K61,"")</f>
        <v/>
      </c>
      <c r="X61" s="32">
        <f>IF($AD61=1,IFERROR(INDEX(Suppliers!$D:$D,MATCH($C61,Suppliers!$A:$A,0)),"؟"),"")</f>
        <v/>
      </c>
      <c r="Y61" s="33">
        <f>IF($AD61=1,IF(AND(ISNUMBER($D61),ISNUMBER($X61)),$D61+$X61,""),"")</f>
        <v/>
      </c>
      <c r="Z61" s="44">
        <f>IF($AD61=1,IF(AND($O61&lt;&gt;ST_REV,$O61&lt;&gt;ST_CANC,COUNTIFS($C$4:$C60,$C61,$B$4:$B60,$B61,$O$4:$O60,"&lt;&gt;"&amp;ST_REV,$O$4:$O60,"&lt;&gt;"&amp;ST_CANC)&gt;0),1,0),"")</f>
        <v/>
      </c>
      <c r="AA61" s="32">
        <f>IF(AND($AD61=1,$L61&lt;&gt;""),IFERROR(INDEX(Treasuries!$E:$E,MATCH($L61,Treasuries!$A:$A,0)),"؟"),"")</f>
        <v/>
      </c>
      <c r="AB61" s="32">
        <f>IF($AD61=1,IFERROR(IF(INDEX(COA!$I:$I,MATCH($G61,COA!$A:$A,0))="","OPERATING",INDEX(COA!$I:$I,MATCH($G61,COA!$A:$A,0))),"OPERATING"),"")</f>
        <v/>
      </c>
      <c r="AC61" s="43">
        <f>IF($AD61=1,IF(AND($V61&lt;&gt;"CN",$L61=""),$W61,0),"")</f>
        <v/>
      </c>
      <c r="AD61" s="32">
        <f>IF(COUNTA($A61:$U61)&gt;0,1,0)</f>
        <v/>
      </c>
      <c r="AE61" s="32">
        <f>IF($AD61=0,"",IF($A61="","رقم المستند ناقص",IF(COUNTIF(Doc_Register!$A:$A,$A61)&gt;1,"رقم مستند مكرر في السجل المركزي",IF(LEFT($A61,LEN("SINV")+1)&lt;&gt;"SINV"&amp;"-","بادئة الرقم لا تطابق نوع المستند",IF(NOT(ISNUMBER($E61)),"التاريخ ناقص أو غير صحيح",IF($O61="","حالة المستند ناقصة",IF($P61="","اسم المُعِد ناقص",IF(AND(OR($O61=ST_APPR,$O61=ST_POST),$Q61=""),"لا يوجد معتمد",IF(AND($Q61&lt;&gt;"",$Q61=$P61),"المُعِد والمعتمد نفس الشخص (فصل المهام)",IF(AND($O61=ST_POST,$R61=""),"اسم المحاسب المرحِّل ناقص",IF(AND($O61=ST_POST,$R61&lt;&gt;"",OR($R61=$P61,$R61=$Q61)),"المرحِّل يجب أن يختلف عن المُعِد والمعتمد",IF(AND($O61=ST_REV,$T61=""),"مرجع التصحيح/الإلغاء ناقص",IF(AND(ISNUMBER($E61),OR($O61=ST_DRAFT,$O61=ST_APPR),COUNTIFS(Period_Close!$A:$A,YEAR($E61)*100+MONTH($E61),Period_Close!$B:$B,"مقفلة")&gt;0),"الفترة مقفلة: لا يسمح بمستند جديد",IF(COUNTIF(Suppliers!$A:$A,$C61)=0,"المورد غير معرف",IF($B61="","رقم فاتورة المورد ناقص",IF($Z61=1,"فاتورة مكررة (نفس المورد ونفس الرقم)",IF(NOT(ISNUMBER($D61)),"تاريخ الفاتورة ناقص",IF($V61="?","نوع المستند غير معرف",IF(COUNTIFS(COA!$A:$A,$G61,COA!$K:$K,"نعم",COA!$R:$R,1)&lt;&gt;1,"حساب مدين غير مسموح في المشتريات",IF(NOT(COUNTIF(Locations!$A:$A,$H61)&gt;0),"جهة الاستلام غير معرفة",IF(NOT(COUNTIF(Cost_Centers!$A:$A,$I61)&gt;0),"مركز التكلفة غير معرف",IF(NOT(N($J61)&gt;0),"الصافي يجب أن يكون أكبر من صفر",IF(AND(N($K61)&gt;0,S_VATOn&lt;&gt;"نعم"),"الضريبة غير مفعلة في Tax_Settings",IF(AND($L61&lt;&gt;"",COUNTIFS(COA!$A:$A,$AA61,COA!$R:$R,1)&lt;&gt;1),"خزينة الدفع الفوري غير صالحة",IF(AND($L61&lt;&gt;"",$V61="CN"),"الإشعار الدائن لا يُسدَّد فوريًا",IF(AND($V61="INV",$M61="",$N61="",$S61=""),"فاتورة بدون مرجع (أمر شراء/استلام/مرفق)",""))))))))))))))))))))))))))</f>
        <v/>
      </c>
      <c r="AF61" s="32">
        <f>IF($AD61=1,IF($AE61&lt;&gt;"",1,0),0)</f>
        <v/>
      </c>
      <c r="AG61" s="32">
        <f>IF(AND($AD61=1,$AF61=0,$O61=ST_POST),1,0)</f>
        <v/>
      </c>
    </row>
    <row r="62">
      <c r="A62" s="29" t="n"/>
      <c r="B62" s="29" t="n"/>
      <c r="C62" s="39" t="n"/>
      <c r="D62" s="31" t="n"/>
      <c r="E62" s="31" t="n"/>
      <c r="F62" s="29" t="n"/>
      <c r="G62" s="39" t="n"/>
      <c r="H62" s="39" t="n"/>
      <c r="I62" s="39" t="n"/>
      <c r="J62" s="42" t="n"/>
      <c r="K62" s="42" t="n"/>
      <c r="L62" s="39" t="n"/>
      <c r="M62" s="29" t="n"/>
      <c r="N62" s="29" t="n"/>
      <c r="O62" s="39" t="n"/>
      <c r="P62" s="29" t="n"/>
      <c r="Q62" s="29" t="n"/>
      <c r="R62" s="29" t="n"/>
      <c r="S62" s="29" t="n"/>
      <c r="T62" s="29" t="n"/>
      <c r="U62" s="29" t="n"/>
      <c r="V62" s="32">
        <f>IF($AD62=1,IFERROR(INDEX(Lists!$K$5:$K$7,MATCH($F62,Lists!$J$5:$J$7,0)),"?"),"")</f>
        <v/>
      </c>
      <c r="W62" s="43">
        <f>IF($AD62=1,$J62+$K62,"")</f>
        <v/>
      </c>
      <c r="X62" s="32">
        <f>IF($AD62=1,IFERROR(INDEX(Suppliers!$D:$D,MATCH($C62,Suppliers!$A:$A,0)),"؟"),"")</f>
        <v/>
      </c>
      <c r="Y62" s="33">
        <f>IF($AD62=1,IF(AND(ISNUMBER($D62),ISNUMBER($X62)),$D62+$X62,""),"")</f>
        <v/>
      </c>
      <c r="Z62" s="44">
        <f>IF($AD62=1,IF(AND($O62&lt;&gt;ST_REV,$O62&lt;&gt;ST_CANC,COUNTIFS($C$4:$C61,$C62,$B$4:$B61,$B62,$O$4:$O61,"&lt;&gt;"&amp;ST_REV,$O$4:$O61,"&lt;&gt;"&amp;ST_CANC)&gt;0),1,0),"")</f>
        <v/>
      </c>
      <c r="AA62" s="32">
        <f>IF(AND($AD62=1,$L62&lt;&gt;""),IFERROR(INDEX(Treasuries!$E:$E,MATCH($L62,Treasuries!$A:$A,0)),"؟"),"")</f>
        <v/>
      </c>
      <c r="AB62" s="32">
        <f>IF($AD62=1,IFERROR(IF(INDEX(COA!$I:$I,MATCH($G62,COA!$A:$A,0))="","OPERATING",INDEX(COA!$I:$I,MATCH($G62,COA!$A:$A,0))),"OPERATING"),"")</f>
        <v/>
      </c>
      <c r="AC62" s="43">
        <f>IF($AD62=1,IF(AND($V62&lt;&gt;"CN",$L62=""),$W62,0),"")</f>
        <v/>
      </c>
      <c r="AD62" s="32">
        <f>IF(COUNTA($A62:$U62)&gt;0,1,0)</f>
        <v/>
      </c>
      <c r="AE62" s="32">
        <f>IF($AD62=0,"",IF($A62="","رقم المستند ناقص",IF(COUNTIF(Doc_Register!$A:$A,$A62)&gt;1,"رقم مستند مكرر في السجل المركزي",IF(LEFT($A62,LEN("SINV")+1)&lt;&gt;"SINV"&amp;"-","بادئة الرقم لا تطابق نوع المستند",IF(NOT(ISNUMBER($E62)),"التاريخ ناقص أو غير صحيح",IF($O62="","حالة المستند ناقصة",IF($P62="","اسم المُعِد ناقص",IF(AND(OR($O62=ST_APPR,$O62=ST_POST),$Q62=""),"لا يوجد معتمد",IF(AND($Q62&lt;&gt;"",$Q62=$P62),"المُعِد والمعتمد نفس الشخص (فصل المهام)",IF(AND($O62=ST_POST,$R62=""),"اسم المحاسب المرحِّل ناقص",IF(AND($O62=ST_POST,$R62&lt;&gt;"",OR($R62=$P62,$R62=$Q62)),"المرحِّل يجب أن يختلف عن المُعِد والمعتمد",IF(AND($O62=ST_REV,$T62=""),"مرجع التصحيح/الإلغاء ناقص",IF(AND(ISNUMBER($E62),OR($O62=ST_DRAFT,$O62=ST_APPR),COUNTIFS(Period_Close!$A:$A,YEAR($E62)*100+MONTH($E62),Period_Close!$B:$B,"مقفلة")&gt;0),"الفترة مقفلة: لا يسمح بمستند جديد",IF(COUNTIF(Suppliers!$A:$A,$C62)=0,"المورد غير معرف",IF($B62="","رقم فاتورة المورد ناقص",IF($Z62=1,"فاتورة مكررة (نفس المورد ونفس الرقم)",IF(NOT(ISNUMBER($D62)),"تاريخ الفاتورة ناقص",IF($V62="?","نوع المستند غير معرف",IF(COUNTIFS(COA!$A:$A,$G62,COA!$K:$K,"نعم",COA!$R:$R,1)&lt;&gt;1,"حساب مدين غير مسموح في المشتريات",IF(NOT(COUNTIF(Locations!$A:$A,$H62)&gt;0),"جهة الاستلام غير معرفة",IF(NOT(COUNTIF(Cost_Centers!$A:$A,$I62)&gt;0),"مركز التكلفة غير معرف",IF(NOT(N($J62)&gt;0),"الصافي يجب أن يكون أكبر من صفر",IF(AND(N($K62)&gt;0,S_VATOn&lt;&gt;"نعم"),"الضريبة غير مفعلة في Tax_Settings",IF(AND($L62&lt;&gt;"",COUNTIFS(COA!$A:$A,$AA62,COA!$R:$R,1)&lt;&gt;1),"خزينة الدفع الفوري غير صالحة",IF(AND($L62&lt;&gt;"",$V62="CN"),"الإشعار الدائن لا يُسدَّد فوريًا",IF(AND($V62="INV",$M62="",$N62="",$S62=""),"فاتورة بدون مرجع (أمر شراء/استلام/مرفق)",""))))))))))))))))))))))))))</f>
        <v/>
      </c>
      <c r="AF62" s="32">
        <f>IF($AD62=1,IF($AE62&lt;&gt;"",1,0),0)</f>
        <v/>
      </c>
      <c r="AG62" s="32">
        <f>IF(AND($AD62=1,$AF62=0,$O62=ST_POST),1,0)</f>
        <v/>
      </c>
    </row>
    <row r="63">
      <c r="A63" s="29" t="n"/>
      <c r="B63" s="29" t="n"/>
      <c r="C63" s="39" t="n"/>
      <c r="D63" s="31" t="n"/>
      <c r="E63" s="31" t="n"/>
      <c r="F63" s="29" t="n"/>
      <c r="G63" s="39" t="n"/>
      <c r="H63" s="39" t="n"/>
      <c r="I63" s="39" t="n"/>
      <c r="J63" s="42" t="n"/>
      <c r="K63" s="42" t="n"/>
      <c r="L63" s="39" t="n"/>
      <c r="M63" s="29" t="n"/>
      <c r="N63" s="29" t="n"/>
      <c r="O63" s="39" t="n"/>
      <c r="P63" s="29" t="n"/>
      <c r="Q63" s="29" t="n"/>
      <c r="R63" s="29" t="n"/>
      <c r="S63" s="29" t="n"/>
      <c r="T63" s="29" t="n"/>
      <c r="U63" s="29" t="n"/>
      <c r="V63" s="32">
        <f>IF($AD63=1,IFERROR(INDEX(Lists!$K$5:$K$7,MATCH($F63,Lists!$J$5:$J$7,0)),"?"),"")</f>
        <v/>
      </c>
      <c r="W63" s="43">
        <f>IF($AD63=1,$J63+$K63,"")</f>
        <v/>
      </c>
      <c r="X63" s="32">
        <f>IF($AD63=1,IFERROR(INDEX(Suppliers!$D:$D,MATCH($C63,Suppliers!$A:$A,0)),"؟"),"")</f>
        <v/>
      </c>
      <c r="Y63" s="33">
        <f>IF($AD63=1,IF(AND(ISNUMBER($D63),ISNUMBER($X63)),$D63+$X63,""),"")</f>
        <v/>
      </c>
      <c r="Z63" s="44">
        <f>IF($AD63=1,IF(AND($O63&lt;&gt;ST_REV,$O63&lt;&gt;ST_CANC,COUNTIFS($C$4:$C62,$C63,$B$4:$B62,$B63,$O$4:$O62,"&lt;&gt;"&amp;ST_REV,$O$4:$O62,"&lt;&gt;"&amp;ST_CANC)&gt;0),1,0),"")</f>
        <v/>
      </c>
      <c r="AA63" s="32">
        <f>IF(AND($AD63=1,$L63&lt;&gt;""),IFERROR(INDEX(Treasuries!$E:$E,MATCH($L63,Treasuries!$A:$A,0)),"؟"),"")</f>
        <v/>
      </c>
      <c r="AB63" s="32">
        <f>IF($AD63=1,IFERROR(IF(INDEX(COA!$I:$I,MATCH($G63,COA!$A:$A,0))="","OPERATING",INDEX(COA!$I:$I,MATCH($G63,COA!$A:$A,0))),"OPERATING"),"")</f>
        <v/>
      </c>
      <c r="AC63" s="43">
        <f>IF($AD63=1,IF(AND($V63&lt;&gt;"CN",$L63=""),$W63,0),"")</f>
        <v/>
      </c>
      <c r="AD63" s="32">
        <f>IF(COUNTA($A63:$U63)&gt;0,1,0)</f>
        <v/>
      </c>
      <c r="AE63" s="32">
        <f>IF($AD63=0,"",IF($A63="","رقم المستند ناقص",IF(COUNTIF(Doc_Register!$A:$A,$A63)&gt;1,"رقم مستند مكرر في السجل المركزي",IF(LEFT($A63,LEN("SINV")+1)&lt;&gt;"SINV"&amp;"-","بادئة الرقم لا تطابق نوع المستند",IF(NOT(ISNUMBER($E63)),"التاريخ ناقص أو غير صحيح",IF($O63="","حالة المستند ناقصة",IF($P63="","اسم المُعِد ناقص",IF(AND(OR($O63=ST_APPR,$O63=ST_POST),$Q63=""),"لا يوجد معتمد",IF(AND($Q63&lt;&gt;"",$Q63=$P63),"المُعِد والمعتمد نفس الشخص (فصل المهام)",IF(AND($O63=ST_POST,$R63=""),"اسم المحاسب المرحِّل ناقص",IF(AND($O63=ST_POST,$R63&lt;&gt;"",OR($R63=$P63,$R63=$Q63)),"المرحِّل يجب أن يختلف عن المُعِد والمعتمد",IF(AND($O63=ST_REV,$T63=""),"مرجع التصحيح/الإلغاء ناقص",IF(AND(ISNUMBER($E63),OR($O63=ST_DRAFT,$O63=ST_APPR),COUNTIFS(Period_Close!$A:$A,YEAR($E63)*100+MONTH($E63),Period_Close!$B:$B,"مقفلة")&gt;0),"الفترة مقفلة: لا يسمح بمستند جديد",IF(COUNTIF(Suppliers!$A:$A,$C63)=0,"المورد غير معرف",IF($B63="","رقم فاتورة المورد ناقص",IF($Z63=1,"فاتورة مكررة (نفس المورد ونفس الرقم)",IF(NOT(ISNUMBER($D63)),"تاريخ الفاتورة ناقص",IF($V63="?","نوع المستند غير معرف",IF(COUNTIFS(COA!$A:$A,$G63,COA!$K:$K,"نعم",COA!$R:$R,1)&lt;&gt;1,"حساب مدين غير مسموح في المشتريات",IF(NOT(COUNTIF(Locations!$A:$A,$H63)&gt;0),"جهة الاستلام غير معرفة",IF(NOT(COUNTIF(Cost_Centers!$A:$A,$I63)&gt;0),"مركز التكلفة غير معرف",IF(NOT(N($J63)&gt;0),"الصافي يجب أن يكون أكبر من صفر",IF(AND(N($K63)&gt;0,S_VATOn&lt;&gt;"نعم"),"الضريبة غير مفعلة في Tax_Settings",IF(AND($L63&lt;&gt;"",COUNTIFS(COA!$A:$A,$AA63,COA!$R:$R,1)&lt;&gt;1),"خزينة الدفع الفوري غير صالحة",IF(AND($L63&lt;&gt;"",$V63="CN"),"الإشعار الدائن لا يُسدَّد فوريًا",IF(AND($V63="INV",$M63="",$N63="",$S63=""),"فاتورة بدون مرجع (أمر شراء/استلام/مرفق)",""))))))))))))))))))))))))))</f>
        <v/>
      </c>
      <c r="AF63" s="32">
        <f>IF($AD63=1,IF($AE63&lt;&gt;"",1,0),0)</f>
        <v/>
      </c>
      <c r="AG63" s="32">
        <f>IF(AND($AD63=1,$AF63=0,$O63=ST_POST),1,0)</f>
        <v/>
      </c>
    </row>
    <row r="64">
      <c r="A64" s="29" t="n"/>
      <c r="B64" s="29" t="n"/>
      <c r="C64" s="39" t="n"/>
      <c r="D64" s="31" t="n"/>
      <c r="E64" s="31" t="n"/>
      <c r="F64" s="29" t="n"/>
      <c r="G64" s="39" t="n"/>
      <c r="H64" s="39" t="n"/>
      <c r="I64" s="39" t="n"/>
      <c r="J64" s="42" t="n"/>
      <c r="K64" s="42" t="n"/>
      <c r="L64" s="39" t="n"/>
      <c r="M64" s="29" t="n"/>
      <c r="N64" s="29" t="n"/>
      <c r="O64" s="39" t="n"/>
      <c r="P64" s="29" t="n"/>
      <c r="Q64" s="29" t="n"/>
      <c r="R64" s="29" t="n"/>
      <c r="S64" s="29" t="n"/>
      <c r="T64" s="29" t="n"/>
      <c r="U64" s="29" t="n"/>
      <c r="V64" s="32">
        <f>IF($AD64=1,IFERROR(INDEX(Lists!$K$5:$K$7,MATCH($F64,Lists!$J$5:$J$7,0)),"?"),"")</f>
        <v/>
      </c>
      <c r="W64" s="43">
        <f>IF($AD64=1,$J64+$K64,"")</f>
        <v/>
      </c>
      <c r="X64" s="32">
        <f>IF($AD64=1,IFERROR(INDEX(Suppliers!$D:$D,MATCH($C64,Suppliers!$A:$A,0)),"؟"),"")</f>
        <v/>
      </c>
      <c r="Y64" s="33">
        <f>IF($AD64=1,IF(AND(ISNUMBER($D64),ISNUMBER($X64)),$D64+$X64,""),"")</f>
        <v/>
      </c>
      <c r="Z64" s="44">
        <f>IF($AD64=1,IF(AND($O64&lt;&gt;ST_REV,$O64&lt;&gt;ST_CANC,COUNTIFS($C$4:$C63,$C64,$B$4:$B63,$B64,$O$4:$O63,"&lt;&gt;"&amp;ST_REV,$O$4:$O63,"&lt;&gt;"&amp;ST_CANC)&gt;0),1,0),"")</f>
        <v/>
      </c>
      <c r="AA64" s="32">
        <f>IF(AND($AD64=1,$L64&lt;&gt;""),IFERROR(INDEX(Treasuries!$E:$E,MATCH($L64,Treasuries!$A:$A,0)),"؟"),"")</f>
        <v/>
      </c>
      <c r="AB64" s="32">
        <f>IF($AD64=1,IFERROR(IF(INDEX(COA!$I:$I,MATCH($G64,COA!$A:$A,0))="","OPERATING",INDEX(COA!$I:$I,MATCH($G64,COA!$A:$A,0))),"OPERATING"),"")</f>
        <v/>
      </c>
      <c r="AC64" s="43">
        <f>IF($AD64=1,IF(AND($V64&lt;&gt;"CN",$L64=""),$W64,0),"")</f>
        <v/>
      </c>
      <c r="AD64" s="32">
        <f>IF(COUNTA($A64:$U64)&gt;0,1,0)</f>
        <v/>
      </c>
      <c r="AE64" s="32">
        <f>IF($AD64=0,"",IF($A64="","رقم المستند ناقص",IF(COUNTIF(Doc_Register!$A:$A,$A64)&gt;1,"رقم مستند مكرر في السجل المركزي",IF(LEFT($A64,LEN("SINV")+1)&lt;&gt;"SINV"&amp;"-","بادئة الرقم لا تطابق نوع المستند",IF(NOT(ISNUMBER($E64)),"التاريخ ناقص أو غير صحيح",IF($O64="","حالة المستند ناقصة",IF($P64="","اسم المُعِد ناقص",IF(AND(OR($O64=ST_APPR,$O64=ST_POST),$Q64=""),"لا يوجد معتمد",IF(AND($Q64&lt;&gt;"",$Q64=$P64),"المُعِد والمعتمد نفس الشخص (فصل المهام)",IF(AND($O64=ST_POST,$R64=""),"اسم المحاسب المرحِّل ناقص",IF(AND($O64=ST_POST,$R64&lt;&gt;"",OR($R64=$P64,$R64=$Q64)),"المرحِّل يجب أن يختلف عن المُعِد والمعتمد",IF(AND($O64=ST_REV,$T64=""),"مرجع التصحيح/الإلغاء ناقص",IF(AND(ISNUMBER($E64),OR($O64=ST_DRAFT,$O64=ST_APPR),COUNTIFS(Period_Close!$A:$A,YEAR($E64)*100+MONTH($E64),Period_Close!$B:$B,"مقفلة")&gt;0),"الفترة مقفلة: لا يسمح بمستند جديد",IF(COUNTIF(Suppliers!$A:$A,$C64)=0,"المورد غير معرف",IF($B64="","رقم فاتورة المورد ناقص",IF($Z64=1,"فاتورة مكررة (نفس المورد ونفس الرقم)",IF(NOT(ISNUMBER($D64)),"تاريخ الفاتورة ناقص",IF($V64="?","نوع المستند غير معرف",IF(COUNTIFS(COA!$A:$A,$G64,COA!$K:$K,"نعم",COA!$R:$R,1)&lt;&gt;1,"حساب مدين غير مسموح في المشتريات",IF(NOT(COUNTIF(Locations!$A:$A,$H64)&gt;0),"جهة الاستلام غير معرفة",IF(NOT(COUNTIF(Cost_Centers!$A:$A,$I64)&gt;0),"مركز التكلفة غير معرف",IF(NOT(N($J64)&gt;0),"الصافي يجب أن يكون أكبر من صفر",IF(AND(N($K64)&gt;0,S_VATOn&lt;&gt;"نعم"),"الضريبة غير مفعلة في Tax_Settings",IF(AND($L64&lt;&gt;"",COUNTIFS(COA!$A:$A,$AA64,COA!$R:$R,1)&lt;&gt;1),"خزينة الدفع الفوري غير صالحة",IF(AND($L64&lt;&gt;"",$V64="CN"),"الإشعار الدائن لا يُسدَّد فوريًا",IF(AND($V64="INV",$M64="",$N64="",$S64=""),"فاتورة بدون مرجع (أمر شراء/استلام/مرفق)",""))))))))))))))))))))))))))</f>
        <v/>
      </c>
      <c r="AF64" s="32">
        <f>IF($AD64=1,IF($AE64&lt;&gt;"",1,0),0)</f>
        <v/>
      </c>
      <c r="AG64" s="32">
        <f>IF(AND($AD64=1,$AF64=0,$O64=ST_POST),1,0)</f>
        <v/>
      </c>
    </row>
    <row r="65">
      <c r="A65" s="29" t="n"/>
      <c r="B65" s="29" t="n"/>
      <c r="C65" s="39" t="n"/>
      <c r="D65" s="31" t="n"/>
      <c r="E65" s="31" t="n"/>
      <c r="F65" s="29" t="n"/>
      <c r="G65" s="39" t="n"/>
      <c r="H65" s="39" t="n"/>
      <c r="I65" s="39" t="n"/>
      <c r="J65" s="42" t="n"/>
      <c r="K65" s="42" t="n"/>
      <c r="L65" s="39" t="n"/>
      <c r="M65" s="29" t="n"/>
      <c r="N65" s="29" t="n"/>
      <c r="O65" s="39" t="n"/>
      <c r="P65" s="29" t="n"/>
      <c r="Q65" s="29" t="n"/>
      <c r="R65" s="29" t="n"/>
      <c r="S65" s="29" t="n"/>
      <c r="T65" s="29" t="n"/>
      <c r="U65" s="29" t="n"/>
      <c r="V65" s="32">
        <f>IF($AD65=1,IFERROR(INDEX(Lists!$K$5:$K$7,MATCH($F65,Lists!$J$5:$J$7,0)),"?"),"")</f>
        <v/>
      </c>
      <c r="W65" s="43">
        <f>IF($AD65=1,$J65+$K65,"")</f>
        <v/>
      </c>
      <c r="X65" s="32">
        <f>IF($AD65=1,IFERROR(INDEX(Suppliers!$D:$D,MATCH($C65,Suppliers!$A:$A,0)),"؟"),"")</f>
        <v/>
      </c>
      <c r="Y65" s="33">
        <f>IF($AD65=1,IF(AND(ISNUMBER($D65),ISNUMBER($X65)),$D65+$X65,""),"")</f>
        <v/>
      </c>
      <c r="Z65" s="44">
        <f>IF($AD65=1,IF(AND($O65&lt;&gt;ST_REV,$O65&lt;&gt;ST_CANC,COUNTIFS($C$4:$C64,$C65,$B$4:$B64,$B65,$O$4:$O64,"&lt;&gt;"&amp;ST_REV,$O$4:$O64,"&lt;&gt;"&amp;ST_CANC)&gt;0),1,0),"")</f>
        <v/>
      </c>
      <c r="AA65" s="32">
        <f>IF(AND($AD65=1,$L65&lt;&gt;""),IFERROR(INDEX(Treasuries!$E:$E,MATCH($L65,Treasuries!$A:$A,0)),"؟"),"")</f>
        <v/>
      </c>
      <c r="AB65" s="32">
        <f>IF($AD65=1,IFERROR(IF(INDEX(COA!$I:$I,MATCH($G65,COA!$A:$A,0))="","OPERATING",INDEX(COA!$I:$I,MATCH($G65,COA!$A:$A,0))),"OPERATING"),"")</f>
        <v/>
      </c>
      <c r="AC65" s="43">
        <f>IF($AD65=1,IF(AND($V65&lt;&gt;"CN",$L65=""),$W65,0),"")</f>
        <v/>
      </c>
      <c r="AD65" s="32">
        <f>IF(COUNTA($A65:$U65)&gt;0,1,0)</f>
        <v/>
      </c>
      <c r="AE65" s="32">
        <f>IF($AD65=0,"",IF($A65="","رقم المستند ناقص",IF(COUNTIF(Doc_Register!$A:$A,$A65)&gt;1,"رقم مستند مكرر في السجل المركزي",IF(LEFT($A65,LEN("SINV")+1)&lt;&gt;"SINV"&amp;"-","بادئة الرقم لا تطابق نوع المستند",IF(NOT(ISNUMBER($E65)),"التاريخ ناقص أو غير صحيح",IF($O65="","حالة المستند ناقصة",IF($P65="","اسم المُعِد ناقص",IF(AND(OR($O65=ST_APPR,$O65=ST_POST),$Q65=""),"لا يوجد معتمد",IF(AND($Q65&lt;&gt;"",$Q65=$P65),"المُعِد والمعتمد نفس الشخص (فصل المهام)",IF(AND($O65=ST_POST,$R65=""),"اسم المحاسب المرحِّل ناقص",IF(AND($O65=ST_POST,$R65&lt;&gt;"",OR($R65=$P65,$R65=$Q65)),"المرحِّل يجب أن يختلف عن المُعِد والمعتمد",IF(AND($O65=ST_REV,$T65=""),"مرجع التصحيح/الإلغاء ناقص",IF(AND(ISNUMBER($E65),OR($O65=ST_DRAFT,$O65=ST_APPR),COUNTIFS(Period_Close!$A:$A,YEAR($E65)*100+MONTH($E65),Period_Close!$B:$B,"مقفلة")&gt;0),"الفترة مقفلة: لا يسمح بمستند جديد",IF(COUNTIF(Suppliers!$A:$A,$C65)=0,"المورد غير معرف",IF($B65="","رقم فاتورة المورد ناقص",IF($Z65=1,"فاتورة مكررة (نفس المورد ونفس الرقم)",IF(NOT(ISNUMBER($D65)),"تاريخ الفاتورة ناقص",IF($V65="?","نوع المستند غير معرف",IF(COUNTIFS(COA!$A:$A,$G65,COA!$K:$K,"نعم",COA!$R:$R,1)&lt;&gt;1,"حساب مدين غير مسموح في المشتريات",IF(NOT(COUNTIF(Locations!$A:$A,$H65)&gt;0),"جهة الاستلام غير معرفة",IF(NOT(COUNTIF(Cost_Centers!$A:$A,$I65)&gt;0),"مركز التكلفة غير معرف",IF(NOT(N($J65)&gt;0),"الصافي يجب أن يكون أكبر من صفر",IF(AND(N($K65)&gt;0,S_VATOn&lt;&gt;"نعم"),"الضريبة غير مفعلة في Tax_Settings",IF(AND($L65&lt;&gt;"",COUNTIFS(COA!$A:$A,$AA65,COA!$R:$R,1)&lt;&gt;1),"خزينة الدفع الفوري غير صالحة",IF(AND($L65&lt;&gt;"",$V65="CN"),"الإشعار الدائن لا يُسدَّد فوريًا",IF(AND($V65="INV",$M65="",$N65="",$S65=""),"فاتورة بدون مرجع (أمر شراء/استلام/مرفق)",""))))))))))))))))))))))))))</f>
        <v/>
      </c>
      <c r="AF65" s="32">
        <f>IF($AD65=1,IF($AE65&lt;&gt;"",1,0),0)</f>
        <v/>
      </c>
      <c r="AG65" s="32">
        <f>IF(AND($AD65=1,$AF65=0,$O65=ST_POST),1,0)</f>
        <v/>
      </c>
    </row>
    <row r="66">
      <c r="A66" s="29" t="n"/>
      <c r="B66" s="29" t="n"/>
      <c r="C66" s="39" t="n"/>
      <c r="D66" s="31" t="n"/>
      <c r="E66" s="31" t="n"/>
      <c r="F66" s="29" t="n"/>
      <c r="G66" s="39" t="n"/>
      <c r="H66" s="39" t="n"/>
      <c r="I66" s="39" t="n"/>
      <c r="J66" s="42" t="n"/>
      <c r="K66" s="42" t="n"/>
      <c r="L66" s="39" t="n"/>
      <c r="M66" s="29" t="n"/>
      <c r="N66" s="29" t="n"/>
      <c r="O66" s="39" t="n"/>
      <c r="P66" s="29" t="n"/>
      <c r="Q66" s="29" t="n"/>
      <c r="R66" s="29" t="n"/>
      <c r="S66" s="29" t="n"/>
      <c r="T66" s="29" t="n"/>
      <c r="U66" s="29" t="n"/>
      <c r="V66" s="32">
        <f>IF($AD66=1,IFERROR(INDEX(Lists!$K$5:$K$7,MATCH($F66,Lists!$J$5:$J$7,0)),"?"),"")</f>
        <v/>
      </c>
      <c r="W66" s="43">
        <f>IF($AD66=1,$J66+$K66,"")</f>
        <v/>
      </c>
      <c r="X66" s="32">
        <f>IF($AD66=1,IFERROR(INDEX(Suppliers!$D:$D,MATCH($C66,Suppliers!$A:$A,0)),"؟"),"")</f>
        <v/>
      </c>
      <c r="Y66" s="33">
        <f>IF($AD66=1,IF(AND(ISNUMBER($D66),ISNUMBER($X66)),$D66+$X66,""),"")</f>
        <v/>
      </c>
      <c r="Z66" s="44">
        <f>IF($AD66=1,IF(AND($O66&lt;&gt;ST_REV,$O66&lt;&gt;ST_CANC,COUNTIFS($C$4:$C65,$C66,$B$4:$B65,$B66,$O$4:$O65,"&lt;&gt;"&amp;ST_REV,$O$4:$O65,"&lt;&gt;"&amp;ST_CANC)&gt;0),1,0),"")</f>
        <v/>
      </c>
      <c r="AA66" s="32">
        <f>IF(AND($AD66=1,$L66&lt;&gt;""),IFERROR(INDEX(Treasuries!$E:$E,MATCH($L66,Treasuries!$A:$A,0)),"؟"),"")</f>
        <v/>
      </c>
      <c r="AB66" s="32">
        <f>IF($AD66=1,IFERROR(IF(INDEX(COA!$I:$I,MATCH($G66,COA!$A:$A,0))="","OPERATING",INDEX(COA!$I:$I,MATCH($G66,COA!$A:$A,0))),"OPERATING"),"")</f>
        <v/>
      </c>
      <c r="AC66" s="43">
        <f>IF($AD66=1,IF(AND($V66&lt;&gt;"CN",$L66=""),$W66,0),"")</f>
        <v/>
      </c>
      <c r="AD66" s="32">
        <f>IF(COUNTA($A66:$U66)&gt;0,1,0)</f>
        <v/>
      </c>
      <c r="AE66" s="32">
        <f>IF($AD66=0,"",IF($A66="","رقم المستند ناقص",IF(COUNTIF(Doc_Register!$A:$A,$A66)&gt;1,"رقم مستند مكرر في السجل المركزي",IF(LEFT($A66,LEN("SINV")+1)&lt;&gt;"SINV"&amp;"-","بادئة الرقم لا تطابق نوع المستند",IF(NOT(ISNUMBER($E66)),"التاريخ ناقص أو غير صحيح",IF($O66="","حالة المستند ناقصة",IF($P66="","اسم المُعِد ناقص",IF(AND(OR($O66=ST_APPR,$O66=ST_POST),$Q66=""),"لا يوجد معتمد",IF(AND($Q66&lt;&gt;"",$Q66=$P66),"المُعِد والمعتمد نفس الشخص (فصل المهام)",IF(AND($O66=ST_POST,$R66=""),"اسم المحاسب المرحِّل ناقص",IF(AND($O66=ST_POST,$R66&lt;&gt;"",OR($R66=$P66,$R66=$Q66)),"المرحِّل يجب أن يختلف عن المُعِد والمعتمد",IF(AND($O66=ST_REV,$T66=""),"مرجع التصحيح/الإلغاء ناقص",IF(AND(ISNUMBER($E66),OR($O66=ST_DRAFT,$O66=ST_APPR),COUNTIFS(Period_Close!$A:$A,YEAR($E66)*100+MONTH($E66),Period_Close!$B:$B,"مقفلة")&gt;0),"الفترة مقفلة: لا يسمح بمستند جديد",IF(COUNTIF(Suppliers!$A:$A,$C66)=0,"المورد غير معرف",IF($B66="","رقم فاتورة المورد ناقص",IF($Z66=1,"فاتورة مكررة (نفس المورد ونفس الرقم)",IF(NOT(ISNUMBER($D66)),"تاريخ الفاتورة ناقص",IF($V66="?","نوع المستند غير معرف",IF(COUNTIFS(COA!$A:$A,$G66,COA!$K:$K,"نعم",COA!$R:$R,1)&lt;&gt;1,"حساب مدين غير مسموح في المشتريات",IF(NOT(COUNTIF(Locations!$A:$A,$H66)&gt;0),"جهة الاستلام غير معرفة",IF(NOT(COUNTIF(Cost_Centers!$A:$A,$I66)&gt;0),"مركز التكلفة غير معرف",IF(NOT(N($J66)&gt;0),"الصافي يجب أن يكون أكبر من صفر",IF(AND(N($K66)&gt;0,S_VATOn&lt;&gt;"نعم"),"الضريبة غير مفعلة في Tax_Settings",IF(AND($L66&lt;&gt;"",COUNTIFS(COA!$A:$A,$AA66,COA!$R:$R,1)&lt;&gt;1),"خزينة الدفع الفوري غير صالحة",IF(AND($L66&lt;&gt;"",$V66="CN"),"الإشعار الدائن لا يُسدَّد فوريًا",IF(AND($V66="INV",$M66="",$N66="",$S66=""),"فاتورة بدون مرجع (أمر شراء/استلام/مرفق)",""))))))))))))))))))))))))))</f>
        <v/>
      </c>
      <c r="AF66" s="32">
        <f>IF($AD66=1,IF($AE66&lt;&gt;"",1,0),0)</f>
        <v/>
      </c>
      <c r="AG66" s="32">
        <f>IF(AND($AD66=1,$AF66=0,$O66=ST_POST),1,0)</f>
        <v/>
      </c>
    </row>
    <row r="67">
      <c r="A67" s="29" t="n"/>
      <c r="B67" s="29" t="n"/>
      <c r="C67" s="39" t="n"/>
      <c r="D67" s="31" t="n"/>
      <c r="E67" s="31" t="n"/>
      <c r="F67" s="29" t="n"/>
      <c r="G67" s="39" t="n"/>
      <c r="H67" s="39" t="n"/>
      <c r="I67" s="39" t="n"/>
      <c r="J67" s="42" t="n"/>
      <c r="K67" s="42" t="n"/>
      <c r="L67" s="39" t="n"/>
      <c r="M67" s="29" t="n"/>
      <c r="N67" s="29" t="n"/>
      <c r="O67" s="39" t="n"/>
      <c r="P67" s="29" t="n"/>
      <c r="Q67" s="29" t="n"/>
      <c r="R67" s="29" t="n"/>
      <c r="S67" s="29" t="n"/>
      <c r="T67" s="29" t="n"/>
      <c r="U67" s="29" t="n"/>
      <c r="V67" s="32">
        <f>IF($AD67=1,IFERROR(INDEX(Lists!$K$5:$K$7,MATCH($F67,Lists!$J$5:$J$7,0)),"?"),"")</f>
        <v/>
      </c>
      <c r="W67" s="43">
        <f>IF($AD67=1,$J67+$K67,"")</f>
        <v/>
      </c>
      <c r="X67" s="32">
        <f>IF($AD67=1,IFERROR(INDEX(Suppliers!$D:$D,MATCH($C67,Suppliers!$A:$A,0)),"؟"),"")</f>
        <v/>
      </c>
      <c r="Y67" s="33">
        <f>IF($AD67=1,IF(AND(ISNUMBER($D67),ISNUMBER($X67)),$D67+$X67,""),"")</f>
        <v/>
      </c>
      <c r="Z67" s="44">
        <f>IF($AD67=1,IF(AND($O67&lt;&gt;ST_REV,$O67&lt;&gt;ST_CANC,COUNTIFS($C$4:$C66,$C67,$B$4:$B66,$B67,$O$4:$O66,"&lt;&gt;"&amp;ST_REV,$O$4:$O66,"&lt;&gt;"&amp;ST_CANC)&gt;0),1,0),"")</f>
        <v/>
      </c>
      <c r="AA67" s="32">
        <f>IF(AND($AD67=1,$L67&lt;&gt;""),IFERROR(INDEX(Treasuries!$E:$E,MATCH($L67,Treasuries!$A:$A,0)),"؟"),"")</f>
        <v/>
      </c>
      <c r="AB67" s="32">
        <f>IF($AD67=1,IFERROR(IF(INDEX(COA!$I:$I,MATCH($G67,COA!$A:$A,0))="","OPERATING",INDEX(COA!$I:$I,MATCH($G67,COA!$A:$A,0))),"OPERATING"),"")</f>
        <v/>
      </c>
      <c r="AC67" s="43">
        <f>IF($AD67=1,IF(AND($V67&lt;&gt;"CN",$L67=""),$W67,0),"")</f>
        <v/>
      </c>
      <c r="AD67" s="32">
        <f>IF(COUNTA($A67:$U67)&gt;0,1,0)</f>
        <v/>
      </c>
      <c r="AE67" s="32">
        <f>IF($AD67=0,"",IF($A67="","رقم المستند ناقص",IF(COUNTIF(Doc_Register!$A:$A,$A67)&gt;1,"رقم مستند مكرر في السجل المركزي",IF(LEFT($A67,LEN("SINV")+1)&lt;&gt;"SINV"&amp;"-","بادئة الرقم لا تطابق نوع المستند",IF(NOT(ISNUMBER($E67)),"التاريخ ناقص أو غير صحيح",IF($O67="","حالة المستند ناقصة",IF($P67="","اسم المُعِد ناقص",IF(AND(OR($O67=ST_APPR,$O67=ST_POST),$Q67=""),"لا يوجد معتمد",IF(AND($Q67&lt;&gt;"",$Q67=$P67),"المُعِد والمعتمد نفس الشخص (فصل المهام)",IF(AND($O67=ST_POST,$R67=""),"اسم المحاسب المرحِّل ناقص",IF(AND($O67=ST_POST,$R67&lt;&gt;"",OR($R67=$P67,$R67=$Q67)),"المرحِّل يجب أن يختلف عن المُعِد والمعتمد",IF(AND($O67=ST_REV,$T67=""),"مرجع التصحيح/الإلغاء ناقص",IF(AND(ISNUMBER($E67),OR($O67=ST_DRAFT,$O67=ST_APPR),COUNTIFS(Period_Close!$A:$A,YEAR($E67)*100+MONTH($E67),Period_Close!$B:$B,"مقفلة")&gt;0),"الفترة مقفلة: لا يسمح بمستند جديد",IF(COUNTIF(Suppliers!$A:$A,$C67)=0,"المورد غير معرف",IF($B67="","رقم فاتورة المورد ناقص",IF($Z67=1,"فاتورة مكررة (نفس المورد ونفس الرقم)",IF(NOT(ISNUMBER($D67)),"تاريخ الفاتورة ناقص",IF($V67="?","نوع المستند غير معرف",IF(COUNTIFS(COA!$A:$A,$G67,COA!$K:$K,"نعم",COA!$R:$R,1)&lt;&gt;1,"حساب مدين غير مسموح في المشتريات",IF(NOT(COUNTIF(Locations!$A:$A,$H67)&gt;0),"جهة الاستلام غير معرفة",IF(NOT(COUNTIF(Cost_Centers!$A:$A,$I67)&gt;0),"مركز التكلفة غير معرف",IF(NOT(N($J67)&gt;0),"الصافي يجب أن يكون أكبر من صفر",IF(AND(N($K67)&gt;0,S_VATOn&lt;&gt;"نعم"),"الضريبة غير مفعلة في Tax_Settings",IF(AND($L67&lt;&gt;"",COUNTIFS(COA!$A:$A,$AA67,COA!$R:$R,1)&lt;&gt;1),"خزينة الدفع الفوري غير صالحة",IF(AND($L67&lt;&gt;"",$V67="CN"),"الإشعار الدائن لا يُسدَّد فوريًا",IF(AND($V67="INV",$M67="",$N67="",$S67=""),"فاتورة بدون مرجع (أمر شراء/استلام/مرفق)",""))))))))))))))))))))))))))</f>
        <v/>
      </c>
      <c r="AF67" s="32">
        <f>IF($AD67=1,IF($AE67&lt;&gt;"",1,0),0)</f>
        <v/>
      </c>
      <c r="AG67" s="32">
        <f>IF(AND($AD67=1,$AF67=0,$O67=ST_POST),1,0)</f>
        <v/>
      </c>
    </row>
    <row r="68">
      <c r="A68" s="29" t="n"/>
      <c r="B68" s="29" t="n"/>
      <c r="C68" s="39" t="n"/>
      <c r="D68" s="31" t="n"/>
      <c r="E68" s="31" t="n"/>
      <c r="F68" s="29" t="n"/>
      <c r="G68" s="39" t="n"/>
      <c r="H68" s="39" t="n"/>
      <c r="I68" s="39" t="n"/>
      <c r="J68" s="42" t="n"/>
      <c r="K68" s="42" t="n"/>
      <c r="L68" s="39" t="n"/>
      <c r="M68" s="29" t="n"/>
      <c r="N68" s="29" t="n"/>
      <c r="O68" s="39" t="n"/>
      <c r="P68" s="29" t="n"/>
      <c r="Q68" s="29" t="n"/>
      <c r="R68" s="29" t="n"/>
      <c r="S68" s="29" t="n"/>
      <c r="T68" s="29" t="n"/>
      <c r="U68" s="29" t="n"/>
      <c r="V68" s="32">
        <f>IF($AD68=1,IFERROR(INDEX(Lists!$K$5:$K$7,MATCH($F68,Lists!$J$5:$J$7,0)),"?"),"")</f>
        <v/>
      </c>
      <c r="W68" s="43">
        <f>IF($AD68=1,$J68+$K68,"")</f>
        <v/>
      </c>
      <c r="X68" s="32">
        <f>IF($AD68=1,IFERROR(INDEX(Suppliers!$D:$D,MATCH($C68,Suppliers!$A:$A,0)),"؟"),"")</f>
        <v/>
      </c>
      <c r="Y68" s="33">
        <f>IF($AD68=1,IF(AND(ISNUMBER($D68),ISNUMBER($X68)),$D68+$X68,""),"")</f>
        <v/>
      </c>
      <c r="Z68" s="44">
        <f>IF($AD68=1,IF(AND($O68&lt;&gt;ST_REV,$O68&lt;&gt;ST_CANC,COUNTIFS($C$4:$C67,$C68,$B$4:$B67,$B68,$O$4:$O67,"&lt;&gt;"&amp;ST_REV,$O$4:$O67,"&lt;&gt;"&amp;ST_CANC)&gt;0),1,0),"")</f>
        <v/>
      </c>
      <c r="AA68" s="32">
        <f>IF(AND($AD68=1,$L68&lt;&gt;""),IFERROR(INDEX(Treasuries!$E:$E,MATCH($L68,Treasuries!$A:$A,0)),"؟"),"")</f>
        <v/>
      </c>
      <c r="AB68" s="32">
        <f>IF($AD68=1,IFERROR(IF(INDEX(COA!$I:$I,MATCH($G68,COA!$A:$A,0))="","OPERATING",INDEX(COA!$I:$I,MATCH($G68,COA!$A:$A,0))),"OPERATING"),"")</f>
        <v/>
      </c>
      <c r="AC68" s="43">
        <f>IF($AD68=1,IF(AND($V68&lt;&gt;"CN",$L68=""),$W68,0),"")</f>
        <v/>
      </c>
      <c r="AD68" s="32">
        <f>IF(COUNTA($A68:$U68)&gt;0,1,0)</f>
        <v/>
      </c>
      <c r="AE68" s="32">
        <f>IF($AD68=0,"",IF($A68="","رقم المستند ناقص",IF(COUNTIF(Doc_Register!$A:$A,$A68)&gt;1,"رقم مستند مكرر في السجل المركزي",IF(LEFT($A68,LEN("SINV")+1)&lt;&gt;"SINV"&amp;"-","بادئة الرقم لا تطابق نوع المستند",IF(NOT(ISNUMBER($E68)),"التاريخ ناقص أو غير صحيح",IF($O68="","حالة المستند ناقصة",IF($P68="","اسم المُعِد ناقص",IF(AND(OR($O68=ST_APPR,$O68=ST_POST),$Q68=""),"لا يوجد معتمد",IF(AND($Q68&lt;&gt;"",$Q68=$P68),"المُعِد والمعتمد نفس الشخص (فصل المهام)",IF(AND($O68=ST_POST,$R68=""),"اسم المحاسب المرحِّل ناقص",IF(AND($O68=ST_POST,$R68&lt;&gt;"",OR($R68=$P68,$R68=$Q68)),"المرحِّل يجب أن يختلف عن المُعِد والمعتمد",IF(AND($O68=ST_REV,$T68=""),"مرجع التصحيح/الإلغاء ناقص",IF(AND(ISNUMBER($E68),OR($O68=ST_DRAFT,$O68=ST_APPR),COUNTIFS(Period_Close!$A:$A,YEAR($E68)*100+MONTH($E68),Period_Close!$B:$B,"مقفلة")&gt;0),"الفترة مقفلة: لا يسمح بمستند جديد",IF(COUNTIF(Suppliers!$A:$A,$C68)=0,"المورد غير معرف",IF($B68="","رقم فاتورة المورد ناقص",IF($Z68=1,"فاتورة مكررة (نفس المورد ونفس الرقم)",IF(NOT(ISNUMBER($D68)),"تاريخ الفاتورة ناقص",IF($V68="?","نوع المستند غير معرف",IF(COUNTIFS(COA!$A:$A,$G68,COA!$K:$K,"نعم",COA!$R:$R,1)&lt;&gt;1,"حساب مدين غير مسموح في المشتريات",IF(NOT(COUNTIF(Locations!$A:$A,$H68)&gt;0),"جهة الاستلام غير معرفة",IF(NOT(COUNTIF(Cost_Centers!$A:$A,$I68)&gt;0),"مركز التكلفة غير معرف",IF(NOT(N($J68)&gt;0),"الصافي يجب أن يكون أكبر من صفر",IF(AND(N($K68)&gt;0,S_VATOn&lt;&gt;"نعم"),"الضريبة غير مفعلة في Tax_Settings",IF(AND($L68&lt;&gt;"",COUNTIFS(COA!$A:$A,$AA68,COA!$R:$R,1)&lt;&gt;1),"خزينة الدفع الفوري غير صالحة",IF(AND($L68&lt;&gt;"",$V68="CN"),"الإشعار الدائن لا يُسدَّد فوريًا",IF(AND($V68="INV",$M68="",$N68="",$S68=""),"فاتورة بدون مرجع (أمر شراء/استلام/مرفق)",""))))))))))))))))))))))))))</f>
        <v/>
      </c>
      <c r="AF68" s="32">
        <f>IF($AD68=1,IF($AE68&lt;&gt;"",1,0),0)</f>
        <v/>
      </c>
      <c r="AG68" s="32">
        <f>IF(AND($AD68=1,$AF68=0,$O68=ST_POST),1,0)</f>
        <v/>
      </c>
    </row>
    <row r="69">
      <c r="A69" s="29" t="n"/>
      <c r="B69" s="29" t="n"/>
      <c r="C69" s="39" t="n"/>
      <c r="D69" s="31" t="n"/>
      <c r="E69" s="31" t="n"/>
      <c r="F69" s="29" t="n"/>
      <c r="G69" s="39" t="n"/>
      <c r="H69" s="39" t="n"/>
      <c r="I69" s="39" t="n"/>
      <c r="J69" s="42" t="n"/>
      <c r="K69" s="42" t="n"/>
      <c r="L69" s="39" t="n"/>
      <c r="M69" s="29" t="n"/>
      <c r="N69" s="29" t="n"/>
      <c r="O69" s="39" t="n"/>
      <c r="P69" s="29" t="n"/>
      <c r="Q69" s="29" t="n"/>
      <c r="R69" s="29" t="n"/>
      <c r="S69" s="29" t="n"/>
      <c r="T69" s="29" t="n"/>
      <c r="U69" s="29" t="n"/>
      <c r="V69" s="32">
        <f>IF($AD69=1,IFERROR(INDEX(Lists!$K$5:$K$7,MATCH($F69,Lists!$J$5:$J$7,0)),"?"),"")</f>
        <v/>
      </c>
      <c r="W69" s="43">
        <f>IF($AD69=1,$J69+$K69,"")</f>
        <v/>
      </c>
      <c r="X69" s="32">
        <f>IF($AD69=1,IFERROR(INDEX(Suppliers!$D:$D,MATCH($C69,Suppliers!$A:$A,0)),"؟"),"")</f>
        <v/>
      </c>
      <c r="Y69" s="33">
        <f>IF($AD69=1,IF(AND(ISNUMBER($D69),ISNUMBER($X69)),$D69+$X69,""),"")</f>
        <v/>
      </c>
      <c r="Z69" s="44">
        <f>IF($AD69=1,IF(AND($O69&lt;&gt;ST_REV,$O69&lt;&gt;ST_CANC,COUNTIFS($C$4:$C68,$C69,$B$4:$B68,$B69,$O$4:$O68,"&lt;&gt;"&amp;ST_REV,$O$4:$O68,"&lt;&gt;"&amp;ST_CANC)&gt;0),1,0),"")</f>
        <v/>
      </c>
      <c r="AA69" s="32">
        <f>IF(AND($AD69=1,$L69&lt;&gt;""),IFERROR(INDEX(Treasuries!$E:$E,MATCH($L69,Treasuries!$A:$A,0)),"؟"),"")</f>
        <v/>
      </c>
      <c r="AB69" s="32">
        <f>IF($AD69=1,IFERROR(IF(INDEX(COA!$I:$I,MATCH($G69,COA!$A:$A,0))="","OPERATING",INDEX(COA!$I:$I,MATCH($G69,COA!$A:$A,0))),"OPERATING"),"")</f>
        <v/>
      </c>
      <c r="AC69" s="43">
        <f>IF($AD69=1,IF(AND($V69&lt;&gt;"CN",$L69=""),$W69,0),"")</f>
        <v/>
      </c>
      <c r="AD69" s="32">
        <f>IF(COUNTA($A69:$U69)&gt;0,1,0)</f>
        <v/>
      </c>
      <c r="AE69" s="32">
        <f>IF($AD69=0,"",IF($A69="","رقم المستند ناقص",IF(COUNTIF(Doc_Register!$A:$A,$A69)&gt;1,"رقم مستند مكرر في السجل المركزي",IF(LEFT($A69,LEN("SINV")+1)&lt;&gt;"SINV"&amp;"-","بادئة الرقم لا تطابق نوع المستند",IF(NOT(ISNUMBER($E69)),"التاريخ ناقص أو غير صحيح",IF($O69="","حالة المستند ناقصة",IF($P69="","اسم المُعِد ناقص",IF(AND(OR($O69=ST_APPR,$O69=ST_POST),$Q69=""),"لا يوجد معتمد",IF(AND($Q69&lt;&gt;"",$Q69=$P69),"المُعِد والمعتمد نفس الشخص (فصل المهام)",IF(AND($O69=ST_POST,$R69=""),"اسم المحاسب المرحِّل ناقص",IF(AND($O69=ST_POST,$R69&lt;&gt;"",OR($R69=$P69,$R69=$Q69)),"المرحِّل يجب أن يختلف عن المُعِد والمعتمد",IF(AND($O69=ST_REV,$T69=""),"مرجع التصحيح/الإلغاء ناقص",IF(AND(ISNUMBER($E69),OR($O69=ST_DRAFT,$O69=ST_APPR),COUNTIFS(Period_Close!$A:$A,YEAR($E69)*100+MONTH($E69),Period_Close!$B:$B,"مقفلة")&gt;0),"الفترة مقفلة: لا يسمح بمستند جديد",IF(COUNTIF(Suppliers!$A:$A,$C69)=0,"المورد غير معرف",IF($B69="","رقم فاتورة المورد ناقص",IF($Z69=1,"فاتورة مكررة (نفس المورد ونفس الرقم)",IF(NOT(ISNUMBER($D69)),"تاريخ الفاتورة ناقص",IF($V69="?","نوع المستند غير معرف",IF(COUNTIFS(COA!$A:$A,$G69,COA!$K:$K,"نعم",COA!$R:$R,1)&lt;&gt;1,"حساب مدين غير مسموح في المشتريات",IF(NOT(COUNTIF(Locations!$A:$A,$H69)&gt;0),"جهة الاستلام غير معرفة",IF(NOT(COUNTIF(Cost_Centers!$A:$A,$I69)&gt;0),"مركز التكلفة غير معرف",IF(NOT(N($J69)&gt;0),"الصافي يجب أن يكون أكبر من صفر",IF(AND(N($K69)&gt;0,S_VATOn&lt;&gt;"نعم"),"الضريبة غير مفعلة في Tax_Settings",IF(AND($L69&lt;&gt;"",COUNTIFS(COA!$A:$A,$AA69,COA!$R:$R,1)&lt;&gt;1),"خزينة الدفع الفوري غير صالحة",IF(AND($L69&lt;&gt;"",$V69="CN"),"الإشعار الدائن لا يُسدَّد فوريًا",IF(AND($V69="INV",$M69="",$N69="",$S69=""),"فاتورة بدون مرجع (أمر شراء/استلام/مرفق)",""))))))))))))))))))))))))))</f>
        <v/>
      </c>
      <c r="AF69" s="32">
        <f>IF($AD69=1,IF($AE69&lt;&gt;"",1,0),0)</f>
        <v/>
      </c>
      <c r="AG69" s="32">
        <f>IF(AND($AD69=1,$AF69=0,$O69=ST_POST),1,0)</f>
        <v/>
      </c>
    </row>
    <row r="70">
      <c r="A70" s="29" t="n"/>
      <c r="B70" s="29" t="n"/>
      <c r="C70" s="39" t="n"/>
      <c r="D70" s="31" t="n"/>
      <c r="E70" s="31" t="n"/>
      <c r="F70" s="29" t="n"/>
      <c r="G70" s="39" t="n"/>
      <c r="H70" s="39" t="n"/>
      <c r="I70" s="39" t="n"/>
      <c r="J70" s="42" t="n"/>
      <c r="K70" s="42" t="n"/>
      <c r="L70" s="39" t="n"/>
      <c r="M70" s="29" t="n"/>
      <c r="N70" s="29" t="n"/>
      <c r="O70" s="39" t="n"/>
      <c r="P70" s="29" t="n"/>
      <c r="Q70" s="29" t="n"/>
      <c r="R70" s="29" t="n"/>
      <c r="S70" s="29" t="n"/>
      <c r="T70" s="29" t="n"/>
      <c r="U70" s="29" t="n"/>
      <c r="V70" s="32">
        <f>IF($AD70=1,IFERROR(INDEX(Lists!$K$5:$K$7,MATCH($F70,Lists!$J$5:$J$7,0)),"?"),"")</f>
        <v/>
      </c>
      <c r="W70" s="43">
        <f>IF($AD70=1,$J70+$K70,"")</f>
        <v/>
      </c>
      <c r="X70" s="32">
        <f>IF($AD70=1,IFERROR(INDEX(Suppliers!$D:$D,MATCH($C70,Suppliers!$A:$A,0)),"؟"),"")</f>
        <v/>
      </c>
      <c r="Y70" s="33">
        <f>IF($AD70=1,IF(AND(ISNUMBER($D70),ISNUMBER($X70)),$D70+$X70,""),"")</f>
        <v/>
      </c>
      <c r="Z70" s="44">
        <f>IF($AD70=1,IF(AND($O70&lt;&gt;ST_REV,$O70&lt;&gt;ST_CANC,COUNTIFS($C$4:$C69,$C70,$B$4:$B69,$B70,$O$4:$O69,"&lt;&gt;"&amp;ST_REV,$O$4:$O69,"&lt;&gt;"&amp;ST_CANC)&gt;0),1,0),"")</f>
        <v/>
      </c>
      <c r="AA70" s="32">
        <f>IF(AND($AD70=1,$L70&lt;&gt;""),IFERROR(INDEX(Treasuries!$E:$E,MATCH($L70,Treasuries!$A:$A,0)),"؟"),"")</f>
        <v/>
      </c>
      <c r="AB70" s="32">
        <f>IF($AD70=1,IFERROR(IF(INDEX(COA!$I:$I,MATCH($G70,COA!$A:$A,0))="","OPERATING",INDEX(COA!$I:$I,MATCH($G70,COA!$A:$A,0))),"OPERATING"),"")</f>
        <v/>
      </c>
      <c r="AC70" s="43">
        <f>IF($AD70=1,IF(AND($V70&lt;&gt;"CN",$L70=""),$W70,0),"")</f>
        <v/>
      </c>
      <c r="AD70" s="32">
        <f>IF(COUNTA($A70:$U70)&gt;0,1,0)</f>
        <v/>
      </c>
      <c r="AE70" s="32">
        <f>IF($AD70=0,"",IF($A70="","رقم المستند ناقص",IF(COUNTIF(Doc_Register!$A:$A,$A70)&gt;1,"رقم مستند مكرر في السجل المركزي",IF(LEFT($A70,LEN("SINV")+1)&lt;&gt;"SINV"&amp;"-","بادئة الرقم لا تطابق نوع المستند",IF(NOT(ISNUMBER($E70)),"التاريخ ناقص أو غير صحيح",IF($O70="","حالة المستند ناقصة",IF($P70="","اسم المُعِد ناقص",IF(AND(OR($O70=ST_APPR,$O70=ST_POST),$Q70=""),"لا يوجد معتمد",IF(AND($Q70&lt;&gt;"",$Q70=$P70),"المُعِد والمعتمد نفس الشخص (فصل المهام)",IF(AND($O70=ST_POST,$R70=""),"اسم المحاسب المرحِّل ناقص",IF(AND($O70=ST_POST,$R70&lt;&gt;"",OR($R70=$P70,$R70=$Q70)),"المرحِّل يجب أن يختلف عن المُعِد والمعتمد",IF(AND($O70=ST_REV,$T70=""),"مرجع التصحيح/الإلغاء ناقص",IF(AND(ISNUMBER($E70),OR($O70=ST_DRAFT,$O70=ST_APPR),COUNTIFS(Period_Close!$A:$A,YEAR($E70)*100+MONTH($E70),Period_Close!$B:$B,"مقفلة")&gt;0),"الفترة مقفلة: لا يسمح بمستند جديد",IF(COUNTIF(Suppliers!$A:$A,$C70)=0,"المورد غير معرف",IF($B70="","رقم فاتورة المورد ناقص",IF($Z70=1,"فاتورة مكررة (نفس المورد ونفس الرقم)",IF(NOT(ISNUMBER($D70)),"تاريخ الفاتورة ناقص",IF($V70="?","نوع المستند غير معرف",IF(COUNTIFS(COA!$A:$A,$G70,COA!$K:$K,"نعم",COA!$R:$R,1)&lt;&gt;1,"حساب مدين غير مسموح في المشتريات",IF(NOT(COUNTIF(Locations!$A:$A,$H70)&gt;0),"جهة الاستلام غير معرفة",IF(NOT(COUNTIF(Cost_Centers!$A:$A,$I70)&gt;0),"مركز التكلفة غير معرف",IF(NOT(N($J70)&gt;0),"الصافي يجب أن يكون أكبر من صفر",IF(AND(N($K70)&gt;0,S_VATOn&lt;&gt;"نعم"),"الضريبة غير مفعلة في Tax_Settings",IF(AND($L70&lt;&gt;"",COUNTIFS(COA!$A:$A,$AA70,COA!$R:$R,1)&lt;&gt;1),"خزينة الدفع الفوري غير صالحة",IF(AND($L70&lt;&gt;"",$V70="CN"),"الإشعار الدائن لا يُسدَّد فوريًا",IF(AND($V70="INV",$M70="",$N70="",$S70=""),"فاتورة بدون مرجع (أمر شراء/استلام/مرفق)",""))))))))))))))))))))))))))</f>
        <v/>
      </c>
      <c r="AF70" s="32">
        <f>IF($AD70=1,IF($AE70&lt;&gt;"",1,0),0)</f>
        <v/>
      </c>
      <c r="AG70" s="32">
        <f>IF(AND($AD70=1,$AF70=0,$O70=ST_POST),1,0)</f>
        <v/>
      </c>
    </row>
    <row r="71">
      <c r="A71" s="29" t="n"/>
      <c r="B71" s="29" t="n"/>
      <c r="C71" s="39" t="n"/>
      <c r="D71" s="31" t="n"/>
      <c r="E71" s="31" t="n"/>
      <c r="F71" s="29" t="n"/>
      <c r="G71" s="39" t="n"/>
      <c r="H71" s="39" t="n"/>
      <c r="I71" s="39" t="n"/>
      <c r="J71" s="42" t="n"/>
      <c r="K71" s="42" t="n"/>
      <c r="L71" s="39" t="n"/>
      <c r="M71" s="29" t="n"/>
      <c r="N71" s="29" t="n"/>
      <c r="O71" s="39" t="n"/>
      <c r="P71" s="29" t="n"/>
      <c r="Q71" s="29" t="n"/>
      <c r="R71" s="29" t="n"/>
      <c r="S71" s="29" t="n"/>
      <c r="T71" s="29" t="n"/>
      <c r="U71" s="29" t="n"/>
      <c r="V71" s="32">
        <f>IF($AD71=1,IFERROR(INDEX(Lists!$K$5:$K$7,MATCH($F71,Lists!$J$5:$J$7,0)),"?"),"")</f>
        <v/>
      </c>
      <c r="W71" s="43">
        <f>IF($AD71=1,$J71+$K71,"")</f>
        <v/>
      </c>
      <c r="X71" s="32">
        <f>IF($AD71=1,IFERROR(INDEX(Suppliers!$D:$D,MATCH($C71,Suppliers!$A:$A,0)),"؟"),"")</f>
        <v/>
      </c>
      <c r="Y71" s="33">
        <f>IF($AD71=1,IF(AND(ISNUMBER($D71),ISNUMBER($X71)),$D71+$X71,""),"")</f>
        <v/>
      </c>
      <c r="Z71" s="44">
        <f>IF($AD71=1,IF(AND($O71&lt;&gt;ST_REV,$O71&lt;&gt;ST_CANC,COUNTIFS($C$4:$C70,$C71,$B$4:$B70,$B71,$O$4:$O70,"&lt;&gt;"&amp;ST_REV,$O$4:$O70,"&lt;&gt;"&amp;ST_CANC)&gt;0),1,0),"")</f>
        <v/>
      </c>
      <c r="AA71" s="32">
        <f>IF(AND($AD71=1,$L71&lt;&gt;""),IFERROR(INDEX(Treasuries!$E:$E,MATCH($L71,Treasuries!$A:$A,0)),"؟"),"")</f>
        <v/>
      </c>
      <c r="AB71" s="32">
        <f>IF($AD71=1,IFERROR(IF(INDEX(COA!$I:$I,MATCH($G71,COA!$A:$A,0))="","OPERATING",INDEX(COA!$I:$I,MATCH($G71,COA!$A:$A,0))),"OPERATING"),"")</f>
        <v/>
      </c>
      <c r="AC71" s="43">
        <f>IF($AD71=1,IF(AND($V71&lt;&gt;"CN",$L71=""),$W71,0),"")</f>
        <v/>
      </c>
      <c r="AD71" s="32">
        <f>IF(COUNTA($A71:$U71)&gt;0,1,0)</f>
        <v/>
      </c>
      <c r="AE71" s="32">
        <f>IF($AD71=0,"",IF($A71="","رقم المستند ناقص",IF(COUNTIF(Doc_Register!$A:$A,$A71)&gt;1,"رقم مستند مكرر في السجل المركزي",IF(LEFT($A71,LEN("SINV")+1)&lt;&gt;"SINV"&amp;"-","بادئة الرقم لا تطابق نوع المستند",IF(NOT(ISNUMBER($E71)),"التاريخ ناقص أو غير صحيح",IF($O71="","حالة المستند ناقصة",IF($P71="","اسم المُعِد ناقص",IF(AND(OR($O71=ST_APPR,$O71=ST_POST),$Q71=""),"لا يوجد معتمد",IF(AND($Q71&lt;&gt;"",$Q71=$P71),"المُعِد والمعتمد نفس الشخص (فصل المهام)",IF(AND($O71=ST_POST,$R71=""),"اسم المحاسب المرحِّل ناقص",IF(AND($O71=ST_POST,$R71&lt;&gt;"",OR($R71=$P71,$R71=$Q71)),"المرحِّل يجب أن يختلف عن المُعِد والمعتمد",IF(AND($O71=ST_REV,$T71=""),"مرجع التصحيح/الإلغاء ناقص",IF(AND(ISNUMBER($E71),OR($O71=ST_DRAFT,$O71=ST_APPR),COUNTIFS(Period_Close!$A:$A,YEAR($E71)*100+MONTH($E71),Period_Close!$B:$B,"مقفلة")&gt;0),"الفترة مقفلة: لا يسمح بمستند جديد",IF(COUNTIF(Suppliers!$A:$A,$C71)=0,"المورد غير معرف",IF($B71="","رقم فاتورة المورد ناقص",IF($Z71=1,"فاتورة مكررة (نفس المورد ونفس الرقم)",IF(NOT(ISNUMBER($D71)),"تاريخ الفاتورة ناقص",IF($V71="?","نوع المستند غير معرف",IF(COUNTIFS(COA!$A:$A,$G71,COA!$K:$K,"نعم",COA!$R:$R,1)&lt;&gt;1,"حساب مدين غير مسموح في المشتريات",IF(NOT(COUNTIF(Locations!$A:$A,$H71)&gt;0),"جهة الاستلام غير معرفة",IF(NOT(COUNTIF(Cost_Centers!$A:$A,$I71)&gt;0),"مركز التكلفة غير معرف",IF(NOT(N($J71)&gt;0),"الصافي يجب أن يكون أكبر من صفر",IF(AND(N($K71)&gt;0,S_VATOn&lt;&gt;"نعم"),"الضريبة غير مفعلة في Tax_Settings",IF(AND($L71&lt;&gt;"",COUNTIFS(COA!$A:$A,$AA71,COA!$R:$R,1)&lt;&gt;1),"خزينة الدفع الفوري غير صالحة",IF(AND($L71&lt;&gt;"",$V71="CN"),"الإشعار الدائن لا يُسدَّد فوريًا",IF(AND($V71="INV",$M71="",$N71="",$S71=""),"فاتورة بدون مرجع (أمر شراء/استلام/مرفق)",""))))))))))))))))))))))))))</f>
        <v/>
      </c>
      <c r="AF71" s="32">
        <f>IF($AD71=1,IF($AE71&lt;&gt;"",1,0),0)</f>
        <v/>
      </c>
      <c r="AG71" s="32">
        <f>IF(AND($AD71=1,$AF71=0,$O71=ST_POST),1,0)</f>
        <v/>
      </c>
    </row>
    <row r="72">
      <c r="A72" s="29" t="n"/>
      <c r="B72" s="29" t="n"/>
      <c r="C72" s="39" t="n"/>
      <c r="D72" s="31" t="n"/>
      <c r="E72" s="31" t="n"/>
      <c r="F72" s="29" t="n"/>
      <c r="G72" s="39" t="n"/>
      <c r="H72" s="39" t="n"/>
      <c r="I72" s="39" t="n"/>
      <c r="J72" s="42" t="n"/>
      <c r="K72" s="42" t="n"/>
      <c r="L72" s="39" t="n"/>
      <c r="M72" s="29" t="n"/>
      <c r="N72" s="29" t="n"/>
      <c r="O72" s="39" t="n"/>
      <c r="P72" s="29" t="n"/>
      <c r="Q72" s="29" t="n"/>
      <c r="R72" s="29" t="n"/>
      <c r="S72" s="29" t="n"/>
      <c r="T72" s="29" t="n"/>
      <c r="U72" s="29" t="n"/>
      <c r="V72" s="32">
        <f>IF($AD72=1,IFERROR(INDEX(Lists!$K$5:$K$7,MATCH($F72,Lists!$J$5:$J$7,0)),"?"),"")</f>
        <v/>
      </c>
      <c r="W72" s="43">
        <f>IF($AD72=1,$J72+$K72,"")</f>
        <v/>
      </c>
      <c r="X72" s="32">
        <f>IF($AD72=1,IFERROR(INDEX(Suppliers!$D:$D,MATCH($C72,Suppliers!$A:$A,0)),"؟"),"")</f>
        <v/>
      </c>
      <c r="Y72" s="33">
        <f>IF($AD72=1,IF(AND(ISNUMBER($D72),ISNUMBER($X72)),$D72+$X72,""),"")</f>
        <v/>
      </c>
      <c r="Z72" s="44">
        <f>IF($AD72=1,IF(AND($O72&lt;&gt;ST_REV,$O72&lt;&gt;ST_CANC,COUNTIFS($C$4:$C71,$C72,$B$4:$B71,$B72,$O$4:$O71,"&lt;&gt;"&amp;ST_REV,$O$4:$O71,"&lt;&gt;"&amp;ST_CANC)&gt;0),1,0),"")</f>
        <v/>
      </c>
      <c r="AA72" s="32">
        <f>IF(AND($AD72=1,$L72&lt;&gt;""),IFERROR(INDEX(Treasuries!$E:$E,MATCH($L72,Treasuries!$A:$A,0)),"؟"),"")</f>
        <v/>
      </c>
      <c r="AB72" s="32">
        <f>IF($AD72=1,IFERROR(IF(INDEX(COA!$I:$I,MATCH($G72,COA!$A:$A,0))="","OPERATING",INDEX(COA!$I:$I,MATCH($G72,COA!$A:$A,0))),"OPERATING"),"")</f>
        <v/>
      </c>
      <c r="AC72" s="43">
        <f>IF($AD72=1,IF(AND($V72&lt;&gt;"CN",$L72=""),$W72,0),"")</f>
        <v/>
      </c>
      <c r="AD72" s="32">
        <f>IF(COUNTA($A72:$U72)&gt;0,1,0)</f>
        <v/>
      </c>
      <c r="AE72" s="32">
        <f>IF($AD72=0,"",IF($A72="","رقم المستند ناقص",IF(COUNTIF(Doc_Register!$A:$A,$A72)&gt;1,"رقم مستند مكرر في السجل المركزي",IF(LEFT($A72,LEN("SINV")+1)&lt;&gt;"SINV"&amp;"-","بادئة الرقم لا تطابق نوع المستند",IF(NOT(ISNUMBER($E72)),"التاريخ ناقص أو غير صحيح",IF($O72="","حالة المستند ناقصة",IF($P72="","اسم المُعِد ناقص",IF(AND(OR($O72=ST_APPR,$O72=ST_POST),$Q72=""),"لا يوجد معتمد",IF(AND($Q72&lt;&gt;"",$Q72=$P72),"المُعِد والمعتمد نفس الشخص (فصل المهام)",IF(AND($O72=ST_POST,$R72=""),"اسم المحاسب المرحِّل ناقص",IF(AND($O72=ST_POST,$R72&lt;&gt;"",OR($R72=$P72,$R72=$Q72)),"المرحِّل يجب أن يختلف عن المُعِد والمعتمد",IF(AND($O72=ST_REV,$T72=""),"مرجع التصحيح/الإلغاء ناقص",IF(AND(ISNUMBER($E72),OR($O72=ST_DRAFT,$O72=ST_APPR),COUNTIFS(Period_Close!$A:$A,YEAR($E72)*100+MONTH($E72),Period_Close!$B:$B,"مقفلة")&gt;0),"الفترة مقفلة: لا يسمح بمستند جديد",IF(COUNTIF(Suppliers!$A:$A,$C72)=0,"المورد غير معرف",IF($B72="","رقم فاتورة المورد ناقص",IF($Z72=1,"فاتورة مكررة (نفس المورد ونفس الرقم)",IF(NOT(ISNUMBER($D72)),"تاريخ الفاتورة ناقص",IF($V72="?","نوع المستند غير معرف",IF(COUNTIFS(COA!$A:$A,$G72,COA!$K:$K,"نعم",COA!$R:$R,1)&lt;&gt;1,"حساب مدين غير مسموح في المشتريات",IF(NOT(COUNTIF(Locations!$A:$A,$H72)&gt;0),"جهة الاستلام غير معرفة",IF(NOT(COUNTIF(Cost_Centers!$A:$A,$I72)&gt;0),"مركز التكلفة غير معرف",IF(NOT(N($J72)&gt;0),"الصافي يجب أن يكون أكبر من صفر",IF(AND(N($K72)&gt;0,S_VATOn&lt;&gt;"نعم"),"الضريبة غير مفعلة في Tax_Settings",IF(AND($L72&lt;&gt;"",COUNTIFS(COA!$A:$A,$AA72,COA!$R:$R,1)&lt;&gt;1),"خزينة الدفع الفوري غير صالحة",IF(AND($L72&lt;&gt;"",$V72="CN"),"الإشعار الدائن لا يُسدَّد فوريًا",IF(AND($V72="INV",$M72="",$N72="",$S72=""),"فاتورة بدون مرجع (أمر شراء/استلام/مرفق)",""))))))))))))))))))))))))))</f>
        <v/>
      </c>
      <c r="AF72" s="32">
        <f>IF($AD72=1,IF($AE72&lt;&gt;"",1,0),0)</f>
        <v/>
      </c>
      <c r="AG72" s="32">
        <f>IF(AND($AD72=1,$AF72=0,$O72=ST_POST),1,0)</f>
        <v/>
      </c>
    </row>
    <row r="73">
      <c r="A73" s="29" t="n"/>
      <c r="B73" s="29" t="n"/>
      <c r="C73" s="39" t="n"/>
      <c r="D73" s="31" t="n"/>
      <c r="E73" s="31" t="n"/>
      <c r="F73" s="29" t="n"/>
      <c r="G73" s="39" t="n"/>
      <c r="H73" s="39" t="n"/>
      <c r="I73" s="39" t="n"/>
      <c r="J73" s="42" t="n"/>
      <c r="K73" s="42" t="n"/>
      <c r="L73" s="39" t="n"/>
      <c r="M73" s="29" t="n"/>
      <c r="N73" s="29" t="n"/>
      <c r="O73" s="39" t="n"/>
      <c r="P73" s="29" t="n"/>
      <c r="Q73" s="29" t="n"/>
      <c r="R73" s="29" t="n"/>
      <c r="S73" s="29" t="n"/>
      <c r="T73" s="29" t="n"/>
      <c r="U73" s="29" t="n"/>
      <c r="V73" s="32">
        <f>IF($AD73=1,IFERROR(INDEX(Lists!$K$5:$K$7,MATCH($F73,Lists!$J$5:$J$7,0)),"?"),"")</f>
        <v/>
      </c>
      <c r="W73" s="43">
        <f>IF($AD73=1,$J73+$K73,"")</f>
        <v/>
      </c>
      <c r="X73" s="32">
        <f>IF($AD73=1,IFERROR(INDEX(Suppliers!$D:$D,MATCH($C73,Suppliers!$A:$A,0)),"؟"),"")</f>
        <v/>
      </c>
      <c r="Y73" s="33">
        <f>IF($AD73=1,IF(AND(ISNUMBER($D73),ISNUMBER($X73)),$D73+$X73,""),"")</f>
        <v/>
      </c>
      <c r="Z73" s="44">
        <f>IF($AD73=1,IF(AND($O73&lt;&gt;ST_REV,$O73&lt;&gt;ST_CANC,COUNTIFS($C$4:$C72,$C73,$B$4:$B72,$B73,$O$4:$O72,"&lt;&gt;"&amp;ST_REV,$O$4:$O72,"&lt;&gt;"&amp;ST_CANC)&gt;0),1,0),"")</f>
        <v/>
      </c>
      <c r="AA73" s="32">
        <f>IF(AND($AD73=1,$L73&lt;&gt;""),IFERROR(INDEX(Treasuries!$E:$E,MATCH($L73,Treasuries!$A:$A,0)),"؟"),"")</f>
        <v/>
      </c>
      <c r="AB73" s="32">
        <f>IF($AD73=1,IFERROR(IF(INDEX(COA!$I:$I,MATCH($G73,COA!$A:$A,0))="","OPERATING",INDEX(COA!$I:$I,MATCH($G73,COA!$A:$A,0))),"OPERATING"),"")</f>
        <v/>
      </c>
      <c r="AC73" s="43">
        <f>IF($AD73=1,IF(AND($V73&lt;&gt;"CN",$L73=""),$W73,0),"")</f>
        <v/>
      </c>
      <c r="AD73" s="32">
        <f>IF(COUNTA($A73:$U73)&gt;0,1,0)</f>
        <v/>
      </c>
      <c r="AE73" s="32">
        <f>IF($AD73=0,"",IF($A73="","رقم المستند ناقص",IF(COUNTIF(Doc_Register!$A:$A,$A73)&gt;1,"رقم مستند مكرر في السجل المركزي",IF(LEFT($A73,LEN("SINV")+1)&lt;&gt;"SINV"&amp;"-","بادئة الرقم لا تطابق نوع المستند",IF(NOT(ISNUMBER($E73)),"التاريخ ناقص أو غير صحيح",IF($O73="","حالة المستند ناقصة",IF($P73="","اسم المُعِد ناقص",IF(AND(OR($O73=ST_APPR,$O73=ST_POST),$Q73=""),"لا يوجد معتمد",IF(AND($Q73&lt;&gt;"",$Q73=$P73),"المُعِد والمعتمد نفس الشخص (فصل المهام)",IF(AND($O73=ST_POST,$R73=""),"اسم المحاسب المرحِّل ناقص",IF(AND($O73=ST_POST,$R73&lt;&gt;"",OR($R73=$P73,$R73=$Q73)),"المرحِّل يجب أن يختلف عن المُعِد والمعتمد",IF(AND($O73=ST_REV,$T73=""),"مرجع التصحيح/الإلغاء ناقص",IF(AND(ISNUMBER($E73),OR($O73=ST_DRAFT,$O73=ST_APPR),COUNTIFS(Period_Close!$A:$A,YEAR($E73)*100+MONTH($E73),Period_Close!$B:$B,"مقفلة")&gt;0),"الفترة مقفلة: لا يسمح بمستند جديد",IF(COUNTIF(Suppliers!$A:$A,$C73)=0,"المورد غير معرف",IF($B73="","رقم فاتورة المورد ناقص",IF($Z73=1,"فاتورة مكررة (نفس المورد ونفس الرقم)",IF(NOT(ISNUMBER($D73)),"تاريخ الفاتورة ناقص",IF($V73="?","نوع المستند غير معرف",IF(COUNTIFS(COA!$A:$A,$G73,COA!$K:$K,"نعم",COA!$R:$R,1)&lt;&gt;1,"حساب مدين غير مسموح في المشتريات",IF(NOT(COUNTIF(Locations!$A:$A,$H73)&gt;0),"جهة الاستلام غير معرفة",IF(NOT(COUNTIF(Cost_Centers!$A:$A,$I73)&gt;0),"مركز التكلفة غير معرف",IF(NOT(N($J73)&gt;0),"الصافي يجب أن يكون أكبر من صفر",IF(AND(N($K73)&gt;0,S_VATOn&lt;&gt;"نعم"),"الضريبة غير مفعلة في Tax_Settings",IF(AND($L73&lt;&gt;"",COUNTIFS(COA!$A:$A,$AA73,COA!$R:$R,1)&lt;&gt;1),"خزينة الدفع الفوري غير صالحة",IF(AND($L73&lt;&gt;"",$V73="CN"),"الإشعار الدائن لا يُسدَّد فوريًا",IF(AND($V73="INV",$M73="",$N73="",$S73=""),"فاتورة بدون مرجع (أمر شراء/استلام/مرفق)",""))))))))))))))))))))))))))</f>
        <v/>
      </c>
      <c r="AF73" s="32">
        <f>IF($AD73=1,IF($AE73&lt;&gt;"",1,0),0)</f>
        <v/>
      </c>
      <c r="AG73" s="32">
        <f>IF(AND($AD73=1,$AF73=0,$O73=ST_POST),1,0)</f>
        <v/>
      </c>
    </row>
    <row r="74">
      <c r="A74" s="29" t="n"/>
      <c r="B74" s="29" t="n"/>
      <c r="C74" s="39" t="n"/>
      <c r="D74" s="31" t="n"/>
      <c r="E74" s="31" t="n"/>
      <c r="F74" s="29" t="n"/>
      <c r="G74" s="39" t="n"/>
      <c r="H74" s="39" t="n"/>
      <c r="I74" s="39" t="n"/>
      <c r="J74" s="42" t="n"/>
      <c r="K74" s="42" t="n"/>
      <c r="L74" s="39" t="n"/>
      <c r="M74" s="29" t="n"/>
      <c r="N74" s="29" t="n"/>
      <c r="O74" s="39" t="n"/>
      <c r="P74" s="29" t="n"/>
      <c r="Q74" s="29" t="n"/>
      <c r="R74" s="29" t="n"/>
      <c r="S74" s="29" t="n"/>
      <c r="T74" s="29" t="n"/>
      <c r="U74" s="29" t="n"/>
      <c r="V74" s="32">
        <f>IF($AD74=1,IFERROR(INDEX(Lists!$K$5:$K$7,MATCH($F74,Lists!$J$5:$J$7,0)),"?"),"")</f>
        <v/>
      </c>
      <c r="W74" s="43">
        <f>IF($AD74=1,$J74+$K74,"")</f>
        <v/>
      </c>
      <c r="X74" s="32">
        <f>IF($AD74=1,IFERROR(INDEX(Suppliers!$D:$D,MATCH($C74,Suppliers!$A:$A,0)),"؟"),"")</f>
        <v/>
      </c>
      <c r="Y74" s="33">
        <f>IF($AD74=1,IF(AND(ISNUMBER($D74),ISNUMBER($X74)),$D74+$X74,""),"")</f>
        <v/>
      </c>
      <c r="Z74" s="44">
        <f>IF($AD74=1,IF(AND($O74&lt;&gt;ST_REV,$O74&lt;&gt;ST_CANC,COUNTIFS($C$4:$C73,$C74,$B$4:$B73,$B74,$O$4:$O73,"&lt;&gt;"&amp;ST_REV,$O$4:$O73,"&lt;&gt;"&amp;ST_CANC)&gt;0),1,0),"")</f>
        <v/>
      </c>
      <c r="AA74" s="32">
        <f>IF(AND($AD74=1,$L74&lt;&gt;""),IFERROR(INDEX(Treasuries!$E:$E,MATCH($L74,Treasuries!$A:$A,0)),"؟"),"")</f>
        <v/>
      </c>
      <c r="AB74" s="32">
        <f>IF($AD74=1,IFERROR(IF(INDEX(COA!$I:$I,MATCH($G74,COA!$A:$A,0))="","OPERATING",INDEX(COA!$I:$I,MATCH($G74,COA!$A:$A,0))),"OPERATING"),"")</f>
        <v/>
      </c>
      <c r="AC74" s="43">
        <f>IF($AD74=1,IF(AND($V74&lt;&gt;"CN",$L74=""),$W74,0),"")</f>
        <v/>
      </c>
      <c r="AD74" s="32">
        <f>IF(COUNTA($A74:$U74)&gt;0,1,0)</f>
        <v/>
      </c>
      <c r="AE74" s="32">
        <f>IF($AD74=0,"",IF($A74="","رقم المستند ناقص",IF(COUNTIF(Doc_Register!$A:$A,$A74)&gt;1,"رقم مستند مكرر في السجل المركزي",IF(LEFT($A74,LEN("SINV")+1)&lt;&gt;"SINV"&amp;"-","بادئة الرقم لا تطابق نوع المستند",IF(NOT(ISNUMBER($E74)),"التاريخ ناقص أو غير صحيح",IF($O74="","حالة المستند ناقصة",IF($P74="","اسم المُعِد ناقص",IF(AND(OR($O74=ST_APPR,$O74=ST_POST),$Q74=""),"لا يوجد معتمد",IF(AND($Q74&lt;&gt;"",$Q74=$P74),"المُعِد والمعتمد نفس الشخص (فصل المهام)",IF(AND($O74=ST_POST,$R74=""),"اسم المحاسب المرحِّل ناقص",IF(AND($O74=ST_POST,$R74&lt;&gt;"",OR($R74=$P74,$R74=$Q74)),"المرحِّل يجب أن يختلف عن المُعِد والمعتمد",IF(AND($O74=ST_REV,$T74=""),"مرجع التصحيح/الإلغاء ناقص",IF(AND(ISNUMBER($E74),OR($O74=ST_DRAFT,$O74=ST_APPR),COUNTIFS(Period_Close!$A:$A,YEAR($E74)*100+MONTH($E74),Period_Close!$B:$B,"مقفلة")&gt;0),"الفترة مقفلة: لا يسمح بمستند جديد",IF(COUNTIF(Suppliers!$A:$A,$C74)=0,"المورد غير معرف",IF($B74="","رقم فاتورة المورد ناقص",IF($Z74=1,"فاتورة مكررة (نفس المورد ونفس الرقم)",IF(NOT(ISNUMBER($D74)),"تاريخ الفاتورة ناقص",IF($V74="?","نوع المستند غير معرف",IF(COUNTIFS(COA!$A:$A,$G74,COA!$K:$K,"نعم",COA!$R:$R,1)&lt;&gt;1,"حساب مدين غير مسموح في المشتريات",IF(NOT(COUNTIF(Locations!$A:$A,$H74)&gt;0),"جهة الاستلام غير معرفة",IF(NOT(COUNTIF(Cost_Centers!$A:$A,$I74)&gt;0),"مركز التكلفة غير معرف",IF(NOT(N($J74)&gt;0),"الصافي يجب أن يكون أكبر من صفر",IF(AND(N($K74)&gt;0,S_VATOn&lt;&gt;"نعم"),"الضريبة غير مفعلة في Tax_Settings",IF(AND($L74&lt;&gt;"",COUNTIFS(COA!$A:$A,$AA74,COA!$R:$R,1)&lt;&gt;1),"خزينة الدفع الفوري غير صالحة",IF(AND($L74&lt;&gt;"",$V74="CN"),"الإشعار الدائن لا يُسدَّد فوريًا",IF(AND($V74="INV",$M74="",$N74="",$S74=""),"فاتورة بدون مرجع (أمر شراء/استلام/مرفق)",""))))))))))))))))))))))))))</f>
        <v/>
      </c>
      <c r="AF74" s="32">
        <f>IF($AD74=1,IF($AE74&lt;&gt;"",1,0),0)</f>
        <v/>
      </c>
      <c r="AG74" s="32">
        <f>IF(AND($AD74=1,$AF74=0,$O74=ST_POST),1,0)</f>
        <v/>
      </c>
    </row>
    <row r="75">
      <c r="A75" s="29" t="n"/>
      <c r="B75" s="29" t="n"/>
      <c r="C75" s="39" t="n"/>
      <c r="D75" s="31" t="n"/>
      <c r="E75" s="31" t="n"/>
      <c r="F75" s="29" t="n"/>
      <c r="G75" s="39" t="n"/>
      <c r="H75" s="39" t="n"/>
      <c r="I75" s="39" t="n"/>
      <c r="J75" s="42" t="n"/>
      <c r="K75" s="42" t="n"/>
      <c r="L75" s="39" t="n"/>
      <c r="M75" s="29" t="n"/>
      <c r="N75" s="29" t="n"/>
      <c r="O75" s="39" t="n"/>
      <c r="P75" s="29" t="n"/>
      <c r="Q75" s="29" t="n"/>
      <c r="R75" s="29" t="n"/>
      <c r="S75" s="29" t="n"/>
      <c r="T75" s="29" t="n"/>
      <c r="U75" s="29" t="n"/>
      <c r="V75" s="32">
        <f>IF($AD75=1,IFERROR(INDEX(Lists!$K$5:$K$7,MATCH($F75,Lists!$J$5:$J$7,0)),"?"),"")</f>
        <v/>
      </c>
      <c r="W75" s="43">
        <f>IF($AD75=1,$J75+$K75,"")</f>
        <v/>
      </c>
      <c r="X75" s="32">
        <f>IF($AD75=1,IFERROR(INDEX(Suppliers!$D:$D,MATCH($C75,Suppliers!$A:$A,0)),"؟"),"")</f>
        <v/>
      </c>
      <c r="Y75" s="33">
        <f>IF($AD75=1,IF(AND(ISNUMBER($D75),ISNUMBER($X75)),$D75+$X75,""),"")</f>
        <v/>
      </c>
      <c r="Z75" s="44">
        <f>IF($AD75=1,IF(AND($O75&lt;&gt;ST_REV,$O75&lt;&gt;ST_CANC,COUNTIFS($C$4:$C74,$C75,$B$4:$B74,$B75,$O$4:$O74,"&lt;&gt;"&amp;ST_REV,$O$4:$O74,"&lt;&gt;"&amp;ST_CANC)&gt;0),1,0),"")</f>
        <v/>
      </c>
      <c r="AA75" s="32">
        <f>IF(AND($AD75=1,$L75&lt;&gt;""),IFERROR(INDEX(Treasuries!$E:$E,MATCH($L75,Treasuries!$A:$A,0)),"؟"),"")</f>
        <v/>
      </c>
      <c r="AB75" s="32">
        <f>IF($AD75=1,IFERROR(IF(INDEX(COA!$I:$I,MATCH($G75,COA!$A:$A,0))="","OPERATING",INDEX(COA!$I:$I,MATCH($G75,COA!$A:$A,0))),"OPERATING"),"")</f>
        <v/>
      </c>
      <c r="AC75" s="43">
        <f>IF($AD75=1,IF(AND($V75&lt;&gt;"CN",$L75=""),$W75,0),"")</f>
        <v/>
      </c>
      <c r="AD75" s="32">
        <f>IF(COUNTA($A75:$U75)&gt;0,1,0)</f>
        <v/>
      </c>
      <c r="AE75" s="32">
        <f>IF($AD75=0,"",IF($A75="","رقم المستند ناقص",IF(COUNTIF(Doc_Register!$A:$A,$A75)&gt;1,"رقم مستند مكرر في السجل المركزي",IF(LEFT($A75,LEN("SINV")+1)&lt;&gt;"SINV"&amp;"-","بادئة الرقم لا تطابق نوع المستند",IF(NOT(ISNUMBER($E75)),"التاريخ ناقص أو غير صحيح",IF($O75="","حالة المستند ناقصة",IF($P75="","اسم المُعِد ناقص",IF(AND(OR($O75=ST_APPR,$O75=ST_POST),$Q75=""),"لا يوجد معتمد",IF(AND($Q75&lt;&gt;"",$Q75=$P75),"المُعِد والمعتمد نفس الشخص (فصل المهام)",IF(AND($O75=ST_POST,$R75=""),"اسم المحاسب المرحِّل ناقص",IF(AND($O75=ST_POST,$R75&lt;&gt;"",OR($R75=$P75,$R75=$Q75)),"المرحِّل يجب أن يختلف عن المُعِد والمعتمد",IF(AND($O75=ST_REV,$T75=""),"مرجع التصحيح/الإلغاء ناقص",IF(AND(ISNUMBER($E75),OR($O75=ST_DRAFT,$O75=ST_APPR),COUNTIFS(Period_Close!$A:$A,YEAR($E75)*100+MONTH($E75),Period_Close!$B:$B,"مقفلة")&gt;0),"الفترة مقفلة: لا يسمح بمستند جديد",IF(COUNTIF(Suppliers!$A:$A,$C75)=0,"المورد غير معرف",IF($B75="","رقم فاتورة المورد ناقص",IF($Z75=1,"فاتورة مكررة (نفس المورد ونفس الرقم)",IF(NOT(ISNUMBER($D75)),"تاريخ الفاتورة ناقص",IF($V75="?","نوع المستند غير معرف",IF(COUNTIFS(COA!$A:$A,$G75,COA!$K:$K,"نعم",COA!$R:$R,1)&lt;&gt;1,"حساب مدين غير مسموح في المشتريات",IF(NOT(COUNTIF(Locations!$A:$A,$H75)&gt;0),"جهة الاستلام غير معرفة",IF(NOT(COUNTIF(Cost_Centers!$A:$A,$I75)&gt;0),"مركز التكلفة غير معرف",IF(NOT(N($J75)&gt;0),"الصافي يجب أن يكون أكبر من صفر",IF(AND(N($K75)&gt;0,S_VATOn&lt;&gt;"نعم"),"الضريبة غير مفعلة في Tax_Settings",IF(AND($L75&lt;&gt;"",COUNTIFS(COA!$A:$A,$AA75,COA!$R:$R,1)&lt;&gt;1),"خزينة الدفع الفوري غير صالحة",IF(AND($L75&lt;&gt;"",$V75="CN"),"الإشعار الدائن لا يُسدَّد فوريًا",IF(AND($V75="INV",$M75="",$N75="",$S75=""),"فاتورة بدون مرجع (أمر شراء/استلام/مرفق)",""))))))))))))))))))))))))))</f>
        <v/>
      </c>
      <c r="AF75" s="32">
        <f>IF($AD75=1,IF($AE75&lt;&gt;"",1,0),0)</f>
        <v/>
      </c>
      <c r="AG75" s="32">
        <f>IF(AND($AD75=1,$AF75=0,$O75=ST_POST),1,0)</f>
        <v/>
      </c>
    </row>
    <row r="76">
      <c r="A76" s="29" t="n"/>
      <c r="B76" s="29" t="n"/>
      <c r="C76" s="39" t="n"/>
      <c r="D76" s="31" t="n"/>
      <c r="E76" s="31" t="n"/>
      <c r="F76" s="29" t="n"/>
      <c r="G76" s="39" t="n"/>
      <c r="H76" s="39" t="n"/>
      <c r="I76" s="39" t="n"/>
      <c r="J76" s="42" t="n"/>
      <c r="K76" s="42" t="n"/>
      <c r="L76" s="39" t="n"/>
      <c r="M76" s="29" t="n"/>
      <c r="N76" s="29" t="n"/>
      <c r="O76" s="39" t="n"/>
      <c r="P76" s="29" t="n"/>
      <c r="Q76" s="29" t="n"/>
      <c r="R76" s="29" t="n"/>
      <c r="S76" s="29" t="n"/>
      <c r="T76" s="29" t="n"/>
      <c r="U76" s="29" t="n"/>
      <c r="V76" s="32">
        <f>IF($AD76=1,IFERROR(INDEX(Lists!$K$5:$K$7,MATCH($F76,Lists!$J$5:$J$7,0)),"?"),"")</f>
        <v/>
      </c>
      <c r="W76" s="43">
        <f>IF($AD76=1,$J76+$K76,"")</f>
        <v/>
      </c>
      <c r="X76" s="32">
        <f>IF($AD76=1,IFERROR(INDEX(Suppliers!$D:$D,MATCH($C76,Suppliers!$A:$A,0)),"؟"),"")</f>
        <v/>
      </c>
      <c r="Y76" s="33">
        <f>IF($AD76=1,IF(AND(ISNUMBER($D76),ISNUMBER($X76)),$D76+$X76,""),"")</f>
        <v/>
      </c>
      <c r="Z76" s="44">
        <f>IF($AD76=1,IF(AND($O76&lt;&gt;ST_REV,$O76&lt;&gt;ST_CANC,COUNTIFS($C$4:$C75,$C76,$B$4:$B75,$B76,$O$4:$O75,"&lt;&gt;"&amp;ST_REV,$O$4:$O75,"&lt;&gt;"&amp;ST_CANC)&gt;0),1,0),"")</f>
        <v/>
      </c>
      <c r="AA76" s="32">
        <f>IF(AND($AD76=1,$L76&lt;&gt;""),IFERROR(INDEX(Treasuries!$E:$E,MATCH($L76,Treasuries!$A:$A,0)),"؟"),"")</f>
        <v/>
      </c>
      <c r="AB76" s="32">
        <f>IF($AD76=1,IFERROR(IF(INDEX(COA!$I:$I,MATCH($G76,COA!$A:$A,0))="","OPERATING",INDEX(COA!$I:$I,MATCH($G76,COA!$A:$A,0))),"OPERATING"),"")</f>
        <v/>
      </c>
      <c r="AC76" s="43">
        <f>IF($AD76=1,IF(AND($V76&lt;&gt;"CN",$L76=""),$W76,0),"")</f>
        <v/>
      </c>
      <c r="AD76" s="32">
        <f>IF(COUNTA($A76:$U76)&gt;0,1,0)</f>
        <v/>
      </c>
      <c r="AE76" s="32">
        <f>IF($AD76=0,"",IF($A76="","رقم المستند ناقص",IF(COUNTIF(Doc_Register!$A:$A,$A76)&gt;1,"رقم مستند مكرر في السجل المركزي",IF(LEFT($A76,LEN("SINV")+1)&lt;&gt;"SINV"&amp;"-","بادئة الرقم لا تطابق نوع المستند",IF(NOT(ISNUMBER($E76)),"التاريخ ناقص أو غير صحيح",IF($O76="","حالة المستند ناقصة",IF($P76="","اسم المُعِد ناقص",IF(AND(OR($O76=ST_APPR,$O76=ST_POST),$Q76=""),"لا يوجد معتمد",IF(AND($Q76&lt;&gt;"",$Q76=$P76),"المُعِد والمعتمد نفس الشخص (فصل المهام)",IF(AND($O76=ST_POST,$R76=""),"اسم المحاسب المرحِّل ناقص",IF(AND($O76=ST_POST,$R76&lt;&gt;"",OR($R76=$P76,$R76=$Q76)),"المرحِّل يجب أن يختلف عن المُعِد والمعتمد",IF(AND($O76=ST_REV,$T76=""),"مرجع التصحيح/الإلغاء ناقص",IF(AND(ISNUMBER($E76),OR($O76=ST_DRAFT,$O76=ST_APPR),COUNTIFS(Period_Close!$A:$A,YEAR($E76)*100+MONTH($E76),Period_Close!$B:$B,"مقفلة")&gt;0),"الفترة مقفلة: لا يسمح بمستند جديد",IF(COUNTIF(Suppliers!$A:$A,$C76)=0,"المورد غير معرف",IF($B76="","رقم فاتورة المورد ناقص",IF($Z76=1,"فاتورة مكررة (نفس المورد ونفس الرقم)",IF(NOT(ISNUMBER($D76)),"تاريخ الفاتورة ناقص",IF($V76="?","نوع المستند غير معرف",IF(COUNTIFS(COA!$A:$A,$G76,COA!$K:$K,"نعم",COA!$R:$R,1)&lt;&gt;1,"حساب مدين غير مسموح في المشتريات",IF(NOT(COUNTIF(Locations!$A:$A,$H76)&gt;0),"جهة الاستلام غير معرفة",IF(NOT(COUNTIF(Cost_Centers!$A:$A,$I76)&gt;0),"مركز التكلفة غير معرف",IF(NOT(N($J76)&gt;0),"الصافي يجب أن يكون أكبر من صفر",IF(AND(N($K76)&gt;0,S_VATOn&lt;&gt;"نعم"),"الضريبة غير مفعلة في Tax_Settings",IF(AND($L76&lt;&gt;"",COUNTIFS(COA!$A:$A,$AA76,COA!$R:$R,1)&lt;&gt;1),"خزينة الدفع الفوري غير صالحة",IF(AND($L76&lt;&gt;"",$V76="CN"),"الإشعار الدائن لا يُسدَّد فوريًا",IF(AND($V76="INV",$M76="",$N76="",$S76=""),"فاتورة بدون مرجع (أمر شراء/استلام/مرفق)",""))))))))))))))))))))))))))</f>
        <v/>
      </c>
      <c r="AF76" s="32">
        <f>IF($AD76=1,IF($AE76&lt;&gt;"",1,0),0)</f>
        <v/>
      </c>
      <c r="AG76" s="32">
        <f>IF(AND($AD76=1,$AF76=0,$O76=ST_POST),1,0)</f>
        <v/>
      </c>
    </row>
    <row r="77">
      <c r="A77" s="29" t="n"/>
      <c r="B77" s="29" t="n"/>
      <c r="C77" s="39" t="n"/>
      <c r="D77" s="31" t="n"/>
      <c r="E77" s="31" t="n"/>
      <c r="F77" s="29" t="n"/>
      <c r="G77" s="39" t="n"/>
      <c r="H77" s="39" t="n"/>
      <c r="I77" s="39" t="n"/>
      <c r="J77" s="42" t="n"/>
      <c r="K77" s="42" t="n"/>
      <c r="L77" s="39" t="n"/>
      <c r="M77" s="29" t="n"/>
      <c r="N77" s="29" t="n"/>
      <c r="O77" s="39" t="n"/>
      <c r="P77" s="29" t="n"/>
      <c r="Q77" s="29" t="n"/>
      <c r="R77" s="29" t="n"/>
      <c r="S77" s="29" t="n"/>
      <c r="T77" s="29" t="n"/>
      <c r="U77" s="29" t="n"/>
      <c r="V77" s="32">
        <f>IF($AD77=1,IFERROR(INDEX(Lists!$K$5:$K$7,MATCH($F77,Lists!$J$5:$J$7,0)),"?"),"")</f>
        <v/>
      </c>
      <c r="W77" s="43">
        <f>IF($AD77=1,$J77+$K77,"")</f>
        <v/>
      </c>
      <c r="X77" s="32">
        <f>IF($AD77=1,IFERROR(INDEX(Suppliers!$D:$D,MATCH($C77,Suppliers!$A:$A,0)),"؟"),"")</f>
        <v/>
      </c>
      <c r="Y77" s="33">
        <f>IF($AD77=1,IF(AND(ISNUMBER($D77),ISNUMBER($X77)),$D77+$X77,""),"")</f>
        <v/>
      </c>
      <c r="Z77" s="44">
        <f>IF($AD77=1,IF(AND($O77&lt;&gt;ST_REV,$O77&lt;&gt;ST_CANC,COUNTIFS($C$4:$C76,$C77,$B$4:$B76,$B77,$O$4:$O76,"&lt;&gt;"&amp;ST_REV,$O$4:$O76,"&lt;&gt;"&amp;ST_CANC)&gt;0),1,0),"")</f>
        <v/>
      </c>
      <c r="AA77" s="32">
        <f>IF(AND($AD77=1,$L77&lt;&gt;""),IFERROR(INDEX(Treasuries!$E:$E,MATCH($L77,Treasuries!$A:$A,0)),"؟"),"")</f>
        <v/>
      </c>
      <c r="AB77" s="32">
        <f>IF($AD77=1,IFERROR(IF(INDEX(COA!$I:$I,MATCH($G77,COA!$A:$A,0))="","OPERATING",INDEX(COA!$I:$I,MATCH($G77,COA!$A:$A,0))),"OPERATING"),"")</f>
        <v/>
      </c>
      <c r="AC77" s="43">
        <f>IF($AD77=1,IF(AND($V77&lt;&gt;"CN",$L77=""),$W77,0),"")</f>
        <v/>
      </c>
      <c r="AD77" s="32">
        <f>IF(COUNTA($A77:$U77)&gt;0,1,0)</f>
        <v/>
      </c>
      <c r="AE77" s="32">
        <f>IF($AD77=0,"",IF($A77="","رقم المستند ناقص",IF(COUNTIF(Doc_Register!$A:$A,$A77)&gt;1,"رقم مستند مكرر في السجل المركزي",IF(LEFT($A77,LEN("SINV")+1)&lt;&gt;"SINV"&amp;"-","بادئة الرقم لا تطابق نوع المستند",IF(NOT(ISNUMBER($E77)),"التاريخ ناقص أو غير صحيح",IF($O77="","حالة المستند ناقصة",IF($P77="","اسم المُعِد ناقص",IF(AND(OR($O77=ST_APPR,$O77=ST_POST),$Q77=""),"لا يوجد معتمد",IF(AND($Q77&lt;&gt;"",$Q77=$P77),"المُعِد والمعتمد نفس الشخص (فصل المهام)",IF(AND($O77=ST_POST,$R77=""),"اسم المحاسب المرحِّل ناقص",IF(AND($O77=ST_POST,$R77&lt;&gt;"",OR($R77=$P77,$R77=$Q77)),"المرحِّل يجب أن يختلف عن المُعِد والمعتمد",IF(AND($O77=ST_REV,$T77=""),"مرجع التصحيح/الإلغاء ناقص",IF(AND(ISNUMBER($E77),OR($O77=ST_DRAFT,$O77=ST_APPR),COUNTIFS(Period_Close!$A:$A,YEAR($E77)*100+MONTH($E77),Period_Close!$B:$B,"مقفلة")&gt;0),"الفترة مقفلة: لا يسمح بمستند جديد",IF(COUNTIF(Suppliers!$A:$A,$C77)=0,"المورد غير معرف",IF($B77="","رقم فاتورة المورد ناقص",IF($Z77=1,"فاتورة مكررة (نفس المورد ونفس الرقم)",IF(NOT(ISNUMBER($D77)),"تاريخ الفاتورة ناقص",IF($V77="?","نوع المستند غير معرف",IF(COUNTIFS(COA!$A:$A,$G77,COA!$K:$K,"نعم",COA!$R:$R,1)&lt;&gt;1,"حساب مدين غير مسموح في المشتريات",IF(NOT(COUNTIF(Locations!$A:$A,$H77)&gt;0),"جهة الاستلام غير معرفة",IF(NOT(COUNTIF(Cost_Centers!$A:$A,$I77)&gt;0),"مركز التكلفة غير معرف",IF(NOT(N($J77)&gt;0),"الصافي يجب أن يكون أكبر من صفر",IF(AND(N($K77)&gt;0,S_VATOn&lt;&gt;"نعم"),"الضريبة غير مفعلة في Tax_Settings",IF(AND($L77&lt;&gt;"",COUNTIFS(COA!$A:$A,$AA77,COA!$R:$R,1)&lt;&gt;1),"خزينة الدفع الفوري غير صالحة",IF(AND($L77&lt;&gt;"",$V77="CN"),"الإشعار الدائن لا يُسدَّد فوريًا",IF(AND($V77="INV",$M77="",$N77="",$S77=""),"فاتورة بدون مرجع (أمر شراء/استلام/مرفق)",""))))))))))))))))))))))))))</f>
        <v/>
      </c>
      <c r="AF77" s="32">
        <f>IF($AD77=1,IF($AE77&lt;&gt;"",1,0),0)</f>
        <v/>
      </c>
      <c r="AG77" s="32">
        <f>IF(AND($AD77=1,$AF77=0,$O77=ST_POST),1,0)</f>
        <v/>
      </c>
    </row>
    <row r="78">
      <c r="A78" s="29" t="n"/>
      <c r="B78" s="29" t="n"/>
      <c r="C78" s="39" t="n"/>
      <c r="D78" s="31" t="n"/>
      <c r="E78" s="31" t="n"/>
      <c r="F78" s="29" t="n"/>
      <c r="G78" s="39" t="n"/>
      <c r="H78" s="39" t="n"/>
      <c r="I78" s="39" t="n"/>
      <c r="J78" s="42" t="n"/>
      <c r="K78" s="42" t="n"/>
      <c r="L78" s="39" t="n"/>
      <c r="M78" s="29" t="n"/>
      <c r="N78" s="29" t="n"/>
      <c r="O78" s="39" t="n"/>
      <c r="P78" s="29" t="n"/>
      <c r="Q78" s="29" t="n"/>
      <c r="R78" s="29" t="n"/>
      <c r="S78" s="29" t="n"/>
      <c r="T78" s="29" t="n"/>
      <c r="U78" s="29" t="n"/>
      <c r="V78" s="32">
        <f>IF($AD78=1,IFERROR(INDEX(Lists!$K$5:$K$7,MATCH($F78,Lists!$J$5:$J$7,0)),"?"),"")</f>
        <v/>
      </c>
      <c r="W78" s="43">
        <f>IF($AD78=1,$J78+$K78,"")</f>
        <v/>
      </c>
      <c r="X78" s="32">
        <f>IF($AD78=1,IFERROR(INDEX(Suppliers!$D:$D,MATCH($C78,Suppliers!$A:$A,0)),"؟"),"")</f>
        <v/>
      </c>
      <c r="Y78" s="33">
        <f>IF($AD78=1,IF(AND(ISNUMBER($D78),ISNUMBER($X78)),$D78+$X78,""),"")</f>
        <v/>
      </c>
      <c r="Z78" s="44">
        <f>IF($AD78=1,IF(AND($O78&lt;&gt;ST_REV,$O78&lt;&gt;ST_CANC,COUNTIFS($C$4:$C77,$C78,$B$4:$B77,$B78,$O$4:$O77,"&lt;&gt;"&amp;ST_REV,$O$4:$O77,"&lt;&gt;"&amp;ST_CANC)&gt;0),1,0),"")</f>
        <v/>
      </c>
      <c r="AA78" s="32">
        <f>IF(AND($AD78=1,$L78&lt;&gt;""),IFERROR(INDEX(Treasuries!$E:$E,MATCH($L78,Treasuries!$A:$A,0)),"؟"),"")</f>
        <v/>
      </c>
      <c r="AB78" s="32">
        <f>IF($AD78=1,IFERROR(IF(INDEX(COA!$I:$I,MATCH($G78,COA!$A:$A,0))="","OPERATING",INDEX(COA!$I:$I,MATCH($G78,COA!$A:$A,0))),"OPERATING"),"")</f>
        <v/>
      </c>
      <c r="AC78" s="43">
        <f>IF($AD78=1,IF(AND($V78&lt;&gt;"CN",$L78=""),$W78,0),"")</f>
        <v/>
      </c>
      <c r="AD78" s="32">
        <f>IF(COUNTA($A78:$U78)&gt;0,1,0)</f>
        <v/>
      </c>
      <c r="AE78" s="32">
        <f>IF($AD78=0,"",IF($A78="","رقم المستند ناقص",IF(COUNTIF(Doc_Register!$A:$A,$A78)&gt;1,"رقم مستند مكرر في السجل المركزي",IF(LEFT($A78,LEN("SINV")+1)&lt;&gt;"SINV"&amp;"-","بادئة الرقم لا تطابق نوع المستند",IF(NOT(ISNUMBER($E78)),"التاريخ ناقص أو غير صحيح",IF($O78="","حالة المستند ناقصة",IF($P78="","اسم المُعِد ناقص",IF(AND(OR($O78=ST_APPR,$O78=ST_POST),$Q78=""),"لا يوجد معتمد",IF(AND($Q78&lt;&gt;"",$Q78=$P78),"المُعِد والمعتمد نفس الشخص (فصل المهام)",IF(AND($O78=ST_POST,$R78=""),"اسم المحاسب المرحِّل ناقص",IF(AND($O78=ST_POST,$R78&lt;&gt;"",OR($R78=$P78,$R78=$Q78)),"المرحِّل يجب أن يختلف عن المُعِد والمعتمد",IF(AND($O78=ST_REV,$T78=""),"مرجع التصحيح/الإلغاء ناقص",IF(AND(ISNUMBER($E78),OR($O78=ST_DRAFT,$O78=ST_APPR),COUNTIFS(Period_Close!$A:$A,YEAR($E78)*100+MONTH($E78),Period_Close!$B:$B,"مقفلة")&gt;0),"الفترة مقفلة: لا يسمح بمستند جديد",IF(COUNTIF(Suppliers!$A:$A,$C78)=0,"المورد غير معرف",IF($B78="","رقم فاتورة المورد ناقص",IF($Z78=1,"فاتورة مكررة (نفس المورد ونفس الرقم)",IF(NOT(ISNUMBER($D78)),"تاريخ الفاتورة ناقص",IF($V78="?","نوع المستند غير معرف",IF(COUNTIFS(COA!$A:$A,$G78,COA!$K:$K,"نعم",COA!$R:$R,1)&lt;&gt;1,"حساب مدين غير مسموح في المشتريات",IF(NOT(COUNTIF(Locations!$A:$A,$H78)&gt;0),"جهة الاستلام غير معرفة",IF(NOT(COUNTIF(Cost_Centers!$A:$A,$I78)&gt;0),"مركز التكلفة غير معرف",IF(NOT(N($J78)&gt;0),"الصافي يجب أن يكون أكبر من صفر",IF(AND(N($K78)&gt;0,S_VATOn&lt;&gt;"نعم"),"الضريبة غير مفعلة في Tax_Settings",IF(AND($L78&lt;&gt;"",COUNTIFS(COA!$A:$A,$AA78,COA!$R:$R,1)&lt;&gt;1),"خزينة الدفع الفوري غير صالحة",IF(AND($L78&lt;&gt;"",$V78="CN"),"الإشعار الدائن لا يُسدَّد فوريًا",IF(AND($V78="INV",$M78="",$N78="",$S78=""),"فاتورة بدون مرجع (أمر شراء/استلام/مرفق)",""))))))))))))))))))))))))))</f>
        <v/>
      </c>
      <c r="AF78" s="32">
        <f>IF($AD78=1,IF($AE78&lt;&gt;"",1,0),0)</f>
        <v/>
      </c>
      <c r="AG78" s="32">
        <f>IF(AND($AD78=1,$AF78=0,$O78=ST_POST),1,0)</f>
        <v/>
      </c>
    </row>
    <row r="79">
      <c r="A79" s="29" t="n"/>
      <c r="B79" s="29" t="n"/>
      <c r="C79" s="39" t="n"/>
      <c r="D79" s="31" t="n"/>
      <c r="E79" s="31" t="n"/>
      <c r="F79" s="29" t="n"/>
      <c r="G79" s="39" t="n"/>
      <c r="H79" s="39" t="n"/>
      <c r="I79" s="39" t="n"/>
      <c r="J79" s="42" t="n"/>
      <c r="K79" s="42" t="n"/>
      <c r="L79" s="39" t="n"/>
      <c r="M79" s="29" t="n"/>
      <c r="N79" s="29" t="n"/>
      <c r="O79" s="39" t="n"/>
      <c r="P79" s="29" t="n"/>
      <c r="Q79" s="29" t="n"/>
      <c r="R79" s="29" t="n"/>
      <c r="S79" s="29" t="n"/>
      <c r="T79" s="29" t="n"/>
      <c r="U79" s="29" t="n"/>
      <c r="V79" s="32">
        <f>IF($AD79=1,IFERROR(INDEX(Lists!$K$5:$K$7,MATCH($F79,Lists!$J$5:$J$7,0)),"?"),"")</f>
        <v/>
      </c>
      <c r="W79" s="43">
        <f>IF($AD79=1,$J79+$K79,"")</f>
        <v/>
      </c>
      <c r="X79" s="32">
        <f>IF($AD79=1,IFERROR(INDEX(Suppliers!$D:$D,MATCH($C79,Suppliers!$A:$A,0)),"؟"),"")</f>
        <v/>
      </c>
      <c r="Y79" s="33">
        <f>IF($AD79=1,IF(AND(ISNUMBER($D79),ISNUMBER($X79)),$D79+$X79,""),"")</f>
        <v/>
      </c>
      <c r="Z79" s="44">
        <f>IF($AD79=1,IF(AND($O79&lt;&gt;ST_REV,$O79&lt;&gt;ST_CANC,COUNTIFS($C$4:$C78,$C79,$B$4:$B78,$B79,$O$4:$O78,"&lt;&gt;"&amp;ST_REV,$O$4:$O78,"&lt;&gt;"&amp;ST_CANC)&gt;0),1,0),"")</f>
        <v/>
      </c>
      <c r="AA79" s="32">
        <f>IF(AND($AD79=1,$L79&lt;&gt;""),IFERROR(INDEX(Treasuries!$E:$E,MATCH($L79,Treasuries!$A:$A,0)),"؟"),"")</f>
        <v/>
      </c>
      <c r="AB79" s="32">
        <f>IF($AD79=1,IFERROR(IF(INDEX(COA!$I:$I,MATCH($G79,COA!$A:$A,0))="","OPERATING",INDEX(COA!$I:$I,MATCH($G79,COA!$A:$A,0))),"OPERATING"),"")</f>
        <v/>
      </c>
      <c r="AC79" s="43">
        <f>IF($AD79=1,IF(AND($V79&lt;&gt;"CN",$L79=""),$W79,0),"")</f>
        <v/>
      </c>
      <c r="AD79" s="32">
        <f>IF(COUNTA($A79:$U79)&gt;0,1,0)</f>
        <v/>
      </c>
      <c r="AE79" s="32">
        <f>IF($AD79=0,"",IF($A79="","رقم المستند ناقص",IF(COUNTIF(Doc_Register!$A:$A,$A79)&gt;1,"رقم مستند مكرر في السجل المركزي",IF(LEFT($A79,LEN("SINV")+1)&lt;&gt;"SINV"&amp;"-","بادئة الرقم لا تطابق نوع المستند",IF(NOT(ISNUMBER($E79)),"التاريخ ناقص أو غير صحيح",IF($O79="","حالة المستند ناقصة",IF($P79="","اسم المُعِد ناقص",IF(AND(OR($O79=ST_APPR,$O79=ST_POST),$Q79=""),"لا يوجد معتمد",IF(AND($Q79&lt;&gt;"",$Q79=$P79),"المُعِد والمعتمد نفس الشخص (فصل المهام)",IF(AND($O79=ST_POST,$R79=""),"اسم المحاسب المرحِّل ناقص",IF(AND($O79=ST_POST,$R79&lt;&gt;"",OR($R79=$P79,$R79=$Q79)),"المرحِّل يجب أن يختلف عن المُعِد والمعتمد",IF(AND($O79=ST_REV,$T79=""),"مرجع التصحيح/الإلغاء ناقص",IF(AND(ISNUMBER($E79),OR($O79=ST_DRAFT,$O79=ST_APPR),COUNTIFS(Period_Close!$A:$A,YEAR($E79)*100+MONTH($E79),Period_Close!$B:$B,"مقفلة")&gt;0),"الفترة مقفلة: لا يسمح بمستند جديد",IF(COUNTIF(Suppliers!$A:$A,$C79)=0,"المورد غير معرف",IF($B79="","رقم فاتورة المورد ناقص",IF($Z79=1,"فاتورة مكررة (نفس المورد ونفس الرقم)",IF(NOT(ISNUMBER($D79)),"تاريخ الفاتورة ناقص",IF($V79="?","نوع المستند غير معرف",IF(COUNTIFS(COA!$A:$A,$G79,COA!$K:$K,"نعم",COA!$R:$R,1)&lt;&gt;1,"حساب مدين غير مسموح في المشتريات",IF(NOT(COUNTIF(Locations!$A:$A,$H79)&gt;0),"جهة الاستلام غير معرفة",IF(NOT(COUNTIF(Cost_Centers!$A:$A,$I79)&gt;0),"مركز التكلفة غير معرف",IF(NOT(N($J79)&gt;0),"الصافي يجب أن يكون أكبر من صفر",IF(AND(N($K79)&gt;0,S_VATOn&lt;&gt;"نعم"),"الضريبة غير مفعلة في Tax_Settings",IF(AND($L79&lt;&gt;"",COUNTIFS(COA!$A:$A,$AA79,COA!$R:$R,1)&lt;&gt;1),"خزينة الدفع الفوري غير صالحة",IF(AND($L79&lt;&gt;"",$V79="CN"),"الإشعار الدائن لا يُسدَّد فوريًا",IF(AND($V79="INV",$M79="",$N79="",$S79=""),"فاتورة بدون مرجع (أمر شراء/استلام/مرفق)",""))))))))))))))))))))))))))</f>
        <v/>
      </c>
      <c r="AF79" s="32">
        <f>IF($AD79=1,IF($AE79&lt;&gt;"",1,0),0)</f>
        <v/>
      </c>
      <c r="AG79" s="32">
        <f>IF(AND($AD79=1,$AF79=0,$O79=ST_POST),1,0)</f>
        <v/>
      </c>
    </row>
    <row r="80">
      <c r="A80" s="29" t="n"/>
      <c r="B80" s="29" t="n"/>
      <c r="C80" s="39" t="n"/>
      <c r="D80" s="31" t="n"/>
      <c r="E80" s="31" t="n"/>
      <c r="F80" s="29" t="n"/>
      <c r="G80" s="39" t="n"/>
      <c r="H80" s="39" t="n"/>
      <c r="I80" s="39" t="n"/>
      <c r="J80" s="42" t="n"/>
      <c r="K80" s="42" t="n"/>
      <c r="L80" s="39" t="n"/>
      <c r="M80" s="29" t="n"/>
      <c r="N80" s="29" t="n"/>
      <c r="O80" s="39" t="n"/>
      <c r="P80" s="29" t="n"/>
      <c r="Q80" s="29" t="n"/>
      <c r="R80" s="29" t="n"/>
      <c r="S80" s="29" t="n"/>
      <c r="T80" s="29" t="n"/>
      <c r="U80" s="29" t="n"/>
      <c r="V80" s="32">
        <f>IF($AD80=1,IFERROR(INDEX(Lists!$K$5:$K$7,MATCH($F80,Lists!$J$5:$J$7,0)),"?"),"")</f>
        <v/>
      </c>
      <c r="W80" s="43">
        <f>IF($AD80=1,$J80+$K80,"")</f>
        <v/>
      </c>
      <c r="X80" s="32">
        <f>IF($AD80=1,IFERROR(INDEX(Suppliers!$D:$D,MATCH($C80,Suppliers!$A:$A,0)),"؟"),"")</f>
        <v/>
      </c>
      <c r="Y80" s="33">
        <f>IF($AD80=1,IF(AND(ISNUMBER($D80),ISNUMBER($X80)),$D80+$X80,""),"")</f>
        <v/>
      </c>
      <c r="Z80" s="44">
        <f>IF($AD80=1,IF(AND($O80&lt;&gt;ST_REV,$O80&lt;&gt;ST_CANC,COUNTIFS($C$4:$C79,$C80,$B$4:$B79,$B80,$O$4:$O79,"&lt;&gt;"&amp;ST_REV,$O$4:$O79,"&lt;&gt;"&amp;ST_CANC)&gt;0),1,0),"")</f>
        <v/>
      </c>
      <c r="AA80" s="32">
        <f>IF(AND($AD80=1,$L80&lt;&gt;""),IFERROR(INDEX(Treasuries!$E:$E,MATCH($L80,Treasuries!$A:$A,0)),"؟"),"")</f>
        <v/>
      </c>
      <c r="AB80" s="32">
        <f>IF($AD80=1,IFERROR(IF(INDEX(COA!$I:$I,MATCH($G80,COA!$A:$A,0))="","OPERATING",INDEX(COA!$I:$I,MATCH($G80,COA!$A:$A,0))),"OPERATING"),"")</f>
        <v/>
      </c>
      <c r="AC80" s="43">
        <f>IF($AD80=1,IF(AND($V80&lt;&gt;"CN",$L80=""),$W80,0),"")</f>
        <v/>
      </c>
      <c r="AD80" s="32">
        <f>IF(COUNTA($A80:$U80)&gt;0,1,0)</f>
        <v/>
      </c>
      <c r="AE80" s="32">
        <f>IF($AD80=0,"",IF($A80="","رقم المستند ناقص",IF(COUNTIF(Doc_Register!$A:$A,$A80)&gt;1,"رقم مستند مكرر في السجل المركزي",IF(LEFT($A80,LEN("SINV")+1)&lt;&gt;"SINV"&amp;"-","بادئة الرقم لا تطابق نوع المستند",IF(NOT(ISNUMBER($E80)),"التاريخ ناقص أو غير صحيح",IF($O80="","حالة المستند ناقصة",IF($P80="","اسم المُعِد ناقص",IF(AND(OR($O80=ST_APPR,$O80=ST_POST),$Q80=""),"لا يوجد معتمد",IF(AND($Q80&lt;&gt;"",$Q80=$P80),"المُعِد والمعتمد نفس الشخص (فصل المهام)",IF(AND($O80=ST_POST,$R80=""),"اسم المحاسب المرحِّل ناقص",IF(AND($O80=ST_POST,$R80&lt;&gt;"",OR($R80=$P80,$R80=$Q80)),"المرحِّل يجب أن يختلف عن المُعِد والمعتمد",IF(AND($O80=ST_REV,$T80=""),"مرجع التصحيح/الإلغاء ناقص",IF(AND(ISNUMBER($E80),OR($O80=ST_DRAFT,$O80=ST_APPR),COUNTIFS(Period_Close!$A:$A,YEAR($E80)*100+MONTH($E80),Period_Close!$B:$B,"مقفلة")&gt;0),"الفترة مقفلة: لا يسمح بمستند جديد",IF(COUNTIF(Suppliers!$A:$A,$C80)=0,"المورد غير معرف",IF($B80="","رقم فاتورة المورد ناقص",IF($Z80=1,"فاتورة مكررة (نفس المورد ونفس الرقم)",IF(NOT(ISNUMBER($D80)),"تاريخ الفاتورة ناقص",IF($V80="?","نوع المستند غير معرف",IF(COUNTIFS(COA!$A:$A,$G80,COA!$K:$K,"نعم",COA!$R:$R,1)&lt;&gt;1,"حساب مدين غير مسموح في المشتريات",IF(NOT(COUNTIF(Locations!$A:$A,$H80)&gt;0),"جهة الاستلام غير معرفة",IF(NOT(COUNTIF(Cost_Centers!$A:$A,$I80)&gt;0),"مركز التكلفة غير معرف",IF(NOT(N($J80)&gt;0),"الصافي يجب أن يكون أكبر من صفر",IF(AND(N($K80)&gt;0,S_VATOn&lt;&gt;"نعم"),"الضريبة غير مفعلة في Tax_Settings",IF(AND($L80&lt;&gt;"",COUNTIFS(COA!$A:$A,$AA80,COA!$R:$R,1)&lt;&gt;1),"خزينة الدفع الفوري غير صالحة",IF(AND($L80&lt;&gt;"",$V80="CN"),"الإشعار الدائن لا يُسدَّد فوريًا",IF(AND($V80="INV",$M80="",$N80="",$S80=""),"فاتورة بدون مرجع (أمر شراء/استلام/مرفق)",""))))))))))))))))))))))))))</f>
        <v/>
      </c>
      <c r="AF80" s="32">
        <f>IF($AD80=1,IF($AE80&lt;&gt;"",1,0),0)</f>
        <v/>
      </c>
      <c r="AG80" s="32">
        <f>IF(AND($AD80=1,$AF80=0,$O80=ST_POST),1,0)</f>
        <v/>
      </c>
    </row>
    <row r="81">
      <c r="A81" s="29" t="n"/>
      <c r="B81" s="29" t="n"/>
      <c r="C81" s="39" t="n"/>
      <c r="D81" s="31" t="n"/>
      <c r="E81" s="31" t="n"/>
      <c r="F81" s="29" t="n"/>
      <c r="G81" s="39" t="n"/>
      <c r="H81" s="39" t="n"/>
      <c r="I81" s="39" t="n"/>
      <c r="J81" s="42" t="n"/>
      <c r="K81" s="42" t="n"/>
      <c r="L81" s="39" t="n"/>
      <c r="M81" s="29" t="n"/>
      <c r="N81" s="29" t="n"/>
      <c r="O81" s="39" t="n"/>
      <c r="P81" s="29" t="n"/>
      <c r="Q81" s="29" t="n"/>
      <c r="R81" s="29" t="n"/>
      <c r="S81" s="29" t="n"/>
      <c r="T81" s="29" t="n"/>
      <c r="U81" s="29" t="n"/>
      <c r="V81" s="32">
        <f>IF($AD81=1,IFERROR(INDEX(Lists!$K$5:$K$7,MATCH($F81,Lists!$J$5:$J$7,0)),"?"),"")</f>
        <v/>
      </c>
      <c r="W81" s="43">
        <f>IF($AD81=1,$J81+$K81,"")</f>
        <v/>
      </c>
      <c r="X81" s="32">
        <f>IF($AD81=1,IFERROR(INDEX(Suppliers!$D:$D,MATCH($C81,Suppliers!$A:$A,0)),"؟"),"")</f>
        <v/>
      </c>
      <c r="Y81" s="33">
        <f>IF($AD81=1,IF(AND(ISNUMBER($D81),ISNUMBER($X81)),$D81+$X81,""),"")</f>
        <v/>
      </c>
      <c r="Z81" s="44">
        <f>IF($AD81=1,IF(AND($O81&lt;&gt;ST_REV,$O81&lt;&gt;ST_CANC,COUNTIFS($C$4:$C80,$C81,$B$4:$B80,$B81,$O$4:$O80,"&lt;&gt;"&amp;ST_REV,$O$4:$O80,"&lt;&gt;"&amp;ST_CANC)&gt;0),1,0),"")</f>
        <v/>
      </c>
      <c r="AA81" s="32">
        <f>IF(AND($AD81=1,$L81&lt;&gt;""),IFERROR(INDEX(Treasuries!$E:$E,MATCH($L81,Treasuries!$A:$A,0)),"؟"),"")</f>
        <v/>
      </c>
      <c r="AB81" s="32">
        <f>IF($AD81=1,IFERROR(IF(INDEX(COA!$I:$I,MATCH($G81,COA!$A:$A,0))="","OPERATING",INDEX(COA!$I:$I,MATCH($G81,COA!$A:$A,0))),"OPERATING"),"")</f>
        <v/>
      </c>
      <c r="AC81" s="43">
        <f>IF($AD81=1,IF(AND($V81&lt;&gt;"CN",$L81=""),$W81,0),"")</f>
        <v/>
      </c>
      <c r="AD81" s="32">
        <f>IF(COUNTA($A81:$U81)&gt;0,1,0)</f>
        <v/>
      </c>
      <c r="AE81" s="32">
        <f>IF($AD81=0,"",IF($A81="","رقم المستند ناقص",IF(COUNTIF(Doc_Register!$A:$A,$A81)&gt;1,"رقم مستند مكرر في السجل المركزي",IF(LEFT($A81,LEN("SINV")+1)&lt;&gt;"SINV"&amp;"-","بادئة الرقم لا تطابق نوع المستند",IF(NOT(ISNUMBER($E81)),"التاريخ ناقص أو غير صحيح",IF($O81="","حالة المستند ناقصة",IF($P81="","اسم المُعِد ناقص",IF(AND(OR($O81=ST_APPR,$O81=ST_POST),$Q81=""),"لا يوجد معتمد",IF(AND($Q81&lt;&gt;"",$Q81=$P81),"المُعِد والمعتمد نفس الشخص (فصل المهام)",IF(AND($O81=ST_POST,$R81=""),"اسم المحاسب المرحِّل ناقص",IF(AND($O81=ST_POST,$R81&lt;&gt;"",OR($R81=$P81,$R81=$Q81)),"المرحِّل يجب أن يختلف عن المُعِد والمعتمد",IF(AND($O81=ST_REV,$T81=""),"مرجع التصحيح/الإلغاء ناقص",IF(AND(ISNUMBER($E81),OR($O81=ST_DRAFT,$O81=ST_APPR),COUNTIFS(Period_Close!$A:$A,YEAR($E81)*100+MONTH($E81),Period_Close!$B:$B,"مقفلة")&gt;0),"الفترة مقفلة: لا يسمح بمستند جديد",IF(COUNTIF(Suppliers!$A:$A,$C81)=0,"المورد غير معرف",IF($B81="","رقم فاتورة المورد ناقص",IF($Z81=1,"فاتورة مكررة (نفس المورد ونفس الرقم)",IF(NOT(ISNUMBER($D81)),"تاريخ الفاتورة ناقص",IF($V81="?","نوع المستند غير معرف",IF(COUNTIFS(COA!$A:$A,$G81,COA!$K:$K,"نعم",COA!$R:$R,1)&lt;&gt;1,"حساب مدين غير مسموح في المشتريات",IF(NOT(COUNTIF(Locations!$A:$A,$H81)&gt;0),"جهة الاستلام غير معرفة",IF(NOT(COUNTIF(Cost_Centers!$A:$A,$I81)&gt;0),"مركز التكلفة غير معرف",IF(NOT(N($J81)&gt;0),"الصافي يجب أن يكون أكبر من صفر",IF(AND(N($K81)&gt;0,S_VATOn&lt;&gt;"نعم"),"الضريبة غير مفعلة في Tax_Settings",IF(AND($L81&lt;&gt;"",COUNTIFS(COA!$A:$A,$AA81,COA!$R:$R,1)&lt;&gt;1),"خزينة الدفع الفوري غير صالحة",IF(AND($L81&lt;&gt;"",$V81="CN"),"الإشعار الدائن لا يُسدَّد فوريًا",IF(AND($V81="INV",$M81="",$N81="",$S81=""),"فاتورة بدون مرجع (أمر شراء/استلام/مرفق)",""))))))))))))))))))))))))))</f>
        <v/>
      </c>
      <c r="AF81" s="32">
        <f>IF($AD81=1,IF($AE81&lt;&gt;"",1,0),0)</f>
        <v/>
      </c>
      <c r="AG81" s="32">
        <f>IF(AND($AD81=1,$AF81=0,$O81=ST_POST),1,0)</f>
        <v/>
      </c>
    </row>
    <row r="82">
      <c r="A82" s="29" t="n"/>
      <c r="B82" s="29" t="n"/>
      <c r="C82" s="39" t="n"/>
      <c r="D82" s="31" t="n"/>
      <c r="E82" s="31" t="n"/>
      <c r="F82" s="29" t="n"/>
      <c r="G82" s="39" t="n"/>
      <c r="H82" s="39" t="n"/>
      <c r="I82" s="39" t="n"/>
      <c r="J82" s="42" t="n"/>
      <c r="K82" s="42" t="n"/>
      <c r="L82" s="39" t="n"/>
      <c r="M82" s="29" t="n"/>
      <c r="N82" s="29" t="n"/>
      <c r="O82" s="39" t="n"/>
      <c r="P82" s="29" t="n"/>
      <c r="Q82" s="29" t="n"/>
      <c r="R82" s="29" t="n"/>
      <c r="S82" s="29" t="n"/>
      <c r="T82" s="29" t="n"/>
      <c r="U82" s="29" t="n"/>
      <c r="V82" s="32">
        <f>IF($AD82=1,IFERROR(INDEX(Lists!$K$5:$K$7,MATCH($F82,Lists!$J$5:$J$7,0)),"?"),"")</f>
        <v/>
      </c>
      <c r="W82" s="43">
        <f>IF($AD82=1,$J82+$K82,"")</f>
        <v/>
      </c>
      <c r="X82" s="32">
        <f>IF($AD82=1,IFERROR(INDEX(Suppliers!$D:$D,MATCH($C82,Suppliers!$A:$A,0)),"؟"),"")</f>
        <v/>
      </c>
      <c r="Y82" s="33">
        <f>IF($AD82=1,IF(AND(ISNUMBER($D82),ISNUMBER($X82)),$D82+$X82,""),"")</f>
        <v/>
      </c>
      <c r="Z82" s="44">
        <f>IF($AD82=1,IF(AND($O82&lt;&gt;ST_REV,$O82&lt;&gt;ST_CANC,COUNTIFS($C$4:$C81,$C82,$B$4:$B81,$B82,$O$4:$O81,"&lt;&gt;"&amp;ST_REV,$O$4:$O81,"&lt;&gt;"&amp;ST_CANC)&gt;0),1,0),"")</f>
        <v/>
      </c>
      <c r="AA82" s="32">
        <f>IF(AND($AD82=1,$L82&lt;&gt;""),IFERROR(INDEX(Treasuries!$E:$E,MATCH($L82,Treasuries!$A:$A,0)),"؟"),"")</f>
        <v/>
      </c>
      <c r="AB82" s="32">
        <f>IF($AD82=1,IFERROR(IF(INDEX(COA!$I:$I,MATCH($G82,COA!$A:$A,0))="","OPERATING",INDEX(COA!$I:$I,MATCH($G82,COA!$A:$A,0))),"OPERATING"),"")</f>
        <v/>
      </c>
      <c r="AC82" s="43">
        <f>IF($AD82=1,IF(AND($V82&lt;&gt;"CN",$L82=""),$W82,0),"")</f>
        <v/>
      </c>
      <c r="AD82" s="32">
        <f>IF(COUNTA($A82:$U82)&gt;0,1,0)</f>
        <v/>
      </c>
      <c r="AE82" s="32">
        <f>IF($AD82=0,"",IF($A82="","رقم المستند ناقص",IF(COUNTIF(Doc_Register!$A:$A,$A82)&gt;1,"رقم مستند مكرر في السجل المركزي",IF(LEFT($A82,LEN("SINV")+1)&lt;&gt;"SINV"&amp;"-","بادئة الرقم لا تطابق نوع المستند",IF(NOT(ISNUMBER($E82)),"التاريخ ناقص أو غير صحيح",IF($O82="","حالة المستند ناقصة",IF($P82="","اسم المُعِد ناقص",IF(AND(OR($O82=ST_APPR,$O82=ST_POST),$Q82=""),"لا يوجد معتمد",IF(AND($Q82&lt;&gt;"",$Q82=$P82),"المُعِد والمعتمد نفس الشخص (فصل المهام)",IF(AND($O82=ST_POST,$R82=""),"اسم المحاسب المرحِّل ناقص",IF(AND($O82=ST_POST,$R82&lt;&gt;"",OR($R82=$P82,$R82=$Q82)),"المرحِّل يجب أن يختلف عن المُعِد والمعتمد",IF(AND($O82=ST_REV,$T82=""),"مرجع التصحيح/الإلغاء ناقص",IF(AND(ISNUMBER($E82),OR($O82=ST_DRAFT,$O82=ST_APPR),COUNTIFS(Period_Close!$A:$A,YEAR($E82)*100+MONTH($E82),Period_Close!$B:$B,"مقفلة")&gt;0),"الفترة مقفلة: لا يسمح بمستند جديد",IF(COUNTIF(Suppliers!$A:$A,$C82)=0,"المورد غير معرف",IF($B82="","رقم فاتورة المورد ناقص",IF($Z82=1,"فاتورة مكررة (نفس المورد ونفس الرقم)",IF(NOT(ISNUMBER($D82)),"تاريخ الفاتورة ناقص",IF($V82="?","نوع المستند غير معرف",IF(COUNTIFS(COA!$A:$A,$G82,COA!$K:$K,"نعم",COA!$R:$R,1)&lt;&gt;1,"حساب مدين غير مسموح في المشتريات",IF(NOT(COUNTIF(Locations!$A:$A,$H82)&gt;0),"جهة الاستلام غير معرفة",IF(NOT(COUNTIF(Cost_Centers!$A:$A,$I82)&gt;0),"مركز التكلفة غير معرف",IF(NOT(N($J82)&gt;0),"الصافي يجب أن يكون أكبر من صفر",IF(AND(N($K82)&gt;0,S_VATOn&lt;&gt;"نعم"),"الضريبة غير مفعلة في Tax_Settings",IF(AND($L82&lt;&gt;"",COUNTIFS(COA!$A:$A,$AA82,COA!$R:$R,1)&lt;&gt;1),"خزينة الدفع الفوري غير صالحة",IF(AND($L82&lt;&gt;"",$V82="CN"),"الإشعار الدائن لا يُسدَّد فوريًا",IF(AND($V82="INV",$M82="",$N82="",$S82=""),"فاتورة بدون مرجع (أمر شراء/استلام/مرفق)",""))))))))))))))))))))))))))</f>
        <v/>
      </c>
      <c r="AF82" s="32">
        <f>IF($AD82=1,IF($AE82&lt;&gt;"",1,0),0)</f>
        <v/>
      </c>
      <c r="AG82" s="32">
        <f>IF(AND($AD82=1,$AF82=0,$O82=ST_POST),1,0)</f>
        <v/>
      </c>
    </row>
    <row r="83">
      <c r="A83" s="29" t="n"/>
      <c r="B83" s="29" t="n"/>
      <c r="C83" s="39" t="n"/>
      <c r="D83" s="31" t="n"/>
      <c r="E83" s="31" t="n"/>
      <c r="F83" s="29" t="n"/>
      <c r="G83" s="39" t="n"/>
      <c r="H83" s="39" t="n"/>
      <c r="I83" s="39" t="n"/>
      <c r="J83" s="42" t="n"/>
      <c r="K83" s="42" t="n"/>
      <c r="L83" s="39" t="n"/>
      <c r="M83" s="29" t="n"/>
      <c r="N83" s="29" t="n"/>
      <c r="O83" s="39" t="n"/>
      <c r="P83" s="29" t="n"/>
      <c r="Q83" s="29" t="n"/>
      <c r="R83" s="29" t="n"/>
      <c r="S83" s="29" t="n"/>
      <c r="T83" s="29" t="n"/>
      <c r="U83" s="29" t="n"/>
      <c r="V83" s="32">
        <f>IF($AD83=1,IFERROR(INDEX(Lists!$K$5:$K$7,MATCH($F83,Lists!$J$5:$J$7,0)),"?"),"")</f>
        <v/>
      </c>
      <c r="W83" s="43">
        <f>IF($AD83=1,$J83+$K83,"")</f>
        <v/>
      </c>
      <c r="X83" s="32">
        <f>IF($AD83=1,IFERROR(INDEX(Suppliers!$D:$D,MATCH($C83,Suppliers!$A:$A,0)),"؟"),"")</f>
        <v/>
      </c>
      <c r="Y83" s="33">
        <f>IF($AD83=1,IF(AND(ISNUMBER($D83),ISNUMBER($X83)),$D83+$X83,""),"")</f>
        <v/>
      </c>
      <c r="Z83" s="44">
        <f>IF($AD83=1,IF(AND($O83&lt;&gt;ST_REV,$O83&lt;&gt;ST_CANC,COUNTIFS($C$4:$C82,$C83,$B$4:$B82,$B83,$O$4:$O82,"&lt;&gt;"&amp;ST_REV,$O$4:$O82,"&lt;&gt;"&amp;ST_CANC)&gt;0),1,0),"")</f>
        <v/>
      </c>
      <c r="AA83" s="32">
        <f>IF(AND($AD83=1,$L83&lt;&gt;""),IFERROR(INDEX(Treasuries!$E:$E,MATCH($L83,Treasuries!$A:$A,0)),"؟"),"")</f>
        <v/>
      </c>
      <c r="AB83" s="32">
        <f>IF($AD83=1,IFERROR(IF(INDEX(COA!$I:$I,MATCH($G83,COA!$A:$A,0))="","OPERATING",INDEX(COA!$I:$I,MATCH($G83,COA!$A:$A,0))),"OPERATING"),"")</f>
        <v/>
      </c>
      <c r="AC83" s="43">
        <f>IF($AD83=1,IF(AND($V83&lt;&gt;"CN",$L83=""),$W83,0),"")</f>
        <v/>
      </c>
      <c r="AD83" s="32">
        <f>IF(COUNTA($A83:$U83)&gt;0,1,0)</f>
        <v/>
      </c>
      <c r="AE83" s="32">
        <f>IF($AD83=0,"",IF($A83="","رقم المستند ناقص",IF(COUNTIF(Doc_Register!$A:$A,$A83)&gt;1,"رقم مستند مكرر في السجل المركزي",IF(LEFT($A83,LEN("SINV")+1)&lt;&gt;"SINV"&amp;"-","بادئة الرقم لا تطابق نوع المستند",IF(NOT(ISNUMBER($E83)),"التاريخ ناقص أو غير صحيح",IF($O83="","حالة المستند ناقصة",IF($P83="","اسم المُعِد ناقص",IF(AND(OR($O83=ST_APPR,$O83=ST_POST),$Q83=""),"لا يوجد معتمد",IF(AND($Q83&lt;&gt;"",$Q83=$P83),"المُعِد والمعتمد نفس الشخص (فصل المهام)",IF(AND($O83=ST_POST,$R83=""),"اسم المحاسب المرحِّل ناقص",IF(AND($O83=ST_POST,$R83&lt;&gt;"",OR($R83=$P83,$R83=$Q83)),"المرحِّل يجب أن يختلف عن المُعِد والمعتمد",IF(AND($O83=ST_REV,$T83=""),"مرجع التصحيح/الإلغاء ناقص",IF(AND(ISNUMBER($E83),OR($O83=ST_DRAFT,$O83=ST_APPR),COUNTIFS(Period_Close!$A:$A,YEAR($E83)*100+MONTH($E83),Period_Close!$B:$B,"مقفلة")&gt;0),"الفترة مقفلة: لا يسمح بمستند جديد",IF(COUNTIF(Suppliers!$A:$A,$C83)=0,"المورد غير معرف",IF($B83="","رقم فاتورة المورد ناقص",IF($Z83=1,"فاتورة مكررة (نفس المورد ونفس الرقم)",IF(NOT(ISNUMBER($D83)),"تاريخ الفاتورة ناقص",IF($V83="?","نوع المستند غير معرف",IF(COUNTIFS(COA!$A:$A,$G83,COA!$K:$K,"نعم",COA!$R:$R,1)&lt;&gt;1,"حساب مدين غير مسموح في المشتريات",IF(NOT(COUNTIF(Locations!$A:$A,$H83)&gt;0),"جهة الاستلام غير معرفة",IF(NOT(COUNTIF(Cost_Centers!$A:$A,$I83)&gt;0),"مركز التكلفة غير معرف",IF(NOT(N($J83)&gt;0),"الصافي يجب أن يكون أكبر من صفر",IF(AND(N($K83)&gt;0,S_VATOn&lt;&gt;"نعم"),"الضريبة غير مفعلة في Tax_Settings",IF(AND($L83&lt;&gt;"",COUNTIFS(COA!$A:$A,$AA83,COA!$R:$R,1)&lt;&gt;1),"خزينة الدفع الفوري غير صالحة",IF(AND($L83&lt;&gt;"",$V83="CN"),"الإشعار الدائن لا يُسدَّد فوريًا",IF(AND($V83="INV",$M83="",$N83="",$S83=""),"فاتورة بدون مرجع (أمر شراء/استلام/مرفق)",""))))))))))))))))))))))))))</f>
        <v/>
      </c>
      <c r="AF83" s="32">
        <f>IF($AD83=1,IF($AE83&lt;&gt;"",1,0),0)</f>
        <v/>
      </c>
      <c r="AG83" s="32">
        <f>IF(AND($AD83=1,$AF83=0,$O83=ST_POST),1,0)</f>
        <v/>
      </c>
    </row>
    <row r="84">
      <c r="A84" s="29" t="n"/>
      <c r="B84" s="29" t="n"/>
      <c r="C84" s="39" t="n"/>
      <c r="D84" s="31" t="n"/>
      <c r="E84" s="31" t="n"/>
      <c r="F84" s="29" t="n"/>
      <c r="G84" s="39" t="n"/>
      <c r="H84" s="39" t="n"/>
      <c r="I84" s="39" t="n"/>
      <c r="J84" s="42" t="n"/>
      <c r="K84" s="42" t="n"/>
      <c r="L84" s="39" t="n"/>
      <c r="M84" s="29" t="n"/>
      <c r="N84" s="29" t="n"/>
      <c r="O84" s="39" t="n"/>
      <c r="P84" s="29" t="n"/>
      <c r="Q84" s="29" t="n"/>
      <c r="R84" s="29" t="n"/>
      <c r="S84" s="29" t="n"/>
      <c r="T84" s="29" t="n"/>
      <c r="U84" s="29" t="n"/>
      <c r="V84" s="32">
        <f>IF($AD84=1,IFERROR(INDEX(Lists!$K$5:$K$7,MATCH($F84,Lists!$J$5:$J$7,0)),"?"),"")</f>
        <v/>
      </c>
      <c r="W84" s="43">
        <f>IF($AD84=1,$J84+$K84,"")</f>
        <v/>
      </c>
      <c r="X84" s="32">
        <f>IF($AD84=1,IFERROR(INDEX(Suppliers!$D:$D,MATCH($C84,Suppliers!$A:$A,0)),"؟"),"")</f>
        <v/>
      </c>
      <c r="Y84" s="33">
        <f>IF($AD84=1,IF(AND(ISNUMBER($D84),ISNUMBER($X84)),$D84+$X84,""),"")</f>
        <v/>
      </c>
      <c r="Z84" s="44">
        <f>IF($AD84=1,IF(AND($O84&lt;&gt;ST_REV,$O84&lt;&gt;ST_CANC,COUNTIFS($C$4:$C83,$C84,$B$4:$B83,$B84,$O$4:$O83,"&lt;&gt;"&amp;ST_REV,$O$4:$O83,"&lt;&gt;"&amp;ST_CANC)&gt;0),1,0),"")</f>
        <v/>
      </c>
      <c r="AA84" s="32">
        <f>IF(AND($AD84=1,$L84&lt;&gt;""),IFERROR(INDEX(Treasuries!$E:$E,MATCH($L84,Treasuries!$A:$A,0)),"؟"),"")</f>
        <v/>
      </c>
      <c r="AB84" s="32">
        <f>IF($AD84=1,IFERROR(IF(INDEX(COA!$I:$I,MATCH($G84,COA!$A:$A,0))="","OPERATING",INDEX(COA!$I:$I,MATCH($G84,COA!$A:$A,0))),"OPERATING"),"")</f>
        <v/>
      </c>
      <c r="AC84" s="43">
        <f>IF($AD84=1,IF(AND($V84&lt;&gt;"CN",$L84=""),$W84,0),"")</f>
        <v/>
      </c>
      <c r="AD84" s="32">
        <f>IF(COUNTA($A84:$U84)&gt;0,1,0)</f>
        <v/>
      </c>
      <c r="AE84" s="32">
        <f>IF($AD84=0,"",IF($A84="","رقم المستند ناقص",IF(COUNTIF(Doc_Register!$A:$A,$A84)&gt;1,"رقم مستند مكرر في السجل المركزي",IF(LEFT($A84,LEN("SINV")+1)&lt;&gt;"SINV"&amp;"-","بادئة الرقم لا تطابق نوع المستند",IF(NOT(ISNUMBER($E84)),"التاريخ ناقص أو غير صحيح",IF($O84="","حالة المستند ناقصة",IF($P84="","اسم المُعِد ناقص",IF(AND(OR($O84=ST_APPR,$O84=ST_POST),$Q84=""),"لا يوجد معتمد",IF(AND($Q84&lt;&gt;"",$Q84=$P84),"المُعِد والمعتمد نفس الشخص (فصل المهام)",IF(AND($O84=ST_POST,$R84=""),"اسم المحاسب المرحِّل ناقص",IF(AND($O84=ST_POST,$R84&lt;&gt;"",OR($R84=$P84,$R84=$Q84)),"المرحِّل يجب أن يختلف عن المُعِد والمعتمد",IF(AND($O84=ST_REV,$T84=""),"مرجع التصحيح/الإلغاء ناقص",IF(AND(ISNUMBER($E84),OR($O84=ST_DRAFT,$O84=ST_APPR),COUNTIFS(Period_Close!$A:$A,YEAR($E84)*100+MONTH($E84),Period_Close!$B:$B,"مقفلة")&gt;0),"الفترة مقفلة: لا يسمح بمستند جديد",IF(COUNTIF(Suppliers!$A:$A,$C84)=0,"المورد غير معرف",IF($B84="","رقم فاتورة المورد ناقص",IF($Z84=1,"فاتورة مكررة (نفس المورد ونفس الرقم)",IF(NOT(ISNUMBER($D84)),"تاريخ الفاتورة ناقص",IF($V84="?","نوع المستند غير معرف",IF(COUNTIFS(COA!$A:$A,$G84,COA!$K:$K,"نعم",COA!$R:$R,1)&lt;&gt;1,"حساب مدين غير مسموح في المشتريات",IF(NOT(COUNTIF(Locations!$A:$A,$H84)&gt;0),"جهة الاستلام غير معرفة",IF(NOT(COUNTIF(Cost_Centers!$A:$A,$I84)&gt;0),"مركز التكلفة غير معرف",IF(NOT(N($J84)&gt;0),"الصافي يجب أن يكون أكبر من صفر",IF(AND(N($K84)&gt;0,S_VATOn&lt;&gt;"نعم"),"الضريبة غير مفعلة في Tax_Settings",IF(AND($L84&lt;&gt;"",COUNTIFS(COA!$A:$A,$AA84,COA!$R:$R,1)&lt;&gt;1),"خزينة الدفع الفوري غير صالحة",IF(AND($L84&lt;&gt;"",$V84="CN"),"الإشعار الدائن لا يُسدَّد فوريًا",IF(AND($V84="INV",$M84="",$N84="",$S84=""),"فاتورة بدون مرجع (أمر شراء/استلام/مرفق)",""))))))))))))))))))))))))))</f>
        <v/>
      </c>
      <c r="AF84" s="32">
        <f>IF($AD84=1,IF($AE84&lt;&gt;"",1,0),0)</f>
        <v/>
      </c>
      <c r="AG84" s="32">
        <f>IF(AND($AD84=1,$AF84=0,$O84=ST_POST),1,0)</f>
        <v/>
      </c>
    </row>
  </sheetData>
  <sheetProtection selectLockedCells="0" selectUnlockedCells="0" sheet="1" objects="0" insertRows="1" insertHyperlinks="1" autoFilter="0" scenarios="0" formatColumns="0" deleteColumns="1" insertColumns="1" pivotTables="1" deleteRows="1" formatCells="0" formatRows="0" sort="1"/>
  <autoFilter ref="A4:AG84"/>
  <conditionalFormatting sqref="O5:O84">
    <cfRule type="expression" priority="1" dxfId="1">
      <formula>O5="مرحل"</formula>
    </cfRule>
    <cfRule type="expression" priority="2" dxfId="0">
      <formula>O5="معكوس"</formula>
    </cfRule>
  </conditionalFormatting>
  <conditionalFormatting sqref="AE5:AE84">
    <cfRule type="expression" priority="3" dxfId="3">
      <formula>LEN(AE5)&gt;0</formula>
    </cfRule>
  </conditionalFormatting>
  <dataValidations count="14">
    <dataValidation sqref="C5:C84" showDropDown="0" showInputMessage="0" showErrorMessage="1" allowBlank="1" errorTitle="قيمة غير مسموحة" error="اختر قيمة من القائمة المنسدلة." type="list">
      <formula1>=Suppliers!$A$5:$A$154</formula1>
    </dataValidation>
    <dataValidation sqref="D5:D84" showDropDown="0" showInputMessage="0" showErrorMessage="1" allowBlank="1" errorTitle="تاريخ غير صحيح" error="أدخل تاريخًا صحيحًا." type="date" operator="greaterThan">
      <formula1>36526</formula1>
    </dataValidation>
    <dataValidation sqref="E5:E84" showDropDown="0" showInputMessage="0" showErrorMessage="1" allowBlank="1" errorTitle="تاريخ غير صحيح" error="أدخل تاريخًا صحيحًا." type="date" operator="greaterThan">
      <formula1>36526</formula1>
    </dataValidation>
    <dataValidation sqref="F5:F84" showDropDown="0" showInputMessage="0" showErrorMessage="1" allowBlank="1" errorTitle="قيمة غير مسموحة" error="اختر قيمة من القائمة المنسدلة." type="list">
      <formula1>=Lists!$J$5:$J$7</formula1>
    </dataValidation>
    <dataValidation sqref="G5:G84" showDropDown="0" showInputMessage="0" showErrorMessage="1" allowBlank="1" errorTitle="قيمة غير مسموحة" error="اختر قيمة من القائمة المنسدلة." type="list">
      <formula1>=COA!$A$5:$A$254</formula1>
    </dataValidation>
    <dataValidation sqref="H5:H84" showDropDown="0" showInputMessage="0" showErrorMessage="1" allowBlank="1" errorTitle="قيمة غير مسموحة" error="اختر قيمة من القائمة المنسدلة." type="list">
      <formula1>=Locations!$A$5:$A$34</formula1>
    </dataValidation>
    <dataValidation sqref="I5:I84" showDropDown="0" showInputMessage="0" showErrorMessage="1" allowBlank="1" errorTitle="قيمة غير مسموحة" error="اختر قيمة من القائمة المنسدلة." type="list">
      <formula1>=Cost_Centers!$A$5:$A$34</formula1>
    </dataValidation>
    <dataValidation sqref="J5:J8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K5:K8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L5:L84" showDropDown="0" showInputMessage="0" showErrorMessage="1" allowBlank="1" errorTitle="قيمة غير مسموحة" error="اختر قيمة من القائمة المنسدلة." type="list">
      <formula1>=Treasuries!$A$5:$A$34</formula1>
    </dataValidation>
    <dataValidation sqref="O5:O84" showDropDown="0" showInputMessage="0" showErrorMessage="1" allowBlank="1" errorTitle="قيمة غير مسموحة" error="اختر قيمة من القائمة المنسدلة." type="list">
      <formula1>=Lists!$A$5:$A$9</formula1>
    </dataValidation>
    <dataValidation sqref="P5:P84" showDropDown="0" showInputMessage="0" showErrorMessage="1" allowBlank="1" errorTitle="قيمة غير مسموحة" error="اختر قيمة من القائمة المنسدلة." type="list">
      <formula1>=Users!$B$5:$B$44</formula1>
    </dataValidation>
    <dataValidation sqref="Q5:Q84" showDropDown="0" showInputMessage="0" showErrorMessage="1" allowBlank="1" errorTitle="قيمة غير مسموحة" error="اختر قيمة من القائمة المنسدلة." type="list">
      <formula1>=Users!$B$5:$B$44</formula1>
    </dataValidation>
    <dataValidation sqref="R5:R84" showDropDown="0" showInputMessage="0" showErrorMessage="1" allowBlank="1" errorTitle="قيمة غير مسموحة" error="اختر قيمة من القائمة المنسدلة." type="list">
      <formula1>=Users!$B$5:$B$44</formula1>
    </dataValidation>
  </dataValidations>
  <pageMargins left="0.75" right="0.75" top="1" bottom="1" header="0.5" footer="0.5"/>
  <pageSetup orientation="landscape" fitToHeight="0" fitToWidth="1"/>
</worksheet>
</file>

<file path=xl/worksheets/sheet33.xml><?xml version="1.0" encoding="utf-8"?>
<worksheet xmlns="http://schemas.openxmlformats.org/spreadsheetml/2006/main">
  <sheetPr>
    <tabColor rgb="007030A0"/>
    <outlinePr summaryBelow="1" summaryRight="1"/>
    <pageSetUpPr fitToPage="1"/>
  </sheetPr>
  <dimension ref="A1:V6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0" customWidth="1" min="3" max="3"/>
    <col width="14" customWidth="1" min="4" max="4"/>
    <col width="13" customWidth="1" min="5" max="5"/>
    <col width="14" customWidth="1" min="6" max="6"/>
    <col width="17" customWidth="1" min="7" max="7"/>
    <col width="26" customWidth="1" min="8" max="8"/>
    <col width="11" customWidth="1" min="9" max="9"/>
    <col width="22" customWidth="1" min="10" max="10"/>
    <col width="22" customWidth="1" min="11" max="11"/>
    <col width="22" customWidth="1" min="12" max="12"/>
    <col width="16" customWidth="1" min="13" max="13"/>
    <col width="18" customWidth="1" min="14" max="14"/>
    <col width="24" customWidth="1" min="15" max="15"/>
    <col hidden="1" width="9" customWidth="1" min="16" max="16"/>
    <col hidden="1" width="8" customWidth="1" min="17" max="17"/>
    <col width="11" customWidth="1" min="18" max="18"/>
    <col hidden="1" width="7" customWidth="1" min="19" max="19"/>
    <col width="44" customWidth="1" min="20" max="20"/>
    <col hidden="1" width="6" customWidth="1" min="21" max="21"/>
    <col hidden="1" width="7" customWidth="1" min="22" max="22"/>
  </cols>
  <sheetData>
    <row r="1" ht="26" customHeight="1">
      <c r="A1" s="22" t="inlineStr">
        <is>
          <t>دفعات الموردين (Supplier Payments)</t>
        </is>
      </c>
      <c r="B1" s="1" t="n"/>
      <c r="C1" s="1" t="n"/>
      <c r="D1" s="1" t="n"/>
      <c r="E1" s="1" t="n"/>
      <c r="F1" s="1" t="n"/>
      <c r="G1" s="1" t="n"/>
      <c r="H1" s="1" t="n"/>
      <c r="I1" s="1" t="n"/>
      <c r="J1" s="1" t="n"/>
      <c r="K1" s="1" t="n"/>
      <c r="L1" s="1" t="n"/>
      <c r="M1" s="1" t="n"/>
      <c r="N1" s="1" t="n"/>
      <c r="O1" s="1" t="n"/>
      <c r="P1" s="1" t="n"/>
      <c r="Q1" s="1" t="n"/>
      <c r="R1" s="1" t="n"/>
      <c r="S1" s="1" t="n"/>
      <c r="T1" s="1" t="n"/>
      <c r="U1" s="1" t="n"/>
      <c r="V1" s="1" t="n"/>
    </row>
    <row r="2">
      <c r="A2" s="35" t="inlineStr">
        <is>
          <t>المصدر: نموذج سند الصرف (12). كل دفعة تخصم من حساب المورد. اربطها برقم تسجيل الفاتورة إن أمكن.</t>
        </is>
      </c>
    </row>
    <row r="3">
      <c r="A3" s="36" t="inlineStr">
        <is>
          <t>خلايا الإدخال</t>
        </is>
      </c>
      <c r="B3" s="37" t="inlineStr">
        <is>
          <t>معادلات (لا تعدّل)</t>
        </is>
      </c>
    </row>
    <row r="4" ht="34" customHeight="1">
      <c r="A4" s="24" t="inlineStr">
        <is>
          <t>رقم الدفعة</t>
        </is>
      </c>
      <c r="B4" s="24" t="inlineStr">
        <is>
          <t>تاريخ الدفع</t>
        </is>
      </c>
      <c r="C4" s="24" t="inlineStr">
        <is>
          <t>المورد</t>
        </is>
      </c>
      <c r="D4" s="24" t="inlineStr">
        <is>
          <t>الخزينة/البنك</t>
        </is>
      </c>
      <c r="E4" s="24" t="inlineStr">
        <is>
          <t>المبلغ</t>
        </is>
      </c>
      <c r="F4" s="24" t="inlineStr">
        <is>
          <t>طريقة الدفع</t>
        </is>
      </c>
      <c r="G4" s="24" t="inlineStr">
        <is>
          <t>رقم تسجيل الفاتورة المسددة</t>
        </is>
      </c>
      <c r="H4" s="24" t="inlineStr">
        <is>
          <t>البيان</t>
        </is>
      </c>
      <c r="I4" s="24" t="inlineStr">
        <is>
          <t>حالة المستند</t>
        </is>
      </c>
      <c r="J4" s="24" t="inlineStr">
        <is>
          <t>المُعِد / مقدم الطلب</t>
        </is>
      </c>
      <c r="K4" s="24" t="inlineStr">
        <is>
          <t>المعتمد</t>
        </is>
      </c>
      <c r="L4" s="24" t="inlineStr">
        <is>
          <t>المحاسب المرحِّل</t>
        </is>
      </c>
      <c r="M4" s="24" t="inlineStr">
        <is>
          <t>مرفق / مرجع ورقي</t>
        </is>
      </c>
      <c r="N4" s="24" t="inlineStr">
        <is>
          <t>مرجع التصحيح / الإلغاء</t>
        </is>
      </c>
      <c r="O4" s="24" t="inlineStr">
        <is>
          <t>ملاحظات</t>
        </is>
      </c>
      <c r="P4" s="38" t="inlineStr">
        <is>
          <t>حساب الخزينة</t>
        </is>
      </c>
      <c r="Q4" s="38" t="inlineStr">
        <is>
          <t>موقع الخزينة</t>
        </is>
      </c>
      <c r="R4" s="38" t="inlineStr">
        <is>
          <t>تصنيف التدفق</t>
        </is>
      </c>
      <c r="S4" s="38" t="inlineStr">
        <is>
          <t>مستخدم</t>
        </is>
      </c>
      <c r="T4" s="38" t="inlineStr">
        <is>
          <t>فحص المستند (أول خطأ)</t>
        </is>
      </c>
      <c r="U4" s="38" t="inlineStr">
        <is>
          <t>خطأ؟</t>
        </is>
      </c>
      <c r="V4" s="38" t="inlineStr">
        <is>
          <t>يُرحَّل؟</t>
        </is>
      </c>
    </row>
    <row r="5">
      <c r="A5" s="29" t="n"/>
      <c r="B5" s="31" t="n"/>
      <c r="C5" s="39" t="n"/>
      <c r="D5" s="39" t="n"/>
      <c r="E5" s="42" t="n"/>
      <c r="F5" s="29" t="n"/>
      <c r="G5" s="29" t="n"/>
      <c r="H5" s="29" t="n"/>
      <c r="I5" s="39" t="n"/>
      <c r="J5" s="29" t="n"/>
      <c r="K5" s="29" t="n"/>
      <c r="L5" s="29" t="n"/>
      <c r="M5" s="29" t="n"/>
      <c r="N5" s="29" t="n"/>
      <c r="O5" s="29" t="n"/>
      <c r="P5" s="32">
        <f>IF($S5=1,IFERROR(INDEX(Treasuries!$E:$E,MATCH($D5,Treasuries!$A:$A,0)),"؟"),"")</f>
        <v/>
      </c>
      <c r="Q5" s="32">
        <f>IF($S5=1,IFERROR(INDEX(Treasuries!$D:$D,MATCH($D5,Treasuries!$A:$A,0)),"؟"),"")</f>
        <v/>
      </c>
      <c r="R5" s="32">
        <f>IF($S5=1,IFERROR(INDEX(Supplier_Invoices!$AB:$AB,MATCH($G5,Supplier_Invoices!$A:$A,0)),"OPERATING"),"")</f>
        <v/>
      </c>
      <c r="S5" s="32">
        <f>IF(COUNTA($A5:$O5)&gt;0,1,0)</f>
        <v/>
      </c>
      <c r="T5" s="32">
        <f>IF($S5=0,"",IF($A5="","رقم المستند ناقص",IF(COUNTIF(Doc_Register!$A:$A,$A5)&gt;1,"رقم مستند مكرر في السجل المركزي",IF(LEFT($A5,LEN("SPAY")+1)&lt;&gt;"SPAY"&amp;"-","بادئة الرقم لا تطابق نوع المستند",IF(NOT(ISNUMBER($B5)),"التاريخ ناقص أو غير صحيح",IF($I5="","حالة المستند ناقصة",IF($J5="","اسم المُعِد ناقص",IF(AND(OR($I5=ST_APPR,$I5=ST_POST),$K5=""),"لا يوجد معتمد",IF(AND($K5&lt;&gt;"",$K5=$J5),"المُعِد والمعتمد نفس الشخص (فصل المهام)",IF(AND($I5=ST_POST,$L5=""),"اسم المحاسب المرحِّل ناقص",IF(AND($I5=ST_POST,$L5&lt;&gt;"",OR($L5=$J5,$L5=$K5)),"المرحِّل يجب أن يختلف عن المُعِد والمعتمد",IF(AND($I5=ST_REV,$N5=""),"مرجع التصحيح/الإلغاء ناقص",IF(AND(ISNUMBER($B5),OR($I5=ST_DRAFT,$I5=ST_APPR),COUNTIFS(Period_Close!$A:$A,YEAR($B5)*100+MONTH($B5),Period_Close!$B:$B,"مقفلة")&gt;0),"الفترة مقفلة: لا يسمح بمستند جديد",IF(COUNTIF(Suppliers!$A:$A,$C5)=0,"المورد غير معرف",IF(COUNTIFS(COA!$A:$A,$P5,COA!$R:$R,1)&lt;&gt;1,"الخزينة/البنك غير صالح",IF(NOT(N($E5)&gt;0),"المبلغ يجب أن يكون أكبر من صفر",IF($F5="","طريقة الدفع ناقصة",IF(AND($G5&lt;&gt;"",COUNTIF(Supplier_Invoices!$A:$A,$G5)=0),"الفاتورة المسددة غير موجودة",IF(AND($G5&lt;&gt;"",COUNTIF(Supplier_Invoices!$A:$A,$G5)&gt;0,IFERROR(INDEX(Supplier_Invoices!$C:$C,MATCH($G5,Supplier_Invoices!$A:$A,0)),"")&lt;&gt;$C5),"الفاتورة تخص موردًا آخر","")))))))))))))))))))</f>
        <v/>
      </c>
      <c r="U5" s="32">
        <f>IF($S5=1,IF($T5&lt;&gt;"",1,0),0)</f>
        <v/>
      </c>
      <c r="V5" s="32">
        <f>IF(AND($S5=1,$U5=0,$I5=ST_POST),1,0)</f>
        <v/>
      </c>
    </row>
    <row r="6">
      <c r="A6" s="29" t="n"/>
      <c r="B6" s="31" t="n"/>
      <c r="C6" s="39" t="n"/>
      <c r="D6" s="39" t="n"/>
      <c r="E6" s="42" t="n"/>
      <c r="F6" s="29" t="n"/>
      <c r="G6" s="29" t="n"/>
      <c r="H6" s="29" t="n"/>
      <c r="I6" s="39" t="n"/>
      <c r="J6" s="29" t="n"/>
      <c r="K6" s="29" t="n"/>
      <c r="L6" s="29" t="n"/>
      <c r="M6" s="29" t="n"/>
      <c r="N6" s="29" t="n"/>
      <c r="O6" s="29" t="n"/>
      <c r="P6" s="32">
        <f>IF($S6=1,IFERROR(INDEX(Treasuries!$E:$E,MATCH($D6,Treasuries!$A:$A,0)),"؟"),"")</f>
        <v/>
      </c>
      <c r="Q6" s="32">
        <f>IF($S6=1,IFERROR(INDEX(Treasuries!$D:$D,MATCH($D6,Treasuries!$A:$A,0)),"؟"),"")</f>
        <v/>
      </c>
      <c r="R6" s="32">
        <f>IF($S6=1,IFERROR(INDEX(Supplier_Invoices!$AB:$AB,MATCH($G6,Supplier_Invoices!$A:$A,0)),"OPERATING"),"")</f>
        <v/>
      </c>
      <c r="S6" s="32">
        <f>IF(COUNTA($A6:$O6)&gt;0,1,0)</f>
        <v/>
      </c>
      <c r="T6" s="32">
        <f>IF($S6=0,"",IF($A6="","رقم المستند ناقص",IF(COUNTIF(Doc_Register!$A:$A,$A6)&gt;1,"رقم مستند مكرر في السجل المركزي",IF(LEFT($A6,LEN("SPAY")+1)&lt;&gt;"SPAY"&amp;"-","بادئة الرقم لا تطابق نوع المستند",IF(NOT(ISNUMBER($B6)),"التاريخ ناقص أو غير صحيح",IF($I6="","حالة المستند ناقصة",IF($J6="","اسم المُعِد ناقص",IF(AND(OR($I6=ST_APPR,$I6=ST_POST),$K6=""),"لا يوجد معتمد",IF(AND($K6&lt;&gt;"",$K6=$J6),"المُعِد والمعتمد نفس الشخص (فصل المهام)",IF(AND($I6=ST_POST,$L6=""),"اسم المحاسب المرحِّل ناقص",IF(AND($I6=ST_POST,$L6&lt;&gt;"",OR($L6=$J6,$L6=$K6)),"المرحِّل يجب أن يختلف عن المُعِد والمعتمد",IF(AND($I6=ST_REV,$N6=""),"مرجع التصحيح/الإلغاء ناقص",IF(AND(ISNUMBER($B6),OR($I6=ST_DRAFT,$I6=ST_APPR),COUNTIFS(Period_Close!$A:$A,YEAR($B6)*100+MONTH($B6),Period_Close!$B:$B,"مقفلة")&gt;0),"الفترة مقفلة: لا يسمح بمستند جديد",IF(COUNTIF(Suppliers!$A:$A,$C6)=0,"المورد غير معرف",IF(COUNTIFS(COA!$A:$A,$P6,COA!$R:$R,1)&lt;&gt;1,"الخزينة/البنك غير صالح",IF(NOT(N($E6)&gt;0),"المبلغ يجب أن يكون أكبر من صفر",IF($F6="","طريقة الدفع ناقصة",IF(AND($G6&lt;&gt;"",COUNTIF(Supplier_Invoices!$A:$A,$G6)=0),"الفاتورة المسددة غير موجودة",IF(AND($G6&lt;&gt;"",COUNTIF(Supplier_Invoices!$A:$A,$G6)&gt;0,IFERROR(INDEX(Supplier_Invoices!$C:$C,MATCH($G6,Supplier_Invoices!$A:$A,0)),"")&lt;&gt;$C6),"الفاتورة تخص موردًا آخر","")))))))))))))))))))</f>
        <v/>
      </c>
      <c r="U6" s="32">
        <f>IF($S6=1,IF($T6&lt;&gt;"",1,0),0)</f>
        <v/>
      </c>
      <c r="V6" s="32">
        <f>IF(AND($S6=1,$U6=0,$I6=ST_POST),1,0)</f>
        <v/>
      </c>
    </row>
    <row r="7">
      <c r="A7" s="29" t="n"/>
      <c r="B7" s="31" t="n"/>
      <c r="C7" s="39" t="n"/>
      <c r="D7" s="39" t="n"/>
      <c r="E7" s="42" t="n"/>
      <c r="F7" s="29" t="n"/>
      <c r="G7" s="29" t="n"/>
      <c r="H7" s="29" t="n"/>
      <c r="I7" s="39" t="n"/>
      <c r="J7" s="29" t="n"/>
      <c r="K7" s="29" t="n"/>
      <c r="L7" s="29" t="n"/>
      <c r="M7" s="29" t="n"/>
      <c r="N7" s="29" t="n"/>
      <c r="O7" s="29" t="n"/>
      <c r="P7" s="32">
        <f>IF($S7=1,IFERROR(INDEX(Treasuries!$E:$E,MATCH($D7,Treasuries!$A:$A,0)),"؟"),"")</f>
        <v/>
      </c>
      <c r="Q7" s="32">
        <f>IF($S7=1,IFERROR(INDEX(Treasuries!$D:$D,MATCH($D7,Treasuries!$A:$A,0)),"؟"),"")</f>
        <v/>
      </c>
      <c r="R7" s="32">
        <f>IF($S7=1,IFERROR(INDEX(Supplier_Invoices!$AB:$AB,MATCH($G7,Supplier_Invoices!$A:$A,0)),"OPERATING"),"")</f>
        <v/>
      </c>
      <c r="S7" s="32">
        <f>IF(COUNTA($A7:$O7)&gt;0,1,0)</f>
        <v/>
      </c>
      <c r="T7" s="32">
        <f>IF($S7=0,"",IF($A7="","رقم المستند ناقص",IF(COUNTIF(Doc_Register!$A:$A,$A7)&gt;1,"رقم مستند مكرر في السجل المركزي",IF(LEFT($A7,LEN("SPAY")+1)&lt;&gt;"SPAY"&amp;"-","بادئة الرقم لا تطابق نوع المستند",IF(NOT(ISNUMBER($B7)),"التاريخ ناقص أو غير صحيح",IF($I7="","حالة المستند ناقصة",IF($J7="","اسم المُعِد ناقص",IF(AND(OR($I7=ST_APPR,$I7=ST_POST),$K7=""),"لا يوجد معتمد",IF(AND($K7&lt;&gt;"",$K7=$J7),"المُعِد والمعتمد نفس الشخص (فصل المهام)",IF(AND($I7=ST_POST,$L7=""),"اسم المحاسب المرحِّل ناقص",IF(AND($I7=ST_POST,$L7&lt;&gt;"",OR($L7=$J7,$L7=$K7)),"المرحِّل يجب أن يختلف عن المُعِد والمعتمد",IF(AND($I7=ST_REV,$N7=""),"مرجع التصحيح/الإلغاء ناقص",IF(AND(ISNUMBER($B7),OR($I7=ST_DRAFT,$I7=ST_APPR),COUNTIFS(Period_Close!$A:$A,YEAR($B7)*100+MONTH($B7),Period_Close!$B:$B,"مقفلة")&gt;0),"الفترة مقفلة: لا يسمح بمستند جديد",IF(COUNTIF(Suppliers!$A:$A,$C7)=0,"المورد غير معرف",IF(COUNTIFS(COA!$A:$A,$P7,COA!$R:$R,1)&lt;&gt;1,"الخزينة/البنك غير صالح",IF(NOT(N($E7)&gt;0),"المبلغ يجب أن يكون أكبر من صفر",IF($F7="","طريقة الدفع ناقصة",IF(AND($G7&lt;&gt;"",COUNTIF(Supplier_Invoices!$A:$A,$G7)=0),"الفاتورة المسددة غير موجودة",IF(AND($G7&lt;&gt;"",COUNTIF(Supplier_Invoices!$A:$A,$G7)&gt;0,IFERROR(INDEX(Supplier_Invoices!$C:$C,MATCH($G7,Supplier_Invoices!$A:$A,0)),"")&lt;&gt;$C7),"الفاتورة تخص موردًا آخر","")))))))))))))))))))</f>
        <v/>
      </c>
      <c r="U7" s="32">
        <f>IF($S7=1,IF($T7&lt;&gt;"",1,0),0)</f>
        <v/>
      </c>
      <c r="V7" s="32">
        <f>IF(AND($S7=1,$U7=0,$I7=ST_POST),1,0)</f>
        <v/>
      </c>
    </row>
    <row r="8">
      <c r="A8" s="29" t="n"/>
      <c r="B8" s="31" t="n"/>
      <c r="C8" s="39" t="n"/>
      <c r="D8" s="39" t="n"/>
      <c r="E8" s="42" t="n"/>
      <c r="F8" s="29" t="n"/>
      <c r="G8" s="29" t="n"/>
      <c r="H8" s="29" t="n"/>
      <c r="I8" s="39" t="n"/>
      <c r="J8" s="29" t="n"/>
      <c r="K8" s="29" t="n"/>
      <c r="L8" s="29" t="n"/>
      <c r="M8" s="29" t="n"/>
      <c r="N8" s="29" t="n"/>
      <c r="O8" s="29" t="n"/>
      <c r="P8" s="32">
        <f>IF($S8=1,IFERROR(INDEX(Treasuries!$E:$E,MATCH($D8,Treasuries!$A:$A,0)),"؟"),"")</f>
        <v/>
      </c>
      <c r="Q8" s="32">
        <f>IF($S8=1,IFERROR(INDEX(Treasuries!$D:$D,MATCH($D8,Treasuries!$A:$A,0)),"؟"),"")</f>
        <v/>
      </c>
      <c r="R8" s="32">
        <f>IF($S8=1,IFERROR(INDEX(Supplier_Invoices!$AB:$AB,MATCH($G8,Supplier_Invoices!$A:$A,0)),"OPERATING"),"")</f>
        <v/>
      </c>
      <c r="S8" s="32">
        <f>IF(COUNTA($A8:$O8)&gt;0,1,0)</f>
        <v/>
      </c>
      <c r="T8" s="32">
        <f>IF($S8=0,"",IF($A8="","رقم المستند ناقص",IF(COUNTIF(Doc_Register!$A:$A,$A8)&gt;1,"رقم مستند مكرر في السجل المركزي",IF(LEFT($A8,LEN("SPAY")+1)&lt;&gt;"SPAY"&amp;"-","بادئة الرقم لا تطابق نوع المستند",IF(NOT(ISNUMBER($B8)),"التاريخ ناقص أو غير صحيح",IF($I8="","حالة المستند ناقصة",IF($J8="","اسم المُعِد ناقص",IF(AND(OR($I8=ST_APPR,$I8=ST_POST),$K8=""),"لا يوجد معتمد",IF(AND($K8&lt;&gt;"",$K8=$J8),"المُعِد والمعتمد نفس الشخص (فصل المهام)",IF(AND($I8=ST_POST,$L8=""),"اسم المحاسب المرحِّل ناقص",IF(AND($I8=ST_POST,$L8&lt;&gt;"",OR($L8=$J8,$L8=$K8)),"المرحِّل يجب أن يختلف عن المُعِد والمعتمد",IF(AND($I8=ST_REV,$N8=""),"مرجع التصحيح/الإلغاء ناقص",IF(AND(ISNUMBER($B8),OR($I8=ST_DRAFT,$I8=ST_APPR),COUNTIFS(Period_Close!$A:$A,YEAR($B8)*100+MONTH($B8),Period_Close!$B:$B,"مقفلة")&gt;0),"الفترة مقفلة: لا يسمح بمستند جديد",IF(COUNTIF(Suppliers!$A:$A,$C8)=0,"المورد غير معرف",IF(COUNTIFS(COA!$A:$A,$P8,COA!$R:$R,1)&lt;&gt;1,"الخزينة/البنك غير صالح",IF(NOT(N($E8)&gt;0),"المبلغ يجب أن يكون أكبر من صفر",IF($F8="","طريقة الدفع ناقصة",IF(AND($G8&lt;&gt;"",COUNTIF(Supplier_Invoices!$A:$A,$G8)=0),"الفاتورة المسددة غير موجودة",IF(AND($G8&lt;&gt;"",COUNTIF(Supplier_Invoices!$A:$A,$G8)&gt;0,IFERROR(INDEX(Supplier_Invoices!$C:$C,MATCH($G8,Supplier_Invoices!$A:$A,0)),"")&lt;&gt;$C8),"الفاتورة تخص موردًا آخر","")))))))))))))))))))</f>
        <v/>
      </c>
      <c r="U8" s="32">
        <f>IF($S8=1,IF($T8&lt;&gt;"",1,0),0)</f>
        <v/>
      </c>
      <c r="V8" s="32">
        <f>IF(AND($S8=1,$U8=0,$I8=ST_POST),1,0)</f>
        <v/>
      </c>
    </row>
    <row r="9">
      <c r="A9" s="29" t="n"/>
      <c r="B9" s="31" t="n"/>
      <c r="C9" s="39" t="n"/>
      <c r="D9" s="39" t="n"/>
      <c r="E9" s="42" t="n"/>
      <c r="F9" s="29" t="n"/>
      <c r="G9" s="29" t="n"/>
      <c r="H9" s="29" t="n"/>
      <c r="I9" s="39" t="n"/>
      <c r="J9" s="29" t="n"/>
      <c r="K9" s="29" t="n"/>
      <c r="L9" s="29" t="n"/>
      <c r="M9" s="29" t="n"/>
      <c r="N9" s="29" t="n"/>
      <c r="O9" s="29" t="n"/>
      <c r="P9" s="32">
        <f>IF($S9=1,IFERROR(INDEX(Treasuries!$E:$E,MATCH($D9,Treasuries!$A:$A,0)),"؟"),"")</f>
        <v/>
      </c>
      <c r="Q9" s="32">
        <f>IF($S9=1,IFERROR(INDEX(Treasuries!$D:$D,MATCH($D9,Treasuries!$A:$A,0)),"؟"),"")</f>
        <v/>
      </c>
      <c r="R9" s="32">
        <f>IF($S9=1,IFERROR(INDEX(Supplier_Invoices!$AB:$AB,MATCH($G9,Supplier_Invoices!$A:$A,0)),"OPERATING"),"")</f>
        <v/>
      </c>
      <c r="S9" s="32">
        <f>IF(COUNTA($A9:$O9)&gt;0,1,0)</f>
        <v/>
      </c>
      <c r="T9" s="32">
        <f>IF($S9=0,"",IF($A9="","رقم المستند ناقص",IF(COUNTIF(Doc_Register!$A:$A,$A9)&gt;1,"رقم مستند مكرر في السجل المركزي",IF(LEFT($A9,LEN("SPAY")+1)&lt;&gt;"SPAY"&amp;"-","بادئة الرقم لا تطابق نوع المستند",IF(NOT(ISNUMBER($B9)),"التاريخ ناقص أو غير صحيح",IF($I9="","حالة المستند ناقصة",IF($J9="","اسم المُعِد ناقص",IF(AND(OR($I9=ST_APPR,$I9=ST_POST),$K9=""),"لا يوجد معتمد",IF(AND($K9&lt;&gt;"",$K9=$J9),"المُعِد والمعتمد نفس الشخص (فصل المهام)",IF(AND($I9=ST_POST,$L9=""),"اسم المحاسب المرحِّل ناقص",IF(AND($I9=ST_POST,$L9&lt;&gt;"",OR($L9=$J9,$L9=$K9)),"المرحِّل يجب أن يختلف عن المُعِد والمعتمد",IF(AND($I9=ST_REV,$N9=""),"مرجع التصحيح/الإلغاء ناقص",IF(AND(ISNUMBER($B9),OR($I9=ST_DRAFT,$I9=ST_APPR),COUNTIFS(Period_Close!$A:$A,YEAR($B9)*100+MONTH($B9),Period_Close!$B:$B,"مقفلة")&gt;0),"الفترة مقفلة: لا يسمح بمستند جديد",IF(COUNTIF(Suppliers!$A:$A,$C9)=0,"المورد غير معرف",IF(COUNTIFS(COA!$A:$A,$P9,COA!$R:$R,1)&lt;&gt;1,"الخزينة/البنك غير صالح",IF(NOT(N($E9)&gt;0),"المبلغ يجب أن يكون أكبر من صفر",IF($F9="","طريقة الدفع ناقصة",IF(AND($G9&lt;&gt;"",COUNTIF(Supplier_Invoices!$A:$A,$G9)=0),"الفاتورة المسددة غير موجودة",IF(AND($G9&lt;&gt;"",COUNTIF(Supplier_Invoices!$A:$A,$G9)&gt;0,IFERROR(INDEX(Supplier_Invoices!$C:$C,MATCH($G9,Supplier_Invoices!$A:$A,0)),"")&lt;&gt;$C9),"الفاتورة تخص موردًا آخر","")))))))))))))))))))</f>
        <v/>
      </c>
      <c r="U9" s="32">
        <f>IF($S9=1,IF($T9&lt;&gt;"",1,0),0)</f>
        <v/>
      </c>
      <c r="V9" s="32">
        <f>IF(AND($S9=1,$U9=0,$I9=ST_POST),1,0)</f>
        <v/>
      </c>
    </row>
    <row r="10">
      <c r="A10" s="29" t="n"/>
      <c r="B10" s="31" t="n"/>
      <c r="C10" s="39" t="n"/>
      <c r="D10" s="39" t="n"/>
      <c r="E10" s="42" t="n"/>
      <c r="F10" s="29" t="n"/>
      <c r="G10" s="29" t="n"/>
      <c r="H10" s="29" t="n"/>
      <c r="I10" s="39" t="n"/>
      <c r="J10" s="29" t="n"/>
      <c r="K10" s="29" t="n"/>
      <c r="L10" s="29" t="n"/>
      <c r="M10" s="29" t="n"/>
      <c r="N10" s="29" t="n"/>
      <c r="O10" s="29" t="n"/>
      <c r="P10" s="32">
        <f>IF($S10=1,IFERROR(INDEX(Treasuries!$E:$E,MATCH($D10,Treasuries!$A:$A,0)),"؟"),"")</f>
        <v/>
      </c>
      <c r="Q10" s="32">
        <f>IF($S10=1,IFERROR(INDEX(Treasuries!$D:$D,MATCH($D10,Treasuries!$A:$A,0)),"؟"),"")</f>
        <v/>
      </c>
      <c r="R10" s="32">
        <f>IF($S10=1,IFERROR(INDEX(Supplier_Invoices!$AB:$AB,MATCH($G10,Supplier_Invoices!$A:$A,0)),"OPERATING"),"")</f>
        <v/>
      </c>
      <c r="S10" s="32">
        <f>IF(COUNTA($A10:$O10)&gt;0,1,0)</f>
        <v/>
      </c>
      <c r="T10" s="32">
        <f>IF($S10=0,"",IF($A10="","رقم المستند ناقص",IF(COUNTIF(Doc_Register!$A:$A,$A10)&gt;1,"رقم مستند مكرر في السجل المركزي",IF(LEFT($A10,LEN("SPAY")+1)&lt;&gt;"SPAY"&amp;"-","بادئة الرقم لا تطابق نوع المستند",IF(NOT(ISNUMBER($B10)),"التاريخ ناقص أو غير صحيح",IF($I10="","حالة المستند ناقصة",IF($J10="","اسم المُعِد ناقص",IF(AND(OR($I10=ST_APPR,$I10=ST_POST),$K10=""),"لا يوجد معتمد",IF(AND($K10&lt;&gt;"",$K10=$J10),"المُعِد والمعتمد نفس الشخص (فصل المهام)",IF(AND($I10=ST_POST,$L10=""),"اسم المحاسب المرحِّل ناقص",IF(AND($I10=ST_POST,$L10&lt;&gt;"",OR($L10=$J10,$L10=$K10)),"المرحِّل يجب أن يختلف عن المُعِد والمعتمد",IF(AND($I10=ST_REV,$N10=""),"مرجع التصحيح/الإلغاء ناقص",IF(AND(ISNUMBER($B10),OR($I10=ST_DRAFT,$I10=ST_APPR),COUNTIFS(Period_Close!$A:$A,YEAR($B10)*100+MONTH($B10),Period_Close!$B:$B,"مقفلة")&gt;0),"الفترة مقفلة: لا يسمح بمستند جديد",IF(COUNTIF(Suppliers!$A:$A,$C10)=0,"المورد غير معرف",IF(COUNTIFS(COA!$A:$A,$P10,COA!$R:$R,1)&lt;&gt;1,"الخزينة/البنك غير صالح",IF(NOT(N($E10)&gt;0),"المبلغ يجب أن يكون أكبر من صفر",IF($F10="","طريقة الدفع ناقصة",IF(AND($G10&lt;&gt;"",COUNTIF(Supplier_Invoices!$A:$A,$G10)=0),"الفاتورة المسددة غير موجودة",IF(AND($G10&lt;&gt;"",COUNTIF(Supplier_Invoices!$A:$A,$G10)&gt;0,IFERROR(INDEX(Supplier_Invoices!$C:$C,MATCH($G10,Supplier_Invoices!$A:$A,0)),"")&lt;&gt;$C10),"الفاتورة تخص موردًا آخر","")))))))))))))))))))</f>
        <v/>
      </c>
      <c r="U10" s="32">
        <f>IF($S10=1,IF($T10&lt;&gt;"",1,0),0)</f>
        <v/>
      </c>
      <c r="V10" s="32">
        <f>IF(AND($S10=1,$U10=0,$I10=ST_POST),1,0)</f>
        <v/>
      </c>
    </row>
    <row r="11">
      <c r="A11" s="29" t="n"/>
      <c r="B11" s="31" t="n"/>
      <c r="C11" s="39" t="n"/>
      <c r="D11" s="39" t="n"/>
      <c r="E11" s="42" t="n"/>
      <c r="F11" s="29" t="n"/>
      <c r="G11" s="29" t="n"/>
      <c r="H11" s="29" t="n"/>
      <c r="I11" s="39" t="n"/>
      <c r="J11" s="29" t="n"/>
      <c r="K11" s="29" t="n"/>
      <c r="L11" s="29" t="n"/>
      <c r="M11" s="29" t="n"/>
      <c r="N11" s="29" t="n"/>
      <c r="O11" s="29" t="n"/>
      <c r="P11" s="32">
        <f>IF($S11=1,IFERROR(INDEX(Treasuries!$E:$E,MATCH($D11,Treasuries!$A:$A,0)),"؟"),"")</f>
        <v/>
      </c>
      <c r="Q11" s="32">
        <f>IF($S11=1,IFERROR(INDEX(Treasuries!$D:$D,MATCH($D11,Treasuries!$A:$A,0)),"؟"),"")</f>
        <v/>
      </c>
      <c r="R11" s="32">
        <f>IF($S11=1,IFERROR(INDEX(Supplier_Invoices!$AB:$AB,MATCH($G11,Supplier_Invoices!$A:$A,0)),"OPERATING"),"")</f>
        <v/>
      </c>
      <c r="S11" s="32">
        <f>IF(COUNTA($A11:$O11)&gt;0,1,0)</f>
        <v/>
      </c>
      <c r="T11" s="32">
        <f>IF($S11=0,"",IF($A11="","رقم المستند ناقص",IF(COUNTIF(Doc_Register!$A:$A,$A11)&gt;1,"رقم مستند مكرر في السجل المركزي",IF(LEFT($A11,LEN("SPAY")+1)&lt;&gt;"SPAY"&amp;"-","بادئة الرقم لا تطابق نوع المستند",IF(NOT(ISNUMBER($B11)),"التاريخ ناقص أو غير صحيح",IF($I11="","حالة المستند ناقصة",IF($J11="","اسم المُعِد ناقص",IF(AND(OR($I11=ST_APPR,$I11=ST_POST),$K11=""),"لا يوجد معتمد",IF(AND($K11&lt;&gt;"",$K11=$J11),"المُعِد والمعتمد نفس الشخص (فصل المهام)",IF(AND($I11=ST_POST,$L11=""),"اسم المحاسب المرحِّل ناقص",IF(AND($I11=ST_POST,$L11&lt;&gt;"",OR($L11=$J11,$L11=$K11)),"المرحِّل يجب أن يختلف عن المُعِد والمعتمد",IF(AND($I11=ST_REV,$N11=""),"مرجع التصحيح/الإلغاء ناقص",IF(AND(ISNUMBER($B11),OR($I11=ST_DRAFT,$I11=ST_APPR),COUNTIFS(Period_Close!$A:$A,YEAR($B11)*100+MONTH($B11),Period_Close!$B:$B,"مقفلة")&gt;0),"الفترة مقفلة: لا يسمح بمستند جديد",IF(COUNTIF(Suppliers!$A:$A,$C11)=0,"المورد غير معرف",IF(COUNTIFS(COA!$A:$A,$P11,COA!$R:$R,1)&lt;&gt;1,"الخزينة/البنك غير صالح",IF(NOT(N($E11)&gt;0),"المبلغ يجب أن يكون أكبر من صفر",IF($F11="","طريقة الدفع ناقصة",IF(AND($G11&lt;&gt;"",COUNTIF(Supplier_Invoices!$A:$A,$G11)=0),"الفاتورة المسددة غير موجودة",IF(AND($G11&lt;&gt;"",COUNTIF(Supplier_Invoices!$A:$A,$G11)&gt;0,IFERROR(INDEX(Supplier_Invoices!$C:$C,MATCH($G11,Supplier_Invoices!$A:$A,0)),"")&lt;&gt;$C11),"الفاتورة تخص موردًا آخر","")))))))))))))))))))</f>
        <v/>
      </c>
      <c r="U11" s="32">
        <f>IF($S11=1,IF($T11&lt;&gt;"",1,0),0)</f>
        <v/>
      </c>
      <c r="V11" s="32">
        <f>IF(AND($S11=1,$U11=0,$I11=ST_POST),1,0)</f>
        <v/>
      </c>
    </row>
    <row r="12">
      <c r="A12" s="29" t="n"/>
      <c r="B12" s="31" t="n"/>
      <c r="C12" s="39" t="n"/>
      <c r="D12" s="39" t="n"/>
      <c r="E12" s="42" t="n"/>
      <c r="F12" s="29" t="n"/>
      <c r="G12" s="29" t="n"/>
      <c r="H12" s="29" t="n"/>
      <c r="I12" s="39" t="n"/>
      <c r="J12" s="29" t="n"/>
      <c r="K12" s="29" t="n"/>
      <c r="L12" s="29" t="n"/>
      <c r="M12" s="29" t="n"/>
      <c r="N12" s="29" t="n"/>
      <c r="O12" s="29" t="n"/>
      <c r="P12" s="32">
        <f>IF($S12=1,IFERROR(INDEX(Treasuries!$E:$E,MATCH($D12,Treasuries!$A:$A,0)),"؟"),"")</f>
        <v/>
      </c>
      <c r="Q12" s="32">
        <f>IF($S12=1,IFERROR(INDEX(Treasuries!$D:$D,MATCH($D12,Treasuries!$A:$A,0)),"؟"),"")</f>
        <v/>
      </c>
      <c r="R12" s="32">
        <f>IF($S12=1,IFERROR(INDEX(Supplier_Invoices!$AB:$AB,MATCH($G12,Supplier_Invoices!$A:$A,0)),"OPERATING"),"")</f>
        <v/>
      </c>
      <c r="S12" s="32">
        <f>IF(COUNTA($A12:$O12)&gt;0,1,0)</f>
        <v/>
      </c>
      <c r="T12" s="32">
        <f>IF($S12=0,"",IF($A12="","رقم المستند ناقص",IF(COUNTIF(Doc_Register!$A:$A,$A12)&gt;1,"رقم مستند مكرر في السجل المركزي",IF(LEFT($A12,LEN("SPAY")+1)&lt;&gt;"SPAY"&amp;"-","بادئة الرقم لا تطابق نوع المستند",IF(NOT(ISNUMBER($B12)),"التاريخ ناقص أو غير صحيح",IF($I12="","حالة المستند ناقصة",IF($J12="","اسم المُعِد ناقص",IF(AND(OR($I12=ST_APPR,$I12=ST_POST),$K12=""),"لا يوجد معتمد",IF(AND($K12&lt;&gt;"",$K12=$J12),"المُعِد والمعتمد نفس الشخص (فصل المهام)",IF(AND($I12=ST_POST,$L12=""),"اسم المحاسب المرحِّل ناقص",IF(AND($I12=ST_POST,$L12&lt;&gt;"",OR($L12=$J12,$L12=$K12)),"المرحِّل يجب أن يختلف عن المُعِد والمعتمد",IF(AND($I12=ST_REV,$N12=""),"مرجع التصحيح/الإلغاء ناقص",IF(AND(ISNUMBER($B12),OR($I12=ST_DRAFT,$I12=ST_APPR),COUNTIFS(Period_Close!$A:$A,YEAR($B12)*100+MONTH($B12),Period_Close!$B:$B,"مقفلة")&gt;0),"الفترة مقفلة: لا يسمح بمستند جديد",IF(COUNTIF(Suppliers!$A:$A,$C12)=0,"المورد غير معرف",IF(COUNTIFS(COA!$A:$A,$P12,COA!$R:$R,1)&lt;&gt;1,"الخزينة/البنك غير صالح",IF(NOT(N($E12)&gt;0),"المبلغ يجب أن يكون أكبر من صفر",IF($F12="","طريقة الدفع ناقصة",IF(AND($G12&lt;&gt;"",COUNTIF(Supplier_Invoices!$A:$A,$G12)=0),"الفاتورة المسددة غير موجودة",IF(AND($G12&lt;&gt;"",COUNTIF(Supplier_Invoices!$A:$A,$G12)&gt;0,IFERROR(INDEX(Supplier_Invoices!$C:$C,MATCH($G12,Supplier_Invoices!$A:$A,0)),"")&lt;&gt;$C12),"الفاتورة تخص موردًا آخر","")))))))))))))))))))</f>
        <v/>
      </c>
      <c r="U12" s="32">
        <f>IF($S12=1,IF($T12&lt;&gt;"",1,0),0)</f>
        <v/>
      </c>
      <c r="V12" s="32">
        <f>IF(AND($S12=1,$U12=0,$I12=ST_POST),1,0)</f>
        <v/>
      </c>
    </row>
    <row r="13">
      <c r="A13" s="29" t="n"/>
      <c r="B13" s="31" t="n"/>
      <c r="C13" s="39" t="n"/>
      <c r="D13" s="39" t="n"/>
      <c r="E13" s="42" t="n"/>
      <c r="F13" s="29" t="n"/>
      <c r="G13" s="29" t="n"/>
      <c r="H13" s="29" t="n"/>
      <c r="I13" s="39" t="n"/>
      <c r="J13" s="29" t="n"/>
      <c r="K13" s="29" t="n"/>
      <c r="L13" s="29" t="n"/>
      <c r="M13" s="29" t="n"/>
      <c r="N13" s="29" t="n"/>
      <c r="O13" s="29" t="n"/>
      <c r="P13" s="32">
        <f>IF($S13=1,IFERROR(INDEX(Treasuries!$E:$E,MATCH($D13,Treasuries!$A:$A,0)),"؟"),"")</f>
        <v/>
      </c>
      <c r="Q13" s="32">
        <f>IF($S13=1,IFERROR(INDEX(Treasuries!$D:$D,MATCH($D13,Treasuries!$A:$A,0)),"؟"),"")</f>
        <v/>
      </c>
      <c r="R13" s="32">
        <f>IF($S13=1,IFERROR(INDEX(Supplier_Invoices!$AB:$AB,MATCH($G13,Supplier_Invoices!$A:$A,0)),"OPERATING"),"")</f>
        <v/>
      </c>
      <c r="S13" s="32">
        <f>IF(COUNTA($A13:$O13)&gt;0,1,0)</f>
        <v/>
      </c>
      <c r="T13" s="32">
        <f>IF($S13=0,"",IF($A13="","رقم المستند ناقص",IF(COUNTIF(Doc_Register!$A:$A,$A13)&gt;1,"رقم مستند مكرر في السجل المركزي",IF(LEFT($A13,LEN("SPAY")+1)&lt;&gt;"SPAY"&amp;"-","بادئة الرقم لا تطابق نوع المستند",IF(NOT(ISNUMBER($B13)),"التاريخ ناقص أو غير صحيح",IF($I13="","حالة المستند ناقصة",IF($J13="","اسم المُعِد ناقص",IF(AND(OR($I13=ST_APPR,$I13=ST_POST),$K13=""),"لا يوجد معتمد",IF(AND($K13&lt;&gt;"",$K13=$J13),"المُعِد والمعتمد نفس الشخص (فصل المهام)",IF(AND($I13=ST_POST,$L13=""),"اسم المحاسب المرحِّل ناقص",IF(AND($I13=ST_POST,$L13&lt;&gt;"",OR($L13=$J13,$L13=$K13)),"المرحِّل يجب أن يختلف عن المُعِد والمعتمد",IF(AND($I13=ST_REV,$N13=""),"مرجع التصحيح/الإلغاء ناقص",IF(AND(ISNUMBER($B13),OR($I13=ST_DRAFT,$I13=ST_APPR),COUNTIFS(Period_Close!$A:$A,YEAR($B13)*100+MONTH($B13),Period_Close!$B:$B,"مقفلة")&gt;0),"الفترة مقفلة: لا يسمح بمستند جديد",IF(COUNTIF(Suppliers!$A:$A,$C13)=0,"المورد غير معرف",IF(COUNTIFS(COA!$A:$A,$P13,COA!$R:$R,1)&lt;&gt;1,"الخزينة/البنك غير صالح",IF(NOT(N($E13)&gt;0),"المبلغ يجب أن يكون أكبر من صفر",IF($F13="","طريقة الدفع ناقصة",IF(AND($G13&lt;&gt;"",COUNTIF(Supplier_Invoices!$A:$A,$G13)=0),"الفاتورة المسددة غير موجودة",IF(AND($G13&lt;&gt;"",COUNTIF(Supplier_Invoices!$A:$A,$G13)&gt;0,IFERROR(INDEX(Supplier_Invoices!$C:$C,MATCH($G13,Supplier_Invoices!$A:$A,0)),"")&lt;&gt;$C13),"الفاتورة تخص موردًا آخر","")))))))))))))))))))</f>
        <v/>
      </c>
      <c r="U13" s="32">
        <f>IF($S13=1,IF($T13&lt;&gt;"",1,0),0)</f>
        <v/>
      </c>
      <c r="V13" s="32">
        <f>IF(AND($S13=1,$U13=0,$I13=ST_POST),1,0)</f>
        <v/>
      </c>
    </row>
    <row r="14">
      <c r="A14" s="29" t="n"/>
      <c r="B14" s="31" t="n"/>
      <c r="C14" s="39" t="n"/>
      <c r="D14" s="39" t="n"/>
      <c r="E14" s="42" t="n"/>
      <c r="F14" s="29" t="n"/>
      <c r="G14" s="29" t="n"/>
      <c r="H14" s="29" t="n"/>
      <c r="I14" s="39" t="n"/>
      <c r="J14" s="29" t="n"/>
      <c r="K14" s="29" t="n"/>
      <c r="L14" s="29" t="n"/>
      <c r="M14" s="29" t="n"/>
      <c r="N14" s="29" t="n"/>
      <c r="O14" s="29" t="n"/>
      <c r="P14" s="32">
        <f>IF($S14=1,IFERROR(INDEX(Treasuries!$E:$E,MATCH($D14,Treasuries!$A:$A,0)),"؟"),"")</f>
        <v/>
      </c>
      <c r="Q14" s="32">
        <f>IF($S14=1,IFERROR(INDEX(Treasuries!$D:$D,MATCH($D14,Treasuries!$A:$A,0)),"؟"),"")</f>
        <v/>
      </c>
      <c r="R14" s="32">
        <f>IF($S14=1,IFERROR(INDEX(Supplier_Invoices!$AB:$AB,MATCH($G14,Supplier_Invoices!$A:$A,0)),"OPERATING"),"")</f>
        <v/>
      </c>
      <c r="S14" s="32">
        <f>IF(COUNTA($A14:$O14)&gt;0,1,0)</f>
        <v/>
      </c>
      <c r="T14" s="32">
        <f>IF($S14=0,"",IF($A14="","رقم المستند ناقص",IF(COUNTIF(Doc_Register!$A:$A,$A14)&gt;1,"رقم مستند مكرر في السجل المركزي",IF(LEFT($A14,LEN("SPAY")+1)&lt;&gt;"SPAY"&amp;"-","بادئة الرقم لا تطابق نوع المستند",IF(NOT(ISNUMBER($B14)),"التاريخ ناقص أو غير صحيح",IF($I14="","حالة المستند ناقصة",IF($J14="","اسم المُعِد ناقص",IF(AND(OR($I14=ST_APPR,$I14=ST_POST),$K14=""),"لا يوجد معتمد",IF(AND($K14&lt;&gt;"",$K14=$J14),"المُعِد والمعتمد نفس الشخص (فصل المهام)",IF(AND($I14=ST_POST,$L14=""),"اسم المحاسب المرحِّل ناقص",IF(AND($I14=ST_POST,$L14&lt;&gt;"",OR($L14=$J14,$L14=$K14)),"المرحِّل يجب أن يختلف عن المُعِد والمعتمد",IF(AND($I14=ST_REV,$N14=""),"مرجع التصحيح/الإلغاء ناقص",IF(AND(ISNUMBER($B14),OR($I14=ST_DRAFT,$I14=ST_APPR),COUNTIFS(Period_Close!$A:$A,YEAR($B14)*100+MONTH($B14),Period_Close!$B:$B,"مقفلة")&gt;0),"الفترة مقفلة: لا يسمح بمستند جديد",IF(COUNTIF(Suppliers!$A:$A,$C14)=0,"المورد غير معرف",IF(COUNTIFS(COA!$A:$A,$P14,COA!$R:$R,1)&lt;&gt;1,"الخزينة/البنك غير صالح",IF(NOT(N($E14)&gt;0),"المبلغ يجب أن يكون أكبر من صفر",IF($F14="","طريقة الدفع ناقصة",IF(AND($G14&lt;&gt;"",COUNTIF(Supplier_Invoices!$A:$A,$G14)=0),"الفاتورة المسددة غير موجودة",IF(AND($G14&lt;&gt;"",COUNTIF(Supplier_Invoices!$A:$A,$G14)&gt;0,IFERROR(INDEX(Supplier_Invoices!$C:$C,MATCH($G14,Supplier_Invoices!$A:$A,0)),"")&lt;&gt;$C14),"الفاتورة تخص موردًا آخر","")))))))))))))))))))</f>
        <v/>
      </c>
      <c r="U14" s="32">
        <f>IF($S14=1,IF($T14&lt;&gt;"",1,0),0)</f>
        <v/>
      </c>
      <c r="V14" s="32">
        <f>IF(AND($S14=1,$U14=0,$I14=ST_POST),1,0)</f>
        <v/>
      </c>
    </row>
    <row r="15">
      <c r="A15" s="29" t="n"/>
      <c r="B15" s="31" t="n"/>
      <c r="C15" s="39" t="n"/>
      <c r="D15" s="39" t="n"/>
      <c r="E15" s="42" t="n"/>
      <c r="F15" s="29" t="n"/>
      <c r="G15" s="29" t="n"/>
      <c r="H15" s="29" t="n"/>
      <c r="I15" s="39" t="n"/>
      <c r="J15" s="29" t="n"/>
      <c r="K15" s="29" t="n"/>
      <c r="L15" s="29" t="n"/>
      <c r="M15" s="29" t="n"/>
      <c r="N15" s="29" t="n"/>
      <c r="O15" s="29" t="n"/>
      <c r="P15" s="32">
        <f>IF($S15=1,IFERROR(INDEX(Treasuries!$E:$E,MATCH($D15,Treasuries!$A:$A,0)),"؟"),"")</f>
        <v/>
      </c>
      <c r="Q15" s="32">
        <f>IF($S15=1,IFERROR(INDEX(Treasuries!$D:$D,MATCH($D15,Treasuries!$A:$A,0)),"؟"),"")</f>
        <v/>
      </c>
      <c r="R15" s="32">
        <f>IF($S15=1,IFERROR(INDEX(Supplier_Invoices!$AB:$AB,MATCH($G15,Supplier_Invoices!$A:$A,0)),"OPERATING"),"")</f>
        <v/>
      </c>
      <c r="S15" s="32">
        <f>IF(COUNTA($A15:$O15)&gt;0,1,0)</f>
        <v/>
      </c>
      <c r="T15" s="32">
        <f>IF($S15=0,"",IF($A15="","رقم المستند ناقص",IF(COUNTIF(Doc_Register!$A:$A,$A15)&gt;1,"رقم مستند مكرر في السجل المركزي",IF(LEFT($A15,LEN("SPAY")+1)&lt;&gt;"SPAY"&amp;"-","بادئة الرقم لا تطابق نوع المستند",IF(NOT(ISNUMBER($B15)),"التاريخ ناقص أو غير صحيح",IF($I15="","حالة المستند ناقصة",IF($J15="","اسم المُعِد ناقص",IF(AND(OR($I15=ST_APPR,$I15=ST_POST),$K15=""),"لا يوجد معتمد",IF(AND($K15&lt;&gt;"",$K15=$J15),"المُعِد والمعتمد نفس الشخص (فصل المهام)",IF(AND($I15=ST_POST,$L15=""),"اسم المحاسب المرحِّل ناقص",IF(AND($I15=ST_POST,$L15&lt;&gt;"",OR($L15=$J15,$L15=$K15)),"المرحِّل يجب أن يختلف عن المُعِد والمعتمد",IF(AND($I15=ST_REV,$N15=""),"مرجع التصحيح/الإلغاء ناقص",IF(AND(ISNUMBER($B15),OR($I15=ST_DRAFT,$I15=ST_APPR),COUNTIFS(Period_Close!$A:$A,YEAR($B15)*100+MONTH($B15),Period_Close!$B:$B,"مقفلة")&gt;0),"الفترة مقفلة: لا يسمح بمستند جديد",IF(COUNTIF(Suppliers!$A:$A,$C15)=0,"المورد غير معرف",IF(COUNTIFS(COA!$A:$A,$P15,COA!$R:$R,1)&lt;&gt;1,"الخزينة/البنك غير صالح",IF(NOT(N($E15)&gt;0),"المبلغ يجب أن يكون أكبر من صفر",IF($F15="","طريقة الدفع ناقصة",IF(AND($G15&lt;&gt;"",COUNTIF(Supplier_Invoices!$A:$A,$G15)=0),"الفاتورة المسددة غير موجودة",IF(AND($G15&lt;&gt;"",COUNTIF(Supplier_Invoices!$A:$A,$G15)&gt;0,IFERROR(INDEX(Supplier_Invoices!$C:$C,MATCH($G15,Supplier_Invoices!$A:$A,0)),"")&lt;&gt;$C15),"الفاتورة تخص موردًا آخر","")))))))))))))))))))</f>
        <v/>
      </c>
      <c r="U15" s="32">
        <f>IF($S15=1,IF($T15&lt;&gt;"",1,0),0)</f>
        <v/>
      </c>
      <c r="V15" s="32">
        <f>IF(AND($S15=1,$U15=0,$I15=ST_POST),1,0)</f>
        <v/>
      </c>
    </row>
    <row r="16">
      <c r="A16" s="29" t="n"/>
      <c r="B16" s="31" t="n"/>
      <c r="C16" s="39" t="n"/>
      <c r="D16" s="39" t="n"/>
      <c r="E16" s="42" t="n"/>
      <c r="F16" s="29" t="n"/>
      <c r="G16" s="29" t="n"/>
      <c r="H16" s="29" t="n"/>
      <c r="I16" s="39" t="n"/>
      <c r="J16" s="29" t="n"/>
      <c r="K16" s="29" t="n"/>
      <c r="L16" s="29" t="n"/>
      <c r="M16" s="29" t="n"/>
      <c r="N16" s="29" t="n"/>
      <c r="O16" s="29" t="n"/>
      <c r="P16" s="32">
        <f>IF($S16=1,IFERROR(INDEX(Treasuries!$E:$E,MATCH($D16,Treasuries!$A:$A,0)),"؟"),"")</f>
        <v/>
      </c>
      <c r="Q16" s="32">
        <f>IF($S16=1,IFERROR(INDEX(Treasuries!$D:$D,MATCH($D16,Treasuries!$A:$A,0)),"؟"),"")</f>
        <v/>
      </c>
      <c r="R16" s="32">
        <f>IF($S16=1,IFERROR(INDEX(Supplier_Invoices!$AB:$AB,MATCH($G16,Supplier_Invoices!$A:$A,0)),"OPERATING"),"")</f>
        <v/>
      </c>
      <c r="S16" s="32">
        <f>IF(COUNTA($A16:$O16)&gt;0,1,0)</f>
        <v/>
      </c>
      <c r="T16" s="32">
        <f>IF($S16=0,"",IF($A16="","رقم المستند ناقص",IF(COUNTIF(Doc_Register!$A:$A,$A16)&gt;1,"رقم مستند مكرر في السجل المركزي",IF(LEFT($A16,LEN("SPAY")+1)&lt;&gt;"SPAY"&amp;"-","بادئة الرقم لا تطابق نوع المستند",IF(NOT(ISNUMBER($B16)),"التاريخ ناقص أو غير صحيح",IF($I16="","حالة المستند ناقصة",IF($J16="","اسم المُعِد ناقص",IF(AND(OR($I16=ST_APPR,$I16=ST_POST),$K16=""),"لا يوجد معتمد",IF(AND($K16&lt;&gt;"",$K16=$J16),"المُعِد والمعتمد نفس الشخص (فصل المهام)",IF(AND($I16=ST_POST,$L16=""),"اسم المحاسب المرحِّل ناقص",IF(AND($I16=ST_POST,$L16&lt;&gt;"",OR($L16=$J16,$L16=$K16)),"المرحِّل يجب أن يختلف عن المُعِد والمعتمد",IF(AND($I16=ST_REV,$N16=""),"مرجع التصحيح/الإلغاء ناقص",IF(AND(ISNUMBER($B16),OR($I16=ST_DRAFT,$I16=ST_APPR),COUNTIFS(Period_Close!$A:$A,YEAR($B16)*100+MONTH($B16),Period_Close!$B:$B,"مقفلة")&gt;0),"الفترة مقفلة: لا يسمح بمستند جديد",IF(COUNTIF(Suppliers!$A:$A,$C16)=0,"المورد غير معرف",IF(COUNTIFS(COA!$A:$A,$P16,COA!$R:$R,1)&lt;&gt;1,"الخزينة/البنك غير صالح",IF(NOT(N($E16)&gt;0),"المبلغ يجب أن يكون أكبر من صفر",IF($F16="","طريقة الدفع ناقصة",IF(AND($G16&lt;&gt;"",COUNTIF(Supplier_Invoices!$A:$A,$G16)=0),"الفاتورة المسددة غير موجودة",IF(AND($G16&lt;&gt;"",COUNTIF(Supplier_Invoices!$A:$A,$G16)&gt;0,IFERROR(INDEX(Supplier_Invoices!$C:$C,MATCH($G16,Supplier_Invoices!$A:$A,0)),"")&lt;&gt;$C16),"الفاتورة تخص موردًا آخر","")))))))))))))))))))</f>
        <v/>
      </c>
      <c r="U16" s="32">
        <f>IF($S16=1,IF($T16&lt;&gt;"",1,0),0)</f>
        <v/>
      </c>
      <c r="V16" s="32">
        <f>IF(AND($S16=1,$U16=0,$I16=ST_POST),1,0)</f>
        <v/>
      </c>
    </row>
    <row r="17">
      <c r="A17" s="29" t="n"/>
      <c r="B17" s="31" t="n"/>
      <c r="C17" s="39" t="n"/>
      <c r="D17" s="39" t="n"/>
      <c r="E17" s="42" t="n"/>
      <c r="F17" s="29" t="n"/>
      <c r="G17" s="29" t="n"/>
      <c r="H17" s="29" t="n"/>
      <c r="I17" s="39" t="n"/>
      <c r="J17" s="29" t="n"/>
      <c r="K17" s="29" t="n"/>
      <c r="L17" s="29" t="n"/>
      <c r="M17" s="29" t="n"/>
      <c r="N17" s="29" t="n"/>
      <c r="O17" s="29" t="n"/>
      <c r="P17" s="32">
        <f>IF($S17=1,IFERROR(INDEX(Treasuries!$E:$E,MATCH($D17,Treasuries!$A:$A,0)),"؟"),"")</f>
        <v/>
      </c>
      <c r="Q17" s="32">
        <f>IF($S17=1,IFERROR(INDEX(Treasuries!$D:$D,MATCH($D17,Treasuries!$A:$A,0)),"؟"),"")</f>
        <v/>
      </c>
      <c r="R17" s="32">
        <f>IF($S17=1,IFERROR(INDEX(Supplier_Invoices!$AB:$AB,MATCH($G17,Supplier_Invoices!$A:$A,0)),"OPERATING"),"")</f>
        <v/>
      </c>
      <c r="S17" s="32">
        <f>IF(COUNTA($A17:$O17)&gt;0,1,0)</f>
        <v/>
      </c>
      <c r="T17" s="32">
        <f>IF($S17=0,"",IF($A17="","رقم المستند ناقص",IF(COUNTIF(Doc_Register!$A:$A,$A17)&gt;1,"رقم مستند مكرر في السجل المركزي",IF(LEFT($A17,LEN("SPAY")+1)&lt;&gt;"SPAY"&amp;"-","بادئة الرقم لا تطابق نوع المستند",IF(NOT(ISNUMBER($B17)),"التاريخ ناقص أو غير صحيح",IF($I17="","حالة المستند ناقصة",IF($J17="","اسم المُعِد ناقص",IF(AND(OR($I17=ST_APPR,$I17=ST_POST),$K17=""),"لا يوجد معتمد",IF(AND($K17&lt;&gt;"",$K17=$J17),"المُعِد والمعتمد نفس الشخص (فصل المهام)",IF(AND($I17=ST_POST,$L17=""),"اسم المحاسب المرحِّل ناقص",IF(AND($I17=ST_POST,$L17&lt;&gt;"",OR($L17=$J17,$L17=$K17)),"المرحِّل يجب أن يختلف عن المُعِد والمعتمد",IF(AND($I17=ST_REV,$N17=""),"مرجع التصحيح/الإلغاء ناقص",IF(AND(ISNUMBER($B17),OR($I17=ST_DRAFT,$I17=ST_APPR),COUNTIFS(Period_Close!$A:$A,YEAR($B17)*100+MONTH($B17),Period_Close!$B:$B,"مقفلة")&gt;0),"الفترة مقفلة: لا يسمح بمستند جديد",IF(COUNTIF(Suppliers!$A:$A,$C17)=0,"المورد غير معرف",IF(COUNTIFS(COA!$A:$A,$P17,COA!$R:$R,1)&lt;&gt;1,"الخزينة/البنك غير صالح",IF(NOT(N($E17)&gt;0),"المبلغ يجب أن يكون أكبر من صفر",IF($F17="","طريقة الدفع ناقصة",IF(AND($G17&lt;&gt;"",COUNTIF(Supplier_Invoices!$A:$A,$G17)=0),"الفاتورة المسددة غير موجودة",IF(AND($G17&lt;&gt;"",COUNTIF(Supplier_Invoices!$A:$A,$G17)&gt;0,IFERROR(INDEX(Supplier_Invoices!$C:$C,MATCH($G17,Supplier_Invoices!$A:$A,0)),"")&lt;&gt;$C17),"الفاتورة تخص موردًا آخر","")))))))))))))))))))</f>
        <v/>
      </c>
      <c r="U17" s="32">
        <f>IF($S17=1,IF($T17&lt;&gt;"",1,0),0)</f>
        <v/>
      </c>
      <c r="V17" s="32">
        <f>IF(AND($S17=1,$U17=0,$I17=ST_POST),1,0)</f>
        <v/>
      </c>
    </row>
    <row r="18">
      <c r="A18" s="29" t="n"/>
      <c r="B18" s="31" t="n"/>
      <c r="C18" s="39" t="n"/>
      <c r="D18" s="39" t="n"/>
      <c r="E18" s="42" t="n"/>
      <c r="F18" s="29" t="n"/>
      <c r="G18" s="29" t="n"/>
      <c r="H18" s="29" t="n"/>
      <c r="I18" s="39" t="n"/>
      <c r="J18" s="29" t="n"/>
      <c r="K18" s="29" t="n"/>
      <c r="L18" s="29" t="n"/>
      <c r="M18" s="29" t="n"/>
      <c r="N18" s="29" t="n"/>
      <c r="O18" s="29" t="n"/>
      <c r="P18" s="32">
        <f>IF($S18=1,IFERROR(INDEX(Treasuries!$E:$E,MATCH($D18,Treasuries!$A:$A,0)),"؟"),"")</f>
        <v/>
      </c>
      <c r="Q18" s="32">
        <f>IF($S18=1,IFERROR(INDEX(Treasuries!$D:$D,MATCH($D18,Treasuries!$A:$A,0)),"؟"),"")</f>
        <v/>
      </c>
      <c r="R18" s="32">
        <f>IF($S18=1,IFERROR(INDEX(Supplier_Invoices!$AB:$AB,MATCH($G18,Supplier_Invoices!$A:$A,0)),"OPERATING"),"")</f>
        <v/>
      </c>
      <c r="S18" s="32">
        <f>IF(COUNTA($A18:$O18)&gt;0,1,0)</f>
        <v/>
      </c>
      <c r="T18" s="32">
        <f>IF($S18=0,"",IF($A18="","رقم المستند ناقص",IF(COUNTIF(Doc_Register!$A:$A,$A18)&gt;1,"رقم مستند مكرر في السجل المركزي",IF(LEFT($A18,LEN("SPAY")+1)&lt;&gt;"SPAY"&amp;"-","بادئة الرقم لا تطابق نوع المستند",IF(NOT(ISNUMBER($B18)),"التاريخ ناقص أو غير صحيح",IF($I18="","حالة المستند ناقصة",IF($J18="","اسم المُعِد ناقص",IF(AND(OR($I18=ST_APPR,$I18=ST_POST),$K18=""),"لا يوجد معتمد",IF(AND($K18&lt;&gt;"",$K18=$J18),"المُعِد والمعتمد نفس الشخص (فصل المهام)",IF(AND($I18=ST_POST,$L18=""),"اسم المحاسب المرحِّل ناقص",IF(AND($I18=ST_POST,$L18&lt;&gt;"",OR($L18=$J18,$L18=$K18)),"المرحِّل يجب أن يختلف عن المُعِد والمعتمد",IF(AND($I18=ST_REV,$N18=""),"مرجع التصحيح/الإلغاء ناقص",IF(AND(ISNUMBER($B18),OR($I18=ST_DRAFT,$I18=ST_APPR),COUNTIFS(Period_Close!$A:$A,YEAR($B18)*100+MONTH($B18),Period_Close!$B:$B,"مقفلة")&gt;0),"الفترة مقفلة: لا يسمح بمستند جديد",IF(COUNTIF(Suppliers!$A:$A,$C18)=0,"المورد غير معرف",IF(COUNTIFS(COA!$A:$A,$P18,COA!$R:$R,1)&lt;&gt;1,"الخزينة/البنك غير صالح",IF(NOT(N($E18)&gt;0),"المبلغ يجب أن يكون أكبر من صفر",IF($F18="","طريقة الدفع ناقصة",IF(AND($G18&lt;&gt;"",COUNTIF(Supplier_Invoices!$A:$A,$G18)=0),"الفاتورة المسددة غير موجودة",IF(AND($G18&lt;&gt;"",COUNTIF(Supplier_Invoices!$A:$A,$G18)&gt;0,IFERROR(INDEX(Supplier_Invoices!$C:$C,MATCH($G18,Supplier_Invoices!$A:$A,0)),"")&lt;&gt;$C18),"الفاتورة تخص موردًا آخر","")))))))))))))))))))</f>
        <v/>
      </c>
      <c r="U18" s="32">
        <f>IF($S18=1,IF($T18&lt;&gt;"",1,0),0)</f>
        <v/>
      </c>
      <c r="V18" s="32">
        <f>IF(AND($S18=1,$U18=0,$I18=ST_POST),1,0)</f>
        <v/>
      </c>
    </row>
    <row r="19">
      <c r="A19" s="29" t="n"/>
      <c r="B19" s="31" t="n"/>
      <c r="C19" s="39" t="n"/>
      <c r="D19" s="39" t="n"/>
      <c r="E19" s="42" t="n"/>
      <c r="F19" s="29" t="n"/>
      <c r="G19" s="29" t="n"/>
      <c r="H19" s="29" t="n"/>
      <c r="I19" s="39" t="n"/>
      <c r="J19" s="29" t="n"/>
      <c r="K19" s="29" t="n"/>
      <c r="L19" s="29" t="n"/>
      <c r="M19" s="29" t="n"/>
      <c r="N19" s="29" t="n"/>
      <c r="O19" s="29" t="n"/>
      <c r="P19" s="32">
        <f>IF($S19=1,IFERROR(INDEX(Treasuries!$E:$E,MATCH($D19,Treasuries!$A:$A,0)),"؟"),"")</f>
        <v/>
      </c>
      <c r="Q19" s="32">
        <f>IF($S19=1,IFERROR(INDEX(Treasuries!$D:$D,MATCH($D19,Treasuries!$A:$A,0)),"؟"),"")</f>
        <v/>
      </c>
      <c r="R19" s="32">
        <f>IF($S19=1,IFERROR(INDEX(Supplier_Invoices!$AB:$AB,MATCH($G19,Supplier_Invoices!$A:$A,0)),"OPERATING"),"")</f>
        <v/>
      </c>
      <c r="S19" s="32">
        <f>IF(COUNTA($A19:$O19)&gt;0,1,0)</f>
        <v/>
      </c>
      <c r="T19" s="32">
        <f>IF($S19=0,"",IF($A19="","رقم المستند ناقص",IF(COUNTIF(Doc_Register!$A:$A,$A19)&gt;1,"رقم مستند مكرر في السجل المركزي",IF(LEFT($A19,LEN("SPAY")+1)&lt;&gt;"SPAY"&amp;"-","بادئة الرقم لا تطابق نوع المستند",IF(NOT(ISNUMBER($B19)),"التاريخ ناقص أو غير صحيح",IF($I19="","حالة المستند ناقصة",IF($J19="","اسم المُعِد ناقص",IF(AND(OR($I19=ST_APPR,$I19=ST_POST),$K19=""),"لا يوجد معتمد",IF(AND($K19&lt;&gt;"",$K19=$J19),"المُعِد والمعتمد نفس الشخص (فصل المهام)",IF(AND($I19=ST_POST,$L19=""),"اسم المحاسب المرحِّل ناقص",IF(AND($I19=ST_POST,$L19&lt;&gt;"",OR($L19=$J19,$L19=$K19)),"المرحِّل يجب أن يختلف عن المُعِد والمعتمد",IF(AND($I19=ST_REV,$N19=""),"مرجع التصحيح/الإلغاء ناقص",IF(AND(ISNUMBER($B19),OR($I19=ST_DRAFT,$I19=ST_APPR),COUNTIFS(Period_Close!$A:$A,YEAR($B19)*100+MONTH($B19),Period_Close!$B:$B,"مقفلة")&gt;0),"الفترة مقفلة: لا يسمح بمستند جديد",IF(COUNTIF(Suppliers!$A:$A,$C19)=0,"المورد غير معرف",IF(COUNTIFS(COA!$A:$A,$P19,COA!$R:$R,1)&lt;&gt;1,"الخزينة/البنك غير صالح",IF(NOT(N($E19)&gt;0),"المبلغ يجب أن يكون أكبر من صفر",IF($F19="","طريقة الدفع ناقصة",IF(AND($G19&lt;&gt;"",COUNTIF(Supplier_Invoices!$A:$A,$G19)=0),"الفاتورة المسددة غير موجودة",IF(AND($G19&lt;&gt;"",COUNTIF(Supplier_Invoices!$A:$A,$G19)&gt;0,IFERROR(INDEX(Supplier_Invoices!$C:$C,MATCH($G19,Supplier_Invoices!$A:$A,0)),"")&lt;&gt;$C19),"الفاتورة تخص موردًا آخر","")))))))))))))))))))</f>
        <v/>
      </c>
      <c r="U19" s="32">
        <f>IF($S19=1,IF($T19&lt;&gt;"",1,0),0)</f>
        <v/>
      </c>
      <c r="V19" s="32">
        <f>IF(AND($S19=1,$U19=0,$I19=ST_POST),1,0)</f>
        <v/>
      </c>
    </row>
    <row r="20">
      <c r="A20" s="29" t="n"/>
      <c r="B20" s="31" t="n"/>
      <c r="C20" s="39" t="n"/>
      <c r="D20" s="39" t="n"/>
      <c r="E20" s="42" t="n"/>
      <c r="F20" s="29" t="n"/>
      <c r="G20" s="29" t="n"/>
      <c r="H20" s="29" t="n"/>
      <c r="I20" s="39" t="n"/>
      <c r="J20" s="29" t="n"/>
      <c r="K20" s="29" t="n"/>
      <c r="L20" s="29" t="n"/>
      <c r="M20" s="29" t="n"/>
      <c r="N20" s="29" t="n"/>
      <c r="O20" s="29" t="n"/>
      <c r="P20" s="32">
        <f>IF($S20=1,IFERROR(INDEX(Treasuries!$E:$E,MATCH($D20,Treasuries!$A:$A,0)),"؟"),"")</f>
        <v/>
      </c>
      <c r="Q20" s="32">
        <f>IF($S20=1,IFERROR(INDEX(Treasuries!$D:$D,MATCH($D20,Treasuries!$A:$A,0)),"؟"),"")</f>
        <v/>
      </c>
      <c r="R20" s="32">
        <f>IF($S20=1,IFERROR(INDEX(Supplier_Invoices!$AB:$AB,MATCH($G20,Supplier_Invoices!$A:$A,0)),"OPERATING"),"")</f>
        <v/>
      </c>
      <c r="S20" s="32">
        <f>IF(COUNTA($A20:$O20)&gt;0,1,0)</f>
        <v/>
      </c>
      <c r="T20" s="32">
        <f>IF($S20=0,"",IF($A20="","رقم المستند ناقص",IF(COUNTIF(Doc_Register!$A:$A,$A20)&gt;1,"رقم مستند مكرر في السجل المركزي",IF(LEFT($A20,LEN("SPAY")+1)&lt;&gt;"SPAY"&amp;"-","بادئة الرقم لا تطابق نوع المستند",IF(NOT(ISNUMBER($B20)),"التاريخ ناقص أو غير صحيح",IF($I20="","حالة المستند ناقصة",IF($J20="","اسم المُعِد ناقص",IF(AND(OR($I20=ST_APPR,$I20=ST_POST),$K20=""),"لا يوجد معتمد",IF(AND($K20&lt;&gt;"",$K20=$J20),"المُعِد والمعتمد نفس الشخص (فصل المهام)",IF(AND($I20=ST_POST,$L20=""),"اسم المحاسب المرحِّل ناقص",IF(AND($I20=ST_POST,$L20&lt;&gt;"",OR($L20=$J20,$L20=$K20)),"المرحِّل يجب أن يختلف عن المُعِد والمعتمد",IF(AND($I20=ST_REV,$N20=""),"مرجع التصحيح/الإلغاء ناقص",IF(AND(ISNUMBER($B20),OR($I20=ST_DRAFT,$I20=ST_APPR),COUNTIFS(Period_Close!$A:$A,YEAR($B20)*100+MONTH($B20),Period_Close!$B:$B,"مقفلة")&gt;0),"الفترة مقفلة: لا يسمح بمستند جديد",IF(COUNTIF(Suppliers!$A:$A,$C20)=0,"المورد غير معرف",IF(COUNTIFS(COA!$A:$A,$P20,COA!$R:$R,1)&lt;&gt;1,"الخزينة/البنك غير صالح",IF(NOT(N($E20)&gt;0),"المبلغ يجب أن يكون أكبر من صفر",IF($F20="","طريقة الدفع ناقصة",IF(AND($G20&lt;&gt;"",COUNTIF(Supplier_Invoices!$A:$A,$G20)=0),"الفاتورة المسددة غير موجودة",IF(AND($G20&lt;&gt;"",COUNTIF(Supplier_Invoices!$A:$A,$G20)&gt;0,IFERROR(INDEX(Supplier_Invoices!$C:$C,MATCH($G20,Supplier_Invoices!$A:$A,0)),"")&lt;&gt;$C20),"الفاتورة تخص موردًا آخر","")))))))))))))))))))</f>
        <v/>
      </c>
      <c r="U20" s="32">
        <f>IF($S20=1,IF($T20&lt;&gt;"",1,0),0)</f>
        <v/>
      </c>
      <c r="V20" s="32">
        <f>IF(AND($S20=1,$U20=0,$I20=ST_POST),1,0)</f>
        <v/>
      </c>
    </row>
    <row r="21">
      <c r="A21" s="29" t="n"/>
      <c r="B21" s="31" t="n"/>
      <c r="C21" s="39" t="n"/>
      <c r="D21" s="39" t="n"/>
      <c r="E21" s="42" t="n"/>
      <c r="F21" s="29" t="n"/>
      <c r="G21" s="29" t="n"/>
      <c r="H21" s="29" t="n"/>
      <c r="I21" s="39" t="n"/>
      <c r="J21" s="29" t="n"/>
      <c r="K21" s="29" t="n"/>
      <c r="L21" s="29" t="n"/>
      <c r="M21" s="29" t="n"/>
      <c r="N21" s="29" t="n"/>
      <c r="O21" s="29" t="n"/>
      <c r="P21" s="32">
        <f>IF($S21=1,IFERROR(INDEX(Treasuries!$E:$E,MATCH($D21,Treasuries!$A:$A,0)),"؟"),"")</f>
        <v/>
      </c>
      <c r="Q21" s="32">
        <f>IF($S21=1,IFERROR(INDEX(Treasuries!$D:$D,MATCH($D21,Treasuries!$A:$A,0)),"؟"),"")</f>
        <v/>
      </c>
      <c r="R21" s="32">
        <f>IF($S21=1,IFERROR(INDEX(Supplier_Invoices!$AB:$AB,MATCH($G21,Supplier_Invoices!$A:$A,0)),"OPERATING"),"")</f>
        <v/>
      </c>
      <c r="S21" s="32">
        <f>IF(COUNTA($A21:$O21)&gt;0,1,0)</f>
        <v/>
      </c>
      <c r="T21" s="32">
        <f>IF($S21=0,"",IF($A21="","رقم المستند ناقص",IF(COUNTIF(Doc_Register!$A:$A,$A21)&gt;1,"رقم مستند مكرر في السجل المركزي",IF(LEFT($A21,LEN("SPAY")+1)&lt;&gt;"SPAY"&amp;"-","بادئة الرقم لا تطابق نوع المستند",IF(NOT(ISNUMBER($B21)),"التاريخ ناقص أو غير صحيح",IF($I21="","حالة المستند ناقصة",IF($J21="","اسم المُعِد ناقص",IF(AND(OR($I21=ST_APPR,$I21=ST_POST),$K21=""),"لا يوجد معتمد",IF(AND($K21&lt;&gt;"",$K21=$J21),"المُعِد والمعتمد نفس الشخص (فصل المهام)",IF(AND($I21=ST_POST,$L21=""),"اسم المحاسب المرحِّل ناقص",IF(AND($I21=ST_POST,$L21&lt;&gt;"",OR($L21=$J21,$L21=$K21)),"المرحِّل يجب أن يختلف عن المُعِد والمعتمد",IF(AND($I21=ST_REV,$N21=""),"مرجع التصحيح/الإلغاء ناقص",IF(AND(ISNUMBER($B21),OR($I21=ST_DRAFT,$I21=ST_APPR),COUNTIFS(Period_Close!$A:$A,YEAR($B21)*100+MONTH($B21),Period_Close!$B:$B,"مقفلة")&gt;0),"الفترة مقفلة: لا يسمح بمستند جديد",IF(COUNTIF(Suppliers!$A:$A,$C21)=0,"المورد غير معرف",IF(COUNTIFS(COA!$A:$A,$P21,COA!$R:$R,1)&lt;&gt;1,"الخزينة/البنك غير صالح",IF(NOT(N($E21)&gt;0),"المبلغ يجب أن يكون أكبر من صفر",IF($F21="","طريقة الدفع ناقصة",IF(AND($G21&lt;&gt;"",COUNTIF(Supplier_Invoices!$A:$A,$G21)=0),"الفاتورة المسددة غير موجودة",IF(AND($G21&lt;&gt;"",COUNTIF(Supplier_Invoices!$A:$A,$G21)&gt;0,IFERROR(INDEX(Supplier_Invoices!$C:$C,MATCH($G21,Supplier_Invoices!$A:$A,0)),"")&lt;&gt;$C21),"الفاتورة تخص موردًا آخر","")))))))))))))))))))</f>
        <v/>
      </c>
      <c r="U21" s="32">
        <f>IF($S21=1,IF($T21&lt;&gt;"",1,0),0)</f>
        <v/>
      </c>
      <c r="V21" s="32">
        <f>IF(AND($S21=1,$U21=0,$I21=ST_POST),1,0)</f>
        <v/>
      </c>
    </row>
    <row r="22">
      <c r="A22" s="29" t="n"/>
      <c r="B22" s="31" t="n"/>
      <c r="C22" s="39" t="n"/>
      <c r="D22" s="39" t="n"/>
      <c r="E22" s="42" t="n"/>
      <c r="F22" s="29" t="n"/>
      <c r="G22" s="29" t="n"/>
      <c r="H22" s="29" t="n"/>
      <c r="I22" s="39" t="n"/>
      <c r="J22" s="29" t="n"/>
      <c r="K22" s="29" t="n"/>
      <c r="L22" s="29" t="n"/>
      <c r="M22" s="29" t="n"/>
      <c r="N22" s="29" t="n"/>
      <c r="O22" s="29" t="n"/>
      <c r="P22" s="32">
        <f>IF($S22=1,IFERROR(INDEX(Treasuries!$E:$E,MATCH($D22,Treasuries!$A:$A,0)),"؟"),"")</f>
        <v/>
      </c>
      <c r="Q22" s="32">
        <f>IF($S22=1,IFERROR(INDEX(Treasuries!$D:$D,MATCH($D22,Treasuries!$A:$A,0)),"؟"),"")</f>
        <v/>
      </c>
      <c r="R22" s="32">
        <f>IF($S22=1,IFERROR(INDEX(Supplier_Invoices!$AB:$AB,MATCH($G22,Supplier_Invoices!$A:$A,0)),"OPERATING"),"")</f>
        <v/>
      </c>
      <c r="S22" s="32">
        <f>IF(COUNTA($A22:$O22)&gt;0,1,0)</f>
        <v/>
      </c>
      <c r="T22" s="32">
        <f>IF($S22=0,"",IF($A22="","رقم المستند ناقص",IF(COUNTIF(Doc_Register!$A:$A,$A22)&gt;1,"رقم مستند مكرر في السجل المركزي",IF(LEFT($A22,LEN("SPAY")+1)&lt;&gt;"SPAY"&amp;"-","بادئة الرقم لا تطابق نوع المستند",IF(NOT(ISNUMBER($B22)),"التاريخ ناقص أو غير صحيح",IF($I22="","حالة المستند ناقصة",IF($J22="","اسم المُعِد ناقص",IF(AND(OR($I22=ST_APPR,$I22=ST_POST),$K22=""),"لا يوجد معتمد",IF(AND($K22&lt;&gt;"",$K22=$J22),"المُعِد والمعتمد نفس الشخص (فصل المهام)",IF(AND($I22=ST_POST,$L22=""),"اسم المحاسب المرحِّل ناقص",IF(AND($I22=ST_POST,$L22&lt;&gt;"",OR($L22=$J22,$L22=$K22)),"المرحِّل يجب أن يختلف عن المُعِد والمعتمد",IF(AND($I22=ST_REV,$N22=""),"مرجع التصحيح/الإلغاء ناقص",IF(AND(ISNUMBER($B22),OR($I22=ST_DRAFT,$I22=ST_APPR),COUNTIFS(Period_Close!$A:$A,YEAR($B22)*100+MONTH($B22),Period_Close!$B:$B,"مقفلة")&gt;0),"الفترة مقفلة: لا يسمح بمستند جديد",IF(COUNTIF(Suppliers!$A:$A,$C22)=0,"المورد غير معرف",IF(COUNTIFS(COA!$A:$A,$P22,COA!$R:$R,1)&lt;&gt;1,"الخزينة/البنك غير صالح",IF(NOT(N($E22)&gt;0),"المبلغ يجب أن يكون أكبر من صفر",IF($F22="","طريقة الدفع ناقصة",IF(AND($G22&lt;&gt;"",COUNTIF(Supplier_Invoices!$A:$A,$G22)=0),"الفاتورة المسددة غير موجودة",IF(AND($G22&lt;&gt;"",COUNTIF(Supplier_Invoices!$A:$A,$G22)&gt;0,IFERROR(INDEX(Supplier_Invoices!$C:$C,MATCH($G22,Supplier_Invoices!$A:$A,0)),"")&lt;&gt;$C22),"الفاتورة تخص موردًا آخر","")))))))))))))))))))</f>
        <v/>
      </c>
      <c r="U22" s="32">
        <f>IF($S22=1,IF($T22&lt;&gt;"",1,0),0)</f>
        <v/>
      </c>
      <c r="V22" s="32">
        <f>IF(AND($S22=1,$U22=0,$I22=ST_POST),1,0)</f>
        <v/>
      </c>
    </row>
    <row r="23">
      <c r="A23" s="29" t="n"/>
      <c r="B23" s="31" t="n"/>
      <c r="C23" s="39" t="n"/>
      <c r="D23" s="39" t="n"/>
      <c r="E23" s="42" t="n"/>
      <c r="F23" s="29" t="n"/>
      <c r="G23" s="29" t="n"/>
      <c r="H23" s="29" t="n"/>
      <c r="I23" s="39" t="n"/>
      <c r="J23" s="29" t="n"/>
      <c r="K23" s="29" t="n"/>
      <c r="L23" s="29" t="n"/>
      <c r="M23" s="29" t="n"/>
      <c r="N23" s="29" t="n"/>
      <c r="O23" s="29" t="n"/>
      <c r="P23" s="32">
        <f>IF($S23=1,IFERROR(INDEX(Treasuries!$E:$E,MATCH($D23,Treasuries!$A:$A,0)),"؟"),"")</f>
        <v/>
      </c>
      <c r="Q23" s="32">
        <f>IF($S23=1,IFERROR(INDEX(Treasuries!$D:$D,MATCH($D23,Treasuries!$A:$A,0)),"؟"),"")</f>
        <v/>
      </c>
      <c r="R23" s="32">
        <f>IF($S23=1,IFERROR(INDEX(Supplier_Invoices!$AB:$AB,MATCH($G23,Supplier_Invoices!$A:$A,0)),"OPERATING"),"")</f>
        <v/>
      </c>
      <c r="S23" s="32">
        <f>IF(COUNTA($A23:$O23)&gt;0,1,0)</f>
        <v/>
      </c>
      <c r="T23" s="32">
        <f>IF($S23=0,"",IF($A23="","رقم المستند ناقص",IF(COUNTIF(Doc_Register!$A:$A,$A23)&gt;1,"رقم مستند مكرر في السجل المركزي",IF(LEFT($A23,LEN("SPAY")+1)&lt;&gt;"SPAY"&amp;"-","بادئة الرقم لا تطابق نوع المستند",IF(NOT(ISNUMBER($B23)),"التاريخ ناقص أو غير صحيح",IF($I23="","حالة المستند ناقصة",IF($J23="","اسم المُعِد ناقص",IF(AND(OR($I23=ST_APPR,$I23=ST_POST),$K23=""),"لا يوجد معتمد",IF(AND($K23&lt;&gt;"",$K23=$J23),"المُعِد والمعتمد نفس الشخص (فصل المهام)",IF(AND($I23=ST_POST,$L23=""),"اسم المحاسب المرحِّل ناقص",IF(AND($I23=ST_POST,$L23&lt;&gt;"",OR($L23=$J23,$L23=$K23)),"المرحِّل يجب أن يختلف عن المُعِد والمعتمد",IF(AND($I23=ST_REV,$N23=""),"مرجع التصحيح/الإلغاء ناقص",IF(AND(ISNUMBER($B23),OR($I23=ST_DRAFT,$I23=ST_APPR),COUNTIFS(Period_Close!$A:$A,YEAR($B23)*100+MONTH($B23),Period_Close!$B:$B,"مقفلة")&gt;0),"الفترة مقفلة: لا يسمح بمستند جديد",IF(COUNTIF(Suppliers!$A:$A,$C23)=0,"المورد غير معرف",IF(COUNTIFS(COA!$A:$A,$P23,COA!$R:$R,1)&lt;&gt;1,"الخزينة/البنك غير صالح",IF(NOT(N($E23)&gt;0),"المبلغ يجب أن يكون أكبر من صفر",IF($F23="","طريقة الدفع ناقصة",IF(AND($G23&lt;&gt;"",COUNTIF(Supplier_Invoices!$A:$A,$G23)=0),"الفاتورة المسددة غير موجودة",IF(AND($G23&lt;&gt;"",COUNTIF(Supplier_Invoices!$A:$A,$G23)&gt;0,IFERROR(INDEX(Supplier_Invoices!$C:$C,MATCH($G23,Supplier_Invoices!$A:$A,0)),"")&lt;&gt;$C23),"الفاتورة تخص موردًا آخر","")))))))))))))))))))</f>
        <v/>
      </c>
      <c r="U23" s="32">
        <f>IF($S23=1,IF($T23&lt;&gt;"",1,0),0)</f>
        <v/>
      </c>
      <c r="V23" s="32">
        <f>IF(AND($S23=1,$U23=0,$I23=ST_POST),1,0)</f>
        <v/>
      </c>
    </row>
    <row r="24">
      <c r="A24" s="29" t="n"/>
      <c r="B24" s="31" t="n"/>
      <c r="C24" s="39" t="n"/>
      <c r="D24" s="39" t="n"/>
      <c r="E24" s="42" t="n"/>
      <c r="F24" s="29" t="n"/>
      <c r="G24" s="29" t="n"/>
      <c r="H24" s="29" t="n"/>
      <c r="I24" s="39" t="n"/>
      <c r="J24" s="29" t="n"/>
      <c r="K24" s="29" t="n"/>
      <c r="L24" s="29" t="n"/>
      <c r="M24" s="29" t="n"/>
      <c r="N24" s="29" t="n"/>
      <c r="O24" s="29" t="n"/>
      <c r="P24" s="32">
        <f>IF($S24=1,IFERROR(INDEX(Treasuries!$E:$E,MATCH($D24,Treasuries!$A:$A,0)),"؟"),"")</f>
        <v/>
      </c>
      <c r="Q24" s="32">
        <f>IF($S24=1,IFERROR(INDEX(Treasuries!$D:$D,MATCH($D24,Treasuries!$A:$A,0)),"؟"),"")</f>
        <v/>
      </c>
      <c r="R24" s="32">
        <f>IF($S24=1,IFERROR(INDEX(Supplier_Invoices!$AB:$AB,MATCH($G24,Supplier_Invoices!$A:$A,0)),"OPERATING"),"")</f>
        <v/>
      </c>
      <c r="S24" s="32">
        <f>IF(COUNTA($A24:$O24)&gt;0,1,0)</f>
        <v/>
      </c>
      <c r="T24" s="32">
        <f>IF($S24=0,"",IF($A24="","رقم المستند ناقص",IF(COUNTIF(Doc_Register!$A:$A,$A24)&gt;1,"رقم مستند مكرر في السجل المركزي",IF(LEFT($A24,LEN("SPAY")+1)&lt;&gt;"SPAY"&amp;"-","بادئة الرقم لا تطابق نوع المستند",IF(NOT(ISNUMBER($B24)),"التاريخ ناقص أو غير صحيح",IF($I24="","حالة المستند ناقصة",IF($J24="","اسم المُعِد ناقص",IF(AND(OR($I24=ST_APPR,$I24=ST_POST),$K24=""),"لا يوجد معتمد",IF(AND($K24&lt;&gt;"",$K24=$J24),"المُعِد والمعتمد نفس الشخص (فصل المهام)",IF(AND($I24=ST_POST,$L24=""),"اسم المحاسب المرحِّل ناقص",IF(AND($I24=ST_POST,$L24&lt;&gt;"",OR($L24=$J24,$L24=$K24)),"المرحِّل يجب أن يختلف عن المُعِد والمعتمد",IF(AND($I24=ST_REV,$N24=""),"مرجع التصحيح/الإلغاء ناقص",IF(AND(ISNUMBER($B24),OR($I24=ST_DRAFT,$I24=ST_APPR),COUNTIFS(Period_Close!$A:$A,YEAR($B24)*100+MONTH($B24),Period_Close!$B:$B,"مقفلة")&gt;0),"الفترة مقفلة: لا يسمح بمستند جديد",IF(COUNTIF(Suppliers!$A:$A,$C24)=0,"المورد غير معرف",IF(COUNTIFS(COA!$A:$A,$P24,COA!$R:$R,1)&lt;&gt;1,"الخزينة/البنك غير صالح",IF(NOT(N($E24)&gt;0),"المبلغ يجب أن يكون أكبر من صفر",IF($F24="","طريقة الدفع ناقصة",IF(AND($G24&lt;&gt;"",COUNTIF(Supplier_Invoices!$A:$A,$G24)=0),"الفاتورة المسددة غير موجودة",IF(AND($G24&lt;&gt;"",COUNTIF(Supplier_Invoices!$A:$A,$G24)&gt;0,IFERROR(INDEX(Supplier_Invoices!$C:$C,MATCH($G24,Supplier_Invoices!$A:$A,0)),"")&lt;&gt;$C24),"الفاتورة تخص موردًا آخر","")))))))))))))))))))</f>
        <v/>
      </c>
      <c r="U24" s="32">
        <f>IF($S24=1,IF($T24&lt;&gt;"",1,0),0)</f>
        <v/>
      </c>
      <c r="V24" s="32">
        <f>IF(AND($S24=1,$U24=0,$I24=ST_POST),1,0)</f>
        <v/>
      </c>
    </row>
    <row r="25">
      <c r="A25" s="29" t="n"/>
      <c r="B25" s="31" t="n"/>
      <c r="C25" s="39" t="n"/>
      <c r="D25" s="39" t="n"/>
      <c r="E25" s="42" t="n"/>
      <c r="F25" s="29" t="n"/>
      <c r="G25" s="29" t="n"/>
      <c r="H25" s="29" t="n"/>
      <c r="I25" s="39" t="n"/>
      <c r="J25" s="29" t="n"/>
      <c r="K25" s="29" t="n"/>
      <c r="L25" s="29" t="n"/>
      <c r="M25" s="29" t="n"/>
      <c r="N25" s="29" t="n"/>
      <c r="O25" s="29" t="n"/>
      <c r="P25" s="32">
        <f>IF($S25=1,IFERROR(INDEX(Treasuries!$E:$E,MATCH($D25,Treasuries!$A:$A,0)),"؟"),"")</f>
        <v/>
      </c>
      <c r="Q25" s="32">
        <f>IF($S25=1,IFERROR(INDEX(Treasuries!$D:$D,MATCH($D25,Treasuries!$A:$A,0)),"؟"),"")</f>
        <v/>
      </c>
      <c r="R25" s="32">
        <f>IF($S25=1,IFERROR(INDEX(Supplier_Invoices!$AB:$AB,MATCH($G25,Supplier_Invoices!$A:$A,0)),"OPERATING"),"")</f>
        <v/>
      </c>
      <c r="S25" s="32">
        <f>IF(COUNTA($A25:$O25)&gt;0,1,0)</f>
        <v/>
      </c>
      <c r="T25" s="32">
        <f>IF($S25=0,"",IF($A25="","رقم المستند ناقص",IF(COUNTIF(Doc_Register!$A:$A,$A25)&gt;1,"رقم مستند مكرر في السجل المركزي",IF(LEFT($A25,LEN("SPAY")+1)&lt;&gt;"SPAY"&amp;"-","بادئة الرقم لا تطابق نوع المستند",IF(NOT(ISNUMBER($B25)),"التاريخ ناقص أو غير صحيح",IF($I25="","حالة المستند ناقصة",IF($J25="","اسم المُعِد ناقص",IF(AND(OR($I25=ST_APPR,$I25=ST_POST),$K25=""),"لا يوجد معتمد",IF(AND($K25&lt;&gt;"",$K25=$J25),"المُعِد والمعتمد نفس الشخص (فصل المهام)",IF(AND($I25=ST_POST,$L25=""),"اسم المحاسب المرحِّل ناقص",IF(AND($I25=ST_POST,$L25&lt;&gt;"",OR($L25=$J25,$L25=$K25)),"المرحِّل يجب أن يختلف عن المُعِد والمعتمد",IF(AND($I25=ST_REV,$N25=""),"مرجع التصحيح/الإلغاء ناقص",IF(AND(ISNUMBER($B25),OR($I25=ST_DRAFT,$I25=ST_APPR),COUNTIFS(Period_Close!$A:$A,YEAR($B25)*100+MONTH($B25),Period_Close!$B:$B,"مقفلة")&gt;0),"الفترة مقفلة: لا يسمح بمستند جديد",IF(COUNTIF(Suppliers!$A:$A,$C25)=0,"المورد غير معرف",IF(COUNTIFS(COA!$A:$A,$P25,COA!$R:$R,1)&lt;&gt;1,"الخزينة/البنك غير صالح",IF(NOT(N($E25)&gt;0),"المبلغ يجب أن يكون أكبر من صفر",IF($F25="","طريقة الدفع ناقصة",IF(AND($G25&lt;&gt;"",COUNTIF(Supplier_Invoices!$A:$A,$G25)=0),"الفاتورة المسددة غير موجودة",IF(AND($G25&lt;&gt;"",COUNTIF(Supplier_Invoices!$A:$A,$G25)&gt;0,IFERROR(INDEX(Supplier_Invoices!$C:$C,MATCH($G25,Supplier_Invoices!$A:$A,0)),"")&lt;&gt;$C25),"الفاتورة تخص موردًا آخر","")))))))))))))))))))</f>
        <v/>
      </c>
      <c r="U25" s="32">
        <f>IF($S25=1,IF($T25&lt;&gt;"",1,0),0)</f>
        <v/>
      </c>
      <c r="V25" s="32">
        <f>IF(AND($S25=1,$U25=0,$I25=ST_POST),1,0)</f>
        <v/>
      </c>
    </row>
    <row r="26">
      <c r="A26" s="29" t="n"/>
      <c r="B26" s="31" t="n"/>
      <c r="C26" s="39" t="n"/>
      <c r="D26" s="39" t="n"/>
      <c r="E26" s="42" t="n"/>
      <c r="F26" s="29" t="n"/>
      <c r="G26" s="29" t="n"/>
      <c r="H26" s="29" t="n"/>
      <c r="I26" s="39" t="n"/>
      <c r="J26" s="29" t="n"/>
      <c r="K26" s="29" t="n"/>
      <c r="L26" s="29" t="n"/>
      <c r="M26" s="29" t="n"/>
      <c r="N26" s="29" t="n"/>
      <c r="O26" s="29" t="n"/>
      <c r="P26" s="32">
        <f>IF($S26=1,IFERROR(INDEX(Treasuries!$E:$E,MATCH($D26,Treasuries!$A:$A,0)),"؟"),"")</f>
        <v/>
      </c>
      <c r="Q26" s="32">
        <f>IF($S26=1,IFERROR(INDEX(Treasuries!$D:$D,MATCH($D26,Treasuries!$A:$A,0)),"؟"),"")</f>
        <v/>
      </c>
      <c r="R26" s="32">
        <f>IF($S26=1,IFERROR(INDEX(Supplier_Invoices!$AB:$AB,MATCH($G26,Supplier_Invoices!$A:$A,0)),"OPERATING"),"")</f>
        <v/>
      </c>
      <c r="S26" s="32">
        <f>IF(COUNTA($A26:$O26)&gt;0,1,0)</f>
        <v/>
      </c>
      <c r="T26" s="32">
        <f>IF($S26=0,"",IF($A26="","رقم المستند ناقص",IF(COUNTIF(Doc_Register!$A:$A,$A26)&gt;1,"رقم مستند مكرر في السجل المركزي",IF(LEFT($A26,LEN("SPAY")+1)&lt;&gt;"SPAY"&amp;"-","بادئة الرقم لا تطابق نوع المستند",IF(NOT(ISNUMBER($B26)),"التاريخ ناقص أو غير صحيح",IF($I26="","حالة المستند ناقصة",IF($J26="","اسم المُعِد ناقص",IF(AND(OR($I26=ST_APPR,$I26=ST_POST),$K26=""),"لا يوجد معتمد",IF(AND($K26&lt;&gt;"",$K26=$J26),"المُعِد والمعتمد نفس الشخص (فصل المهام)",IF(AND($I26=ST_POST,$L26=""),"اسم المحاسب المرحِّل ناقص",IF(AND($I26=ST_POST,$L26&lt;&gt;"",OR($L26=$J26,$L26=$K26)),"المرحِّل يجب أن يختلف عن المُعِد والمعتمد",IF(AND($I26=ST_REV,$N26=""),"مرجع التصحيح/الإلغاء ناقص",IF(AND(ISNUMBER($B26),OR($I26=ST_DRAFT,$I26=ST_APPR),COUNTIFS(Period_Close!$A:$A,YEAR($B26)*100+MONTH($B26),Period_Close!$B:$B,"مقفلة")&gt;0),"الفترة مقفلة: لا يسمح بمستند جديد",IF(COUNTIF(Suppliers!$A:$A,$C26)=0,"المورد غير معرف",IF(COUNTIFS(COA!$A:$A,$P26,COA!$R:$R,1)&lt;&gt;1,"الخزينة/البنك غير صالح",IF(NOT(N($E26)&gt;0),"المبلغ يجب أن يكون أكبر من صفر",IF($F26="","طريقة الدفع ناقصة",IF(AND($G26&lt;&gt;"",COUNTIF(Supplier_Invoices!$A:$A,$G26)=0),"الفاتورة المسددة غير موجودة",IF(AND($G26&lt;&gt;"",COUNTIF(Supplier_Invoices!$A:$A,$G26)&gt;0,IFERROR(INDEX(Supplier_Invoices!$C:$C,MATCH($G26,Supplier_Invoices!$A:$A,0)),"")&lt;&gt;$C26),"الفاتورة تخص موردًا آخر","")))))))))))))))))))</f>
        <v/>
      </c>
      <c r="U26" s="32">
        <f>IF($S26=1,IF($T26&lt;&gt;"",1,0),0)</f>
        <v/>
      </c>
      <c r="V26" s="32">
        <f>IF(AND($S26=1,$U26=0,$I26=ST_POST),1,0)</f>
        <v/>
      </c>
    </row>
    <row r="27">
      <c r="A27" s="29" t="n"/>
      <c r="B27" s="31" t="n"/>
      <c r="C27" s="39" t="n"/>
      <c r="D27" s="39" t="n"/>
      <c r="E27" s="42" t="n"/>
      <c r="F27" s="29" t="n"/>
      <c r="G27" s="29" t="n"/>
      <c r="H27" s="29" t="n"/>
      <c r="I27" s="39" t="n"/>
      <c r="J27" s="29" t="n"/>
      <c r="K27" s="29" t="n"/>
      <c r="L27" s="29" t="n"/>
      <c r="M27" s="29" t="n"/>
      <c r="N27" s="29" t="n"/>
      <c r="O27" s="29" t="n"/>
      <c r="P27" s="32">
        <f>IF($S27=1,IFERROR(INDEX(Treasuries!$E:$E,MATCH($D27,Treasuries!$A:$A,0)),"؟"),"")</f>
        <v/>
      </c>
      <c r="Q27" s="32">
        <f>IF($S27=1,IFERROR(INDEX(Treasuries!$D:$D,MATCH($D27,Treasuries!$A:$A,0)),"؟"),"")</f>
        <v/>
      </c>
      <c r="R27" s="32">
        <f>IF($S27=1,IFERROR(INDEX(Supplier_Invoices!$AB:$AB,MATCH($G27,Supplier_Invoices!$A:$A,0)),"OPERATING"),"")</f>
        <v/>
      </c>
      <c r="S27" s="32">
        <f>IF(COUNTA($A27:$O27)&gt;0,1,0)</f>
        <v/>
      </c>
      <c r="T27" s="32">
        <f>IF($S27=0,"",IF($A27="","رقم المستند ناقص",IF(COUNTIF(Doc_Register!$A:$A,$A27)&gt;1,"رقم مستند مكرر في السجل المركزي",IF(LEFT($A27,LEN("SPAY")+1)&lt;&gt;"SPAY"&amp;"-","بادئة الرقم لا تطابق نوع المستند",IF(NOT(ISNUMBER($B27)),"التاريخ ناقص أو غير صحيح",IF($I27="","حالة المستند ناقصة",IF($J27="","اسم المُعِد ناقص",IF(AND(OR($I27=ST_APPR,$I27=ST_POST),$K27=""),"لا يوجد معتمد",IF(AND($K27&lt;&gt;"",$K27=$J27),"المُعِد والمعتمد نفس الشخص (فصل المهام)",IF(AND($I27=ST_POST,$L27=""),"اسم المحاسب المرحِّل ناقص",IF(AND($I27=ST_POST,$L27&lt;&gt;"",OR($L27=$J27,$L27=$K27)),"المرحِّل يجب أن يختلف عن المُعِد والمعتمد",IF(AND($I27=ST_REV,$N27=""),"مرجع التصحيح/الإلغاء ناقص",IF(AND(ISNUMBER($B27),OR($I27=ST_DRAFT,$I27=ST_APPR),COUNTIFS(Period_Close!$A:$A,YEAR($B27)*100+MONTH($B27),Period_Close!$B:$B,"مقفلة")&gt;0),"الفترة مقفلة: لا يسمح بمستند جديد",IF(COUNTIF(Suppliers!$A:$A,$C27)=0,"المورد غير معرف",IF(COUNTIFS(COA!$A:$A,$P27,COA!$R:$R,1)&lt;&gt;1,"الخزينة/البنك غير صالح",IF(NOT(N($E27)&gt;0),"المبلغ يجب أن يكون أكبر من صفر",IF($F27="","طريقة الدفع ناقصة",IF(AND($G27&lt;&gt;"",COUNTIF(Supplier_Invoices!$A:$A,$G27)=0),"الفاتورة المسددة غير موجودة",IF(AND($G27&lt;&gt;"",COUNTIF(Supplier_Invoices!$A:$A,$G27)&gt;0,IFERROR(INDEX(Supplier_Invoices!$C:$C,MATCH($G27,Supplier_Invoices!$A:$A,0)),"")&lt;&gt;$C27),"الفاتورة تخص موردًا آخر","")))))))))))))))))))</f>
        <v/>
      </c>
      <c r="U27" s="32">
        <f>IF($S27=1,IF($T27&lt;&gt;"",1,0),0)</f>
        <v/>
      </c>
      <c r="V27" s="32">
        <f>IF(AND($S27=1,$U27=0,$I27=ST_POST),1,0)</f>
        <v/>
      </c>
    </row>
    <row r="28">
      <c r="A28" s="29" t="n"/>
      <c r="B28" s="31" t="n"/>
      <c r="C28" s="39" t="n"/>
      <c r="D28" s="39" t="n"/>
      <c r="E28" s="42" t="n"/>
      <c r="F28" s="29" t="n"/>
      <c r="G28" s="29" t="n"/>
      <c r="H28" s="29" t="n"/>
      <c r="I28" s="39" t="n"/>
      <c r="J28" s="29" t="n"/>
      <c r="K28" s="29" t="n"/>
      <c r="L28" s="29" t="n"/>
      <c r="M28" s="29" t="n"/>
      <c r="N28" s="29" t="n"/>
      <c r="O28" s="29" t="n"/>
      <c r="P28" s="32">
        <f>IF($S28=1,IFERROR(INDEX(Treasuries!$E:$E,MATCH($D28,Treasuries!$A:$A,0)),"؟"),"")</f>
        <v/>
      </c>
      <c r="Q28" s="32">
        <f>IF($S28=1,IFERROR(INDEX(Treasuries!$D:$D,MATCH($D28,Treasuries!$A:$A,0)),"؟"),"")</f>
        <v/>
      </c>
      <c r="R28" s="32">
        <f>IF($S28=1,IFERROR(INDEX(Supplier_Invoices!$AB:$AB,MATCH($G28,Supplier_Invoices!$A:$A,0)),"OPERATING"),"")</f>
        <v/>
      </c>
      <c r="S28" s="32">
        <f>IF(COUNTA($A28:$O28)&gt;0,1,0)</f>
        <v/>
      </c>
      <c r="T28" s="32">
        <f>IF($S28=0,"",IF($A28="","رقم المستند ناقص",IF(COUNTIF(Doc_Register!$A:$A,$A28)&gt;1,"رقم مستند مكرر في السجل المركزي",IF(LEFT($A28,LEN("SPAY")+1)&lt;&gt;"SPAY"&amp;"-","بادئة الرقم لا تطابق نوع المستند",IF(NOT(ISNUMBER($B28)),"التاريخ ناقص أو غير صحيح",IF($I28="","حالة المستند ناقصة",IF($J28="","اسم المُعِد ناقص",IF(AND(OR($I28=ST_APPR,$I28=ST_POST),$K28=""),"لا يوجد معتمد",IF(AND($K28&lt;&gt;"",$K28=$J28),"المُعِد والمعتمد نفس الشخص (فصل المهام)",IF(AND($I28=ST_POST,$L28=""),"اسم المحاسب المرحِّل ناقص",IF(AND($I28=ST_POST,$L28&lt;&gt;"",OR($L28=$J28,$L28=$K28)),"المرحِّل يجب أن يختلف عن المُعِد والمعتمد",IF(AND($I28=ST_REV,$N28=""),"مرجع التصحيح/الإلغاء ناقص",IF(AND(ISNUMBER($B28),OR($I28=ST_DRAFT,$I28=ST_APPR),COUNTIFS(Period_Close!$A:$A,YEAR($B28)*100+MONTH($B28),Period_Close!$B:$B,"مقفلة")&gt;0),"الفترة مقفلة: لا يسمح بمستند جديد",IF(COUNTIF(Suppliers!$A:$A,$C28)=0,"المورد غير معرف",IF(COUNTIFS(COA!$A:$A,$P28,COA!$R:$R,1)&lt;&gt;1,"الخزينة/البنك غير صالح",IF(NOT(N($E28)&gt;0),"المبلغ يجب أن يكون أكبر من صفر",IF($F28="","طريقة الدفع ناقصة",IF(AND($G28&lt;&gt;"",COUNTIF(Supplier_Invoices!$A:$A,$G28)=0),"الفاتورة المسددة غير موجودة",IF(AND($G28&lt;&gt;"",COUNTIF(Supplier_Invoices!$A:$A,$G28)&gt;0,IFERROR(INDEX(Supplier_Invoices!$C:$C,MATCH($G28,Supplier_Invoices!$A:$A,0)),"")&lt;&gt;$C28),"الفاتورة تخص موردًا آخر","")))))))))))))))))))</f>
        <v/>
      </c>
      <c r="U28" s="32">
        <f>IF($S28=1,IF($T28&lt;&gt;"",1,0),0)</f>
        <v/>
      </c>
      <c r="V28" s="32">
        <f>IF(AND($S28=1,$U28=0,$I28=ST_POST),1,0)</f>
        <v/>
      </c>
    </row>
    <row r="29">
      <c r="A29" s="29" t="n"/>
      <c r="B29" s="31" t="n"/>
      <c r="C29" s="39" t="n"/>
      <c r="D29" s="39" t="n"/>
      <c r="E29" s="42" t="n"/>
      <c r="F29" s="29" t="n"/>
      <c r="G29" s="29" t="n"/>
      <c r="H29" s="29" t="n"/>
      <c r="I29" s="39" t="n"/>
      <c r="J29" s="29" t="n"/>
      <c r="K29" s="29" t="n"/>
      <c r="L29" s="29" t="n"/>
      <c r="M29" s="29" t="n"/>
      <c r="N29" s="29" t="n"/>
      <c r="O29" s="29" t="n"/>
      <c r="P29" s="32">
        <f>IF($S29=1,IFERROR(INDEX(Treasuries!$E:$E,MATCH($D29,Treasuries!$A:$A,0)),"؟"),"")</f>
        <v/>
      </c>
      <c r="Q29" s="32">
        <f>IF($S29=1,IFERROR(INDEX(Treasuries!$D:$D,MATCH($D29,Treasuries!$A:$A,0)),"؟"),"")</f>
        <v/>
      </c>
      <c r="R29" s="32">
        <f>IF($S29=1,IFERROR(INDEX(Supplier_Invoices!$AB:$AB,MATCH($G29,Supplier_Invoices!$A:$A,0)),"OPERATING"),"")</f>
        <v/>
      </c>
      <c r="S29" s="32">
        <f>IF(COUNTA($A29:$O29)&gt;0,1,0)</f>
        <v/>
      </c>
      <c r="T29" s="32">
        <f>IF($S29=0,"",IF($A29="","رقم المستند ناقص",IF(COUNTIF(Doc_Register!$A:$A,$A29)&gt;1,"رقم مستند مكرر في السجل المركزي",IF(LEFT($A29,LEN("SPAY")+1)&lt;&gt;"SPAY"&amp;"-","بادئة الرقم لا تطابق نوع المستند",IF(NOT(ISNUMBER($B29)),"التاريخ ناقص أو غير صحيح",IF($I29="","حالة المستند ناقصة",IF($J29="","اسم المُعِد ناقص",IF(AND(OR($I29=ST_APPR,$I29=ST_POST),$K29=""),"لا يوجد معتمد",IF(AND($K29&lt;&gt;"",$K29=$J29),"المُعِد والمعتمد نفس الشخص (فصل المهام)",IF(AND($I29=ST_POST,$L29=""),"اسم المحاسب المرحِّل ناقص",IF(AND($I29=ST_POST,$L29&lt;&gt;"",OR($L29=$J29,$L29=$K29)),"المرحِّل يجب أن يختلف عن المُعِد والمعتمد",IF(AND($I29=ST_REV,$N29=""),"مرجع التصحيح/الإلغاء ناقص",IF(AND(ISNUMBER($B29),OR($I29=ST_DRAFT,$I29=ST_APPR),COUNTIFS(Period_Close!$A:$A,YEAR($B29)*100+MONTH($B29),Period_Close!$B:$B,"مقفلة")&gt;0),"الفترة مقفلة: لا يسمح بمستند جديد",IF(COUNTIF(Suppliers!$A:$A,$C29)=0,"المورد غير معرف",IF(COUNTIFS(COA!$A:$A,$P29,COA!$R:$R,1)&lt;&gt;1,"الخزينة/البنك غير صالح",IF(NOT(N($E29)&gt;0),"المبلغ يجب أن يكون أكبر من صفر",IF($F29="","طريقة الدفع ناقصة",IF(AND($G29&lt;&gt;"",COUNTIF(Supplier_Invoices!$A:$A,$G29)=0),"الفاتورة المسددة غير موجودة",IF(AND($G29&lt;&gt;"",COUNTIF(Supplier_Invoices!$A:$A,$G29)&gt;0,IFERROR(INDEX(Supplier_Invoices!$C:$C,MATCH($G29,Supplier_Invoices!$A:$A,0)),"")&lt;&gt;$C29),"الفاتورة تخص موردًا آخر","")))))))))))))))))))</f>
        <v/>
      </c>
      <c r="U29" s="32">
        <f>IF($S29=1,IF($T29&lt;&gt;"",1,0),0)</f>
        <v/>
      </c>
      <c r="V29" s="32">
        <f>IF(AND($S29=1,$U29=0,$I29=ST_POST),1,0)</f>
        <v/>
      </c>
    </row>
    <row r="30">
      <c r="A30" s="29" t="n"/>
      <c r="B30" s="31" t="n"/>
      <c r="C30" s="39" t="n"/>
      <c r="D30" s="39" t="n"/>
      <c r="E30" s="42" t="n"/>
      <c r="F30" s="29" t="n"/>
      <c r="G30" s="29" t="n"/>
      <c r="H30" s="29" t="n"/>
      <c r="I30" s="39" t="n"/>
      <c r="J30" s="29" t="n"/>
      <c r="K30" s="29" t="n"/>
      <c r="L30" s="29" t="n"/>
      <c r="M30" s="29" t="n"/>
      <c r="N30" s="29" t="n"/>
      <c r="O30" s="29" t="n"/>
      <c r="P30" s="32">
        <f>IF($S30=1,IFERROR(INDEX(Treasuries!$E:$E,MATCH($D30,Treasuries!$A:$A,0)),"؟"),"")</f>
        <v/>
      </c>
      <c r="Q30" s="32">
        <f>IF($S30=1,IFERROR(INDEX(Treasuries!$D:$D,MATCH($D30,Treasuries!$A:$A,0)),"؟"),"")</f>
        <v/>
      </c>
      <c r="R30" s="32">
        <f>IF($S30=1,IFERROR(INDEX(Supplier_Invoices!$AB:$AB,MATCH($G30,Supplier_Invoices!$A:$A,0)),"OPERATING"),"")</f>
        <v/>
      </c>
      <c r="S30" s="32">
        <f>IF(COUNTA($A30:$O30)&gt;0,1,0)</f>
        <v/>
      </c>
      <c r="T30" s="32">
        <f>IF($S30=0,"",IF($A30="","رقم المستند ناقص",IF(COUNTIF(Doc_Register!$A:$A,$A30)&gt;1,"رقم مستند مكرر في السجل المركزي",IF(LEFT($A30,LEN("SPAY")+1)&lt;&gt;"SPAY"&amp;"-","بادئة الرقم لا تطابق نوع المستند",IF(NOT(ISNUMBER($B30)),"التاريخ ناقص أو غير صحيح",IF($I30="","حالة المستند ناقصة",IF($J30="","اسم المُعِد ناقص",IF(AND(OR($I30=ST_APPR,$I30=ST_POST),$K30=""),"لا يوجد معتمد",IF(AND($K30&lt;&gt;"",$K30=$J30),"المُعِد والمعتمد نفس الشخص (فصل المهام)",IF(AND($I30=ST_POST,$L30=""),"اسم المحاسب المرحِّل ناقص",IF(AND($I30=ST_POST,$L30&lt;&gt;"",OR($L30=$J30,$L30=$K30)),"المرحِّل يجب أن يختلف عن المُعِد والمعتمد",IF(AND($I30=ST_REV,$N30=""),"مرجع التصحيح/الإلغاء ناقص",IF(AND(ISNUMBER($B30),OR($I30=ST_DRAFT,$I30=ST_APPR),COUNTIFS(Period_Close!$A:$A,YEAR($B30)*100+MONTH($B30),Period_Close!$B:$B,"مقفلة")&gt;0),"الفترة مقفلة: لا يسمح بمستند جديد",IF(COUNTIF(Suppliers!$A:$A,$C30)=0,"المورد غير معرف",IF(COUNTIFS(COA!$A:$A,$P30,COA!$R:$R,1)&lt;&gt;1,"الخزينة/البنك غير صالح",IF(NOT(N($E30)&gt;0),"المبلغ يجب أن يكون أكبر من صفر",IF($F30="","طريقة الدفع ناقصة",IF(AND($G30&lt;&gt;"",COUNTIF(Supplier_Invoices!$A:$A,$G30)=0),"الفاتورة المسددة غير موجودة",IF(AND($G30&lt;&gt;"",COUNTIF(Supplier_Invoices!$A:$A,$G30)&gt;0,IFERROR(INDEX(Supplier_Invoices!$C:$C,MATCH($G30,Supplier_Invoices!$A:$A,0)),"")&lt;&gt;$C30),"الفاتورة تخص موردًا آخر","")))))))))))))))))))</f>
        <v/>
      </c>
      <c r="U30" s="32">
        <f>IF($S30=1,IF($T30&lt;&gt;"",1,0),0)</f>
        <v/>
      </c>
      <c r="V30" s="32">
        <f>IF(AND($S30=1,$U30=0,$I30=ST_POST),1,0)</f>
        <v/>
      </c>
    </row>
    <row r="31">
      <c r="A31" s="29" t="n"/>
      <c r="B31" s="31" t="n"/>
      <c r="C31" s="39" t="n"/>
      <c r="D31" s="39" t="n"/>
      <c r="E31" s="42" t="n"/>
      <c r="F31" s="29" t="n"/>
      <c r="G31" s="29" t="n"/>
      <c r="H31" s="29" t="n"/>
      <c r="I31" s="39" t="n"/>
      <c r="J31" s="29" t="n"/>
      <c r="K31" s="29" t="n"/>
      <c r="L31" s="29" t="n"/>
      <c r="M31" s="29" t="n"/>
      <c r="N31" s="29" t="n"/>
      <c r="O31" s="29" t="n"/>
      <c r="P31" s="32">
        <f>IF($S31=1,IFERROR(INDEX(Treasuries!$E:$E,MATCH($D31,Treasuries!$A:$A,0)),"؟"),"")</f>
        <v/>
      </c>
      <c r="Q31" s="32">
        <f>IF($S31=1,IFERROR(INDEX(Treasuries!$D:$D,MATCH($D31,Treasuries!$A:$A,0)),"؟"),"")</f>
        <v/>
      </c>
      <c r="R31" s="32">
        <f>IF($S31=1,IFERROR(INDEX(Supplier_Invoices!$AB:$AB,MATCH($G31,Supplier_Invoices!$A:$A,0)),"OPERATING"),"")</f>
        <v/>
      </c>
      <c r="S31" s="32">
        <f>IF(COUNTA($A31:$O31)&gt;0,1,0)</f>
        <v/>
      </c>
      <c r="T31" s="32">
        <f>IF($S31=0,"",IF($A31="","رقم المستند ناقص",IF(COUNTIF(Doc_Register!$A:$A,$A31)&gt;1,"رقم مستند مكرر في السجل المركزي",IF(LEFT($A31,LEN("SPAY")+1)&lt;&gt;"SPAY"&amp;"-","بادئة الرقم لا تطابق نوع المستند",IF(NOT(ISNUMBER($B31)),"التاريخ ناقص أو غير صحيح",IF($I31="","حالة المستند ناقصة",IF($J31="","اسم المُعِد ناقص",IF(AND(OR($I31=ST_APPR,$I31=ST_POST),$K31=""),"لا يوجد معتمد",IF(AND($K31&lt;&gt;"",$K31=$J31),"المُعِد والمعتمد نفس الشخص (فصل المهام)",IF(AND($I31=ST_POST,$L31=""),"اسم المحاسب المرحِّل ناقص",IF(AND($I31=ST_POST,$L31&lt;&gt;"",OR($L31=$J31,$L31=$K31)),"المرحِّل يجب أن يختلف عن المُعِد والمعتمد",IF(AND($I31=ST_REV,$N31=""),"مرجع التصحيح/الإلغاء ناقص",IF(AND(ISNUMBER($B31),OR($I31=ST_DRAFT,$I31=ST_APPR),COUNTIFS(Period_Close!$A:$A,YEAR($B31)*100+MONTH($B31),Period_Close!$B:$B,"مقفلة")&gt;0),"الفترة مقفلة: لا يسمح بمستند جديد",IF(COUNTIF(Suppliers!$A:$A,$C31)=0,"المورد غير معرف",IF(COUNTIFS(COA!$A:$A,$P31,COA!$R:$R,1)&lt;&gt;1,"الخزينة/البنك غير صالح",IF(NOT(N($E31)&gt;0),"المبلغ يجب أن يكون أكبر من صفر",IF($F31="","طريقة الدفع ناقصة",IF(AND($G31&lt;&gt;"",COUNTIF(Supplier_Invoices!$A:$A,$G31)=0),"الفاتورة المسددة غير موجودة",IF(AND($G31&lt;&gt;"",COUNTIF(Supplier_Invoices!$A:$A,$G31)&gt;0,IFERROR(INDEX(Supplier_Invoices!$C:$C,MATCH($G31,Supplier_Invoices!$A:$A,0)),"")&lt;&gt;$C31),"الفاتورة تخص موردًا آخر","")))))))))))))))))))</f>
        <v/>
      </c>
      <c r="U31" s="32">
        <f>IF($S31=1,IF($T31&lt;&gt;"",1,0),0)</f>
        <v/>
      </c>
      <c r="V31" s="32">
        <f>IF(AND($S31=1,$U31=0,$I31=ST_POST),1,0)</f>
        <v/>
      </c>
    </row>
    <row r="32">
      <c r="A32" s="29" t="n"/>
      <c r="B32" s="31" t="n"/>
      <c r="C32" s="39" t="n"/>
      <c r="D32" s="39" t="n"/>
      <c r="E32" s="42" t="n"/>
      <c r="F32" s="29" t="n"/>
      <c r="G32" s="29" t="n"/>
      <c r="H32" s="29" t="n"/>
      <c r="I32" s="39" t="n"/>
      <c r="J32" s="29" t="n"/>
      <c r="K32" s="29" t="n"/>
      <c r="L32" s="29" t="n"/>
      <c r="M32" s="29" t="n"/>
      <c r="N32" s="29" t="n"/>
      <c r="O32" s="29" t="n"/>
      <c r="P32" s="32">
        <f>IF($S32=1,IFERROR(INDEX(Treasuries!$E:$E,MATCH($D32,Treasuries!$A:$A,0)),"؟"),"")</f>
        <v/>
      </c>
      <c r="Q32" s="32">
        <f>IF($S32=1,IFERROR(INDEX(Treasuries!$D:$D,MATCH($D32,Treasuries!$A:$A,0)),"؟"),"")</f>
        <v/>
      </c>
      <c r="R32" s="32">
        <f>IF($S32=1,IFERROR(INDEX(Supplier_Invoices!$AB:$AB,MATCH($G32,Supplier_Invoices!$A:$A,0)),"OPERATING"),"")</f>
        <v/>
      </c>
      <c r="S32" s="32">
        <f>IF(COUNTA($A32:$O32)&gt;0,1,0)</f>
        <v/>
      </c>
      <c r="T32" s="32">
        <f>IF($S32=0,"",IF($A32="","رقم المستند ناقص",IF(COUNTIF(Doc_Register!$A:$A,$A32)&gt;1,"رقم مستند مكرر في السجل المركزي",IF(LEFT($A32,LEN("SPAY")+1)&lt;&gt;"SPAY"&amp;"-","بادئة الرقم لا تطابق نوع المستند",IF(NOT(ISNUMBER($B32)),"التاريخ ناقص أو غير صحيح",IF($I32="","حالة المستند ناقصة",IF($J32="","اسم المُعِد ناقص",IF(AND(OR($I32=ST_APPR,$I32=ST_POST),$K32=""),"لا يوجد معتمد",IF(AND($K32&lt;&gt;"",$K32=$J32),"المُعِد والمعتمد نفس الشخص (فصل المهام)",IF(AND($I32=ST_POST,$L32=""),"اسم المحاسب المرحِّل ناقص",IF(AND($I32=ST_POST,$L32&lt;&gt;"",OR($L32=$J32,$L32=$K32)),"المرحِّل يجب أن يختلف عن المُعِد والمعتمد",IF(AND($I32=ST_REV,$N32=""),"مرجع التصحيح/الإلغاء ناقص",IF(AND(ISNUMBER($B32),OR($I32=ST_DRAFT,$I32=ST_APPR),COUNTIFS(Period_Close!$A:$A,YEAR($B32)*100+MONTH($B32),Period_Close!$B:$B,"مقفلة")&gt;0),"الفترة مقفلة: لا يسمح بمستند جديد",IF(COUNTIF(Suppliers!$A:$A,$C32)=0,"المورد غير معرف",IF(COUNTIFS(COA!$A:$A,$P32,COA!$R:$R,1)&lt;&gt;1,"الخزينة/البنك غير صالح",IF(NOT(N($E32)&gt;0),"المبلغ يجب أن يكون أكبر من صفر",IF($F32="","طريقة الدفع ناقصة",IF(AND($G32&lt;&gt;"",COUNTIF(Supplier_Invoices!$A:$A,$G32)=0),"الفاتورة المسددة غير موجودة",IF(AND($G32&lt;&gt;"",COUNTIF(Supplier_Invoices!$A:$A,$G32)&gt;0,IFERROR(INDEX(Supplier_Invoices!$C:$C,MATCH($G32,Supplier_Invoices!$A:$A,0)),"")&lt;&gt;$C32),"الفاتورة تخص موردًا آخر","")))))))))))))))))))</f>
        <v/>
      </c>
      <c r="U32" s="32">
        <f>IF($S32=1,IF($T32&lt;&gt;"",1,0),0)</f>
        <v/>
      </c>
      <c r="V32" s="32">
        <f>IF(AND($S32=1,$U32=0,$I32=ST_POST),1,0)</f>
        <v/>
      </c>
    </row>
    <row r="33">
      <c r="A33" s="29" t="n"/>
      <c r="B33" s="31" t="n"/>
      <c r="C33" s="39" t="n"/>
      <c r="D33" s="39" t="n"/>
      <c r="E33" s="42" t="n"/>
      <c r="F33" s="29" t="n"/>
      <c r="G33" s="29" t="n"/>
      <c r="H33" s="29" t="n"/>
      <c r="I33" s="39" t="n"/>
      <c r="J33" s="29" t="n"/>
      <c r="K33" s="29" t="n"/>
      <c r="L33" s="29" t="n"/>
      <c r="M33" s="29" t="n"/>
      <c r="N33" s="29" t="n"/>
      <c r="O33" s="29" t="n"/>
      <c r="P33" s="32">
        <f>IF($S33=1,IFERROR(INDEX(Treasuries!$E:$E,MATCH($D33,Treasuries!$A:$A,0)),"؟"),"")</f>
        <v/>
      </c>
      <c r="Q33" s="32">
        <f>IF($S33=1,IFERROR(INDEX(Treasuries!$D:$D,MATCH($D33,Treasuries!$A:$A,0)),"؟"),"")</f>
        <v/>
      </c>
      <c r="R33" s="32">
        <f>IF($S33=1,IFERROR(INDEX(Supplier_Invoices!$AB:$AB,MATCH($G33,Supplier_Invoices!$A:$A,0)),"OPERATING"),"")</f>
        <v/>
      </c>
      <c r="S33" s="32">
        <f>IF(COUNTA($A33:$O33)&gt;0,1,0)</f>
        <v/>
      </c>
      <c r="T33" s="32">
        <f>IF($S33=0,"",IF($A33="","رقم المستند ناقص",IF(COUNTIF(Doc_Register!$A:$A,$A33)&gt;1,"رقم مستند مكرر في السجل المركزي",IF(LEFT($A33,LEN("SPAY")+1)&lt;&gt;"SPAY"&amp;"-","بادئة الرقم لا تطابق نوع المستند",IF(NOT(ISNUMBER($B33)),"التاريخ ناقص أو غير صحيح",IF($I33="","حالة المستند ناقصة",IF($J33="","اسم المُعِد ناقص",IF(AND(OR($I33=ST_APPR,$I33=ST_POST),$K33=""),"لا يوجد معتمد",IF(AND($K33&lt;&gt;"",$K33=$J33),"المُعِد والمعتمد نفس الشخص (فصل المهام)",IF(AND($I33=ST_POST,$L33=""),"اسم المحاسب المرحِّل ناقص",IF(AND($I33=ST_POST,$L33&lt;&gt;"",OR($L33=$J33,$L33=$K33)),"المرحِّل يجب أن يختلف عن المُعِد والمعتمد",IF(AND($I33=ST_REV,$N33=""),"مرجع التصحيح/الإلغاء ناقص",IF(AND(ISNUMBER($B33),OR($I33=ST_DRAFT,$I33=ST_APPR),COUNTIFS(Period_Close!$A:$A,YEAR($B33)*100+MONTH($B33),Period_Close!$B:$B,"مقفلة")&gt;0),"الفترة مقفلة: لا يسمح بمستند جديد",IF(COUNTIF(Suppliers!$A:$A,$C33)=0,"المورد غير معرف",IF(COUNTIFS(COA!$A:$A,$P33,COA!$R:$R,1)&lt;&gt;1,"الخزينة/البنك غير صالح",IF(NOT(N($E33)&gt;0),"المبلغ يجب أن يكون أكبر من صفر",IF($F33="","طريقة الدفع ناقصة",IF(AND($G33&lt;&gt;"",COUNTIF(Supplier_Invoices!$A:$A,$G33)=0),"الفاتورة المسددة غير موجودة",IF(AND($G33&lt;&gt;"",COUNTIF(Supplier_Invoices!$A:$A,$G33)&gt;0,IFERROR(INDEX(Supplier_Invoices!$C:$C,MATCH($G33,Supplier_Invoices!$A:$A,0)),"")&lt;&gt;$C33),"الفاتورة تخص موردًا آخر","")))))))))))))))))))</f>
        <v/>
      </c>
      <c r="U33" s="32">
        <f>IF($S33=1,IF($T33&lt;&gt;"",1,0),0)</f>
        <v/>
      </c>
      <c r="V33" s="32">
        <f>IF(AND($S33=1,$U33=0,$I33=ST_POST),1,0)</f>
        <v/>
      </c>
    </row>
    <row r="34">
      <c r="A34" s="29" t="n"/>
      <c r="B34" s="31" t="n"/>
      <c r="C34" s="39" t="n"/>
      <c r="D34" s="39" t="n"/>
      <c r="E34" s="42" t="n"/>
      <c r="F34" s="29" t="n"/>
      <c r="G34" s="29" t="n"/>
      <c r="H34" s="29" t="n"/>
      <c r="I34" s="39" t="n"/>
      <c r="J34" s="29" t="n"/>
      <c r="K34" s="29" t="n"/>
      <c r="L34" s="29" t="n"/>
      <c r="M34" s="29" t="n"/>
      <c r="N34" s="29" t="n"/>
      <c r="O34" s="29" t="n"/>
      <c r="P34" s="32">
        <f>IF($S34=1,IFERROR(INDEX(Treasuries!$E:$E,MATCH($D34,Treasuries!$A:$A,0)),"؟"),"")</f>
        <v/>
      </c>
      <c r="Q34" s="32">
        <f>IF($S34=1,IFERROR(INDEX(Treasuries!$D:$D,MATCH($D34,Treasuries!$A:$A,0)),"؟"),"")</f>
        <v/>
      </c>
      <c r="R34" s="32">
        <f>IF($S34=1,IFERROR(INDEX(Supplier_Invoices!$AB:$AB,MATCH($G34,Supplier_Invoices!$A:$A,0)),"OPERATING"),"")</f>
        <v/>
      </c>
      <c r="S34" s="32">
        <f>IF(COUNTA($A34:$O34)&gt;0,1,0)</f>
        <v/>
      </c>
      <c r="T34" s="32">
        <f>IF($S34=0,"",IF($A34="","رقم المستند ناقص",IF(COUNTIF(Doc_Register!$A:$A,$A34)&gt;1,"رقم مستند مكرر في السجل المركزي",IF(LEFT($A34,LEN("SPAY")+1)&lt;&gt;"SPAY"&amp;"-","بادئة الرقم لا تطابق نوع المستند",IF(NOT(ISNUMBER($B34)),"التاريخ ناقص أو غير صحيح",IF($I34="","حالة المستند ناقصة",IF($J34="","اسم المُعِد ناقص",IF(AND(OR($I34=ST_APPR,$I34=ST_POST),$K34=""),"لا يوجد معتمد",IF(AND($K34&lt;&gt;"",$K34=$J34),"المُعِد والمعتمد نفس الشخص (فصل المهام)",IF(AND($I34=ST_POST,$L34=""),"اسم المحاسب المرحِّل ناقص",IF(AND($I34=ST_POST,$L34&lt;&gt;"",OR($L34=$J34,$L34=$K34)),"المرحِّل يجب أن يختلف عن المُعِد والمعتمد",IF(AND($I34=ST_REV,$N34=""),"مرجع التصحيح/الإلغاء ناقص",IF(AND(ISNUMBER($B34),OR($I34=ST_DRAFT,$I34=ST_APPR),COUNTIFS(Period_Close!$A:$A,YEAR($B34)*100+MONTH($B34),Period_Close!$B:$B,"مقفلة")&gt;0),"الفترة مقفلة: لا يسمح بمستند جديد",IF(COUNTIF(Suppliers!$A:$A,$C34)=0,"المورد غير معرف",IF(COUNTIFS(COA!$A:$A,$P34,COA!$R:$R,1)&lt;&gt;1,"الخزينة/البنك غير صالح",IF(NOT(N($E34)&gt;0),"المبلغ يجب أن يكون أكبر من صفر",IF($F34="","طريقة الدفع ناقصة",IF(AND($G34&lt;&gt;"",COUNTIF(Supplier_Invoices!$A:$A,$G34)=0),"الفاتورة المسددة غير موجودة",IF(AND($G34&lt;&gt;"",COUNTIF(Supplier_Invoices!$A:$A,$G34)&gt;0,IFERROR(INDEX(Supplier_Invoices!$C:$C,MATCH($G34,Supplier_Invoices!$A:$A,0)),"")&lt;&gt;$C34),"الفاتورة تخص موردًا آخر","")))))))))))))))))))</f>
        <v/>
      </c>
      <c r="U34" s="32">
        <f>IF($S34=1,IF($T34&lt;&gt;"",1,0),0)</f>
        <v/>
      </c>
      <c r="V34" s="32">
        <f>IF(AND($S34=1,$U34=0,$I34=ST_POST),1,0)</f>
        <v/>
      </c>
    </row>
    <row r="35">
      <c r="A35" s="29" t="n"/>
      <c r="B35" s="31" t="n"/>
      <c r="C35" s="39" t="n"/>
      <c r="D35" s="39" t="n"/>
      <c r="E35" s="42" t="n"/>
      <c r="F35" s="29" t="n"/>
      <c r="G35" s="29" t="n"/>
      <c r="H35" s="29" t="n"/>
      <c r="I35" s="39" t="n"/>
      <c r="J35" s="29" t="n"/>
      <c r="K35" s="29" t="n"/>
      <c r="L35" s="29" t="n"/>
      <c r="M35" s="29" t="n"/>
      <c r="N35" s="29" t="n"/>
      <c r="O35" s="29" t="n"/>
      <c r="P35" s="32">
        <f>IF($S35=1,IFERROR(INDEX(Treasuries!$E:$E,MATCH($D35,Treasuries!$A:$A,0)),"؟"),"")</f>
        <v/>
      </c>
      <c r="Q35" s="32">
        <f>IF($S35=1,IFERROR(INDEX(Treasuries!$D:$D,MATCH($D35,Treasuries!$A:$A,0)),"؟"),"")</f>
        <v/>
      </c>
      <c r="R35" s="32">
        <f>IF($S35=1,IFERROR(INDEX(Supplier_Invoices!$AB:$AB,MATCH($G35,Supplier_Invoices!$A:$A,0)),"OPERATING"),"")</f>
        <v/>
      </c>
      <c r="S35" s="32">
        <f>IF(COUNTA($A35:$O35)&gt;0,1,0)</f>
        <v/>
      </c>
      <c r="T35" s="32">
        <f>IF($S35=0,"",IF($A35="","رقم المستند ناقص",IF(COUNTIF(Doc_Register!$A:$A,$A35)&gt;1,"رقم مستند مكرر في السجل المركزي",IF(LEFT($A35,LEN("SPAY")+1)&lt;&gt;"SPAY"&amp;"-","بادئة الرقم لا تطابق نوع المستند",IF(NOT(ISNUMBER($B35)),"التاريخ ناقص أو غير صحيح",IF($I35="","حالة المستند ناقصة",IF($J35="","اسم المُعِد ناقص",IF(AND(OR($I35=ST_APPR,$I35=ST_POST),$K35=""),"لا يوجد معتمد",IF(AND($K35&lt;&gt;"",$K35=$J35),"المُعِد والمعتمد نفس الشخص (فصل المهام)",IF(AND($I35=ST_POST,$L35=""),"اسم المحاسب المرحِّل ناقص",IF(AND($I35=ST_POST,$L35&lt;&gt;"",OR($L35=$J35,$L35=$K35)),"المرحِّل يجب أن يختلف عن المُعِد والمعتمد",IF(AND($I35=ST_REV,$N35=""),"مرجع التصحيح/الإلغاء ناقص",IF(AND(ISNUMBER($B35),OR($I35=ST_DRAFT,$I35=ST_APPR),COUNTIFS(Period_Close!$A:$A,YEAR($B35)*100+MONTH($B35),Period_Close!$B:$B,"مقفلة")&gt;0),"الفترة مقفلة: لا يسمح بمستند جديد",IF(COUNTIF(Suppliers!$A:$A,$C35)=0,"المورد غير معرف",IF(COUNTIFS(COA!$A:$A,$P35,COA!$R:$R,1)&lt;&gt;1,"الخزينة/البنك غير صالح",IF(NOT(N($E35)&gt;0),"المبلغ يجب أن يكون أكبر من صفر",IF($F35="","طريقة الدفع ناقصة",IF(AND($G35&lt;&gt;"",COUNTIF(Supplier_Invoices!$A:$A,$G35)=0),"الفاتورة المسددة غير موجودة",IF(AND($G35&lt;&gt;"",COUNTIF(Supplier_Invoices!$A:$A,$G35)&gt;0,IFERROR(INDEX(Supplier_Invoices!$C:$C,MATCH($G35,Supplier_Invoices!$A:$A,0)),"")&lt;&gt;$C35),"الفاتورة تخص موردًا آخر","")))))))))))))))))))</f>
        <v/>
      </c>
      <c r="U35" s="32">
        <f>IF($S35=1,IF($T35&lt;&gt;"",1,0),0)</f>
        <v/>
      </c>
      <c r="V35" s="32">
        <f>IF(AND($S35=1,$U35=0,$I35=ST_POST),1,0)</f>
        <v/>
      </c>
    </row>
    <row r="36">
      <c r="A36" s="29" t="n"/>
      <c r="B36" s="31" t="n"/>
      <c r="C36" s="39" t="n"/>
      <c r="D36" s="39" t="n"/>
      <c r="E36" s="42" t="n"/>
      <c r="F36" s="29" t="n"/>
      <c r="G36" s="29" t="n"/>
      <c r="H36" s="29" t="n"/>
      <c r="I36" s="39" t="n"/>
      <c r="J36" s="29" t="n"/>
      <c r="K36" s="29" t="n"/>
      <c r="L36" s="29" t="n"/>
      <c r="M36" s="29" t="n"/>
      <c r="N36" s="29" t="n"/>
      <c r="O36" s="29" t="n"/>
      <c r="P36" s="32">
        <f>IF($S36=1,IFERROR(INDEX(Treasuries!$E:$E,MATCH($D36,Treasuries!$A:$A,0)),"؟"),"")</f>
        <v/>
      </c>
      <c r="Q36" s="32">
        <f>IF($S36=1,IFERROR(INDEX(Treasuries!$D:$D,MATCH($D36,Treasuries!$A:$A,0)),"؟"),"")</f>
        <v/>
      </c>
      <c r="R36" s="32">
        <f>IF($S36=1,IFERROR(INDEX(Supplier_Invoices!$AB:$AB,MATCH($G36,Supplier_Invoices!$A:$A,0)),"OPERATING"),"")</f>
        <v/>
      </c>
      <c r="S36" s="32">
        <f>IF(COUNTA($A36:$O36)&gt;0,1,0)</f>
        <v/>
      </c>
      <c r="T36" s="32">
        <f>IF($S36=0,"",IF($A36="","رقم المستند ناقص",IF(COUNTIF(Doc_Register!$A:$A,$A36)&gt;1,"رقم مستند مكرر في السجل المركزي",IF(LEFT($A36,LEN("SPAY")+1)&lt;&gt;"SPAY"&amp;"-","بادئة الرقم لا تطابق نوع المستند",IF(NOT(ISNUMBER($B36)),"التاريخ ناقص أو غير صحيح",IF($I36="","حالة المستند ناقصة",IF($J36="","اسم المُعِد ناقص",IF(AND(OR($I36=ST_APPR,$I36=ST_POST),$K36=""),"لا يوجد معتمد",IF(AND($K36&lt;&gt;"",$K36=$J36),"المُعِد والمعتمد نفس الشخص (فصل المهام)",IF(AND($I36=ST_POST,$L36=""),"اسم المحاسب المرحِّل ناقص",IF(AND($I36=ST_POST,$L36&lt;&gt;"",OR($L36=$J36,$L36=$K36)),"المرحِّل يجب أن يختلف عن المُعِد والمعتمد",IF(AND($I36=ST_REV,$N36=""),"مرجع التصحيح/الإلغاء ناقص",IF(AND(ISNUMBER($B36),OR($I36=ST_DRAFT,$I36=ST_APPR),COUNTIFS(Period_Close!$A:$A,YEAR($B36)*100+MONTH($B36),Period_Close!$B:$B,"مقفلة")&gt;0),"الفترة مقفلة: لا يسمح بمستند جديد",IF(COUNTIF(Suppliers!$A:$A,$C36)=0,"المورد غير معرف",IF(COUNTIFS(COA!$A:$A,$P36,COA!$R:$R,1)&lt;&gt;1,"الخزينة/البنك غير صالح",IF(NOT(N($E36)&gt;0),"المبلغ يجب أن يكون أكبر من صفر",IF($F36="","طريقة الدفع ناقصة",IF(AND($G36&lt;&gt;"",COUNTIF(Supplier_Invoices!$A:$A,$G36)=0),"الفاتورة المسددة غير موجودة",IF(AND($G36&lt;&gt;"",COUNTIF(Supplier_Invoices!$A:$A,$G36)&gt;0,IFERROR(INDEX(Supplier_Invoices!$C:$C,MATCH($G36,Supplier_Invoices!$A:$A,0)),"")&lt;&gt;$C36),"الفاتورة تخص موردًا آخر","")))))))))))))))))))</f>
        <v/>
      </c>
      <c r="U36" s="32">
        <f>IF($S36=1,IF($T36&lt;&gt;"",1,0),0)</f>
        <v/>
      </c>
      <c r="V36" s="32">
        <f>IF(AND($S36=1,$U36=0,$I36=ST_POST),1,0)</f>
        <v/>
      </c>
    </row>
    <row r="37">
      <c r="A37" s="29" t="n"/>
      <c r="B37" s="31" t="n"/>
      <c r="C37" s="39" t="n"/>
      <c r="D37" s="39" t="n"/>
      <c r="E37" s="42" t="n"/>
      <c r="F37" s="29" t="n"/>
      <c r="G37" s="29" t="n"/>
      <c r="H37" s="29" t="n"/>
      <c r="I37" s="39" t="n"/>
      <c r="J37" s="29" t="n"/>
      <c r="K37" s="29" t="n"/>
      <c r="L37" s="29" t="n"/>
      <c r="M37" s="29" t="n"/>
      <c r="N37" s="29" t="n"/>
      <c r="O37" s="29" t="n"/>
      <c r="P37" s="32">
        <f>IF($S37=1,IFERROR(INDEX(Treasuries!$E:$E,MATCH($D37,Treasuries!$A:$A,0)),"؟"),"")</f>
        <v/>
      </c>
      <c r="Q37" s="32">
        <f>IF($S37=1,IFERROR(INDEX(Treasuries!$D:$D,MATCH($D37,Treasuries!$A:$A,0)),"؟"),"")</f>
        <v/>
      </c>
      <c r="R37" s="32">
        <f>IF($S37=1,IFERROR(INDEX(Supplier_Invoices!$AB:$AB,MATCH($G37,Supplier_Invoices!$A:$A,0)),"OPERATING"),"")</f>
        <v/>
      </c>
      <c r="S37" s="32">
        <f>IF(COUNTA($A37:$O37)&gt;0,1,0)</f>
        <v/>
      </c>
      <c r="T37" s="32">
        <f>IF($S37=0,"",IF($A37="","رقم المستند ناقص",IF(COUNTIF(Doc_Register!$A:$A,$A37)&gt;1,"رقم مستند مكرر في السجل المركزي",IF(LEFT($A37,LEN("SPAY")+1)&lt;&gt;"SPAY"&amp;"-","بادئة الرقم لا تطابق نوع المستند",IF(NOT(ISNUMBER($B37)),"التاريخ ناقص أو غير صحيح",IF($I37="","حالة المستند ناقصة",IF($J37="","اسم المُعِد ناقص",IF(AND(OR($I37=ST_APPR,$I37=ST_POST),$K37=""),"لا يوجد معتمد",IF(AND($K37&lt;&gt;"",$K37=$J37),"المُعِد والمعتمد نفس الشخص (فصل المهام)",IF(AND($I37=ST_POST,$L37=""),"اسم المحاسب المرحِّل ناقص",IF(AND($I37=ST_POST,$L37&lt;&gt;"",OR($L37=$J37,$L37=$K37)),"المرحِّل يجب أن يختلف عن المُعِد والمعتمد",IF(AND($I37=ST_REV,$N37=""),"مرجع التصحيح/الإلغاء ناقص",IF(AND(ISNUMBER($B37),OR($I37=ST_DRAFT,$I37=ST_APPR),COUNTIFS(Period_Close!$A:$A,YEAR($B37)*100+MONTH($B37),Period_Close!$B:$B,"مقفلة")&gt;0),"الفترة مقفلة: لا يسمح بمستند جديد",IF(COUNTIF(Suppliers!$A:$A,$C37)=0,"المورد غير معرف",IF(COUNTIFS(COA!$A:$A,$P37,COA!$R:$R,1)&lt;&gt;1,"الخزينة/البنك غير صالح",IF(NOT(N($E37)&gt;0),"المبلغ يجب أن يكون أكبر من صفر",IF($F37="","طريقة الدفع ناقصة",IF(AND($G37&lt;&gt;"",COUNTIF(Supplier_Invoices!$A:$A,$G37)=0),"الفاتورة المسددة غير موجودة",IF(AND($G37&lt;&gt;"",COUNTIF(Supplier_Invoices!$A:$A,$G37)&gt;0,IFERROR(INDEX(Supplier_Invoices!$C:$C,MATCH($G37,Supplier_Invoices!$A:$A,0)),"")&lt;&gt;$C37),"الفاتورة تخص موردًا آخر","")))))))))))))))))))</f>
        <v/>
      </c>
      <c r="U37" s="32">
        <f>IF($S37=1,IF($T37&lt;&gt;"",1,0),0)</f>
        <v/>
      </c>
      <c r="V37" s="32">
        <f>IF(AND($S37=1,$U37=0,$I37=ST_POST),1,0)</f>
        <v/>
      </c>
    </row>
    <row r="38">
      <c r="A38" s="29" t="n"/>
      <c r="B38" s="31" t="n"/>
      <c r="C38" s="39" t="n"/>
      <c r="D38" s="39" t="n"/>
      <c r="E38" s="42" t="n"/>
      <c r="F38" s="29" t="n"/>
      <c r="G38" s="29" t="n"/>
      <c r="H38" s="29" t="n"/>
      <c r="I38" s="39" t="n"/>
      <c r="J38" s="29" t="n"/>
      <c r="K38" s="29" t="n"/>
      <c r="L38" s="29" t="n"/>
      <c r="M38" s="29" t="n"/>
      <c r="N38" s="29" t="n"/>
      <c r="O38" s="29" t="n"/>
      <c r="P38" s="32">
        <f>IF($S38=1,IFERROR(INDEX(Treasuries!$E:$E,MATCH($D38,Treasuries!$A:$A,0)),"؟"),"")</f>
        <v/>
      </c>
      <c r="Q38" s="32">
        <f>IF($S38=1,IFERROR(INDEX(Treasuries!$D:$D,MATCH($D38,Treasuries!$A:$A,0)),"؟"),"")</f>
        <v/>
      </c>
      <c r="R38" s="32">
        <f>IF($S38=1,IFERROR(INDEX(Supplier_Invoices!$AB:$AB,MATCH($G38,Supplier_Invoices!$A:$A,0)),"OPERATING"),"")</f>
        <v/>
      </c>
      <c r="S38" s="32">
        <f>IF(COUNTA($A38:$O38)&gt;0,1,0)</f>
        <v/>
      </c>
      <c r="T38" s="32">
        <f>IF($S38=0,"",IF($A38="","رقم المستند ناقص",IF(COUNTIF(Doc_Register!$A:$A,$A38)&gt;1,"رقم مستند مكرر في السجل المركزي",IF(LEFT($A38,LEN("SPAY")+1)&lt;&gt;"SPAY"&amp;"-","بادئة الرقم لا تطابق نوع المستند",IF(NOT(ISNUMBER($B38)),"التاريخ ناقص أو غير صحيح",IF($I38="","حالة المستند ناقصة",IF($J38="","اسم المُعِد ناقص",IF(AND(OR($I38=ST_APPR,$I38=ST_POST),$K38=""),"لا يوجد معتمد",IF(AND($K38&lt;&gt;"",$K38=$J38),"المُعِد والمعتمد نفس الشخص (فصل المهام)",IF(AND($I38=ST_POST,$L38=""),"اسم المحاسب المرحِّل ناقص",IF(AND($I38=ST_POST,$L38&lt;&gt;"",OR($L38=$J38,$L38=$K38)),"المرحِّل يجب أن يختلف عن المُعِد والمعتمد",IF(AND($I38=ST_REV,$N38=""),"مرجع التصحيح/الإلغاء ناقص",IF(AND(ISNUMBER($B38),OR($I38=ST_DRAFT,$I38=ST_APPR),COUNTIFS(Period_Close!$A:$A,YEAR($B38)*100+MONTH($B38),Period_Close!$B:$B,"مقفلة")&gt;0),"الفترة مقفلة: لا يسمح بمستند جديد",IF(COUNTIF(Suppliers!$A:$A,$C38)=0,"المورد غير معرف",IF(COUNTIFS(COA!$A:$A,$P38,COA!$R:$R,1)&lt;&gt;1,"الخزينة/البنك غير صالح",IF(NOT(N($E38)&gt;0),"المبلغ يجب أن يكون أكبر من صفر",IF($F38="","طريقة الدفع ناقصة",IF(AND($G38&lt;&gt;"",COUNTIF(Supplier_Invoices!$A:$A,$G38)=0),"الفاتورة المسددة غير موجودة",IF(AND($G38&lt;&gt;"",COUNTIF(Supplier_Invoices!$A:$A,$G38)&gt;0,IFERROR(INDEX(Supplier_Invoices!$C:$C,MATCH($G38,Supplier_Invoices!$A:$A,0)),"")&lt;&gt;$C38),"الفاتورة تخص موردًا آخر","")))))))))))))))))))</f>
        <v/>
      </c>
      <c r="U38" s="32">
        <f>IF($S38=1,IF($T38&lt;&gt;"",1,0),0)</f>
        <v/>
      </c>
      <c r="V38" s="32">
        <f>IF(AND($S38=1,$U38=0,$I38=ST_POST),1,0)</f>
        <v/>
      </c>
    </row>
    <row r="39">
      <c r="A39" s="29" t="n"/>
      <c r="B39" s="31" t="n"/>
      <c r="C39" s="39" t="n"/>
      <c r="D39" s="39" t="n"/>
      <c r="E39" s="42" t="n"/>
      <c r="F39" s="29" t="n"/>
      <c r="G39" s="29" t="n"/>
      <c r="H39" s="29" t="n"/>
      <c r="I39" s="39" t="n"/>
      <c r="J39" s="29" t="n"/>
      <c r="K39" s="29" t="n"/>
      <c r="L39" s="29" t="n"/>
      <c r="M39" s="29" t="n"/>
      <c r="N39" s="29" t="n"/>
      <c r="O39" s="29" t="n"/>
      <c r="P39" s="32">
        <f>IF($S39=1,IFERROR(INDEX(Treasuries!$E:$E,MATCH($D39,Treasuries!$A:$A,0)),"؟"),"")</f>
        <v/>
      </c>
      <c r="Q39" s="32">
        <f>IF($S39=1,IFERROR(INDEX(Treasuries!$D:$D,MATCH($D39,Treasuries!$A:$A,0)),"؟"),"")</f>
        <v/>
      </c>
      <c r="R39" s="32">
        <f>IF($S39=1,IFERROR(INDEX(Supplier_Invoices!$AB:$AB,MATCH($G39,Supplier_Invoices!$A:$A,0)),"OPERATING"),"")</f>
        <v/>
      </c>
      <c r="S39" s="32">
        <f>IF(COUNTA($A39:$O39)&gt;0,1,0)</f>
        <v/>
      </c>
      <c r="T39" s="32">
        <f>IF($S39=0,"",IF($A39="","رقم المستند ناقص",IF(COUNTIF(Doc_Register!$A:$A,$A39)&gt;1,"رقم مستند مكرر في السجل المركزي",IF(LEFT($A39,LEN("SPAY")+1)&lt;&gt;"SPAY"&amp;"-","بادئة الرقم لا تطابق نوع المستند",IF(NOT(ISNUMBER($B39)),"التاريخ ناقص أو غير صحيح",IF($I39="","حالة المستند ناقصة",IF($J39="","اسم المُعِد ناقص",IF(AND(OR($I39=ST_APPR,$I39=ST_POST),$K39=""),"لا يوجد معتمد",IF(AND($K39&lt;&gt;"",$K39=$J39),"المُعِد والمعتمد نفس الشخص (فصل المهام)",IF(AND($I39=ST_POST,$L39=""),"اسم المحاسب المرحِّل ناقص",IF(AND($I39=ST_POST,$L39&lt;&gt;"",OR($L39=$J39,$L39=$K39)),"المرحِّل يجب أن يختلف عن المُعِد والمعتمد",IF(AND($I39=ST_REV,$N39=""),"مرجع التصحيح/الإلغاء ناقص",IF(AND(ISNUMBER($B39),OR($I39=ST_DRAFT,$I39=ST_APPR),COUNTIFS(Period_Close!$A:$A,YEAR($B39)*100+MONTH($B39),Period_Close!$B:$B,"مقفلة")&gt;0),"الفترة مقفلة: لا يسمح بمستند جديد",IF(COUNTIF(Suppliers!$A:$A,$C39)=0,"المورد غير معرف",IF(COUNTIFS(COA!$A:$A,$P39,COA!$R:$R,1)&lt;&gt;1,"الخزينة/البنك غير صالح",IF(NOT(N($E39)&gt;0),"المبلغ يجب أن يكون أكبر من صفر",IF($F39="","طريقة الدفع ناقصة",IF(AND($G39&lt;&gt;"",COUNTIF(Supplier_Invoices!$A:$A,$G39)=0),"الفاتورة المسددة غير موجودة",IF(AND($G39&lt;&gt;"",COUNTIF(Supplier_Invoices!$A:$A,$G39)&gt;0,IFERROR(INDEX(Supplier_Invoices!$C:$C,MATCH($G39,Supplier_Invoices!$A:$A,0)),"")&lt;&gt;$C39),"الفاتورة تخص موردًا آخر","")))))))))))))))))))</f>
        <v/>
      </c>
      <c r="U39" s="32">
        <f>IF($S39=1,IF($T39&lt;&gt;"",1,0),0)</f>
        <v/>
      </c>
      <c r="V39" s="32">
        <f>IF(AND($S39=1,$U39=0,$I39=ST_POST),1,0)</f>
        <v/>
      </c>
    </row>
    <row r="40">
      <c r="A40" s="29" t="n"/>
      <c r="B40" s="31" t="n"/>
      <c r="C40" s="39" t="n"/>
      <c r="D40" s="39" t="n"/>
      <c r="E40" s="42" t="n"/>
      <c r="F40" s="29" t="n"/>
      <c r="G40" s="29" t="n"/>
      <c r="H40" s="29" t="n"/>
      <c r="I40" s="39" t="n"/>
      <c r="J40" s="29" t="n"/>
      <c r="K40" s="29" t="n"/>
      <c r="L40" s="29" t="n"/>
      <c r="M40" s="29" t="n"/>
      <c r="N40" s="29" t="n"/>
      <c r="O40" s="29" t="n"/>
      <c r="P40" s="32">
        <f>IF($S40=1,IFERROR(INDEX(Treasuries!$E:$E,MATCH($D40,Treasuries!$A:$A,0)),"؟"),"")</f>
        <v/>
      </c>
      <c r="Q40" s="32">
        <f>IF($S40=1,IFERROR(INDEX(Treasuries!$D:$D,MATCH($D40,Treasuries!$A:$A,0)),"؟"),"")</f>
        <v/>
      </c>
      <c r="R40" s="32">
        <f>IF($S40=1,IFERROR(INDEX(Supplier_Invoices!$AB:$AB,MATCH($G40,Supplier_Invoices!$A:$A,0)),"OPERATING"),"")</f>
        <v/>
      </c>
      <c r="S40" s="32">
        <f>IF(COUNTA($A40:$O40)&gt;0,1,0)</f>
        <v/>
      </c>
      <c r="T40" s="32">
        <f>IF($S40=0,"",IF($A40="","رقم المستند ناقص",IF(COUNTIF(Doc_Register!$A:$A,$A40)&gt;1,"رقم مستند مكرر في السجل المركزي",IF(LEFT($A40,LEN("SPAY")+1)&lt;&gt;"SPAY"&amp;"-","بادئة الرقم لا تطابق نوع المستند",IF(NOT(ISNUMBER($B40)),"التاريخ ناقص أو غير صحيح",IF($I40="","حالة المستند ناقصة",IF($J40="","اسم المُعِد ناقص",IF(AND(OR($I40=ST_APPR,$I40=ST_POST),$K40=""),"لا يوجد معتمد",IF(AND($K40&lt;&gt;"",$K40=$J40),"المُعِد والمعتمد نفس الشخص (فصل المهام)",IF(AND($I40=ST_POST,$L40=""),"اسم المحاسب المرحِّل ناقص",IF(AND($I40=ST_POST,$L40&lt;&gt;"",OR($L40=$J40,$L40=$K40)),"المرحِّل يجب أن يختلف عن المُعِد والمعتمد",IF(AND($I40=ST_REV,$N40=""),"مرجع التصحيح/الإلغاء ناقص",IF(AND(ISNUMBER($B40),OR($I40=ST_DRAFT,$I40=ST_APPR),COUNTIFS(Period_Close!$A:$A,YEAR($B40)*100+MONTH($B40),Period_Close!$B:$B,"مقفلة")&gt;0),"الفترة مقفلة: لا يسمح بمستند جديد",IF(COUNTIF(Suppliers!$A:$A,$C40)=0,"المورد غير معرف",IF(COUNTIFS(COA!$A:$A,$P40,COA!$R:$R,1)&lt;&gt;1,"الخزينة/البنك غير صالح",IF(NOT(N($E40)&gt;0),"المبلغ يجب أن يكون أكبر من صفر",IF($F40="","طريقة الدفع ناقصة",IF(AND($G40&lt;&gt;"",COUNTIF(Supplier_Invoices!$A:$A,$G40)=0),"الفاتورة المسددة غير موجودة",IF(AND($G40&lt;&gt;"",COUNTIF(Supplier_Invoices!$A:$A,$G40)&gt;0,IFERROR(INDEX(Supplier_Invoices!$C:$C,MATCH($G40,Supplier_Invoices!$A:$A,0)),"")&lt;&gt;$C40),"الفاتورة تخص موردًا آخر","")))))))))))))))))))</f>
        <v/>
      </c>
      <c r="U40" s="32">
        <f>IF($S40=1,IF($T40&lt;&gt;"",1,0),0)</f>
        <v/>
      </c>
      <c r="V40" s="32">
        <f>IF(AND($S40=1,$U40=0,$I40=ST_POST),1,0)</f>
        <v/>
      </c>
    </row>
    <row r="41">
      <c r="A41" s="29" t="n"/>
      <c r="B41" s="31" t="n"/>
      <c r="C41" s="39" t="n"/>
      <c r="D41" s="39" t="n"/>
      <c r="E41" s="42" t="n"/>
      <c r="F41" s="29" t="n"/>
      <c r="G41" s="29" t="n"/>
      <c r="H41" s="29" t="n"/>
      <c r="I41" s="39" t="n"/>
      <c r="J41" s="29" t="n"/>
      <c r="K41" s="29" t="n"/>
      <c r="L41" s="29" t="n"/>
      <c r="M41" s="29" t="n"/>
      <c r="N41" s="29" t="n"/>
      <c r="O41" s="29" t="n"/>
      <c r="P41" s="32">
        <f>IF($S41=1,IFERROR(INDEX(Treasuries!$E:$E,MATCH($D41,Treasuries!$A:$A,0)),"؟"),"")</f>
        <v/>
      </c>
      <c r="Q41" s="32">
        <f>IF($S41=1,IFERROR(INDEX(Treasuries!$D:$D,MATCH($D41,Treasuries!$A:$A,0)),"؟"),"")</f>
        <v/>
      </c>
      <c r="R41" s="32">
        <f>IF($S41=1,IFERROR(INDEX(Supplier_Invoices!$AB:$AB,MATCH($G41,Supplier_Invoices!$A:$A,0)),"OPERATING"),"")</f>
        <v/>
      </c>
      <c r="S41" s="32">
        <f>IF(COUNTA($A41:$O41)&gt;0,1,0)</f>
        <v/>
      </c>
      <c r="T41" s="32">
        <f>IF($S41=0,"",IF($A41="","رقم المستند ناقص",IF(COUNTIF(Doc_Register!$A:$A,$A41)&gt;1,"رقم مستند مكرر في السجل المركزي",IF(LEFT($A41,LEN("SPAY")+1)&lt;&gt;"SPAY"&amp;"-","بادئة الرقم لا تطابق نوع المستند",IF(NOT(ISNUMBER($B41)),"التاريخ ناقص أو غير صحيح",IF($I41="","حالة المستند ناقصة",IF($J41="","اسم المُعِد ناقص",IF(AND(OR($I41=ST_APPR,$I41=ST_POST),$K41=""),"لا يوجد معتمد",IF(AND($K41&lt;&gt;"",$K41=$J41),"المُعِد والمعتمد نفس الشخص (فصل المهام)",IF(AND($I41=ST_POST,$L41=""),"اسم المحاسب المرحِّل ناقص",IF(AND($I41=ST_POST,$L41&lt;&gt;"",OR($L41=$J41,$L41=$K41)),"المرحِّل يجب أن يختلف عن المُعِد والمعتمد",IF(AND($I41=ST_REV,$N41=""),"مرجع التصحيح/الإلغاء ناقص",IF(AND(ISNUMBER($B41),OR($I41=ST_DRAFT,$I41=ST_APPR),COUNTIFS(Period_Close!$A:$A,YEAR($B41)*100+MONTH($B41),Period_Close!$B:$B,"مقفلة")&gt;0),"الفترة مقفلة: لا يسمح بمستند جديد",IF(COUNTIF(Suppliers!$A:$A,$C41)=0,"المورد غير معرف",IF(COUNTIFS(COA!$A:$A,$P41,COA!$R:$R,1)&lt;&gt;1,"الخزينة/البنك غير صالح",IF(NOT(N($E41)&gt;0),"المبلغ يجب أن يكون أكبر من صفر",IF($F41="","طريقة الدفع ناقصة",IF(AND($G41&lt;&gt;"",COUNTIF(Supplier_Invoices!$A:$A,$G41)=0),"الفاتورة المسددة غير موجودة",IF(AND($G41&lt;&gt;"",COUNTIF(Supplier_Invoices!$A:$A,$G41)&gt;0,IFERROR(INDEX(Supplier_Invoices!$C:$C,MATCH($G41,Supplier_Invoices!$A:$A,0)),"")&lt;&gt;$C41),"الفاتورة تخص موردًا آخر","")))))))))))))))))))</f>
        <v/>
      </c>
      <c r="U41" s="32">
        <f>IF($S41=1,IF($T41&lt;&gt;"",1,0),0)</f>
        <v/>
      </c>
      <c r="V41" s="32">
        <f>IF(AND($S41=1,$U41=0,$I41=ST_POST),1,0)</f>
        <v/>
      </c>
    </row>
    <row r="42">
      <c r="A42" s="29" t="n"/>
      <c r="B42" s="31" t="n"/>
      <c r="C42" s="39" t="n"/>
      <c r="D42" s="39" t="n"/>
      <c r="E42" s="42" t="n"/>
      <c r="F42" s="29" t="n"/>
      <c r="G42" s="29" t="n"/>
      <c r="H42" s="29" t="n"/>
      <c r="I42" s="39" t="n"/>
      <c r="J42" s="29" t="n"/>
      <c r="K42" s="29" t="n"/>
      <c r="L42" s="29" t="n"/>
      <c r="M42" s="29" t="n"/>
      <c r="N42" s="29" t="n"/>
      <c r="O42" s="29" t="n"/>
      <c r="P42" s="32">
        <f>IF($S42=1,IFERROR(INDEX(Treasuries!$E:$E,MATCH($D42,Treasuries!$A:$A,0)),"؟"),"")</f>
        <v/>
      </c>
      <c r="Q42" s="32">
        <f>IF($S42=1,IFERROR(INDEX(Treasuries!$D:$D,MATCH($D42,Treasuries!$A:$A,0)),"؟"),"")</f>
        <v/>
      </c>
      <c r="R42" s="32">
        <f>IF($S42=1,IFERROR(INDEX(Supplier_Invoices!$AB:$AB,MATCH($G42,Supplier_Invoices!$A:$A,0)),"OPERATING"),"")</f>
        <v/>
      </c>
      <c r="S42" s="32">
        <f>IF(COUNTA($A42:$O42)&gt;0,1,0)</f>
        <v/>
      </c>
      <c r="T42" s="32">
        <f>IF($S42=0,"",IF($A42="","رقم المستند ناقص",IF(COUNTIF(Doc_Register!$A:$A,$A42)&gt;1,"رقم مستند مكرر في السجل المركزي",IF(LEFT($A42,LEN("SPAY")+1)&lt;&gt;"SPAY"&amp;"-","بادئة الرقم لا تطابق نوع المستند",IF(NOT(ISNUMBER($B42)),"التاريخ ناقص أو غير صحيح",IF($I42="","حالة المستند ناقصة",IF($J42="","اسم المُعِد ناقص",IF(AND(OR($I42=ST_APPR,$I42=ST_POST),$K42=""),"لا يوجد معتمد",IF(AND($K42&lt;&gt;"",$K42=$J42),"المُعِد والمعتمد نفس الشخص (فصل المهام)",IF(AND($I42=ST_POST,$L42=""),"اسم المحاسب المرحِّل ناقص",IF(AND($I42=ST_POST,$L42&lt;&gt;"",OR($L42=$J42,$L42=$K42)),"المرحِّل يجب أن يختلف عن المُعِد والمعتمد",IF(AND($I42=ST_REV,$N42=""),"مرجع التصحيح/الإلغاء ناقص",IF(AND(ISNUMBER($B42),OR($I42=ST_DRAFT,$I42=ST_APPR),COUNTIFS(Period_Close!$A:$A,YEAR($B42)*100+MONTH($B42),Period_Close!$B:$B,"مقفلة")&gt;0),"الفترة مقفلة: لا يسمح بمستند جديد",IF(COUNTIF(Suppliers!$A:$A,$C42)=0,"المورد غير معرف",IF(COUNTIFS(COA!$A:$A,$P42,COA!$R:$R,1)&lt;&gt;1,"الخزينة/البنك غير صالح",IF(NOT(N($E42)&gt;0),"المبلغ يجب أن يكون أكبر من صفر",IF($F42="","طريقة الدفع ناقصة",IF(AND($G42&lt;&gt;"",COUNTIF(Supplier_Invoices!$A:$A,$G42)=0),"الفاتورة المسددة غير موجودة",IF(AND($G42&lt;&gt;"",COUNTIF(Supplier_Invoices!$A:$A,$G42)&gt;0,IFERROR(INDEX(Supplier_Invoices!$C:$C,MATCH($G42,Supplier_Invoices!$A:$A,0)),"")&lt;&gt;$C42),"الفاتورة تخص موردًا آخر","")))))))))))))))))))</f>
        <v/>
      </c>
      <c r="U42" s="32">
        <f>IF($S42=1,IF($T42&lt;&gt;"",1,0),0)</f>
        <v/>
      </c>
      <c r="V42" s="32">
        <f>IF(AND($S42=1,$U42=0,$I42=ST_POST),1,0)</f>
        <v/>
      </c>
    </row>
    <row r="43">
      <c r="A43" s="29" t="n"/>
      <c r="B43" s="31" t="n"/>
      <c r="C43" s="39" t="n"/>
      <c r="D43" s="39" t="n"/>
      <c r="E43" s="42" t="n"/>
      <c r="F43" s="29" t="n"/>
      <c r="G43" s="29" t="n"/>
      <c r="H43" s="29" t="n"/>
      <c r="I43" s="39" t="n"/>
      <c r="J43" s="29" t="n"/>
      <c r="K43" s="29" t="n"/>
      <c r="L43" s="29" t="n"/>
      <c r="M43" s="29" t="n"/>
      <c r="N43" s="29" t="n"/>
      <c r="O43" s="29" t="n"/>
      <c r="P43" s="32">
        <f>IF($S43=1,IFERROR(INDEX(Treasuries!$E:$E,MATCH($D43,Treasuries!$A:$A,0)),"؟"),"")</f>
        <v/>
      </c>
      <c r="Q43" s="32">
        <f>IF($S43=1,IFERROR(INDEX(Treasuries!$D:$D,MATCH($D43,Treasuries!$A:$A,0)),"؟"),"")</f>
        <v/>
      </c>
      <c r="R43" s="32">
        <f>IF($S43=1,IFERROR(INDEX(Supplier_Invoices!$AB:$AB,MATCH($G43,Supplier_Invoices!$A:$A,0)),"OPERATING"),"")</f>
        <v/>
      </c>
      <c r="S43" s="32">
        <f>IF(COUNTA($A43:$O43)&gt;0,1,0)</f>
        <v/>
      </c>
      <c r="T43" s="32">
        <f>IF($S43=0,"",IF($A43="","رقم المستند ناقص",IF(COUNTIF(Doc_Register!$A:$A,$A43)&gt;1,"رقم مستند مكرر في السجل المركزي",IF(LEFT($A43,LEN("SPAY")+1)&lt;&gt;"SPAY"&amp;"-","بادئة الرقم لا تطابق نوع المستند",IF(NOT(ISNUMBER($B43)),"التاريخ ناقص أو غير صحيح",IF($I43="","حالة المستند ناقصة",IF($J43="","اسم المُعِد ناقص",IF(AND(OR($I43=ST_APPR,$I43=ST_POST),$K43=""),"لا يوجد معتمد",IF(AND($K43&lt;&gt;"",$K43=$J43),"المُعِد والمعتمد نفس الشخص (فصل المهام)",IF(AND($I43=ST_POST,$L43=""),"اسم المحاسب المرحِّل ناقص",IF(AND($I43=ST_POST,$L43&lt;&gt;"",OR($L43=$J43,$L43=$K43)),"المرحِّل يجب أن يختلف عن المُعِد والمعتمد",IF(AND($I43=ST_REV,$N43=""),"مرجع التصحيح/الإلغاء ناقص",IF(AND(ISNUMBER($B43),OR($I43=ST_DRAFT,$I43=ST_APPR),COUNTIFS(Period_Close!$A:$A,YEAR($B43)*100+MONTH($B43),Period_Close!$B:$B,"مقفلة")&gt;0),"الفترة مقفلة: لا يسمح بمستند جديد",IF(COUNTIF(Suppliers!$A:$A,$C43)=0,"المورد غير معرف",IF(COUNTIFS(COA!$A:$A,$P43,COA!$R:$R,1)&lt;&gt;1,"الخزينة/البنك غير صالح",IF(NOT(N($E43)&gt;0),"المبلغ يجب أن يكون أكبر من صفر",IF($F43="","طريقة الدفع ناقصة",IF(AND($G43&lt;&gt;"",COUNTIF(Supplier_Invoices!$A:$A,$G43)=0),"الفاتورة المسددة غير موجودة",IF(AND($G43&lt;&gt;"",COUNTIF(Supplier_Invoices!$A:$A,$G43)&gt;0,IFERROR(INDEX(Supplier_Invoices!$C:$C,MATCH($G43,Supplier_Invoices!$A:$A,0)),"")&lt;&gt;$C43),"الفاتورة تخص موردًا آخر","")))))))))))))))))))</f>
        <v/>
      </c>
      <c r="U43" s="32">
        <f>IF($S43=1,IF($T43&lt;&gt;"",1,0),0)</f>
        <v/>
      </c>
      <c r="V43" s="32">
        <f>IF(AND($S43=1,$U43=0,$I43=ST_POST),1,0)</f>
        <v/>
      </c>
    </row>
    <row r="44">
      <c r="A44" s="29" t="n"/>
      <c r="B44" s="31" t="n"/>
      <c r="C44" s="39" t="n"/>
      <c r="D44" s="39" t="n"/>
      <c r="E44" s="42" t="n"/>
      <c r="F44" s="29" t="n"/>
      <c r="G44" s="29" t="n"/>
      <c r="H44" s="29" t="n"/>
      <c r="I44" s="39" t="n"/>
      <c r="J44" s="29" t="n"/>
      <c r="K44" s="29" t="n"/>
      <c r="L44" s="29" t="n"/>
      <c r="M44" s="29" t="n"/>
      <c r="N44" s="29" t="n"/>
      <c r="O44" s="29" t="n"/>
      <c r="P44" s="32">
        <f>IF($S44=1,IFERROR(INDEX(Treasuries!$E:$E,MATCH($D44,Treasuries!$A:$A,0)),"؟"),"")</f>
        <v/>
      </c>
      <c r="Q44" s="32">
        <f>IF($S44=1,IFERROR(INDEX(Treasuries!$D:$D,MATCH($D44,Treasuries!$A:$A,0)),"؟"),"")</f>
        <v/>
      </c>
      <c r="R44" s="32">
        <f>IF($S44=1,IFERROR(INDEX(Supplier_Invoices!$AB:$AB,MATCH($G44,Supplier_Invoices!$A:$A,0)),"OPERATING"),"")</f>
        <v/>
      </c>
      <c r="S44" s="32">
        <f>IF(COUNTA($A44:$O44)&gt;0,1,0)</f>
        <v/>
      </c>
      <c r="T44" s="32">
        <f>IF($S44=0,"",IF($A44="","رقم المستند ناقص",IF(COUNTIF(Doc_Register!$A:$A,$A44)&gt;1,"رقم مستند مكرر في السجل المركزي",IF(LEFT($A44,LEN("SPAY")+1)&lt;&gt;"SPAY"&amp;"-","بادئة الرقم لا تطابق نوع المستند",IF(NOT(ISNUMBER($B44)),"التاريخ ناقص أو غير صحيح",IF($I44="","حالة المستند ناقصة",IF($J44="","اسم المُعِد ناقص",IF(AND(OR($I44=ST_APPR,$I44=ST_POST),$K44=""),"لا يوجد معتمد",IF(AND($K44&lt;&gt;"",$K44=$J44),"المُعِد والمعتمد نفس الشخص (فصل المهام)",IF(AND($I44=ST_POST,$L44=""),"اسم المحاسب المرحِّل ناقص",IF(AND($I44=ST_POST,$L44&lt;&gt;"",OR($L44=$J44,$L44=$K44)),"المرحِّل يجب أن يختلف عن المُعِد والمعتمد",IF(AND($I44=ST_REV,$N44=""),"مرجع التصحيح/الإلغاء ناقص",IF(AND(ISNUMBER($B44),OR($I44=ST_DRAFT,$I44=ST_APPR),COUNTIFS(Period_Close!$A:$A,YEAR($B44)*100+MONTH($B44),Period_Close!$B:$B,"مقفلة")&gt;0),"الفترة مقفلة: لا يسمح بمستند جديد",IF(COUNTIF(Suppliers!$A:$A,$C44)=0,"المورد غير معرف",IF(COUNTIFS(COA!$A:$A,$P44,COA!$R:$R,1)&lt;&gt;1,"الخزينة/البنك غير صالح",IF(NOT(N($E44)&gt;0),"المبلغ يجب أن يكون أكبر من صفر",IF($F44="","طريقة الدفع ناقصة",IF(AND($G44&lt;&gt;"",COUNTIF(Supplier_Invoices!$A:$A,$G44)=0),"الفاتورة المسددة غير موجودة",IF(AND($G44&lt;&gt;"",COUNTIF(Supplier_Invoices!$A:$A,$G44)&gt;0,IFERROR(INDEX(Supplier_Invoices!$C:$C,MATCH($G44,Supplier_Invoices!$A:$A,0)),"")&lt;&gt;$C44),"الفاتورة تخص موردًا آخر","")))))))))))))))))))</f>
        <v/>
      </c>
      <c r="U44" s="32">
        <f>IF($S44=1,IF($T44&lt;&gt;"",1,0),0)</f>
        <v/>
      </c>
      <c r="V44" s="32">
        <f>IF(AND($S44=1,$U44=0,$I44=ST_POST),1,0)</f>
        <v/>
      </c>
    </row>
    <row r="45">
      <c r="A45" s="29" t="n"/>
      <c r="B45" s="31" t="n"/>
      <c r="C45" s="39" t="n"/>
      <c r="D45" s="39" t="n"/>
      <c r="E45" s="42" t="n"/>
      <c r="F45" s="29" t="n"/>
      <c r="G45" s="29" t="n"/>
      <c r="H45" s="29" t="n"/>
      <c r="I45" s="39" t="n"/>
      <c r="J45" s="29" t="n"/>
      <c r="K45" s="29" t="n"/>
      <c r="L45" s="29" t="n"/>
      <c r="M45" s="29" t="n"/>
      <c r="N45" s="29" t="n"/>
      <c r="O45" s="29" t="n"/>
      <c r="P45" s="32">
        <f>IF($S45=1,IFERROR(INDEX(Treasuries!$E:$E,MATCH($D45,Treasuries!$A:$A,0)),"؟"),"")</f>
        <v/>
      </c>
      <c r="Q45" s="32">
        <f>IF($S45=1,IFERROR(INDEX(Treasuries!$D:$D,MATCH($D45,Treasuries!$A:$A,0)),"؟"),"")</f>
        <v/>
      </c>
      <c r="R45" s="32">
        <f>IF($S45=1,IFERROR(INDEX(Supplier_Invoices!$AB:$AB,MATCH($G45,Supplier_Invoices!$A:$A,0)),"OPERATING"),"")</f>
        <v/>
      </c>
      <c r="S45" s="32">
        <f>IF(COUNTA($A45:$O45)&gt;0,1,0)</f>
        <v/>
      </c>
      <c r="T45" s="32">
        <f>IF($S45=0,"",IF($A45="","رقم المستند ناقص",IF(COUNTIF(Doc_Register!$A:$A,$A45)&gt;1,"رقم مستند مكرر في السجل المركزي",IF(LEFT($A45,LEN("SPAY")+1)&lt;&gt;"SPAY"&amp;"-","بادئة الرقم لا تطابق نوع المستند",IF(NOT(ISNUMBER($B45)),"التاريخ ناقص أو غير صحيح",IF($I45="","حالة المستند ناقصة",IF($J45="","اسم المُعِد ناقص",IF(AND(OR($I45=ST_APPR,$I45=ST_POST),$K45=""),"لا يوجد معتمد",IF(AND($K45&lt;&gt;"",$K45=$J45),"المُعِد والمعتمد نفس الشخص (فصل المهام)",IF(AND($I45=ST_POST,$L45=""),"اسم المحاسب المرحِّل ناقص",IF(AND($I45=ST_POST,$L45&lt;&gt;"",OR($L45=$J45,$L45=$K45)),"المرحِّل يجب أن يختلف عن المُعِد والمعتمد",IF(AND($I45=ST_REV,$N45=""),"مرجع التصحيح/الإلغاء ناقص",IF(AND(ISNUMBER($B45),OR($I45=ST_DRAFT,$I45=ST_APPR),COUNTIFS(Period_Close!$A:$A,YEAR($B45)*100+MONTH($B45),Period_Close!$B:$B,"مقفلة")&gt;0),"الفترة مقفلة: لا يسمح بمستند جديد",IF(COUNTIF(Suppliers!$A:$A,$C45)=0,"المورد غير معرف",IF(COUNTIFS(COA!$A:$A,$P45,COA!$R:$R,1)&lt;&gt;1,"الخزينة/البنك غير صالح",IF(NOT(N($E45)&gt;0),"المبلغ يجب أن يكون أكبر من صفر",IF($F45="","طريقة الدفع ناقصة",IF(AND($G45&lt;&gt;"",COUNTIF(Supplier_Invoices!$A:$A,$G45)=0),"الفاتورة المسددة غير موجودة",IF(AND($G45&lt;&gt;"",COUNTIF(Supplier_Invoices!$A:$A,$G45)&gt;0,IFERROR(INDEX(Supplier_Invoices!$C:$C,MATCH($G45,Supplier_Invoices!$A:$A,0)),"")&lt;&gt;$C45),"الفاتورة تخص موردًا آخر","")))))))))))))))))))</f>
        <v/>
      </c>
      <c r="U45" s="32">
        <f>IF($S45=1,IF($T45&lt;&gt;"",1,0),0)</f>
        <v/>
      </c>
      <c r="V45" s="32">
        <f>IF(AND($S45=1,$U45=0,$I45=ST_POST),1,0)</f>
        <v/>
      </c>
    </row>
    <row r="46">
      <c r="A46" s="29" t="n"/>
      <c r="B46" s="31" t="n"/>
      <c r="C46" s="39" t="n"/>
      <c r="D46" s="39" t="n"/>
      <c r="E46" s="42" t="n"/>
      <c r="F46" s="29" t="n"/>
      <c r="G46" s="29" t="n"/>
      <c r="H46" s="29" t="n"/>
      <c r="I46" s="39" t="n"/>
      <c r="J46" s="29" t="n"/>
      <c r="K46" s="29" t="n"/>
      <c r="L46" s="29" t="n"/>
      <c r="M46" s="29" t="n"/>
      <c r="N46" s="29" t="n"/>
      <c r="O46" s="29" t="n"/>
      <c r="P46" s="32">
        <f>IF($S46=1,IFERROR(INDEX(Treasuries!$E:$E,MATCH($D46,Treasuries!$A:$A,0)),"؟"),"")</f>
        <v/>
      </c>
      <c r="Q46" s="32">
        <f>IF($S46=1,IFERROR(INDEX(Treasuries!$D:$D,MATCH($D46,Treasuries!$A:$A,0)),"؟"),"")</f>
        <v/>
      </c>
      <c r="R46" s="32">
        <f>IF($S46=1,IFERROR(INDEX(Supplier_Invoices!$AB:$AB,MATCH($G46,Supplier_Invoices!$A:$A,0)),"OPERATING"),"")</f>
        <v/>
      </c>
      <c r="S46" s="32">
        <f>IF(COUNTA($A46:$O46)&gt;0,1,0)</f>
        <v/>
      </c>
      <c r="T46" s="32">
        <f>IF($S46=0,"",IF($A46="","رقم المستند ناقص",IF(COUNTIF(Doc_Register!$A:$A,$A46)&gt;1,"رقم مستند مكرر في السجل المركزي",IF(LEFT($A46,LEN("SPAY")+1)&lt;&gt;"SPAY"&amp;"-","بادئة الرقم لا تطابق نوع المستند",IF(NOT(ISNUMBER($B46)),"التاريخ ناقص أو غير صحيح",IF($I46="","حالة المستند ناقصة",IF($J46="","اسم المُعِد ناقص",IF(AND(OR($I46=ST_APPR,$I46=ST_POST),$K46=""),"لا يوجد معتمد",IF(AND($K46&lt;&gt;"",$K46=$J46),"المُعِد والمعتمد نفس الشخص (فصل المهام)",IF(AND($I46=ST_POST,$L46=""),"اسم المحاسب المرحِّل ناقص",IF(AND($I46=ST_POST,$L46&lt;&gt;"",OR($L46=$J46,$L46=$K46)),"المرحِّل يجب أن يختلف عن المُعِد والمعتمد",IF(AND($I46=ST_REV,$N46=""),"مرجع التصحيح/الإلغاء ناقص",IF(AND(ISNUMBER($B46),OR($I46=ST_DRAFT,$I46=ST_APPR),COUNTIFS(Period_Close!$A:$A,YEAR($B46)*100+MONTH($B46),Period_Close!$B:$B,"مقفلة")&gt;0),"الفترة مقفلة: لا يسمح بمستند جديد",IF(COUNTIF(Suppliers!$A:$A,$C46)=0,"المورد غير معرف",IF(COUNTIFS(COA!$A:$A,$P46,COA!$R:$R,1)&lt;&gt;1,"الخزينة/البنك غير صالح",IF(NOT(N($E46)&gt;0),"المبلغ يجب أن يكون أكبر من صفر",IF($F46="","طريقة الدفع ناقصة",IF(AND($G46&lt;&gt;"",COUNTIF(Supplier_Invoices!$A:$A,$G46)=0),"الفاتورة المسددة غير موجودة",IF(AND($G46&lt;&gt;"",COUNTIF(Supplier_Invoices!$A:$A,$G46)&gt;0,IFERROR(INDEX(Supplier_Invoices!$C:$C,MATCH($G46,Supplier_Invoices!$A:$A,0)),"")&lt;&gt;$C46),"الفاتورة تخص موردًا آخر","")))))))))))))))))))</f>
        <v/>
      </c>
      <c r="U46" s="32">
        <f>IF($S46=1,IF($T46&lt;&gt;"",1,0),0)</f>
        <v/>
      </c>
      <c r="V46" s="32">
        <f>IF(AND($S46=1,$U46=0,$I46=ST_POST),1,0)</f>
        <v/>
      </c>
    </row>
    <row r="47">
      <c r="A47" s="29" t="n"/>
      <c r="B47" s="31" t="n"/>
      <c r="C47" s="39" t="n"/>
      <c r="D47" s="39" t="n"/>
      <c r="E47" s="42" t="n"/>
      <c r="F47" s="29" t="n"/>
      <c r="G47" s="29" t="n"/>
      <c r="H47" s="29" t="n"/>
      <c r="I47" s="39" t="n"/>
      <c r="J47" s="29" t="n"/>
      <c r="K47" s="29" t="n"/>
      <c r="L47" s="29" t="n"/>
      <c r="M47" s="29" t="n"/>
      <c r="N47" s="29" t="n"/>
      <c r="O47" s="29" t="n"/>
      <c r="P47" s="32">
        <f>IF($S47=1,IFERROR(INDEX(Treasuries!$E:$E,MATCH($D47,Treasuries!$A:$A,0)),"؟"),"")</f>
        <v/>
      </c>
      <c r="Q47" s="32">
        <f>IF($S47=1,IFERROR(INDEX(Treasuries!$D:$D,MATCH($D47,Treasuries!$A:$A,0)),"؟"),"")</f>
        <v/>
      </c>
      <c r="R47" s="32">
        <f>IF($S47=1,IFERROR(INDEX(Supplier_Invoices!$AB:$AB,MATCH($G47,Supplier_Invoices!$A:$A,0)),"OPERATING"),"")</f>
        <v/>
      </c>
      <c r="S47" s="32">
        <f>IF(COUNTA($A47:$O47)&gt;0,1,0)</f>
        <v/>
      </c>
      <c r="T47" s="32">
        <f>IF($S47=0,"",IF($A47="","رقم المستند ناقص",IF(COUNTIF(Doc_Register!$A:$A,$A47)&gt;1,"رقم مستند مكرر في السجل المركزي",IF(LEFT($A47,LEN("SPAY")+1)&lt;&gt;"SPAY"&amp;"-","بادئة الرقم لا تطابق نوع المستند",IF(NOT(ISNUMBER($B47)),"التاريخ ناقص أو غير صحيح",IF($I47="","حالة المستند ناقصة",IF($J47="","اسم المُعِد ناقص",IF(AND(OR($I47=ST_APPR,$I47=ST_POST),$K47=""),"لا يوجد معتمد",IF(AND($K47&lt;&gt;"",$K47=$J47),"المُعِد والمعتمد نفس الشخص (فصل المهام)",IF(AND($I47=ST_POST,$L47=""),"اسم المحاسب المرحِّل ناقص",IF(AND($I47=ST_POST,$L47&lt;&gt;"",OR($L47=$J47,$L47=$K47)),"المرحِّل يجب أن يختلف عن المُعِد والمعتمد",IF(AND($I47=ST_REV,$N47=""),"مرجع التصحيح/الإلغاء ناقص",IF(AND(ISNUMBER($B47),OR($I47=ST_DRAFT,$I47=ST_APPR),COUNTIFS(Period_Close!$A:$A,YEAR($B47)*100+MONTH($B47),Period_Close!$B:$B,"مقفلة")&gt;0),"الفترة مقفلة: لا يسمح بمستند جديد",IF(COUNTIF(Suppliers!$A:$A,$C47)=0,"المورد غير معرف",IF(COUNTIFS(COA!$A:$A,$P47,COA!$R:$R,1)&lt;&gt;1,"الخزينة/البنك غير صالح",IF(NOT(N($E47)&gt;0),"المبلغ يجب أن يكون أكبر من صفر",IF($F47="","طريقة الدفع ناقصة",IF(AND($G47&lt;&gt;"",COUNTIF(Supplier_Invoices!$A:$A,$G47)=0),"الفاتورة المسددة غير موجودة",IF(AND($G47&lt;&gt;"",COUNTIF(Supplier_Invoices!$A:$A,$G47)&gt;0,IFERROR(INDEX(Supplier_Invoices!$C:$C,MATCH($G47,Supplier_Invoices!$A:$A,0)),"")&lt;&gt;$C47),"الفاتورة تخص موردًا آخر","")))))))))))))))))))</f>
        <v/>
      </c>
      <c r="U47" s="32">
        <f>IF($S47=1,IF($T47&lt;&gt;"",1,0),0)</f>
        <v/>
      </c>
      <c r="V47" s="32">
        <f>IF(AND($S47=1,$U47=0,$I47=ST_POST),1,0)</f>
        <v/>
      </c>
    </row>
    <row r="48">
      <c r="A48" s="29" t="n"/>
      <c r="B48" s="31" t="n"/>
      <c r="C48" s="39" t="n"/>
      <c r="D48" s="39" t="n"/>
      <c r="E48" s="42" t="n"/>
      <c r="F48" s="29" t="n"/>
      <c r="G48" s="29" t="n"/>
      <c r="H48" s="29" t="n"/>
      <c r="I48" s="39" t="n"/>
      <c r="J48" s="29" t="n"/>
      <c r="K48" s="29" t="n"/>
      <c r="L48" s="29" t="n"/>
      <c r="M48" s="29" t="n"/>
      <c r="N48" s="29" t="n"/>
      <c r="O48" s="29" t="n"/>
      <c r="P48" s="32">
        <f>IF($S48=1,IFERROR(INDEX(Treasuries!$E:$E,MATCH($D48,Treasuries!$A:$A,0)),"؟"),"")</f>
        <v/>
      </c>
      <c r="Q48" s="32">
        <f>IF($S48=1,IFERROR(INDEX(Treasuries!$D:$D,MATCH($D48,Treasuries!$A:$A,0)),"؟"),"")</f>
        <v/>
      </c>
      <c r="R48" s="32">
        <f>IF($S48=1,IFERROR(INDEX(Supplier_Invoices!$AB:$AB,MATCH($G48,Supplier_Invoices!$A:$A,0)),"OPERATING"),"")</f>
        <v/>
      </c>
      <c r="S48" s="32">
        <f>IF(COUNTA($A48:$O48)&gt;0,1,0)</f>
        <v/>
      </c>
      <c r="T48" s="32">
        <f>IF($S48=0,"",IF($A48="","رقم المستند ناقص",IF(COUNTIF(Doc_Register!$A:$A,$A48)&gt;1,"رقم مستند مكرر في السجل المركزي",IF(LEFT($A48,LEN("SPAY")+1)&lt;&gt;"SPAY"&amp;"-","بادئة الرقم لا تطابق نوع المستند",IF(NOT(ISNUMBER($B48)),"التاريخ ناقص أو غير صحيح",IF($I48="","حالة المستند ناقصة",IF($J48="","اسم المُعِد ناقص",IF(AND(OR($I48=ST_APPR,$I48=ST_POST),$K48=""),"لا يوجد معتمد",IF(AND($K48&lt;&gt;"",$K48=$J48),"المُعِد والمعتمد نفس الشخص (فصل المهام)",IF(AND($I48=ST_POST,$L48=""),"اسم المحاسب المرحِّل ناقص",IF(AND($I48=ST_POST,$L48&lt;&gt;"",OR($L48=$J48,$L48=$K48)),"المرحِّل يجب أن يختلف عن المُعِد والمعتمد",IF(AND($I48=ST_REV,$N48=""),"مرجع التصحيح/الإلغاء ناقص",IF(AND(ISNUMBER($B48),OR($I48=ST_DRAFT,$I48=ST_APPR),COUNTIFS(Period_Close!$A:$A,YEAR($B48)*100+MONTH($B48),Period_Close!$B:$B,"مقفلة")&gt;0),"الفترة مقفلة: لا يسمح بمستند جديد",IF(COUNTIF(Suppliers!$A:$A,$C48)=0,"المورد غير معرف",IF(COUNTIFS(COA!$A:$A,$P48,COA!$R:$R,1)&lt;&gt;1,"الخزينة/البنك غير صالح",IF(NOT(N($E48)&gt;0),"المبلغ يجب أن يكون أكبر من صفر",IF($F48="","طريقة الدفع ناقصة",IF(AND($G48&lt;&gt;"",COUNTIF(Supplier_Invoices!$A:$A,$G48)=0),"الفاتورة المسددة غير موجودة",IF(AND($G48&lt;&gt;"",COUNTIF(Supplier_Invoices!$A:$A,$G48)&gt;0,IFERROR(INDEX(Supplier_Invoices!$C:$C,MATCH($G48,Supplier_Invoices!$A:$A,0)),"")&lt;&gt;$C48),"الفاتورة تخص موردًا آخر","")))))))))))))))))))</f>
        <v/>
      </c>
      <c r="U48" s="32">
        <f>IF($S48=1,IF($T48&lt;&gt;"",1,0),0)</f>
        <v/>
      </c>
      <c r="V48" s="32">
        <f>IF(AND($S48=1,$U48=0,$I48=ST_POST),1,0)</f>
        <v/>
      </c>
    </row>
    <row r="49">
      <c r="A49" s="29" t="n"/>
      <c r="B49" s="31" t="n"/>
      <c r="C49" s="39" t="n"/>
      <c r="D49" s="39" t="n"/>
      <c r="E49" s="42" t="n"/>
      <c r="F49" s="29" t="n"/>
      <c r="G49" s="29" t="n"/>
      <c r="H49" s="29" t="n"/>
      <c r="I49" s="39" t="n"/>
      <c r="J49" s="29" t="n"/>
      <c r="K49" s="29" t="n"/>
      <c r="L49" s="29" t="n"/>
      <c r="M49" s="29" t="n"/>
      <c r="N49" s="29" t="n"/>
      <c r="O49" s="29" t="n"/>
      <c r="P49" s="32">
        <f>IF($S49=1,IFERROR(INDEX(Treasuries!$E:$E,MATCH($D49,Treasuries!$A:$A,0)),"؟"),"")</f>
        <v/>
      </c>
      <c r="Q49" s="32">
        <f>IF($S49=1,IFERROR(INDEX(Treasuries!$D:$D,MATCH($D49,Treasuries!$A:$A,0)),"؟"),"")</f>
        <v/>
      </c>
      <c r="R49" s="32">
        <f>IF($S49=1,IFERROR(INDEX(Supplier_Invoices!$AB:$AB,MATCH($G49,Supplier_Invoices!$A:$A,0)),"OPERATING"),"")</f>
        <v/>
      </c>
      <c r="S49" s="32">
        <f>IF(COUNTA($A49:$O49)&gt;0,1,0)</f>
        <v/>
      </c>
      <c r="T49" s="32">
        <f>IF($S49=0,"",IF($A49="","رقم المستند ناقص",IF(COUNTIF(Doc_Register!$A:$A,$A49)&gt;1,"رقم مستند مكرر في السجل المركزي",IF(LEFT($A49,LEN("SPAY")+1)&lt;&gt;"SPAY"&amp;"-","بادئة الرقم لا تطابق نوع المستند",IF(NOT(ISNUMBER($B49)),"التاريخ ناقص أو غير صحيح",IF($I49="","حالة المستند ناقصة",IF($J49="","اسم المُعِد ناقص",IF(AND(OR($I49=ST_APPR,$I49=ST_POST),$K49=""),"لا يوجد معتمد",IF(AND($K49&lt;&gt;"",$K49=$J49),"المُعِد والمعتمد نفس الشخص (فصل المهام)",IF(AND($I49=ST_POST,$L49=""),"اسم المحاسب المرحِّل ناقص",IF(AND($I49=ST_POST,$L49&lt;&gt;"",OR($L49=$J49,$L49=$K49)),"المرحِّل يجب أن يختلف عن المُعِد والمعتمد",IF(AND($I49=ST_REV,$N49=""),"مرجع التصحيح/الإلغاء ناقص",IF(AND(ISNUMBER($B49),OR($I49=ST_DRAFT,$I49=ST_APPR),COUNTIFS(Period_Close!$A:$A,YEAR($B49)*100+MONTH($B49),Period_Close!$B:$B,"مقفلة")&gt;0),"الفترة مقفلة: لا يسمح بمستند جديد",IF(COUNTIF(Suppliers!$A:$A,$C49)=0,"المورد غير معرف",IF(COUNTIFS(COA!$A:$A,$P49,COA!$R:$R,1)&lt;&gt;1,"الخزينة/البنك غير صالح",IF(NOT(N($E49)&gt;0),"المبلغ يجب أن يكون أكبر من صفر",IF($F49="","طريقة الدفع ناقصة",IF(AND($G49&lt;&gt;"",COUNTIF(Supplier_Invoices!$A:$A,$G49)=0),"الفاتورة المسددة غير موجودة",IF(AND($G49&lt;&gt;"",COUNTIF(Supplier_Invoices!$A:$A,$G49)&gt;0,IFERROR(INDEX(Supplier_Invoices!$C:$C,MATCH($G49,Supplier_Invoices!$A:$A,0)),"")&lt;&gt;$C49),"الفاتورة تخص موردًا آخر","")))))))))))))))))))</f>
        <v/>
      </c>
      <c r="U49" s="32">
        <f>IF($S49=1,IF($T49&lt;&gt;"",1,0),0)</f>
        <v/>
      </c>
      <c r="V49" s="32">
        <f>IF(AND($S49=1,$U49=0,$I49=ST_POST),1,0)</f>
        <v/>
      </c>
    </row>
    <row r="50">
      <c r="A50" s="29" t="n"/>
      <c r="B50" s="31" t="n"/>
      <c r="C50" s="39" t="n"/>
      <c r="D50" s="39" t="n"/>
      <c r="E50" s="42" t="n"/>
      <c r="F50" s="29" t="n"/>
      <c r="G50" s="29" t="n"/>
      <c r="H50" s="29" t="n"/>
      <c r="I50" s="39" t="n"/>
      <c r="J50" s="29" t="n"/>
      <c r="K50" s="29" t="n"/>
      <c r="L50" s="29" t="n"/>
      <c r="M50" s="29" t="n"/>
      <c r="N50" s="29" t="n"/>
      <c r="O50" s="29" t="n"/>
      <c r="P50" s="32">
        <f>IF($S50=1,IFERROR(INDEX(Treasuries!$E:$E,MATCH($D50,Treasuries!$A:$A,0)),"؟"),"")</f>
        <v/>
      </c>
      <c r="Q50" s="32">
        <f>IF($S50=1,IFERROR(INDEX(Treasuries!$D:$D,MATCH($D50,Treasuries!$A:$A,0)),"؟"),"")</f>
        <v/>
      </c>
      <c r="R50" s="32">
        <f>IF($S50=1,IFERROR(INDEX(Supplier_Invoices!$AB:$AB,MATCH($G50,Supplier_Invoices!$A:$A,0)),"OPERATING"),"")</f>
        <v/>
      </c>
      <c r="S50" s="32">
        <f>IF(COUNTA($A50:$O50)&gt;0,1,0)</f>
        <v/>
      </c>
      <c r="T50" s="32">
        <f>IF($S50=0,"",IF($A50="","رقم المستند ناقص",IF(COUNTIF(Doc_Register!$A:$A,$A50)&gt;1,"رقم مستند مكرر في السجل المركزي",IF(LEFT($A50,LEN("SPAY")+1)&lt;&gt;"SPAY"&amp;"-","بادئة الرقم لا تطابق نوع المستند",IF(NOT(ISNUMBER($B50)),"التاريخ ناقص أو غير صحيح",IF($I50="","حالة المستند ناقصة",IF($J50="","اسم المُعِد ناقص",IF(AND(OR($I50=ST_APPR,$I50=ST_POST),$K50=""),"لا يوجد معتمد",IF(AND($K50&lt;&gt;"",$K50=$J50),"المُعِد والمعتمد نفس الشخص (فصل المهام)",IF(AND($I50=ST_POST,$L50=""),"اسم المحاسب المرحِّل ناقص",IF(AND($I50=ST_POST,$L50&lt;&gt;"",OR($L50=$J50,$L50=$K50)),"المرحِّل يجب أن يختلف عن المُعِد والمعتمد",IF(AND($I50=ST_REV,$N50=""),"مرجع التصحيح/الإلغاء ناقص",IF(AND(ISNUMBER($B50),OR($I50=ST_DRAFT,$I50=ST_APPR),COUNTIFS(Period_Close!$A:$A,YEAR($B50)*100+MONTH($B50),Period_Close!$B:$B,"مقفلة")&gt;0),"الفترة مقفلة: لا يسمح بمستند جديد",IF(COUNTIF(Suppliers!$A:$A,$C50)=0,"المورد غير معرف",IF(COUNTIFS(COA!$A:$A,$P50,COA!$R:$R,1)&lt;&gt;1,"الخزينة/البنك غير صالح",IF(NOT(N($E50)&gt;0),"المبلغ يجب أن يكون أكبر من صفر",IF($F50="","طريقة الدفع ناقصة",IF(AND($G50&lt;&gt;"",COUNTIF(Supplier_Invoices!$A:$A,$G50)=0),"الفاتورة المسددة غير موجودة",IF(AND($G50&lt;&gt;"",COUNTIF(Supplier_Invoices!$A:$A,$G50)&gt;0,IFERROR(INDEX(Supplier_Invoices!$C:$C,MATCH($G50,Supplier_Invoices!$A:$A,0)),"")&lt;&gt;$C50),"الفاتورة تخص موردًا آخر","")))))))))))))))))))</f>
        <v/>
      </c>
      <c r="U50" s="32">
        <f>IF($S50=1,IF($T50&lt;&gt;"",1,0),0)</f>
        <v/>
      </c>
      <c r="V50" s="32">
        <f>IF(AND($S50=1,$U50=0,$I50=ST_POST),1,0)</f>
        <v/>
      </c>
    </row>
    <row r="51">
      <c r="A51" s="29" t="n"/>
      <c r="B51" s="31" t="n"/>
      <c r="C51" s="39" t="n"/>
      <c r="D51" s="39" t="n"/>
      <c r="E51" s="42" t="n"/>
      <c r="F51" s="29" t="n"/>
      <c r="G51" s="29" t="n"/>
      <c r="H51" s="29" t="n"/>
      <c r="I51" s="39" t="n"/>
      <c r="J51" s="29" t="n"/>
      <c r="K51" s="29" t="n"/>
      <c r="L51" s="29" t="n"/>
      <c r="M51" s="29" t="n"/>
      <c r="N51" s="29" t="n"/>
      <c r="O51" s="29" t="n"/>
      <c r="P51" s="32">
        <f>IF($S51=1,IFERROR(INDEX(Treasuries!$E:$E,MATCH($D51,Treasuries!$A:$A,0)),"؟"),"")</f>
        <v/>
      </c>
      <c r="Q51" s="32">
        <f>IF($S51=1,IFERROR(INDEX(Treasuries!$D:$D,MATCH($D51,Treasuries!$A:$A,0)),"؟"),"")</f>
        <v/>
      </c>
      <c r="R51" s="32">
        <f>IF($S51=1,IFERROR(INDEX(Supplier_Invoices!$AB:$AB,MATCH($G51,Supplier_Invoices!$A:$A,0)),"OPERATING"),"")</f>
        <v/>
      </c>
      <c r="S51" s="32">
        <f>IF(COUNTA($A51:$O51)&gt;0,1,0)</f>
        <v/>
      </c>
      <c r="T51" s="32">
        <f>IF($S51=0,"",IF($A51="","رقم المستند ناقص",IF(COUNTIF(Doc_Register!$A:$A,$A51)&gt;1,"رقم مستند مكرر في السجل المركزي",IF(LEFT($A51,LEN("SPAY")+1)&lt;&gt;"SPAY"&amp;"-","بادئة الرقم لا تطابق نوع المستند",IF(NOT(ISNUMBER($B51)),"التاريخ ناقص أو غير صحيح",IF($I51="","حالة المستند ناقصة",IF($J51="","اسم المُعِد ناقص",IF(AND(OR($I51=ST_APPR,$I51=ST_POST),$K51=""),"لا يوجد معتمد",IF(AND($K51&lt;&gt;"",$K51=$J51),"المُعِد والمعتمد نفس الشخص (فصل المهام)",IF(AND($I51=ST_POST,$L51=""),"اسم المحاسب المرحِّل ناقص",IF(AND($I51=ST_POST,$L51&lt;&gt;"",OR($L51=$J51,$L51=$K51)),"المرحِّل يجب أن يختلف عن المُعِد والمعتمد",IF(AND($I51=ST_REV,$N51=""),"مرجع التصحيح/الإلغاء ناقص",IF(AND(ISNUMBER($B51),OR($I51=ST_DRAFT,$I51=ST_APPR),COUNTIFS(Period_Close!$A:$A,YEAR($B51)*100+MONTH($B51),Period_Close!$B:$B,"مقفلة")&gt;0),"الفترة مقفلة: لا يسمح بمستند جديد",IF(COUNTIF(Suppliers!$A:$A,$C51)=0,"المورد غير معرف",IF(COUNTIFS(COA!$A:$A,$P51,COA!$R:$R,1)&lt;&gt;1,"الخزينة/البنك غير صالح",IF(NOT(N($E51)&gt;0),"المبلغ يجب أن يكون أكبر من صفر",IF($F51="","طريقة الدفع ناقصة",IF(AND($G51&lt;&gt;"",COUNTIF(Supplier_Invoices!$A:$A,$G51)=0),"الفاتورة المسددة غير موجودة",IF(AND($G51&lt;&gt;"",COUNTIF(Supplier_Invoices!$A:$A,$G51)&gt;0,IFERROR(INDEX(Supplier_Invoices!$C:$C,MATCH($G51,Supplier_Invoices!$A:$A,0)),"")&lt;&gt;$C51),"الفاتورة تخص موردًا آخر","")))))))))))))))))))</f>
        <v/>
      </c>
      <c r="U51" s="32">
        <f>IF($S51=1,IF($T51&lt;&gt;"",1,0),0)</f>
        <v/>
      </c>
      <c r="V51" s="32">
        <f>IF(AND($S51=1,$U51=0,$I51=ST_POST),1,0)</f>
        <v/>
      </c>
    </row>
    <row r="52">
      <c r="A52" s="29" t="n"/>
      <c r="B52" s="31" t="n"/>
      <c r="C52" s="39" t="n"/>
      <c r="D52" s="39" t="n"/>
      <c r="E52" s="42" t="n"/>
      <c r="F52" s="29" t="n"/>
      <c r="G52" s="29" t="n"/>
      <c r="H52" s="29" t="n"/>
      <c r="I52" s="39" t="n"/>
      <c r="J52" s="29" t="n"/>
      <c r="K52" s="29" t="n"/>
      <c r="L52" s="29" t="n"/>
      <c r="M52" s="29" t="n"/>
      <c r="N52" s="29" t="n"/>
      <c r="O52" s="29" t="n"/>
      <c r="P52" s="32">
        <f>IF($S52=1,IFERROR(INDEX(Treasuries!$E:$E,MATCH($D52,Treasuries!$A:$A,0)),"؟"),"")</f>
        <v/>
      </c>
      <c r="Q52" s="32">
        <f>IF($S52=1,IFERROR(INDEX(Treasuries!$D:$D,MATCH($D52,Treasuries!$A:$A,0)),"؟"),"")</f>
        <v/>
      </c>
      <c r="R52" s="32">
        <f>IF($S52=1,IFERROR(INDEX(Supplier_Invoices!$AB:$AB,MATCH($G52,Supplier_Invoices!$A:$A,0)),"OPERATING"),"")</f>
        <v/>
      </c>
      <c r="S52" s="32">
        <f>IF(COUNTA($A52:$O52)&gt;0,1,0)</f>
        <v/>
      </c>
      <c r="T52" s="32">
        <f>IF($S52=0,"",IF($A52="","رقم المستند ناقص",IF(COUNTIF(Doc_Register!$A:$A,$A52)&gt;1,"رقم مستند مكرر في السجل المركزي",IF(LEFT($A52,LEN("SPAY")+1)&lt;&gt;"SPAY"&amp;"-","بادئة الرقم لا تطابق نوع المستند",IF(NOT(ISNUMBER($B52)),"التاريخ ناقص أو غير صحيح",IF($I52="","حالة المستند ناقصة",IF($J52="","اسم المُعِد ناقص",IF(AND(OR($I52=ST_APPR,$I52=ST_POST),$K52=""),"لا يوجد معتمد",IF(AND($K52&lt;&gt;"",$K52=$J52),"المُعِد والمعتمد نفس الشخص (فصل المهام)",IF(AND($I52=ST_POST,$L52=""),"اسم المحاسب المرحِّل ناقص",IF(AND($I52=ST_POST,$L52&lt;&gt;"",OR($L52=$J52,$L52=$K52)),"المرحِّل يجب أن يختلف عن المُعِد والمعتمد",IF(AND($I52=ST_REV,$N52=""),"مرجع التصحيح/الإلغاء ناقص",IF(AND(ISNUMBER($B52),OR($I52=ST_DRAFT,$I52=ST_APPR),COUNTIFS(Period_Close!$A:$A,YEAR($B52)*100+MONTH($B52),Period_Close!$B:$B,"مقفلة")&gt;0),"الفترة مقفلة: لا يسمح بمستند جديد",IF(COUNTIF(Suppliers!$A:$A,$C52)=0,"المورد غير معرف",IF(COUNTIFS(COA!$A:$A,$P52,COA!$R:$R,1)&lt;&gt;1,"الخزينة/البنك غير صالح",IF(NOT(N($E52)&gt;0),"المبلغ يجب أن يكون أكبر من صفر",IF($F52="","طريقة الدفع ناقصة",IF(AND($G52&lt;&gt;"",COUNTIF(Supplier_Invoices!$A:$A,$G52)=0),"الفاتورة المسددة غير موجودة",IF(AND($G52&lt;&gt;"",COUNTIF(Supplier_Invoices!$A:$A,$G52)&gt;0,IFERROR(INDEX(Supplier_Invoices!$C:$C,MATCH($G52,Supplier_Invoices!$A:$A,0)),"")&lt;&gt;$C52),"الفاتورة تخص موردًا آخر","")))))))))))))))))))</f>
        <v/>
      </c>
      <c r="U52" s="32">
        <f>IF($S52=1,IF($T52&lt;&gt;"",1,0),0)</f>
        <v/>
      </c>
      <c r="V52" s="32">
        <f>IF(AND($S52=1,$U52=0,$I52=ST_POST),1,0)</f>
        <v/>
      </c>
    </row>
    <row r="53">
      <c r="A53" s="29" t="n"/>
      <c r="B53" s="31" t="n"/>
      <c r="C53" s="39" t="n"/>
      <c r="D53" s="39" t="n"/>
      <c r="E53" s="42" t="n"/>
      <c r="F53" s="29" t="n"/>
      <c r="G53" s="29" t="n"/>
      <c r="H53" s="29" t="n"/>
      <c r="I53" s="39" t="n"/>
      <c r="J53" s="29" t="n"/>
      <c r="K53" s="29" t="n"/>
      <c r="L53" s="29" t="n"/>
      <c r="M53" s="29" t="n"/>
      <c r="N53" s="29" t="n"/>
      <c r="O53" s="29" t="n"/>
      <c r="P53" s="32">
        <f>IF($S53=1,IFERROR(INDEX(Treasuries!$E:$E,MATCH($D53,Treasuries!$A:$A,0)),"؟"),"")</f>
        <v/>
      </c>
      <c r="Q53" s="32">
        <f>IF($S53=1,IFERROR(INDEX(Treasuries!$D:$D,MATCH($D53,Treasuries!$A:$A,0)),"؟"),"")</f>
        <v/>
      </c>
      <c r="R53" s="32">
        <f>IF($S53=1,IFERROR(INDEX(Supplier_Invoices!$AB:$AB,MATCH($G53,Supplier_Invoices!$A:$A,0)),"OPERATING"),"")</f>
        <v/>
      </c>
      <c r="S53" s="32">
        <f>IF(COUNTA($A53:$O53)&gt;0,1,0)</f>
        <v/>
      </c>
      <c r="T53" s="32">
        <f>IF($S53=0,"",IF($A53="","رقم المستند ناقص",IF(COUNTIF(Doc_Register!$A:$A,$A53)&gt;1,"رقم مستند مكرر في السجل المركزي",IF(LEFT($A53,LEN("SPAY")+1)&lt;&gt;"SPAY"&amp;"-","بادئة الرقم لا تطابق نوع المستند",IF(NOT(ISNUMBER($B53)),"التاريخ ناقص أو غير صحيح",IF($I53="","حالة المستند ناقصة",IF($J53="","اسم المُعِد ناقص",IF(AND(OR($I53=ST_APPR,$I53=ST_POST),$K53=""),"لا يوجد معتمد",IF(AND($K53&lt;&gt;"",$K53=$J53),"المُعِد والمعتمد نفس الشخص (فصل المهام)",IF(AND($I53=ST_POST,$L53=""),"اسم المحاسب المرحِّل ناقص",IF(AND($I53=ST_POST,$L53&lt;&gt;"",OR($L53=$J53,$L53=$K53)),"المرحِّل يجب أن يختلف عن المُعِد والمعتمد",IF(AND($I53=ST_REV,$N53=""),"مرجع التصحيح/الإلغاء ناقص",IF(AND(ISNUMBER($B53),OR($I53=ST_DRAFT,$I53=ST_APPR),COUNTIFS(Period_Close!$A:$A,YEAR($B53)*100+MONTH($B53),Period_Close!$B:$B,"مقفلة")&gt;0),"الفترة مقفلة: لا يسمح بمستند جديد",IF(COUNTIF(Suppliers!$A:$A,$C53)=0,"المورد غير معرف",IF(COUNTIFS(COA!$A:$A,$P53,COA!$R:$R,1)&lt;&gt;1,"الخزينة/البنك غير صالح",IF(NOT(N($E53)&gt;0),"المبلغ يجب أن يكون أكبر من صفر",IF($F53="","طريقة الدفع ناقصة",IF(AND($G53&lt;&gt;"",COUNTIF(Supplier_Invoices!$A:$A,$G53)=0),"الفاتورة المسددة غير موجودة",IF(AND($G53&lt;&gt;"",COUNTIF(Supplier_Invoices!$A:$A,$G53)&gt;0,IFERROR(INDEX(Supplier_Invoices!$C:$C,MATCH($G53,Supplier_Invoices!$A:$A,0)),"")&lt;&gt;$C53),"الفاتورة تخص موردًا آخر","")))))))))))))))))))</f>
        <v/>
      </c>
      <c r="U53" s="32">
        <f>IF($S53=1,IF($T53&lt;&gt;"",1,0),0)</f>
        <v/>
      </c>
      <c r="V53" s="32">
        <f>IF(AND($S53=1,$U53=0,$I53=ST_POST),1,0)</f>
        <v/>
      </c>
    </row>
    <row r="54">
      <c r="A54" s="29" t="n"/>
      <c r="B54" s="31" t="n"/>
      <c r="C54" s="39" t="n"/>
      <c r="D54" s="39" t="n"/>
      <c r="E54" s="42" t="n"/>
      <c r="F54" s="29" t="n"/>
      <c r="G54" s="29" t="n"/>
      <c r="H54" s="29" t="n"/>
      <c r="I54" s="39" t="n"/>
      <c r="J54" s="29" t="n"/>
      <c r="K54" s="29" t="n"/>
      <c r="L54" s="29" t="n"/>
      <c r="M54" s="29" t="n"/>
      <c r="N54" s="29" t="n"/>
      <c r="O54" s="29" t="n"/>
      <c r="P54" s="32">
        <f>IF($S54=1,IFERROR(INDEX(Treasuries!$E:$E,MATCH($D54,Treasuries!$A:$A,0)),"؟"),"")</f>
        <v/>
      </c>
      <c r="Q54" s="32">
        <f>IF($S54=1,IFERROR(INDEX(Treasuries!$D:$D,MATCH($D54,Treasuries!$A:$A,0)),"؟"),"")</f>
        <v/>
      </c>
      <c r="R54" s="32">
        <f>IF($S54=1,IFERROR(INDEX(Supplier_Invoices!$AB:$AB,MATCH($G54,Supplier_Invoices!$A:$A,0)),"OPERATING"),"")</f>
        <v/>
      </c>
      <c r="S54" s="32">
        <f>IF(COUNTA($A54:$O54)&gt;0,1,0)</f>
        <v/>
      </c>
      <c r="T54" s="32">
        <f>IF($S54=0,"",IF($A54="","رقم المستند ناقص",IF(COUNTIF(Doc_Register!$A:$A,$A54)&gt;1,"رقم مستند مكرر في السجل المركزي",IF(LEFT($A54,LEN("SPAY")+1)&lt;&gt;"SPAY"&amp;"-","بادئة الرقم لا تطابق نوع المستند",IF(NOT(ISNUMBER($B54)),"التاريخ ناقص أو غير صحيح",IF($I54="","حالة المستند ناقصة",IF($J54="","اسم المُعِد ناقص",IF(AND(OR($I54=ST_APPR,$I54=ST_POST),$K54=""),"لا يوجد معتمد",IF(AND($K54&lt;&gt;"",$K54=$J54),"المُعِد والمعتمد نفس الشخص (فصل المهام)",IF(AND($I54=ST_POST,$L54=""),"اسم المحاسب المرحِّل ناقص",IF(AND($I54=ST_POST,$L54&lt;&gt;"",OR($L54=$J54,$L54=$K54)),"المرحِّل يجب أن يختلف عن المُعِد والمعتمد",IF(AND($I54=ST_REV,$N54=""),"مرجع التصحيح/الإلغاء ناقص",IF(AND(ISNUMBER($B54),OR($I54=ST_DRAFT,$I54=ST_APPR),COUNTIFS(Period_Close!$A:$A,YEAR($B54)*100+MONTH($B54),Period_Close!$B:$B,"مقفلة")&gt;0),"الفترة مقفلة: لا يسمح بمستند جديد",IF(COUNTIF(Suppliers!$A:$A,$C54)=0,"المورد غير معرف",IF(COUNTIFS(COA!$A:$A,$P54,COA!$R:$R,1)&lt;&gt;1,"الخزينة/البنك غير صالح",IF(NOT(N($E54)&gt;0),"المبلغ يجب أن يكون أكبر من صفر",IF($F54="","طريقة الدفع ناقصة",IF(AND($G54&lt;&gt;"",COUNTIF(Supplier_Invoices!$A:$A,$G54)=0),"الفاتورة المسددة غير موجودة",IF(AND($G54&lt;&gt;"",COUNTIF(Supplier_Invoices!$A:$A,$G54)&gt;0,IFERROR(INDEX(Supplier_Invoices!$C:$C,MATCH($G54,Supplier_Invoices!$A:$A,0)),"")&lt;&gt;$C54),"الفاتورة تخص موردًا آخر","")))))))))))))))))))</f>
        <v/>
      </c>
      <c r="U54" s="32">
        <f>IF($S54=1,IF($T54&lt;&gt;"",1,0),0)</f>
        <v/>
      </c>
      <c r="V54" s="32">
        <f>IF(AND($S54=1,$U54=0,$I54=ST_POST),1,0)</f>
        <v/>
      </c>
    </row>
    <row r="55">
      <c r="A55" s="29" t="n"/>
      <c r="B55" s="31" t="n"/>
      <c r="C55" s="39" t="n"/>
      <c r="D55" s="39" t="n"/>
      <c r="E55" s="42" t="n"/>
      <c r="F55" s="29" t="n"/>
      <c r="G55" s="29" t="n"/>
      <c r="H55" s="29" t="n"/>
      <c r="I55" s="39" t="n"/>
      <c r="J55" s="29" t="n"/>
      <c r="K55" s="29" t="n"/>
      <c r="L55" s="29" t="n"/>
      <c r="M55" s="29" t="n"/>
      <c r="N55" s="29" t="n"/>
      <c r="O55" s="29" t="n"/>
      <c r="P55" s="32">
        <f>IF($S55=1,IFERROR(INDEX(Treasuries!$E:$E,MATCH($D55,Treasuries!$A:$A,0)),"؟"),"")</f>
        <v/>
      </c>
      <c r="Q55" s="32">
        <f>IF($S55=1,IFERROR(INDEX(Treasuries!$D:$D,MATCH($D55,Treasuries!$A:$A,0)),"؟"),"")</f>
        <v/>
      </c>
      <c r="R55" s="32">
        <f>IF($S55=1,IFERROR(INDEX(Supplier_Invoices!$AB:$AB,MATCH($G55,Supplier_Invoices!$A:$A,0)),"OPERATING"),"")</f>
        <v/>
      </c>
      <c r="S55" s="32">
        <f>IF(COUNTA($A55:$O55)&gt;0,1,0)</f>
        <v/>
      </c>
      <c r="T55" s="32">
        <f>IF($S55=0,"",IF($A55="","رقم المستند ناقص",IF(COUNTIF(Doc_Register!$A:$A,$A55)&gt;1,"رقم مستند مكرر في السجل المركزي",IF(LEFT($A55,LEN("SPAY")+1)&lt;&gt;"SPAY"&amp;"-","بادئة الرقم لا تطابق نوع المستند",IF(NOT(ISNUMBER($B55)),"التاريخ ناقص أو غير صحيح",IF($I55="","حالة المستند ناقصة",IF($J55="","اسم المُعِد ناقص",IF(AND(OR($I55=ST_APPR,$I55=ST_POST),$K55=""),"لا يوجد معتمد",IF(AND($K55&lt;&gt;"",$K55=$J55),"المُعِد والمعتمد نفس الشخص (فصل المهام)",IF(AND($I55=ST_POST,$L55=""),"اسم المحاسب المرحِّل ناقص",IF(AND($I55=ST_POST,$L55&lt;&gt;"",OR($L55=$J55,$L55=$K55)),"المرحِّل يجب أن يختلف عن المُعِد والمعتمد",IF(AND($I55=ST_REV,$N55=""),"مرجع التصحيح/الإلغاء ناقص",IF(AND(ISNUMBER($B55),OR($I55=ST_DRAFT,$I55=ST_APPR),COUNTIFS(Period_Close!$A:$A,YEAR($B55)*100+MONTH($B55),Period_Close!$B:$B,"مقفلة")&gt;0),"الفترة مقفلة: لا يسمح بمستند جديد",IF(COUNTIF(Suppliers!$A:$A,$C55)=0,"المورد غير معرف",IF(COUNTIFS(COA!$A:$A,$P55,COA!$R:$R,1)&lt;&gt;1,"الخزينة/البنك غير صالح",IF(NOT(N($E55)&gt;0),"المبلغ يجب أن يكون أكبر من صفر",IF($F55="","طريقة الدفع ناقصة",IF(AND($G55&lt;&gt;"",COUNTIF(Supplier_Invoices!$A:$A,$G55)=0),"الفاتورة المسددة غير موجودة",IF(AND($G55&lt;&gt;"",COUNTIF(Supplier_Invoices!$A:$A,$G55)&gt;0,IFERROR(INDEX(Supplier_Invoices!$C:$C,MATCH($G55,Supplier_Invoices!$A:$A,0)),"")&lt;&gt;$C55),"الفاتورة تخص موردًا آخر","")))))))))))))))))))</f>
        <v/>
      </c>
      <c r="U55" s="32">
        <f>IF($S55=1,IF($T55&lt;&gt;"",1,0),0)</f>
        <v/>
      </c>
      <c r="V55" s="32">
        <f>IF(AND($S55=1,$U55=0,$I55=ST_POST),1,0)</f>
        <v/>
      </c>
    </row>
    <row r="56">
      <c r="A56" s="29" t="n"/>
      <c r="B56" s="31" t="n"/>
      <c r="C56" s="39" t="n"/>
      <c r="D56" s="39" t="n"/>
      <c r="E56" s="42" t="n"/>
      <c r="F56" s="29" t="n"/>
      <c r="G56" s="29" t="n"/>
      <c r="H56" s="29" t="n"/>
      <c r="I56" s="39" t="n"/>
      <c r="J56" s="29" t="n"/>
      <c r="K56" s="29" t="n"/>
      <c r="L56" s="29" t="n"/>
      <c r="M56" s="29" t="n"/>
      <c r="N56" s="29" t="n"/>
      <c r="O56" s="29" t="n"/>
      <c r="P56" s="32">
        <f>IF($S56=1,IFERROR(INDEX(Treasuries!$E:$E,MATCH($D56,Treasuries!$A:$A,0)),"؟"),"")</f>
        <v/>
      </c>
      <c r="Q56" s="32">
        <f>IF($S56=1,IFERROR(INDEX(Treasuries!$D:$D,MATCH($D56,Treasuries!$A:$A,0)),"؟"),"")</f>
        <v/>
      </c>
      <c r="R56" s="32">
        <f>IF($S56=1,IFERROR(INDEX(Supplier_Invoices!$AB:$AB,MATCH($G56,Supplier_Invoices!$A:$A,0)),"OPERATING"),"")</f>
        <v/>
      </c>
      <c r="S56" s="32">
        <f>IF(COUNTA($A56:$O56)&gt;0,1,0)</f>
        <v/>
      </c>
      <c r="T56" s="32">
        <f>IF($S56=0,"",IF($A56="","رقم المستند ناقص",IF(COUNTIF(Doc_Register!$A:$A,$A56)&gt;1,"رقم مستند مكرر في السجل المركزي",IF(LEFT($A56,LEN("SPAY")+1)&lt;&gt;"SPAY"&amp;"-","بادئة الرقم لا تطابق نوع المستند",IF(NOT(ISNUMBER($B56)),"التاريخ ناقص أو غير صحيح",IF($I56="","حالة المستند ناقصة",IF($J56="","اسم المُعِد ناقص",IF(AND(OR($I56=ST_APPR,$I56=ST_POST),$K56=""),"لا يوجد معتمد",IF(AND($K56&lt;&gt;"",$K56=$J56),"المُعِد والمعتمد نفس الشخص (فصل المهام)",IF(AND($I56=ST_POST,$L56=""),"اسم المحاسب المرحِّل ناقص",IF(AND($I56=ST_POST,$L56&lt;&gt;"",OR($L56=$J56,$L56=$K56)),"المرحِّل يجب أن يختلف عن المُعِد والمعتمد",IF(AND($I56=ST_REV,$N56=""),"مرجع التصحيح/الإلغاء ناقص",IF(AND(ISNUMBER($B56),OR($I56=ST_DRAFT,$I56=ST_APPR),COUNTIFS(Period_Close!$A:$A,YEAR($B56)*100+MONTH($B56),Period_Close!$B:$B,"مقفلة")&gt;0),"الفترة مقفلة: لا يسمح بمستند جديد",IF(COUNTIF(Suppliers!$A:$A,$C56)=0,"المورد غير معرف",IF(COUNTIFS(COA!$A:$A,$P56,COA!$R:$R,1)&lt;&gt;1,"الخزينة/البنك غير صالح",IF(NOT(N($E56)&gt;0),"المبلغ يجب أن يكون أكبر من صفر",IF($F56="","طريقة الدفع ناقصة",IF(AND($G56&lt;&gt;"",COUNTIF(Supplier_Invoices!$A:$A,$G56)=0),"الفاتورة المسددة غير موجودة",IF(AND($G56&lt;&gt;"",COUNTIF(Supplier_Invoices!$A:$A,$G56)&gt;0,IFERROR(INDEX(Supplier_Invoices!$C:$C,MATCH($G56,Supplier_Invoices!$A:$A,0)),"")&lt;&gt;$C56),"الفاتورة تخص موردًا آخر","")))))))))))))))))))</f>
        <v/>
      </c>
      <c r="U56" s="32">
        <f>IF($S56=1,IF($T56&lt;&gt;"",1,0),0)</f>
        <v/>
      </c>
      <c r="V56" s="32">
        <f>IF(AND($S56=1,$U56=0,$I56=ST_POST),1,0)</f>
        <v/>
      </c>
    </row>
    <row r="57">
      <c r="A57" s="29" t="n"/>
      <c r="B57" s="31" t="n"/>
      <c r="C57" s="39" t="n"/>
      <c r="D57" s="39" t="n"/>
      <c r="E57" s="42" t="n"/>
      <c r="F57" s="29" t="n"/>
      <c r="G57" s="29" t="n"/>
      <c r="H57" s="29" t="n"/>
      <c r="I57" s="39" t="n"/>
      <c r="J57" s="29" t="n"/>
      <c r="K57" s="29" t="n"/>
      <c r="L57" s="29" t="n"/>
      <c r="M57" s="29" t="n"/>
      <c r="N57" s="29" t="n"/>
      <c r="O57" s="29" t="n"/>
      <c r="P57" s="32">
        <f>IF($S57=1,IFERROR(INDEX(Treasuries!$E:$E,MATCH($D57,Treasuries!$A:$A,0)),"؟"),"")</f>
        <v/>
      </c>
      <c r="Q57" s="32">
        <f>IF($S57=1,IFERROR(INDEX(Treasuries!$D:$D,MATCH($D57,Treasuries!$A:$A,0)),"؟"),"")</f>
        <v/>
      </c>
      <c r="R57" s="32">
        <f>IF($S57=1,IFERROR(INDEX(Supplier_Invoices!$AB:$AB,MATCH($G57,Supplier_Invoices!$A:$A,0)),"OPERATING"),"")</f>
        <v/>
      </c>
      <c r="S57" s="32">
        <f>IF(COUNTA($A57:$O57)&gt;0,1,0)</f>
        <v/>
      </c>
      <c r="T57" s="32">
        <f>IF($S57=0,"",IF($A57="","رقم المستند ناقص",IF(COUNTIF(Doc_Register!$A:$A,$A57)&gt;1,"رقم مستند مكرر في السجل المركزي",IF(LEFT($A57,LEN("SPAY")+1)&lt;&gt;"SPAY"&amp;"-","بادئة الرقم لا تطابق نوع المستند",IF(NOT(ISNUMBER($B57)),"التاريخ ناقص أو غير صحيح",IF($I57="","حالة المستند ناقصة",IF($J57="","اسم المُعِد ناقص",IF(AND(OR($I57=ST_APPR,$I57=ST_POST),$K57=""),"لا يوجد معتمد",IF(AND($K57&lt;&gt;"",$K57=$J57),"المُعِد والمعتمد نفس الشخص (فصل المهام)",IF(AND($I57=ST_POST,$L57=""),"اسم المحاسب المرحِّل ناقص",IF(AND($I57=ST_POST,$L57&lt;&gt;"",OR($L57=$J57,$L57=$K57)),"المرحِّل يجب أن يختلف عن المُعِد والمعتمد",IF(AND($I57=ST_REV,$N57=""),"مرجع التصحيح/الإلغاء ناقص",IF(AND(ISNUMBER($B57),OR($I57=ST_DRAFT,$I57=ST_APPR),COUNTIFS(Period_Close!$A:$A,YEAR($B57)*100+MONTH($B57),Period_Close!$B:$B,"مقفلة")&gt;0),"الفترة مقفلة: لا يسمح بمستند جديد",IF(COUNTIF(Suppliers!$A:$A,$C57)=0,"المورد غير معرف",IF(COUNTIFS(COA!$A:$A,$P57,COA!$R:$R,1)&lt;&gt;1,"الخزينة/البنك غير صالح",IF(NOT(N($E57)&gt;0),"المبلغ يجب أن يكون أكبر من صفر",IF($F57="","طريقة الدفع ناقصة",IF(AND($G57&lt;&gt;"",COUNTIF(Supplier_Invoices!$A:$A,$G57)=0),"الفاتورة المسددة غير موجودة",IF(AND($G57&lt;&gt;"",COUNTIF(Supplier_Invoices!$A:$A,$G57)&gt;0,IFERROR(INDEX(Supplier_Invoices!$C:$C,MATCH($G57,Supplier_Invoices!$A:$A,0)),"")&lt;&gt;$C57),"الفاتورة تخص موردًا آخر","")))))))))))))))))))</f>
        <v/>
      </c>
      <c r="U57" s="32">
        <f>IF($S57=1,IF($T57&lt;&gt;"",1,0),0)</f>
        <v/>
      </c>
      <c r="V57" s="32">
        <f>IF(AND($S57=1,$U57=0,$I57=ST_POST),1,0)</f>
        <v/>
      </c>
    </row>
    <row r="58">
      <c r="A58" s="29" t="n"/>
      <c r="B58" s="31" t="n"/>
      <c r="C58" s="39" t="n"/>
      <c r="D58" s="39" t="n"/>
      <c r="E58" s="42" t="n"/>
      <c r="F58" s="29" t="n"/>
      <c r="G58" s="29" t="n"/>
      <c r="H58" s="29" t="n"/>
      <c r="I58" s="39" t="n"/>
      <c r="J58" s="29" t="n"/>
      <c r="K58" s="29" t="n"/>
      <c r="L58" s="29" t="n"/>
      <c r="M58" s="29" t="n"/>
      <c r="N58" s="29" t="n"/>
      <c r="O58" s="29" t="n"/>
      <c r="P58" s="32">
        <f>IF($S58=1,IFERROR(INDEX(Treasuries!$E:$E,MATCH($D58,Treasuries!$A:$A,0)),"؟"),"")</f>
        <v/>
      </c>
      <c r="Q58" s="32">
        <f>IF($S58=1,IFERROR(INDEX(Treasuries!$D:$D,MATCH($D58,Treasuries!$A:$A,0)),"؟"),"")</f>
        <v/>
      </c>
      <c r="R58" s="32">
        <f>IF($S58=1,IFERROR(INDEX(Supplier_Invoices!$AB:$AB,MATCH($G58,Supplier_Invoices!$A:$A,0)),"OPERATING"),"")</f>
        <v/>
      </c>
      <c r="S58" s="32">
        <f>IF(COUNTA($A58:$O58)&gt;0,1,0)</f>
        <v/>
      </c>
      <c r="T58" s="32">
        <f>IF($S58=0,"",IF($A58="","رقم المستند ناقص",IF(COUNTIF(Doc_Register!$A:$A,$A58)&gt;1,"رقم مستند مكرر في السجل المركزي",IF(LEFT($A58,LEN("SPAY")+1)&lt;&gt;"SPAY"&amp;"-","بادئة الرقم لا تطابق نوع المستند",IF(NOT(ISNUMBER($B58)),"التاريخ ناقص أو غير صحيح",IF($I58="","حالة المستند ناقصة",IF($J58="","اسم المُعِد ناقص",IF(AND(OR($I58=ST_APPR,$I58=ST_POST),$K58=""),"لا يوجد معتمد",IF(AND($K58&lt;&gt;"",$K58=$J58),"المُعِد والمعتمد نفس الشخص (فصل المهام)",IF(AND($I58=ST_POST,$L58=""),"اسم المحاسب المرحِّل ناقص",IF(AND($I58=ST_POST,$L58&lt;&gt;"",OR($L58=$J58,$L58=$K58)),"المرحِّل يجب أن يختلف عن المُعِد والمعتمد",IF(AND($I58=ST_REV,$N58=""),"مرجع التصحيح/الإلغاء ناقص",IF(AND(ISNUMBER($B58),OR($I58=ST_DRAFT,$I58=ST_APPR),COUNTIFS(Period_Close!$A:$A,YEAR($B58)*100+MONTH($B58),Period_Close!$B:$B,"مقفلة")&gt;0),"الفترة مقفلة: لا يسمح بمستند جديد",IF(COUNTIF(Suppliers!$A:$A,$C58)=0,"المورد غير معرف",IF(COUNTIFS(COA!$A:$A,$P58,COA!$R:$R,1)&lt;&gt;1,"الخزينة/البنك غير صالح",IF(NOT(N($E58)&gt;0),"المبلغ يجب أن يكون أكبر من صفر",IF($F58="","طريقة الدفع ناقصة",IF(AND($G58&lt;&gt;"",COUNTIF(Supplier_Invoices!$A:$A,$G58)=0),"الفاتورة المسددة غير موجودة",IF(AND($G58&lt;&gt;"",COUNTIF(Supplier_Invoices!$A:$A,$G58)&gt;0,IFERROR(INDEX(Supplier_Invoices!$C:$C,MATCH($G58,Supplier_Invoices!$A:$A,0)),"")&lt;&gt;$C58),"الفاتورة تخص موردًا آخر","")))))))))))))))))))</f>
        <v/>
      </c>
      <c r="U58" s="32">
        <f>IF($S58=1,IF($T58&lt;&gt;"",1,0),0)</f>
        <v/>
      </c>
      <c r="V58" s="32">
        <f>IF(AND($S58=1,$U58=0,$I58=ST_POST),1,0)</f>
        <v/>
      </c>
    </row>
    <row r="59">
      <c r="A59" s="29" t="n"/>
      <c r="B59" s="31" t="n"/>
      <c r="C59" s="39" t="n"/>
      <c r="D59" s="39" t="n"/>
      <c r="E59" s="42" t="n"/>
      <c r="F59" s="29" t="n"/>
      <c r="G59" s="29" t="n"/>
      <c r="H59" s="29" t="n"/>
      <c r="I59" s="39" t="n"/>
      <c r="J59" s="29" t="n"/>
      <c r="K59" s="29" t="n"/>
      <c r="L59" s="29" t="n"/>
      <c r="M59" s="29" t="n"/>
      <c r="N59" s="29" t="n"/>
      <c r="O59" s="29" t="n"/>
      <c r="P59" s="32">
        <f>IF($S59=1,IFERROR(INDEX(Treasuries!$E:$E,MATCH($D59,Treasuries!$A:$A,0)),"؟"),"")</f>
        <v/>
      </c>
      <c r="Q59" s="32">
        <f>IF($S59=1,IFERROR(INDEX(Treasuries!$D:$D,MATCH($D59,Treasuries!$A:$A,0)),"؟"),"")</f>
        <v/>
      </c>
      <c r="R59" s="32">
        <f>IF($S59=1,IFERROR(INDEX(Supplier_Invoices!$AB:$AB,MATCH($G59,Supplier_Invoices!$A:$A,0)),"OPERATING"),"")</f>
        <v/>
      </c>
      <c r="S59" s="32">
        <f>IF(COUNTA($A59:$O59)&gt;0,1,0)</f>
        <v/>
      </c>
      <c r="T59" s="32">
        <f>IF($S59=0,"",IF($A59="","رقم المستند ناقص",IF(COUNTIF(Doc_Register!$A:$A,$A59)&gt;1,"رقم مستند مكرر في السجل المركزي",IF(LEFT($A59,LEN("SPAY")+1)&lt;&gt;"SPAY"&amp;"-","بادئة الرقم لا تطابق نوع المستند",IF(NOT(ISNUMBER($B59)),"التاريخ ناقص أو غير صحيح",IF($I59="","حالة المستند ناقصة",IF($J59="","اسم المُعِد ناقص",IF(AND(OR($I59=ST_APPR,$I59=ST_POST),$K59=""),"لا يوجد معتمد",IF(AND($K59&lt;&gt;"",$K59=$J59),"المُعِد والمعتمد نفس الشخص (فصل المهام)",IF(AND($I59=ST_POST,$L59=""),"اسم المحاسب المرحِّل ناقص",IF(AND($I59=ST_POST,$L59&lt;&gt;"",OR($L59=$J59,$L59=$K59)),"المرحِّل يجب أن يختلف عن المُعِد والمعتمد",IF(AND($I59=ST_REV,$N59=""),"مرجع التصحيح/الإلغاء ناقص",IF(AND(ISNUMBER($B59),OR($I59=ST_DRAFT,$I59=ST_APPR),COUNTIFS(Period_Close!$A:$A,YEAR($B59)*100+MONTH($B59),Period_Close!$B:$B,"مقفلة")&gt;0),"الفترة مقفلة: لا يسمح بمستند جديد",IF(COUNTIF(Suppliers!$A:$A,$C59)=0,"المورد غير معرف",IF(COUNTIFS(COA!$A:$A,$P59,COA!$R:$R,1)&lt;&gt;1,"الخزينة/البنك غير صالح",IF(NOT(N($E59)&gt;0),"المبلغ يجب أن يكون أكبر من صفر",IF($F59="","طريقة الدفع ناقصة",IF(AND($G59&lt;&gt;"",COUNTIF(Supplier_Invoices!$A:$A,$G59)=0),"الفاتورة المسددة غير موجودة",IF(AND($G59&lt;&gt;"",COUNTIF(Supplier_Invoices!$A:$A,$G59)&gt;0,IFERROR(INDEX(Supplier_Invoices!$C:$C,MATCH($G59,Supplier_Invoices!$A:$A,0)),"")&lt;&gt;$C59),"الفاتورة تخص موردًا آخر","")))))))))))))))))))</f>
        <v/>
      </c>
      <c r="U59" s="32">
        <f>IF($S59=1,IF($T59&lt;&gt;"",1,0),0)</f>
        <v/>
      </c>
      <c r="V59" s="32">
        <f>IF(AND($S59=1,$U59=0,$I59=ST_POST),1,0)</f>
        <v/>
      </c>
    </row>
    <row r="60">
      <c r="A60" s="29" t="n"/>
      <c r="B60" s="31" t="n"/>
      <c r="C60" s="39" t="n"/>
      <c r="D60" s="39" t="n"/>
      <c r="E60" s="42" t="n"/>
      <c r="F60" s="29" t="n"/>
      <c r="G60" s="29" t="n"/>
      <c r="H60" s="29" t="n"/>
      <c r="I60" s="39" t="n"/>
      <c r="J60" s="29" t="n"/>
      <c r="K60" s="29" t="n"/>
      <c r="L60" s="29" t="n"/>
      <c r="M60" s="29" t="n"/>
      <c r="N60" s="29" t="n"/>
      <c r="O60" s="29" t="n"/>
      <c r="P60" s="32">
        <f>IF($S60=1,IFERROR(INDEX(Treasuries!$E:$E,MATCH($D60,Treasuries!$A:$A,0)),"؟"),"")</f>
        <v/>
      </c>
      <c r="Q60" s="32">
        <f>IF($S60=1,IFERROR(INDEX(Treasuries!$D:$D,MATCH($D60,Treasuries!$A:$A,0)),"؟"),"")</f>
        <v/>
      </c>
      <c r="R60" s="32">
        <f>IF($S60=1,IFERROR(INDEX(Supplier_Invoices!$AB:$AB,MATCH($G60,Supplier_Invoices!$A:$A,0)),"OPERATING"),"")</f>
        <v/>
      </c>
      <c r="S60" s="32">
        <f>IF(COUNTA($A60:$O60)&gt;0,1,0)</f>
        <v/>
      </c>
      <c r="T60" s="32">
        <f>IF($S60=0,"",IF($A60="","رقم المستند ناقص",IF(COUNTIF(Doc_Register!$A:$A,$A60)&gt;1,"رقم مستند مكرر في السجل المركزي",IF(LEFT($A60,LEN("SPAY")+1)&lt;&gt;"SPAY"&amp;"-","بادئة الرقم لا تطابق نوع المستند",IF(NOT(ISNUMBER($B60)),"التاريخ ناقص أو غير صحيح",IF($I60="","حالة المستند ناقصة",IF($J60="","اسم المُعِد ناقص",IF(AND(OR($I60=ST_APPR,$I60=ST_POST),$K60=""),"لا يوجد معتمد",IF(AND($K60&lt;&gt;"",$K60=$J60),"المُعِد والمعتمد نفس الشخص (فصل المهام)",IF(AND($I60=ST_POST,$L60=""),"اسم المحاسب المرحِّل ناقص",IF(AND($I60=ST_POST,$L60&lt;&gt;"",OR($L60=$J60,$L60=$K60)),"المرحِّل يجب أن يختلف عن المُعِد والمعتمد",IF(AND($I60=ST_REV,$N60=""),"مرجع التصحيح/الإلغاء ناقص",IF(AND(ISNUMBER($B60),OR($I60=ST_DRAFT,$I60=ST_APPR),COUNTIFS(Period_Close!$A:$A,YEAR($B60)*100+MONTH($B60),Period_Close!$B:$B,"مقفلة")&gt;0),"الفترة مقفلة: لا يسمح بمستند جديد",IF(COUNTIF(Suppliers!$A:$A,$C60)=0,"المورد غير معرف",IF(COUNTIFS(COA!$A:$A,$P60,COA!$R:$R,1)&lt;&gt;1,"الخزينة/البنك غير صالح",IF(NOT(N($E60)&gt;0),"المبلغ يجب أن يكون أكبر من صفر",IF($F60="","طريقة الدفع ناقصة",IF(AND($G60&lt;&gt;"",COUNTIF(Supplier_Invoices!$A:$A,$G60)=0),"الفاتورة المسددة غير موجودة",IF(AND($G60&lt;&gt;"",COUNTIF(Supplier_Invoices!$A:$A,$G60)&gt;0,IFERROR(INDEX(Supplier_Invoices!$C:$C,MATCH($G60,Supplier_Invoices!$A:$A,0)),"")&lt;&gt;$C60),"الفاتورة تخص موردًا آخر","")))))))))))))))))))</f>
        <v/>
      </c>
      <c r="U60" s="32">
        <f>IF($S60=1,IF($T60&lt;&gt;"",1,0),0)</f>
        <v/>
      </c>
      <c r="V60" s="32">
        <f>IF(AND($S60=1,$U60=0,$I60=ST_POST),1,0)</f>
        <v/>
      </c>
    </row>
    <row r="61">
      <c r="A61" s="29" t="n"/>
      <c r="B61" s="31" t="n"/>
      <c r="C61" s="39" t="n"/>
      <c r="D61" s="39" t="n"/>
      <c r="E61" s="42" t="n"/>
      <c r="F61" s="29" t="n"/>
      <c r="G61" s="29" t="n"/>
      <c r="H61" s="29" t="n"/>
      <c r="I61" s="39" t="n"/>
      <c r="J61" s="29" t="n"/>
      <c r="K61" s="29" t="n"/>
      <c r="L61" s="29" t="n"/>
      <c r="M61" s="29" t="n"/>
      <c r="N61" s="29" t="n"/>
      <c r="O61" s="29" t="n"/>
      <c r="P61" s="32">
        <f>IF($S61=1,IFERROR(INDEX(Treasuries!$E:$E,MATCH($D61,Treasuries!$A:$A,0)),"؟"),"")</f>
        <v/>
      </c>
      <c r="Q61" s="32">
        <f>IF($S61=1,IFERROR(INDEX(Treasuries!$D:$D,MATCH($D61,Treasuries!$A:$A,0)),"؟"),"")</f>
        <v/>
      </c>
      <c r="R61" s="32">
        <f>IF($S61=1,IFERROR(INDEX(Supplier_Invoices!$AB:$AB,MATCH($G61,Supplier_Invoices!$A:$A,0)),"OPERATING"),"")</f>
        <v/>
      </c>
      <c r="S61" s="32">
        <f>IF(COUNTA($A61:$O61)&gt;0,1,0)</f>
        <v/>
      </c>
      <c r="T61" s="32">
        <f>IF($S61=0,"",IF($A61="","رقم المستند ناقص",IF(COUNTIF(Doc_Register!$A:$A,$A61)&gt;1,"رقم مستند مكرر في السجل المركزي",IF(LEFT($A61,LEN("SPAY")+1)&lt;&gt;"SPAY"&amp;"-","بادئة الرقم لا تطابق نوع المستند",IF(NOT(ISNUMBER($B61)),"التاريخ ناقص أو غير صحيح",IF($I61="","حالة المستند ناقصة",IF($J61="","اسم المُعِد ناقص",IF(AND(OR($I61=ST_APPR,$I61=ST_POST),$K61=""),"لا يوجد معتمد",IF(AND($K61&lt;&gt;"",$K61=$J61),"المُعِد والمعتمد نفس الشخص (فصل المهام)",IF(AND($I61=ST_POST,$L61=""),"اسم المحاسب المرحِّل ناقص",IF(AND($I61=ST_POST,$L61&lt;&gt;"",OR($L61=$J61,$L61=$K61)),"المرحِّل يجب أن يختلف عن المُعِد والمعتمد",IF(AND($I61=ST_REV,$N61=""),"مرجع التصحيح/الإلغاء ناقص",IF(AND(ISNUMBER($B61),OR($I61=ST_DRAFT,$I61=ST_APPR),COUNTIFS(Period_Close!$A:$A,YEAR($B61)*100+MONTH($B61),Period_Close!$B:$B,"مقفلة")&gt;0),"الفترة مقفلة: لا يسمح بمستند جديد",IF(COUNTIF(Suppliers!$A:$A,$C61)=0,"المورد غير معرف",IF(COUNTIFS(COA!$A:$A,$P61,COA!$R:$R,1)&lt;&gt;1,"الخزينة/البنك غير صالح",IF(NOT(N($E61)&gt;0),"المبلغ يجب أن يكون أكبر من صفر",IF($F61="","طريقة الدفع ناقصة",IF(AND($G61&lt;&gt;"",COUNTIF(Supplier_Invoices!$A:$A,$G61)=0),"الفاتورة المسددة غير موجودة",IF(AND($G61&lt;&gt;"",COUNTIF(Supplier_Invoices!$A:$A,$G61)&gt;0,IFERROR(INDEX(Supplier_Invoices!$C:$C,MATCH($G61,Supplier_Invoices!$A:$A,0)),"")&lt;&gt;$C61),"الفاتورة تخص موردًا آخر","")))))))))))))))))))</f>
        <v/>
      </c>
      <c r="U61" s="32">
        <f>IF($S61=1,IF($T61&lt;&gt;"",1,0),0)</f>
        <v/>
      </c>
      <c r="V61" s="32">
        <f>IF(AND($S61=1,$U61=0,$I61=ST_POST),1,0)</f>
        <v/>
      </c>
    </row>
    <row r="62">
      <c r="A62" s="29" t="n"/>
      <c r="B62" s="31" t="n"/>
      <c r="C62" s="39" t="n"/>
      <c r="D62" s="39" t="n"/>
      <c r="E62" s="42" t="n"/>
      <c r="F62" s="29" t="n"/>
      <c r="G62" s="29" t="n"/>
      <c r="H62" s="29" t="n"/>
      <c r="I62" s="39" t="n"/>
      <c r="J62" s="29" t="n"/>
      <c r="K62" s="29" t="n"/>
      <c r="L62" s="29" t="n"/>
      <c r="M62" s="29" t="n"/>
      <c r="N62" s="29" t="n"/>
      <c r="O62" s="29" t="n"/>
      <c r="P62" s="32">
        <f>IF($S62=1,IFERROR(INDEX(Treasuries!$E:$E,MATCH($D62,Treasuries!$A:$A,0)),"؟"),"")</f>
        <v/>
      </c>
      <c r="Q62" s="32">
        <f>IF($S62=1,IFERROR(INDEX(Treasuries!$D:$D,MATCH($D62,Treasuries!$A:$A,0)),"؟"),"")</f>
        <v/>
      </c>
      <c r="R62" s="32">
        <f>IF($S62=1,IFERROR(INDEX(Supplier_Invoices!$AB:$AB,MATCH($G62,Supplier_Invoices!$A:$A,0)),"OPERATING"),"")</f>
        <v/>
      </c>
      <c r="S62" s="32">
        <f>IF(COUNTA($A62:$O62)&gt;0,1,0)</f>
        <v/>
      </c>
      <c r="T62" s="32">
        <f>IF($S62=0,"",IF($A62="","رقم المستند ناقص",IF(COUNTIF(Doc_Register!$A:$A,$A62)&gt;1,"رقم مستند مكرر في السجل المركزي",IF(LEFT($A62,LEN("SPAY")+1)&lt;&gt;"SPAY"&amp;"-","بادئة الرقم لا تطابق نوع المستند",IF(NOT(ISNUMBER($B62)),"التاريخ ناقص أو غير صحيح",IF($I62="","حالة المستند ناقصة",IF($J62="","اسم المُعِد ناقص",IF(AND(OR($I62=ST_APPR,$I62=ST_POST),$K62=""),"لا يوجد معتمد",IF(AND($K62&lt;&gt;"",$K62=$J62),"المُعِد والمعتمد نفس الشخص (فصل المهام)",IF(AND($I62=ST_POST,$L62=""),"اسم المحاسب المرحِّل ناقص",IF(AND($I62=ST_POST,$L62&lt;&gt;"",OR($L62=$J62,$L62=$K62)),"المرحِّل يجب أن يختلف عن المُعِد والمعتمد",IF(AND($I62=ST_REV,$N62=""),"مرجع التصحيح/الإلغاء ناقص",IF(AND(ISNUMBER($B62),OR($I62=ST_DRAFT,$I62=ST_APPR),COUNTIFS(Period_Close!$A:$A,YEAR($B62)*100+MONTH($B62),Period_Close!$B:$B,"مقفلة")&gt;0),"الفترة مقفلة: لا يسمح بمستند جديد",IF(COUNTIF(Suppliers!$A:$A,$C62)=0,"المورد غير معرف",IF(COUNTIFS(COA!$A:$A,$P62,COA!$R:$R,1)&lt;&gt;1,"الخزينة/البنك غير صالح",IF(NOT(N($E62)&gt;0),"المبلغ يجب أن يكون أكبر من صفر",IF($F62="","طريقة الدفع ناقصة",IF(AND($G62&lt;&gt;"",COUNTIF(Supplier_Invoices!$A:$A,$G62)=0),"الفاتورة المسددة غير موجودة",IF(AND($G62&lt;&gt;"",COUNTIF(Supplier_Invoices!$A:$A,$G62)&gt;0,IFERROR(INDEX(Supplier_Invoices!$C:$C,MATCH($G62,Supplier_Invoices!$A:$A,0)),"")&lt;&gt;$C62),"الفاتورة تخص موردًا آخر","")))))))))))))))))))</f>
        <v/>
      </c>
      <c r="U62" s="32">
        <f>IF($S62=1,IF($T62&lt;&gt;"",1,0),0)</f>
        <v/>
      </c>
      <c r="V62" s="32">
        <f>IF(AND($S62=1,$U62=0,$I62=ST_POST),1,0)</f>
        <v/>
      </c>
    </row>
    <row r="63">
      <c r="A63" s="29" t="n"/>
      <c r="B63" s="31" t="n"/>
      <c r="C63" s="39" t="n"/>
      <c r="D63" s="39" t="n"/>
      <c r="E63" s="42" t="n"/>
      <c r="F63" s="29" t="n"/>
      <c r="G63" s="29" t="n"/>
      <c r="H63" s="29" t="n"/>
      <c r="I63" s="39" t="n"/>
      <c r="J63" s="29" t="n"/>
      <c r="K63" s="29" t="n"/>
      <c r="L63" s="29" t="n"/>
      <c r="M63" s="29" t="n"/>
      <c r="N63" s="29" t="n"/>
      <c r="O63" s="29" t="n"/>
      <c r="P63" s="32">
        <f>IF($S63=1,IFERROR(INDEX(Treasuries!$E:$E,MATCH($D63,Treasuries!$A:$A,0)),"؟"),"")</f>
        <v/>
      </c>
      <c r="Q63" s="32">
        <f>IF($S63=1,IFERROR(INDEX(Treasuries!$D:$D,MATCH($D63,Treasuries!$A:$A,0)),"؟"),"")</f>
        <v/>
      </c>
      <c r="R63" s="32">
        <f>IF($S63=1,IFERROR(INDEX(Supplier_Invoices!$AB:$AB,MATCH($G63,Supplier_Invoices!$A:$A,0)),"OPERATING"),"")</f>
        <v/>
      </c>
      <c r="S63" s="32">
        <f>IF(COUNTA($A63:$O63)&gt;0,1,0)</f>
        <v/>
      </c>
      <c r="T63" s="32">
        <f>IF($S63=0,"",IF($A63="","رقم المستند ناقص",IF(COUNTIF(Doc_Register!$A:$A,$A63)&gt;1,"رقم مستند مكرر في السجل المركزي",IF(LEFT($A63,LEN("SPAY")+1)&lt;&gt;"SPAY"&amp;"-","بادئة الرقم لا تطابق نوع المستند",IF(NOT(ISNUMBER($B63)),"التاريخ ناقص أو غير صحيح",IF($I63="","حالة المستند ناقصة",IF($J63="","اسم المُعِد ناقص",IF(AND(OR($I63=ST_APPR,$I63=ST_POST),$K63=""),"لا يوجد معتمد",IF(AND($K63&lt;&gt;"",$K63=$J63),"المُعِد والمعتمد نفس الشخص (فصل المهام)",IF(AND($I63=ST_POST,$L63=""),"اسم المحاسب المرحِّل ناقص",IF(AND($I63=ST_POST,$L63&lt;&gt;"",OR($L63=$J63,$L63=$K63)),"المرحِّل يجب أن يختلف عن المُعِد والمعتمد",IF(AND($I63=ST_REV,$N63=""),"مرجع التصحيح/الإلغاء ناقص",IF(AND(ISNUMBER($B63),OR($I63=ST_DRAFT,$I63=ST_APPR),COUNTIFS(Period_Close!$A:$A,YEAR($B63)*100+MONTH($B63),Period_Close!$B:$B,"مقفلة")&gt;0),"الفترة مقفلة: لا يسمح بمستند جديد",IF(COUNTIF(Suppliers!$A:$A,$C63)=0,"المورد غير معرف",IF(COUNTIFS(COA!$A:$A,$P63,COA!$R:$R,1)&lt;&gt;1,"الخزينة/البنك غير صالح",IF(NOT(N($E63)&gt;0),"المبلغ يجب أن يكون أكبر من صفر",IF($F63="","طريقة الدفع ناقصة",IF(AND($G63&lt;&gt;"",COUNTIF(Supplier_Invoices!$A:$A,$G63)=0),"الفاتورة المسددة غير موجودة",IF(AND($G63&lt;&gt;"",COUNTIF(Supplier_Invoices!$A:$A,$G63)&gt;0,IFERROR(INDEX(Supplier_Invoices!$C:$C,MATCH($G63,Supplier_Invoices!$A:$A,0)),"")&lt;&gt;$C63),"الفاتورة تخص موردًا آخر","")))))))))))))))))))</f>
        <v/>
      </c>
      <c r="U63" s="32">
        <f>IF($S63=1,IF($T63&lt;&gt;"",1,0),0)</f>
        <v/>
      </c>
      <c r="V63" s="32">
        <f>IF(AND($S63=1,$U63=0,$I63=ST_POST),1,0)</f>
        <v/>
      </c>
    </row>
    <row r="64">
      <c r="A64" s="29" t="n"/>
      <c r="B64" s="31" t="n"/>
      <c r="C64" s="39" t="n"/>
      <c r="D64" s="39" t="n"/>
      <c r="E64" s="42" t="n"/>
      <c r="F64" s="29" t="n"/>
      <c r="G64" s="29" t="n"/>
      <c r="H64" s="29" t="n"/>
      <c r="I64" s="39" t="n"/>
      <c r="J64" s="29" t="n"/>
      <c r="K64" s="29" t="n"/>
      <c r="L64" s="29" t="n"/>
      <c r="M64" s="29" t="n"/>
      <c r="N64" s="29" t="n"/>
      <c r="O64" s="29" t="n"/>
      <c r="P64" s="32">
        <f>IF($S64=1,IFERROR(INDEX(Treasuries!$E:$E,MATCH($D64,Treasuries!$A:$A,0)),"؟"),"")</f>
        <v/>
      </c>
      <c r="Q64" s="32">
        <f>IF($S64=1,IFERROR(INDEX(Treasuries!$D:$D,MATCH($D64,Treasuries!$A:$A,0)),"؟"),"")</f>
        <v/>
      </c>
      <c r="R64" s="32">
        <f>IF($S64=1,IFERROR(INDEX(Supplier_Invoices!$AB:$AB,MATCH($G64,Supplier_Invoices!$A:$A,0)),"OPERATING"),"")</f>
        <v/>
      </c>
      <c r="S64" s="32">
        <f>IF(COUNTA($A64:$O64)&gt;0,1,0)</f>
        <v/>
      </c>
      <c r="T64" s="32">
        <f>IF($S64=0,"",IF($A64="","رقم المستند ناقص",IF(COUNTIF(Doc_Register!$A:$A,$A64)&gt;1,"رقم مستند مكرر في السجل المركزي",IF(LEFT($A64,LEN("SPAY")+1)&lt;&gt;"SPAY"&amp;"-","بادئة الرقم لا تطابق نوع المستند",IF(NOT(ISNUMBER($B64)),"التاريخ ناقص أو غير صحيح",IF($I64="","حالة المستند ناقصة",IF($J64="","اسم المُعِد ناقص",IF(AND(OR($I64=ST_APPR,$I64=ST_POST),$K64=""),"لا يوجد معتمد",IF(AND($K64&lt;&gt;"",$K64=$J64),"المُعِد والمعتمد نفس الشخص (فصل المهام)",IF(AND($I64=ST_POST,$L64=""),"اسم المحاسب المرحِّل ناقص",IF(AND($I64=ST_POST,$L64&lt;&gt;"",OR($L64=$J64,$L64=$K64)),"المرحِّل يجب أن يختلف عن المُعِد والمعتمد",IF(AND($I64=ST_REV,$N64=""),"مرجع التصحيح/الإلغاء ناقص",IF(AND(ISNUMBER($B64),OR($I64=ST_DRAFT,$I64=ST_APPR),COUNTIFS(Period_Close!$A:$A,YEAR($B64)*100+MONTH($B64),Period_Close!$B:$B,"مقفلة")&gt;0),"الفترة مقفلة: لا يسمح بمستند جديد",IF(COUNTIF(Suppliers!$A:$A,$C64)=0,"المورد غير معرف",IF(COUNTIFS(COA!$A:$A,$P64,COA!$R:$R,1)&lt;&gt;1,"الخزينة/البنك غير صالح",IF(NOT(N($E64)&gt;0),"المبلغ يجب أن يكون أكبر من صفر",IF($F64="","طريقة الدفع ناقصة",IF(AND($G64&lt;&gt;"",COUNTIF(Supplier_Invoices!$A:$A,$G64)=0),"الفاتورة المسددة غير موجودة",IF(AND($G64&lt;&gt;"",COUNTIF(Supplier_Invoices!$A:$A,$G64)&gt;0,IFERROR(INDEX(Supplier_Invoices!$C:$C,MATCH($G64,Supplier_Invoices!$A:$A,0)),"")&lt;&gt;$C64),"الفاتورة تخص موردًا آخر","")))))))))))))))))))</f>
        <v/>
      </c>
      <c r="U64" s="32">
        <f>IF($S64=1,IF($T64&lt;&gt;"",1,0),0)</f>
        <v/>
      </c>
      <c r="V64" s="32">
        <f>IF(AND($S64=1,$U64=0,$I64=ST_POST),1,0)</f>
        <v/>
      </c>
    </row>
  </sheetData>
  <sheetProtection selectLockedCells="0" selectUnlockedCells="0" sheet="1" objects="0" insertRows="1" insertHyperlinks="1" autoFilter="0" scenarios="0" formatColumns="0" deleteColumns="1" insertColumns="1" pivotTables="1" deleteRows="1" formatCells="0" formatRows="0" sort="1"/>
  <autoFilter ref="A4:V64"/>
  <conditionalFormatting sqref="I5:I64">
    <cfRule type="expression" priority="1" dxfId="1">
      <formula>I5="مرحل"</formula>
    </cfRule>
    <cfRule type="expression" priority="2" dxfId="0">
      <formula>I5="معكوس"</formula>
    </cfRule>
  </conditionalFormatting>
  <conditionalFormatting sqref="T5:T64">
    <cfRule type="expression" priority="3" dxfId="3">
      <formula>LEN(T5)&gt;0</formula>
    </cfRule>
  </conditionalFormatting>
  <dataValidations count="9">
    <dataValidation sqref="B5:B64" showDropDown="0" showInputMessage="0" showErrorMessage="1" allowBlank="1" errorTitle="تاريخ غير صحيح" error="أدخل تاريخًا صحيحًا." type="date" operator="greaterThan">
      <formula1>36526</formula1>
    </dataValidation>
    <dataValidation sqref="C5:C64" showDropDown="0" showInputMessage="0" showErrorMessage="1" allowBlank="1" errorTitle="قيمة غير مسموحة" error="اختر قيمة من القائمة المنسدلة." type="list">
      <formula1>=Suppliers!$A$5:$A$154</formula1>
    </dataValidation>
    <dataValidation sqref="D5:D64" showDropDown="0" showInputMessage="0" showErrorMessage="1" allowBlank="1" errorTitle="قيمة غير مسموحة" error="اختر قيمة من القائمة المنسدلة." type="list">
      <formula1>=Treasuries!$A$5:$A$34</formula1>
    </dataValidation>
    <dataValidation sqref="E5:E6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F5:F64" showDropDown="0" showInputMessage="0" showErrorMessage="1" allowBlank="1" errorTitle="قيمة غير مسموحة" error="اختر قيمة من القائمة المنسدلة." type="list">
      <formula1>"نقدًا,تحويل بنكي,شيك,محفظة إلكترونية,بطاقة"</formula1>
    </dataValidation>
    <dataValidation sqref="I5:I64" showDropDown="0" showInputMessage="0" showErrorMessage="1" allowBlank="1" errorTitle="قيمة غير مسموحة" error="اختر قيمة من القائمة المنسدلة." type="list">
      <formula1>=Lists!$A$5:$A$9</formula1>
    </dataValidation>
    <dataValidation sqref="J5:J64" showDropDown="0" showInputMessage="0" showErrorMessage="1" allowBlank="1" errorTitle="قيمة غير مسموحة" error="اختر قيمة من القائمة المنسدلة." type="list">
      <formula1>=Users!$B$5:$B$44</formula1>
    </dataValidation>
    <dataValidation sqref="K5:K64" showDropDown="0" showInputMessage="0" showErrorMessage="1" allowBlank="1" errorTitle="قيمة غير مسموحة" error="اختر قيمة من القائمة المنسدلة." type="list">
      <formula1>=Users!$B$5:$B$44</formula1>
    </dataValidation>
    <dataValidation sqref="L5:L64" showDropDown="0" showInputMessage="0" showErrorMessage="1" allowBlank="1" errorTitle="قيمة غير مسموحة" error="اختر قيمة من القائمة المنسدلة." type="list">
      <formula1>=Users!$B$5:$B$44</formula1>
    </dataValidation>
  </dataValidations>
  <pageMargins left="0.75" right="0.75" top="1" bottom="1" header="0.5" footer="0.5"/>
  <pageSetup orientation="landscape" fitToHeight="0" fitToWidth="1"/>
</worksheet>
</file>

<file path=xl/worksheets/sheet34.xml><?xml version="1.0" encoding="utf-8"?>
<worksheet xmlns="http://schemas.openxmlformats.org/spreadsheetml/2006/main">
  <sheetPr>
    <tabColor rgb="007030A0"/>
    <outlinePr summaryBelow="1" summaryRight="1"/>
    <pageSetUpPr fitToPage="1"/>
  </sheetPr>
  <dimension ref="A1:M160"/>
  <sheetViews>
    <sheetView rightToLeft="1" zoomScale="9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30" customWidth="1" min="2" max="2"/>
    <col width="14" customWidth="1" min="3" max="3"/>
    <col width="36" customWidth="1" min="4" max="4"/>
    <col width="18" customWidth="1" min="5" max="5"/>
    <col width="14" customWidth="1" min="6" max="6"/>
    <col width="13" customWidth="1" min="7" max="7"/>
    <col width="13" customWidth="1" min="8" max="8"/>
    <col width="13" customWidth="1" min="9" max="9"/>
    <col width="13" customWidth="1" min="10" max="10"/>
    <col width="14" customWidth="1" min="11" max="11"/>
    <col width="12" customWidth="1" min="12" max="12"/>
    <col width="30" customWidth="1" min="13" max="13"/>
  </cols>
  <sheetData>
    <row r="1" ht="26" customHeight="1">
      <c r="A1" s="22" t="inlineStr">
        <is>
          <t>أرصدة الموردين وأعمار الديون (Supplier Balances &amp; Aging)</t>
        </is>
      </c>
      <c r="B1" s="1" t="n"/>
      <c r="C1" s="1" t="n"/>
      <c r="D1" s="1" t="n"/>
      <c r="E1" s="1" t="n"/>
      <c r="F1" s="1" t="n"/>
      <c r="G1" s="1" t="n"/>
      <c r="H1" s="1" t="n"/>
      <c r="I1" s="1" t="n"/>
      <c r="J1" s="1" t="n"/>
      <c r="K1" s="1" t="n"/>
      <c r="L1" s="1" t="n"/>
      <c r="M1" s="1" t="n"/>
    </row>
    <row r="2">
      <c r="A2" s="35" t="inlineStr">
        <is>
          <t>رصيد المورد = الالتزامات المعتمدة - المرتجعات والتسويات والدفعات (حساب 2101 مع كود المورد). أعمار الديون بافتراض سداد الأقدم أولًا (FIFO). لتفاصيل مورد: افتح GL_Ledger واختر 2101 وكود المورد.</t>
        </is>
      </c>
    </row>
    <row r="3">
      <c r="A3" s="36" t="inlineStr">
        <is>
          <t>خلايا الإدخال</t>
        </is>
      </c>
      <c r="B3" s="37" t="inlineStr">
        <is>
          <t>معادلات (لا تعدّل)</t>
        </is>
      </c>
    </row>
    <row r="4">
      <c r="A4" s="53" t="inlineStr">
        <is>
          <t>من تاريخ</t>
        </is>
      </c>
      <c r="B4" s="31">
        <f>S_From</f>
        <v/>
      </c>
      <c r="D4" s="53" t="inlineStr">
        <is>
          <t>إجمالي أرصدة الموردين (دفتر فرعي)</t>
        </is>
      </c>
      <c r="E4" s="47">
        <f>SUM(Supplier_Balances!$F$11:$F$160)</f>
        <v/>
      </c>
    </row>
    <row r="5">
      <c r="A5" s="53" t="inlineStr">
        <is>
          <t>تاريخ الأرصدة والأعمار</t>
        </is>
      </c>
      <c r="B5" s="31">
        <f>S_To</f>
        <v/>
      </c>
      <c r="D5" s="53" t="inlineStr">
        <is>
          <t>رصيد حساب الموردين 2101 في الأستاذ</t>
        </is>
      </c>
      <c r="E5" s="47">
        <f>(SUMIFS(GL_Journal!$T:$T,GL_Journal!$G:$G,ACC_SUPPLIERS,GL_Journal!$D:$D,"&lt;="&amp;SB_To)-SUMIFS(GL_Journal!$S:$S,GL_Journal!$G:$G,ACC_SUPPLIERS,GL_Journal!$D:$D,"&lt;="&amp;SB_To))</f>
        <v/>
      </c>
    </row>
    <row r="6">
      <c r="D6" s="53" t="inlineStr">
        <is>
          <t>الفرق (الدفتر الفرعي - الأستاذ)</t>
        </is>
      </c>
      <c r="E6" s="47">
        <f>ROUND(E4-E5,2)</f>
        <v/>
      </c>
      <c r="F6" s="3">
        <f>IF(ABS(E6)&lt;=S_Tol,"✔ متطابق","✖ حركات على 2101 بدون كود مورد صحيح")</f>
        <v/>
      </c>
    </row>
    <row r="7">
      <c r="D7" s="53" t="inlineStr">
        <is>
          <t>أرصدة موردين مدينة (مراجعة)</t>
        </is>
      </c>
      <c r="E7" s="32">
        <f>COUNTIFS(Supplier_Balances!$F$11:$F$160,"&lt;0")</f>
        <v/>
      </c>
    </row>
    <row r="8">
      <c r="D8" s="53" t="inlineStr">
        <is>
          <t>مبالغ متأخرة (أكثر من 0 يوم)</t>
        </is>
      </c>
      <c r="E8" s="43">
        <f>SUM(Supplier_Balances!$H$11:$H$160)+SUM(Supplier_Balances!$I$11:$I$160)+SUM(Supplier_Balances!$J$11:$J$160)+SUM(Supplier_Balances!$K$11:$K$160)</f>
        <v/>
      </c>
    </row>
    <row r="10" ht="34" customHeight="1">
      <c r="A10" s="38" t="inlineStr">
        <is>
          <t>كود المورد</t>
        </is>
      </c>
      <c r="B10" s="38" t="inlineStr">
        <is>
          <t>اسم المورد</t>
        </is>
      </c>
      <c r="C10" s="38" t="inlineStr">
        <is>
          <t>رصيد أول الفترة</t>
        </is>
      </c>
      <c r="D10" s="38" t="inlineStr">
        <is>
          <t>فواتير والتزامات (دائن)</t>
        </is>
      </c>
      <c r="E10" s="38" t="inlineStr">
        <is>
          <t>دفعات ومرتجعات وتسويات (مدين)</t>
        </is>
      </c>
      <c r="F10" s="38" t="inlineStr">
        <is>
          <t>رصيد المورد (دائن+)</t>
        </is>
      </c>
      <c r="G10" s="38" t="inlineStr">
        <is>
          <t>غير مستحق</t>
        </is>
      </c>
      <c r="H10" s="38" t="inlineStr">
        <is>
          <t>متأخر 1-30</t>
        </is>
      </c>
      <c r="I10" s="38" t="inlineStr">
        <is>
          <t>متأخر 31-60</t>
        </is>
      </c>
      <c r="J10" s="38" t="inlineStr">
        <is>
          <t>متأخر 61-90</t>
        </is>
      </c>
      <c r="K10" s="38" t="inlineStr">
        <is>
          <t>متأخر أكثر من 90 (وأرصدة افتتاحية)</t>
        </is>
      </c>
      <c r="L10" s="38" t="inlineStr">
        <is>
          <t>آخر دفعة</t>
        </is>
      </c>
      <c r="M10" s="38" t="inlineStr">
        <is>
          <t>تنبيه</t>
        </is>
      </c>
    </row>
    <row r="11">
      <c r="A11" s="44">
        <f>IF(INDEX(Suppliers!$A:$A,ROW()-6)="","",INDEX(Suppliers!$A:$A,ROW()-6))</f>
        <v/>
      </c>
      <c r="B11" s="32">
        <f>IF($A11="","",INDEX(Suppliers!$B:$B,ROW()-6))</f>
        <v/>
      </c>
      <c r="C11" s="47">
        <f>IF($A11="","",SUMIFS(GL_Journal!$T:$T,GL_Journal!$G:$G,ACC_SUPPLIERS,GL_Journal!$K:$K,$A11,GL_Journal!$D:$D,"&lt;"&amp;SB_From)-SUMIFS(GL_Journal!$S:$S,GL_Journal!$G:$G,ACC_SUPPLIERS,GL_Journal!$K:$K,$A11,GL_Journal!$D:$D,"&lt;"&amp;SB_From))</f>
        <v/>
      </c>
      <c r="D11" s="43">
        <f>IF($A11="","",SUMIFS(GL_Journal!$T:$T,GL_Journal!$G:$G,ACC_SUPPLIERS,GL_Journal!$K:$K,$A11,GL_Journal!$D:$D,"&gt;="&amp;SB_From,GL_Journal!$D:$D,"&lt;="&amp;SB_To))</f>
        <v/>
      </c>
      <c r="E11" s="43">
        <f>IF($A11="","",SUMIFS(GL_Journal!$S:$S,GL_Journal!$G:$G,ACC_SUPPLIERS,GL_Journal!$K:$K,$A11,GL_Journal!$D:$D,"&gt;="&amp;SB_From,GL_Journal!$D:$D,"&lt;="&amp;SB_To))</f>
        <v/>
      </c>
      <c r="F11" s="47">
        <f>IF($A11="","",$C11+$D11-$E11)</f>
        <v/>
      </c>
      <c r="G11" s="43">
        <f>IF($A11="","",MIN(MAX($F11,0),SUMIFS(Supplier_Invoices!$AC:$AC,Supplier_Invoices!$C:$C,$A11,Supplier_Invoices!$AG:$AG,1,Supplier_Invoices!$Y:$Y,"&gt;="&amp;(SB_To-0),Supplier_Invoices!$E:$E,"&lt;="&amp;SB_To)))</f>
        <v/>
      </c>
      <c r="H11" s="43">
        <f>IF($A11="","",MIN(MAX($F11,0),SUMIFS(Supplier_Invoices!$AC:$AC,Supplier_Invoices!$C:$C,$A11,Supplier_Invoices!$AG:$AG,1,Supplier_Invoices!$Y:$Y,"&gt;="&amp;(SB_To-30),Supplier_Invoices!$E:$E,"&lt;="&amp;SB_To))-MIN(MAX($F11,0),SUMIFS(Supplier_Invoices!$AC:$AC,Supplier_Invoices!$C:$C,$A11,Supplier_Invoices!$AG:$AG,1,Supplier_Invoices!$Y:$Y,"&gt;="&amp;(SB_To-0),Supplier_Invoices!$E:$E,"&lt;="&amp;SB_To)))</f>
        <v/>
      </c>
      <c r="I11" s="43">
        <f>IF($A11="","",MIN(MAX($F11,0),SUMIFS(Supplier_Invoices!$AC:$AC,Supplier_Invoices!$C:$C,$A11,Supplier_Invoices!$AG:$AG,1,Supplier_Invoices!$Y:$Y,"&gt;="&amp;(SB_To-60),Supplier_Invoices!$E:$E,"&lt;="&amp;SB_To))-MIN(MAX($F11,0),SUMIFS(Supplier_Invoices!$AC:$AC,Supplier_Invoices!$C:$C,$A11,Supplier_Invoices!$AG:$AG,1,Supplier_Invoices!$Y:$Y,"&gt;="&amp;(SB_To-30),Supplier_Invoices!$E:$E,"&lt;="&amp;SB_To)))</f>
        <v/>
      </c>
      <c r="J11" s="43">
        <f>IF($A11="","",MIN(MAX($F11,0),SUMIFS(Supplier_Invoices!$AC:$AC,Supplier_Invoices!$C:$C,$A11,Supplier_Invoices!$AG:$AG,1,Supplier_Invoices!$Y:$Y,"&gt;="&amp;(SB_To-90),Supplier_Invoices!$E:$E,"&lt;="&amp;SB_To))-MIN(MAX($F11,0),SUMIFS(Supplier_Invoices!$AC:$AC,Supplier_Invoices!$C:$C,$A11,Supplier_Invoices!$AG:$AG,1,Supplier_Invoices!$Y:$Y,"&gt;="&amp;(SB_To-60),Supplier_Invoices!$E:$E,"&lt;="&amp;SB_To)))</f>
        <v/>
      </c>
      <c r="K11" s="43">
        <f>IF($A11="","",MAX($F11,0)-MIN(MAX($F11,0),SUMIFS(Supplier_Invoices!$AC:$AC,Supplier_Invoices!$C:$C,$A11,Supplier_Invoices!$AG:$AG,1,Supplier_Invoices!$Y:$Y,"&gt;="&amp;(SB_To-90),Supplier_Invoices!$E:$E,"&lt;="&amp;SB_To)))</f>
        <v/>
      </c>
      <c r="L11" s="33">
        <f>IF($A11="","",IF(COUNTIFS(Supplier_Payments!$C:$C,$A11,Supplier_Payments!$V:$V,1)=0,"",_xlfn.MAXIFS(Supplier_Payments!$B:$B,Supplier_Payments!$C:$C,$A11,Supplier_Payments!$V:$V,1)))</f>
        <v/>
      </c>
      <c r="M11" s="32">
        <f>IF($A11="","",IF($F11&lt;-S_Tol,"رصيد مدين للمورد - مراجعة",IF($H11+$I11+$J11+$K11&gt;S_Tol,"يوجد مبالغ متأخرة","")))</f>
        <v/>
      </c>
    </row>
    <row r="12">
      <c r="A12" s="44">
        <f>IF(INDEX(Suppliers!$A:$A,ROW()-6)="","",INDEX(Suppliers!$A:$A,ROW()-6))</f>
        <v/>
      </c>
      <c r="B12" s="32">
        <f>IF($A12="","",INDEX(Suppliers!$B:$B,ROW()-6))</f>
        <v/>
      </c>
      <c r="C12" s="47">
        <f>IF($A12="","",SUMIFS(GL_Journal!$T:$T,GL_Journal!$G:$G,ACC_SUPPLIERS,GL_Journal!$K:$K,$A12,GL_Journal!$D:$D,"&lt;"&amp;SB_From)-SUMIFS(GL_Journal!$S:$S,GL_Journal!$G:$G,ACC_SUPPLIERS,GL_Journal!$K:$K,$A12,GL_Journal!$D:$D,"&lt;"&amp;SB_From))</f>
        <v/>
      </c>
      <c r="D12" s="43">
        <f>IF($A12="","",SUMIFS(GL_Journal!$T:$T,GL_Journal!$G:$G,ACC_SUPPLIERS,GL_Journal!$K:$K,$A12,GL_Journal!$D:$D,"&gt;="&amp;SB_From,GL_Journal!$D:$D,"&lt;="&amp;SB_To))</f>
        <v/>
      </c>
      <c r="E12" s="43">
        <f>IF($A12="","",SUMIFS(GL_Journal!$S:$S,GL_Journal!$G:$G,ACC_SUPPLIERS,GL_Journal!$K:$K,$A12,GL_Journal!$D:$D,"&gt;="&amp;SB_From,GL_Journal!$D:$D,"&lt;="&amp;SB_To))</f>
        <v/>
      </c>
      <c r="F12" s="47">
        <f>IF($A12="","",$C12+$D12-$E12)</f>
        <v/>
      </c>
      <c r="G12" s="43">
        <f>IF($A12="","",MIN(MAX($F12,0),SUMIFS(Supplier_Invoices!$AC:$AC,Supplier_Invoices!$C:$C,$A12,Supplier_Invoices!$AG:$AG,1,Supplier_Invoices!$Y:$Y,"&gt;="&amp;(SB_To-0),Supplier_Invoices!$E:$E,"&lt;="&amp;SB_To)))</f>
        <v/>
      </c>
      <c r="H12" s="43">
        <f>IF($A12="","",MIN(MAX($F12,0),SUMIFS(Supplier_Invoices!$AC:$AC,Supplier_Invoices!$C:$C,$A12,Supplier_Invoices!$AG:$AG,1,Supplier_Invoices!$Y:$Y,"&gt;="&amp;(SB_To-30),Supplier_Invoices!$E:$E,"&lt;="&amp;SB_To))-MIN(MAX($F12,0),SUMIFS(Supplier_Invoices!$AC:$AC,Supplier_Invoices!$C:$C,$A12,Supplier_Invoices!$AG:$AG,1,Supplier_Invoices!$Y:$Y,"&gt;="&amp;(SB_To-0),Supplier_Invoices!$E:$E,"&lt;="&amp;SB_To)))</f>
        <v/>
      </c>
      <c r="I12" s="43">
        <f>IF($A12="","",MIN(MAX($F12,0),SUMIFS(Supplier_Invoices!$AC:$AC,Supplier_Invoices!$C:$C,$A12,Supplier_Invoices!$AG:$AG,1,Supplier_Invoices!$Y:$Y,"&gt;="&amp;(SB_To-60),Supplier_Invoices!$E:$E,"&lt;="&amp;SB_To))-MIN(MAX($F12,0),SUMIFS(Supplier_Invoices!$AC:$AC,Supplier_Invoices!$C:$C,$A12,Supplier_Invoices!$AG:$AG,1,Supplier_Invoices!$Y:$Y,"&gt;="&amp;(SB_To-30),Supplier_Invoices!$E:$E,"&lt;="&amp;SB_To)))</f>
        <v/>
      </c>
      <c r="J12" s="43">
        <f>IF($A12="","",MIN(MAX($F12,0),SUMIFS(Supplier_Invoices!$AC:$AC,Supplier_Invoices!$C:$C,$A12,Supplier_Invoices!$AG:$AG,1,Supplier_Invoices!$Y:$Y,"&gt;="&amp;(SB_To-90),Supplier_Invoices!$E:$E,"&lt;="&amp;SB_To))-MIN(MAX($F12,0),SUMIFS(Supplier_Invoices!$AC:$AC,Supplier_Invoices!$C:$C,$A12,Supplier_Invoices!$AG:$AG,1,Supplier_Invoices!$Y:$Y,"&gt;="&amp;(SB_To-60),Supplier_Invoices!$E:$E,"&lt;="&amp;SB_To)))</f>
        <v/>
      </c>
      <c r="K12" s="43">
        <f>IF($A12="","",MAX($F12,0)-MIN(MAX($F12,0),SUMIFS(Supplier_Invoices!$AC:$AC,Supplier_Invoices!$C:$C,$A12,Supplier_Invoices!$AG:$AG,1,Supplier_Invoices!$Y:$Y,"&gt;="&amp;(SB_To-90),Supplier_Invoices!$E:$E,"&lt;="&amp;SB_To)))</f>
        <v/>
      </c>
      <c r="L12" s="33">
        <f>IF($A12="","",IF(COUNTIFS(Supplier_Payments!$C:$C,$A12,Supplier_Payments!$V:$V,1)=0,"",_xlfn.MAXIFS(Supplier_Payments!$B:$B,Supplier_Payments!$C:$C,$A12,Supplier_Payments!$V:$V,1)))</f>
        <v/>
      </c>
      <c r="M12" s="32">
        <f>IF($A12="","",IF($F12&lt;-S_Tol,"رصيد مدين للمورد - مراجعة",IF($H12+$I12+$J12+$K12&gt;S_Tol,"يوجد مبالغ متأخرة","")))</f>
        <v/>
      </c>
    </row>
    <row r="13">
      <c r="A13" s="44">
        <f>IF(INDEX(Suppliers!$A:$A,ROW()-6)="","",INDEX(Suppliers!$A:$A,ROW()-6))</f>
        <v/>
      </c>
      <c r="B13" s="32">
        <f>IF($A13="","",INDEX(Suppliers!$B:$B,ROW()-6))</f>
        <v/>
      </c>
      <c r="C13" s="47">
        <f>IF($A13="","",SUMIFS(GL_Journal!$T:$T,GL_Journal!$G:$G,ACC_SUPPLIERS,GL_Journal!$K:$K,$A13,GL_Journal!$D:$D,"&lt;"&amp;SB_From)-SUMIFS(GL_Journal!$S:$S,GL_Journal!$G:$G,ACC_SUPPLIERS,GL_Journal!$K:$K,$A13,GL_Journal!$D:$D,"&lt;"&amp;SB_From))</f>
        <v/>
      </c>
      <c r="D13" s="43">
        <f>IF($A13="","",SUMIFS(GL_Journal!$T:$T,GL_Journal!$G:$G,ACC_SUPPLIERS,GL_Journal!$K:$K,$A13,GL_Journal!$D:$D,"&gt;="&amp;SB_From,GL_Journal!$D:$D,"&lt;="&amp;SB_To))</f>
        <v/>
      </c>
      <c r="E13" s="43">
        <f>IF($A13="","",SUMIFS(GL_Journal!$S:$S,GL_Journal!$G:$G,ACC_SUPPLIERS,GL_Journal!$K:$K,$A13,GL_Journal!$D:$D,"&gt;="&amp;SB_From,GL_Journal!$D:$D,"&lt;="&amp;SB_To))</f>
        <v/>
      </c>
      <c r="F13" s="47">
        <f>IF($A13="","",$C13+$D13-$E13)</f>
        <v/>
      </c>
      <c r="G13" s="43">
        <f>IF($A13="","",MIN(MAX($F13,0),SUMIFS(Supplier_Invoices!$AC:$AC,Supplier_Invoices!$C:$C,$A13,Supplier_Invoices!$AG:$AG,1,Supplier_Invoices!$Y:$Y,"&gt;="&amp;(SB_To-0),Supplier_Invoices!$E:$E,"&lt;="&amp;SB_To)))</f>
        <v/>
      </c>
      <c r="H13" s="43">
        <f>IF($A13="","",MIN(MAX($F13,0),SUMIFS(Supplier_Invoices!$AC:$AC,Supplier_Invoices!$C:$C,$A13,Supplier_Invoices!$AG:$AG,1,Supplier_Invoices!$Y:$Y,"&gt;="&amp;(SB_To-30),Supplier_Invoices!$E:$E,"&lt;="&amp;SB_To))-MIN(MAX($F13,0),SUMIFS(Supplier_Invoices!$AC:$AC,Supplier_Invoices!$C:$C,$A13,Supplier_Invoices!$AG:$AG,1,Supplier_Invoices!$Y:$Y,"&gt;="&amp;(SB_To-0),Supplier_Invoices!$E:$E,"&lt;="&amp;SB_To)))</f>
        <v/>
      </c>
      <c r="I13" s="43">
        <f>IF($A13="","",MIN(MAX($F13,0),SUMIFS(Supplier_Invoices!$AC:$AC,Supplier_Invoices!$C:$C,$A13,Supplier_Invoices!$AG:$AG,1,Supplier_Invoices!$Y:$Y,"&gt;="&amp;(SB_To-60),Supplier_Invoices!$E:$E,"&lt;="&amp;SB_To))-MIN(MAX($F13,0),SUMIFS(Supplier_Invoices!$AC:$AC,Supplier_Invoices!$C:$C,$A13,Supplier_Invoices!$AG:$AG,1,Supplier_Invoices!$Y:$Y,"&gt;="&amp;(SB_To-30),Supplier_Invoices!$E:$E,"&lt;="&amp;SB_To)))</f>
        <v/>
      </c>
      <c r="J13" s="43">
        <f>IF($A13="","",MIN(MAX($F13,0),SUMIFS(Supplier_Invoices!$AC:$AC,Supplier_Invoices!$C:$C,$A13,Supplier_Invoices!$AG:$AG,1,Supplier_Invoices!$Y:$Y,"&gt;="&amp;(SB_To-90),Supplier_Invoices!$E:$E,"&lt;="&amp;SB_To))-MIN(MAX($F13,0),SUMIFS(Supplier_Invoices!$AC:$AC,Supplier_Invoices!$C:$C,$A13,Supplier_Invoices!$AG:$AG,1,Supplier_Invoices!$Y:$Y,"&gt;="&amp;(SB_To-60),Supplier_Invoices!$E:$E,"&lt;="&amp;SB_To)))</f>
        <v/>
      </c>
      <c r="K13" s="43">
        <f>IF($A13="","",MAX($F13,0)-MIN(MAX($F13,0),SUMIFS(Supplier_Invoices!$AC:$AC,Supplier_Invoices!$C:$C,$A13,Supplier_Invoices!$AG:$AG,1,Supplier_Invoices!$Y:$Y,"&gt;="&amp;(SB_To-90),Supplier_Invoices!$E:$E,"&lt;="&amp;SB_To)))</f>
        <v/>
      </c>
      <c r="L13" s="33">
        <f>IF($A13="","",IF(COUNTIFS(Supplier_Payments!$C:$C,$A13,Supplier_Payments!$V:$V,1)=0,"",_xlfn.MAXIFS(Supplier_Payments!$B:$B,Supplier_Payments!$C:$C,$A13,Supplier_Payments!$V:$V,1)))</f>
        <v/>
      </c>
      <c r="M13" s="32">
        <f>IF($A13="","",IF($F13&lt;-S_Tol,"رصيد مدين للمورد - مراجعة",IF($H13+$I13+$J13+$K13&gt;S_Tol,"يوجد مبالغ متأخرة","")))</f>
        <v/>
      </c>
    </row>
    <row r="14">
      <c r="A14" s="44">
        <f>IF(INDEX(Suppliers!$A:$A,ROW()-6)="","",INDEX(Suppliers!$A:$A,ROW()-6))</f>
        <v/>
      </c>
      <c r="B14" s="32">
        <f>IF($A14="","",INDEX(Suppliers!$B:$B,ROW()-6))</f>
        <v/>
      </c>
      <c r="C14" s="47">
        <f>IF($A14="","",SUMIFS(GL_Journal!$T:$T,GL_Journal!$G:$G,ACC_SUPPLIERS,GL_Journal!$K:$K,$A14,GL_Journal!$D:$D,"&lt;"&amp;SB_From)-SUMIFS(GL_Journal!$S:$S,GL_Journal!$G:$G,ACC_SUPPLIERS,GL_Journal!$K:$K,$A14,GL_Journal!$D:$D,"&lt;"&amp;SB_From))</f>
        <v/>
      </c>
      <c r="D14" s="43">
        <f>IF($A14="","",SUMIFS(GL_Journal!$T:$T,GL_Journal!$G:$G,ACC_SUPPLIERS,GL_Journal!$K:$K,$A14,GL_Journal!$D:$D,"&gt;="&amp;SB_From,GL_Journal!$D:$D,"&lt;="&amp;SB_To))</f>
        <v/>
      </c>
      <c r="E14" s="43">
        <f>IF($A14="","",SUMIFS(GL_Journal!$S:$S,GL_Journal!$G:$G,ACC_SUPPLIERS,GL_Journal!$K:$K,$A14,GL_Journal!$D:$D,"&gt;="&amp;SB_From,GL_Journal!$D:$D,"&lt;="&amp;SB_To))</f>
        <v/>
      </c>
      <c r="F14" s="47">
        <f>IF($A14="","",$C14+$D14-$E14)</f>
        <v/>
      </c>
      <c r="G14" s="43">
        <f>IF($A14="","",MIN(MAX($F14,0),SUMIFS(Supplier_Invoices!$AC:$AC,Supplier_Invoices!$C:$C,$A14,Supplier_Invoices!$AG:$AG,1,Supplier_Invoices!$Y:$Y,"&gt;="&amp;(SB_To-0),Supplier_Invoices!$E:$E,"&lt;="&amp;SB_To)))</f>
        <v/>
      </c>
      <c r="H14" s="43">
        <f>IF($A14="","",MIN(MAX($F14,0),SUMIFS(Supplier_Invoices!$AC:$AC,Supplier_Invoices!$C:$C,$A14,Supplier_Invoices!$AG:$AG,1,Supplier_Invoices!$Y:$Y,"&gt;="&amp;(SB_To-30),Supplier_Invoices!$E:$E,"&lt;="&amp;SB_To))-MIN(MAX($F14,0),SUMIFS(Supplier_Invoices!$AC:$AC,Supplier_Invoices!$C:$C,$A14,Supplier_Invoices!$AG:$AG,1,Supplier_Invoices!$Y:$Y,"&gt;="&amp;(SB_To-0),Supplier_Invoices!$E:$E,"&lt;="&amp;SB_To)))</f>
        <v/>
      </c>
      <c r="I14" s="43">
        <f>IF($A14="","",MIN(MAX($F14,0),SUMIFS(Supplier_Invoices!$AC:$AC,Supplier_Invoices!$C:$C,$A14,Supplier_Invoices!$AG:$AG,1,Supplier_Invoices!$Y:$Y,"&gt;="&amp;(SB_To-60),Supplier_Invoices!$E:$E,"&lt;="&amp;SB_To))-MIN(MAX($F14,0),SUMIFS(Supplier_Invoices!$AC:$AC,Supplier_Invoices!$C:$C,$A14,Supplier_Invoices!$AG:$AG,1,Supplier_Invoices!$Y:$Y,"&gt;="&amp;(SB_To-30),Supplier_Invoices!$E:$E,"&lt;="&amp;SB_To)))</f>
        <v/>
      </c>
      <c r="J14" s="43">
        <f>IF($A14="","",MIN(MAX($F14,0),SUMIFS(Supplier_Invoices!$AC:$AC,Supplier_Invoices!$C:$C,$A14,Supplier_Invoices!$AG:$AG,1,Supplier_Invoices!$Y:$Y,"&gt;="&amp;(SB_To-90),Supplier_Invoices!$E:$E,"&lt;="&amp;SB_To))-MIN(MAX($F14,0),SUMIFS(Supplier_Invoices!$AC:$AC,Supplier_Invoices!$C:$C,$A14,Supplier_Invoices!$AG:$AG,1,Supplier_Invoices!$Y:$Y,"&gt;="&amp;(SB_To-60),Supplier_Invoices!$E:$E,"&lt;="&amp;SB_To)))</f>
        <v/>
      </c>
      <c r="K14" s="43">
        <f>IF($A14="","",MAX($F14,0)-MIN(MAX($F14,0),SUMIFS(Supplier_Invoices!$AC:$AC,Supplier_Invoices!$C:$C,$A14,Supplier_Invoices!$AG:$AG,1,Supplier_Invoices!$Y:$Y,"&gt;="&amp;(SB_To-90),Supplier_Invoices!$E:$E,"&lt;="&amp;SB_To)))</f>
        <v/>
      </c>
      <c r="L14" s="33">
        <f>IF($A14="","",IF(COUNTIFS(Supplier_Payments!$C:$C,$A14,Supplier_Payments!$V:$V,1)=0,"",_xlfn.MAXIFS(Supplier_Payments!$B:$B,Supplier_Payments!$C:$C,$A14,Supplier_Payments!$V:$V,1)))</f>
        <v/>
      </c>
      <c r="M14" s="32">
        <f>IF($A14="","",IF($F14&lt;-S_Tol,"رصيد مدين للمورد - مراجعة",IF($H14+$I14+$J14+$K14&gt;S_Tol,"يوجد مبالغ متأخرة","")))</f>
        <v/>
      </c>
    </row>
    <row r="15">
      <c r="A15" s="44">
        <f>IF(INDEX(Suppliers!$A:$A,ROW()-6)="","",INDEX(Suppliers!$A:$A,ROW()-6))</f>
        <v/>
      </c>
      <c r="B15" s="32">
        <f>IF($A15="","",INDEX(Suppliers!$B:$B,ROW()-6))</f>
        <v/>
      </c>
      <c r="C15" s="47">
        <f>IF($A15="","",SUMIFS(GL_Journal!$T:$T,GL_Journal!$G:$G,ACC_SUPPLIERS,GL_Journal!$K:$K,$A15,GL_Journal!$D:$D,"&lt;"&amp;SB_From)-SUMIFS(GL_Journal!$S:$S,GL_Journal!$G:$G,ACC_SUPPLIERS,GL_Journal!$K:$K,$A15,GL_Journal!$D:$D,"&lt;"&amp;SB_From))</f>
        <v/>
      </c>
      <c r="D15" s="43">
        <f>IF($A15="","",SUMIFS(GL_Journal!$T:$T,GL_Journal!$G:$G,ACC_SUPPLIERS,GL_Journal!$K:$K,$A15,GL_Journal!$D:$D,"&gt;="&amp;SB_From,GL_Journal!$D:$D,"&lt;="&amp;SB_To))</f>
        <v/>
      </c>
      <c r="E15" s="43">
        <f>IF($A15="","",SUMIFS(GL_Journal!$S:$S,GL_Journal!$G:$G,ACC_SUPPLIERS,GL_Journal!$K:$K,$A15,GL_Journal!$D:$D,"&gt;="&amp;SB_From,GL_Journal!$D:$D,"&lt;="&amp;SB_To))</f>
        <v/>
      </c>
      <c r="F15" s="47">
        <f>IF($A15="","",$C15+$D15-$E15)</f>
        <v/>
      </c>
      <c r="G15" s="43">
        <f>IF($A15="","",MIN(MAX($F15,0),SUMIFS(Supplier_Invoices!$AC:$AC,Supplier_Invoices!$C:$C,$A15,Supplier_Invoices!$AG:$AG,1,Supplier_Invoices!$Y:$Y,"&gt;="&amp;(SB_To-0),Supplier_Invoices!$E:$E,"&lt;="&amp;SB_To)))</f>
        <v/>
      </c>
      <c r="H15" s="43">
        <f>IF($A15="","",MIN(MAX($F15,0),SUMIFS(Supplier_Invoices!$AC:$AC,Supplier_Invoices!$C:$C,$A15,Supplier_Invoices!$AG:$AG,1,Supplier_Invoices!$Y:$Y,"&gt;="&amp;(SB_To-30),Supplier_Invoices!$E:$E,"&lt;="&amp;SB_To))-MIN(MAX($F15,0),SUMIFS(Supplier_Invoices!$AC:$AC,Supplier_Invoices!$C:$C,$A15,Supplier_Invoices!$AG:$AG,1,Supplier_Invoices!$Y:$Y,"&gt;="&amp;(SB_To-0),Supplier_Invoices!$E:$E,"&lt;="&amp;SB_To)))</f>
        <v/>
      </c>
      <c r="I15" s="43">
        <f>IF($A15="","",MIN(MAX($F15,0),SUMIFS(Supplier_Invoices!$AC:$AC,Supplier_Invoices!$C:$C,$A15,Supplier_Invoices!$AG:$AG,1,Supplier_Invoices!$Y:$Y,"&gt;="&amp;(SB_To-60),Supplier_Invoices!$E:$E,"&lt;="&amp;SB_To))-MIN(MAX($F15,0),SUMIFS(Supplier_Invoices!$AC:$AC,Supplier_Invoices!$C:$C,$A15,Supplier_Invoices!$AG:$AG,1,Supplier_Invoices!$Y:$Y,"&gt;="&amp;(SB_To-30),Supplier_Invoices!$E:$E,"&lt;="&amp;SB_To)))</f>
        <v/>
      </c>
      <c r="J15" s="43">
        <f>IF($A15="","",MIN(MAX($F15,0),SUMIFS(Supplier_Invoices!$AC:$AC,Supplier_Invoices!$C:$C,$A15,Supplier_Invoices!$AG:$AG,1,Supplier_Invoices!$Y:$Y,"&gt;="&amp;(SB_To-90),Supplier_Invoices!$E:$E,"&lt;="&amp;SB_To))-MIN(MAX($F15,0),SUMIFS(Supplier_Invoices!$AC:$AC,Supplier_Invoices!$C:$C,$A15,Supplier_Invoices!$AG:$AG,1,Supplier_Invoices!$Y:$Y,"&gt;="&amp;(SB_To-60),Supplier_Invoices!$E:$E,"&lt;="&amp;SB_To)))</f>
        <v/>
      </c>
      <c r="K15" s="43">
        <f>IF($A15="","",MAX($F15,0)-MIN(MAX($F15,0),SUMIFS(Supplier_Invoices!$AC:$AC,Supplier_Invoices!$C:$C,$A15,Supplier_Invoices!$AG:$AG,1,Supplier_Invoices!$Y:$Y,"&gt;="&amp;(SB_To-90),Supplier_Invoices!$E:$E,"&lt;="&amp;SB_To)))</f>
        <v/>
      </c>
      <c r="L15" s="33">
        <f>IF($A15="","",IF(COUNTIFS(Supplier_Payments!$C:$C,$A15,Supplier_Payments!$V:$V,1)=0,"",_xlfn.MAXIFS(Supplier_Payments!$B:$B,Supplier_Payments!$C:$C,$A15,Supplier_Payments!$V:$V,1)))</f>
        <v/>
      </c>
      <c r="M15" s="32">
        <f>IF($A15="","",IF($F15&lt;-S_Tol,"رصيد مدين للمورد - مراجعة",IF($H15+$I15+$J15+$K15&gt;S_Tol,"يوجد مبالغ متأخرة","")))</f>
        <v/>
      </c>
    </row>
    <row r="16">
      <c r="A16" s="44">
        <f>IF(INDEX(Suppliers!$A:$A,ROW()-6)="","",INDEX(Suppliers!$A:$A,ROW()-6))</f>
        <v/>
      </c>
      <c r="B16" s="32">
        <f>IF($A16="","",INDEX(Suppliers!$B:$B,ROW()-6))</f>
        <v/>
      </c>
      <c r="C16" s="47">
        <f>IF($A16="","",SUMIFS(GL_Journal!$T:$T,GL_Journal!$G:$G,ACC_SUPPLIERS,GL_Journal!$K:$K,$A16,GL_Journal!$D:$D,"&lt;"&amp;SB_From)-SUMIFS(GL_Journal!$S:$S,GL_Journal!$G:$G,ACC_SUPPLIERS,GL_Journal!$K:$K,$A16,GL_Journal!$D:$D,"&lt;"&amp;SB_From))</f>
        <v/>
      </c>
      <c r="D16" s="43">
        <f>IF($A16="","",SUMIFS(GL_Journal!$T:$T,GL_Journal!$G:$G,ACC_SUPPLIERS,GL_Journal!$K:$K,$A16,GL_Journal!$D:$D,"&gt;="&amp;SB_From,GL_Journal!$D:$D,"&lt;="&amp;SB_To))</f>
        <v/>
      </c>
      <c r="E16" s="43">
        <f>IF($A16="","",SUMIFS(GL_Journal!$S:$S,GL_Journal!$G:$G,ACC_SUPPLIERS,GL_Journal!$K:$K,$A16,GL_Journal!$D:$D,"&gt;="&amp;SB_From,GL_Journal!$D:$D,"&lt;="&amp;SB_To))</f>
        <v/>
      </c>
      <c r="F16" s="47">
        <f>IF($A16="","",$C16+$D16-$E16)</f>
        <v/>
      </c>
      <c r="G16" s="43">
        <f>IF($A16="","",MIN(MAX($F16,0),SUMIFS(Supplier_Invoices!$AC:$AC,Supplier_Invoices!$C:$C,$A16,Supplier_Invoices!$AG:$AG,1,Supplier_Invoices!$Y:$Y,"&gt;="&amp;(SB_To-0),Supplier_Invoices!$E:$E,"&lt;="&amp;SB_To)))</f>
        <v/>
      </c>
      <c r="H16" s="43">
        <f>IF($A16="","",MIN(MAX($F16,0),SUMIFS(Supplier_Invoices!$AC:$AC,Supplier_Invoices!$C:$C,$A16,Supplier_Invoices!$AG:$AG,1,Supplier_Invoices!$Y:$Y,"&gt;="&amp;(SB_To-30),Supplier_Invoices!$E:$E,"&lt;="&amp;SB_To))-MIN(MAX($F16,0),SUMIFS(Supplier_Invoices!$AC:$AC,Supplier_Invoices!$C:$C,$A16,Supplier_Invoices!$AG:$AG,1,Supplier_Invoices!$Y:$Y,"&gt;="&amp;(SB_To-0),Supplier_Invoices!$E:$E,"&lt;="&amp;SB_To)))</f>
        <v/>
      </c>
      <c r="I16" s="43">
        <f>IF($A16="","",MIN(MAX($F16,0),SUMIFS(Supplier_Invoices!$AC:$AC,Supplier_Invoices!$C:$C,$A16,Supplier_Invoices!$AG:$AG,1,Supplier_Invoices!$Y:$Y,"&gt;="&amp;(SB_To-60),Supplier_Invoices!$E:$E,"&lt;="&amp;SB_To))-MIN(MAX($F16,0),SUMIFS(Supplier_Invoices!$AC:$AC,Supplier_Invoices!$C:$C,$A16,Supplier_Invoices!$AG:$AG,1,Supplier_Invoices!$Y:$Y,"&gt;="&amp;(SB_To-30),Supplier_Invoices!$E:$E,"&lt;="&amp;SB_To)))</f>
        <v/>
      </c>
      <c r="J16" s="43">
        <f>IF($A16="","",MIN(MAX($F16,0),SUMIFS(Supplier_Invoices!$AC:$AC,Supplier_Invoices!$C:$C,$A16,Supplier_Invoices!$AG:$AG,1,Supplier_Invoices!$Y:$Y,"&gt;="&amp;(SB_To-90),Supplier_Invoices!$E:$E,"&lt;="&amp;SB_To))-MIN(MAX($F16,0),SUMIFS(Supplier_Invoices!$AC:$AC,Supplier_Invoices!$C:$C,$A16,Supplier_Invoices!$AG:$AG,1,Supplier_Invoices!$Y:$Y,"&gt;="&amp;(SB_To-60),Supplier_Invoices!$E:$E,"&lt;="&amp;SB_To)))</f>
        <v/>
      </c>
      <c r="K16" s="43">
        <f>IF($A16="","",MAX($F16,0)-MIN(MAX($F16,0),SUMIFS(Supplier_Invoices!$AC:$AC,Supplier_Invoices!$C:$C,$A16,Supplier_Invoices!$AG:$AG,1,Supplier_Invoices!$Y:$Y,"&gt;="&amp;(SB_To-90),Supplier_Invoices!$E:$E,"&lt;="&amp;SB_To)))</f>
        <v/>
      </c>
      <c r="L16" s="33">
        <f>IF($A16="","",IF(COUNTIFS(Supplier_Payments!$C:$C,$A16,Supplier_Payments!$V:$V,1)=0,"",_xlfn.MAXIFS(Supplier_Payments!$B:$B,Supplier_Payments!$C:$C,$A16,Supplier_Payments!$V:$V,1)))</f>
        <v/>
      </c>
      <c r="M16" s="32">
        <f>IF($A16="","",IF($F16&lt;-S_Tol,"رصيد مدين للمورد - مراجعة",IF($H16+$I16+$J16+$K16&gt;S_Tol,"يوجد مبالغ متأخرة","")))</f>
        <v/>
      </c>
    </row>
    <row r="17">
      <c r="A17" s="44">
        <f>IF(INDEX(Suppliers!$A:$A,ROW()-6)="","",INDEX(Suppliers!$A:$A,ROW()-6))</f>
        <v/>
      </c>
      <c r="B17" s="32">
        <f>IF($A17="","",INDEX(Suppliers!$B:$B,ROW()-6))</f>
        <v/>
      </c>
      <c r="C17" s="47">
        <f>IF($A17="","",SUMIFS(GL_Journal!$T:$T,GL_Journal!$G:$G,ACC_SUPPLIERS,GL_Journal!$K:$K,$A17,GL_Journal!$D:$D,"&lt;"&amp;SB_From)-SUMIFS(GL_Journal!$S:$S,GL_Journal!$G:$G,ACC_SUPPLIERS,GL_Journal!$K:$K,$A17,GL_Journal!$D:$D,"&lt;"&amp;SB_From))</f>
        <v/>
      </c>
      <c r="D17" s="43">
        <f>IF($A17="","",SUMIFS(GL_Journal!$T:$T,GL_Journal!$G:$G,ACC_SUPPLIERS,GL_Journal!$K:$K,$A17,GL_Journal!$D:$D,"&gt;="&amp;SB_From,GL_Journal!$D:$D,"&lt;="&amp;SB_To))</f>
        <v/>
      </c>
      <c r="E17" s="43">
        <f>IF($A17="","",SUMIFS(GL_Journal!$S:$S,GL_Journal!$G:$G,ACC_SUPPLIERS,GL_Journal!$K:$K,$A17,GL_Journal!$D:$D,"&gt;="&amp;SB_From,GL_Journal!$D:$D,"&lt;="&amp;SB_To))</f>
        <v/>
      </c>
      <c r="F17" s="47">
        <f>IF($A17="","",$C17+$D17-$E17)</f>
        <v/>
      </c>
      <c r="G17" s="43">
        <f>IF($A17="","",MIN(MAX($F17,0),SUMIFS(Supplier_Invoices!$AC:$AC,Supplier_Invoices!$C:$C,$A17,Supplier_Invoices!$AG:$AG,1,Supplier_Invoices!$Y:$Y,"&gt;="&amp;(SB_To-0),Supplier_Invoices!$E:$E,"&lt;="&amp;SB_To)))</f>
        <v/>
      </c>
      <c r="H17" s="43">
        <f>IF($A17="","",MIN(MAX($F17,0),SUMIFS(Supplier_Invoices!$AC:$AC,Supplier_Invoices!$C:$C,$A17,Supplier_Invoices!$AG:$AG,1,Supplier_Invoices!$Y:$Y,"&gt;="&amp;(SB_To-30),Supplier_Invoices!$E:$E,"&lt;="&amp;SB_To))-MIN(MAX($F17,0),SUMIFS(Supplier_Invoices!$AC:$AC,Supplier_Invoices!$C:$C,$A17,Supplier_Invoices!$AG:$AG,1,Supplier_Invoices!$Y:$Y,"&gt;="&amp;(SB_To-0),Supplier_Invoices!$E:$E,"&lt;="&amp;SB_To)))</f>
        <v/>
      </c>
      <c r="I17" s="43">
        <f>IF($A17="","",MIN(MAX($F17,0),SUMIFS(Supplier_Invoices!$AC:$AC,Supplier_Invoices!$C:$C,$A17,Supplier_Invoices!$AG:$AG,1,Supplier_Invoices!$Y:$Y,"&gt;="&amp;(SB_To-60),Supplier_Invoices!$E:$E,"&lt;="&amp;SB_To))-MIN(MAX($F17,0),SUMIFS(Supplier_Invoices!$AC:$AC,Supplier_Invoices!$C:$C,$A17,Supplier_Invoices!$AG:$AG,1,Supplier_Invoices!$Y:$Y,"&gt;="&amp;(SB_To-30),Supplier_Invoices!$E:$E,"&lt;="&amp;SB_To)))</f>
        <v/>
      </c>
      <c r="J17" s="43">
        <f>IF($A17="","",MIN(MAX($F17,0),SUMIFS(Supplier_Invoices!$AC:$AC,Supplier_Invoices!$C:$C,$A17,Supplier_Invoices!$AG:$AG,1,Supplier_Invoices!$Y:$Y,"&gt;="&amp;(SB_To-90),Supplier_Invoices!$E:$E,"&lt;="&amp;SB_To))-MIN(MAX($F17,0),SUMIFS(Supplier_Invoices!$AC:$AC,Supplier_Invoices!$C:$C,$A17,Supplier_Invoices!$AG:$AG,1,Supplier_Invoices!$Y:$Y,"&gt;="&amp;(SB_To-60),Supplier_Invoices!$E:$E,"&lt;="&amp;SB_To)))</f>
        <v/>
      </c>
      <c r="K17" s="43">
        <f>IF($A17="","",MAX($F17,0)-MIN(MAX($F17,0),SUMIFS(Supplier_Invoices!$AC:$AC,Supplier_Invoices!$C:$C,$A17,Supplier_Invoices!$AG:$AG,1,Supplier_Invoices!$Y:$Y,"&gt;="&amp;(SB_To-90),Supplier_Invoices!$E:$E,"&lt;="&amp;SB_To)))</f>
        <v/>
      </c>
      <c r="L17" s="33">
        <f>IF($A17="","",IF(COUNTIFS(Supplier_Payments!$C:$C,$A17,Supplier_Payments!$V:$V,1)=0,"",_xlfn.MAXIFS(Supplier_Payments!$B:$B,Supplier_Payments!$C:$C,$A17,Supplier_Payments!$V:$V,1)))</f>
        <v/>
      </c>
      <c r="M17" s="32">
        <f>IF($A17="","",IF($F17&lt;-S_Tol,"رصيد مدين للمورد - مراجعة",IF($H17+$I17+$J17+$K17&gt;S_Tol,"يوجد مبالغ متأخرة","")))</f>
        <v/>
      </c>
    </row>
    <row r="18">
      <c r="A18" s="44">
        <f>IF(INDEX(Suppliers!$A:$A,ROW()-6)="","",INDEX(Suppliers!$A:$A,ROW()-6))</f>
        <v/>
      </c>
      <c r="B18" s="32">
        <f>IF($A18="","",INDEX(Suppliers!$B:$B,ROW()-6))</f>
        <v/>
      </c>
      <c r="C18" s="47">
        <f>IF($A18="","",SUMIFS(GL_Journal!$T:$T,GL_Journal!$G:$G,ACC_SUPPLIERS,GL_Journal!$K:$K,$A18,GL_Journal!$D:$D,"&lt;"&amp;SB_From)-SUMIFS(GL_Journal!$S:$S,GL_Journal!$G:$G,ACC_SUPPLIERS,GL_Journal!$K:$K,$A18,GL_Journal!$D:$D,"&lt;"&amp;SB_From))</f>
        <v/>
      </c>
      <c r="D18" s="43">
        <f>IF($A18="","",SUMIFS(GL_Journal!$T:$T,GL_Journal!$G:$G,ACC_SUPPLIERS,GL_Journal!$K:$K,$A18,GL_Journal!$D:$D,"&gt;="&amp;SB_From,GL_Journal!$D:$D,"&lt;="&amp;SB_To))</f>
        <v/>
      </c>
      <c r="E18" s="43">
        <f>IF($A18="","",SUMIFS(GL_Journal!$S:$S,GL_Journal!$G:$G,ACC_SUPPLIERS,GL_Journal!$K:$K,$A18,GL_Journal!$D:$D,"&gt;="&amp;SB_From,GL_Journal!$D:$D,"&lt;="&amp;SB_To))</f>
        <v/>
      </c>
      <c r="F18" s="47">
        <f>IF($A18="","",$C18+$D18-$E18)</f>
        <v/>
      </c>
      <c r="G18" s="43">
        <f>IF($A18="","",MIN(MAX($F18,0),SUMIFS(Supplier_Invoices!$AC:$AC,Supplier_Invoices!$C:$C,$A18,Supplier_Invoices!$AG:$AG,1,Supplier_Invoices!$Y:$Y,"&gt;="&amp;(SB_To-0),Supplier_Invoices!$E:$E,"&lt;="&amp;SB_To)))</f>
        <v/>
      </c>
      <c r="H18" s="43">
        <f>IF($A18="","",MIN(MAX($F18,0),SUMIFS(Supplier_Invoices!$AC:$AC,Supplier_Invoices!$C:$C,$A18,Supplier_Invoices!$AG:$AG,1,Supplier_Invoices!$Y:$Y,"&gt;="&amp;(SB_To-30),Supplier_Invoices!$E:$E,"&lt;="&amp;SB_To))-MIN(MAX($F18,0),SUMIFS(Supplier_Invoices!$AC:$AC,Supplier_Invoices!$C:$C,$A18,Supplier_Invoices!$AG:$AG,1,Supplier_Invoices!$Y:$Y,"&gt;="&amp;(SB_To-0),Supplier_Invoices!$E:$E,"&lt;="&amp;SB_To)))</f>
        <v/>
      </c>
      <c r="I18" s="43">
        <f>IF($A18="","",MIN(MAX($F18,0),SUMIFS(Supplier_Invoices!$AC:$AC,Supplier_Invoices!$C:$C,$A18,Supplier_Invoices!$AG:$AG,1,Supplier_Invoices!$Y:$Y,"&gt;="&amp;(SB_To-60),Supplier_Invoices!$E:$E,"&lt;="&amp;SB_To))-MIN(MAX($F18,0),SUMIFS(Supplier_Invoices!$AC:$AC,Supplier_Invoices!$C:$C,$A18,Supplier_Invoices!$AG:$AG,1,Supplier_Invoices!$Y:$Y,"&gt;="&amp;(SB_To-30),Supplier_Invoices!$E:$E,"&lt;="&amp;SB_To)))</f>
        <v/>
      </c>
      <c r="J18" s="43">
        <f>IF($A18="","",MIN(MAX($F18,0),SUMIFS(Supplier_Invoices!$AC:$AC,Supplier_Invoices!$C:$C,$A18,Supplier_Invoices!$AG:$AG,1,Supplier_Invoices!$Y:$Y,"&gt;="&amp;(SB_To-90),Supplier_Invoices!$E:$E,"&lt;="&amp;SB_To))-MIN(MAX($F18,0),SUMIFS(Supplier_Invoices!$AC:$AC,Supplier_Invoices!$C:$C,$A18,Supplier_Invoices!$AG:$AG,1,Supplier_Invoices!$Y:$Y,"&gt;="&amp;(SB_To-60),Supplier_Invoices!$E:$E,"&lt;="&amp;SB_To)))</f>
        <v/>
      </c>
      <c r="K18" s="43">
        <f>IF($A18="","",MAX($F18,0)-MIN(MAX($F18,0),SUMIFS(Supplier_Invoices!$AC:$AC,Supplier_Invoices!$C:$C,$A18,Supplier_Invoices!$AG:$AG,1,Supplier_Invoices!$Y:$Y,"&gt;="&amp;(SB_To-90),Supplier_Invoices!$E:$E,"&lt;="&amp;SB_To)))</f>
        <v/>
      </c>
      <c r="L18" s="33">
        <f>IF($A18="","",IF(COUNTIFS(Supplier_Payments!$C:$C,$A18,Supplier_Payments!$V:$V,1)=0,"",_xlfn.MAXIFS(Supplier_Payments!$B:$B,Supplier_Payments!$C:$C,$A18,Supplier_Payments!$V:$V,1)))</f>
        <v/>
      </c>
      <c r="M18" s="32">
        <f>IF($A18="","",IF($F18&lt;-S_Tol,"رصيد مدين للمورد - مراجعة",IF($H18+$I18+$J18+$K18&gt;S_Tol,"يوجد مبالغ متأخرة","")))</f>
        <v/>
      </c>
    </row>
    <row r="19">
      <c r="A19" s="44">
        <f>IF(INDEX(Suppliers!$A:$A,ROW()-6)="","",INDEX(Suppliers!$A:$A,ROW()-6))</f>
        <v/>
      </c>
      <c r="B19" s="32">
        <f>IF($A19="","",INDEX(Suppliers!$B:$B,ROW()-6))</f>
        <v/>
      </c>
      <c r="C19" s="47">
        <f>IF($A19="","",SUMIFS(GL_Journal!$T:$T,GL_Journal!$G:$G,ACC_SUPPLIERS,GL_Journal!$K:$K,$A19,GL_Journal!$D:$D,"&lt;"&amp;SB_From)-SUMIFS(GL_Journal!$S:$S,GL_Journal!$G:$G,ACC_SUPPLIERS,GL_Journal!$K:$K,$A19,GL_Journal!$D:$D,"&lt;"&amp;SB_From))</f>
        <v/>
      </c>
      <c r="D19" s="43">
        <f>IF($A19="","",SUMIFS(GL_Journal!$T:$T,GL_Journal!$G:$G,ACC_SUPPLIERS,GL_Journal!$K:$K,$A19,GL_Journal!$D:$D,"&gt;="&amp;SB_From,GL_Journal!$D:$D,"&lt;="&amp;SB_To))</f>
        <v/>
      </c>
      <c r="E19" s="43">
        <f>IF($A19="","",SUMIFS(GL_Journal!$S:$S,GL_Journal!$G:$G,ACC_SUPPLIERS,GL_Journal!$K:$K,$A19,GL_Journal!$D:$D,"&gt;="&amp;SB_From,GL_Journal!$D:$D,"&lt;="&amp;SB_To))</f>
        <v/>
      </c>
      <c r="F19" s="47">
        <f>IF($A19="","",$C19+$D19-$E19)</f>
        <v/>
      </c>
      <c r="G19" s="43">
        <f>IF($A19="","",MIN(MAX($F19,0),SUMIFS(Supplier_Invoices!$AC:$AC,Supplier_Invoices!$C:$C,$A19,Supplier_Invoices!$AG:$AG,1,Supplier_Invoices!$Y:$Y,"&gt;="&amp;(SB_To-0),Supplier_Invoices!$E:$E,"&lt;="&amp;SB_To)))</f>
        <v/>
      </c>
      <c r="H19" s="43">
        <f>IF($A19="","",MIN(MAX($F19,0),SUMIFS(Supplier_Invoices!$AC:$AC,Supplier_Invoices!$C:$C,$A19,Supplier_Invoices!$AG:$AG,1,Supplier_Invoices!$Y:$Y,"&gt;="&amp;(SB_To-30),Supplier_Invoices!$E:$E,"&lt;="&amp;SB_To))-MIN(MAX($F19,0),SUMIFS(Supplier_Invoices!$AC:$AC,Supplier_Invoices!$C:$C,$A19,Supplier_Invoices!$AG:$AG,1,Supplier_Invoices!$Y:$Y,"&gt;="&amp;(SB_To-0),Supplier_Invoices!$E:$E,"&lt;="&amp;SB_To)))</f>
        <v/>
      </c>
      <c r="I19" s="43">
        <f>IF($A19="","",MIN(MAX($F19,0),SUMIFS(Supplier_Invoices!$AC:$AC,Supplier_Invoices!$C:$C,$A19,Supplier_Invoices!$AG:$AG,1,Supplier_Invoices!$Y:$Y,"&gt;="&amp;(SB_To-60),Supplier_Invoices!$E:$E,"&lt;="&amp;SB_To))-MIN(MAX($F19,0),SUMIFS(Supplier_Invoices!$AC:$AC,Supplier_Invoices!$C:$C,$A19,Supplier_Invoices!$AG:$AG,1,Supplier_Invoices!$Y:$Y,"&gt;="&amp;(SB_To-30),Supplier_Invoices!$E:$E,"&lt;="&amp;SB_To)))</f>
        <v/>
      </c>
      <c r="J19" s="43">
        <f>IF($A19="","",MIN(MAX($F19,0),SUMIFS(Supplier_Invoices!$AC:$AC,Supplier_Invoices!$C:$C,$A19,Supplier_Invoices!$AG:$AG,1,Supplier_Invoices!$Y:$Y,"&gt;="&amp;(SB_To-90),Supplier_Invoices!$E:$E,"&lt;="&amp;SB_To))-MIN(MAX($F19,0),SUMIFS(Supplier_Invoices!$AC:$AC,Supplier_Invoices!$C:$C,$A19,Supplier_Invoices!$AG:$AG,1,Supplier_Invoices!$Y:$Y,"&gt;="&amp;(SB_To-60),Supplier_Invoices!$E:$E,"&lt;="&amp;SB_To)))</f>
        <v/>
      </c>
      <c r="K19" s="43">
        <f>IF($A19="","",MAX($F19,0)-MIN(MAX($F19,0),SUMIFS(Supplier_Invoices!$AC:$AC,Supplier_Invoices!$C:$C,$A19,Supplier_Invoices!$AG:$AG,1,Supplier_Invoices!$Y:$Y,"&gt;="&amp;(SB_To-90),Supplier_Invoices!$E:$E,"&lt;="&amp;SB_To)))</f>
        <v/>
      </c>
      <c r="L19" s="33">
        <f>IF($A19="","",IF(COUNTIFS(Supplier_Payments!$C:$C,$A19,Supplier_Payments!$V:$V,1)=0,"",_xlfn.MAXIFS(Supplier_Payments!$B:$B,Supplier_Payments!$C:$C,$A19,Supplier_Payments!$V:$V,1)))</f>
        <v/>
      </c>
      <c r="M19" s="32">
        <f>IF($A19="","",IF($F19&lt;-S_Tol,"رصيد مدين للمورد - مراجعة",IF($H19+$I19+$J19+$K19&gt;S_Tol,"يوجد مبالغ متأخرة","")))</f>
        <v/>
      </c>
    </row>
    <row r="20">
      <c r="A20" s="44">
        <f>IF(INDEX(Suppliers!$A:$A,ROW()-6)="","",INDEX(Suppliers!$A:$A,ROW()-6))</f>
        <v/>
      </c>
      <c r="B20" s="32">
        <f>IF($A20="","",INDEX(Suppliers!$B:$B,ROW()-6))</f>
        <v/>
      </c>
      <c r="C20" s="47">
        <f>IF($A20="","",SUMIFS(GL_Journal!$T:$T,GL_Journal!$G:$G,ACC_SUPPLIERS,GL_Journal!$K:$K,$A20,GL_Journal!$D:$D,"&lt;"&amp;SB_From)-SUMIFS(GL_Journal!$S:$S,GL_Journal!$G:$G,ACC_SUPPLIERS,GL_Journal!$K:$K,$A20,GL_Journal!$D:$D,"&lt;"&amp;SB_From))</f>
        <v/>
      </c>
      <c r="D20" s="43">
        <f>IF($A20="","",SUMIFS(GL_Journal!$T:$T,GL_Journal!$G:$G,ACC_SUPPLIERS,GL_Journal!$K:$K,$A20,GL_Journal!$D:$D,"&gt;="&amp;SB_From,GL_Journal!$D:$D,"&lt;="&amp;SB_To))</f>
        <v/>
      </c>
      <c r="E20" s="43">
        <f>IF($A20="","",SUMIFS(GL_Journal!$S:$S,GL_Journal!$G:$G,ACC_SUPPLIERS,GL_Journal!$K:$K,$A20,GL_Journal!$D:$D,"&gt;="&amp;SB_From,GL_Journal!$D:$D,"&lt;="&amp;SB_To))</f>
        <v/>
      </c>
      <c r="F20" s="47">
        <f>IF($A20="","",$C20+$D20-$E20)</f>
        <v/>
      </c>
      <c r="G20" s="43">
        <f>IF($A20="","",MIN(MAX($F20,0),SUMIFS(Supplier_Invoices!$AC:$AC,Supplier_Invoices!$C:$C,$A20,Supplier_Invoices!$AG:$AG,1,Supplier_Invoices!$Y:$Y,"&gt;="&amp;(SB_To-0),Supplier_Invoices!$E:$E,"&lt;="&amp;SB_To)))</f>
        <v/>
      </c>
      <c r="H20" s="43">
        <f>IF($A20="","",MIN(MAX($F20,0),SUMIFS(Supplier_Invoices!$AC:$AC,Supplier_Invoices!$C:$C,$A20,Supplier_Invoices!$AG:$AG,1,Supplier_Invoices!$Y:$Y,"&gt;="&amp;(SB_To-30),Supplier_Invoices!$E:$E,"&lt;="&amp;SB_To))-MIN(MAX($F20,0),SUMIFS(Supplier_Invoices!$AC:$AC,Supplier_Invoices!$C:$C,$A20,Supplier_Invoices!$AG:$AG,1,Supplier_Invoices!$Y:$Y,"&gt;="&amp;(SB_To-0),Supplier_Invoices!$E:$E,"&lt;="&amp;SB_To)))</f>
        <v/>
      </c>
      <c r="I20" s="43">
        <f>IF($A20="","",MIN(MAX($F20,0),SUMIFS(Supplier_Invoices!$AC:$AC,Supplier_Invoices!$C:$C,$A20,Supplier_Invoices!$AG:$AG,1,Supplier_Invoices!$Y:$Y,"&gt;="&amp;(SB_To-60),Supplier_Invoices!$E:$E,"&lt;="&amp;SB_To))-MIN(MAX($F20,0),SUMIFS(Supplier_Invoices!$AC:$AC,Supplier_Invoices!$C:$C,$A20,Supplier_Invoices!$AG:$AG,1,Supplier_Invoices!$Y:$Y,"&gt;="&amp;(SB_To-30),Supplier_Invoices!$E:$E,"&lt;="&amp;SB_To)))</f>
        <v/>
      </c>
      <c r="J20" s="43">
        <f>IF($A20="","",MIN(MAX($F20,0),SUMIFS(Supplier_Invoices!$AC:$AC,Supplier_Invoices!$C:$C,$A20,Supplier_Invoices!$AG:$AG,1,Supplier_Invoices!$Y:$Y,"&gt;="&amp;(SB_To-90),Supplier_Invoices!$E:$E,"&lt;="&amp;SB_To))-MIN(MAX($F20,0),SUMIFS(Supplier_Invoices!$AC:$AC,Supplier_Invoices!$C:$C,$A20,Supplier_Invoices!$AG:$AG,1,Supplier_Invoices!$Y:$Y,"&gt;="&amp;(SB_To-60),Supplier_Invoices!$E:$E,"&lt;="&amp;SB_To)))</f>
        <v/>
      </c>
      <c r="K20" s="43">
        <f>IF($A20="","",MAX($F20,0)-MIN(MAX($F20,0),SUMIFS(Supplier_Invoices!$AC:$AC,Supplier_Invoices!$C:$C,$A20,Supplier_Invoices!$AG:$AG,1,Supplier_Invoices!$Y:$Y,"&gt;="&amp;(SB_To-90),Supplier_Invoices!$E:$E,"&lt;="&amp;SB_To)))</f>
        <v/>
      </c>
      <c r="L20" s="33">
        <f>IF($A20="","",IF(COUNTIFS(Supplier_Payments!$C:$C,$A20,Supplier_Payments!$V:$V,1)=0,"",_xlfn.MAXIFS(Supplier_Payments!$B:$B,Supplier_Payments!$C:$C,$A20,Supplier_Payments!$V:$V,1)))</f>
        <v/>
      </c>
      <c r="M20" s="32">
        <f>IF($A20="","",IF($F20&lt;-S_Tol,"رصيد مدين للمورد - مراجعة",IF($H20+$I20+$J20+$K20&gt;S_Tol,"يوجد مبالغ متأخرة","")))</f>
        <v/>
      </c>
    </row>
    <row r="21">
      <c r="A21" s="44">
        <f>IF(INDEX(Suppliers!$A:$A,ROW()-6)="","",INDEX(Suppliers!$A:$A,ROW()-6))</f>
        <v/>
      </c>
      <c r="B21" s="32">
        <f>IF($A21="","",INDEX(Suppliers!$B:$B,ROW()-6))</f>
        <v/>
      </c>
      <c r="C21" s="47">
        <f>IF($A21="","",SUMIFS(GL_Journal!$T:$T,GL_Journal!$G:$G,ACC_SUPPLIERS,GL_Journal!$K:$K,$A21,GL_Journal!$D:$D,"&lt;"&amp;SB_From)-SUMIFS(GL_Journal!$S:$S,GL_Journal!$G:$G,ACC_SUPPLIERS,GL_Journal!$K:$K,$A21,GL_Journal!$D:$D,"&lt;"&amp;SB_From))</f>
        <v/>
      </c>
      <c r="D21" s="43">
        <f>IF($A21="","",SUMIFS(GL_Journal!$T:$T,GL_Journal!$G:$G,ACC_SUPPLIERS,GL_Journal!$K:$K,$A21,GL_Journal!$D:$D,"&gt;="&amp;SB_From,GL_Journal!$D:$D,"&lt;="&amp;SB_To))</f>
        <v/>
      </c>
      <c r="E21" s="43">
        <f>IF($A21="","",SUMIFS(GL_Journal!$S:$S,GL_Journal!$G:$G,ACC_SUPPLIERS,GL_Journal!$K:$K,$A21,GL_Journal!$D:$D,"&gt;="&amp;SB_From,GL_Journal!$D:$D,"&lt;="&amp;SB_To))</f>
        <v/>
      </c>
      <c r="F21" s="47">
        <f>IF($A21="","",$C21+$D21-$E21)</f>
        <v/>
      </c>
      <c r="G21" s="43">
        <f>IF($A21="","",MIN(MAX($F21,0),SUMIFS(Supplier_Invoices!$AC:$AC,Supplier_Invoices!$C:$C,$A21,Supplier_Invoices!$AG:$AG,1,Supplier_Invoices!$Y:$Y,"&gt;="&amp;(SB_To-0),Supplier_Invoices!$E:$E,"&lt;="&amp;SB_To)))</f>
        <v/>
      </c>
      <c r="H21" s="43">
        <f>IF($A21="","",MIN(MAX($F21,0),SUMIFS(Supplier_Invoices!$AC:$AC,Supplier_Invoices!$C:$C,$A21,Supplier_Invoices!$AG:$AG,1,Supplier_Invoices!$Y:$Y,"&gt;="&amp;(SB_To-30),Supplier_Invoices!$E:$E,"&lt;="&amp;SB_To))-MIN(MAX($F21,0),SUMIFS(Supplier_Invoices!$AC:$AC,Supplier_Invoices!$C:$C,$A21,Supplier_Invoices!$AG:$AG,1,Supplier_Invoices!$Y:$Y,"&gt;="&amp;(SB_To-0),Supplier_Invoices!$E:$E,"&lt;="&amp;SB_To)))</f>
        <v/>
      </c>
      <c r="I21" s="43">
        <f>IF($A21="","",MIN(MAX($F21,0),SUMIFS(Supplier_Invoices!$AC:$AC,Supplier_Invoices!$C:$C,$A21,Supplier_Invoices!$AG:$AG,1,Supplier_Invoices!$Y:$Y,"&gt;="&amp;(SB_To-60),Supplier_Invoices!$E:$E,"&lt;="&amp;SB_To))-MIN(MAX($F21,0),SUMIFS(Supplier_Invoices!$AC:$AC,Supplier_Invoices!$C:$C,$A21,Supplier_Invoices!$AG:$AG,1,Supplier_Invoices!$Y:$Y,"&gt;="&amp;(SB_To-30),Supplier_Invoices!$E:$E,"&lt;="&amp;SB_To)))</f>
        <v/>
      </c>
      <c r="J21" s="43">
        <f>IF($A21="","",MIN(MAX($F21,0),SUMIFS(Supplier_Invoices!$AC:$AC,Supplier_Invoices!$C:$C,$A21,Supplier_Invoices!$AG:$AG,1,Supplier_Invoices!$Y:$Y,"&gt;="&amp;(SB_To-90),Supplier_Invoices!$E:$E,"&lt;="&amp;SB_To))-MIN(MAX($F21,0),SUMIFS(Supplier_Invoices!$AC:$AC,Supplier_Invoices!$C:$C,$A21,Supplier_Invoices!$AG:$AG,1,Supplier_Invoices!$Y:$Y,"&gt;="&amp;(SB_To-60),Supplier_Invoices!$E:$E,"&lt;="&amp;SB_To)))</f>
        <v/>
      </c>
      <c r="K21" s="43">
        <f>IF($A21="","",MAX($F21,0)-MIN(MAX($F21,0),SUMIFS(Supplier_Invoices!$AC:$AC,Supplier_Invoices!$C:$C,$A21,Supplier_Invoices!$AG:$AG,1,Supplier_Invoices!$Y:$Y,"&gt;="&amp;(SB_To-90),Supplier_Invoices!$E:$E,"&lt;="&amp;SB_To)))</f>
        <v/>
      </c>
      <c r="L21" s="33">
        <f>IF($A21="","",IF(COUNTIFS(Supplier_Payments!$C:$C,$A21,Supplier_Payments!$V:$V,1)=0,"",_xlfn.MAXIFS(Supplier_Payments!$B:$B,Supplier_Payments!$C:$C,$A21,Supplier_Payments!$V:$V,1)))</f>
        <v/>
      </c>
      <c r="M21" s="32">
        <f>IF($A21="","",IF($F21&lt;-S_Tol,"رصيد مدين للمورد - مراجعة",IF($H21+$I21+$J21+$K21&gt;S_Tol,"يوجد مبالغ متأخرة","")))</f>
        <v/>
      </c>
    </row>
    <row r="22">
      <c r="A22" s="44">
        <f>IF(INDEX(Suppliers!$A:$A,ROW()-6)="","",INDEX(Suppliers!$A:$A,ROW()-6))</f>
        <v/>
      </c>
      <c r="B22" s="32">
        <f>IF($A22="","",INDEX(Suppliers!$B:$B,ROW()-6))</f>
        <v/>
      </c>
      <c r="C22" s="47">
        <f>IF($A22="","",SUMIFS(GL_Journal!$T:$T,GL_Journal!$G:$G,ACC_SUPPLIERS,GL_Journal!$K:$K,$A22,GL_Journal!$D:$D,"&lt;"&amp;SB_From)-SUMIFS(GL_Journal!$S:$S,GL_Journal!$G:$G,ACC_SUPPLIERS,GL_Journal!$K:$K,$A22,GL_Journal!$D:$D,"&lt;"&amp;SB_From))</f>
        <v/>
      </c>
      <c r="D22" s="43">
        <f>IF($A22="","",SUMIFS(GL_Journal!$T:$T,GL_Journal!$G:$G,ACC_SUPPLIERS,GL_Journal!$K:$K,$A22,GL_Journal!$D:$D,"&gt;="&amp;SB_From,GL_Journal!$D:$D,"&lt;="&amp;SB_To))</f>
        <v/>
      </c>
      <c r="E22" s="43">
        <f>IF($A22="","",SUMIFS(GL_Journal!$S:$S,GL_Journal!$G:$G,ACC_SUPPLIERS,GL_Journal!$K:$K,$A22,GL_Journal!$D:$D,"&gt;="&amp;SB_From,GL_Journal!$D:$D,"&lt;="&amp;SB_To))</f>
        <v/>
      </c>
      <c r="F22" s="47">
        <f>IF($A22="","",$C22+$D22-$E22)</f>
        <v/>
      </c>
      <c r="G22" s="43">
        <f>IF($A22="","",MIN(MAX($F22,0),SUMIFS(Supplier_Invoices!$AC:$AC,Supplier_Invoices!$C:$C,$A22,Supplier_Invoices!$AG:$AG,1,Supplier_Invoices!$Y:$Y,"&gt;="&amp;(SB_To-0),Supplier_Invoices!$E:$E,"&lt;="&amp;SB_To)))</f>
        <v/>
      </c>
      <c r="H22" s="43">
        <f>IF($A22="","",MIN(MAX($F22,0),SUMIFS(Supplier_Invoices!$AC:$AC,Supplier_Invoices!$C:$C,$A22,Supplier_Invoices!$AG:$AG,1,Supplier_Invoices!$Y:$Y,"&gt;="&amp;(SB_To-30),Supplier_Invoices!$E:$E,"&lt;="&amp;SB_To))-MIN(MAX($F22,0),SUMIFS(Supplier_Invoices!$AC:$AC,Supplier_Invoices!$C:$C,$A22,Supplier_Invoices!$AG:$AG,1,Supplier_Invoices!$Y:$Y,"&gt;="&amp;(SB_To-0),Supplier_Invoices!$E:$E,"&lt;="&amp;SB_To)))</f>
        <v/>
      </c>
      <c r="I22" s="43">
        <f>IF($A22="","",MIN(MAX($F22,0),SUMIFS(Supplier_Invoices!$AC:$AC,Supplier_Invoices!$C:$C,$A22,Supplier_Invoices!$AG:$AG,1,Supplier_Invoices!$Y:$Y,"&gt;="&amp;(SB_To-60),Supplier_Invoices!$E:$E,"&lt;="&amp;SB_To))-MIN(MAX($F22,0),SUMIFS(Supplier_Invoices!$AC:$AC,Supplier_Invoices!$C:$C,$A22,Supplier_Invoices!$AG:$AG,1,Supplier_Invoices!$Y:$Y,"&gt;="&amp;(SB_To-30),Supplier_Invoices!$E:$E,"&lt;="&amp;SB_To)))</f>
        <v/>
      </c>
      <c r="J22" s="43">
        <f>IF($A22="","",MIN(MAX($F22,0),SUMIFS(Supplier_Invoices!$AC:$AC,Supplier_Invoices!$C:$C,$A22,Supplier_Invoices!$AG:$AG,1,Supplier_Invoices!$Y:$Y,"&gt;="&amp;(SB_To-90),Supplier_Invoices!$E:$E,"&lt;="&amp;SB_To))-MIN(MAX($F22,0),SUMIFS(Supplier_Invoices!$AC:$AC,Supplier_Invoices!$C:$C,$A22,Supplier_Invoices!$AG:$AG,1,Supplier_Invoices!$Y:$Y,"&gt;="&amp;(SB_To-60),Supplier_Invoices!$E:$E,"&lt;="&amp;SB_To)))</f>
        <v/>
      </c>
      <c r="K22" s="43">
        <f>IF($A22="","",MAX($F22,0)-MIN(MAX($F22,0),SUMIFS(Supplier_Invoices!$AC:$AC,Supplier_Invoices!$C:$C,$A22,Supplier_Invoices!$AG:$AG,1,Supplier_Invoices!$Y:$Y,"&gt;="&amp;(SB_To-90),Supplier_Invoices!$E:$E,"&lt;="&amp;SB_To)))</f>
        <v/>
      </c>
      <c r="L22" s="33">
        <f>IF($A22="","",IF(COUNTIFS(Supplier_Payments!$C:$C,$A22,Supplier_Payments!$V:$V,1)=0,"",_xlfn.MAXIFS(Supplier_Payments!$B:$B,Supplier_Payments!$C:$C,$A22,Supplier_Payments!$V:$V,1)))</f>
        <v/>
      </c>
      <c r="M22" s="32">
        <f>IF($A22="","",IF($F22&lt;-S_Tol,"رصيد مدين للمورد - مراجعة",IF($H22+$I22+$J22+$K22&gt;S_Tol,"يوجد مبالغ متأخرة","")))</f>
        <v/>
      </c>
    </row>
    <row r="23">
      <c r="A23" s="44">
        <f>IF(INDEX(Suppliers!$A:$A,ROW()-6)="","",INDEX(Suppliers!$A:$A,ROW()-6))</f>
        <v/>
      </c>
      <c r="B23" s="32">
        <f>IF($A23="","",INDEX(Suppliers!$B:$B,ROW()-6))</f>
        <v/>
      </c>
      <c r="C23" s="47">
        <f>IF($A23="","",SUMIFS(GL_Journal!$T:$T,GL_Journal!$G:$G,ACC_SUPPLIERS,GL_Journal!$K:$K,$A23,GL_Journal!$D:$D,"&lt;"&amp;SB_From)-SUMIFS(GL_Journal!$S:$S,GL_Journal!$G:$G,ACC_SUPPLIERS,GL_Journal!$K:$K,$A23,GL_Journal!$D:$D,"&lt;"&amp;SB_From))</f>
        <v/>
      </c>
      <c r="D23" s="43">
        <f>IF($A23="","",SUMIFS(GL_Journal!$T:$T,GL_Journal!$G:$G,ACC_SUPPLIERS,GL_Journal!$K:$K,$A23,GL_Journal!$D:$D,"&gt;="&amp;SB_From,GL_Journal!$D:$D,"&lt;="&amp;SB_To))</f>
        <v/>
      </c>
      <c r="E23" s="43">
        <f>IF($A23="","",SUMIFS(GL_Journal!$S:$S,GL_Journal!$G:$G,ACC_SUPPLIERS,GL_Journal!$K:$K,$A23,GL_Journal!$D:$D,"&gt;="&amp;SB_From,GL_Journal!$D:$D,"&lt;="&amp;SB_To))</f>
        <v/>
      </c>
      <c r="F23" s="47">
        <f>IF($A23="","",$C23+$D23-$E23)</f>
        <v/>
      </c>
      <c r="G23" s="43">
        <f>IF($A23="","",MIN(MAX($F23,0),SUMIFS(Supplier_Invoices!$AC:$AC,Supplier_Invoices!$C:$C,$A23,Supplier_Invoices!$AG:$AG,1,Supplier_Invoices!$Y:$Y,"&gt;="&amp;(SB_To-0),Supplier_Invoices!$E:$E,"&lt;="&amp;SB_To)))</f>
        <v/>
      </c>
      <c r="H23" s="43">
        <f>IF($A23="","",MIN(MAX($F23,0),SUMIFS(Supplier_Invoices!$AC:$AC,Supplier_Invoices!$C:$C,$A23,Supplier_Invoices!$AG:$AG,1,Supplier_Invoices!$Y:$Y,"&gt;="&amp;(SB_To-30),Supplier_Invoices!$E:$E,"&lt;="&amp;SB_To))-MIN(MAX($F23,0),SUMIFS(Supplier_Invoices!$AC:$AC,Supplier_Invoices!$C:$C,$A23,Supplier_Invoices!$AG:$AG,1,Supplier_Invoices!$Y:$Y,"&gt;="&amp;(SB_To-0),Supplier_Invoices!$E:$E,"&lt;="&amp;SB_To)))</f>
        <v/>
      </c>
      <c r="I23" s="43">
        <f>IF($A23="","",MIN(MAX($F23,0),SUMIFS(Supplier_Invoices!$AC:$AC,Supplier_Invoices!$C:$C,$A23,Supplier_Invoices!$AG:$AG,1,Supplier_Invoices!$Y:$Y,"&gt;="&amp;(SB_To-60),Supplier_Invoices!$E:$E,"&lt;="&amp;SB_To))-MIN(MAX($F23,0),SUMIFS(Supplier_Invoices!$AC:$AC,Supplier_Invoices!$C:$C,$A23,Supplier_Invoices!$AG:$AG,1,Supplier_Invoices!$Y:$Y,"&gt;="&amp;(SB_To-30),Supplier_Invoices!$E:$E,"&lt;="&amp;SB_To)))</f>
        <v/>
      </c>
      <c r="J23" s="43">
        <f>IF($A23="","",MIN(MAX($F23,0),SUMIFS(Supplier_Invoices!$AC:$AC,Supplier_Invoices!$C:$C,$A23,Supplier_Invoices!$AG:$AG,1,Supplier_Invoices!$Y:$Y,"&gt;="&amp;(SB_To-90),Supplier_Invoices!$E:$E,"&lt;="&amp;SB_To))-MIN(MAX($F23,0),SUMIFS(Supplier_Invoices!$AC:$AC,Supplier_Invoices!$C:$C,$A23,Supplier_Invoices!$AG:$AG,1,Supplier_Invoices!$Y:$Y,"&gt;="&amp;(SB_To-60),Supplier_Invoices!$E:$E,"&lt;="&amp;SB_To)))</f>
        <v/>
      </c>
      <c r="K23" s="43">
        <f>IF($A23="","",MAX($F23,0)-MIN(MAX($F23,0),SUMIFS(Supplier_Invoices!$AC:$AC,Supplier_Invoices!$C:$C,$A23,Supplier_Invoices!$AG:$AG,1,Supplier_Invoices!$Y:$Y,"&gt;="&amp;(SB_To-90),Supplier_Invoices!$E:$E,"&lt;="&amp;SB_To)))</f>
        <v/>
      </c>
      <c r="L23" s="33">
        <f>IF($A23="","",IF(COUNTIFS(Supplier_Payments!$C:$C,$A23,Supplier_Payments!$V:$V,1)=0,"",_xlfn.MAXIFS(Supplier_Payments!$B:$B,Supplier_Payments!$C:$C,$A23,Supplier_Payments!$V:$V,1)))</f>
        <v/>
      </c>
      <c r="M23" s="32">
        <f>IF($A23="","",IF($F23&lt;-S_Tol,"رصيد مدين للمورد - مراجعة",IF($H23+$I23+$J23+$K23&gt;S_Tol,"يوجد مبالغ متأخرة","")))</f>
        <v/>
      </c>
    </row>
    <row r="24">
      <c r="A24" s="44">
        <f>IF(INDEX(Suppliers!$A:$A,ROW()-6)="","",INDEX(Suppliers!$A:$A,ROW()-6))</f>
        <v/>
      </c>
      <c r="B24" s="32">
        <f>IF($A24="","",INDEX(Suppliers!$B:$B,ROW()-6))</f>
        <v/>
      </c>
      <c r="C24" s="47">
        <f>IF($A24="","",SUMIFS(GL_Journal!$T:$T,GL_Journal!$G:$G,ACC_SUPPLIERS,GL_Journal!$K:$K,$A24,GL_Journal!$D:$D,"&lt;"&amp;SB_From)-SUMIFS(GL_Journal!$S:$S,GL_Journal!$G:$G,ACC_SUPPLIERS,GL_Journal!$K:$K,$A24,GL_Journal!$D:$D,"&lt;"&amp;SB_From))</f>
        <v/>
      </c>
      <c r="D24" s="43">
        <f>IF($A24="","",SUMIFS(GL_Journal!$T:$T,GL_Journal!$G:$G,ACC_SUPPLIERS,GL_Journal!$K:$K,$A24,GL_Journal!$D:$D,"&gt;="&amp;SB_From,GL_Journal!$D:$D,"&lt;="&amp;SB_To))</f>
        <v/>
      </c>
      <c r="E24" s="43">
        <f>IF($A24="","",SUMIFS(GL_Journal!$S:$S,GL_Journal!$G:$G,ACC_SUPPLIERS,GL_Journal!$K:$K,$A24,GL_Journal!$D:$D,"&gt;="&amp;SB_From,GL_Journal!$D:$D,"&lt;="&amp;SB_To))</f>
        <v/>
      </c>
      <c r="F24" s="47">
        <f>IF($A24="","",$C24+$D24-$E24)</f>
        <v/>
      </c>
      <c r="G24" s="43">
        <f>IF($A24="","",MIN(MAX($F24,0),SUMIFS(Supplier_Invoices!$AC:$AC,Supplier_Invoices!$C:$C,$A24,Supplier_Invoices!$AG:$AG,1,Supplier_Invoices!$Y:$Y,"&gt;="&amp;(SB_To-0),Supplier_Invoices!$E:$E,"&lt;="&amp;SB_To)))</f>
        <v/>
      </c>
      <c r="H24" s="43">
        <f>IF($A24="","",MIN(MAX($F24,0),SUMIFS(Supplier_Invoices!$AC:$AC,Supplier_Invoices!$C:$C,$A24,Supplier_Invoices!$AG:$AG,1,Supplier_Invoices!$Y:$Y,"&gt;="&amp;(SB_To-30),Supplier_Invoices!$E:$E,"&lt;="&amp;SB_To))-MIN(MAX($F24,0),SUMIFS(Supplier_Invoices!$AC:$AC,Supplier_Invoices!$C:$C,$A24,Supplier_Invoices!$AG:$AG,1,Supplier_Invoices!$Y:$Y,"&gt;="&amp;(SB_To-0),Supplier_Invoices!$E:$E,"&lt;="&amp;SB_To)))</f>
        <v/>
      </c>
      <c r="I24" s="43">
        <f>IF($A24="","",MIN(MAX($F24,0),SUMIFS(Supplier_Invoices!$AC:$AC,Supplier_Invoices!$C:$C,$A24,Supplier_Invoices!$AG:$AG,1,Supplier_Invoices!$Y:$Y,"&gt;="&amp;(SB_To-60),Supplier_Invoices!$E:$E,"&lt;="&amp;SB_To))-MIN(MAX($F24,0),SUMIFS(Supplier_Invoices!$AC:$AC,Supplier_Invoices!$C:$C,$A24,Supplier_Invoices!$AG:$AG,1,Supplier_Invoices!$Y:$Y,"&gt;="&amp;(SB_To-30),Supplier_Invoices!$E:$E,"&lt;="&amp;SB_To)))</f>
        <v/>
      </c>
      <c r="J24" s="43">
        <f>IF($A24="","",MIN(MAX($F24,0),SUMIFS(Supplier_Invoices!$AC:$AC,Supplier_Invoices!$C:$C,$A24,Supplier_Invoices!$AG:$AG,1,Supplier_Invoices!$Y:$Y,"&gt;="&amp;(SB_To-90),Supplier_Invoices!$E:$E,"&lt;="&amp;SB_To))-MIN(MAX($F24,0),SUMIFS(Supplier_Invoices!$AC:$AC,Supplier_Invoices!$C:$C,$A24,Supplier_Invoices!$AG:$AG,1,Supplier_Invoices!$Y:$Y,"&gt;="&amp;(SB_To-60),Supplier_Invoices!$E:$E,"&lt;="&amp;SB_To)))</f>
        <v/>
      </c>
      <c r="K24" s="43">
        <f>IF($A24="","",MAX($F24,0)-MIN(MAX($F24,0),SUMIFS(Supplier_Invoices!$AC:$AC,Supplier_Invoices!$C:$C,$A24,Supplier_Invoices!$AG:$AG,1,Supplier_Invoices!$Y:$Y,"&gt;="&amp;(SB_To-90),Supplier_Invoices!$E:$E,"&lt;="&amp;SB_To)))</f>
        <v/>
      </c>
      <c r="L24" s="33">
        <f>IF($A24="","",IF(COUNTIFS(Supplier_Payments!$C:$C,$A24,Supplier_Payments!$V:$V,1)=0,"",_xlfn.MAXIFS(Supplier_Payments!$B:$B,Supplier_Payments!$C:$C,$A24,Supplier_Payments!$V:$V,1)))</f>
        <v/>
      </c>
      <c r="M24" s="32">
        <f>IF($A24="","",IF($F24&lt;-S_Tol,"رصيد مدين للمورد - مراجعة",IF($H24+$I24+$J24+$K24&gt;S_Tol,"يوجد مبالغ متأخرة","")))</f>
        <v/>
      </c>
    </row>
    <row r="25">
      <c r="A25" s="44">
        <f>IF(INDEX(Suppliers!$A:$A,ROW()-6)="","",INDEX(Suppliers!$A:$A,ROW()-6))</f>
        <v/>
      </c>
      <c r="B25" s="32">
        <f>IF($A25="","",INDEX(Suppliers!$B:$B,ROW()-6))</f>
        <v/>
      </c>
      <c r="C25" s="47">
        <f>IF($A25="","",SUMIFS(GL_Journal!$T:$T,GL_Journal!$G:$G,ACC_SUPPLIERS,GL_Journal!$K:$K,$A25,GL_Journal!$D:$D,"&lt;"&amp;SB_From)-SUMIFS(GL_Journal!$S:$S,GL_Journal!$G:$G,ACC_SUPPLIERS,GL_Journal!$K:$K,$A25,GL_Journal!$D:$D,"&lt;"&amp;SB_From))</f>
        <v/>
      </c>
      <c r="D25" s="43">
        <f>IF($A25="","",SUMIFS(GL_Journal!$T:$T,GL_Journal!$G:$G,ACC_SUPPLIERS,GL_Journal!$K:$K,$A25,GL_Journal!$D:$D,"&gt;="&amp;SB_From,GL_Journal!$D:$D,"&lt;="&amp;SB_To))</f>
        <v/>
      </c>
      <c r="E25" s="43">
        <f>IF($A25="","",SUMIFS(GL_Journal!$S:$S,GL_Journal!$G:$G,ACC_SUPPLIERS,GL_Journal!$K:$K,$A25,GL_Journal!$D:$D,"&gt;="&amp;SB_From,GL_Journal!$D:$D,"&lt;="&amp;SB_To))</f>
        <v/>
      </c>
      <c r="F25" s="47">
        <f>IF($A25="","",$C25+$D25-$E25)</f>
        <v/>
      </c>
      <c r="G25" s="43">
        <f>IF($A25="","",MIN(MAX($F25,0),SUMIFS(Supplier_Invoices!$AC:$AC,Supplier_Invoices!$C:$C,$A25,Supplier_Invoices!$AG:$AG,1,Supplier_Invoices!$Y:$Y,"&gt;="&amp;(SB_To-0),Supplier_Invoices!$E:$E,"&lt;="&amp;SB_To)))</f>
        <v/>
      </c>
      <c r="H25" s="43">
        <f>IF($A25="","",MIN(MAX($F25,0),SUMIFS(Supplier_Invoices!$AC:$AC,Supplier_Invoices!$C:$C,$A25,Supplier_Invoices!$AG:$AG,1,Supplier_Invoices!$Y:$Y,"&gt;="&amp;(SB_To-30),Supplier_Invoices!$E:$E,"&lt;="&amp;SB_To))-MIN(MAX($F25,0),SUMIFS(Supplier_Invoices!$AC:$AC,Supplier_Invoices!$C:$C,$A25,Supplier_Invoices!$AG:$AG,1,Supplier_Invoices!$Y:$Y,"&gt;="&amp;(SB_To-0),Supplier_Invoices!$E:$E,"&lt;="&amp;SB_To)))</f>
        <v/>
      </c>
      <c r="I25" s="43">
        <f>IF($A25="","",MIN(MAX($F25,0),SUMIFS(Supplier_Invoices!$AC:$AC,Supplier_Invoices!$C:$C,$A25,Supplier_Invoices!$AG:$AG,1,Supplier_Invoices!$Y:$Y,"&gt;="&amp;(SB_To-60),Supplier_Invoices!$E:$E,"&lt;="&amp;SB_To))-MIN(MAX($F25,0),SUMIFS(Supplier_Invoices!$AC:$AC,Supplier_Invoices!$C:$C,$A25,Supplier_Invoices!$AG:$AG,1,Supplier_Invoices!$Y:$Y,"&gt;="&amp;(SB_To-30),Supplier_Invoices!$E:$E,"&lt;="&amp;SB_To)))</f>
        <v/>
      </c>
      <c r="J25" s="43">
        <f>IF($A25="","",MIN(MAX($F25,0),SUMIFS(Supplier_Invoices!$AC:$AC,Supplier_Invoices!$C:$C,$A25,Supplier_Invoices!$AG:$AG,1,Supplier_Invoices!$Y:$Y,"&gt;="&amp;(SB_To-90),Supplier_Invoices!$E:$E,"&lt;="&amp;SB_To))-MIN(MAX($F25,0),SUMIFS(Supplier_Invoices!$AC:$AC,Supplier_Invoices!$C:$C,$A25,Supplier_Invoices!$AG:$AG,1,Supplier_Invoices!$Y:$Y,"&gt;="&amp;(SB_To-60),Supplier_Invoices!$E:$E,"&lt;="&amp;SB_To)))</f>
        <v/>
      </c>
      <c r="K25" s="43">
        <f>IF($A25="","",MAX($F25,0)-MIN(MAX($F25,0),SUMIFS(Supplier_Invoices!$AC:$AC,Supplier_Invoices!$C:$C,$A25,Supplier_Invoices!$AG:$AG,1,Supplier_Invoices!$Y:$Y,"&gt;="&amp;(SB_To-90),Supplier_Invoices!$E:$E,"&lt;="&amp;SB_To)))</f>
        <v/>
      </c>
      <c r="L25" s="33">
        <f>IF($A25="","",IF(COUNTIFS(Supplier_Payments!$C:$C,$A25,Supplier_Payments!$V:$V,1)=0,"",_xlfn.MAXIFS(Supplier_Payments!$B:$B,Supplier_Payments!$C:$C,$A25,Supplier_Payments!$V:$V,1)))</f>
        <v/>
      </c>
      <c r="M25" s="32">
        <f>IF($A25="","",IF($F25&lt;-S_Tol,"رصيد مدين للمورد - مراجعة",IF($H25+$I25+$J25+$K25&gt;S_Tol,"يوجد مبالغ متأخرة","")))</f>
        <v/>
      </c>
    </row>
    <row r="26">
      <c r="A26" s="44">
        <f>IF(INDEX(Suppliers!$A:$A,ROW()-6)="","",INDEX(Suppliers!$A:$A,ROW()-6))</f>
        <v/>
      </c>
      <c r="B26" s="32">
        <f>IF($A26="","",INDEX(Suppliers!$B:$B,ROW()-6))</f>
        <v/>
      </c>
      <c r="C26" s="47">
        <f>IF($A26="","",SUMIFS(GL_Journal!$T:$T,GL_Journal!$G:$G,ACC_SUPPLIERS,GL_Journal!$K:$K,$A26,GL_Journal!$D:$D,"&lt;"&amp;SB_From)-SUMIFS(GL_Journal!$S:$S,GL_Journal!$G:$G,ACC_SUPPLIERS,GL_Journal!$K:$K,$A26,GL_Journal!$D:$D,"&lt;"&amp;SB_From))</f>
        <v/>
      </c>
      <c r="D26" s="43">
        <f>IF($A26="","",SUMIFS(GL_Journal!$T:$T,GL_Journal!$G:$G,ACC_SUPPLIERS,GL_Journal!$K:$K,$A26,GL_Journal!$D:$D,"&gt;="&amp;SB_From,GL_Journal!$D:$D,"&lt;="&amp;SB_To))</f>
        <v/>
      </c>
      <c r="E26" s="43">
        <f>IF($A26="","",SUMIFS(GL_Journal!$S:$S,GL_Journal!$G:$G,ACC_SUPPLIERS,GL_Journal!$K:$K,$A26,GL_Journal!$D:$D,"&gt;="&amp;SB_From,GL_Journal!$D:$D,"&lt;="&amp;SB_To))</f>
        <v/>
      </c>
      <c r="F26" s="47">
        <f>IF($A26="","",$C26+$D26-$E26)</f>
        <v/>
      </c>
      <c r="G26" s="43">
        <f>IF($A26="","",MIN(MAX($F26,0),SUMIFS(Supplier_Invoices!$AC:$AC,Supplier_Invoices!$C:$C,$A26,Supplier_Invoices!$AG:$AG,1,Supplier_Invoices!$Y:$Y,"&gt;="&amp;(SB_To-0),Supplier_Invoices!$E:$E,"&lt;="&amp;SB_To)))</f>
        <v/>
      </c>
      <c r="H26" s="43">
        <f>IF($A26="","",MIN(MAX($F26,0),SUMIFS(Supplier_Invoices!$AC:$AC,Supplier_Invoices!$C:$C,$A26,Supplier_Invoices!$AG:$AG,1,Supplier_Invoices!$Y:$Y,"&gt;="&amp;(SB_To-30),Supplier_Invoices!$E:$E,"&lt;="&amp;SB_To))-MIN(MAX($F26,0),SUMIFS(Supplier_Invoices!$AC:$AC,Supplier_Invoices!$C:$C,$A26,Supplier_Invoices!$AG:$AG,1,Supplier_Invoices!$Y:$Y,"&gt;="&amp;(SB_To-0),Supplier_Invoices!$E:$E,"&lt;="&amp;SB_To)))</f>
        <v/>
      </c>
      <c r="I26" s="43">
        <f>IF($A26="","",MIN(MAX($F26,0),SUMIFS(Supplier_Invoices!$AC:$AC,Supplier_Invoices!$C:$C,$A26,Supplier_Invoices!$AG:$AG,1,Supplier_Invoices!$Y:$Y,"&gt;="&amp;(SB_To-60),Supplier_Invoices!$E:$E,"&lt;="&amp;SB_To))-MIN(MAX($F26,0),SUMIFS(Supplier_Invoices!$AC:$AC,Supplier_Invoices!$C:$C,$A26,Supplier_Invoices!$AG:$AG,1,Supplier_Invoices!$Y:$Y,"&gt;="&amp;(SB_To-30),Supplier_Invoices!$E:$E,"&lt;="&amp;SB_To)))</f>
        <v/>
      </c>
      <c r="J26" s="43">
        <f>IF($A26="","",MIN(MAX($F26,0),SUMIFS(Supplier_Invoices!$AC:$AC,Supplier_Invoices!$C:$C,$A26,Supplier_Invoices!$AG:$AG,1,Supplier_Invoices!$Y:$Y,"&gt;="&amp;(SB_To-90),Supplier_Invoices!$E:$E,"&lt;="&amp;SB_To))-MIN(MAX($F26,0),SUMIFS(Supplier_Invoices!$AC:$AC,Supplier_Invoices!$C:$C,$A26,Supplier_Invoices!$AG:$AG,1,Supplier_Invoices!$Y:$Y,"&gt;="&amp;(SB_To-60),Supplier_Invoices!$E:$E,"&lt;="&amp;SB_To)))</f>
        <v/>
      </c>
      <c r="K26" s="43">
        <f>IF($A26="","",MAX($F26,0)-MIN(MAX($F26,0),SUMIFS(Supplier_Invoices!$AC:$AC,Supplier_Invoices!$C:$C,$A26,Supplier_Invoices!$AG:$AG,1,Supplier_Invoices!$Y:$Y,"&gt;="&amp;(SB_To-90),Supplier_Invoices!$E:$E,"&lt;="&amp;SB_To)))</f>
        <v/>
      </c>
      <c r="L26" s="33">
        <f>IF($A26="","",IF(COUNTIFS(Supplier_Payments!$C:$C,$A26,Supplier_Payments!$V:$V,1)=0,"",_xlfn.MAXIFS(Supplier_Payments!$B:$B,Supplier_Payments!$C:$C,$A26,Supplier_Payments!$V:$V,1)))</f>
        <v/>
      </c>
      <c r="M26" s="32">
        <f>IF($A26="","",IF($F26&lt;-S_Tol,"رصيد مدين للمورد - مراجعة",IF($H26+$I26+$J26+$K26&gt;S_Tol,"يوجد مبالغ متأخرة","")))</f>
        <v/>
      </c>
    </row>
    <row r="27">
      <c r="A27" s="44">
        <f>IF(INDEX(Suppliers!$A:$A,ROW()-6)="","",INDEX(Suppliers!$A:$A,ROW()-6))</f>
        <v/>
      </c>
      <c r="B27" s="32">
        <f>IF($A27="","",INDEX(Suppliers!$B:$B,ROW()-6))</f>
        <v/>
      </c>
      <c r="C27" s="47">
        <f>IF($A27="","",SUMIFS(GL_Journal!$T:$T,GL_Journal!$G:$G,ACC_SUPPLIERS,GL_Journal!$K:$K,$A27,GL_Journal!$D:$D,"&lt;"&amp;SB_From)-SUMIFS(GL_Journal!$S:$S,GL_Journal!$G:$G,ACC_SUPPLIERS,GL_Journal!$K:$K,$A27,GL_Journal!$D:$D,"&lt;"&amp;SB_From))</f>
        <v/>
      </c>
      <c r="D27" s="43">
        <f>IF($A27="","",SUMIFS(GL_Journal!$T:$T,GL_Journal!$G:$G,ACC_SUPPLIERS,GL_Journal!$K:$K,$A27,GL_Journal!$D:$D,"&gt;="&amp;SB_From,GL_Journal!$D:$D,"&lt;="&amp;SB_To))</f>
        <v/>
      </c>
      <c r="E27" s="43">
        <f>IF($A27="","",SUMIFS(GL_Journal!$S:$S,GL_Journal!$G:$G,ACC_SUPPLIERS,GL_Journal!$K:$K,$A27,GL_Journal!$D:$D,"&gt;="&amp;SB_From,GL_Journal!$D:$D,"&lt;="&amp;SB_To))</f>
        <v/>
      </c>
      <c r="F27" s="47">
        <f>IF($A27="","",$C27+$D27-$E27)</f>
        <v/>
      </c>
      <c r="G27" s="43">
        <f>IF($A27="","",MIN(MAX($F27,0),SUMIFS(Supplier_Invoices!$AC:$AC,Supplier_Invoices!$C:$C,$A27,Supplier_Invoices!$AG:$AG,1,Supplier_Invoices!$Y:$Y,"&gt;="&amp;(SB_To-0),Supplier_Invoices!$E:$E,"&lt;="&amp;SB_To)))</f>
        <v/>
      </c>
      <c r="H27" s="43">
        <f>IF($A27="","",MIN(MAX($F27,0),SUMIFS(Supplier_Invoices!$AC:$AC,Supplier_Invoices!$C:$C,$A27,Supplier_Invoices!$AG:$AG,1,Supplier_Invoices!$Y:$Y,"&gt;="&amp;(SB_To-30),Supplier_Invoices!$E:$E,"&lt;="&amp;SB_To))-MIN(MAX($F27,0),SUMIFS(Supplier_Invoices!$AC:$AC,Supplier_Invoices!$C:$C,$A27,Supplier_Invoices!$AG:$AG,1,Supplier_Invoices!$Y:$Y,"&gt;="&amp;(SB_To-0),Supplier_Invoices!$E:$E,"&lt;="&amp;SB_To)))</f>
        <v/>
      </c>
      <c r="I27" s="43">
        <f>IF($A27="","",MIN(MAX($F27,0),SUMIFS(Supplier_Invoices!$AC:$AC,Supplier_Invoices!$C:$C,$A27,Supplier_Invoices!$AG:$AG,1,Supplier_Invoices!$Y:$Y,"&gt;="&amp;(SB_To-60),Supplier_Invoices!$E:$E,"&lt;="&amp;SB_To))-MIN(MAX($F27,0),SUMIFS(Supplier_Invoices!$AC:$AC,Supplier_Invoices!$C:$C,$A27,Supplier_Invoices!$AG:$AG,1,Supplier_Invoices!$Y:$Y,"&gt;="&amp;(SB_To-30),Supplier_Invoices!$E:$E,"&lt;="&amp;SB_To)))</f>
        <v/>
      </c>
      <c r="J27" s="43">
        <f>IF($A27="","",MIN(MAX($F27,0),SUMIFS(Supplier_Invoices!$AC:$AC,Supplier_Invoices!$C:$C,$A27,Supplier_Invoices!$AG:$AG,1,Supplier_Invoices!$Y:$Y,"&gt;="&amp;(SB_To-90),Supplier_Invoices!$E:$E,"&lt;="&amp;SB_To))-MIN(MAX($F27,0),SUMIFS(Supplier_Invoices!$AC:$AC,Supplier_Invoices!$C:$C,$A27,Supplier_Invoices!$AG:$AG,1,Supplier_Invoices!$Y:$Y,"&gt;="&amp;(SB_To-60),Supplier_Invoices!$E:$E,"&lt;="&amp;SB_To)))</f>
        <v/>
      </c>
      <c r="K27" s="43">
        <f>IF($A27="","",MAX($F27,0)-MIN(MAX($F27,0),SUMIFS(Supplier_Invoices!$AC:$AC,Supplier_Invoices!$C:$C,$A27,Supplier_Invoices!$AG:$AG,1,Supplier_Invoices!$Y:$Y,"&gt;="&amp;(SB_To-90),Supplier_Invoices!$E:$E,"&lt;="&amp;SB_To)))</f>
        <v/>
      </c>
      <c r="L27" s="33">
        <f>IF($A27="","",IF(COUNTIFS(Supplier_Payments!$C:$C,$A27,Supplier_Payments!$V:$V,1)=0,"",_xlfn.MAXIFS(Supplier_Payments!$B:$B,Supplier_Payments!$C:$C,$A27,Supplier_Payments!$V:$V,1)))</f>
        <v/>
      </c>
      <c r="M27" s="32">
        <f>IF($A27="","",IF($F27&lt;-S_Tol,"رصيد مدين للمورد - مراجعة",IF($H27+$I27+$J27+$K27&gt;S_Tol,"يوجد مبالغ متأخرة","")))</f>
        <v/>
      </c>
    </row>
    <row r="28">
      <c r="A28" s="44">
        <f>IF(INDEX(Suppliers!$A:$A,ROW()-6)="","",INDEX(Suppliers!$A:$A,ROW()-6))</f>
        <v/>
      </c>
      <c r="B28" s="32">
        <f>IF($A28="","",INDEX(Suppliers!$B:$B,ROW()-6))</f>
        <v/>
      </c>
      <c r="C28" s="47">
        <f>IF($A28="","",SUMIFS(GL_Journal!$T:$T,GL_Journal!$G:$G,ACC_SUPPLIERS,GL_Journal!$K:$K,$A28,GL_Journal!$D:$D,"&lt;"&amp;SB_From)-SUMIFS(GL_Journal!$S:$S,GL_Journal!$G:$G,ACC_SUPPLIERS,GL_Journal!$K:$K,$A28,GL_Journal!$D:$D,"&lt;"&amp;SB_From))</f>
        <v/>
      </c>
      <c r="D28" s="43">
        <f>IF($A28="","",SUMIFS(GL_Journal!$T:$T,GL_Journal!$G:$G,ACC_SUPPLIERS,GL_Journal!$K:$K,$A28,GL_Journal!$D:$D,"&gt;="&amp;SB_From,GL_Journal!$D:$D,"&lt;="&amp;SB_To))</f>
        <v/>
      </c>
      <c r="E28" s="43">
        <f>IF($A28="","",SUMIFS(GL_Journal!$S:$S,GL_Journal!$G:$G,ACC_SUPPLIERS,GL_Journal!$K:$K,$A28,GL_Journal!$D:$D,"&gt;="&amp;SB_From,GL_Journal!$D:$D,"&lt;="&amp;SB_To))</f>
        <v/>
      </c>
      <c r="F28" s="47">
        <f>IF($A28="","",$C28+$D28-$E28)</f>
        <v/>
      </c>
      <c r="G28" s="43">
        <f>IF($A28="","",MIN(MAX($F28,0),SUMIFS(Supplier_Invoices!$AC:$AC,Supplier_Invoices!$C:$C,$A28,Supplier_Invoices!$AG:$AG,1,Supplier_Invoices!$Y:$Y,"&gt;="&amp;(SB_To-0),Supplier_Invoices!$E:$E,"&lt;="&amp;SB_To)))</f>
        <v/>
      </c>
      <c r="H28" s="43">
        <f>IF($A28="","",MIN(MAX($F28,0),SUMIFS(Supplier_Invoices!$AC:$AC,Supplier_Invoices!$C:$C,$A28,Supplier_Invoices!$AG:$AG,1,Supplier_Invoices!$Y:$Y,"&gt;="&amp;(SB_To-30),Supplier_Invoices!$E:$E,"&lt;="&amp;SB_To))-MIN(MAX($F28,0),SUMIFS(Supplier_Invoices!$AC:$AC,Supplier_Invoices!$C:$C,$A28,Supplier_Invoices!$AG:$AG,1,Supplier_Invoices!$Y:$Y,"&gt;="&amp;(SB_To-0),Supplier_Invoices!$E:$E,"&lt;="&amp;SB_To)))</f>
        <v/>
      </c>
      <c r="I28" s="43">
        <f>IF($A28="","",MIN(MAX($F28,0),SUMIFS(Supplier_Invoices!$AC:$AC,Supplier_Invoices!$C:$C,$A28,Supplier_Invoices!$AG:$AG,1,Supplier_Invoices!$Y:$Y,"&gt;="&amp;(SB_To-60),Supplier_Invoices!$E:$E,"&lt;="&amp;SB_To))-MIN(MAX($F28,0),SUMIFS(Supplier_Invoices!$AC:$AC,Supplier_Invoices!$C:$C,$A28,Supplier_Invoices!$AG:$AG,1,Supplier_Invoices!$Y:$Y,"&gt;="&amp;(SB_To-30),Supplier_Invoices!$E:$E,"&lt;="&amp;SB_To)))</f>
        <v/>
      </c>
      <c r="J28" s="43">
        <f>IF($A28="","",MIN(MAX($F28,0),SUMIFS(Supplier_Invoices!$AC:$AC,Supplier_Invoices!$C:$C,$A28,Supplier_Invoices!$AG:$AG,1,Supplier_Invoices!$Y:$Y,"&gt;="&amp;(SB_To-90),Supplier_Invoices!$E:$E,"&lt;="&amp;SB_To))-MIN(MAX($F28,0),SUMIFS(Supplier_Invoices!$AC:$AC,Supplier_Invoices!$C:$C,$A28,Supplier_Invoices!$AG:$AG,1,Supplier_Invoices!$Y:$Y,"&gt;="&amp;(SB_To-60),Supplier_Invoices!$E:$E,"&lt;="&amp;SB_To)))</f>
        <v/>
      </c>
      <c r="K28" s="43">
        <f>IF($A28="","",MAX($F28,0)-MIN(MAX($F28,0),SUMIFS(Supplier_Invoices!$AC:$AC,Supplier_Invoices!$C:$C,$A28,Supplier_Invoices!$AG:$AG,1,Supplier_Invoices!$Y:$Y,"&gt;="&amp;(SB_To-90),Supplier_Invoices!$E:$E,"&lt;="&amp;SB_To)))</f>
        <v/>
      </c>
      <c r="L28" s="33">
        <f>IF($A28="","",IF(COUNTIFS(Supplier_Payments!$C:$C,$A28,Supplier_Payments!$V:$V,1)=0,"",_xlfn.MAXIFS(Supplier_Payments!$B:$B,Supplier_Payments!$C:$C,$A28,Supplier_Payments!$V:$V,1)))</f>
        <v/>
      </c>
      <c r="M28" s="32">
        <f>IF($A28="","",IF($F28&lt;-S_Tol,"رصيد مدين للمورد - مراجعة",IF($H28+$I28+$J28+$K28&gt;S_Tol,"يوجد مبالغ متأخرة","")))</f>
        <v/>
      </c>
    </row>
    <row r="29">
      <c r="A29" s="44">
        <f>IF(INDEX(Suppliers!$A:$A,ROW()-6)="","",INDEX(Suppliers!$A:$A,ROW()-6))</f>
        <v/>
      </c>
      <c r="B29" s="32">
        <f>IF($A29="","",INDEX(Suppliers!$B:$B,ROW()-6))</f>
        <v/>
      </c>
      <c r="C29" s="47">
        <f>IF($A29="","",SUMIFS(GL_Journal!$T:$T,GL_Journal!$G:$G,ACC_SUPPLIERS,GL_Journal!$K:$K,$A29,GL_Journal!$D:$D,"&lt;"&amp;SB_From)-SUMIFS(GL_Journal!$S:$S,GL_Journal!$G:$G,ACC_SUPPLIERS,GL_Journal!$K:$K,$A29,GL_Journal!$D:$D,"&lt;"&amp;SB_From))</f>
        <v/>
      </c>
      <c r="D29" s="43">
        <f>IF($A29="","",SUMIFS(GL_Journal!$T:$T,GL_Journal!$G:$G,ACC_SUPPLIERS,GL_Journal!$K:$K,$A29,GL_Journal!$D:$D,"&gt;="&amp;SB_From,GL_Journal!$D:$D,"&lt;="&amp;SB_To))</f>
        <v/>
      </c>
      <c r="E29" s="43">
        <f>IF($A29="","",SUMIFS(GL_Journal!$S:$S,GL_Journal!$G:$G,ACC_SUPPLIERS,GL_Journal!$K:$K,$A29,GL_Journal!$D:$D,"&gt;="&amp;SB_From,GL_Journal!$D:$D,"&lt;="&amp;SB_To))</f>
        <v/>
      </c>
      <c r="F29" s="47">
        <f>IF($A29="","",$C29+$D29-$E29)</f>
        <v/>
      </c>
      <c r="G29" s="43">
        <f>IF($A29="","",MIN(MAX($F29,0),SUMIFS(Supplier_Invoices!$AC:$AC,Supplier_Invoices!$C:$C,$A29,Supplier_Invoices!$AG:$AG,1,Supplier_Invoices!$Y:$Y,"&gt;="&amp;(SB_To-0),Supplier_Invoices!$E:$E,"&lt;="&amp;SB_To)))</f>
        <v/>
      </c>
      <c r="H29" s="43">
        <f>IF($A29="","",MIN(MAX($F29,0),SUMIFS(Supplier_Invoices!$AC:$AC,Supplier_Invoices!$C:$C,$A29,Supplier_Invoices!$AG:$AG,1,Supplier_Invoices!$Y:$Y,"&gt;="&amp;(SB_To-30),Supplier_Invoices!$E:$E,"&lt;="&amp;SB_To))-MIN(MAX($F29,0),SUMIFS(Supplier_Invoices!$AC:$AC,Supplier_Invoices!$C:$C,$A29,Supplier_Invoices!$AG:$AG,1,Supplier_Invoices!$Y:$Y,"&gt;="&amp;(SB_To-0),Supplier_Invoices!$E:$E,"&lt;="&amp;SB_To)))</f>
        <v/>
      </c>
      <c r="I29" s="43">
        <f>IF($A29="","",MIN(MAX($F29,0),SUMIFS(Supplier_Invoices!$AC:$AC,Supplier_Invoices!$C:$C,$A29,Supplier_Invoices!$AG:$AG,1,Supplier_Invoices!$Y:$Y,"&gt;="&amp;(SB_To-60),Supplier_Invoices!$E:$E,"&lt;="&amp;SB_To))-MIN(MAX($F29,0),SUMIFS(Supplier_Invoices!$AC:$AC,Supplier_Invoices!$C:$C,$A29,Supplier_Invoices!$AG:$AG,1,Supplier_Invoices!$Y:$Y,"&gt;="&amp;(SB_To-30),Supplier_Invoices!$E:$E,"&lt;="&amp;SB_To)))</f>
        <v/>
      </c>
      <c r="J29" s="43">
        <f>IF($A29="","",MIN(MAX($F29,0),SUMIFS(Supplier_Invoices!$AC:$AC,Supplier_Invoices!$C:$C,$A29,Supplier_Invoices!$AG:$AG,1,Supplier_Invoices!$Y:$Y,"&gt;="&amp;(SB_To-90),Supplier_Invoices!$E:$E,"&lt;="&amp;SB_To))-MIN(MAX($F29,0),SUMIFS(Supplier_Invoices!$AC:$AC,Supplier_Invoices!$C:$C,$A29,Supplier_Invoices!$AG:$AG,1,Supplier_Invoices!$Y:$Y,"&gt;="&amp;(SB_To-60),Supplier_Invoices!$E:$E,"&lt;="&amp;SB_To)))</f>
        <v/>
      </c>
      <c r="K29" s="43">
        <f>IF($A29="","",MAX($F29,0)-MIN(MAX($F29,0),SUMIFS(Supplier_Invoices!$AC:$AC,Supplier_Invoices!$C:$C,$A29,Supplier_Invoices!$AG:$AG,1,Supplier_Invoices!$Y:$Y,"&gt;="&amp;(SB_To-90),Supplier_Invoices!$E:$E,"&lt;="&amp;SB_To)))</f>
        <v/>
      </c>
      <c r="L29" s="33">
        <f>IF($A29="","",IF(COUNTIFS(Supplier_Payments!$C:$C,$A29,Supplier_Payments!$V:$V,1)=0,"",_xlfn.MAXIFS(Supplier_Payments!$B:$B,Supplier_Payments!$C:$C,$A29,Supplier_Payments!$V:$V,1)))</f>
        <v/>
      </c>
      <c r="M29" s="32">
        <f>IF($A29="","",IF($F29&lt;-S_Tol,"رصيد مدين للمورد - مراجعة",IF($H29+$I29+$J29+$K29&gt;S_Tol,"يوجد مبالغ متأخرة","")))</f>
        <v/>
      </c>
    </row>
    <row r="30">
      <c r="A30" s="44">
        <f>IF(INDEX(Suppliers!$A:$A,ROW()-6)="","",INDEX(Suppliers!$A:$A,ROW()-6))</f>
        <v/>
      </c>
      <c r="B30" s="32">
        <f>IF($A30="","",INDEX(Suppliers!$B:$B,ROW()-6))</f>
        <v/>
      </c>
      <c r="C30" s="47">
        <f>IF($A30="","",SUMIFS(GL_Journal!$T:$T,GL_Journal!$G:$G,ACC_SUPPLIERS,GL_Journal!$K:$K,$A30,GL_Journal!$D:$D,"&lt;"&amp;SB_From)-SUMIFS(GL_Journal!$S:$S,GL_Journal!$G:$G,ACC_SUPPLIERS,GL_Journal!$K:$K,$A30,GL_Journal!$D:$D,"&lt;"&amp;SB_From))</f>
        <v/>
      </c>
      <c r="D30" s="43">
        <f>IF($A30="","",SUMIFS(GL_Journal!$T:$T,GL_Journal!$G:$G,ACC_SUPPLIERS,GL_Journal!$K:$K,$A30,GL_Journal!$D:$D,"&gt;="&amp;SB_From,GL_Journal!$D:$D,"&lt;="&amp;SB_To))</f>
        <v/>
      </c>
      <c r="E30" s="43">
        <f>IF($A30="","",SUMIFS(GL_Journal!$S:$S,GL_Journal!$G:$G,ACC_SUPPLIERS,GL_Journal!$K:$K,$A30,GL_Journal!$D:$D,"&gt;="&amp;SB_From,GL_Journal!$D:$D,"&lt;="&amp;SB_To))</f>
        <v/>
      </c>
      <c r="F30" s="47">
        <f>IF($A30="","",$C30+$D30-$E30)</f>
        <v/>
      </c>
      <c r="G30" s="43">
        <f>IF($A30="","",MIN(MAX($F30,0),SUMIFS(Supplier_Invoices!$AC:$AC,Supplier_Invoices!$C:$C,$A30,Supplier_Invoices!$AG:$AG,1,Supplier_Invoices!$Y:$Y,"&gt;="&amp;(SB_To-0),Supplier_Invoices!$E:$E,"&lt;="&amp;SB_To)))</f>
        <v/>
      </c>
      <c r="H30" s="43">
        <f>IF($A30="","",MIN(MAX($F30,0),SUMIFS(Supplier_Invoices!$AC:$AC,Supplier_Invoices!$C:$C,$A30,Supplier_Invoices!$AG:$AG,1,Supplier_Invoices!$Y:$Y,"&gt;="&amp;(SB_To-30),Supplier_Invoices!$E:$E,"&lt;="&amp;SB_To))-MIN(MAX($F30,0),SUMIFS(Supplier_Invoices!$AC:$AC,Supplier_Invoices!$C:$C,$A30,Supplier_Invoices!$AG:$AG,1,Supplier_Invoices!$Y:$Y,"&gt;="&amp;(SB_To-0),Supplier_Invoices!$E:$E,"&lt;="&amp;SB_To)))</f>
        <v/>
      </c>
      <c r="I30" s="43">
        <f>IF($A30="","",MIN(MAX($F30,0),SUMIFS(Supplier_Invoices!$AC:$AC,Supplier_Invoices!$C:$C,$A30,Supplier_Invoices!$AG:$AG,1,Supplier_Invoices!$Y:$Y,"&gt;="&amp;(SB_To-60),Supplier_Invoices!$E:$E,"&lt;="&amp;SB_To))-MIN(MAX($F30,0),SUMIFS(Supplier_Invoices!$AC:$AC,Supplier_Invoices!$C:$C,$A30,Supplier_Invoices!$AG:$AG,1,Supplier_Invoices!$Y:$Y,"&gt;="&amp;(SB_To-30),Supplier_Invoices!$E:$E,"&lt;="&amp;SB_To)))</f>
        <v/>
      </c>
      <c r="J30" s="43">
        <f>IF($A30="","",MIN(MAX($F30,0),SUMIFS(Supplier_Invoices!$AC:$AC,Supplier_Invoices!$C:$C,$A30,Supplier_Invoices!$AG:$AG,1,Supplier_Invoices!$Y:$Y,"&gt;="&amp;(SB_To-90),Supplier_Invoices!$E:$E,"&lt;="&amp;SB_To))-MIN(MAX($F30,0),SUMIFS(Supplier_Invoices!$AC:$AC,Supplier_Invoices!$C:$C,$A30,Supplier_Invoices!$AG:$AG,1,Supplier_Invoices!$Y:$Y,"&gt;="&amp;(SB_To-60),Supplier_Invoices!$E:$E,"&lt;="&amp;SB_To)))</f>
        <v/>
      </c>
      <c r="K30" s="43">
        <f>IF($A30="","",MAX($F30,0)-MIN(MAX($F30,0),SUMIFS(Supplier_Invoices!$AC:$AC,Supplier_Invoices!$C:$C,$A30,Supplier_Invoices!$AG:$AG,1,Supplier_Invoices!$Y:$Y,"&gt;="&amp;(SB_To-90),Supplier_Invoices!$E:$E,"&lt;="&amp;SB_To)))</f>
        <v/>
      </c>
      <c r="L30" s="33">
        <f>IF($A30="","",IF(COUNTIFS(Supplier_Payments!$C:$C,$A30,Supplier_Payments!$V:$V,1)=0,"",_xlfn.MAXIFS(Supplier_Payments!$B:$B,Supplier_Payments!$C:$C,$A30,Supplier_Payments!$V:$V,1)))</f>
        <v/>
      </c>
      <c r="M30" s="32">
        <f>IF($A30="","",IF($F30&lt;-S_Tol,"رصيد مدين للمورد - مراجعة",IF($H30+$I30+$J30+$K30&gt;S_Tol,"يوجد مبالغ متأخرة","")))</f>
        <v/>
      </c>
    </row>
    <row r="31">
      <c r="A31" s="44">
        <f>IF(INDEX(Suppliers!$A:$A,ROW()-6)="","",INDEX(Suppliers!$A:$A,ROW()-6))</f>
        <v/>
      </c>
      <c r="B31" s="32">
        <f>IF($A31="","",INDEX(Suppliers!$B:$B,ROW()-6))</f>
        <v/>
      </c>
      <c r="C31" s="47">
        <f>IF($A31="","",SUMIFS(GL_Journal!$T:$T,GL_Journal!$G:$G,ACC_SUPPLIERS,GL_Journal!$K:$K,$A31,GL_Journal!$D:$D,"&lt;"&amp;SB_From)-SUMIFS(GL_Journal!$S:$S,GL_Journal!$G:$G,ACC_SUPPLIERS,GL_Journal!$K:$K,$A31,GL_Journal!$D:$D,"&lt;"&amp;SB_From))</f>
        <v/>
      </c>
      <c r="D31" s="43">
        <f>IF($A31="","",SUMIFS(GL_Journal!$T:$T,GL_Journal!$G:$G,ACC_SUPPLIERS,GL_Journal!$K:$K,$A31,GL_Journal!$D:$D,"&gt;="&amp;SB_From,GL_Journal!$D:$D,"&lt;="&amp;SB_To))</f>
        <v/>
      </c>
      <c r="E31" s="43">
        <f>IF($A31="","",SUMIFS(GL_Journal!$S:$S,GL_Journal!$G:$G,ACC_SUPPLIERS,GL_Journal!$K:$K,$A31,GL_Journal!$D:$D,"&gt;="&amp;SB_From,GL_Journal!$D:$D,"&lt;="&amp;SB_To))</f>
        <v/>
      </c>
      <c r="F31" s="47">
        <f>IF($A31="","",$C31+$D31-$E31)</f>
        <v/>
      </c>
      <c r="G31" s="43">
        <f>IF($A31="","",MIN(MAX($F31,0),SUMIFS(Supplier_Invoices!$AC:$AC,Supplier_Invoices!$C:$C,$A31,Supplier_Invoices!$AG:$AG,1,Supplier_Invoices!$Y:$Y,"&gt;="&amp;(SB_To-0),Supplier_Invoices!$E:$E,"&lt;="&amp;SB_To)))</f>
        <v/>
      </c>
      <c r="H31" s="43">
        <f>IF($A31="","",MIN(MAX($F31,0),SUMIFS(Supplier_Invoices!$AC:$AC,Supplier_Invoices!$C:$C,$A31,Supplier_Invoices!$AG:$AG,1,Supplier_Invoices!$Y:$Y,"&gt;="&amp;(SB_To-30),Supplier_Invoices!$E:$E,"&lt;="&amp;SB_To))-MIN(MAX($F31,0),SUMIFS(Supplier_Invoices!$AC:$AC,Supplier_Invoices!$C:$C,$A31,Supplier_Invoices!$AG:$AG,1,Supplier_Invoices!$Y:$Y,"&gt;="&amp;(SB_To-0),Supplier_Invoices!$E:$E,"&lt;="&amp;SB_To)))</f>
        <v/>
      </c>
      <c r="I31" s="43">
        <f>IF($A31="","",MIN(MAX($F31,0),SUMIFS(Supplier_Invoices!$AC:$AC,Supplier_Invoices!$C:$C,$A31,Supplier_Invoices!$AG:$AG,1,Supplier_Invoices!$Y:$Y,"&gt;="&amp;(SB_To-60),Supplier_Invoices!$E:$E,"&lt;="&amp;SB_To))-MIN(MAX($F31,0),SUMIFS(Supplier_Invoices!$AC:$AC,Supplier_Invoices!$C:$C,$A31,Supplier_Invoices!$AG:$AG,1,Supplier_Invoices!$Y:$Y,"&gt;="&amp;(SB_To-30),Supplier_Invoices!$E:$E,"&lt;="&amp;SB_To)))</f>
        <v/>
      </c>
      <c r="J31" s="43">
        <f>IF($A31="","",MIN(MAX($F31,0),SUMIFS(Supplier_Invoices!$AC:$AC,Supplier_Invoices!$C:$C,$A31,Supplier_Invoices!$AG:$AG,1,Supplier_Invoices!$Y:$Y,"&gt;="&amp;(SB_To-90),Supplier_Invoices!$E:$E,"&lt;="&amp;SB_To))-MIN(MAX($F31,0),SUMIFS(Supplier_Invoices!$AC:$AC,Supplier_Invoices!$C:$C,$A31,Supplier_Invoices!$AG:$AG,1,Supplier_Invoices!$Y:$Y,"&gt;="&amp;(SB_To-60),Supplier_Invoices!$E:$E,"&lt;="&amp;SB_To)))</f>
        <v/>
      </c>
      <c r="K31" s="43">
        <f>IF($A31="","",MAX($F31,0)-MIN(MAX($F31,0),SUMIFS(Supplier_Invoices!$AC:$AC,Supplier_Invoices!$C:$C,$A31,Supplier_Invoices!$AG:$AG,1,Supplier_Invoices!$Y:$Y,"&gt;="&amp;(SB_To-90),Supplier_Invoices!$E:$E,"&lt;="&amp;SB_To)))</f>
        <v/>
      </c>
      <c r="L31" s="33">
        <f>IF($A31="","",IF(COUNTIFS(Supplier_Payments!$C:$C,$A31,Supplier_Payments!$V:$V,1)=0,"",_xlfn.MAXIFS(Supplier_Payments!$B:$B,Supplier_Payments!$C:$C,$A31,Supplier_Payments!$V:$V,1)))</f>
        <v/>
      </c>
      <c r="M31" s="32">
        <f>IF($A31="","",IF($F31&lt;-S_Tol,"رصيد مدين للمورد - مراجعة",IF($H31+$I31+$J31+$K31&gt;S_Tol,"يوجد مبالغ متأخرة","")))</f>
        <v/>
      </c>
    </row>
    <row r="32">
      <c r="A32" s="44">
        <f>IF(INDEX(Suppliers!$A:$A,ROW()-6)="","",INDEX(Suppliers!$A:$A,ROW()-6))</f>
        <v/>
      </c>
      <c r="B32" s="32">
        <f>IF($A32="","",INDEX(Suppliers!$B:$B,ROW()-6))</f>
        <v/>
      </c>
      <c r="C32" s="47">
        <f>IF($A32="","",SUMIFS(GL_Journal!$T:$T,GL_Journal!$G:$G,ACC_SUPPLIERS,GL_Journal!$K:$K,$A32,GL_Journal!$D:$D,"&lt;"&amp;SB_From)-SUMIFS(GL_Journal!$S:$S,GL_Journal!$G:$G,ACC_SUPPLIERS,GL_Journal!$K:$K,$A32,GL_Journal!$D:$D,"&lt;"&amp;SB_From))</f>
        <v/>
      </c>
      <c r="D32" s="43">
        <f>IF($A32="","",SUMIFS(GL_Journal!$T:$T,GL_Journal!$G:$G,ACC_SUPPLIERS,GL_Journal!$K:$K,$A32,GL_Journal!$D:$D,"&gt;="&amp;SB_From,GL_Journal!$D:$D,"&lt;="&amp;SB_To))</f>
        <v/>
      </c>
      <c r="E32" s="43">
        <f>IF($A32="","",SUMIFS(GL_Journal!$S:$S,GL_Journal!$G:$G,ACC_SUPPLIERS,GL_Journal!$K:$K,$A32,GL_Journal!$D:$D,"&gt;="&amp;SB_From,GL_Journal!$D:$D,"&lt;="&amp;SB_To))</f>
        <v/>
      </c>
      <c r="F32" s="47">
        <f>IF($A32="","",$C32+$D32-$E32)</f>
        <v/>
      </c>
      <c r="G32" s="43">
        <f>IF($A32="","",MIN(MAX($F32,0),SUMIFS(Supplier_Invoices!$AC:$AC,Supplier_Invoices!$C:$C,$A32,Supplier_Invoices!$AG:$AG,1,Supplier_Invoices!$Y:$Y,"&gt;="&amp;(SB_To-0),Supplier_Invoices!$E:$E,"&lt;="&amp;SB_To)))</f>
        <v/>
      </c>
      <c r="H32" s="43">
        <f>IF($A32="","",MIN(MAX($F32,0),SUMIFS(Supplier_Invoices!$AC:$AC,Supplier_Invoices!$C:$C,$A32,Supplier_Invoices!$AG:$AG,1,Supplier_Invoices!$Y:$Y,"&gt;="&amp;(SB_To-30),Supplier_Invoices!$E:$E,"&lt;="&amp;SB_To))-MIN(MAX($F32,0),SUMIFS(Supplier_Invoices!$AC:$AC,Supplier_Invoices!$C:$C,$A32,Supplier_Invoices!$AG:$AG,1,Supplier_Invoices!$Y:$Y,"&gt;="&amp;(SB_To-0),Supplier_Invoices!$E:$E,"&lt;="&amp;SB_To)))</f>
        <v/>
      </c>
      <c r="I32" s="43">
        <f>IF($A32="","",MIN(MAX($F32,0),SUMIFS(Supplier_Invoices!$AC:$AC,Supplier_Invoices!$C:$C,$A32,Supplier_Invoices!$AG:$AG,1,Supplier_Invoices!$Y:$Y,"&gt;="&amp;(SB_To-60),Supplier_Invoices!$E:$E,"&lt;="&amp;SB_To))-MIN(MAX($F32,0),SUMIFS(Supplier_Invoices!$AC:$AC,Supplier_Invoices!$C:$C,$A32,Supplier_Invoices!$AG:$AG,1,Supplier_Invoices!$Y:$Y,"&gt;="&amp;(SB_To-30),Supplier_Invoices!$E:$E,"&lt;="&amp;SB_To)))</f>
        <v/>
      </c>
      <c r="J32" s="43">
        <f>IF($A32="","",MIN(MAX($F32,0),SUMIFS(Supplier_Invoices!$AC:$AC,Supplier_Invoices!$C:$C,$A32,Supplier_Invoices!$AG:$AG,1,Supplier_Invoices!$Y:$Y,"&gt;="&amp;(SB_To-90),Supplier_Invoices!$E:$E,"&lt;="&amp;SB_To))-MIN(MAX($F32,0),SUMIFS(Supplier_Invoices!$AC:$AC,Supplier_Invoices!$C:$C,$A32,Supplier_Invoices!$AG:$AG,1,Supplier_Invoices!$Y:$Y,"&gt;="&amp;(SB_To-60),Supplier_Invoices!$E:$E,"&lt;="&amp;SB_To)))</f>
        <v/>
      </c>
      <c r="K32" s="43">
        <f>IF($A32="","",MAX($F32,0)-MIN(MAX($F32,0),SUMIFS(Supplier_Invoices!$AC:$AC,Supplier_Invoices!$C:$C,$A32,Supplier_Invoices!$AG:$AG,1,Supplier_Invoices!$Y:$Y,"&gt;="&amp;(SB_To-90),Supplier_Invoices!$E:$E,"&lt;="&amp;SB_To)))</f>
        <v/>
      </c>
      <c r="L32" s="33">
        <f>IF($A32="","",IF(COUNTIFS(Supplier_Payments!$C:$C,$A32,Supplier_Payments!$V:$V,1)=0,"",_xlfn.MAXIFS(Supplier_Payments!$B:$B,Supplier_Payments!$C:$C,$A32,Supplier_Payments!$V:$V,1)))</f>
        <v/>
      </c>
      <c r="M32" s="32">
        <f>IF($A32="","",IF($F32&lt;-S_Tol,"رصيد مدين للمورد - مراجعة",IF($H32+$I32+$J32+$K32&gt;S_Tol,"يوجد مبالغ متأخرة","")))</f>
        <v/>
      </c>
    </row>
    <row r="33">
      <c r="A33" s="44">
        <f>IF(INDEX(Suppliers!$A:$A,ROW()-6)="","",INDEX(Suppliers!$A:$A,ROW()-6))</f>
        <v/>
      </c>
      <c r="B33" s="32">
        <f>IF($A33="","",INDEX(Suppliers!$B:$B,ROW()-6))</f>
        <v/>
      </c>
      <c r="C33" s="47">
        <f>IF($A33="","",SUMIFS(GL_Journal!$T:$T,GL_Journal!$G:$G,ACC_SUPPLIERS,GL_Journal!$K:$K,$A33,GL_Journal!$D:$D,"&lt;"&amp;SB_From)-SUMIFS(GL_Journal!$S:$S,GL_Journal!$G:$G,ACC_SUPPLIERS,GL_Journal!$K:$K,$A33,GL_Journal!$D:$D,"&lt;"&amp;SB_From))</f>
        <v/>
      </c>
      <c r="D33" s="43">
        <f>IF($A33="","",SUMIFS(GL_Journal!$T:$T,GL_Journal!$G:$G,ACC_SUPPLIERS,GL_Journal!$K:$K,$A33,GL_Journal!$D:$D,"&gt;="&amp;SB_From,GL_Journal!$D:$D,"&lt;="&amp;SB_To))</f>
        <v/>
      </c>
      <c r="E33" s="43">
        <f>IF($A33="","",SUMIFS(GL_Journal!$S:$S,GL_Journal!$G:$G,ACC_SUPPLIERS,GL_Journal!$K:$K,$A33,GL_Journal!$D:$D,"&gt;="&amp;SB_From,GL_Journal!$D:$D,"&lt;="&amp;SB_To))</f>
        <v/>
      </c>
      <c r="F33" s="47">
        <f>IF($A33="","",$C33+$D33-$E33)</f>
        <v/>
      </c>
      <c r="G33" s="43">
        <f>IF($A33="","",MIN(MAX($F33,0),SUMIFS(Supplier_Invoices!$AC:$AC,Supplier_Invoices!$C:$C,$A33,Supplier_Invoices!$AG:$AG,1,Supplier_Invoices!$Y:$Y,"&gt;="&amp;(SB_To-0),Supplier_Invoices!$E:$E,"&lt;="&amp;SB_To)))</f>
        <v/>
      </c>
      <c r="H33" s="43">
        <f>IF($A33="","",MIN(MAX($F33,0),SUMIFS(Supplier_Invoices!$AC:$AC,Supplier_Invoices!$C:$C,$A33,Supplier_Invoices!$AG:$AG,1,Supplier_Invoices!$Y:$Y,"&gt;="&amp;(SB_To-30),Supplier_Invoices!$E:$E,"&lt;="&amp;SB_To))-MIN(MAX($F33,0),SUMIFS(Supplier_Invoices!$AC:$AC,Supplier_Invoices!$C:$C,$A33,Supplier_Invoices!$AG:$AG,1,Supplier_Invoices!$Y:$Y,"&gt;="&amp;(SB_To-0),Supplier_Invoices!$E:$E,"&lt;="&amp;SB_To)))</f>
        <v/>
      </c>
      <c r="I33" s="43">
        <f>IF($A33="","",MIN(MAX($F33,0),SUMIFS(Supplier_Invoices!$AC:$AC,Supplier_Invoices!$C:$C,$A33,Supplier_Invoices!$AG:$AG,1,Supplier_Invoices!$Y:$Y,"&gt;="&amp;(SB_To-60),Supplier_Invoices!$E:$E,"&lt;="&amp;SB_To))-MIN(MAX($F33,0),SUMIFS(Supplier_Invoices!$AC:$AC,Supplier_Invoices!$C:$C,$A33,Supplier_Invoices!$AG:$AG,1,Supplier_Invoices!$Y:$Y,"&gt;="&amp;(SB_To-30),Supplier_Invoices!$E:$E,"&lt;="&amp;SB_To)))</f>
        <v/>
      </c>
      <c r="J33" s="43">
        <f>IF($A33="","",MIN(MAX($F33,0),SUMIFS(Supplier_Invoices!$AC:$AC,Supplier_Invoices!$C:$C,$A33,Supplier_Invoices!$AG:$AG,1,Supplier_Invoices!$Y:$Y,"&gt;="&amp;(SB_To-90),Supplier_Invoices!$E:$E,"&lt;="&amp;SB_To))-MIN(MAX($F33,0),SUMIFS(Supplier_Invoices!$AC:$AC,Supplier_Invoices!$C:$C,$A33,Supplier_Invoices!$AG:$AG,1,Supplier_Invoices!$Y:$Y,"&gt;="&amp;(SB_To-60),Supplier_Invoices!$E:$E,"&lt;="&amp;SB_To)))</f>
        <v/>
      </c>
      <c r="K33" s="43">
        <f>IF($A33="","",MAX($F33,0)-MIN(MAX($F33,0),SUMIFS(Supplier_Invoices!$AC:$AC,Supplier_Invoices!$C:$C,$A33,Supplier_Invoices!$AG:$AG,1,Supplier_Invoices!$Y:$Y,"&gt;="&amp;(SB_To-90),Supplier_Invoices!$E:$E,"&lt;="&amp;SB_To)))</f>
        <v/>
      </c>
      <c r="L33" s="33">
        <f>IF($A33="","",IF(COUNTIFS(Supplier_Payments!$C:$C,$A33,Supplier_Payments!$V:$V,1)=0,"",_xlfn.MAXIFS(Supplier_Payments!$B:$B,Supplier_Payments!$C:$C,$A33,Supplier_Payments!$V:$V,1)))</f>
        <v/>
      </c>
      <c r="M33" s="32">
        <f>IF($A33="","",IF($F33&lt;-S_Tol,"رصيد مدين للمورد - مراجعة",IF($H33+$I33+$J33+$K33&gt;S_Tol,"يوجد مبالغ متأخرة","")))</f>
        <v/>
      </c>
    </row>
    <row r="34">
      <c r="A34" s="44">
        <f>IF(INDEX(Suppliers!$A:$A,ROW()-6)="","",INDEX(Suppliers!$A:$A,ROW()-6))</f>
        <v/>
      </c>
      <c r="B34" s="32">
        <f>IF($A34="","",INDEX(Suppliers!$B:$B,ROW()-6))</f>
        <v/>
      </c>
      <c r="C34" s="47">
        <f>IF($A34="","",SUMIFS(GL_Journal!$T:$T,GL_Journal!$G:$G,ACC_SUPPLIERS,GL_Journal!$K:$K,$A34,GL_Journal!$D:$D,"&lt;"&amp;SB_From)-SUMIFS(GL_Journal!$S:$S,GL_Journal!$G:$G,ACC_SUPPLIERS,GL_Journal!$K:$K,$A34,GL_Journal!$D:$D,"&lt;"&amp;SB_From))</f>
        <v/>
      </c>
      <c r="D34" s="43">
        <f>IF($A34="","",SUMIFS(GL_Journal!$T:$T,GL_Journal!$G:$G,ACC_SUPPLIERS,GL_Journal!$K:$K,$A34,GL_Journal!$D:$D,"&gt;="&amp;SB_From,GL_Journal!$D:$D,"&lt;="&amp;SB_To))</f>
        <v/>
      </c>
      <c r="E34" s="43">
        <f>IF($A34="","",SUMIFS(GL_Journal!$S:$S,GL_Journal!$G:$G,ACC_SUPPLIERS,GL_Journal!$K:$K,$A34,GL_Journal!$D:$D,"&gt;="&amp;SB_From,GL_Journal!$D:$D,"&lt;="&amp;SB_To))</f>
        <v/>
      </c>
      <c r="F34" s="47">
        <f>IF($A34="","",$C34+$D34-$E34)</f>
        <v/>
      </c>
      <c r="G34" s="43">
        <f>IF($A34="","",MIN(MAX($F34,0),SUMIFS(Supplier_Invoices!$AC:$AC,Supplier_Invoices!$C:$C,$A34,Supplier_Invoices!$AG:$AG,1,Supplier_Invoices!$Y:$Y,"&gt;="&amp;(SB_To-0),Supplier_Invoices!$E:$E,"&lt;="&amp;SB_To)))</f>
        <v/>
      </c>
      <c r="H34" s="43">
        <f>IF($A34="","",MIN(MAX($F34,0),SUMIFS(Supplier_Invoices!$AC:$AC,Supplier_Invoices!$C:$C,$A34,Supplier_Invoices!$AG:$AG,1,Supplier_Invoices!$Y:$Y,"&gt;="&amp;(SB_To-30),Supplier_Invoices!$E:$E,"&lt;="&amp;SB_To))-MIN(MAX($F34,0),SUMIFS(Supplier_Invoices!$AC:$AC,Supplier_Invoices!$C:$C,$A34,Supplier_Invoices!$AG:$AG,1,Supplier_Invoices!$Y:$Y,"&gt;="&amp;(SB_To-0),Supplier_Invoices!$E:$E,"&lt;="&amp;SB_To)))</f>
        <v/>
      </c>
      <c r="I34" s="43">
        <f>IF($A34="","",MIN(MAX($F34,0),SUMIFS(Supplier_Invoices!$AC:$AC,Supplier_Invoices!$C:$C,$A34,Supplier_Invoices!$AG:$AG,1,Supplier_Invoices!$Y:$Y,"&gt;="&amp;(SB_To-60),Supplier_Invoices!$E:$E,"&lt;="&amp;SB_To))-MIN(MAX($F34,0),SUMIFS(Supplier_Invoices!$AC:$AC,Supplier_Invoices!$C:$C,$A34,Supplier_Invoices!$AG:$AG,1,Supplier_Invoices!$Y:$Y,"&gt;="&amp;(SB_To-30),Supplier_Invoices!$E:$E,"&lt;="&amp;SB_To)))</f>
        <v/>
      </c>
      <c r="J34" s="43">
        <f>IF($A34="","",MIN(MAX($F34,0),SUMIFS(Supplier_Invoices!$AC:$AC,Supplier_Invoices!$C:$C,$A34,Supplier_Invoices!$AG:$AG,1,Supplier_Invoices!$Y:$Y,"&gt;="&amp;(SB_To-90),Supplier_Invoices!$E:$E,"&lt;="&amp;SB_To))-MIN(MAX($F34,0),SUMIFS(Supplier_Invoices!$AC:$AC,Supplier_Invoices!$C:$C,$A34,Supplier_Invoices!$AG:$AG,1,Supplier_Invoices!$Y:$Y,"&gt;="&amp;(SB_To-60),Supplier_Invoices!$E:$E,"&lt;="&amp;SB_To)))</f>
        <v/>
      </c>
      <c r="K34" s="43">
        <f>IF($A34="","",MAX($F34,0)-MIN(MAX($F34,0),SUMIFS(Supplier_Invoices!$AC:$AC,Supplier_Invoices!$C:$C,$A34,Supplier_Invoices!$AG:$AG,1,Supplier_Invoices!$Y:$Y,"&gt;="&amp;(SB_To-90),Supplier_Invoices!$E:$E,"&lt;="&amp;SB_To)))</f>
        <v/>
      </c>
      <c r="L34" s="33">
        <f>IF($A34="","",IF(COUNTIFS(Supplier_Payments!$C:$C,$A34,Supplier_Payments!$V:$V,1)=0,"",_xlfn.MAXIFS(Supplier_Payments!$B:$B,Supplier_Payments!$C:$C,$A34,Supplier_Payments!$V:$V,1)))</f>
        <v/>
      </c>
      <c r="M34" s="32">
        <f>IF($A34="","",IF($F34&lt;-S_Tol,"رصيد مدين للمورد - مراجعة",IF($H34+$I34+$J34+$K34&gt;S_Tol,"يوجد مبالغ متأخرة","")))</f>
        <v/>
      </c>
    </row>
    <row r="35">
      <c r="A35" s="44">
        <f>IF(INDEX(Suppliers!$A:$A,ROW()-6)="","",INDEX(Suppliers!$A:$A,ROW()-6))</f>
        <v/>
      </c>
      <c r="B35" s="32">
        <f>IF($A35="","",INDEX(Suppliers!$B:$B,ROW()-6))</f>
        <v/>
      </c>
      <c r="C35" s="47">
        <f>IF($A35="","",SUMIFS(GL_Journal!$T:$T,GL_Journal!$G:$G,ACC_SUPPLIERS,GL_Journal!$K:$K,$A35,GL_Journal!$D:$D,"&lt;"&amp;SB_From)-SUMIFS(GL_Journal!$S:$S,GL_Journal!$G:$G,ACC_SUPPLIERS,GL_Journal!$K:$K,$A35,GL_Journal!$D:$D,"&lt;"&amp;SB_From))</f>
        <v/>
      </c>
      <c r="D35" s="43">
        <f>IF($A35="","",SUMIFS(GL_Journal!$T:$T,GL_Journal!$G:$G,ACC_SUPPLIERS,GL_Journal!$K:$K,$A35,GL_Journal!$D:$D,"&gt;="&amp;SB_From,GL_Journal!$D:$D,"&lt;="&amp;SB_To))</f>
        <v/>
      </c>
      <c r="E35" s="43">
        <f>IF($A35="","",SUMIFS(GL_Journal!$S:$S,GL_Journal!$G:$G,ACC_SUPPLIERS,GL_Journal!$K:$K,$A35,GL_Journal!$D:$D,"&gt;="&amp;SB_From,GL_Journal!$D:$D,"&lt;="&amp;SB_To))</f>
        <v/>
      </c>
      <c r="F35" s="47">
        <f>IF($A35="","",$C35+$D35-$E35)</f>
        <v/>
      </c>
      <c r="G35" s="43">
        <f>IF($A35="","",MIN(MAX($F35,0),SUMIFS(Supplier_Invoices!$AC:$AC,Supplier_Invoices!$C:$C,$A35,Supplier_Invoices!$AG:$AG,1,Supplier_Invoices!$Y:$Y,"&gt;="&amp;(SB_To-0),Supplier_Invoices!$E:$E,"&lt;="&amp;SB_To)))</f>
        <v/>
      </c>
      <c r="H35" s="43">
        <f>IF($A35="","",MIN(MAX($F35,0),SUMIFS(Supplier_Invoices!$AC:$AC,Supplier_Invoices!$C:$C,$A35,Supplier_Invoices!$AG:$AG,1,Supplier_Invoices!$Y:$Y,"&gt;="&amp;(SB_To-30),Supplier_Invoices!$E:$E,"&lt;="&amp;SB_To))-MIN(MAX($F35,0),SUMIFS(Supplier_Invoices!$AC:$AC,Supplier_Invoices!$C:$C,$A35,Supplier_Invoices!$AG:$AG,1,Supplier_Invoices!$Y:$Y,"&gt;="&amp;(SB_To-0),Supplier_Invoices!$E:$E,"&lt;="&amp;SB_To)))</f>
        <v/>
      </c>
      <c r="I35" s="43">
        <f>IF($A35="","",MIN(MAX($F35,0),SUMIFS(Supplier_Invoices!$AC:$AC,Supplier_Invoices!$C:$C,$A35,Supplier_Invoices!$AG:$AG,1,Supplier_Invoices!$Y:$Y,"&gt;="&amp;(SB_To-60),Supplier_Invoices!$E:$E,"&lt;="&amp;SB_To))-MIN(MAX($F35,0),SUMIFS(Supplier_Invoices!$AC:$AC,Supplier_Invoices!$C:$C,$A35,Supplier_Invoices!$AG:$AG,1,Supplier_Invoices!$Y:$Y,"&gt;="&amp;(SB_To-30),Supplier_Invoices!$E:$E,"&lt;="&amp;SB_To)))</f>
        <v/>
      </c>
      <c r="J35" s="43">
        <f>IF($A35="","",MIN(MAX($F35,0),SUMIFS(Supplier_Invoices!$AC:$AC,Supplier_Invoices!$C:$C,$A35,Supplier_Invoices!$AG:$AG,1,Supplier_Invoices!$Y:$Y,"&gt;="&amp;(SB_To-90),Supplier_Invoices!$E:$E,"&lt;="&amp;SB_To))-MIN(MAX($F35,0),SUMIFS(Supplier_Invoices!$AC:$AC,Supplier_Invoices!$C:$C,$A35,Supplier_Invoices!$AG:$AG,1,Supplier_Invoices!$Y:$Y,"&gt;="&amp;(SB_To-60),Supplier_Invoices!$E:$E,"&lt;="&amp;SB_To)))</f>
        <v/>
      </c>
      <c r="K35" s="43">
        <f>IF($A35="","",MAX($F35,0)-MIN(MAX($F35,0),SUMIFS(Supplier_Invoices!$AC:$AC,Supplier_Invoices!$C:$C,$A35,Supplier_Invoices!$AG:$AG,1,Supplier_Invoices!$Y:$Y,"&gt;="&amp;(SB_To-90),Supplier_Invoices!$E:$E,"&lt;="&amp;SB_To)))</f>
        <v/>
      </c>
      <c r="L35" s="33">
        <f>IF($A35="","",IF(COUNTIFS(Supplier_Payments!$C:$C,$A35,Supplier_Payments!$V:$V,1)=0,"",_xlfn.MAXIFS(Supplier_Payments!$B:$B,Supplier_Payments!$C:$C,$A35,Supplier_Payments!$V:$V,1)))</f>
        <v/>
      </c>
      <c r="M35" s="32">
        <f>IF($A35="","",IF($F35&lt;-S_Tol,"رصيد مدين للمورد - مراجعة",IF($H35+$I35+$J35+$K35&gt;S_Tol,"يوجد مبالغ متأخرة","")))</f>
        <v/>
      </c>
    </row>
    <row r="36">
      <c r="A36" s="44">
        <f>IF(INDEX(Suppliers!$A:$A,ROW()-6)="","",INDEX(Suppliers!$A:$A,ROW()-6))</f>
        <v/>
      </c>
      <c r="B36" s="32">
        <f>IF($A36="","",INDEX(Suppliers!$B:$B,ROW()-6))</f>
        <v/>
      </c>
      <c r="C36" s="47">
        <f>IF($A36="","",SUMIFS(GL_Journal!$T:$T,GL_Journal!$G:$G,ACC_SUPPLIERS,GL_Journal!$K:$K,$A36,GL_Journal!$D:$D,"&lt;"&amp;SB_From)-SUMIFS(GL_Journal!$S:$S,GL_Journal!$G:$G,ACC_SUPPLIERS,GL_Journal!$K:$K,$A36,GL_Journal!$D:$D,"&lt;"&amp;SB_From))</f>
        <v/>
      </c>
      <c r="D36" s="43">
        <f>IF($A36="","",SUMIFS(GL_Journal!$T:$T,GL_Journal!$G:$G,ACC_SUPPLIERS,GL_Journal!$K:$K,$A36,GL_Journal!$D:$D,"&gt;="&amp;SB_From,GL_Journal!$D:$D,"&lt;="&amp;SB_To))</f>
        <v/>
      </c>
      <c r="E36" s="43">
        <f>IF($A36="","",SUMIFS(GL_Journal!$S:$S,GL_Journal!$G:$G,ACC_SUPPLIERS,GL_Journal!$K:$K,$A36,GL_Journal!$D:$D,"&gt;="&amp;SB_From,GL_Journal!$D:$D,"&lt;="&amp;SB_To))</f>
        <v/>
      </c>
      <c r="F36" s="47">
        <f>IF($A36="","",$C36+$D36-$E36)</f>
        <v/>
      </c>
      <c r="G36" s="43">
        <f>IF($A36="","",MIN(MAX($F36,0),SUMIFS(Supplier_Invoices!$AC:$AC,Supplier_Invoices!$C:$C,$A36,Supplier_Invoices!$AG:$AG,1,Supplier_Invoices!$Y:$Y,"&gt;="&amp;(SB_To-0),Supplier_Invoices!$E:$E,"&lt;="&amp;SB_To)))</f>
        <v/>
      </c>
      <c r="H36" s="43">
        <f>IF($A36="","",MIN(MAX($F36,0),SUMIFS(Supplier_Invoices!$AC:$AC,Supplier_Invoices!$C:$C,$A36,Supplier_Invoices!$AG:$AG,1,Supplier_Invoices!$Y:$Y,"&gt;="&amp;(SB_To-30),Supplier_Invoices!$E:$E,"&lt;="&amp;SB_To))-MIN(MAX($F36,0),SUMIFS(Supplier_Invoices!$AC:$AC,Supplier_Invoices!$C:$C,$A36,Supplier_Invoices!$AG:$AG,1,Supplier_Invoices!$Y:$Y,"&gt;="&amp;(SB_To-0),Supplier_Invoices!$E:$E,"&lt;="&amp;SB_To)))</f>
        <v/>
      </c>
      <c r="I36" s="43">
        <f>IF($A36="","",MIN(MAX($F36,0),SUMIFS(Supplier_Invoices!$AC:$AC,Supplier_Invoices!$C:$C,$A36,Supplier_Invoices!$AG:$AG,1,Supplier_Invoices!$Y:$Y,"&gt;="&amp;(SB_To-60),Supplier_Invoices!$E:$E,"&lt;="&amp;SB_To))-MIN(MAX($F36,0),SUMIFS(Supplier_Invoices!$AC:$AC,Supplier_Invoices!$C:$C,$A36,Supplier_Invoices!$AG:$AG,1,Supplier_Invoices!$Y:$Y,"&gt;="&amp;(SB_To-30),Supplier_Invoices!$E:$E,"&lt;="&amp;SB_To)))</f>
        <v/>
      </c>
      <c r="J36" s="43">
        <f>IF($A36="","",MIN(MAX($F36,0),SUMIFS(Supplier_Invoices!$AC:$AC,Supplier_Invoices!$C:$C,$A36,Supplier_Invoices!$AG:$AG,1,Supplier_Invoices!$Y:$Y,"&gt;="&amp;(SB_To-90),Supplier_Invoices!$E:$E,"&lt;="&amp;SB_To))-MIN(MAX($F36,0),SUMIFS(Supplier_Invoices!$AC:$AC,Supplier_Invoices!$C:$C,$A36,Supplier_Invoices!$AG:$AG,1,Supplier_Invoices!$Y:$Y,"&gt;="&amp;(SB_To-60),Supplier_Invoices!$E:$E,"&lt;="&amp;SB_To)))</f>
        <v/>
      </c>
      <c r="K36" s="43">
        <f>IF($A36="","",MAX($F36,0)-MIN(MAX($F36,0),SUMIFS(Supplier_Invoices!$AC:$AC,Supplier_Invoices!$C:$C,$A36,Supplier_Invoices!$AG:$AG,1,Supplier_Invoices!$Y:$Y,"&gt;="&amp;(SB_To-90),Supplier_Invoices!$E:$E,"&lt;="&amp;SB_To)))</f>
        <v/>
      </c>
      <c r="L36" s="33">
        <f>IF($A36="","",IF(COUNTIFS(Supplier_Payments!$C:$C,$A36,Supplier_Payments!$V:$V,1)=0,"",_xlfn.MAXIFS(Supplier_Payments!$B:$B,Supplier_Payments!$C:$C,$A36,Supplier_Payments!$V:$V,1)))</f>
        <v/>
      </c>
      <c r="M36" s="32">
        <f>IF($A36="","",IF($F36&lt;-S_Tol,"رصيد مدين للمورد - مراجعة",IF($H36+$I36+$J36+$K36&gt;S_Tol,"يوجد مبالغ متأخرة","")))</f>
        <v/>
      </c>
    </row>
    <row r="37">
      <c r="A37" s="44">
        <f>IF(INDEX(Suppliers!$A:$A,ROW()-6)="","",INDEX(Suppliers!$A:$A,ROW()-6))</f>
        <v/>
      </c>
      <c r="B37" s="32">
        <f>IF($A37="","",INDEX(Suppliers!$B:$B,ROW()-6))</f>
        <v/>
      </c>
      <c r="C37" s="47">
        <f>IF($A37="","",SUMIFS(GL_Journal!$T:$T,GL_Journal!$G:$G,ACC_SUPPLIERS,GL_Journal!$K:$K,$A37,GL_Journal!$D:$D,"&lt;"&amp;SB_From)-SUMIFS(GL_Journal!$S:$S,GL_Journal!$G:$G,ACC_SUPPLIERS,GL_Journal!$K:$K,$A37,GL_Journal!$D:$D,"&lt;"&amp;SB_From))</f>
        <v/>
      </c>
      <c r="D37" s="43">
        <f>IF($A37="","",SUMIFS(GL_Journal!$T:$T,GL_Journal!$G:$G,ACC_SUPPLIERS,GL_Journal!$K:$K,$A37,GL_Journal!$D:$D,"&gt;="&amp;SB_From,GL_Journal!$D:$D,"&lt;="&amp;SB_To))</f>
        <v/>
      </c>
      <c r="E37" s="43">
        <f>IF($A37="","",SUMIFS(GL_Journal!$S:$S,GL_Journal!$G:$G,ACC_SUPPLIERS,GL_Journal!$K:$K,$A37,GL_Journal!$D:$D,"&gt;="&amp;SB_From,GL_Journal!$D:$D,"&lt;="&amp;SB_To))</f>
        <v/>
      </c>
      <c r="F37" s="47">
        <f>IF($A37="","",$C37+$D37-$E37)</f>
        <v/>
      </c>
      <c r="G37" s="43">
        <f>IF($A37="","",MIN(MAX($F37,0),SUMIFS(Supplier_Invoices!$AC:$AC,Supplier_Invoices!$C:$C,$A37,Supplier_Invoices!$AG:$AG,1,Supplier_Invoices!$Y:$Y,"&gt;="&amp;(SB_To-0),Supplier_Invoices!$E:$E,"&lt;="&amp;SB_To)))</f>
        <v/>
      </c>
      <c r="H37" s="43">
        <f>IF($A37="","",MIN(MAX($F37,0),SUMIFS(Supplier_Invoices!$AC:$AC,Supplier_Invoices!$C:$C,$A37,Supplier_Invoices!$AG:$AG,1,Supplier_Invoices!$Y:$Y,"&gt;="&amp;(SB_To-30),Supplier_Invoices!$E:$E,"&lt;="&amp;SB_To))-MIN(MAX($F37,0),SUMIFS(Supplier_Invoices!$AC:$AC,Supplier_Invoices!$C:$C,$A37,Supplier_Invoices!$AG:$AG,1,Supplier_Invoices!$Y:$Y,"&gt;="&amp;(SB_To-0),Supplier_Invoices!$E:$E,"&lt;="&amp;SB_To)))</f>
        <v/>
      </c>
      <c r="I37" s="43">
        <f>IF($A37="","",MIN(MAX($F37,0),SUMIFS(Supplier_Invoices!$AC:$AC,Supplier_Invoices!$C:$C,$A37,Supplier_Invoices!$AG:$AG,1,Supplier_Invoices!$Y:$Y,"&gt;="&amp;(SB_To-60),Supplier_Invoices!$E:$E,"&lt;="&amp;SB_To))-MIN(MAX($F37,0),SUMIFS(Supplier_Invoices!$AC:$AC,Supplier_Invoices!$C:$C,$A37,Supplier_Invoices!$AG:$AG,1,Supplier_Invoices!$Y:$Y,"&gt;="&amp;(SB_To-30),Supplier_Invoices!$E:$E,"&lt;="&amp;SB_To)))</f>
        <v/>
      </c>
      <c r="J37" s="43">
        <f>IF($A37="","",MIN(MAX($F37,0),SUMIFS(Supplier_Invoices!$AC:$AC,Supplier_Invoices!$C:$C,$A37,Supplier_Invoices!$AG:$AG,1,Supplier_Invoices!$Y:$Y,"&gt;="&amp;(SB_To-90),Supplier_Invoices!$E:$E,"&lt;="&amp;SB_To))-MIN(MAX($F37,0),SUMIFS(Supplier_Invoices!$AC:$AC,Supplier_Invoices!$C:$C,$A37,Supplier_Invoices!$AG:$AG,1,Supplier_Invoices!$Y:$Y,"&gt;="&amp;(SB_To-60),Supplier_Invoices!$E:$E,"&lt;="&amp;SB_To)))</f>
        <v/>
      </c>
      <c r="K37" s="43">
        <f>IF($A37="","",MAX($F37,0)-MIN(MAX($F37,0),SUMIFS(Supplier_Invoices!$AC:$AC,Supplier_Invoices!$C:$C,$A37,Supplier_Invoices!$AG:$AG,1,Supplier_Invoices!$Y:$Y,"&gt;="&amp;(SB_To-90),Supplier_Invoices!$E:$E,"&lt;="&amp;SB_To)))</f>
        <v/>
      </c>
      <c r="L37" s="33">
        <f>IF($A37="","",IF(COUNTIFS(Supplier_Payments!$C:$C,$A37,Supplier_Payments!$V:$V,1)=0,"",_xlfn.MAXIFS(Supplier_Payments!$B:$B,Supplier_Payments!$C:$C,$A37,Supplier_Payments!$V:$V,1)))</f>
        <v/>
      </c>
      <c r="M37" s="32">
        <f>IF($A37="","",IF($F37&lt;-S_Tol,"رصيد مدين للمورد - مراجعة",IF($H37+$I37+$J37+$K37&gt;S_Tol,"يوجد مبالغ متأخرة","")))</f>
        <v/>
      </c>
    </row>
    <row r="38">
      <c r="A38" s="44">
        <f>IF(INDEX(Suppliers!$A:$A,ROW()-6)="","",INDEX(Suppliers!$A:$A,ROW()-6))</f>
        <v/>
      </c>
      <c r="B38" s="32">
        <f>IF($A38="","",INDEX(Suppliers!$B:$B,ROW()-6))</f>
        <v/>
      </c>
      <c r="C38" s="47">
        <f>IF($A38="","",SUMIFS(GL_Journal!$T:$T,GL_Journal!$G:$G,ACC_SUPPLIERS,GL_Journal!$K:$K,$A38,GL_Journal!$D:$D,"&lt;"&amp;SB_From)-SUMIFS(GL_Journal!$S:$S,GL_Journal!$G:$G,ACC_SUPPLIERS,GL_Journal!$K:$K,$A38,GL_Journal!$D:$D,"&lt;"&amp;SB_From))</f>
        <v/>
      </c>
      <c r="D38" s="43">
        <f>IF($A38="","",SUMIFS(GL_Journal!$T:$T,GL_Journal!$G:$G,ACC_SUPPLIERS,GL_Journal!$K:$K,$A38,GL_Journal!$D:$D,"&gt;="&amp;SB_From,GL_Journal!$D:$D,"&lt;="&amp;SB_To))</f>
        <v/>
      </c>
      <c r="E38" s="43">
        <f>IF($A38="","",SUMIFS(GL_Journal!$S:$S,GL_Journal!$G:$G,ACC_SUPPLIERS,GL_Journal!$K:$K,$A38,GL_Journal!$D:$D,"&gt;="&amp;SB_From,GL_Journal!$D:$D,"&lt;="&amp;SB_To))</f>
        <v/>
      </c>
      <c r="F38" s="47">
        <f>IF($A38="","",$C38+$D38-$E38)</f>
        <v/>
      </c>
      <c r="G38" s="43">
        <f>IF($A38="","",MIN(MAX($F38,0),SUMIFS(Supplier_Invoices!$AC:$AC,Supplier_Invoices!$C:$C,$A38,Supplier_Invoices!$AG:$AG,1,Supplier_Invoices!$Y:$Y,"&gt;="&amp;(SB_To-0),Supplier_Invoices!$E:$E,"&lt;="&amp;SB_To)))</f>
        <v/>
      </c>
      <c r="H38" s="43">
        <f>IF($A38="","",MIN(MAX($F38,0),SUMIFS(Supplier_Invoices!$AC:$AC,Supplier_Invoices!$C:$C,$A38,Supplier_Invoices!$AG:$AG,1,Supplier_Invoices!$Y:$Y,"&gt;="&amp;(SB_To-30),Supplier_Invoices!$E:$E,"&lt;="&amp;SB_To))-MIN(MAX($F38,0),SUMIFS(Supplier_Invoices!$AC:$AC,Supplier_Invoices!$C:$C,$A38,Supplier_Invoices!$AG:$AG,1,Supplier_Invoices!$Y:$Y,"&gt;="&amp;(SB_To-0),Supplier_Invoices!$E:$E,"&lt;="&amp;SB_To)))</f>
        <v/>
      </c>
      <c r="I38" s="43">
        <f>IF($A38="","",MIN(MAX($F38,0),SUMIFS(Supplier_Invoices!$AC:$AC,Supplier_Invoices!$C:$C,$A38,Supplier_Invoices!$AG:$AG,1,Supplier_Invoices!$Y:$Y,"&gt;="&amp;(SB_To-60),Supplier_Invoices!$E:$E,"&lt;="&amp;SB_To))-MIN(MAX($F38,0),SUMIFS(Supplier_Invoices!$AC:$AC,Supplier_Invoices!$C:$C,$A38,Supplier_Invoices!$AG:$AG,1,Supplier_Invoices!$Y:$Y,"&gt;="&amp;(SB_To-30),Supplier_Invoices!$E:$E,"&lt;="&amp;SB_To)))</f>
        <v/>
      </c>
      <c r="J38" s="43">
        <f>IF($A38="","",MIN(MAX($F38,0),SUMIFS(Supplier_Invoices!$AC:$AC,Supplier_Invoices!$C:$C,$A38,Supplier_Invoices!$AG:$AG,1,Supplier_Invoices!$Y:$Y,"&gt;="&amp;(SB_To-90),Supplier_Invoices!$E:$E,"&lt;="&amp;SB_To))-MIN(MAX($F38,0),SUMIFS(Supplier_Invoices!$AC:$AC,Supplier_Invoices!$C:$C,$A38,Supplier_Invoices!$AG:$AG,1,Supplier_Invoices!$Y:$Y,"&gt;="&amp;(SB_To-60),Supplier_Invoices!$E:$E,"&lt;="&amp;SB_To)))</f>
        <v/>
      </c>
      <c r="K38" s="43">
        <f>IF($A38="","",MAX($F38,0)-MIN(MAX($F38,0),SUMIFS(Supplier_Invoices!$AC:$AC,Supplier_Invoices!$C:$C,$A38,Supplier_Invoices!$AG:$AG,1,Supplier_Invoices!$Y:$Y,"&gt;="&amp;(SB_To-90),Supplier_Invoices!$E:$E,"&lt;="&amp;SB_To)))</f>
        <v/>
      </c>
      <c r="L38" s="33">
        <f>IF($A38="","",IF(COUNTIFS(Supplier_Payments!$C:$C,$A38,Supplier_Payments!$V:$V,1)=0,"",_xlfn.MAXIFS(Supplier_Payments!$B:$B,Supplier_Payments!$C:$C,$A38,Supplier_Payments!$V:$V,1)))</f>
        <v/>
      </c>
      <c r="M38" s="32">
        <f>IF($A38="","",IF($F38&lt;-S_Tol,"رصيد مدين للمورد - مراجعة",IF($H38+$I38+$J38+$K38&gt;S_Tol,"يوجد مبالغ متأخرة","")))</f>
        <v/>
      </c>
    </row>
    <row r="39">
      <c r="A39" s="44">
        <f>IF(INDEX(Suppliers!$A:$A,ROW()-6)="","",INDEX(Suppliers!$A:$A,ROW()-6))</f>
        <v/>
      </c>
      <c r="B39" s="32">
        <f>IF($A39="","",INDEX(Suppliers!$B:$B,ROW()-6))</f>
        <v/>
      </c>
      <c r="C39" s="47">
        <f>IF($A39="","",SUMIFS(GL_Journal!$T:$T,GL_Journal!$G:$G,ACC_SUPPLIERS,GL_Journal!$K:$K,$A39,GL_Journal!$D:$D,"&lt;"&amp;SB_From)-SUMIFS(GL_Journal!$S:$S,GL_Journal!$G:$G,ACC_SUPPLIERS,GL_Journal!$K:$K,$A39,GL_Journal!$D:$D,"&lt;"&amp;SB_From))</f>
        <v/>
      </c>
      <c r="D39" s="43">
        <f>IF($A39="","",SUMIFS(GL_Journal!$T:$T,GL_Journal!$G:$G,ACC_SUPPLIERS,GL_Journal!$K:$K,$A39,GL_Journal!$D:$D,"&gt;="&amp;SB_From,GL_Journal!$D:$D,"&lt;="&amp;SB_To))</f>
        <v/>
      </c>
      <c r="E39" s="43">
        <f>IF($A39="","",SUMIFS(GL_Journal!$S:$S,GL_Journal!$G:$G,ACC_SUPPLIERS,GL_Journal!$K:$K,$A39,GL_Journal!$D:$D,"&gt;="&amp;SB_From,GL_Journal!$D:$D,"&lt;="&amp;SB_To))</f>
        <v/>
      </c>
      <c r="F39" s="47">
        <f>IF($A39="","",$C39+$D39-$E39)</f>
        <v/>
      </c>
      <c r="G39" s="43">
        <f>IF($A39="","",MIN(MAX($F39,0),SUMIFS(Supplier_Invoices!$AC:$AC,Supplier_Invoices!$C:$C,$A39,Supplier_Invoices!$AG:$AG,1,Supplier_Invoices!$Y:$Y,"&gt;="&amp;(SB_To-0),Supplier_Invoices!$E:$E,"&lt;="&amp;SB_To)))</f>
        <v/>
      </c>
      <c r="H39" s="43">
        <f>IF($A39="","",MIN(MAX($F39,0),SUMIFS(Supplier_Invoices!$AC:$AC,Supplier_Invoices!$C:$C,$A39,Supplier_Invoices!$AG:$AG,1,Supplier_Invoices!$Y:$Y,"&gt;="&amp;(SB_To-30),Supplier_Invoices!$E:$E,"&lt;="&amp;SB_To))-MIN(MAX($F39,0),SUMIFS(Supplier_Invoices!$AC:$AC,Supplier_Invoices!$C:$C,$A39,Supplier_Invoices!$AG:$AG,1,Supplier_Invoices!$Y:$Y,"&gt;="&amp;(SB_To-0),Supplier_Invoices!$E:$E,"&lt;="&amp;SB_To)))</f>
        <v/>
      </c>
      <c r="I39" s="43">
        <f>IF($A39="","",MIN(MAX($F39,0),SUMIFS(Supplier_Invoices!$AC:$AC,Supplier_Invoices!$C:$C,$A39,Supplier_Invoices!$AG:$AG,1,Supplier_Invoices!$Y:$Y,"&gt;="&amp;(SB_To-60),Supplier_Invoices!$E:$E,"&lt;="&amp;SB_To))-MIN(MAX($F39,0),SUMIFS(Supplier_Invoices!$AC:$AC,Supplier_Invoices!$C:$C,$A39,Supplier_Invoices!$AG:$AG,1,Supplier_Invoices!$Y:$Y,"&gt;="&amp;(SB_To-30),Supplier_Invoices!$E:$E,"&lt;="&amp;SB_To)))</f>
        <v/>
      </c>
      <c r="J39" s="43">
        <f>IF($A39="","",MIN(MAX($F39,0),SUMIFS(Supplier_Invoices!$AC:$AC,Supplier_Invoices!$C:$C,$A39,Supplier_Invoices!$AG:$AG,1,Supplier_Invoices!$Y:$Y,"&gt;="&amp;(SB_To-90),Supplier_Invoices!$E:$E,"&lt;="&amp;SB_To))-MIN(MAX($F39,0),SUMIFS(Supplier_Invoices!$AC:$AC,Supplier_Invoices!$C:$C,$A39,Supplier_Invoices!$AG:$AG,1,Supplier_Invoices!$Y:$Y,"&gt;="&amp;(SB_To-60),Supplier_Invoices!$E:$E,"&lt;="&amp;SB_To)))</f>
        <v/>
      </c>
      <c r="K39" s="43">
        <f>IF($A39="","",MAX($F39,0)-MIN(MAX($F39,0),SUMIFS(Supplier_Invoices!$AC:$AC,Supplier_Invoices!$C:$C,$A39,Supplier_Invoices!$AG:$AG,1,Supplier_Invoices!$Y:$Y,"&gt;="&amp;(SB_To-90),Supplier_Invoices!$E:$E,"&lt;="&amp;SB_To)))</f>
        <v/>
      </c>
      <c r="L39" s="33">
        <f>IF($A39="","",IF(COUNTIFS(Supplier_Payments!$C:$C,$A39,Supplier_Payments!$V:$V,1)=0,"",_xlfn.MAXIFS(Supplier_Payments!$B:$B,Supplier_Payments!$C:$C,$A39,Supplier_Payments!$V:$V,1)))</f>
        <v/>
      </c>
      <c r="M39" s="32">
        <f>IF($A39="","",IF($F39&lt;-S_Tol,"رصيد مدين للمورد - مراجعة",IF($H39+$I39+$J39+$K39&gt;S_Tol,"يوجد مبالغ متأخرة","")))</f>
        <v/>
      </c>
    </row>
    <row r="40">
      <c r="A40" s="44">
        <f>IF(INDEX(Suppliers!$A:$A,ROW()-6)="","",INDEX(Suppliers!$A:$A,ROW()-6))</f>
        <v/>
      </c>
      <c r="B40" s="32">
        <f>IF($A40="","",INDEX(Suppliers!$B:$B,ROW()-6))</f>
        <v/>
      </c>
      <c r="C40" s="47">
        <f>IF($A40="","",SUMIFS(GL_Journal!$T:$T,GL_Journal!$G:$G,ACC_SUPPLIERS,GL_Journal!$K:$K,$A40,GL_Journal!$D:$D,"&lt;"&amp;SB_From)-SUMIFS(GL_Journal!$S:$S,GL_Journal!$G:$G,ACC_SUPPLIERS,GL_Journal!$K:$K,$A40,GL_Journal!$D:$D,"&lt;"&amp;SB_From))</f>
        <v/>
      </c>
      <c r="D40" s="43">
        <f>IF($A40="","",SUMIFS(GL_Journal!$T:$T,GL_Journal!$G:$G,ACC_SUPPLIERS,GL_Journal!$K:$K,$A40,GL_Journal!$D:$D,"&gt;="&amp;SB_From,GL_Journal!$D:$D,"&lt;="&amp;SB_To))</f>
        <v/>
      </c>
      <c r="E40" s="43">
        <f>IF($A40="","",SUMIFS(GL_Journal!$S:$S,GL_Journal!$G:$G,ACC_SUPPLIERS,GL_Journal!$K:$K,$A40,GL_Journal!$D:$D,"&gt;="&amp;SB_From,GL_Journal!$D:$D,"&lt;="&amp;SB_To))</f>
        <v/>
      </c>
      <c r="F40" s="47">
        <f>IF($A40="","",$C40+$D40-$E40)</f>
        <v/>
      </c>
      <c r="G40" s="43">
        <f>IF($A40="","",MIN(MAX($F40,0),SUMIFS(Supplier_Invoices!$AC:$AC,Supplier_Invoices!$C:$C,$A40,Supplier_Invoices!$AG:$AG,1,Supplier_Invoices!$Y:$Y,"&gt;="&amp;(SB_To-0),Supplier_Invoices!$E:$E,"&lt;="&amp;SB_To)))</f>
        <v/>
      </c>
      <c r="H40" s="43">
        <f>IF($A40="","",MIN(MAX($F40,0),SUMIFS(Supplier_Invoices!$AC:$AC,Supplier_Invoices!$C:$C,$A40,Supplier_Invoices!$AG:$AG,1,Supplier_Invoices!$Y:$Y,"&gt;="&amp;(SB_To-30),Supplier_Invoices!$E:$E,"&lt;="&amp;SB_To))-MIN(MAX($F40,0),SUMIFS(Supplier_Invoices!$AC:$AC,Supplier_Invoices!$C:$C,$A40,Supplier_Invoices!$AG:$AG,1,Supplier_Invoices!$Y:$Y,"&gt;="&amp;(SB_To-0),Supplier_Invoices!$E:$E,"&lt;="&amp;SB_To)))</f>
        <v/>
      </c>
      <c r="I40" s="43">
        <f>IF($A40="","",MIN(MAX($F40,0),SUMIFS(Supplier_Invoices!$AC:$AC,Supplier_Invoices!$C:$C,$A40,Supplier_Invoices!$AG:$AG,1,Supplier_Invoices!$Y:$Y,"&gt;="&amp;(SB_To-60),Supplier_Invoices!$E:$E,"&lt;="&amp;SB_To))-MIN(MAX($F40,0),SUMIFS(Supplier_Invoices!$AC:$AC,Supplier_Invoices!$C:$C,$A40,Supplier_Invoices!$AG:$AG,1,Supplier_Invoices!$Y:$Y,"&gt;="&amp;(SB_To-30),Supplier_Invoices!$E:$E,"&lt;="&amp;SB_To)))</f>
        <v/>
      </c>
      <c r="J40" s="43">
        <f>IF($A40="","",MIN(MAX($F40,0),SUMIFS(Supplier_Invoices!$AC:$AC,Supplier_Invoices!$C:$C,$A40,Supplier_Invoices!$AG:$AG,1,Supplier_Invoices!$Y:$Y,"&gt;="&amp;(SB_To-90),Supplier_Invoices!$E:$E,"&lt;="&amp;SB_To))-MIN(MAX($F40,0),SUMIFS(Supplier_Invoices!$AC:$AC,Supplier_Invoices!$C:$C,$A40,Supplier_Invoices!$AG:$AG,1,Supplier_Invoices!$Y:$Y,"&gt;="&amp;(SB_To-60),Supplier_Invoices!$E:$E,"&lt;="&amp;SB_To)))</f>
        <v/>
      </c>
      <c r="K40" s="43">
        <f>IF($A40="","",MAX($F40,0)-MIN(MAX($F40,0),SUMIFS(Supplier_Invoices!$AC:$AC,Supplier_Invoices!$C:$C,$A40,Supplier_Invoices!$AG:$AG,1,Supplier_Invoices!$Y:$Y,"&gt;="&amp;(SB_To-90),Supplier_Invoices!$E:$E,"&lt;="&amp;SB_To)))</f>
        <v/>
      </c>
      <c r="L40" s="33">
        <f>IF($A40="","",IF(COUNTIFS(Supplier_Payments!$C:$C,$A40,Supplier_Payments!$V:$V,1)=0,"",_xlfn.MAXIFS(Supplier_Payments!$B:$B,Supplier_Payments!$C:$C,$A40,Supplier_Payments!$V:$V,1)))</f>
        <v/>
      </c>
      <c r="M40" s="32">
        <f>IF($A40="","",IF($F40&lt;-S_Tol,"رصيد مدين للمورد - مراجعة",IF($H40+$I40+$J40+$K40&gt;S_Tol,"يوجد مبالغ متأخرة","")))</f>
        <v/>
      </c>
    </row>
    <row r="41">
      <c r="A41" s="44">
        <f>IF(INDEX(Suppliers!$A:$A,ROW()-6)="","",INDEX(Suppliers!$A:$A,ROW()-6))</f>
        <v/>
      </c>
      <c r="B41" s="32">
        <f>IF($A41="","",INDEX(Suppliers!$B:$B,ROW()-6))</f>
        <v/>
      </c>
      <c r="C41" s="47">
        <f>IF($A41="","",SUMIFS(GL_Journal!$T:$T,GL_Journal!$G:$G,ACC_SUPPLIERS,GL_Journal!$K:$K,$A41,GL_Journal!$D:$D,"&lt;"&amp;SB_From)-SUMIFS(GL_Journal!$S:$S,GL_Journal!$G:$G,ACC_SUPPLIERS,GL_Journal!$K:$K,$A41,GL_Journal!$D:$D,"&lt;"&amp;SB_From))</f>
        <v/>
      </c>
      <c r="D41" s="43">
        <f>IF($A41="","",SUMIFS(GL_Journal!$T:$T,GL_Journal!$G:$G,ACC_SUPPLIERS,GL_Journal!$K:$K,$A41,GL_Journal!$D:$D,"&gt;="&amp;SB_From,GL_Journal!$D:$D,"&lt;="&amp;SB_To))</f>
        <v/>
      </c>
      <c r="E41" s="43">
        <f>IF($A41="","",SUMIFS(GL_Journal!$S:$S,GL_Journal!$G:$G,ACC_SUPPLIERS,GL_Journal!$K:$K,$A41,GL_Journal!$D:$D,"&gt;="&amp;SB_From,GL_Journal!$D:$D,"&lt;="&amp;SB_To))</f>
        <v/>
      </c>
      <c r="F41" s="47">
        <f>IF($A41="","",$C41+$D41-$E41)</f>
        <v/>
      </c>
      <c r="G41" s="43">
        <f>IF($A41="","",MIN(MAX($F41,0),SUMIFS(Supplier_Invoices!$AC:$AC,Supplier_Invoices!$C:$C,$A41,Supplier_Invoices!$AG:$AG,1,Supplier_Invoices!$Y:$Y,"&gt;="&amp;(SB_To-0),Supplier_Invoices!$E:$E,"&lt;="&amp;SB_To)))</f>
        <v/>
      </c>
      <c r="H41" s="43">
        <f>IF($A41="","",MIN(MAX($F41,0),SUMIFS(Supplier_Invoices!$AC:$AC,Supplier_Invoices!$C:$C,$A41,Supplier_Invoices!$AG:$AG,1,Supplier_Invoices!$Y:$Y,"&gt;="&amp;(SB_To-30),Supplier_Invoices!$E:$E,"&lt;="&amp;SB_To))-MIN(MAX($F41,0),SUMIFS(Supplier_Invoices!$AC:$AC,Supplier_Invoices!$C:$C,$A41,Supplier_Invoices!$AG:$AG,1,Supplier_Invoices!$Y:$Y,"&gt;="&amp;(SB_To-0),Supplier_Invoices!$E:$E,"&lt;="&amp;SB_To)))</f>
        <v/>
      </c>
      <c r="I41" s="43">
        <f>IF($A41="","",MIN(MAX($F41,0),SUMIFS(Supplier_Invoices!$AC:$AC,Supplier_Invoices!$C:$C,$A41,Supplier_Invoices!$AG:$AG,1,Supplier_Invoices!$Y:$Y,"&gt;="&amp;(SB_To-60),Supplier_Invoices!$E:$E,"&lt;="&amp;SB_To))-MIN(MAX($F41,0),SUMIFS(Supplier_Invoices!$AC:$AC,Supplier_Invoices!$C:$C,$A41,Supplier_Invoices!$AG:$AG,1,Supplier_Invoices!$Y:$Y,"&gt;="&amp;(SB_To-30),Supplier_Invoices!$E:$E,"&lt;="&amp;SB_To)))</f>
        <v/>
      </c>
      <c r="J41" s="43">
        <f>IF($A41="","",MIN(MAX($F41,0),SUMIFS(Supplier_Invoices!$AC:$AC,Supplier_Invoices!$C:$C,$A41,Supplier_Invoices!$AG:$AG,1,Supplier_Invoices!$Y:$Y,"&gt;="&amp;(SB_To-90),Supplier_Invoices!$E:$E,"&lt;="&amp;SB_To))-MIN(MAX($F41,0),SUMIFS(Supplier_Invoices!$AC:$AC,Supplier_Invoices!$C:$C,$A41,Supplier_Invoices!$AG:$AG,1,Supplier_Invoices!$Y:$Y,"&gt;="&amp;(SB_To-60),Supplier_Invoices!$E:$E,"&lt;="&amp;SB_To)))</f>
        <v/>
      </c>
      <c r="K41" s="43">
        <f>IF($A41="","",MAX($F41,0)-MIN(MAX($F41,0),SUMIFS(Supplier_Invoices!$AC:$AC,Supplier_Invoices!$C:$C,$A41,Supplier_Invoices!$AG:$AG,1,Supplier_Invoices!$Y:$Y,"&gt;="&amp;(SB_To-90),Supplier_Invoices!$E:$E,"&lt;="&amp;SB_To)))</f>
        <v/>
      </c>
      <c r="L41" s="33">
        <f>IF($A41="","",IF(COUNTIFS(Supplier_Payments!$C:$C,$A41,Supplier_Payments!$V:$V,1)=0,"",_xlfn.MAXIFS(Supplier_Payments!$B:$B,Supplier_Payments!$C:$C,$A41,Supplier_Payments!$V:$V,1)))</f>
        <v/>
      </c>
      <c r="M41" s="32">
        <f>IF($A41="","",IF($F41&lt;-S_Tol,"رصيد مدين للمورد - مراجعة",IF($H41+$I41+$J41+$K41&gt;S_Tol,"يوجد مبالغ متأخرة","")))</f>
        <v/>
      </c>
    </row>
    <row r="42">
      <c r="A42" s="44">
        <f>IF(INDEX(Suppliers!$A:$A,ROW()-6)="","",INDEX(Suppliers!$A:$A,ROW()-6))</f>
        <v/>
      </c>
      <c r="B42" s="32">
        <f>IF($A42="","",INDEX(Suppliers!$B:$B,ROW()-6))</f>
        <v/>
      </c>
      <c r="C42" s="47">
        <f>IF($A42="","",SUMIFS(GL_Journal!$T:$T,GL_Journal!$G:$G,ACC_SUPPLIERS,GL_Journal!$K:$K,$A42,GL_Journal!$D:$D,"&lt;"&amp;SB_From)-SUMIFS(GL_Journal!$S:$S,GL_Journal!$G:$G,ACC_SUPPLIERS,GL_Journal!$K:$K,$A42,GL_Journal!$D:$D,"&lt;"&amp;SB_From))</f>
        <v/>
      </c>
      <c r="D42" s="43">
        <f>IF($A42="","",SUMIFS(GL_Journal!$T:$T,GL_Journal!$G:$G,ACC_SUPPLIERS,GL_Journal!$K:$K,$A42,GL_Journal!$D:$D,"&gt;="&amp;SB_From,GL_Journal!$D:$D,"&lt;="&amp;SB_To))</f>
        <v/>
      </c>
      <c r="E42" s="43">
        <f>IF($A42="","",SUMIFS(GL_Journal!$S:$S,GL_Journal!$G:$G,ACC_SUPPLIERS,GL_Journal!$K:$K,$A42,GL_Journal!$D:$D,"&gt;="&amp;SB_From,GL_Journal!$D:$D,"&lt;="&amp;SB_To))</f>
        <v/>
      </c>
      <c r="F42" s="47">
        <f>IF($A42="","",$C42+$D42-$E42)</f>
        <v/>
      </c>
      <c r="G42" s="43">
        <f>IF($A42="","",MIN(MAX($F42,0),SUMIFS(Supplier_Invoices!$AC:$AC,Supplier_Invoices!$C:$C,$A42,Supplier_Invoices!$AG:$AG,1,Supplier_Invoices!$Y:$Y,"&gt;="&amp;(SB_To-0),Supplier_Invoices!$E:$E,"&lt;="&amp;SB_To)))</f>
        <v/>
      </c>
      <c r="H42" s="43">
        <f>IF($A42="","",MIN(MAX($F42,0),SUMIFS(Supplier_Invoices!$AC:$AC,Supplier_Invoices!$C:$C,$A42,Supplier_Invoices!$AG:$AG,1,Supplier_Invoices!$Y:$Y,"&gt;="&amp;(SB_To-30),Supplier_Invoices!$E:$E,"&lt;="&amp;SB_To))-MIN(MAX($F42,0),SUMIFS(Supplier_Invoices!$AC:$AC,Supplier_Invoices!$C:$C,$A42,Supplier_Invoices!$AG:$AG,1,Supplier_Invoices!$Y:$Y,"&gt;="&amp;(SB_To-0),Supplier_Invoices!$E:$E,"&lt;="&amp;SB_To)))</f>
        <v/>
      </c>
      <c r="I42" s="43">
        <f>IF($A42="","",MIN(MAX($F42,0),SUMIFS(Supplier_Invoices!$AC:$AC,Supplier_Invoices!$C:$C,$A42,Supplier_Invoices!$AG:$AG,1,Supplier_Invoices!$Y:$Y,"&gt;="&amp;(SB_To-60),Supplier_Invoices!$E:$E,"&lt;="&amp;SB_To))-MIN(MAX($F42,0),SUMIFS(Supplier_Invoices!$AC:$AC,Supplier_Invoices!$C:$C,$A42,Supplier_Invoices!$AG:$AG,1,Supplier_Invoices!$Y:$Y,"&gt;="&amp;(SB_To-30),Supplier_Invoices!$E:$E,"&lt;="&amp;SB_To)))</f>
        <v/>
      </c>
      <c r="J42" s="43">
        <f>IF($A42="","",MIN(MAX($F42,0),SUMIFS(Supplier_Invoices!$AC:$AC,Supplier_Invoices!$C:$C,$A42,Supplier_Invoices!$AG:$AG,1,Supplier_Invoices!$Y:$Y,"&gt;="&amp;(SB_To-90),Supplier_Invoices!$E:$E,"&lt;="&amp;SB_To))-MIN(MAX($F42,0),SUMIFS(Supplier_Invoices!$AC:$AC,Supplier_Invoices!$C:$C,$A42,Supplier_Invoices!$AG:$AG,1,Supplier_Invoices!$Y:$Y,"&gt;="&amp;(SB_To-60),Supplier_Invoices!$E:$E,"&lt;="&amp;SB_To)))</f>
        <v/>
      </c>
      <c r="K42" s="43">
        <f>IF($A42="","",MAX($F42,0)-MIN(MAX($F42,0),SUMIFS(Supplier_Invoices!$AC:$AC,Supplier_Invoices!$C:$C,$A42,Supplier_Invoices!$AG:$AG,1,Supplier_Invoices!$Y:$Y,"&gt;="&amp;(SB_To-90),Supplier_Invoices!$E:$E,"&lt;="&amp;SB_To)))</f>
        <v/>
      </c>
      <c r="L42" s="33">
        <f>IF($A42="","",IF(COUNTIFS(Supplier_Payments!$C:$C,$A42,Supplier_Payments!$V:$V,1)=0,"",_xlfn.MAXIFS(Supplier_Payments!$B:$B,Supplier_Payments!$C:$C,$A42,Supplier_Payments!$V:$V,1)))</f>
        <v/>
      </c>
      <c r="M42" s="32">
        <f>IF($A42="","",IF($F42&lt;-S_Tol,"رصيد مدين للمورد - مراجعة",IF($H42+$I42+$J42+$K42&gt;S_Tol,"يوجد مبالغ متأخرة","")))</f>
        <v/>
      </c>
    </row>
    <row r="43">
      <c r="A43" s="44">
        <f>IF(INDEX(Suppliers!$A:$A,ROW()-6)="","",INDEX(Suppliers!$A:$A,ROW()-6))</f>
        <v/>
      </c>
      <c r="B43" s="32">
        <f>IF($A43="","",INDEX(Suppliers!$B:$B,ROW()-6))</f>
        <v/>
      </c>
      <c r="C43" s="47">
        <f>IF($A43="","",SUMIFS(GL_Journal!$T:$T,GL_Journal!$G:$G,ACC_SUPPLIERS,GL_Journal!$K:$K,$A43,GL_Journal!$D:$D,"&lt;"&amp;SB_From)-SUMIFS(GL_Journal!$S:$S,GL_Journal!$G:$G,ACC_SUPPLIERS,GL_Journal!$K:$K,$A43,GL_Journal!$D:$D,"&lt;"&amp;SB_From))</f>
        <v/>
      </c>
      <c r="D43" s="43">
        <f>IF($A43="","",SUMIFS(GL_Journal!$T:$T,GL_Journal!$G:$G,ACC_SUPPLIERS,GL_Journal!$K:$K,$A43,GL_Journal!$D:$D,"&gt;="&amp;SB_From,GL_Journal!$D:$D,"&lt;="&amp;SB_To))</f>
        <v/>
      </c>
      <c r="E43" s="43">
        <f>IF($A43="","",SUMIFS(GL_Journal!$S:$S,GL_Journal!$G:$G,ACC_SUPPLIERS,GL_Journal!$K:$K,$A43,GL_Journal!$D:$D,"&gt;="&amp;SB_From,GL_Journal!$D:$D,"&lt;="&amp;SB_To))</f>
        <v/>
      </c>
      <c r="F43" s="47">
        <f>IF($A43="","",$C43+$D43-$E43)</f>
        <v/>
      </c>
      <c r="G43" s="43">
        <f>IF($A43="","",MIN(MAX($F43,0),SUMIFS(Supplier_Invoices!$AC:$AC,Supplier_Invoices!$C:$C,$A43,Supplier_Invoices!$AG:$AG,1,Supplier_Invoices!$Y:$Y,"&gt;="&amp;(SB_To-0),Supplier_Invoices!$E:$E,"&lt;="&amp;SB_To)))</f>
        <v/>
      </c>
      <c r="H43" s="43">
        <f>IF($A43="","",MIN(MAX($F43,0),SUMIFS(Supplier_Invoices!$AC:$AC,Supplier_Invoices!$C:$C,$A43,Supplier_Invoices!$AG:$AG,1,Supplier_Invoices!$Y:$Y,"&gt;="&amp;(SB_To-30),Supplier_Invoices!$E:$E,"&lt;="&amp;SB_To))-MIN(MAX($F43,0),SUMIFS(Supplier_Invoices!$AC:$AC,Supplier_Invoices!$C:$C,$A43,Supplier_Invoices!$AG:$AG,1,Supplier_Invoices!$Y:$Y,"&gt;="&amp;(SB_To-0),Supplier_Invoices!$E:$E,"&lt;="&amp;SB_To)))</f>
        <v/>
      </c>
      <c r="I43" s="43">
        <f>IF($A43="","",MIN(MAX($F43,0),SUMIFS(Supplier_Invoices!$AC:$AC,Supplier_Invoices!$C:$C,$A43,Supplier_Invoices!$AG:$AG,1,Supplier_Invoices!$Y:$Y,"&gt;="&amp;(SB_To-60),Supplier_Invoices!$E:$E,"&lt;="&amp;SB_To))-MIN(MAX($F43,0),SUMIFS(Supplier_Invoices!$AC:$AC,Supplier_Invoices!$C:$C,$A43,Supplier_Invoices!$AG:$AG,1,Supplier_Invoices!$Y:$Y,"&gt;="&amp;(SB_To-30),Supplier_Invoices!$E:$E,"&lt;="&amp;SB_To)))</f>
        <v/>
      </c>
      <c r="J43" s="43">
        <f>IF($A43="","",MIN(MAX($F43,0),SUMIFS(Supplier_Invoices!$AC:$AC,Supplier_Invoices!$C:$C,$A43,Supplier_Invoices!$AG:$AG,1,Supplier_Invoices!$Y:$Y,"&gt;="&amp;(SB_To-90),Supplier_Invoices!$E:$E,"&lt;="&amp;SB_To))-MIN(MAX($F43,0),SUMIFS(Supplier_Invoices!$AC:$AC,Supplier_Invoices!$C:$C,$A43,Supplier_Invoices!$AG:$AG,1,Supplier_Invoices!$Y:$Y,"&gt;="&amp;(SB_To-60),Supplier_Invoices!$E:$E,"&lt;="&amp;SB_To)))</f>
        <v/>
      </c>
      <c r="K43" s="43">
        <f>IF($A43="","",MAX($F43,0)-MIN(MAX($F43,0),SUMIFS(Supplier_Invoices!$AC:$AC,Supplier_Invoices!$C:$C,$A43,Supplier_Invoices!$AG:$AG,1,Supplier_Invoices!$Y:$Y,"&gt;="&amp;(SB_To-90),Supplier_Invoices!$E:$E,"&lt;="&amp;SB_To)))</f>
        <v/>
      </c>
      <c r="L43" s="33">
        <f>IF($A43="","",IF(COUNTIFS(Supplier_Payments!$C:$C,$A43,Supplier_Payments!$V:$V,1)=0,"",_xlfn.MAXIFS(Supplier_Payments!$B:$B,Supplier_Payments!$C:$C,$A43,Supplier_Payments!$V:$V,1)))</f>
        <v/>
      </c>
      <c r="M43" s="32">
        <f>IF($A43="","",IF($F43&lt;-S_Tol,"رصيد مدين للمورد - مراجعة",IF($H43+$I43+$J43+$K43&gt;S_Tol,"يوجد مبالغ متأخرة","")))</f>
        <v/>
      </c>
    </row>
    <row r="44">
      <c r="A44" s="44">
        <f>IF(INDEX(Suppliers!$A:$A,ROW()-6)="","",INDEX(Suppliers!$A:$A,ROW()-6))</f>
        <v/>
      </c>
      <c r="B44" s="32">
        <f>IF($A44="","",INDEX(Suppliers!$B:$B,ROW()-6))</f>
        <v/>
      </c>
      <c r="C44" s="47">
        <f>IF($A44="","",SUMIFS(GL_Journal!$T:$T,GL_Journal!$G:$G,ACC_SUPPLIERS,GL_Journal!$K:$K,$A44,GL_Journal!$D:$D,"&lt;"&amp;SB_From)-SUMIFS(GL_Journal!$S:$S,GL_Journal!$G:$G,ACC_SUPPLIERS,GL_Journal!$K:$K,$A44,GL_Journal!$D:$D,"&lt;"&amp;SB_From))</f>
        <v/>
      </c>
      <c r="D44" s="43">
        <f>IF($A44="","",SUMIFS(GL_Journal!$T:$T,GL_Journal!$G:$G,ACC_SUPPLIERS,GL_Journal!$K:$K,$A44,GL_Journal!$D:$D,"&gt;="&amp;SB_From,GL_Journal!$D:$D,"&lt;="&amp;SB_To))</f>
        <v/>
      </c>
      <c r="E44" s="43">
        <f>IF($A44="","",SUMIFS(GL_Journal!$S:$S,GL_Journal!$G:$G,ACC_SUPPLIERS,GL_Journal!$K:$K,$A44,GL_Journal!$D:$D,"&gt;="&amp;SB_From,GL_Journal!$D:$D,"&lt;="&amp;SB_To))</f>
        <v/>
      </c>
      <c r="F44" s="47">
        <f>IF($A44="","",$C44+$D44-$E44)</f>
        <v/>
      </c>
      <c r="G44" s="43">
        <f>IF($A44="","",MIN(MAX($F44,0),SUMIFS(Supplier_Invoices!$AC:$AC,Supplier_Invoices!$C:$C,$A44,Supplier_Invoices!$AG:$AG,1,Supplier_Invoices!$Y:$Y,"&gt;="&amp;(SB_To-0),Supplier_Invoices!$E:$E,"&lt;="&amp;SB_To)))</f>
        <v/>
      </c>
      <c r="H44" s="43">
        <f>IF($A44="","",MIN(MAX($F44,0),SUMIFS(Supplier_Invoices!$AC:$AC,Supplier_Invoices!$C:$C,$A44,Supplier_Invoices!$AG:$AG,1,Supplier_Invoices!$Y:$Y,"&gt;="&amp;(SB_To-30),Supplier_Invoices!$E:$E,"&lt;="&amp;SB_To))-MIN(MAX($F44,0),SUMIFS(Supplier_Invoices!$AC:$AC,Supplier_Invoices!$C:$C,$A44,Supplier_Invoices!$AG:$AG,1,Supplier_Invoices!$Y:$Y,"&gt;="&amp;(SB_To-0),Supplier_Invoices!$E:$E,"&lt;="&amp;SB_To)))</f>
        <v/>
      </c>
      <c r="I44" s="43">
        <f>IF($A44="","",MIN(MAX($F44,0),SUMIFS(Supplier_Invoices!$AC:$AC,Supplier_Invoices!$C:$C,$A44,Supplier_Invoices!$AG:$AG,1,Supplier_Invoices!$Y:$Y,"&gt;="&amp;(SB_To-60),Supplier_Invoices!$E:$E,"&lt;="&amp;SB_To))-MIN(MAX($F44,0),SUMIFS(Supplier_Invoices!$AC:$AC,Supplier_Invoices!$C:$C,$A44,Supplier_Invoices!$AG:$AG,1,Supplier_Invoices!$Y:$Y,"&gt;="&amp;(SB_To-30),Supplier_Invoices!$E:$E,"&lt;="&amp;SB_To)))</f>
        <v/>
      </c>
      <c r="J44" s="43">
        <f>IF($A44="","",MIN(MAX($F44,0),SUMIFS(Supplier_Invoices!$AC:$AC,Supplier_Invoices!$C:$C,$A44,Supplier_Invoices!$AG:$AG,1,Supplier_Invoices!$Y:$Y,"&gt;="&amp;(SB_To-90),Supplier_Invoices!$E:$E,"&lt;="&amp;SB_To))-MIN(MAX($F44,0),SUMIFS(Supplier_Invoices!$AC:$AC,Supplier_Invoices!$C:$C,$A44,Supplier_Invoices!$AG:$AG,1,Supplier_Invoices!$Y:$Y,"&gt;="&amp;(SB_To-60),Supplier_Invoices!$E:$E,"&lt;="&amp;SB_To)))</f>
        <v/>
      </c>
      <c r="K44" s="43">
        <f>IF($A44="","",MAX($F44,0)-MIN(MAX($F44,0),SUMIFS(Supplier_Invoices!$AC:$AC,Supplier_Invoices!$C:$C,$A44,Supplier_Invoices!$AG:$AG,1,Supplier_Invoices!$Y:$Y,"&gt;="&amp;(SB_To-90),Supplier_Invoices!$E:$E,"&lt;="&amp;SB_To)))</f>
        <v/>
      </c>
      <c r="L44" s="33">
        <f>IF($A44="","",IF(COUNTIFS(Supplier_Payments!$C:$C,$A44,Supplier_Payments!$V:$V,1)=0,"",_xlfn.MAXIFS(Supplier_Payments!$B:$B,Supplier_Payments!$C:$C,$A44,Supplier_Payments!$V:$V,1)))</f>
        <v/>
      </c>
      <c r="M44" s="32">
        <f>IF($A44="","",IF($F44&lt;-S_Tol,"رصيد مدين للمورد - مراجعة",IF($H44+$I44+$J44+$K44&gt;S_Tol,"يوجد مبالغ متأخرة","")))</f>
        <v/>
      </c>
    </row>
    <row r="45">
      <c r="A45" s="44">
        <f>IF(INDEX(Suppliers!$A:$A,ROW()-6)="","",INDEX(Suppliers!$A:$A,ROW()-6))</f>
        <v/>
      </c>
      <c r="B45" s="32">
        <f>IF($A45="","",INDEX(Suppliers!$B:$B,ROW()-6))</f>
        <v/>
      </c>
      <c r="C45" s="47">
        <f>IF($A45="","",SUMIFS(GL_Journal!$T:$T,GL_Journal!$G:$G,ACC_SUPPLIERS,GL_Journal!$K:$K,$A45,GL_Journal!$D:$D,"&lt;"&amp;SB_From)-SUMIFS(GL_Journal!$S:$S,GL_Journal!$G:$G,ACC_SUPPLIERS,GL_Journal!$K:$K,$A45,GL_Journal!$D:$D,"&lt;"&amp;SB_From))</f>
        <v/>
      </c>
      <c r="D45" s="43">
        <f>IF($A45="","",SUMIFS(GL_Journal!$T:$T,GL_Journal!$G:$G,ACC_SUPPLIERS,GL_Journal!$K:$K,$A45,GL_Journal!$D:$D,"&gt;="&amp;SB_From,GL_Journal!$D:$D,"&lt;="&amp;SB_To))</f>
        <v/>
      </c>
      <c r="E45" s="43">
        <f>IF($A45="","",SUMIFS(GL_Journal!$S:$S,GL_Journal!$G:$G,ACC_SUPPLIERS,GL_Journal!$K:$K,$A45,GL_Journal!$D:$D,"&gt;="&amp;SB_From,GL_Journal!$D:$D,"&lt;="&amp;SB_To))</f>
        <v/>
      </c>
      <c r="F45" s="47">
        <f>IF($A45="","",$C45+$D45-$E45)</f>
        <v/>
      </c>
      <c r="G45" s="43">
        <f>IF($A45="","",MIN(MAX($F45,0),SUMIFS(Supplier_Invoices!$AC:$AC,Supplier_Invoices!$C:$C,$A45,Supplier_Invoices!$AG:$AG,1,Supplier_Invoices!$Y:$Y,"&gt;="&amp;(SB_To-0),Supplier_Invoices!$E:$E,"&lt;="&amp;SB_To)))</f>
        <v/>
      </c>
      <c r="H45" s="43">
        <f>IF($A45="","",MIN(MAX($F45,0),SUMIFS(Supplier_Invoices!$AC:$AC,Supplier_Invoices!$C:$C,$A45,Supplier_Invoices!$AG:$AG,1,Supplier_Invoices!$Y:$Y,"&gt;="&amp;(SB_To-30),Supplier_Invoices!$E:$E,"&lt;="&amp;SB_To))-MIN(MAX($F45,0),SUMIFS(Supplier_Invoices!$AC:$AC,Supplier_Invoices!$C:$C,$A45,Supplier_Invoices!$AG:$AG,1,Supplier_Invoices!$Y:$Y,"&gt;="&amp;(SB_To-0),Supplier_Invoices!$E:$E,"&lt;="&amp;SB_To)))</f>
        <v/>
      </c>
      <c r="I45" s="43">
        <f>IF($A45="","",MIN(MAX($F45,0),SUMIFS(Supplier_Invoices!$AC:$AC,Supplier_Invoices!$C:$C,$A45,Supplier_Invoices!$AG:$AG,1,Supplier_Invoices!$Y:$Y,"&gt;="&amp;(SB_To-60),Supplier_Invoices!$E:$E,"&lt;="&amp;SB_To))-MIN(MAX($F45,0),SUMIFS(Supplier_Invoices!$AC:$AC,Supplier_Invoices!$C:$C,$A45,Supplier_Invoices!$AG:$AG,1,Supplier_Invoices!$Y:$Y,"&gt;="&amp;(SB_To-30),Supplier_Invoices!$E:$E,"&lt;="&amp;SB_To)))</f>
        <v/>
      </c>
      <c r="J45" s="43">
        <f>IF($A45="","",MIN(MAX($F45,0),SUMIFS(Supplier_Invoices!$AC:$AC,Supplier_Invoices!$C:$C,$A45,Supplier_Invoices!$AG:$AG,1,Supplier_Invoices!$Y:$Y,"&gt;="&amp;(SB_To-90),Supplier_Invoices!$E:$E,"&lt;="&amp;SB_To))-MIN(MAX($F45,0),SUMIFS(Supplier_Invoices!$AC:$AC,Supplier_Invoices!$C:$C,$A45,Supplier_Invoices!$AG:$AG,1,Supplier_Invoices!$Y:$Y,"&gt;="&amp;(SB_To-60),Supplier_Invoices!$E:$E,"&lt;="&amp;SB_To)))</f>
        <v/>
      </c>
      <c r="K45" s="43">
        <f>IF($A45="","",MAX($F45,0)-MIN(MAX($F45,0),SUMIFS(Supplier_Invoices!$AC:$AC,Supplier_Invoices!$C:$C,$A45,Supplier_Invoices!$AG:$AG,1,Supplier_Invoices!$Y:$Y,"&gt;="&amp;(SB_To-90),Supplier_Invoices!$E:$E,"&lt;="&amp;SB_To)))</f>
        <v/>
      </c>
      <c r="L45" s="33">
        <f>IF($A45="","",IF(COUNTIFS(Supplier_Payments!$C:$C,$A45,Supplier_Payments!$V:$V,1)=0,"",_xlfn.MAXIFS(Supplier_Payments!$B:$B,Supplier_Payments!$C:$C,$A45,Supplier_Payments!$V:$V,1)))</f>
        <v/>
      </c>
      <c r="M45" s="32">
        <f>IF($A45="","",IF($F45&lt;-S_Tol,"رصيد مدين للمورد - مراجعة",IF($H45+$I45+$J45+$K45&gt;S_Tol,"يوجد مبالغ متأخرة","")))</f>
        <v/>
      </c>
    </row>
    <row r="46">
      <c r="A46" s="44">
        <f>IF(INDEX(Suppliers!$A:$A,ROW()-6)="","",INDEX(Suppliers!$A:$A,ROW()-6))</f>
        <v/>
      </c>
      <c r="B46" s="32">
        <f>IF($A46="","",INDEX(Suppliers!$B:$B,ROW()-6))</f>
        <v/>
      </c>
      <c r="C46" s="47">
        <f>IF($A46="","",SUMIFS(GL_Journal!$T:$T,GL_Journal!$G:$G,ACC_SUPPLIERS,GL_Journal!$K:$K,$A46,GL_Journal!$D:$D,"&lt;"&amp;SB_From)-SUMIFS(GL_Journal!$S:$S,GL_Journal!$G:$G,ACC_SUPPLIERS,GL_Journal!$K:$K,$A46,GL_Journal!$D:$D,"&lt;"&amp;SB_From))</f>
        <v/>
      </c>
      <c r="D46" s="43">
        <f>IF($A46="","",SUMIFS(GL_Journal!$T:$T,GL_Journal!$G:$G,ACC_SUPPLIERS,GL_Journal!$K:$K,$A46,GL_Journal!$D:$D,"&gt;="&amp;SB_From,GL_Journal!$D:$D,"&lt;="&amp;SB_To))</f>
        <v/>
      </c>
      <c r="E46" s="43">
        <f>IF($A46="","",SUMIFS(GL_Journal!$S:$S,GL_Journal!$G:$G,ACC_SUPPLIERS,GL_Journal!$K:$K,$A46,GL_Journal!$D:$D,"&gt;="&amp;SB_From,GL_Journal!$D:$D,"&lt;="&amp;SB_To))</f>
        <v/>
      </c>
      <c r="F46" s="47">
        <f>IF($A46="","",$C46+$D46-$E46)</f>
        <v/>
      </c>
      <c r="G46" s="43">
        <f>IF($A46="","",MIN(MAX($F46,0),SUMIFS(Supplier_Invoices!$AC:$AC,Supplier_Invoices!$C:$C,$A46,Supplier_Invoices!$AG:$AG,1,Supplier_Invoices!$Y:$Y,"&gt;="&amp;(SB_To-0),Supplier_Invoices!$E:$E,"&lt;="&amp;SB_To)))</f>
        <v/>
      </c>
      <c r="H46" s="43">
        <f>IF($A46="","",MIN(MAX($F46,0),SUMIFS(Supplier_Invoices!$AC:$AC,Supplier_Invoices!$C:$C,$A46,Supplier_Invoices!$AG:$AG,1,Supplier_Invoices!$Y:$Y,"&gt;="&amp;(SB_To-30),Supplier_Invoices!$E:$E,"&lt;="&amp;SB_To))-MIN(MAX($F46,0),SUMIFS(Supplier_Invoices!$AC:$AC,Supplier_Invoices!$C:$C,$A46,Supplier_Invoices!$AG:$AG,1,Supplier_Invoices!$Y:$Y,"&gt;="&amp;(SB_To-0),Supplier_Invoices!$E:$E,"&lt;="&amp;SB_To)))</f>
        <v/>
      </c>
      <c r="I46" s="43">
        <f>IF($A46="","",MIN(MAX($F46,0),SUMIFS(Supplier_Invoices!$AC:$AC,Supplier_Invoices!$C:$C,$A46,Supplier_Invoices!$AG:$AG,1,Supplier_Invoices!$Y:$Y,"&gt;="&amp;(SB_To-60),Supplier_Invoices!$E:$E,"&lt;="&amp;SB_To))-MIN(MAX($F46,0),SUMIFS(Supplier_Invoices!$AC:$AC,Supplier_Invoices!$C:$C,$A46,Supplier_Invoices!$AG:$AG,1,Supplier_Invoices!$Y:$Y,"&gt;="&amp;(SB_To-30),Supplier_Invoices!$E:$E,"&lt;="&amp;SB_To)))</f>
        <v/>
      </c>
      <c r="J46" s="43">
        <f>IF($A46="","",MIN(MAX($F46,0),SUMIFS(Supplier_Invoices!$AC:$AC,Supplier_Invoices!$C:$C,$A46,Supplier_Invoices!$AG:$AG,1,Supplier_Invoices!$Y:$Y,"&gt;="&amp;(SB_To-90),Supplier_Invoices!$E:$E,"&lt;="&amp;SB_To))-MIN(MAX($F46,0),SUMIFS(Supplier_Invoices!$AC:$AC,Supplier_Invoices!$C:$C,$A46,Supplier_Invoices!$AG:$AG,1,Supplier_Invoices!$Y:$Y,"&gt;="&amp;(SB_To-60),Supplier_Invoices!$E:$E,"&lt;="&amp;SB_To)))</f>
        <v/>
      </c>
      <c r="K46" s="43">
        <f>IF($A46="","",MAX($F46,0)-MIN(MAX($F46,0),SUMIFS(Supplier_Invoices!$AC:$AC,Supplier_Invoices!$C:$C,$A46,Supplier_Invoices!$AG:$AG,1,Supplier_Invoices!$Y:$Y,"&gt;="&amp;(SB_To-90),Supplier_Invoices!$E:$E,"&lt;="&amp;SB_To)))</f>
        <v/>
      </c>
      <c r="L46" s="33">
        <f>IF($A46="","",IF(COUNTIFS(Supplier_Payments!$C:$C,$A46,Supplier_Payments!$V:$V,1)=0,"",_xlfn.MAXIFS(Supplier_Payments!$B:$B,Supplier_Payments!$C:$C,$A46,Supplier_Payments!$V:$V,1)))</f>
        <v/>
      </c>
      <c r="M46" s="32">
        <f>IF($A46="","",IF($F46&lt;-S_Tol,"رصيد مدين للمورد - مراجعة",IF($H46+$I46+$J46+$K46&gt;S_Tol,"يوجد مبالغ متأخرة","")))</f>
        <v/>
      </c>
    </row>
    <row r="47">
      <c r="A47" s="44">
        <f>IF(INDEX(Suppliers!$A:$A,ROW()-6)="","",INDEX(Suppliers!$A:$A,ROW()-6))</f>
        <v/>
      </c>
      <c r="B47" s="32">
        <f>IF($A47="","",INDEX(Suppliers!$B:$B,ROW()-6))</f>
        <v/>
      </c>
      <c r="C47" s="47">
        <f>IF($A47="","",SUMIFS(GL_Journal!$T:$T,GL_Journal!$G:$G,ACC_SUPPLIERS,GL_Journal!$K:$K,$A47,GL_Journal!$D:$D,"&lt;"&amp;SB_From)-SUMIFS(GL_Journal!$S:$S,GL_Journal!$G:$G,ACC_SUPPLIERS,GL_Journal!$K:$K,$A47,GL_Journal!$D:$D,"&lt;"&amp;SB_From))</f>
        <v/>
      </c>
      <c r="D47" s="43">
        <f>IF($A47="","",SUMIFS(GL_Journal!$T:$T,GL_Journal!$G:$G,ACC_SUPPLIERS,GL_Journal!$K:$K,$A47,GL_Journal!$D:$D,"&gt;="&amp;SB_From,GL_Journal!$D:$D,"&lt;="&amp;SB_To))</f>
        <v/>
      </c>
      <c r="E47" s="43">
        <f>IF($A47="","",SUMIFS(GL_Journal!$S:$S,GL_Journal!$G:$G,ACC_SUPPLIERS,GL_Journal!$K:$K,$A47,GL_Journal!$D:$D,"&gt;="&amp;SB_From,GL_Journal!$D:$D,"&lt;="&amp;SB_To))</f>
        <v/>
      </c>
      <c r="F47" s="47">
        <f>IF($A47="","",$C47+$D47-$E47)</f>
        <v/>
      </c>
      <c r="G47" s="43">
        <f>IF($A47="","",MIN(MAX($F47,0),SUMIFS(Supplier_Invoices!$AC:$AC,Supplier_Invoices!$C:$C,$A47,Supplier_Invoices!$AG:$AG,1,Supplier_Invoices!$Y:$Y,"&gt;="&amp;(SB_To-0),Supplier_Invoices!$E:$E,"&lt;="&amp;SB_To)))</f>
        <v/>
      </c>
      <c r="H47" s="43">
        <f>IF($A47="","",MIN(MAX($F47,0),SUMIFS(Supplier_Invoices!$AC:$AC,Supplier_Invoices!$C:$C,$A47,Supplier_Invoices!$AG:$AG,1,Supplier_Invoices!$Y:$Y,"&gt;="&amp;(SB_To-30),Supplier_Invoices!$E:$E,"&lt;="&amp;SB_To))-MIN(MAX($F47,0),SUMIFS(Supplier_Invoices!$AC:$AC,Supplier_Invoices!$C:$C,$A47,Supplier_Invoices!$AG:$AG,1,Supplier_Invoices!$Y:$Y,"&gt;="&amp;(SB_To-0),Supplier_Invoices!$E:$E,"&lt;="&amp;SB_To)))</f>
        <v/>
      </c>
      <c r="I47" s="43">
        <f>IF($A47="","",MIN(MAX($F47,0),SUMIFS(Supplier_Invoices!$AC:$AC,Supplier_Invoices!$C:$C,$A47,Supplier_Invoices!$AG:$AG,1,Supplier_Invoices!$Y:$Y,"&gt;="&amp;(SB_To-60),Supplier_Invoices!$E:$E,"&lt;="&amp;SB_To))-MIN(MAX($F47,0),SUMIFS(Supplier_Invoices!$AC:$AC,Supplier_Invoices!$C:$C,$A47,Supplier_Invoices!$AG:$AG,1,Supplier_Invoices!$Y:$Y,"&gt;="&amp;(SB_To-30),Supplier_Invoices!$E:$E,"&lt;="&amp;SB_To)))</f>
        <v/>
      </c>
      <c r="J47" s="43">
        <f>IF($A47="","",MIN(MAX($F47,0),SUMIFS(Supplier_Invoices!$AC:$AC,Supplier_Invoices!$C:$C,$A47,Supplier_Invoices!$AG:$AG,1,Supplier_Invoices!$Y:$Y,"&gt;="&amp;(SB_To-90),Supplier_Invoices!$E:$E,"&lt;="&amp;SB_To))-MIN(MAX($F47,0),SUMIFS(Supplier_Invoices!$AC:$AC,Supplier_Invoices!$C:$C,$A47,Supplier_Invoices!$AG:$AG,1,Supplier_Invoices!$Y:$Y,"&gt;="&amp;(SB_To-60),Supplier_Invoices!$E:$E,"&lt;="&amp;SB_To)))</f>
        <v/>
      </c>
      <c r="K47" s="43">
        <f>IF($A47="","",MAX($F47,0)-MIN(MAX($F47,0),SUMIFS(Supplier_Invoices!$AC:$AC,Supplier_Invoices!$C:$C,$A47,Supplier_Invoices!$AG:$AG,1,Supplier_Invoices!$Y:$Y,"&gt;="&amp;(SB_To-90),Supplier_Invoices!$E:$E,"&lt;="&amp;SB_To)))</f>
        <v/>
      </c>
      <c r="L47" s="33">
        <f>IF($A47="","",IF(COUNTIFS(Supplier_Payments!$C:$C,$A47,Supplier_Payments!$V:$V,1)=0,"",_xlfn.MAXIFS(Supplier_Payments!$B:$B,Supplier_Payments!$C:$C,$A47,Supplier_Payments!$V:$V,1)))</f>
        <v/>
      </c>
      <c r="M47" s="32">
        <f>IF($A47="","",IF($F47&lt;-S_Tol,"رصيد مدين للمورد - مراجعة",IF($H47+$I47+$J47+$K47&gt;S_Tol,"يوجد مبالغ متأخرة","")))</f>
        <v/>
      </c>
    </row>
    <row r="48">
      <c r="A48" s="44">
        <f>IF(INDEX(Suppliers!$A:$A,ROW()-6)="","",INDEX(Suppliers!$A:$A,ROW()-6))</f>
        <v/>
      </c>
      <c r="B48" s="32">
        <f>IF($A48="","",INDEX(Suppliers!$B:$B,ROW()-6))</f>
        <v/>
      </c>
      <c r="C48" s="47">
        <f>IF($A48="","",SUMIFS(GL_Journal!$T:$T,GL_Journal!$G:$G,ACC_SUPPLIERS,GL_Journal!$K:$K,$A48,GL_Journal!$D:$D,"&lt;"&amp;SB_From)-SUMIFS(GL_Journal!$S:$S,GL_Journal!$G:$G,ACC_SUPPLIERS,GL_Journal!$K:$K,$A48,GL_Journal!$D:$D,"&lt;"&amp;SB_From))</f>
        <v/>
      </c>
      <c r="D48" s="43">
        <f>IF($A48="","",SUMIFS(GL_Journal!$T:$T,GL_Journal!$G:$G,ACC_SUPPLIERS,GL_Journal!$K:$K,$A48,GL_Journal!$D:$D,"&gt;="&amp;SB_From,GL_Journal!$D:$D,"&lt;="&amp;SB_To))</f>
        <v/>
      </c>
      <c r="E48" s="43">
        <f>IF($A48="","",SUMIFS(GL_Journal!$S:$S,GL_Journal!$G:$G,ACC_SUPPLIERS,GL_Journal!$K:$K,$A48,GL_Journal!$D:$D,"&gt;="&amp;SB_From,GL_Journal!$D:$D,"&lt;="&amp;SB_To))</f>
        <v/>
      </c>
      <c r="F48" s="47">
        <f>IF($A48="","",$C48+$D48-$E48)</f>
        <v/>
      </c>
      <c r="G48" s="43">
        <f>IF($A48="","",MIN(MAX($F48,0),SUMIFS(Supplier_Invoices!$AC:$AC,Supplier_Invoices!$C:$C,$A48,Supplier_Invoices!$AG:$AG,1,Supplier_Invoices!$Y:$Y,"&gt;="&amp;(SB_To-0),Supplier_Invoices!$E:$E,"&lt;="&amp;SB_To)))</f>
        <v/>
      </c>
      <c r="H48" s="43">
        <f>IF($A48="","",MIN(MAX($F48,0),SUMIFS(Supplier_Invoices!$AC:$AC,Supplier_Invoices!$C:$C,$A48,Supplier_Invoices!$AG:$AG,1,Supplier_Invoices!$Y:$Y,"&gt;="&amp;(SB_To-30),Supplier_Invoices!$E:$E,"&lt;="&amp;SB_To))-MIN(MAX($F48,0),SUMIFS(Supplier_Invoices!$AC:$AC,Supplier_Invoices!$C:$C,$A48,Supplier_Invoices!$AG:$AG,1,Supplier_Invoices!$Y:$Y,"&gt;="&amp;(SB_To-0),Supplier_Invoices!$E:$E,"&lt;="&amp;SB_To)))</f>
        <v/>
      </c>
      <c r="I48" s="43">
        <f>IF($A48="","",MIN(MAX($F48,0),SUMIFS(Supplier_Invoices!$AC:$AC,Supplier_Invoices!$C:$C,$A48,Supplier_Invoices!$AG:$AG,1,Supplier_Invoices!$Y:$Y,"&gt;="&amp;(SB_To-60),Supplier_Invoices!$E:$E,"&lt;="&amp;SB_To))-MIN(MAX($F48,0),SUMIFS(Supplier_Invoices!$AC:$AC,Supplier_Invoices!$C:$C,$A48,Supplier_Invoices!$AG:$AG,1,Supplier_Invoices!$Y:$Y,"&gt;="&amp;(SB_To-30),Supplier_Invoices!$E:$E,"&lt;="&amp;SB_To)))</f>
        <v/>
      </c>
      <c r="J48" s="43">
        <f>IF($A48="","",MIN(MAX($F48,0),SUMIFS(Supplier_Invoices!$AC:$AC,Supplier_Invoices!$C:$C,$A48,Supplier_Invoices!$AG:$AG,1,Supplier_Invoices!$Y:$Y,"&gt;="&amp;(SB_To-90),Supplier_Invoices!$E:$E,"&lt;="&amp;SB_To))-MIN(MAX($F48,0),SUMIFS(Supplier_Invoices!$AC:$AC,Supplier_Invoices!$C:$C,$A48,Supplier_Invoices!$AG:$AG,1,Supplier_Invoices!$Y:$Y,"&gt;="&amp;(SB_To-60),Supplier_Invoices!$E:$E,"&lt;="&amp;SB_To)))</f>
        <v/>
      </c>
      <c r="K48" s="43">
        <f>IF($A48="","",MAX($F48,0)-MIN(MAX($F48,0),SUMIFS(Supplier_Invoices!$AC:$AC,Supplier_Invoices!$C:$C,$A48,Supplier_Invoices!$AG:$AG,1,Supplier_Invoices!$Y:$Y,"&gt;="&amp;(SB_To-90),Supplier_Invoices!$E:$E,"&lt;="&amp;SB_To)))</f>
        <v/>
      </c>
      <c r="L48" s="33">
        <f>IF($A48="","",IF(COUNTIFS(Supplier_Payments!$C:$C,$A48,Supplier_Payments!$V:$V,1)=0,"",_xlfn.MAXIFS(Supplier_Payments!$B:$B,Supplier_Payments!$C:$C,$A48,Supplier_Payments!$V:$V,1)))</f>
        <v/>
      </c>
      <c r="M48" s="32">
        <f>IF($A48="","",IF($F48&lt;-S_Tol,"رصيد مدين للمورد - مراجعة",IF($H48+$I48+$J48+$K48&gt;S_Tol,"يوجد مبالغ متأخرة","")))</f>
        <v/>
      </c>
    </row>
    <row r="49">
      <c r="A49" s="44">
        <f>IF(INDEX(Suppliers!$A:$A,ROW()-6)="","",INDEX(Suppliers!$A:$A,ROW()-6))</f>
        <v/>
      </c>
      <c r="B49" s="32">
        <f>IF($A49="","",INDEX(Suppliers!$B:$B,ROW()-6))</f>
        <v/>
      </c>
      <c r="C49" s="47">
        <f>IF($A49="","",SUMIFS(GL_Journal!$T:$T,GL_Journal!$G:$G,ACC_SUPPLIERS,GL_Journal!$K:$K,$A49,GL_Journal!$D:$D,"&lt;"&amp;SB_From)-SUMIFS(GL_Journal!$S:$S,GL_Journal!$G:$G,ACC_SUPPLIERS,GL_Journal!$K:$K,$A49,GL_Journal!$D:$D,"&lt;"&amp;SB_From))</f>
        <v/>
      </c>
      <c r="D49" s="43">
        <f>IF($A49="","",SUMIFS(GL_Journal!$T:$T,GL_Journal!$G:$G,ACC_SUPPLIERS,GL_Journal!$K:$K,$A49,GL_Journal!$D:$D,"&gt;="&amp;SB_From,GL_Journal!$D:$D,"&lt;="&amp;SB_To))</f>
        <v/>
      </c>
      <c r="E49" s="43">
        <f>IF($A49="","",SUMIFS(GL_Journal!$S:$S,GL_Journal!$G:$G,ACC_SUPPLIERS,GL_Journal!$K:$K,$A49,GL_Journal!$D:$D,"&gt;="&amp;SB_From,GL_Journal!$D:$D,"&lt;="&amp;SB_To))</f>
        <v/>
      </c>
      <c r="F49" s="47">
        <f>IF($A49="","",$C49+$D49-$E49)</f>
        <v/>
      </c>
      <c r="G49" s="43">
        <f>IF($A49="","",MIN(MAX($F49,0),SUMIFS(Supplier_Invoices!$AC:$AC,Supplier_Invoices!$C:$C,$A49,Supplier_Invoices!$AG:$AG,1,Supplier_Invoices!$Y:$Y,"&gt;="&amp;(SB_To-0),Supplier_Invoices!$E:$E,"&lt;="&amp;SB_To)))</f>
        <v/>
      </c>
      <c r="H49" s="43">
        <f>IF($A49="","",MIN(MAX($F49,0),SUMIFS(Supplier_Invoices!$AC:$AC,Supplier_Invoices!$C:$C,$A49,Supplier_Invoices!$AG:$AG,1,Supplier_Invoices!$Y:$Y,"&gt;="&amp;(SB_To-30),Supplier_Invoices!$E:$E,"&lt;="&amp;SB_To))-MIN(MAX($F49,0),SUMIFS(Supplier_Invoices!$AC:$AC,Supplier_Invoices!$C:$C,$A49,Supplier_Invoices!$AG:$AG,1,Supplier_Invoices!$Y:$Y,"&gt;="&amp;(SB_To-0),Supplier_Invoices!$E:$E,"&lt;="&amp;SB_To)))</f>
        <v/>
      </c>
      <c r="I49" s="43">
        <f>IF($A49="","",MIN(MAX($F49,0),SUMIFS(Supplier_Invoices!$AC:$AC,Supplier_Invoices!$C:$C,$A49,Supplier_Invoices!$AG:$AG,1,Supplier_Invoices!$Y:$Y,"&gt;="&amp;(SB_To-60),Supplier_Invoices!$E:$E,"&lt;="&amp;SB_To))-MIN(MAX($F49,0),SUMIFS(Supplier_Invoices!$AC:$AC,Supplier_Invoices!$C:$C,$A49,Supplier_Invoices!$AG:$AG,1,Supplier_Invoices!$Y:$Y,"&gt;="&amp;(SB_To-30),Supplier_Invoices!$E:$E,"&lt;="&amp;SB_To)))</f>
        <v/>
      </c>
      <c r="J49" s="43">
        <f>IF($A49="","",MIN(MAX($F49,0),SUMIFS(Supplier_Invoices!$AC:$AC,Supplier_Invoices!$C:$C,$A49,Supplier_Invoices!$AG:$AG,1,Supplier_Invoices!$Y:$Y,"&gt;="&amp;(SB_To-90),Supplier_Invoices!$E:$E,"&lt;="&amp;SB_To))-MIN(MAX($F49,0),SUMIFS(Supplier_Invoices!$AC:$AC,Supplier_Invoices!$C:$C,$A49,Supplier_Invoices!$AG:$AG,1,Supplier_Invoices!$Y:$Y,"&gt;="&amp;(SB_To-60),Supplier_Invoices!$E:$E,"&lt;="&amp;SB_To)))</f>
        <v/>
      </c>
      <c r="K49" s="43">
        <f>IF($A49="","",MAX($F49,0)-MIN(MAX($F49,0),SUMIFS(Supplier_Invoices!$AC:$AC,Supplier_Invoices!$C:$C,$A49,Supplier_Invoices!$AG:$AG,1,Supplier_Invoices!$Y:$Y,"&gt;="&amp;(SB_To-90),Supplier_Invoices!$E:$E,"&lt;="&amp;SB_To)))</f>
        <v/>
      </c>
      <c r="L49" s="33">
        <f>IF($A49="","",IF(COUNTIFS(Supplier_Payments!$C:$C,$A49,Supplier_Payments!$V:$V,1)=0,"",_xlfn.MAXIFS(Supplier_Payments!$B:$B,Supplier_Payments!$C:$C,$A49,Supplier_Payments!$V:$V,1)))</f>
        <v/>
      </c>
      <c r="M49" s="32">
        <f>IF($A49="","",IF($F49&lt;-S_Tol,"رصيد مدين للمورد - مراجعة",IF($H49+$I49+$J49+$K49&gt;S_Tol,"يوجد مبالغ متأخرة","")))</f>
        <v/>
      </c>
    </row>
    <row r="50">
      <c r="A50" s="44">
        <f>IF(INDEX(Suppliers!$A:$A,ROW()-6)="","",INDEX(Suppliers!$A:$A,ROW()-6))</f>
        <v/>
      </c>
      <c r="B50" s="32">
        <f>IF($A50="","",INDEX(Suppliers!$B:$B,ROW()-6))</f>
        <v/>
      </c>
      <c r="C50" s="47">
        <f>IF($A50="","",SUMIFS(GL_Journal!$T:$T,GL_Journal!$G:$G,ACC_SUPPLIERS,GL_Journal!$K:$K,$A50,GL_Journal!$D:$D,"&lt;"&amp;SB_From)-SUMIFS(GL_Journal!$S:$S,GL_Journal!$G:$G,ACC_SUPPLIERS,GL_Journal!$K:$K,$A50,GL_Journal!$D:$D,"&lt;"&amp;SB_From))</f>
        <v/>
      </c>
      <c r="D50" s="43">
        <f>IF($A50="","",SUMIFS(GL_Journal!$T:$T,GL_Journal!$G:$G,ACC_SUPPLIERS,GL_Journal!$K:$K,$A50,GL_Journal!$D:$D,"&gt;="&amp;SB_From,GL_Journal!$D:$D,"&lt;="&amp;SB_To))</f>
        <v/>
      </c>
      <c r="E50" s="43">
        <f>IF($A50="","",SUMIFS(GL_Journal!$S:$S,GL_Journal!$G:$G,ACC_SUPPLIERS,GL_Journal!$K:$K,$A50,GL_Journal!$D:$D,"&gt;="&amp;SB_From,GL_Journal!$D:$D,"&lt;="&amp;SB_To))</f>
        <v/>
      </c>
      <c r="F50" s="47">
        <f>IF($A50="","",$C50+$D50-$E50)</f>
        <v/>
      </c>
      <c r="G50" s="43">
        <f>IF($A50="","",MIN(MAX($F50,0),SUMIFS(Supplier_Invoices!$AC:$AC,Supplier_Invoices!$C:$C,$A50,Supplier_Invoices!$AG:$AG,1,Supplier_Invoices!$Y:$Y,"&gt;="&amp;(SB_To-0),Supplier_Invoices!$E:$E,"&lt;="&amp;SB_To)))</f>
        <v/>
      </c>
      <c r="H50" s="43">
        <f>IF($A50="","",MIN(MAX($F50,0),SUMIFS(Supplier_Invoices!$AC:$AC,Supplier_Invoices!$C:$C,$A50,Supplier_Invoices!$AG:$AG,1,Supplier_Invoices!$Y:$Y,"&gt;="&amp;(SB_To-30),Supplier_Invoices!$E:$E,"&lt;="&amp;SB_To))-MIN(MAX($F50,0),SUMIFS(Supplier_Invoices!$AC:$AC,Supplier_Invoices!$C:$C,$A50,Supplier_Invoices!$AG:$AG,1,Supplier_Invoices!$Y:$Y,"&gt;="&amp;(SB_To-0),Supplier_Invoices!$E:$E,"&lt;="&amp;SB_To)))</f>
        <v/>
      </c>
      <c r="I50" s="43">
        <f>IF($A50="","",MIN(MAX($F50,0),SUMIFS(Supplier_Invoices!$AC:$AC,Supplier_Invoices!$C:$C,$A50,Supplier_Invoices!$AG:$AG,1,Supplier_Invoices!$Y:$Y,"&gt;="&amp;(SB_To-60),Supplier_Invoices!$E:$E,"&lt;="&amp;SB_To))-MIN(MAX($F50,0),SUMIFS(Supplier_Invoices!$AC:$AC,Supplier_Invoices!$C:$C,$A50,Supplier_Invoices!$AG:$AG,1,Supplier_Invoices!$Y:$Y,"&gt;="&amp;(SB_To-30),Supplier_Invoices!$E:$E,"&lt;="&amp;SB_To)))</f>
        <v/>
      </c>
      <c r="J50" s="43">
        <f>IF($A50="","",MIN(MAX($F50,0),SUMIFS(Supplier_Invoices!$AC:$AC,Supplier_Invoices!$C:$C,$A50,Supplier_Invoices!$AG:$AG,1,Supplier_Invoices!$Y:$Y,"&gt;="&amp;(SB_To-90),Supplier_Invoices!$E:$E,"&lt;="&amp;SB_To))-MIN(MAX($F50,0),SUMIFS(Supplier_Invoices!$AC:$AC,Supplier_Invoices!$C:$C,$A50,Supplier_Invoices!$AG:$AG,1,Supplier_Invoices!$Y:$Y,"&gt;="&amp;(SB_To-60),Supplier_Invoices!$E:$E,"&lt;="&amp;SB_To)))</f>
        <v/>
      </c>
      <c r="K50" s="43">
        <f>IF($A50="","",MAX($F50,0)-MIN(MAX($F50,0),SUMIFS(Supplier_Invoices!$AC:$AC,Supplier_Invoices!$C:$C,$A50,Supplier_Invoices!$AG:$AG,1,Supplier_Invoices!$Y:$Y,"&gt;="&amp;(SB_To-90),Supplier_Invoices!$E:$E,"&lt;="&amp;SB_To)))</f>
        <v/>
      </c>
      <c r="L50" s="33">
        <f>IF($A50="","",IF(COUNTIFS(Supplier_Payments!$C:$C,$A50,Supplier_Payments!$V:$V,1)=0,"",_xlfn.MAXIFS(Supplier_Payments!$B:$B,Supplier_Payments!$C:$C,$A50,Supplier_Payments!$V:$V,1)))</f>
        <v/>
      </c>
      <c r="M50" s="32">
        <f>IF($A50="","",IF($F50&lt;-S_Tol,"رصيد مدين للمورد - مراجعة",IF($H50+$I50+$J50+$K50&gt;S_Tol,"يوجد مبالغ متأخرة","")))</f>
        <v/>
      </c>
    </row>
    <row r="51">
      <c r="A51" s="44">
        <f>IF(INDEX(Suppliers!$A:$A,ROW()-6)="","",INDEX(Suppliers!$A:$A,ROW()-6))</f>
        <v/>
      </c>
      <c r="B51" s="32">
        <f>IF($A51="","",INDEX(Suppliers!$B:$B,ROW()-6))</f>
        <v/>
      </c>
      <c r="C51" s="47">
        <f>IF($A51="","",SUMIFS(GL_Journal!$T:$T,GL_Journal!$G:$G,ACC_SUPPLIERS,GL_Journal!$K:$K,$A51,GL_Journal!$D:$D,"&lt;"&amp;SB_From)-SUMIFS(GL_Journal!$S:$S,GL_Journal!$G:$G,ACC_SUPPLIERS,GL_Journal!$K:$K,$A51,GL_Journal!$D:$D,"&lt;"&amp;SB_From))</f>
        <v/>
      </c>
      <c r="D51" s="43">
        <f>IF($A51="","",SUMIFS(GL_Journal!$T:$T,GL_Journal!$G:$G,ACC_SUPPLIERS,GL_Journal!$K:$K,$A51,GL_Journal!$D:$D,"&gt;="&amp;SB_From,GL_Journal!$D:$D,"&lt;="&amp;SB_To))</f>
        <v/>
      </c>
      <c r="E51" s="43">
        <f>IF($A51="","",SUMIFS(GL_Journal!$S:$S,GL_Journal!$G:$G,ACC_SUPPLIERS,GL_Journal!$K:$K,$A51,GL_Journal!$D:$D,"&gt;="&amp;SB_From,GL_Journal!$D:$D,"&lt;="&amp;SB_To))</f>
        <v/>
      </c>
      <c r="F51" s="47">
        <f>IF($A51="","",$C51+$D51-$E51)</f>
        <v/>
      </c>
      <c r="G51" s="43">
        <f>IF($A51="","",MIN(MAX($F51,0),SUMIFS(Supplier_Invoices!$AC:$AC,Supplier_Invoices!$C:$C,$A51,Supplier_Invoices!$AG:$AG,1,Supplier_Invoices!$Y:$Y,"&gt;="&amp;(SB_To-0),Supplier_Invoices!$E:$E,"&lt;="&amp;SB_To)))</f>
        <v/>
      </c>
      <c r="H51" s="43">
        <f>IF($A51="","",MIN(MAX($F51,0),SUMIFS(Supplier_Invoices!$AC:$AC,Supplier_Invoices!$C:$C,$A51,Supplier_Invoices!$AG:$AG,1,Supplier_Invoices!$Y:$Y,"&gt;="&amp;(SB_To-30),Supplier_Invoices!$E:$E,"&lt;="&amp;SB_To))-MIN(MAX($F51,0),SUMIFS(Supplier_Invoices!$AC:$AC,Supplier_Invoices!$C:$C,$A51,Supplier_Invoices!$AG:$AG,1,Supplier_Invoices!$Y:$Y,"&gt;="&amp;(SB_To-0),Supplier_Invoices!$E:$E,"&lt;="&amp;SB_To)))</f>
        <v/>
      </c>
      <c r="I51" s="43">
        <f>IF($A51="","",MIN(MAX($F51,0),SUMIFS(Supplier_Invoices!$AC:$AC,Supplier_Invoices!$C:$C,$A51,Supplier_Invoices!$AG:$AG,1,Supplier_Invoices!$Y:$Y,"&gt;="&amp;(SB_To-60),Supplier_Invoices!$E:$E,"&lt;="&amp;SB_To))-MIN(MAX($F51,0),SUMIFS(Supplier_Invoices!$AC:$AC,Supplier_Invoices!$C:$C,$A51,Supplier_Invoices!$AG:$AG,1,Supplier_Invoices!$Y:$Y,"&gt;="&amp;(SB_To-30),Supplier_Invoices!$E:$E,"&lt;="&amp;SB_To)))</f>
        <v/>
      </c>
      <c r="J51" s="43">
        <f>IF($A51="","",MIN(MAX($F51,0),SUMIFS(Supplier_Invoices!$AC:$AC,Supplier_Invoices!$C:$C,$A51,Supplier_Invoices!$AG:$AG,1,Supplier_Invoices!$Y:$Y,"&gt;="&amp;(SB_To-90),Supplier_Invoices!$E:$E,"&lt;="&amp;SB_To))-MIN(MAX($F51,0),SUMIFS(Supplier_Invoices!$AC:$AC,Supplier_Invoices!$C:$C,$A51,Supplier_Invoices!$AG:$AG,1,Supplier_Invoices!$Y:$Y,"&gt;="&amp;(SB_To-60),Supplier_Invoices!$E:$E,"&lt;="&amp;SB_To)))</f>
        <v/>
      </c>
      <c r="K51" s="43">
        <f>IF($A51="","",MAX($F51,0)-MIN(MAX($F51,0),SUMIFS(Supplier_Invoices!$AC:$AC,Supplier_Invoices!$C:$C,$A51,Supplier_Invoices!$AG:$AG,1,Supplier_Invoices!$Y:$Y,"&gt;="&amp;(SB_To-90),Supplier_Invoices!$E:$E,"&lt;="&amp;SB_To)))</f>
        <v/>
      </c>
      <c r="L51" s="33">
        <f>IF($A51="","",IF(COUNTIFS(Supplier_Payments!$C:$C,$A51,Supplier_Payments!$V:$V,1)=0,"",_xlfn.MAXIFS(Supplier_Payments!$B:$B,Supplier_Payments!$C:$C,$A51,Supplier_Payments!$V:$V,1)))</f>
        <v/>
      </c>
      <c r="M51" s="32">
        <f>IF($A51="","",IF($F51&lt;-S_Tol,"رصيد مدين للمورد - مراجعة",IF($H51+$I51+$J51+$K51&gt;S_Tol,"يوجد مبالغ متأخرة","")))</f>
        <v/>
      </c>
    </row>
    <row r="52">
      <c r="A52" s="44">
        <f>IF(INDEX(Suppliers!$A:$A,ROW()-6)="","",INDEX(Suppliers!$A:$A,ROW()-6))</f>
        <v/>
      </c>
      <c r="B52" s="32">
        <f>IF($A52="","",INDEX(Suppliers!$B:$B,ROW()-6))</f>
        <v/>
      </c>
      <c r="C52" s="47">
        <f>IF($A52="","",SUMIFS(GL_Journal!$T:$T,GL_Journal!$G:$G,ACC_SUPPLIERS,GL_Journal!$K:$K,$A52,GL_Journal!$D:$D,"&lt;"&amp;SB_From)-SUMIFS(GL_Journal!$S:$S,GL_Journal!$G:$G,ACC_SUPPLIERS,GL_Journal!$K:$K,$A52,GL_Journal!$D:$D,"&lt;"&amp;SB_From))</f>
        <v/>
      </c>
      <c r="D52" s="43">
        <f>IF($A52="","",SUMIFS(GL_Journal!$T:$T,GL_Journal!$G:$G,ACC_SUPPLIERS,GL_Journal!$K:$K,$A52,GL_Journal!$D:$D,"&gt;="&amp;SB_From,GL_Journal!$D:$D,"&lt;="&amp;SB_To))</f>
        <v/>
      </c>
      <c r="E52" s="43">
        <f>IF($A52="","",SUMIFS(GL_Journal!$S:$S,GL_Journal!$G:$G,ACC_SUPPLIERS,GL_Journal!$K:$K,$A52,GL_Journal!$D:$D,"&gt;="&amp;SB_From,GL_Journal!$D:$D,"&lt;="&amp;SB_To))</f>
        <v/>
      </c>
      <c r="F52" s="47">
        <f>IF($A52="","",$C52+$D52-$E52)</f>
        <v/>
      </c>
      <c r="G52" s="43">
        <f>IF($A52="","",MIN(MAX($F52,0),SUMIFS(Supplier_Invoices!$AC:$AC,Supplier_Invoices!$C:$C,$A52,Supplier_Invoices!$AG:$AG,1,Supplier_Invoices!$Y:$Y,"&gt;="&amp;(SB_To-0),Supplier_Invoices!$E:$E,"&lt;="&amp;SB_To)))</f>
        <v/>
      </c>
      <c r="H52" s="43">
        <f>IF($A52="","",MIN(MAX($F52,0),SUMIFS(Supplier_Invoices!$AC:$AC,Supplier_Invoices!$C:$C,$A52,Supplier_Invoices!$AG:$AG,1,Supplier_Invoices!$Y:$Y,"&gt;="&amp;(SB_To-30),Supplier_Invoices!$E:$E,"&lt;="&amp;SB_To))-MIN(MAX($F52,0),SUMIFS(Supplier_Invoices!$AC:$AC,Supplier_Invoices!$C:$C,$A52,Supplier_Invoices!$AG:$AG,1,Supplier_Invoices!$Y:$Y,"&gt;="&amp;(SB_To-0),Supplier_Invoices!$E:$E,"&lt;="&amp;SB_To)))</f>
        <v/>
      </c>
      <c r="I52" s="43">
        <f>IF($A52="","",MIN(MAX($F52,0),SUMIFS(Supplier_Invoices!$AC:$AC,Supplier_Invoices!$C:$C,$A52,Supplier_Invoices!$AG:$AG,1,Supplier_Invoices!$Y:$Y,"&gt;="&amp;(SB_To-60),Supplier_Invoices!$E:$E,"&lt;="&amp;SB_To))-MIN(MAX($F52,0),SUMIFS(Supplier_Invoices!$AC:$AC,Supplier_Invoices!$C:$C,$A52,Supplier_Invoices!$AG:$AG,1,Supplier_Invoices!$Y:$Y,"&gt;="&amp;(SB_To-30),Supplier_Invoices!$E:$E,"&lt;="&amp;SB_To)))</f>
        <v/>
      </c>
      <c r="J52" s="43">
        <f>IF($A52="","",MIN(MAX($F52,0),SUMIFS(Supplier_Invoices!$AC:$AC,Supplier_Invoices!$C:$C,$A52,Supplier_Invoices!$AG:$AG,1,Supplier_Invoices!$Y:$Y,"&gt;="&amp;(SB_To-90),Supplier_Invoices!$E:$E,"&lt;="&amp;SB_To))-MIN(MAX($F52,0),SUMIFS(Supplier_Invoices!$AC:$AC,Supplier_Invoices!$C:$C,$A52,Supplier_Invoices!$AG:$AG,1,Supplier_Invoices!$Y:$Y,"&gt;="&amp;(SB_To-60),Supplier_Invoices!$E:$E,"&lt;="&amp;SB_To)))</f>
        <v/>
      </c>
      <c r="K52" s="43">
        <f>IF($A52="","",MAX($F52,0)-MIN(MAX($F52,0),SUMIFS(Supplier_Invoices!$AC:$AC,Supplier_Invoices!$C:$C,$A52,Supplier_Invoices!$AG:$AG,1,Supplier_Invoices!$Y:$Y,"&gt;="&amp;(SB_To-90),Supplier_Invoices!$E:$E,"&lt;="&amp;SB_To)))</f>
        <v/>
      </c>
      <c r="L52" s="33">
        <f>IF($A52="","",IF(COUNTIFS(Supplier_Payments!$C:$C,$A52,Supplier_Payments!$V:$V,1)=0,"",_xlfn.MAXIFS(Supplier_Payments!$B:$B,Supplier_Payments!$C:$C,$A52,Supplier_Payments!$V:$V,1)))</f>
        <v/>
      </c>
      <c r="M52" s="32">
        <f>IF($A52="","",IF($F52&lt;-S_Tol,"رصيد مدين للمورد - مراجعة",IF($H52+$I52+$J52+$K52&gt;S_Tol,"يوجد مبالغ متأخرة","")))</f>
        <v/>
      </c>
    </row>
    <row r="53">
      <c r="A53" s="44">
        <f>IF(INDEX(Suppliers!$A:$A,ROW()-6)="","",INDEX(Suppliers!$A:$A,ROW()-6))</f>
        <v/>
      </c>
      <c r="B53" s="32">
        <f>IF($A53="","",INDEX(Suppliers!$B:$B,ROW()-6))</f>
        <v/>
      </c>
      <c r="C53" s="47">
        <f>IF($A53="","",SUMIFS(GL_Journal!$T:$T,GL_Journal!$G:$G,ACC_SUPPLIERS,GL_Journal!$K:$K,$A53,GL_Journal!$D:$D,"&lt;"&amp;SB_From)-SUMIFS(GL_Journal!$S:$S,GL_Journal!$G:$G,ACC_SUPPLIERS,GL_Journal!$K:$K,$A53,GL_Journal!$D:$D,"&lt;"&amp;SB_From))</f>
        <v/>
      </c>
      <c r="D53" s="43">
        <f>IF($A53="","",SUMIFS(GL_Journal!$T:$T,GL_Journal!$G:$G,ACC_SUPPLIERS,GL_Journal!$K:$K,$A53,GL_Journal!$D:$D,"&gt;="&amp;SB_From,GL_Journal!$D:$D,"&lt;="&amp;SB_To))</f>
        <v/>
      </c>
      <c r="E53" s="43">
        <f>IF($A53="","",SUMIFS(GL_Journal!$S:$S,GL_Journal!$G:$G,ACC_SUPPLIERS,GL_Journal!$K:$K,$A53,GL_Journal!$D:$D,"&gt;="&amp;SB_From,GL_Journal!$D:$D,"&lt;="&amp;SB_To))</f>
        <v/>
      </c>
      <c r="F53" s="47">
        <f>IF($A53="","",$C53+$D53-$E53)</f>
        <v/>
      </c>
      <c r="G53" s="43">
        <f>IF($A53="","",MIN(MAX($F53,0),SUMIFS(Supplier_Invoices!$AC:$AC,Supplier_Invoices!$C:$C,$A53,Supplier_Invoices!$AG:$AG,1,Supplier_Invoices!$Y:$Y,"&gt;="&amp;(SB_To-0),Supplier_Invoices!$E:$E,"&lt;="&amp;SB_To)))</f>
        <v/>
      </c>
      <c r="H53" s="43">
        <f>IF($A53="","",MIN(MAX($F53,0),SUMIFS(Supplier_Invoices!$AC:$AC,Supplier_Invoices!$C:$C,$A53,Supplier_Invoices!$AG:$AG,1,Supplier_Invoices!$Y:$Y,"&gt;="&amp;(SB_To-30),Supplier_Invoices!$E:$E,"&lt;="&amp;SB_To))-MIN(MAX($F53,0),SUMIFS(Supplier_Invoices!$AC:$AC,Supplier_Invoices!$C:$C,$A53,Supplier_Invoices!$AG:$AG,1,Supplier_Invoices!$Y:$Y,"&gt;="&amp;(SB_To-0),Supplier_Invoices!$E:$E,"&lt;="&amp;SB_To)))</f>
        <v/>
      </c>
      <c r="I53" s="43">
        <f>IF($A53="","",MIN(MAX($F53,0),SUMIFS(Supplier_Invoices!$AC:$AC,Supplier_Invoices!$C:$C,$A53,Supplier_Invoices!$AG:$AG,1,Supplier_Invoices!$Y:$Y,"&gt;="&amp;(SB_To-60),Supplier_Invoices!$E:$E,"&lt;="&amp;SB_To))-MIN(MAX($F53,0),SUMIFS(Supplier_Invoices!$AC:$AC,Supplier_Invoices!$C:$C,$A53,Supplier_Invoices!$AG:$AG,1,Supplier_Invoices!$Y:$Y,"&gt;="&amp;(SB_To-30),Supplier_Invoices!$E:$E,"&lt;="&amp;SB_To)))</f>
        <v/>
      </c>
      <c r="J53" s="43">
        <f>IF($A53="","",MIN(MAX($F53,0),SUMIFS(Supplier_Invoices!$AC:$AC,Supplier_Invoices!$C:$C,$A53,Supplier_Invoices!$AG:$AG,1,Supplier_Invoices!$Y:$Y,"&gt;="&amp;(SB_To-90),Supplier_Invoices!$E:$E,"&lt;="&amp;SB_To))-MIN(MAX($F53,0),SUMIFS(Supplier_Invoices!$AC:$AC,Supplier_Invoices!$C:$C,$A53,Supplier_Invoices!$AG:$AG,1,Supplier_Invoices!$Y:$Y,"&gt;="&amp;(SB_To-60),Supplier_Invoices!$E:$E,"&lt;="&amp;SB_To)))</f>
        <v/>
      </c>
      <c r="K53" s="43">
        <f>IF($A53="","",MAX($F53,0)-MIN(MAX($F53,0),SUMIFS(Supplier_Invoices!$AC:$AC,Supplier_Invoices!$C:$C,$A53,Supplier_Invoices!$AG:$AG,1,Supplier_Invoices!$Y:$Y,"&gt;="&amp;(SB_To-90),Supplier_Invoices!$E:$E,"&lt;="&amp;SB_To)))</f>
        <v/>
      </c>
      <c r="L53" s="33">
        <f>IF($A53="","",IF(COUNTIFS(Supplier_Payments!$C:$C,$A53,Supplier_Payments!$V:$V,1)=0,"",_xlfn.MAXIFS(Supplier_Payments!$B:$B,Supplier_Payments!$C:$C,$A53,Supplier_Payments!$V:$V,1)))</f>
        <v/>
      </c>
      <c r="M53" s="32">
        <f>IF($A53="","",IF($F53&lt;-S_Tol,"رصيد مدين للمورد - مراجعة",IF($H53+$I53+$J53+$K53&gt;S_Tol,"يوجد مبالغ متأخرة","")))</f>
        <v/>
      </c>
    </row>
    <row r="54">
      <c r="A54" s="44">
        <f>IF(INDEX(Suppliers!$A:$A,ROW()-6)="","",INDEX(Suppliers!$A:$A,ROW()-6))</f>
        <v/>
      </c>
      <c r="B54" s="32">
        <f>IF($A54="","",INDEX(Suppliers!$B:$B,ROW()-6))</f>
        <v/>
      </c>
      <c r="C54" s="47">
        <f>IF($A54="","",SUMIFS(GL_Journal!$T:$T,GL_Journal!$G:$G,ACC_SUPPLIERS,GL_Journal!$K:$K,$A54,GL_Journal!$D:$D,"&lt;"&amp;SB_From)-SUMIFS(GL_Journal!$S:$S,GL_Journal!$G:$G,ACC_SUPPLIERS,GL_Journal!$K:$K,$A54,GL_Journal!$D:$D,"&lt;"&amp;SB_From))</f>
        <v/>
      </c>
      <c r="D54" s="43">
        <f>IF($A54="","",SUMIFS(GL_Journal!$T:$T,GL_Journal!$G:$G,ACC_SUPPLIERS,GL_Journal!$K:$K,$A54,GL_Journal!$D:$D,"&gt;="&amp;SB_From,GL_Journal!$D:$D,"&lt;="&amp;SB_To))</f>
        <v/>
      </c>
      <c r="E54" s="43">
        <f>IF($A54="","",SUMIFS(GL_Journal!$S:$S,GL_Journal!$G:$G,ACC_SUPPLIERS,GL_Journal!$K:$K,$A54,GL_Journal!$D:$D,"&gt;="&amp;SB_From,GL_Journal!$D:$D,"&lt;="&amp;SB_To))</f>
        <v/>
      </c>
      <c r="F54" s="47">
        <f>IF($A54="","",$C54+$D54-$E54)</f>
        <v/>
      </c>
      <c r="G54" s="43">
        <f>IF($A54="","",MIN(MAX($F54,0),SUMIFS(Supplier_Invoices!$AC:$AC,Supplier_Invoices!$C:$C,$A54,Supplier_Invoices!$AG:$AG,1,Supplier_Invoices!$Y:$Y,"&gt;="&amp;(SB_To-0),Supplier_Invoices!$E:$E,"&lt;="&amp;SB_To)))</f>
        <v/>
      </c>
      <c r="H54" s="43">
        <f>IF($A54="","",MIN(MAX($F54,0),SUMIFS(Supplier_Invoices!$AC:$AC,Supplier_Invoices!$C:$C,$A54,Supplier_Invoices!$AG:$AG,1,Supplier_Invoices!$Y:$Y,"&gt;="&amp;(SB_To-30),Supplier_Invoices!$E:$E,"&lt;="&amp;SB_To))-MIN(MAX($F54,0),SUMIFS(Supplier_Invoices!$AC:$AC,Supplier_Invoices!$C:$C,$A54,Supplier_Invoices!$AG:$AG,1,Supplier_Invoices!$Y:$Y,"&gt;="&amp;(SB_To-0),Supplier_Invoices!$E:$E,"&lt;="&amp;SB_To)))</f>
        <v/>
      </c>
      <c r="I54" s="43">
        <f>IF($A54="","",MIN(MAX($F54,0),SUMIFS(Supplier_Invoices!$AC:$AC,Supplier_Invoices!$C:$C,$A54,Supplier_Invoices!$AG:$AG,1,Supplier_Invoices!$Y:$Y,"&gt;="&amp;(SB_To-60),Supplier_Invoices!$E:$E,"&lt;="&amp;SB_To))-MIN(MAX($F54,0),SUMIFS(Supplier_Invoices!$AC:$AC,Supplier_Invoices!$C:$C,$A54,Supplier_Invoices!$AG:$AG,1,Supplier_Invoices!$Y:$Y,"&gt;="&amp;(SB_To-30),Supplier_Invoices!$E:$E,"&lt;="&amp;SB_To)))</f>
        <v/>
      </c>
      <c r="J54" s="43">
        <f>IF($A54="","",MIN(MAX($F54,0),SUMIFS(Supplier_Invoices!$AC:$AC,Supplier_Invoices!$C:$C,$A54,Supplier_Invoices!$AG:$AG,1,Supplier_Invoices!$Y:$Y,"&gt;="&amp;(SB_To-90),Supplier_Invoices!$E:$E,"&lt;="&amp;SB_To))-MIN(MAX($F54,0),SUMIFS(Supplier_Invoices!$AC:$AC,Supplier_Invoices!$C:$C,$A54,Supplier_Invoices!$AG:$AG,1,Supplier_Invoices!$Y:$Y,"&gt;="&amp;(SB_To-60),Supplier_Invoices!$E:$E,"&lt;="&amp;SB_To)))</f>
        <v/>
      </c>
      <c r="K54" s="43">
        <f>IF($A54="","",MAX($F54,0)-MIN(MAX($F54,0),SUMIFS(Supplier_Invoices!$AC:$AC,Supplier_Invoices!$C:$C,$A54,Supplier_Invoices!$AG:$AG,1,Supplier_Invoices!$Y:$Y,"&gt;="&amp;(SB_To-90),Supplier_Invoices!$E:$E,"&lt;="&amp;SB_To)))</f>
        <v/>
      </c>
      <c r="L54" s="33">
        <f>IF($A54="","",IF(COUNTIFS(Supplier_Payments!$C:$C,$A54,Supplier_Payments!$V:$V,1)=0,"",_xlfn.MAXIFS(Supplier_Payments!$B:$B,Supplier_Payments!$C:$C,$A54,Supplier_Payments!$V:$V,1)))</f>
        <v/>
      </c>
      <c r="M54" s="32">
        <f>IF($A54="","",IF($F54&lt;-S_Tol,"رصيد مدين للمورد - مراجعة",IF($H54+$I54+$J54+$K54&gt;S_Tol,"يوجد مبالغ متأخرة","")))</f>
        <v/>
      </c>
    </row>
    <row r="55">
      <c r="A55" s="44">
        <f>IF(INDEX(Suppliers!$A:$A,ROW()-6)="","",INDEX(Suppliers!$A:$A,ROW()-6))</f>
        <v/>
      </c>
      <c r="B55" s="32">
        <f>IF($A55="","",INDEX(Suppliers!$B:$B,ROW()-6))</f>
        <v/>
      </c>
      <c r="C55" s="47">
        <f>IF($A55="","",SUMIFS(GL_Journal!$T:$T,GL_Journal!$G:$G,ACC_SUPPLIERS,GL_Journal!$K:$K,$A55,GL_Journal!$D:$D,"&lt;"&amp;SB_From)-SUMIFS(GL_Journal!$S:$S,GL_Journal!$G:$G,ACC_SUPPLIERS,GL_Journal!$K:$K,$A55,GL_Journal!$D:$D,"&lt;"&amp;SB_From))</f>
        <v/>
      </c>
      <c r="D55" s="43">
        <f>IF($A55="","",SUMIFS(GL_Journal!$T:$T,GL_Journal!$G:$G,ACC_SUPPLIERS,GL_Journal!$K:$K,$A55,GL_Journal!$D:$D,"&gt;="&amp;SB_From,GL_Journal!$D:$D,"&lt;="&amp;SB_To))</f>
        <v/>
      </c>
      <c r="E55" s="43">
        <f>IF($A55="","",SUMIFS(GL_Journal!$S:$S,GL_Journal!$G:$G,ACC_SUPPLIERS,GL_Journal!$K:$K,$A55,GL_Journal!$D:$D,"&gt;="&amp;SB_From,GL_Journal!$D:$D,"&lt;="&amp;SB_To))</f>
        <v/>
      </c>
      <c r="F55" s="47">
        <f>IF($A55="","",$C55+$D55-$E55)</f>
        <v/>
      </c>
      <c r="G55" s="43">
        <f>IF($A55="","",MIN(MAX($F55,0),SUMIFS(Supplier_Invoices!$AC:$AC,Supplier_Invoices!$C:$C,$A55,Supplier_Invoices!$AG:$AG,1,Supplier_Invoices!$Y:$Y,"&gt;="&amp;(SB_To-0),Supplier_Invoices!$E:$E,"&lt;="&amp;SB_To)))</f>
        <v/>
      </c>
      <c r="H55" s="43">
        <f>IF($A55="","",MIN(MAX($F55,0),SUMIFS(Supplier_Invoices!$AC:$AC,Supplier_Invoices!$C:$C,$A55,Supplier_Invoices!$AG:$AG,1,Supplier_Invoices!$Y:$Y,"&gt;="&amp;(SB_To-30),Supplier_Invoices!$E:$E,"&lt;="&amp;SB_To))-MIN(MAX($F55,0),SUMIFS(Supplier_Invoices!$AC:$AC,Supplier_Invoices!$C:$C,$A55,Supplier_Invoices!$AG:$AG,1,Supplier_Invoices!$Y:$Y,"&gt;="&amp;(SB_To-0),Supplier_Invoices!$E:$E,"&lt;="&amp;SB_To)))</f>
        <v/>
      </c>
      <c r="I55" s="43">
        <f>IF($A55="","",MIN(MAX($F55,0),SUMIFS(Supplier_Invoices!$AC:$AC,Supplier_Invoices!$C:$C,$A55,Supplier_Invoices!$AG:$AG,1,Supplier_Invoices!$Y:$Y,"&gt;="&amp;(SB_To-60),Supplier_Invoices!$E:$E,"&lt;="&amp;SB_To))-MIN(MAX($F55,0),SUMIFS(Supplier_Invoices!$AC:$AC,Supplier_Invoices!$C:$C,$A55,Supplier_Invoices!$AG:$AG,1,Supplier_Invoices!$Y:$Y,"&gt;="&amp;(SB_To-30),Supplier_Invoices!$E:$E,"&lt;="&amp;SB_To)))</f>
        <v/>
      </c>
      <c r="J55" s="43">
        <f>IF($A55="","",MIN(MAX($F55,0),SUMIFS(Supplier_Invoices!$AC:$AC,Supplier_Invoices!$C:$C,$A55,Supplier_Invoices!$AG:$AG,1,Supplier_Invoices!$Y:$Y,"&gt;="&amp;(SB_To-90),Supplier_Invoices!$E:$E,"&lt;="&amp;SB_To))-MIN(MAX($F55,0),SUMIFS(Supplier_Invoices!$AC:$AC,Supplier_Invoices!$C:$C,$A55,Supplier_Invoices!$AG:$AG,1,Supplier_Invoices!$Y:$Y,"&gt;="&amp;(SB_To-60),Supplier_Invoices!$E:$E,"&lt;="&amp;SB_To)))</f>
        <v/>
      </c>
      <c r="K55" s="43">
        <f>IF($A55="","",MAX($F55,0)-MIN(MAX($F55,0),SUMIFS(Supplier_Invoices!$AC:$AC,Supplier_Invoices!$C:$C,$A55,Supplier_Invoices!$AG:$AG,1,Supplier_Invoices!$Y:$Y,"&gt;="&amp;(SB_To-90),Supplier_Invoices!$E:$E,"&lt;="&amp;SB_To)))</f>
        <v/>
      </c>
      <c r="L55" s="33">
        <f>IF($A55="","",IF(COUNTIFS(Supplier_Payments!$C:$C,$A55,Supplier_Payments!$V:$V,1)=0,"",_xlfn.MAXIFS(Supplier_Payments!$B:$B,Supplier_Payments!$C:$C,$A55,Supplier_Payments!$V:$V,1)))</f>
        <v/>
      </c>
      <c r="M55" s="32">
        <f>IF($A55="","",IF($F55&lt;-S_Tol,"رصيد مدين للمورد - مراجعة",IF($H55+$I55+$J55+$K55&gt;S_Tol,"يوجد مبالغ متأخرة","")))</f>
        <v/>
      </c>
    </row>
    <row r="56">
      <c r="A56" s="44">
        <f>IF(INDEX(Suppliers!$A:$A,ROW()-6)="","",INDEX(Suppliers!$A:$A,ROW()-6))</f>
        <v/>
      </c>
      <c r="B56" s="32">
        <f>IF($A56="","",INDEX(Suppliers!$B:$B,ROW()-6))</f>
        <v/>
      </c>
      <c r="C56" s="47">
        <f>IF($A56="","",SUMIFS(GL_Journal!$T:$T,GL_Journal!$G:$G,ACC_SUPPLIERS,GL_Journal!$K:$K,$A56,GL_Journal!$D:$D,"&lt;"&amp;SB_From)-SUMIFS(GL_Journal!$S:$S,GL_Journal!$G:$G,ACC_SUPPLIERS,GL_Journal!$K:$K,$A56,GL_Journal!$D:$D,"&lt;"&amp;SB_From))</f>
        <v/>
      </c>
      <c r="D56" s="43">
        <f>IF($A56="","",SUMIFS(GL_Journal!$T:$T,GL_Journal!$G:$G,ACC_SUPPLIERS,GL_Journal!$K:$K,$A56,GL_Journal!$D:$D,"&gt;="&amp;SB_From,GL_Journal!$D:$D,"&lt;="&amp;SB_To))</f>
        <v/>
      </c>
      <c r="E56" s="43">
        <f>IF($A56="","",SUMIFS(GL_Journal!$S:$S,GL_Journal!$G:$G,ACC_SUPPLIERS,GL_Journal!$K:$K,$A56,GL_Journal!$D:$D,"&gt;="&amp;SB_From,GL_Journal!$D:$D,"&lt;="&amp;SB_To))</f>
        <v/>
      </c>
      <c r="F56" s="47">
        <f>IF($A56="","",$C56+$D56-$E56)</f>
        <v/>
      </c>
      <c r="G56" s="43">
        <f>IF($A56="","",MIN(MAX($F56,0),SUMIFS(Supplier_Invoices!$AC:$AC,Supplier_Invoices!$C:$C,$A56,Supplier_Invoices!$AG:$AG,1,Supplier_Invoices!$Y:$Y,"&gt;="&amp;(SB_To-0),Supplier_Invoices!$E:$E,"&lt;="&amp;SB_To)))</f>
        <v/>
      </c>
      <c r="H56" s="43">
        <f>IF($A56="","",MIN(MAX($F56,0),SUMIFS(Supplier_Invoices!$AC:$AC,Supplier_Invoices!$C:$C,$A56,Supplier_Invoices!$AG:$AG,1,Supplier_Invoices!$Y:$Y,"&gt;="&amp;(SB_To-30),Supplier_Invoices!$E:$E,"&lt;="&amp;SB_To))-MIN(MAX($F56,0),SUMIFS(Supplier_Invoices!$AC:$AC,Supplier_Invoices!$C:$C,$A56,Supplier_Invoices!$AG:$AG,1,Supplier_Invoices!$Y:$Y,"&gt;="&amp;(SB_To-0),Supplier_Invoices!$E:$E,"&lt;="&amp;SB_To)))</f>
        <v/>
      </c>
      <c r="I56" s="43">
        <f>IF($A56="","",MIN(MAX($F56,0),SUMIFS(Supplier_Invoices!$AC:$AC,Supplier_Invoices!$C:$C,$A56,Supplier_Invoices!$AG:$AG,1,Supplier_Invoices!$Y:$Y,"&gt;="&amp;(SB_To-60),Supplier_Invoices!$E:$E,"&lt;="&amp;SB_To))-MIN(MAX($F56,0),SUMIFS(Supplier_Invoices!$AC:$AC,Supplier_Invoices!$C:$C,$A56,Supplier_Invoices!$AG:$AG,1,Supplier_Invoices!$Y:$Y,"&gt;="&amp;(SB_To-30),Supplier_Invoices!$E:$E,"&lt;="&amp;SB_To)))</f>
        <v/>
      </c>
      <c r="J56" s="43">
        <f>IF($A56="","",MIN(MAX($F56,0),SUMIFS(Supplier_Invoices!$AC:$AC,Supplier_Invoices!$C:$C,$A56,Supplier_Invoices!$AG:$AG,1,Supplier_Invoices!$Y:$Y,"&gt;="&amp;(SB_To-90),Supplier_Invoices!$E:$E,"&lt;="&amp;SB_To))-MIN(MAX($F56,0),SUMIFS(Supplier_Invoices!$AC:$AC,Supplier_Invoices!$C:$C,$A56,Supplier_Invoices!$AG:$AG,1,Supplier_Invoices!$Y:$Y,"&gt;="&amp;(SB_To-60),Supplier_Invoices!$E:$E,"&lt;="&amp;SB_To)))</f>
        <v/>
      </c>
      <c r="K56" s="43">
        <f>IF($A56="","",MAX($F56,0)-MIN(MAX($F56,0),SUMIFS(Supplier_Invoices!$AC:$AC,Supplier_Invoices!$C:$C,$A56,Supplier_Invoices!$AG:$AG,1,Supplier_Invoices!$Y:$Y,"&gt;="&amp;(SB_To-90),Supplier_Invoices!$E:$E,"&lt;="&amp;SB_To)))</f>
        <v/>
      </c>
      <c r="L56" s="33">
        <f>IF($A56="","",IF(COUNTIFS(Supplier_Payments!$C:$C,$A56,Supplier_Payments!$V:$V,1)=0,"",_xlfn.MAXIFS(Supplier_Payments!$B:$B,Supplier_Payments!$C:$C,$A56,Supplier_Payments!$V:$V,1)))</f>
        <v/>
      </c>
      <c r="M56" s="32">
        <f>IF($A56="","",IF($F56&lt;-S_Tol,"رصيد مدين للمورد - مراجعة",IF($H56+$I56+$J56+$K56&gt;S_Tol,"يوجد مبالغ متأخرة","")))</f>
        <v/>
      </c>
    </row>
    <row r="57">
      <c r="A57" s="44">
        <f>IF(INDEX(Suppliers!$A:$A,ROW()-6)="","",INDEX(Suppliers!$A:$A,ROW()-6))</f>
        <v/>
      </c>
      <c r="B57" s="32">
        <f>IF($A57="","",INDEX(Suppliers!$B:$B,ROW()-6))</f>
        <v/>
      </c>
      <c r="C57" s="47">
        <f>IF($A57="","",SUMIFS(GL_Journal!$T:$T,GL_Journal!$G:$G,ACC_SUPPLIERS,GL_Journal!$K:$K,$A57,GL_Journal!$D:$D,"&lt;"&amp;SB_From)-SUMIFS(GL_Journal!$S:$S,GL_Journal!$G:$G,ACC_SUPPLIERS,GL_Journal!$K:$K,$A57,GL_Journal!$D:$D,"&lt;"&amp;SB_From))</f>
        <v/>
      </c>
      <c r="D57" s="43">
        <f>IF($A57="","",SUMIFS(GL_Journal!$T:$T,GL_Journal!$G:$G,ACC_SUPPLIERS,GL_Journal!$K:$K,$A57,GL_Journal!$D:$D,"&gt;="&amp;SB_From,GL_Journal!$D:$D,"&lt;="&amp;SB_To))</f>
        <v/>
      </c>
      <c r="E57" s="43">
        <f>IF($A57="","",SUMIFS(GL_Journal!$S:$S,GL_Journal!$G:$G,ACC_SUPPLIERS,GL_Journal!$K:$K,$A57,GL_Journal!$D:$D,"&gt;="&amp;SB_From,GL_Journal!$D:$D,"&lt;="&amp;SB_To))</f>
        <v/>
      </c>
      <c r="F57" s="47">
        <f>IF($A57="","",$C57+$D57-$E57)</f>
        <v/>
      </c>
      <c r="G57" s="43">
        <f>IF($A57="","",MIN(MAX($F57,0),SUMIFS(Supplier_Invoices!$AC:$AC,Supplier_Invoices!$C:$C,$A57,Supplier_Invoices!$AG:$AG,1,Supplier_Invoices!$Y:$Y,"&gt;="&amp;(SB_To-0),Supplier_Invoices!$E:$E,"&lt;="&amp;SB_To)))</f>
        <v/>
      </c>
      <c r="H57" s="43">
        <f>IF($A57="","",MIN(MAX($F57,0),SUMIFS(Supplier_Invoices!$AC:$AC,Supplier_Invoices!$C:$C,$A57,Supplier_Invoices!$AG:$AG,1,Supplier_Invoices!$Y:$Y,"&gt;="&amp;(SB_To-30),Supplier_Invoices!$E:$E,"&lt;="&amp;SB_To))-MIN(MAX($F57,0),SUMIFS(Supplier_Invoices!$AC:$AC,Supplier_Invoices!$C:$C,$A57,Supplier_Invoices!$AG:$AG,1,Supplier_Invoices!$Y:$Y,"&gt;="&amp;(SB_To-0),Supplier_Invoices!$E:$E,"&lt;="&amp;SB_To)))</f>
        <v/>
      </c>
      <c r="I57" s="43">
        <f>IF($A57="","",MIN(MAX($F57,0),SUMIFS(Supplier_Invoices!$AC:$AC,Supplier_Invoices!$C:$C,$A57,Supplier_Invoices!$AG:$AG,1,Supplier_Invoices!$Y:$Y,"&gt;="&amp;(SB_To-60),Supplier_Invoices!$E:$E,"&lt;="&amp;SB_To))-MIN(MAX($F57,0),SUMIFS(Supplier_Invoices!$AC:$AC,Supplier_Invoices!$C:$C,$A57,Supplier_Invoices!$AG:$AG,1,Supplier_Invoices!$Y:$Y,"&gt;="&amp;(SB_To-30),Supplier_Invoices!$E:$E,"&lt;="&amp;SB_To)))</f>
        <v/>
      </c>
      <c r="J57" s="43">
        <f>IF($A57="","",MIN(MAX($F57,0),SUMIFS(Supplier_Invoices!$AC:$AC,Supplier_Invoices!$C:$C,$A57,Supplier_Invoices!$AG:$AG,1,Supplier_Invoices!$Y:$Y,"&gt;="&amp;(SB_To-90),Supplier_Invoices!$E:$E,"&lt;="&amp;SB_To))-MIN(MAX($F57,0),SUMIFS(Supplier_Invoices!$AC:$AC,Supplier_Invoices!$C:$C,$A57,Supplier_Invoices!$AG:$AG,1,Supplier_Invoices!$Y:$Y,"&gt;="&amp;(SB_To-60),Supplier_Invoices!$E:$E,"&lt;="&amp;SB_To)))</f>
        <v/>
      </c>
      <c r="K57" s="43">
        <f>IF($A57="","",MAX($F57,0)-MIN(MAX($F57,0),SUMIFS(Supplier_Invoices!$AC:$AC,Supplier_Invoices!$C:$C,$A57,Supplier_Invoices!$AG:$AG,1,Supplier_Invoices!$Y:$Y,"&gt;="&amp;(SB_To-90),Supplier_Invoices!$E:$E,"&lt;="&amp;SB_To)))</f>
        <v/>
      </c>
      <c r="L57" s="33">
        <f>IF($A57="","",IF(COUNTIFS(Supplier_Payments!$C:$C,$A57,Supplier_Payments!$V:$V,1)=0,"",_xlfn.MAXIFS(Supplier_Payments!$B:$B,Supplier_Payments!$C:$C,$A57,Supplier_Payments!$V:$V,1)))</f>
        <v/>
      </c>
      <c r="M57" s="32">
        <f>IF($A57="","",IF($F57&lt;-S_Tol,"رصيد مدين للمورد - مراجعة",IF($H57+$I57+$J57+$K57&gt;S_Tol,"يوجد مبالغ متأخرة","")))</f>
        <v/>
      </c>
    </row>
    <row r="58">
      <c r="A58" s="44">
        <f>IF(INDEX(Suppliers!$A:$A,ROW()-6)="","",INDEX(Suppliers!$A:$A,ROW()-6))</f>
        <v/>
      </c>
      <c r="B58" s="32">
        <f>IF($A58="","",INDEX(Suppliers!$B:$B,ROW()-6))</f>
        <v/>
      </c>
      <c r="C58" s="47">
        <f>IF($A58="","",SUMIFS(GL_Journal!$T:$T,GL_Journal!$G:$G,ACC_SUPPLIERS,GL_Journal!$K:$K,$A58,GL_Journal!$D:$D,"&lt;"&amp;SB_From)-SUMIFS(GL_Journal!$S:$S,GL_Journal!$G:$G,ACC_SUPPLIERS,GL_Journal!$K:$K,$A58,GL_Journal!$D:$D,"&lt;"&amp;SB_From))</f>
        <v/>
      </c>
      <c r="D58" s="43">
        <f>IF($A58="","",SUMIFS(GL_Journal!$T:$T,GL_Journal!$G:$G,ACC_SUPPLIERS,GL_Journal!$K:$K,$A58,GL_Journal!$D:$D,"&gt;="&amp;SB_From,GL_Journal!$D:$D,"&lt;="&amp;SB_To))</f>
        <v/>
      </c>
      <c r="E58" s="43">
        <f>IF($A58="","",SUMIFS(GL_Journal!$S:$S,GL_Journal!$G:$G,ACC_SUPPLIERS,GL_Journal!$K:$K,$A58,GL_Journal!$D:$D,"&gt;="&amp;SB_From,GL_Journal!$D:$D,"&lt;="&amp;SB_To))</f>
        <v/>
      </c>
      <c r="F58" s="47">
        <f>IF($A58="","",$C58+$D58-$E58)</f>
        <v/>
      </c>
      <c r="G58" s="43">
        <f>IF($A58="","",MIN(MAX($F58,0),SUMIFS(Supplier_Invoices!$AC:$AC,Supplier_Invoices!$C:$C,$A58,Supplier_Invoices!$AG:$AG,1,Supplier_Invoices!$Y:$Y,"&gt;="&amp;(SB_To-0),Supplier_Invoices!$E:$E,"&lt;="&amp;SB_To)))</f>
        <v/>
      </c>
      <c r="H58" s="43">
        <f>IF($A58="","",MIN(MAX($F58,0),SUMIFS(Supplier_Invoices!$AC:$AC,Supplier_Invoices!$C:$C,$A58,Supplier_Invoices!$AG:$AG,1,Supplier_Invoices!$Y:$Y,"&gt;="&amp;(SB_To-30),Supplier_Invoices!$E:$E,"&lt;="&amp;SB_To))-MIN(MAX($F58,0),SUMIFS(Supplier_Invoices!$AC:$AC,Supplier_Invoices!$C:$C,$A58,Supplier_Invoices!$AG:$AG,1,Supplier_Invoices!$Y:$Y,"&gt;="&amp;(SB_To-0),Supplier_Invoices!$E:$E,"&lt;="&amp;SB_To)))</f>
        <v/>
      </c>
      <c r="I58" s="43">
        <f>IF($A58="","",MIN(MAX($F58,0),SUMIFS(Supplier_Invoices!$AC:$AC,Supplier_Invoices!$C:$C,$A58,Supplier_Invoices!$AG:$AG,1,Supplier_Invoices!$Y:$Y,"&gt;="&amp;(SB_To-60),Supplier_Invoices!$E:$E,"&lt;="&amp;SB_To))-MIN(MAX($F58,0),SUMIFS(Supplier_Invoices!$AC:$AC,Supplier_Invoices!$C:$C,$A58,Supplier_Invoices!$AG:$AG,1,Supplier_Invoices!$Y:$Y,"&gt;="&amp;(SB_To-30),Supplier_Invoices!$E:$E,"&lt;="&amp;SB_To)))</f>
        <v/>
      </c>
      <c r="J58" s="43">
        <f>IF($A58="","",MIN(MAX($F58,0),SUMIFS(Supplier_Invoices!$AC:$AC,Supplier_Invoices!$C:$C,$A58,Supplier_Invoices!$AG:$AG,1,Supplier_Invoices!$Y:$Y,"&gt;="&amp;(SB_To-90),Supplier_Invoices!$E:$E,"&lt;="&amp;SB_To))-MIN(MAX($F58,0),SUMIFS(Supplier_Invoices!$AC:$AC,Supplier_Invoices!$C:$C,$A58,Supplier_Invoices!$AG:$AG,1,Supplier_Invoices!$Y:$Y,"&gt;="&amp;(SB_To-60),Supplier_Invoices!$E:$E,"&lt;="&amp;SB_To)))</f>
        <v/>
      </c>
      <c r="K58" s="43">
        <f>IF($A58="","",MAX($F58,0)-MIN(MAX($F58,0),SUMIFS(Supplier_Invoices!$AC:$AC,Supplier_Invoices!$C:$C,$A58,Supplier_Invoices!$AG:$AG,1,Supplier_Invoices!$Y:$Y,"&gt;="&amp;(SB_To-90),Supplier_Invoices!$E:$E,"&lt;="&amp;SB_To)))</f>
        <v/>
      </c>
      <c r="L58" s="33">
        <f>IF($A58="","",IF(COUNTIFS(Supplier_Payments!$C:$C,$A58,Supplier_Payments!$V:$V,1)=0,"",_xlfn.MAXIFS(Supplier_Payments!$B:$B,Supplier_Payments!$C:$C,$A58,Supplier_Payments!$V:$V,1)))</f>
        <v/>
      </c>
      <c r="M58" s="32">
        <f>IF($A58="","",IF($F58&lt;-S_Tol,"رصيد مدين للمورد - مراجعة",IF($H58+$I58+$J58+$K58&gt;S_Tol,"يوجد مبالغ متأخرة","")))</f>
        <v/>
      </c>
    </row>
    <row r="59">
      <c r="A59" s="44">
        <f>IF(INDEX(Suppliers!$A:$A,ROW()-6)="","",INDEX(Suppliers!$A:$A,ROW()-6))</f>
        <v/>
      </c>
      <c r="B59" s="32">
        <f>IF($A59="","",INDEX(Suppliers!$B:$B,ROW()-6))</f>
        <v/>
      </c>
      <c r="C59" s="47">
        <f>IF($A59="","",SUMIFS(GL_Journal!$T:$T,GL_Journal!$G:$G,ACC_SUPPLIERS,GL_Journal!$K:$K,$A59,GL_Journal!$D:$D,"&lt;"&amp;SB_From)-SUMIFS(GL_Journal!$S:$S,GL_Journal!$G:$G,ACC_SUPPLIERS,GL_Journal!$K:$K,$A59,GL_Journal!$D:$D,"&lt;"&amp;SB_From))</f>
        <v/>
      </c>
      <c r="D59" s="43">
        <f>IF($A59="","",SUMIFS(GL_Journal!$T:$T,GL_Journal!$G:$G,ACC_SUPPLIERS,GL_Journal!$K:$K,$A59,GL_Journal!$D:$D,"&gt;="&amp;SB_From,GL_Journal!$D:$D,"&lt;="&amp;SB_To))</f>
        <v/>
      </c>
      <c r="E59" s="43">
        <f>IF($A59="","",SUMIFS(GL_Journal!$S:$S,GL_Journal!$G:$G,ACC_SUPPLIERS,GL_Journal!$K:$K,$A59,GL_Journal!$D:$D,"&gt;="&amp;SB_From,GL_Journal!$D:$D,"&lt;="&amp;SB_To))</f>
        <v/>
      </c>
      <c r="F59" s="47">
        <f>IF($A59="","",$C59+$D59-$E59)</f>
        <v/>
      </c>
      <c r="G59" s="43">
        <f>IF($A59="","",MIN(MAX($F59,0),SUMIFS(Supplier_Invoices!$AC:$AC,Supplier_Invoices!$C:$C,$A59,Supplier_Invoices!$AG:$AG,1,Supplier_Invoices!$Y:$Y,"&gt;="&amp;(SB_To-0),Supplier_Invoices!$E:$E,"&lt;="&amp;SB_To)))</f>
        <v/>
      </c>
      <c r="H59" s="43">
        <f>IF($A59="","",MIN(MAX($F59,0),SUMIFS(Supplier_Invoices!$AC:$AC,Supplier_Invoices!$C:$C,$A59,Supplier_Invoices!$AG:$AG,1,Supplier_Invoices!$Y:$Y,"&gt;="&amp;(SB_To-30),Supplier_Invoices!$E:$E,"&lt;="&amp;SB_To))-MIN(MAX($F59,0),SUMIFS(Supplier_Invoices!$AC:$AC,Supplier_Invoices!$C:$C,$A59,Supplier_Invoices!$AG:$AG,1,Supplier_Invoices!$Y:$Y,"&gt;="&amp;(SB_To-0),Supplier_Invoices!$E:$E,"&lt;="&amp;SB_To)))</f>
        <v/>
      </c>
      <c r="I59" s="43">
        <f>IF($A59="","",MIN(MAX($F59,0),SUMIFS(Supplier_Invoices!$AC:$AC,Supplier_Invoices!$C:$C,$A59,Supplier_Invoices!$AG:$AG,1,Supplier_Invoices!$Y:$Y,"&gt;="&amp;(SB_To-60),Supplier_Invoices!$E:$E,"&lt;="&amp;SB_To))-MIN(MAX($F59,0),SUMIFS(Supplier_Invoices!$AC:$AC,Supplier_Invoices!$C:$C,$A59,Supplier_Invoices!$AG:$AG,1,Supplier_Invoices!$Y:$Y,"&gt;="&amp;(SB_To-30),Supplier_Invoices!$E:$E,"&lt;="&amp;SB_To)))</f>
        <v/>
      </c>
      <c r="J59" s="43">
        <f>IF($A59="","",MIN(MAX($F59,0),SUMIFS(Supplier_Invoices!$AC:$AC,Supplier_Invoices!$C:$C,$A59,Supplier_Invoices!$AG:$AG,1,Supplier_Invoices!$Y:$Y,"&gt;="&amp;(SB_To-90),Supplier_Invoices!$E:$E,"&lt;="&amp;SB_To))-MIN(MAX($F59,0),SUMIFS(Supplier_Invoices!$AC:$AC,Supplier_Invoices!$C:$C,$A59,Supplier_Invoices!$AG:$AG,1,Supplier_Invoices!$Y:$Y,"&gt;="&amp;(SB_To-60),Supplier_Invoices!$E:$E,"&lt;="&amp;SB_To)))</f>
        <v/>
      </c>
      <c r="K59" s="43">
        <f>IF($A59="","",MAX($F59,0)-MIN(MAX($F59,0),SUMIFS(Supplier_Invoices!$AC:$AC,Supplier_Invoices!$C:$C,$A59,Supplier_Invoices!$AG:$AG,1,Supplier_Invoices!$Y:$Y,"&gt;="&amp;(SB_To-90),Supplier_Invoices!$E:$E,"&lt;="&amp;SB_To)))</f>
        <v/>
      </c>
      <c r="L59" s="33">
        <f>IF($A59="","",IF(COUNTIFS(Supplier_Payments!$C:$C,$A59,Supplier_Payments!$V:$V,1)=0,"",_xlfn.MAXIFS(Supplier_Payments!$B:$B,Supplier_Payments!$C:$C,$A59,Supplier_Payments!$V:$V,1)))</f>
        <v/>
      </c>
      <c r="M59" s="32">
        <f>IF($A59="","",IF($F59&lt;-S_Tol,"رصيد مدين للمورد - مراجعة",IF($H59+$I59+$J59+$K59&gt;S_Tol,"يوجد مبالغ متأخرة","")))</f>
        <v/>
      </c>
    </row>
    <row r="60">
      <c r="A60" s="44">
        <f>IF(INDEX(Suppliers!$A:$A,ROW()-6)="","",INDEX(Suppliers!$A:$A,ROW()-6))</f>
        <v/>
      </c>
      <c r="B60" s="32">
        <f>IF($A60="","",INDEX(Suppliers!$B:$B,ROW()-6))</f>
        <v/>
      </c>
      <c r="C60" s="47">
        <f>IF($A60="","",SUMIFS(GL_Journal!$T:$T,GL_Journal!$G:$G,ACC_SUPPLIERS,GL_Journal!$K:$K,$A60,GL_Journal!$D:$D,"&lt;"&amp;SB_From)-SUMIFS(GL_Journal!$S:$S,GL_Journal!$G:$G,ACC_SUPPLIERS,GL_Journal!$K:$K,$A60,GL_Journal!$D:$D,"&lt;"&amp;SB_From))</f>
        <v/>
      </c>
      <c r="D60" s="43">
        <f>IF($A60="","",SUMIFS(GL_Journal!$T:$T,GL_Journal!$G:$G,ACC_SUPPLIERS,GL_Journal!$K:$K,$A60,GL_Journal!$D:$D,"&gt;="&amp;SB_From,GL_Journal!$D:$D,"&lt;="&amp;SB_To))</f>
        <v/>
      </c>
      <c r="E60" s="43">
        <f>IF($A60="","",SUMIFS(GL_Journal!$S:$S,GL_Journal!$G:$G,ACC_SUPPLIERS,GL_Journal!$K:$K,$A60,GL_Journal!$D:$D,"&gt;="&amp;SB_From,GL_Journal!$D:$D,"&lt;="&amp;SB_To))</f>
        <v/>
      </c>
      <c r="F60" s="47">
        <f>IF($A60="","",$C60+$D60-$E60)</f>
        <v/>
      </c>
      <c r="G60" s="43">
        <f>IF($A60="","",MIN(MAX($F60,0),SUMIFS(Supplier_Invoices!$AC:$AC,Supplier_Invoices!$C:$C,$A60,Supplier_Invoices!$AG:$AG,1,Supplier_Invoices!$Y:$Y,"&gt;="&amp;(SB_To-0),Supplier_Invoices!$E:$E,"&lt;="&amp;SB_To)))</f>
        <v/>
      </c>
      <c r="H60" s="43">
        <f>IF($A60="","",MIN(MAX($F60,0),SUMIFS(Supplier_Invoices!$AC:$AC,Supplier_Invoices!$C:$C,$A60,Supplier_Invoices!$AG:$AG,1,Supplier_Invoices!$Y:$Y,"&gt;="&amp;(SB_To-30),Supplier_Invoices!$E:$E,"&lt;="&amp;SB_To))-MIN(MAX($F60,0),SUMIFS(Supplier_Invoices!$AC:$AC,Supplier_Invoices!$C:$C,$A60,Supplier_Invoices!$AG:$AG,1,Supplier_Invoices!$Y:$Y,"&gt;="&amp;(SB_To-0),Supplier_Invoices!$E:$E,"&lt;="&amp;SB_To)))</f>
        <v/>
      </c>
      <c r="I60" s="43">
        <f>IF($A60="","",MIN(MAX($F60,0),SUMIFS(Supplier_Invoices!$AC:$AC,Supplier_Invoices!$C:$C,$A60,Supplier_Invoices!$AG:$AG,1,Supplier_Invoices!$Y:$Y,"&gt;="&amp;(SB_To-60),Supplier_Invoices!$E:$E,"&lt;="&amp;SB_To))-MIN(MAX($F60,0),SUMIFS(Supplier_Invoices!$AC:$AC,Supplier_Invoices!$C:$C,$A60,Supplier_Invoices!$AG:$AG,1,Supplier_Invoices!$Y:$Y,"&gt;="&amp;(SB_To-30),Supplier_Invoices!$E:$E,"&lt;="&amp;SB_To)))</f>
        <v/>
      </c>
      <c r="J60" s="43">
        <f>IF($A60="","",MIN(MAX($F60,0),SUMIFS(Supplier_Invoices!$AC:$AC,Supplier_Invoices!$C:$C,$A60,Supplier_Invoices!$AG:$AG,1,Supplier_Invoices!$Y:$Y,"&gt;="&amp;(SB_To-90),Supplier_Invoices!$E:$E,"&lt;="&amp;SB_To))-MIN(MAX($F60,0),SUMIFS(Supplier_Invoices!$AC:$AC,Supplier_Invoices!$C:$C,$A60,Supplier_Invoices!$AG:$AG,1,Supplier_Invoices!$Y:$Y,"&gt;="&amp;(SB_To-60),Supplier_Invoices!$E:$E,"&lt;="&amp;SB_To)))</f>
        <v/>
      </c>
      <c r="K60" s="43">
        <f>IF($A60="","",MAX($F60,0)-MIN(MAX($F60,0),SUMIFS(Supplier_Invoices!$AC:$AC,Supplier_Invoices!$C:$C,$A60,Supplier_Invoices!$AG:$AG,1,Supplier_Invoices!$Y:$Y,"&gt;="&amp;(SB_To-90),Supplier_Invoices!$E:$E,"&lt;="&amp;SB_To)))</f>
        <v/>
      </c>
      <c r="L60" s="33">
        <f>IF($A60="","",IF(COUNTIFS(Supplier_Payments!$C:$C,$A60,Supplier_Payments!$V:$V,1)=0,"",_xlfn.MAXIFS(Supplier_Payments!$B:$B,Supplier_Payments!$C:$C,$A60,Supplier_Payments!$V:$V,1)))</f>
        <v/>
      </c>
      <c r="M60" s="32">
        <f>IF($A60="","",IF($F60&lt;-S_Tol,"رصيد مدين للمورد - مراجعة",IF($H60+$I60+$J60+$K60&gt;S_Tol,"يوجد مبالغ متأخرة","")))</f>
        <v/>
      </c>
    </row>
    <row r="61">
      <c r="A61" s="44">
        <f>IF(INDEX(Suppliers!$A:$A,ROW()-6)="","",INDEX(Suppliers!$A:$A,ROW()-6))</f>
        <v/>
      </c>
      <c r="B61" s="32">
        <f>IF($A61="","",INDEX(Suppliers!$B:$B,ROW()-6))</f>
        <v/>
      </c>
      <c r="C61" s="47">
        <f>IF($A61="","",SUMIFS(GL_Journal!$T:$T,GL_Journal!$G:$G,ACC_SUPPLIERS,GL_Journal!$K:$K,$A61,GL_Journal!$D:$D,"&lt;"&amp;SB_From)-SUMIFS(GL_Journal!$S:$S,GL_Journal!$G:$G,ACC_SUPPLIERS,GL_Journal!$K:$K,$A61,GL_Journal!$D:$D,"&lt;"&amp;SB_From))</f>
        <v/>
      </c>
      <c r="D61" s="43">
        <f>IF($A61="","",SUMIFS(GL_Journal!$T:$T,GL_Journal!$G:$G,ACC_SUPPLIERS,GL_Journal!$K:$K,$A61,GL_Journal!$D:$D,"&gt;="&amp;SB_From,GL_Journal!$D:$D,"&lt;="&amp;SB_To))</f>
        <v/>
      </c>
      <c r="E61" s="43">
        <f>IF($A61="","",SUMIFS(GL_Journal!$S:$S,GL_Journal!$G:$G,ACC_SUPPLIERS,GL_Journal!$K:$K,$A61,GL_Journal!$D:$D,"&gt;="&amp;SB_From,GL_Journal!$D:$D,"&lt;="&amp;SB_To))</f>
        <v/>
      </c>
      <c r="F61" s="47">
        <f>IF($A61="","",$C61+$D61-$E61)</f>
        <v/>
      </c>
      <c r="G61" s="43">
        <f>IF($A61="","",MIN(MAX($F61,0),SUMIFS(Supplier_Invoices!$AC:$AC,Supplier_Invoices!$C:$C,$A61,Supplier_Invoices!$AG:$AG,1,Supplier_Invoices!$Y:$Y,"&gt;="&amp;(SB_To-0),Supplier_Invoices!$E:$E,"&lt;="&amp;SB_To)))</f>
        <v/>
      </c>
      <c r="H61" s="43">
        <f>IF($A61="","",MIN(MAX($F61,0),SUMIFS(Supplier_Invoices!$AC:$AC,Supplier_Invoices!$C:$C,$A61,Supplier_Invoices!$AG:$AG,1,Supplier_Invoices!$Y:$Y,"&gt;="&amp;(SB_To-30),Supplier_Invoices!$E:$E,"&lt;="&amp;SB_To))-MIN(MAX($F61,0),SUMIFS(Supplier_Invoices!$AC:$AC,Supplier_Invoices!$C:$C,$A61,Supplier_Invoices!$AG:$AG,1,Supplier_Invoices!$Y:$Y,"&gt;="&amp;(SB_To-0),Supplier_Invoices!$E:$E,"&lt;="&amp;SB_To)))</f>
        <v/>
      </c>
      <c r="I61" s="43">
        <f>IF($A61="","",MIN(MAX($F61,0),SUMIFS(Supplier_Invoices!$AC:$AC,Supplier_Invoices!$C:$C,$A61,Supplier_Invoices!$AG:$AG,1,Supplier_Invoices!$Y:$Y,"&gt;="&amp;(SB_To-60),Supplier_Invoices!$E:$E,"&lt;="&amp;SB_To))-MIN(MAX($F61,0),SUMIFS(Supplier_Invoices!$AC:$AC,Supplier_Invoices!$C:$C,$A61,Supplier_Invoices!$AG:$AG,1,Supplier_Invoices!$Y:$Y,"&gt;="&amp;(SB_To-30),Supplier_Invoices!$E:$E,"&lt;="&amp;SB_To)))</f>
        <v/>
      </c>
      <c r="J61" s="43">
        <f>IF($A61="","",MIN(MAX($F61,0),SUMIFS(Supplier_Invoices!$AC:$AC,Supplier_Invoices!$C:$C,$A61,Supplier_Invoices!$AG:$AG,1,Supplier_Invoices!$Y:$Y,"&gt;="&amp;(SB_To-90),Supplier_Invoices!$E:$E,"&lt;="&amp;SB_To))-MIN(MAX($F61,0),SUMIFS(Supplier_Invoices!$AC:$AC,Supplier_Invoices!$C:$C,$A61,Supplier_Invoices!$AG:$AG,1,Supplier_Invoices!$Y:$Y,"&gt;="&amp;(SB_To-60),Supplier_Invoices!$E:$E,"&lt;="&amp;SB_To)))</f>
        <v/>
      </c>
      <c r="K61" s="43">
        <f>IF($A61="","",MAX($F61,0)-MIN(MAX($F61,0),SUMIFS(Supplier_Invoices!$AC:$AC,Supplier_Invoices!$C:$C,$A61,Supplier_Invoices!$AG:$AG,1,Supplier_Invoices!$Y:$Y,"&gt;="&amp;(SB_To-90),Supplier_Invoices!$E:$E,"&lt;="&amp;SB_To)))</f>
        <v/>
      </c>
      <c r="L61" s="33">
        <f>IF($A61="","",IF(COUNTIFS(Supplier_Payments!$C:$C,$A61,Supplier_Payments!$V:$V,1)=0,"",_xlfn.MAXIFS(Supplier_Payments!$B:$B,Supplier_Payments!$C:$C,$A61,Supplier_Payments!$V:$V,1)))</f>
        <v/>
      </c>
      <c r="M61" s="32">
        <f>IF($A61="","",IF($F61&lt;-S_Tol,"رصيد مدين للمورد - مراجعة",IF($H61+$I61+$J61+$K61&gt;S_Tol,"يوجد مبالغ متأخرة","")))</f>
        <v/>
      </c>
    </row>
    <row r="62">
      <c r="A62" s="44">
        <f>IF(INDEX(Suppliers!$A:$A,ROW()-6)="","",INDEX(Suppliers!$A:$A,ROW()-6))</f>
        <v/>
      </c>
      <c r="B62" s="32">
        <f>IF($A62="","",INDEX(Suppliers!$B:$B,ROW()-6))</f>
        <v/>
      </c>
      <c r="C62" s="47">
        <f>IF($A62="","",SUMIFS(GL_Journal!$T:$T,GL_Journal!$G:$G,ACC_SUPPLIERS,GL_Journal!$K:$K,$A62,GL_Journal!$D:$D,"&lt;"&amp;SB_From)-SUMIFS(GL_Journal!$S:$S,GL_Journal!$G:$G,ACC_SUPPLIERS,GL_Journal!$K:$K,$A62,GL_Journal!$D:$D,"&lt;"&amp;SB_From))</f>
        <v/>
      </c>
      <c r="D62" s="43">
        <f>IF($A62="","",SUMIFS(GL_Journal!$T:$T,GL_Journal!$G:$G,ACC_SUPPLIERS,GL_Journal!$K:$K,$A62,GL_Journal!$D:$D,"&gt;="&amp;SB_From,GL_Journal!$D:$D,"&lt;="&amp;SB_To))</f>
        <v/>
      </c>
      <c r="E62" s="43">
        <f>IF($A62="","",SUMIFS(GL_Journal!$S:$S,GL_Journal!$G:$G,ACC_SUPPLIERS,GL_Journal!$K:$K,$A62,GL_Journal!$D:$D,"&gt;="&amp;SB_From,GL_Journal!$D:$D,"&lt;="&amp;SB_To))</f>
        <v/>
      </c>
      <c r="F62" s="47">
        <f>IF($A62="","",$C62+$D62-$E62)</f>
        <v/>
      </c>
      <c r="G62" s="43">
        <f>IF($A62="","",MIN(MAX($F62,0),SUMIFS(Supplier_Invoices!$AC:$AC,Supplier_Invoices!$C:$C,$A62,Supplier_Invoices!$AG:$AG,1,Supplier_Invoices!$Y:$Y,"&gt;="&amp;(SB_To-0),Supplier_Invoices!$E:$E,"&lt;="&amp;SB_To)))</f>
        <v/>
      </c>
      <c r="H62" s="43">
        <f>IF($A62="","",MIN(MAX($F62,0),SUMIFS(Supplier_Invoices!$AC:$AC,Supplier_Invoices!$C:$C,$A62,Supplier_Invoices!$AG:$AG,1,Supplier_Invoices!$Y:$Y,"&gt;="&amp;(SB_To-30),Supplier_Invoices!$E:$E,"&lt;="&amp;SB_To))-MIN(MAX($F62,0),SUMIFS(Supplier_Invoices!$AC:$AC,Supplier_Invoices!$C:$C,$A62,Supplier_Invoices!$AG:$AG,1,Supplier_Invoices!$Y:$Y,"&gt;="&amp;(SB_To-0),Supplier_Invoices!$E:$E,"&lt;="&amp;SB_To)))</f>
        <v/>
      </c>
      <c r="I62" s="43">
        <f>IF($A62="","",MIN(MAX($F62,0),SUMIFS(Supplier_Invoices!$AC:$AC,Supplier_Invoices!$C:$C,$A62,Supplier_Invoices!$AG:$AG,1,Supplier_Invoices!$Y:$Y,"&gt;="&amp;(SB_To-60),Supplier_Invoices!$E:$E,"&lt;="&amp;SB_To))-MIN(MAX($F62,0),SUMIFS(Supplier_Invoices!$AC:$AC,Supplier_Invoices!$C:$C,$A62,Supplier_Invoices!$AG:$AG,1,Supplier_Invoices!$Y:$Y,"&gt;="&amp;(SB_To-30),Supplier_Invoices!$E:$E,"&lt;="&amp;SB_To)))</f>
        <v/>
      </c>
      <c r="J62" s="43">
        <f>IF($A62="","",MIN(MAX($F62,0),SUMIFS(Supplier_Invoices!$AC:$AC,Supplier_Invoices!$C:$C,$A62,Supplier_Invoices!$AG:$AG,1,Supplier_Invoices!$Y:$Y,"&gt;="&amp;(SB_To-90),Supplier_Invoices!$E:$E,"&lt;="&amp;SB_To))-MIN(MAX($F62,0),SUMIFS(Supplier_Invoices!$AC:$AC,Supplier_Invoices!$C:$C,$A62,Supplier_Invoices!$AG:$AG,1,Supplier_Invoices!$Y:$Y,"&gt;="&amp;(SB_To-60),Supplier_Invoices!$E:$E,"&lt;="&amp;SB_To)))</f>
        <v/>
      </c>
      <c r="K62" s="43">
        <f>IF($A62="","",MAX($F62,0)-MIN(MAX($F62,0),SUMIFS(Supplier_Invoices!$AC:$AC,Supplier_Invoices!$C:$C,$A62,Supplier_Invoices!$AG:$AG,1,Supplier_Invoices!$Y:$Y,"&gt;="&amp;(SB_To-90),Supplier_Invoices!$E:$E,"&lt;="&amp;SB_To)))</f>
        <v/>
      </c>
      <c r="L62" s="33">
        <f>IF($A62="","",IF(COUNTIFS(Supplier_Payments!$C:$C,$A62,Supplier_Payments!$V:$V,1)=0,"",_xlfn.MAXIFS(Supplier_Payments!$B:$B,Supplier_Payments!$C:$C,$A62,Supplier_Payments!$V:$V,1)))</f>
        <v/>
      </c>
      <c r="M62" s="32">
        <f>IF($A62="","",IF($F62&lt;-S_Tol,"رصيد مدين للمورد - مراجعة",IF($H62+$I62+$J62+$K62&gt;S_Tol,"يوجد مبالغ متأخرة","")))</f>
        <v/>
      </c>
    </row>
    <row r="63">
      <c r="A63" s="44">
        <f>IF(INDEX(Suppliers!$A:$A,ROW()-6)="","",INDEX(Suppliers!$A:$A,ROW()-6))</f>
        <v/>
      </c>
      <c r="B63" s="32">
        <f>IF($A63="","",INDEX(Suppliers!$B:$B,ROW()-6))</f>
        <v/>
      </c>
      <c r="C63" s="47">
        <f>IF($A63="","",SUMIFS(GL_Journal!$T:$T,GL_Journal!$G:$G,ACC_SUPPLIERS,GL_Journal!$K:$K,$A63,GL_Journal!$D:$D,"&lt;"&amp;SB_From)-SUMIFS(GL_Journal!$S:$S,GL_Journal!$G:$G,ACC_SUPPLIERS,GL_Journal!$K:$K,$A63,GL_Journal!$D:$D,"&lt;"&amp;SB_From))</f>
        <v/>
      </c>
      <c r="D63" s="43">
        <f>IF($A63="","",SUMIFS(GL_Journal!$T:$T,GL_Journal!$G:$G,ACC_SUPPLIERS,GL_Journal!$K:$K,$A63,GL_Journal!$D:$D,"&gt;="&amp;SB_From,GL_Journal!$D:$D,"&lt;="&amp;SB_To))</f>
        <v/>
      </c>
      <c r="E63" s="43">
        <f>IF($A63="","",SUMIFS(GL_Journal!$S:$S,GL_Journal!$G:$G,ACC_SUPPLIERS,GL_Journal!$K:$K,$A63,GL_Journal!$D:$D,"&gt;="&amp;SB_From,GL_Journal!$D:$D,"&lt;="&amp;SB_To))</f>
        <v/>
      </c>
      <c r="F63" s="47">
        <f>IF($A63="","",$C63+$D63-$E63)</f>
        <v/>
      </c>
      <c r="G63" s="43">
        <f>IF($A63="","",MIN(MAX($F63,0),SUMIFS(Supplier_Invoices!$AC:$AC,Supplier_Invoices!$C:$C,$A63,Supplier_Invoices!$AG:$AG,1,Supplier_Invoices!$Y:$Y,"&gt;="&amp;(SB_To-0),Supplier_Invoices!$E:$E,"&lt;="&amp;SB_To)))</f>
        <v/>
      </c>
      <c r="H63" s="43">
        <f>IF($A63="","",MIN(MAX($F63,0),SUMIFS(Supplier_Invoices!$AC:$AC,Supplier_Invoices!$C:$C,$A63,Supplier_Invoices!$AG:$AG,1,Supplier_Invoices!$Y:$Y,"&gt;="&amp;(SB_To-30),Supplier_Invoices!$E:$E,"&lt;="&amp;SB_To))-MIN(MAX($F63,0),SUMIFS(Supplier_Invoices!$AC:$AC,Supplier_Invoices!$C:$C,$A63,Supplier_Invoices!$AG:$AG,1,Supplier_Invoices!$Y:$Y,"&gt;="&amp;(SB_To-0),Supplier_Invoices!$E:$E,"&lt;="&amp;SB_To)))</f>
        <v/>
      </c>
      <c r="I63" s="43">
        <f>IF($A63="","",MIN(MAX($F63,0),SUMIFS(Supplier_Invoices!$AC:$AC,Supplier_Invoices!$C:$C,$A63,Supplier_Invoices!$AG:$AG,1,Supplier_Invoices!$Y:$Y,"&gt;="&amp;(SB_To-60),Supplier_Invoices!$E:$E,"&lt;="&amp;SB_To))-MIN(MAX($F63,0),SUMIFS(Supplier_Invoices!$AC:$AC,Supplier_Invoices!$C:$C,$A63,Supplier_Invoices!$AG:$AG,1,Supplier_Invoices!$Y:$Y,"&gt;="&amp;(SB_To-30),Supplier_Invoices!$E:$E,"&lt;="&amp;SB_To)))</f>
        <v/>
      </c>
      <c r="J63" s="43">
        <f>IF($A63="","",MIN(MAX($F63,0),SUMIFS(Supplier_Invoices!$AC:$AC,Supplier_Invoices!$C:$C,$A63,Supplier_Invoices!$AG:$AG,1,Supplier_Invoices!$Y:$Y,"&gt;="&amp;(SB_To-90),Supplier_Invoices!$E:$E,"&lt;="&amp;SB_To))-MIN(MAX($F63,0),SUMIFS(Supplier_Invoices!$AC:$AC,Supplier_Invoices!$C:$C,$A63,Supplier_Invoices!$AG:$AG,1,Supplier_Invoices!$Y:$Y,"&gt;="&amp;(SB_To-60),Supplier_Invoices!$E:$E,"&lt;="&amp;SB_To)))</f>
        <v/>
      </c>
      <c r="K63" s="43">
        <f>IF($A63="","",MAX($F63,0)-MIN(MAX($F63,0),SUMIFS(Supplier_Invoices!$AC:$AC,Supplier_Invoices!$C:$C,$A63,Supplier_Invoices!$AG:$AG,1,Supplier_Invoices!$Y:$Y,"&gt;="&amp;(SB_To-90),Supplier_Invoices!$E:$E,"&lt;="&amp;SB_To)))</f>
        <v/>
      </c>
      <c r="L63" s="33">
        <f>IF($A63="","",IF(COUNTIFS(Supplier_Payments!$C:$C,$A63,Supplier_Payments!$V:$V,1)=0,"",_xlfn.MAXIFS(Supplier_Payments!$B:$B,Supplier_Payments!$C:$C,$A63,Supplier_Payments!$V:$V,1)))</f>
        <v/>
      </c>
      <c r="M63" s="32">
        <f>IF($A63="","",IF($F63&lt;-S_Tol,"رصيد مدين للمورد - مراجعة",IF($H63+$I63+$J63+$K63&gt;S_Tol,"يوجد مبالغ متأخرة","")))</f>
        <v/>
      </c>
    </row>
    <row r="64">
      <c r="A64" s="44">
        <f>IF(INDEX(Suppliers!$A:$A,ROW()-6)="","",INDEX(Suppliers!$A:$A,ROW()-6))</f>
        <v/>
      </c>
      <c r="B64" s="32">
        <f>IF($A64="","",INDEX(Suppliers!$B:$B,ROW()-6))</f>
        <v/>
      </c>
      <c r="C64" s="47">
        <f>IF($A64="","",SUMIFS(GL_Journal!$T:$T,GL_Journal!$G:$G,ACC_SUPPLIERS,GL_Journal!$K:$K,$A64,GL_Journal!$D:$D,"&lt;"&amp;SB_From)-SUMIFS(GL_Journal!$S:$S,GL_Journal!$G:$G,ACC_SUPPLIERS,GL_Journal!$K:$K,$A64,GL_Journal!$D:$D,"&lt;"&amp;SB_From))</f>
        <v/>
      </c>
      <c r="D64" s="43">
        <f>IF($A64="","",SUMIFS(GL_Journal!$T:$T,GL_Journal!$G:$G,ACC_SUPPLIERS,GL_Journal!$K:$K,$A64,GL_Journal!$D:$D,"&gt;="&amp;SB_From,GL_Journal!$D:$D,"&lt;="&amp;SB_To))</f>
        <v/>
      </c>
      <c r="E64" s="43">
        <f>IF($A64="","",SUMIFS(GL_Journal!$S:$S,GL_Journal!$G:$G,ACC_SUPPLIERS,GL_Journal!$K:$K,$A64,GL_Journal!$D:$D,"&gt;="&amp;SB_From,GL_Journal!$D:$D,"&lt;="&amp;SB_To))</f>
        <v/>
      </c>
      <c r="F64" s="47">
        <f>IF($A64="","",$C64+$D64-$E64)</f>
        <v/>
      </c>
      <c r="G64" s="43">
        <f>IF($A64="","",MIN(MAX($F64,0),SUMIFS(Supplier_Invoices!$AC:$AC,Supplier_Invoices!$C:$C,$A64,Supplier_Invoices!$AG:$AG,1,Supplier_Invoices!$Y:$Y,"&gt;="&amp;(SB_To-0),Supplier_Invoices!$E:$E,"&lt;="&amp;SB_To)))</f>
        <v/>
      </c>
      <c r="H64" s="43">
        <f>IF($A64="","",MIN(MAX($F64,0),SUMIFS(Supplier_Invoices!$AC:$AC,Supplier_Invoices!$C:$C,$A64,Supplier_Invoices!$AG:$AG,1,Supplier_Invoices!$Y:$Y,"&gt;="&amp;(SB_To-30),Supplier_Invoices!$E:$E,"&lt;="&amp;SB_To))-MIN(MAX($F64,0),SUMIFS(Supplier_Invoices!$AC:$AC,Supplier_Invoices!$C:$C,$A64,Supplier_Invoices!$AG:$AG,1,Supplier_Invoices!$Y:$Y,"&gt;="&amp;(SB_To-0),Supplier_Invoices!$E:$E,"&lt;="&amp;SB_To)))</f>
        <v/>
      </c>
      <c r="I64" s="43">
        <f>IF($A64="","",MIN(MAX($F64,0),SUMIFS(Supplier_Invoices!$AC:$AC,Supplier_Invoices!$C:$C,$A64,Supplier_Invoices!$AG:$AG,1,Supplier_Invoices!$Y:$Y,"&gt;="&amp;(SB_To-60),Supplier_Invoices!$E:$E,"&lt;="&amp;SB_To))-MIN(MAX($F64,0),SUMIFS(Supplier_Invoices!$AC:$AC,Supplier_Invoices!$C:$C,$A64,Supplier_Invoices!$AG:$AG,1,Supplier_Invoices!$Y:$Y,"&gt;="&amp;(SB_To-30),Supplier_Invoices!$E:$E,"&lt;="&amp;SB_To)))</f>
        <v/>
      </c>
      <c r="J64" s="43">
        <f>IF($A64="","",MIN(MAX($F64,0),SUMIFS(Supplier_Invoices!$AC:$AC,Supplier_Invoices!$C:$C,$A64,Supplier_Invoices!$AG:$AG,1,Supplier_Invoices!$Y:$Y,"&gt;="&amp;(SB_To-90),Supplier_Invoices!$E:$E,"&lt;="&amp;SB_To))-MIN(MAX($F64,0),SUMIFS(Supplier_Invoices!$AC:$AC,Supplier_Invoices!$C:$C,$A64,Supplier_Invoices!$AG:$AG,1,Supplier_Invoices!$Y:$Y,"&gt;="&amp;(SB_To-60),Supplier_Invoices!$E:$E,"&lt;="&amp;SB_To)))</f>
        <v/>
      </c>
      <c r="K64" s="43">
        <f>IF($A64="","",MAX($F64,0)-MIN(MAX($F64,0),SUMIFS(Supplier_Invoices!$AC:$AC,Supplier_Invoices!$C:$C,$A64,Supplier_Invoices!$AG:$AG,1,Supplier_Invoices!$Y:$Y,"&gt;="&amp;(SB_To-90),Supplier_Invoices!$E:$E,"&lt;="&amp;SB_To)))</f>
        <v/>
      </c>
      <c r="L64" s="33">
        <f>IF($A64="","",IF(COUNTIFS(Supplier_Payments!$C:$C,$A64,Supplier_Payments!$V:$V,1)=0,"",_xlfn.MAXIFS(Supplier_Payments!$B:$B,Supplier_Payments!$C:$C,$A64,Supplier_Payments!$V:$V,1)))</f>
        <v/>
      </c>
      <c r="M64" s="32">
        <f>IF($A64="","",IF($F64&lt;-S_Tol,"رصيد مدين للمورد - مراجعة",IF($H64+$I64+$J64+$K64&gt;S_Tol,"يوجد مبالغ متأخرة","")))</f>
        <v/>
      </c>
    </row>
    <row r="65">
      <c r="A65" s="44">
        <f>IF(INDEX(Suppliers!$A:$A,ROW()-6)="","",INDEX(Suppliers!$A:$A,ROW()-6))</f>
        <v/>
      </c>
      <c r="B65" s="32">
        <f>IF($A65="","",INDEX(Suppliers!$B:$B,ROW()-6))</f>
        <v/>
      </c>
      <c r="C65" s="47">
        <f>IF($A65="","",SUMIFS(GL_Journal!$T:$T,GL_Journal!$G:$G,ACC_SUPPLIERS,GL_Journal!$K:$K,$A65,GL_Journal!$D:$D,"&lt;"&amp;SB_From)-SUMIFS(GL_Journal!$S:$S,GL_Journal!$G:$G,ACC_SUPPLIERS,GL_Journal!$K:$K,$A65,GL_Journal!$D:$D,"&lt;"&amp;SB_From))</f>
        <v/>
      </c>
      <c r="D65" s="43">
        <f>IF($A65="","",SUMIFS(GL_Journal!$T:$T,GL_Journal!$G:$G,ACC_SUPPLIERS,GL_Journal!$K:$K,$A65,GL_Journal!$D:$D,"&gt;="&amp;SB_From,GL_Journal!$D:$D,"&lt;="&amp;SB_To))</f>
        <v/>
      </c>
      <c r="E65" s="43">
        <f>IF($A65="","",SUMIFS(GL_Journal!$S:$S,GL_Journal!$G:$G,ACC_SUPPLIERS,GL_Journal!$K:$K,$A65,GL_Journal!$D:$D,"&gt;="&amp;SB_From,GL_Journal!$D:$D,"&lt;="&amp;SB_To))</f>
        <v/>
      </c>
      <c r="F65" s="47">
        <f>IF($A65="","",$C65+$D65-$E65)</f>
        <v/>
      </c>
      <c r="G65" s="43">
        <f>IF($A65="","",MIN(MAX($F65,0),SUMIFS(Supplier_Invoices!$AC:$AC,Supplier_Invoices!$C:$C,$A65,Supplier_Invoices!$AG:$AG,1,Supplier_Invoices!$Y:$Y,"&gt;="&amp;(SB_To-0),Supplier_Invoices!$E:$E,"&lt;="&amp;SB_To)))</f>
        <v/>
      </c>
      <c r="H65" s="43">
        <f>IF($A65="","",MIN(MAX($F65,0),SUMIFS(Supplier_Invoices!$AC:$AC,Supplier_Invoices!$C:$C,$A65,Supplier_Invoices!$AG:$AG,1,Supplier_Invoices!$Y:$Y,"&gt;="&amp;(SB_To-30),Supplier_Invoices!$E:$E,"&lt;="&amp;SB_To))-MIN(MAX($F65,0),SUMIFS(Supplier_Invoices!$AC:$AC,Supplier_Invoices!$C:$C,$A65,Supplier_Invoices!$AG:$AG,1,Supplier_Invoices!$Y:$Y,"&gt;="&amp;(SB_To-0),Supplier_Invoices!$E:$E,"&lt;="&amp;SB_To)))</f>
        <v/>
      </c>
      <c r="I65" s="43">
        <f>IF($A65="","",MIN(MAX($F65,0),SUMIFS(Supplier_Invoices!$AC:$AC,Supplier_Invoices!$C:$C,$A65,Supplier_Invoices!$AG:$AG,1,Supplier_Invoices!$Y:$Y,"&gt;="&amp;(SB_To-60),Supplier_Invoices!$E:$E,"&lt;="&amp;SB_To))-MIN(MAX($F65,0),SUMIFS(Supplier_Invoices!$AC:$AC,Supplier_Invoices!$C:$C,$A65,Supplier_Invoices!$AG:$AG,1,Supplier_Invoices!$Y:$Y,"&gt;="&amp;(SB_To-30),Supplier_Invoices!$E:$E,"&lt;="&amp;SB_To)))</f>
        <v/>
      </c>
      <c r="J65" s="43">
        <f>IF($A65="","",MIN(MAX($F65,0),SUMIFS(Supplier_Invoices!$AC:$AC,Supplier_Invoices!$C:$C,$A65,Supplier_Invoices!$AG:$AG,1,Supplier_Invoices!$Y:$Y,"&gt;="&amp;(SB_To-90),Supplier_Invoices!$E:$E,"&lt;="&amp;SB_To))-MIN(MAX($F65,0),SUMIFS(Supplier_Invoices!$AC:$AC,Supplier_Invoices!$C:$C,$A65,Supplier_Invoices!$AG:$AG,1,Supplier_Invoices!$Y:$Y,"&gt;="&amp;(SB_To-60),Supplier_Invoices!$E:$E,"&lt;="&amp;SB_To)))</f>
        <v/>
      </c>
      <c r="K65" s="43">
        <f>IF($A65="","",MAX($F65,0)-MIN(MAX($F65,0),SUMIFS(Supplier_Invoices!$AC:$AC,Supplier_Invoices!$C:$C,$A65,Supplier_Invoices!$AG:$AG,1,Supplier_Invoices!$Y:$Y,"&gt;="&amp;(SB_To-90),Supplier_Invoices!$E:$E,"&lt;="&amp;SB_To)))</f>
        <v/>
      </c>
      <c r="L65" s="33">
        <f>IF($A65="","",IF(COUNTIFS(Supplier_Payments!$C:$C,$A65,Supplier_Payments!$V:$V,1)=0,"",_xlfn.MAXIFS(Supplier_Payments!$B:$B,Supplier_Payments!$C:$C,$A65,Supplier_Payments!$V:$V,1)))</f>
        <v/>
      </c>
      <c r="M65" s="32">
        <f>IF($A65="","",IF($F65&lt;-S_Tol,"رصيد مدين للمورد - مراجعة",IF($H65+$I65+$J65+$K65&gt;S_Tol,"يوجد مبالغ متأخرة","")))</f>
        <v/>
      </c>
    </row>
    <row r="66">
      <c r="A66" s="44">
        <f>IF(INDEX(Suppliers!$A:$A,ROW()-6)="","",INDEX(Suppliers!$A:$A,ROW()-6))</f>
        <v/>
      </c>
      <c r="B66" s="32">
        <f>IF($A66="","",INDEX(Suppliers!$B:$B,ROW()-6))</f>
        <v/>
      </c>
      <c r="C66" s="47">
        <f>IF($A66="","",SUMIFS(GL_Journal!$T:$T,GL_Journal!$G:$G,ACC_SUPPLIERS,GL_Journal!$K:$K,$A66,GL_Journal!$D:$D,"&lt;"&amp;SB_From)-SUMIFS(GL_Journal!$S:$S,GL_Journal!$G:$G,ACC_SUPPLIERS,GL_Journal!$K:$K,$A66,GL_Journal!$D:$D,"&lt;"&amp;SB_From))</f>
        <v/>
      </c>
      <c r="D66" s="43">
        <f>IF($A66="","",SUMIFS(GL_Journal!$T:$T,GL_Journal!$G:$G,ACC_SUPPLIERS,GL_Journal!$K:$K,$A66,GL_Journal!$D:$D,"&gt;="&amp;SB_From,GL_Journal!$D:$D,"&lt;="&amp;SB_To))</f>
        <v/>
      </c>
      <c r="E66" s="43">
        <f>IF($A66="","",SUMIFS(GL_Journal!$S:$S,GL_Journal!$G:$G,ACC_SUPPLIERS,GL_Journal!$K:$K,$A66,GL_Journal!$D:$D,"&gt;="&amp;SB_From,GL_Journal!$D:$D,"&lt;="&amp;SB_To))</f>
        <v/>
      </c>
      <c r="F66" s="47">
        <f>IF($A66="","",$C66+$D66-$E66)</f>
        <v/>
      </c>
      <c r="G66" s="43">
        <f>IF($A66="","",MIN(MAX($F66,0),SUMIFS(Supplier_Invoices!$AC:$AC,Supplier_Invoices!$C:$C,$A66,Supplier_Invoices!$AG:$AG,1,Supplier_Invoices!$Y:$Y,"&gt;="&amp;(SB_To-0),Supplier_Invoices!$E:$E,"&lt;="&amp;SB_To)))</f>
        <v/>
      </c>
      <c r="H66" s="43">
        <f>IF($A66="","",MIN(MAX($F66,0),SUMIFS(Supplier_Invoices!$AC:$AC,Supplier_Invoices!$C:$C,$A66,Supplier_Invoices!$AG:$AG,1,Supplier_Invoices!$Y:$Y,"&gt;="&amp;(SB_To-30),Supplier_Invoices!$E:$E,"&lt;="&amp;SB_To))-MIN(MAX($F66,0),SUMIFS(Supplier_Invoices!$AC:$AC,Supplier_Invoices!$C:$C,$A66,Supplier_Invoices!$AG:$AG,1,Supplier_Invoices!$Y:$Y,"&gt;="&amp;(SB_To-0),Supplier_Invoices!$E:$E,"&lt;="&amp;SB_To)))</f>
        <v/>
      </c>
      <c r="I66" s="43">
        <f>IF($A66="","",MIN(MAX($F66,0),SUMIFS(Supplier_Invoices!$AC:$AC,Supplier_Invoices!$C:$C,$A66,Supplier_Invoices!$AG:$AG,1,Supplier_Invoices!$Y:$Y,"&gt;="&amp;(SB_To-60),Supplier_Invoices!$E:$E,"&lt;="&amp;SB_To))-MIN(MAX($F66,0),SUMIFS(Supplier_Invoices!$AC:$AC,Supplier_Invoices!$C:$C,$A66,Supplier_Invoices!$AG:$AG,1,Supplier_Invoices!$Y:$Y,"&gt;="&amp;(SB_To-30),Supplier_Invoices!$E:$E,"&lt;="&amp;SB_To)))</f>
        <v/>
      </c>
      <c r="J66" s="43">
        <f>IF($A66="","",MIN(MAX($F66,0),SUMIFS(Supplier_Invoices!$AC:$AC,Supplier_Invoices!$C:$C,$A66,Supplier_Invoices!$AG:$AG,1,Supplier_Invoices!$Y:$Y,"&gt;="&amp;(SB_To-90),Supplier_Invoices!$E:$E,"&lt;="&amp;SB_To))-MIN(MAX($F66,0),SUMIFS(Supplier_Invoices!$AC:$AC,Supplier_Invoices!$C:$C,$A66,Supplier_Invoices!$AG:$AG,1,Supplier_Invoices!$Y:$Y,"&gt;="&amp;(SB_To-60),Supplier_Invoices!$E:$E,"&lt;="&amp;SB_To)))</f>
        <v/>
      </c>
      <c r="K66" s="43">
        <f>IF($A66="","",MAX($F66,0)-MIN(MAX($F66,0),SUMIFS(Supplier_Invoices!$AC:$AC,Supplier_Invoices!$C:$C,$A66,Supplier_Invoices!$AG:$AG,1,Supplier_Invoices!$Y:$Y,"&gt;="&amp;(SB_To-90),Supplier_Invoices!$E:$E,"&lt;="&amp;SB_To)))</f>
        <v/>
      </c>
      <c r="L66" s="33">
        <f>IF($A66="","",IF(COUNTIFS(Supplier_Payments!$C:$C,$A66,Supplier_Payments!$V:$V,1)=0,"",_xlfn.MAXIFS(Supplier_Payments!$B:$B,Supplier_Payments!$C:$C,$A66,Supplier_Payments!$V:$V,1)))</f>
        <v/>
      </c>
      <c r="M66" s="32">
        <f>IF($A66="","",IF($F66&lt;-S_Tol,"رصيد مدين للمورد - مراجعة",IF($H66+$I66+$J66+$K66&gt;S_Tol,"يوجد مبالغ متأخرة","")))</f>
        <v/>
      </c>
    </row>
    <row r="67">
      <c r="A67" s="44">
        <f>IF(INDEX(Suppliers!$A:$A,ROW()-6)="","",INDEX(Suppliers!$A:$A,ROW()-6))</f>
        <v/>
      </c>
      <c r="B67" s="32">
        <f>IF($A67="","",INDEX(Suppliers!$B:$B,ROW()-6))</f>
        <v/>
      </c>
      <c r="C67" s="47">
        <f>IF($A67="","",SUMIFS(GL_Journal!$T:$T,GL_Journal!$G:$G,ACC_SUPPLIERS,GL_Journal!$K:$K,$A67,GL_Journal!$D:$D,"&lt;"&amp;SB_From)-SUMIFS(GL_Journal!$S:$S,GL_Journal!$G:$G,ACC_SUPPLIERS,GL_Journal!$K:$K,$A67,GL_Journal!$D:$D,"&lt;"&amp;SB_From))</f>
        <v/>
      </c>
      <c r="D67" s="43">
        <f>IF($A67="","",SUMIFS(GL_Journal!$T:$T,GL_Journal!$G:$G,ACC_SUPPLIERS,GL_Journal!$K:$K,$A67,GL_Journal!$D:$D,"&gt;="&amp;SB_From,GL_Journal!$D:$D,"&lt;="&amp;SB_To))</f>
        <v/>
      </c>
      <c r="E67" s="43">
        <f>IF($A67="","",SUMIFS(GL_Journal!$S:$S,GL_Journal!$G:$G,ACC_SUPPLIERS,GL_Journal!$K:$K,$A67,GL_Journal!$D:$D,"&gt;="&amp;SB_From,GL_Journal!$D:$D,"&lt;="&amp;SB_To))</f>
        <v/>
      </c>
      <c r="F67" s="47">
        <f>IF($A67="","",$C67+$D67-$E67)</f>
        <v/>
      </c>
      <c r="G67" s="43">
        <f>IF($A67="","",MIN(MAX($F67,0),SUMIFS(Supplier_Invoices!$AC:$AC,Supplier_Invoices!$C:$C,$A67,Supplier_Invoices!$AG:$AG,1,Supplier_Invoices!$Y:$Y,"&gt;="&amp;(SB_To-0),Supplier_Invoices!$E:$E,"&lt;="&amp;SB_To)))</f>
        <v/>
      </c>
      <c r="H67" s="43">
        <f>IF($A67="","",MIN(MAX($F67,0),SUMIFS(Supplier_Invoices!$AC:$AC,Supplier_Invoices!$C:$C,$A67,Supplier_Invoices!$AG:$AG,1,Supplier_Invoices!$Y:$Y,"&gt;="&amp;(SB_To-30),Supplier_Invoices!$E:$E,"&lt;="&amp;SB_To))-MIN(MAX($F67,0),SUMIFS(Supplier_Invoices!$AC:$AC,Supplier_Invoices!$C:$C,$A67,Supplier_Invoices!$AG:$AG,1,Supplier_Invoices!$Y:$Y,"&gt;="&amp;(SB_To-0),Supplier_Invoices!$E:$E,"&lt;="&amp;SB_To)))</f>
        <v/>
      </c>
      <c r="I67" s="43">
        <f>IF($A67="","",MIN(MAX($F67,0),SUMIFS(Supplier_Invoices!$AC:$AC,Supplier_Invoices!$C:$C,$A67,Supplier_Invoices!$AG:$AG,1,Supplier_Invoices!$Y:$Y,"&gt;="&amp;(SB_To-60),Supplier_Invoices!$E:$E,"&lt;="&amp;SB_To))-MIN(MAX($F67,0),SUMIFS(Supplier_Invoices!$AC:$AC,Supplier_Invoices!$C:$C,$A67,Supplier_Invoices!$AG:$AG,1,Supplier_Invoices!$Y:$Y,"&gt;="&amp;(SB_To-30),Supplier_Invoices!$E:$E,"&lt;="&amp;SB_To)))</f>
        <v/>
      </c>
      <c r="J67" s="43">
        <f>IF($A67="","",MIN(MAX($F67,0),SUMIFS(Supplier_Invoices!$AC:$AC,Supplier_Invoices!$C:$C,$A67,Supplier_Invoices!$AG:$AG,1,Supplier_Invoices!$Y:$Y,"&gt;="&amp;(SB_To-90),Supplier_Invoices!$E:$E,"&lt;="&amp;SB_To))-MIN(MAX($F67,0),SUMIFS(Supplier_Invoices!$AC:$AC,Supplier_Invoices!$C:$C,$A67,Supplier_Invoices!$AG:$AG,1,Supplier_Invoices!$Y:$Y,"&gt;="&amp;(SB_To-60),Supplier_Invoices!$E:$E,"&lt;="&amp;SB_To)))</f>
        <v/>
      </c>
      <c r="K67" s="43">
        <f>IF($A67="","",MAX($F67,0)-MIN(MAX($F67,0),SUMIFS(Supplier_Invoices!$AC:$AC,Supplier_Invoices!$C:$C,$A67,Supplier_Invoices!$AG:$AG,1,Supplier_Invoices!$Y:$Y,"&gt;="&amp;(SB_To-90),Supplier_Invoices!$E:$E,"&lt;="&amp;SB_To)))</f>
        <v/>
      </c>
      <c r="L67" s="33">
        <f>IF($A67="","",IF(COUNTIFS(Supplier_Payments!$C:$C,$A67,Supplier_Payments!$V:$V,1)=0,"",_xlfn.MAXIFS(Supplier_Payments!$B:$B,Supplier_Payments!$C:$C,$A67,Supplier_Payments!$V:$V,1)))</f>
        <v/>
      </c>
      <c r="M67" s="32">
        <f>IF($A67="","",IF($F67&lt;-S_Tol,"رصيد مدين للمورد - مراجعة",IF($H67+$I67+$J67+$K67&gt;S_Tol,"يوجد مبالغ متأخرة","")))</f>
        <v/>
      </c>
    </row>
    <row r="68">
      <c r="A68" s="44">
        <f>IF(INDEX(Suppliers!$A:$A,ROW()-6)="","",INDEX(Suppliers!$A:$A,ROW()-6))</f>
        <v/>
      </c>
      <c r="B68" s="32">
        <f>IF($A68="","",INDEX(Suppliers!$B:$B,ROW()-6))</f>
        <v/>
      </c>
      <c r="C68" s="47">
        <f>IF($A68="","",SUMIFS(GL_Journal!$T:$T,GL_Journal!$G:$G,ACC_SUPPLIERS,GL_Journal!$K:$K,$A68,GL_Journal!$D:$D,"&lt;"&amp;SB_From)-SUMIFS(GL_Journal!$S:$S,GL_Journal!$G:$G,ACC_SUPPLIERS,GL_Journal!$K:$K,$A68,GL_Journal!$D:$D,"&lt;"&amp;SB_From))</f>
        <v/>
      </c>
      <c r="D68" s="43">
        <f>IF($A68="","",SUMIFS(GL_Journal!$T:$T,GL_Journal!$G:$G,ACC_SUPPLIERS,GL_Journal!$K:$K,$A68,GL_Journal!$D:$D,"&gt;="&amp;SB_From,GL_Journal!$D:$D,"&lt;="&amp;SB_To))</f>
        <v/>
      </c>
      <c r="E68" s="43">
        <f>IF($A68="","",SUMIFS(GL_Journal!$S:$S,GL_Journal!$G:$G,ACC_SUPPLIERS,GL_Journal!$K:$K,$A68,GL_Journal!$D:$D,"&gt;="&amp;SB_From,GL_Journal!$D:$D,"&lt;="&amp;SB_To))</f>
        <v/>
      </c>
      <c r="F68" s="47">
        <f>IF($A68="","",$C68+$D68-$E68)</f>
        <v/>
      </c>
      <c r="G68" s="43">
        <f>IF($A68="","",MIN(MAX($F68,0),SUMIFS(Supplier_Invoices!$AC:$AC,Supplier_Invoices!$C:$C,$A68,Supplier_Invoices!$AG:$AG,1,Supplier_Invoices!$Y:$Y,"&gt;="&amp;(SB_To-0),Supplier_Invoices!$E:$E,"&lt;="&amp;SB_To)))</f>
        <v/>
      </c>
      <c r="H68" s="43">
        <f>IF($A68="","",MIN(MAX($F68,0),SUMIFS(Supplier_Invoices!$AC:$AC,Supplier_Invoices!$C:$C,$A68,Supplier_Invoices!$AG:$AG,1,Supplier_Invoices!$Y:$Y,"&gt;="&amp;(SB_To-30),Supplier_Invoices!$E:$E,"&lt;="&amp;SB_To))-MIN(MAX($F68,0),SUMIFS(Supplier_Invoices!$AC:$AC,Supplier_Invoices!$C:$C,$A68,Supplier_Invoices!$AG:$AG,1,Supplier_Invoices!$Y:$Y,"&gt;="&amp;(SB_To-0),Supplier_Invoices!$E:$E,"&lt;="&amp;SB_To)))</f>
        <v/>
      </c>
      <c r="I68" s="43">
        <f>IF($A68="","",MIN(MAX($F68,0),SUMIFS(Supplier_Invoices!$AC:$AC,Supplier_Invoices!$C:$C,$A68,Supplier_Invoices!$AG:$AG,1,Supplier_Invoices!$Y:$Y,"&gt;="&amp;(SB_To-60),Supplier_Invoices!$E:$E,"&lt;="&amp;SB_To))-MIN(MAX($F68,0),SUMIFS(Supplier_Invoices!$AC:$AC,Supplier_Invoices!$C:$C,$A68,Supplier_Invoices!$AG:$AG,1,Supplier_Invoices!$Y:$Y,"&gt;="&amp;(SB_To-30),Supplier_Invoices!$E:$E,"&lt;="&amp;SB_To)))</f>
        <v/>
      </c>
      <c r="J68" s="43">
        <f>IF($A68="","",MIN(MAX($F68,0),SUMIFS(Supplier_Invoices!$AC:$AC,Supplier_Invoices!$C:$C,$A68,Supplier_Invoices!$AG:$AG,1,Supplier_Invoices!$Y:$Y,"&gt;="&amp;(SB_To-90),Supplier_Invoices!$E:$E,"&lt;="&amp;SB_To))-MIN(MAX($F68,0),SUMIFS(Supplier_Invoices!$AC:$AC,Supplier_Invoices!$C:$C,$A68,Supplier_Invoices!$AG:$AG,1,Supplier_Invoices!$Y:$Y,"&gt;="&amp;(SB_To-60),Supplier_Invoices!$E:$E,"&lt;="&amp;SB_To)))</f>
        <v/>
      </c>
      <c r="K68" s="43">
        <f>IF($A68="","",MAX($F68,0)-MIN(MAX($F68,0),SUMIFS(Supplier_Invoices!$AC:$AC,Supplier_Invoices!$C:$C,$A68,Supplier_Invoices!$AG:$AG,1,Supplier_Invoices!$Y:$Y,"&gt;="&amp;(SB_To-90),Supplier_Invoices!$E:$E,"&lt;="&amp;SB_To)))</f>
        <v/>
      </c>
      <c r="L68" s="33">
        <f>IF($A68="","",IF(COUNTIFS(Supplier_Payments!$C:$C,$A68,Supplier_Payments!$V:$V,1)=0,"",_xlfn.MAXIFS(Supplier_Payments!$B:$B,Supplier_Payments!$C:$C,$A68,Supplier_Payments!$V:$V,1)))</f>
        <v/>
      </c>
      <c r="M68" s="32">
        <f>IF($A68="","",IF($F68&lt;-S_Tol,"رصيد مدين للمورد - مراجعة",IF($H68+$I68+$J68+$K68&gt;S_Tol,"يوجد مبالغ متأخرة","")))</f>
        <v/>
      </c>
    </row>
    <row r="69">
      <c r="A69" s="44">
        <f>IF(INDEX(Suppliers!$A:$A,ROW()-6)="","",INDEX(Suppliers!$A:$A,ROW()-6))</f>
        <v/>
      </c>
      <c r="B69" s="32">
        <f>IF($A69="","",INDEX(Suppliers!$B:$B,ROW()-6))</f>
        <v/>
      </c>
      <c r="C69" s="47">
        <f>IF($A69="","",SUMIFS(GL_Journal!$T:$T,GL_Journal!$G:$G,ACC_SUPPLIERS,GL_Journal!$K:$K,$A69,GL_Journal!$D:$D,"&lt;"&amp;SB_From)-SUMIFS(GL_Journal!$S:$S,GL_Journal!$G:$G,ACC_SUPPLIERS,GL_Journal!$K:$K,$A69,GL_Journal!$D:$D,"&lt;"&amp;SB_From))</f>
        <v/>
      </c>
      <c r="D69" s="43">
        <f>IF($A69="","",SUMIFS(GL_Journal!$T:$T,GL_Journal!$G:$G,ACC_SUPPLIERS,GL_Journal!$K:$K,$A69,GL_Journal!$D:$D,"&gt;="&amp;SB_From,GL_Journal!$D:$D,"&lt;="&amp;SB_To))</f>
        <v/>
      </c>
      <c r="E69" s="43">
        <f>IF($A69="","",SUMIFS(GL_Journal!$S:$S,GL_Journal!$G:$G,ACC_SUPPLIERS,GL_Journal!$K:$K,$A69,GL_Journal!$D:$D,"&gt;="&amp;SB_From,GL_Journal!$D:$D,"&lt;="&amp;SB_To))</f>
        <v/>
      </c>
      <c r="F69" s="47">
        <f>IF($A69="","",$C69+$D69-$E69)</f>
        <v/>
      </c>
      <c r="G69" s="43">
        <f>IF($A69="","",MIN(MAX($F69,0),SUMIFS(Supplier_Invoices!$AC:$AC,Supplier_Invoices!$C:$C,$A69,Supplier_Invoices!$AG:$AG,1,Supplier_Invoices!$Y:$Y,"&gt;="&amp;(SB_To-0),Supplier_Invoices!$E:$E,"&lt;="&amp;SB_To)))</f>
        <v/>
      </c>
      <c r="H69" s="43">
        <f>IF($A69="","",MIN(MAX($F69,0),SUMIFS(Supplier_Invoices!$AC:$AC,Supplier_Invoices!$C:$C,$A69,Supplier_Invoices!$AG:$AG,1,Supplier_Invoices!$Y:$Y,"&gt;="&amp;(SB_To-30),Supplier_Invoices!$E:$E,"&lt;="&amp;SB_To))-MIN(MAX($F69,0),SUMIFS(Supplier_Invoices!$AC:$AC,Supplier_Invoices!$C:$C,$A69,Supplier_Invoices!$AG:$AG,1,Supplier_Invoices!$Y:$Y,"&gt;="&amp;(SB_To-0),Supplier_Invoices!$E:$E,"&lt;="&amp;SB_To)))</f>
        <v/>
      </c>
      <c r="I69" s="43">
        <f>IF($A69="","",MIN(MAX($F69,0),SUMIFS(Supplier_Invoices!$AC:$AC,Supplier_Invoices!$C:$C,$A69,Supplier_Invoices!$AG:$AG,1,Supplier_Invoices!$Y:$Y,"&gt;="&amp;(SB_To-60),Supplier_Invoices!$E:$E,"&lt;="&amp;SB_To))-MIN(MAX($F69,0),SUMIFS(Supplier_Invoices!$AC:$AC,Supplier_Invoices!$C:$C,$A69,Supplier_Invoices!$AG:$AG,1,Supplier_Invoices!$Y:$Y,"&gt;="&amp;(SB_To-30),Supplier_Invoices!$E:$E,"&lt;="&amp;SB_To)))</f>
        <v/>
      </c>
      <c r="J69" s="43">
        <f>IF($A69="","",MIN(MAX($F69,0),SUMIFS(Supplier_Invoices!$AC:$AC,Supplier_Invoices!$C:$C,$A69,Supplier_Invoices!$AG:$AG,1,Supplier_Invoices!$Y:$Y,"&gt;="&amp;(SB_To-90),Supplier_Invoices!$E:$E,"&lt;="&amp;SB_To))-MIN(MAX($F69,0),SUMIFS(Supplier_Invoices!$AC:$AC,Supplier_Invoices!$C:$C,$A69,Supplier_Invoices!$AG:$AG,1,Supplier_Invoices!$Y:$Y,"&gt;="&amp;(SB_To-60),Supplier_Invoices!$E:$E,"&lt;="&amp;SB_To)))</f>
        <v/>
      </c>
      <c r="K69" s="43">
        <f>IF($A69="","",MAX($F69,0)-MIN(MAX($F69,0),SUMIFS(Supplier_Invoices!$AC:$AC,Supplier_Invoices!$C:$C,$A69,Supplier_Invoices!$AG:$AG,1,Supplier_Invoices!$Y:$Y,"&gt;="&amp;(SB_To-90),Supplier_Invoices!$E:$E,"&lt;="&amp;SB_To)))</f>
        <v/>
      </c>
      <c r="L69" s="33">
        <f>IF($A69="","",IF(COUNTIFS(Supplier_Payments!$C:$C,$A69,Supplier_Payments!$V:$V,1)=0,"",_xlfn.MAXIFS(Supplier_Payments!$B:$B,Supplier_Payments!$C:$C,$A69,Supplier_Payments!$V:$V,1)))</f>
        <v/>
      </c>
      <c r="M69" s="32">
        <f>IF($A69="","",IF($F69&lt;-S_Tol,"رصيد مدين للمورد - مراجعة",IF($H69+$I69+$J69+$K69&gt;S_Tol,"يوجد مبالغ متأخرة","")))</f>
        <v/>
      </c>
    </row>
    <row r="70">
      <c r="A70" s="44">
        <f>IF(INDEX(Suppliers!$A:$A,ROW()-6)="","",INDEX(Suppliers!$A:$A,ROW()-6))</f>
        <v/>
      </c>
      <c r="B70" s="32">
        <f>IF($A70="","",INDEX(Suppliers!$B:$B,ROW()-6))</f>
        <v/>
      </c>
      <c r="C70" s="47">
        <f>IF($A70="","",SUMIFS(GL_Journal!$T:$T,GL_Journal!$G:$G,ACC_SUPPLIERS,GL_Journal!$K:$K,$A70,GL_Journal!$D:$D,"&lt;"&amp;SB_From)-SUMIFS(GL_Journal!$S:$S,GL_Journal!$G:$G,ACC_SUPPLIERS,GL_Journal!$K:$K,$A70,GL_Journal!$D:$D,"&lt;"&amp;SB_From))</f>
        <v/>
      </c>
      <c r="D70" s="43">
        <f>IF($A70="","",SUMIFS(GL_Journal!$T:$T,GL_Journal!$G:$G,ACC_SUPPLIERS,GL_Journal!$K:$K,$A70,GL_Journal!$D:$D,"&gt;="&amp;SB_From,GL_Journal!$D:$D,"&lt;="&amp;SB_To))</f>
        <v/>
      </c>
      <c r="E70" s="43">
        <f>IF($A70="","",SUMIFS(GL_Journal!$S:$S,GL_Journal!$G:$G,ACC_SUPPLIERS,GL_Journal!$K:$K,$A70,GL_Journal!$D:$D,"&gt;="&amp;SB_From,GL_Journal!$D:$D,"&lt;="&amp;SB_To))</f>
        <v/>
      </c>
      <c r="F70" s="47">
        <f>IF($A70="","",$C70+$D70-$E70)</f>
        <v/>
      </c>
      <c r="G70" s="43">
        <f>IF($A70="","",MIN(MAX($F70,0),SUMIFS(Supplier_Invoices!$AC:$AC,Supplier_Invoices!$C:$C,$A70,Supplier_Invoices!$AG:$AG,1,Supplier_Invoices!$Y:$Y,"&gt;="&amp;(SB_To-0),Supplier_Invoices!$E:$E,"&lt;="&amp;SB_To)))</f>
        <v/>
      </c>
      <c r="H70" s="43">
        <f>IF($A70="","",MIN(MAX($F70,0),SUMIFS(Supplier_Invoices!$AC:$AC,Supplier_Invoices!$C:$C,$A70,Supplier_Invoices!$AG:$AG,1,Supplier_Invoices!$Y:$Y,"&gt;="&amp;(SB_To-30),Supplier_Invoices!$E:$E,"&lt;="&amp;SB_To))-MIN(MAX($F70,0),SUMIFS(Supplier_Invoices!$AC:$AC,Supplier_Invoices!$C:$C,$A70,Supplier_Invoices!$AG:$AG,1,Supplier_Invoices!$Y:$Y,"&gt;="&amp;(SB_To-0),Supplier_Invoices!$E:$E,"&lt;="&amp;SB_To)))</f>
        <v/>
      </c>
      <c r="I70" s="43">
        <f>IF($A70="","",MIN(MAX($F70,0),SUMIFS(Supplier_Invoices!$AC:$AC,Supplier_Invoices!$C:$C,$A70,Supplier_Invoices!$AG:$AG,1,Supplier_Invoices!$Y:$Y,"&gt;="&amp;(SB_To-60),Supplier_Invoices!$E:$E,"&lt;="&amp;SB_To))-MIN(MAX($F70,0),SUMIFS(Supplier_Invoices!$AC:$AC,Supplier_Invoices!$C:$C,$A70,Supplier_Invoices!$AG:$AG,1,Supplier_Invoices!$Y:$Y,"&gt;="&amp;(SB_To-30),Supplier_Invoices!$E:$E,"&lt;="&amp;SB_To)))</f>
        <v/>
      </c>
      <c r="J70" s="43">
        <f>IF($A70="","",MIN(MAX($F70,0),SUMIFS(Supplier_Invoices!$AC:$AC,Supplier_Invoices!$C:$C,$A70,Supplier_Invoices!$AG:$AG,1,Supplier_Invoices!$Y:$Y,"&gt;="&amp;(SB_To-90),Supplier_Invoices!$E:$E,"&lt;="&amp;SB_To))-MIN(MAX($F70,0),SUMIFS(Supplier_Invoices!$AC:$AC,Supplier_Invoices!$C:$C,$A70,Supplier_Invoices!$AG:$AG,1,Supplier_Invoices!$Y:$Y,"&gt;="&amp;(SB_To-60),Supplier_Invoices!$E:$E,"&lt;="&amp;SB_To)))</f>
        <v/>
      </c>
      <c r="K70" s="43">
        <f>IF($A70="","",MAX($F70,0)-MIN(MAX($F70,0),SUMIFS(Supplier_Invoices!$AC:$AC,Supplier_Invoices!$C:$C,$A70,Supplier_Invoices!$AG:$AG,1,Supplier_Invoices!$Y:$Y,"&gt;="&amp;(SB_To-90),Supplier_Invoices!$E:$E,"&lt;="&amp;SB_To)))</f>
        <v/>
      </c>
      <c r="L70" s="33">
        <f>IF($A70="","",IF(COUNTIFS(Supplier_Payments!$C:$C,$A70,Supplier_Payments!$V:$V,1)=0,"",_xlfn.MAXIFS(Supplier_Payments!$B:$B,Supplier_Payments!$C:$C,$A70,Supplier_Payments!$V:$V,1)))</f>
        <v/>
      </c>
      <c r="M70" s="32">
        <f>IF($A70="","",IF($F70&lt;-S_Tol,"رصيد مدين للمورد - مراجعة",IF($H70+$I70+$J70+$K70&gt;S_Tol,"يوجد مبالغ متأخرة","")))</f>
        <v/>
      </c>
    </row>
    <row r="71">
      <c r="A71" s="44">
        <f>IF(INDEX(Suppliers!$A:$A,ROW()-6)="","",INDEX(Suppliers!$A:$A,ROW()-6))</f>
        <v/>
      </c>
      <c r="B71" s="32">
        <f>IF($A71="","",INDEX(Suppliers!$B:$B,ROW()-6))</f>
        <v/>
      </c>
      <c r="C71" s="47">
        <f>IF($A71="","",SUMIFS(GL_Journal!$T:$T,GL_Journal!$G:$G,ACC_SUPPLIERS,GL_Journal!$K:$K,$A71,GL_Journal!$D:$D,"&lt;"&amp;SB_From)-SUMIFS(GL_Journal!$S:$S,GL_Journal!$G:$G,ACC_SUPPLIERS,GL_Journal!$K:$K,$A71,GL_Journal!$D:$D,"&lt;"&amp;SB_From))</f>
        <v/>
      </c>
      <c r="D71" s="43">
        <f>IF($A71="","",SUMIFS(GL_Journal!$T:$T,GL_Journal!$G:$G,ACC_SUPPLIERS,GL_Journal!$K:$K,$A71,GL_Journal!$D:$D,"&gt;="&amp;SB_From,GL_Journal!$D:$D,"&lt;="&amp;SB_To))</f>
        <v/>
      </c>
      <c r="E71" s="43">
        <f>IF($A71="","",SUMIFS(GL_Journal!$S:$S,GL_Journal!$G:$G,ACC_SUPPLIERS,GL_Journal!$K:$K,$A71,GL_Journal!$D:$D,"&gt;="&amp;SB_From,GL_Journal!$D:$D,"&lt;="&amp;SB_To))</f>
        <v/>
      </c>
      <c r="F71" s="47">
        <f>IF($A71="","",$C71+$D71-$E71)</f>
        <v/>
      </c>
      <c r="G71" s="43">
        <f>IF($A71="","",MIN(MAX($F71,0),SUMIFS(Supplier_Invoices!$AC:$AC,Supplier_Invoices!$C:$C,$A71,Supplier_Invoices!$AG:$AG,1,Supplier_Invoices!$Y:$Y,"&gt;="&amp;(SB_To-0),Supplier_Invoices!$E:$E,"&lt;="&amp;SB_To)))</f>
        <v/>
      </c>
      <c r="H71" s="43">
        <f>IF($A71="","",MIN(MAX($F71,0),SUMIFS(Supplier_Invoices!$AC:$AC,Supplier_Invoices!$C:$C,$A71,Supplier_Invoices!$AG:$AG,1,Supplier_Invoices!$Y:$Y,"&gt;="&amp;(SB_To-30),Supplier_Invoices!$E:$E,"&lt;="&amp;SB_To))-MIN(MAX($F71,0),SUMIFS(Supplier_Invoices!$AC:$AC,Supplier_Invoices!$C:$C,$A71,Supplier_Invoices!$AG:$AG,1,Supplier_Invoices!$Y:$Y,"&gt;="&amp;(SB_To-0),Supplier_Invoices!$E:$E,"&lt;="&amp;SB_To)))</f>
        <v/>
      </c>
      <c r="I71" s="43">
        <f>IF($A71="","",MIN(MAX($F71,0),SUMIFS(Supplier_Invoices!$AC:$AC,Supplier_Invoices!$C:$C,$A71,Supplier_Invoices!$AG:$AG,1,Supplier_Invoices!$Y:$Y,"&gt;="&amp;(SB_To-60),Supplier_Invoices!$E:$E,"&lt;="&amp;SB_To))-MIN(MAX($F71,0),SUMIFS(Supplier_Invoices!$AC:$AC,Supplier_Invoices!$C:$C,$A71,Supplier_Invoices!$AG:$AG,1,Supplier_Invoices!$Y:$Y,"&gt;="&amp;(SB_To-30),Supplier_Invoices!$E:$E,"&lt;="&amp;SB_To)))</f>
        <v/>
      </c>
      <c r="J71" s="43">
        <f>IF($A71="","",MIN(MAX($F71,0),SUMIFS(Supplier_Invoices!$AC:$AC,Supplier_Invoices!$C:$C,$A71,Supplier_Invoices!$AG:$AG,1,Supplier_Invoices!$Y:$Y,"&gt;="&amp;(SB_To-90),Supplier_Invoices!$E:$E,"&lt;="&amp;SB_To))-MIN(MAX($F71,0),SUMIFS(Supplier_Invoices!$AC:$AC,Supplier_Invoices!$C:$C,$A71,Supplier_Invoices!$AG:$AG,1,Supplier_Invoices!$Y:$Y,"&gt;="&amp;(SB_To-60),Supplier_Invoices!$E:$E,"&lt;="&amp;SB_To)))</f>
        <v/>
      </c>
      <c r="K71" s="43">
        <f>IF($A71="","",MAX($F71,0)-MIN(MAX($F71,0),SUMIFS(Supplier_Invoices!$AC:$AC,Supplier_Invoices!$C:$C,$A71,Supplier_Invoices!$AG:$AG,1,Supplier_Invoices!$Y:$Y,"&gt;="&amp;(SB_To-90),Supplier_Invoices!$E:$E,"&lt;="&amp;SB_To)))</f>
        <v/>
      </c>
      <c r="L71" s="33">
        <f>IF($A71="","",IF(COUNTIFS(Supplier_Payments!$C:$C,$A71,Supplier_Payments!$V:$V,1)=0,"",_xlfn.MAXIFS(Supplier_Payments!$B:$B,Supplier_Payments!$C:$C,$A71,Supplier_Payments!$V:$V,1)))</f>
        <v/>
      </c>
      <c r="M71" s="32">
        <f>IF($A71="","",IF($F71&lt;-S_Tol,"رصيد مدين للمورد - مراجعة",IF($H71+$I71+$J71+$K71&gt;S_Tol,"يوجد مبالغ متأخرة","")))</f>
        <v/>
      </c>
    </row>
    <row r="72">
      <c r="A72" s="44">
        <f>IF(INDEX(Suppliers!$A:$A,ROW()-6)="","",INDEX(Suppliers!$A:$A,ROW()-6))</f>
        <v/>
      </c>
      <c r="B72" s="32">
        <f>IF($A72="","",INDEX(Suppliers!$B:$B,ROW()-6))</f>
        <v/>
      </c>
      <c r="C72" s="47">
        <f>IF($A72="","",SUMIFS(GL_Journal!$T:$T,GL_Journal!$G:$G,ACC_SUPPLIERS,GL_Journal!$K:$K,$A72,GL_Journal!$D:$D,"&lt;"&amp;SB_From)-SUMIFS(GL_Journal!$S:$S,GL_Journal!$G:$G,ACC_SUPPLIERS,GL_Journal!$K:$K,$A72,GL_Journal!$D:$D,"&lt;"&amp;SB_From))</f>
        <v/>
      </c>
      <c r="D72" s="43">
        <f>IF($A72="","",SUMIFS(GL_Journal!$T:$T,GL_Journal!$G:$G,ACC_SUPPLIERS,GL_Journal!$K:$K,$A72,GL_Journal!$D:$D,"&gt;="&amp;SB_From,GL_Journal!$D:$D,"&lt;="&amp;SB_To))</f>
        <v/>
      </c>
      <c r="E72" s="43">
        <f>IF($A72="","",SUMIFS(GL_Journal!$S:$S,GL_Journal!$G:$G,ACC_SUPPLIERS,GL_Journal!$K:$K,$A72,GL_Journal!$D:$D,"&gt;="&amp;SB_From,GL_Journal!$D:$D,"&lt;="&amp;SB_To))</f>
        <v/>
      </c>
      <c r="F72" s="47">
        <f>IF($A72="","",$C72+$D72-$E72)</f>
        <v/>
      </c>
      <c r="G72" s="43">
        <f>IF($A72="","",MIN(MAX($F72,0),SUMIFS(Supplier_Invoices!$AC:$AC,Supplier_Invoices!$C:$C,$A72,Supplier_Invoices!$AG:$AG,1,Supplier_Invoices!$Y:$Y,"&gt;="&amp;(SB_To-0),Supplier_Invoices!$E:$E,"&lt;="&amp;SB_To)))</f>
        <v/>
      </c>
      <c r="H72" s="43">
        <f>IF($A72="","",MIN(MAX($F72,0),SUMIFS(Supplier_Invoices!$AC:$AC,Supplier_Invoices!$C:$C,$A72,Supplier_Invoices!$AG:$AG,1,Supplier_Invoices!$Y:$Y,"&gt;="&amp;(SB_To-30),Supplier_Invoices!$E:$E,"&lt;="&amp;SB_To))-MIN(MAX($F72,0),SUMIFS(Supplier_Invoices!$AC:$AC,Supplier_Invoices!$C:$C,$A72,Supplier_Invoices!$AG:$AG,1,Supplier_Invoices!$Y:$Y,"&gt;="&amp;(SB_To-0),Supplier_Invoices!$E:$E,"&lt;="&amp;SB_To)))</f>
        <v/>
      </c>
      <c r="I72" s="43">
        <f>IF($A72="","",MIN(MAX($F72,0),SUMIFS(Supplier_Invoices!$AC:$AC,Supplier_Invoices!$C:$C,$A72,Supplier_Invoices!$AG:$AG,1,Supplier_Invoices!$Y:$Y,"&gt;="&amp;(SB_To-60),Supplier_Invoices!$E:$E,"&lt;="&amp;SB_To))-MIN(MAX($F72,0),SUMIFS(Supplier_Invoices!$AC:$AC,Supplier_Invoices!$C:$C,$A72,Supplier_Invoices!$AG:$AG,1,Supplier_Invoices!$Y:$Y,"&gt;="&amp;(SB_To-30),Supplier_Invoices!$E:$E,"&lt;="&amp;SB_To)))</f>
        <v/>
      </c>
      <c r="J72" s="43">
        <f>IF($A72="","",MIN(MAX($F72,0),SUMIFS(Supplier_Invoices!$AC:$AC,Supplier_Invoices!$C:$C,$A72,Supplier_Invoices!$AG:$AG,1,Supplier_Invoices!$Y:$Y,"&gt;="&amp;(SB_To-90),Supplier_Invoices!$E:$E,"&lt;="&amp;SB_To))-MIN(MAX($F72,0),SUMIFS(Supplier_Invoices!$AC:$AC,Supplier_Invoices!$C:$C,$A72,Supplier_Invoices!$AG:$AG,1,Supplier_Invoices!$Y:$Y,"&gt;="&amp;(SB_To-60),Supplier_Invoices!$E:$E,"&lt;="&amp;SB_To)))</f>
        <v/>
      </c>
      <c r="K72" s="43">
        <f>IF($A72="","",MAX($F72,0)-MIN(MAX($F72,0),SUMIFS(Supplier_Invoices!$AC:$AC,Supplier_Invoices!$C:$C,$A72,Supplier_Invoices!$AG:$AG,1,Supplier_Invoices!$Y:$Y,"&gt;="&amp;(SB_To-90),Supplier_Invoices!$E:$E,"&lt;="&amp;SB_To)))</f>
        <v/>
      </c>
      <c r="L72" s="33">
        <f>IF($A72="","",IF(COUNTIFS(Supplier_Payments!$C:$C,$A72,Supplier_Payments!$V:$V,1)=0,"",_xlfn.MAXIFS(Supplier_Payments!$B:$B,Supplier_Payments!$C:$C,$A72,Supplier_Payments!$V:$V,1)))</f>
        <v/>
      </c>
      <c r="M72" s="32">
        <f>IF($A72="","",IF($F72&lt;-S_Tol,"رصيد مدين للمورد - مراجعة",IF($H72+$I72+$J72+$K72&gt;S_Tol,"يوجد مبالغ متأخرة","")))</f>
        <v/>
      </c>
    </row>
    <row r="73">
      <c r="A73" s="44">
        <f>IF(INDEX(Suppliers!$A:$A,ROW()-6)="","",INDEX(Suppliers!$A:$A,ROW()-6))</f>
        <v/>
      </c>
      <c r="B73" s="32">
        <f>IF($A73="","",INDEX(Suppliers!$B:$B,ROW()-6))</f>
        <v/>
      </c>
      <c r="C73" s="47">
        <f>IF($A73="","",SUMIFS(GL_Journal!$T:$T,GL_Journal!$G:$G,ACC_SUPPLIERS,GL_Journal!$K:$K,$A73,GL_Journal!$D:$D,"&lt;"&amp;SB_From)-SUMIFS(GL_Journal!$S:$S,GL_Journal!$G:$G,ACC_SUPPLIERS,GL_Journal!$K:$K,$A73,GL_Journal!$D:$D,"&lt;"&amp;SB_From))</f>
        <v/>
      </c>
      <c r="D73" s="43">
        <f>IF($A73="","",SUMIFS(GL_Journal!$T:$T,GL_Journal!$G:$G,ACC_SUPPLIERS,GL_Journal!$K:$K,$A73,GL_Journal!$D:$D,"&gt;="&amp;SB_From,GL_Journal!$D:$D,"&lt;="&amp;SB_To))</f>
        <v/>
      </c>
      <c r="E73" s="43">
        <f>IF($A73="","",SUMIFS(GL_Journal!$S:$S,GL_Journal!$G:$G,ACC_SUPPLIERS,GL_Journal!$K:$K,$A73,GL_Journal!$D:$D,"&gt;="&amp;SB_From,GL_Journal!$D:$D,"&lt;="&amp;SB_To))</f>
        <v/>
      </c>
      <c r="F73" s="47">
        <f>IF($A73="","",$C73+$D73-$E73)</f>
        <v/>
      </c>
      <c r="G73" s="43">
        <f>IF($A73="","",MIN(MAX($F73,0),SUMIFS(Supplier_Invoices!$AC:$AC,Supplier_Invoices!$C:$C,$A73,Supplier_Invoices!$AG:$AG,1,Supplier_Invoices!$Y:$Y,"&gt;="&amp;(SB_To-0),Supplier_Invoices!$E:$E,"&lt;="&amp;SB_To)))</f>
        <v/>
      </c>
      <c r="H73" s="43">
        <f>IF($A73="","",MIN(MAX($F73,0),SUMIFS(Supplier_Invoices!$AC:$AC,Supplier_Invoices!$C:$C,$A73,Supplier_Invoices!$AG:$AG,1,Supplier_Invoices!$Y:$Y,"&gt;="&amp;(SB_To-30),Supplier_Invoices!$E:$E,"&lt;="&amp;SB_To))-MIN(MAX($F73,0),SUMIFS(Supplier_Invoices!$AC:$AC,Supplier_Invoices!$C:$C,$A73,Supplier_Invoices!$AG:$AG,1,Supplier_Invoices!$Y:$Y,"&gt;="&amp;(SB_To-0),Supplier_Invoices!$E:$E,"&lt;="&amp;SB_To)))</f>
        <v/>
      </c>
      <c r="I73" s="43">
        <f>IF($A73="","",MIN(MAX($F73,0),SUMIFS(Supplier_Invoices!$AC:$AC,Supplier_Invoices!$C:$C,$A73,Supplier_Invoices!$AG:$AG,1,Supplier_Invoices!$Y:$Y,"&gt;="&amp;(SB_To-60),Supplier_Invoices!$E:$E,"&lt;="&amp;SB_To))-MIN(MAX($F73,0),SUMIFS(Supplier_Invoices!$AC:$AC,Supplier_Invoices!$C:$C,$A73,Supplier_Invoices!$AG:$AG,1,Supplier_Invoices!$Y:$Y,"&gt;="&amp;(SB_To-30),Supplier_Invoices!$E:$E,"&lt;="&amp;SB_To)))</f>
        <v/>
      </c>
      <c r="J73" s="43">
        <f>IF($A73="","",MIN(MAX($F73,0),SUMIFS(Supplier_Invoices!$AC:$AC,Supplier_Invoices!$C:$C,$A73,Supplier_Invoices!$AG:$AG,1,Supplier_Invoices!$Y:$Y,"&gt;="&amp;(SB_To-90),Supplier_Invoices!$E:$E,"&lt;="&amp;SB_To))-MIN(MAX($F73,0),SUMIFS(Supplier_Invoices!$AC:$AC,Supplier_Invoices!$C:$C,$A73,Supplier_Invoices!$AG:$AG,1,Supplier_Invoices!$Y:$Y,"&gt;="&amp;(SB_To-60),Supplier_Invoices!$E:$E,"&lt;="&amp;SB_To)))</f>
        <v/>
      </c>
      <c r="K73" s="43">
        <f>IF($A73="","",MAX($F73,0)-MIN(MAX($F73,0),SUMIFS(Supplier_Invoices!$AC:$AC,Supplier_Invoices!$C:$C,$A73,Supplier_Invoices!$AG:$AG,1,Supplier_Invoices!$Y:$Y,"&gt;="&amp;(SB_To-90),Supplier_Invoices!$E:$E,"&lt;="&amp;SB_To)))</f>
        <v/>
      </c>
      <c r="L73" s="33">
        <f>IF($A73="","",IF(COUNTIFS(Supplier_Payments!$C:$C,$A73,Supplier_Payments!$V:$V,1)=0,"",_xlfn.MAXIFS(Supplier_Payments!$B:$B,Supplier_Payments!$C:$C,$A73,Supplier_Payments!$V:$V,1)))</f>
        <v/>
      </c>
      <c r="M73" s="32">
        <f>IF($A73="","",IF($F73&lt;-S_Tol,"رصيد مدين للمورد - مراجعة",IF($H73+$I73+$J73+$K73&gt;S_Tol,"يوجد مبالغ متأخرة","")))</f>
        <v/>
      </c>
    </row>
    <row r="74">
      <c r="A74" s="44">
        <f>IF(INDEX(Suppliers!$A:$A,ROW()-6)="","",INDEX(Suppliers!$A:$A,ROW()-6))</f>
        <v/>
      </c>
      <c r="B74" s="32">
        <f>IF($A74="","",INDEX(Suppliers!$B:$B,ROW()-6))</f>
        <v/>
      </c>
      <c r="C74" s="47">
        <f>IF($A74="","",SUMIFS(GL_Journal!$T:$T,GL_Journal!$G:$G,ACC_SUPPLIERS,GL_Journal!$K:$K,$A74,GL_Journal!$D:$D,"&lt;"&amp;SB_From)-SUMIFS(GL_Journal!$S:$S,GL_Journal!$G:$G,ACC_SUPPLIERS,GL_Journal!$K:$K,$A74,GL_Journal!$D:$D,"&lt;"&amp;SB_From))</f>
        <v/>
      </c>
      <c r="D74" s="43">
        <f>IF($A74="","",SUMIFS(GL_Journal!$T:$T,GL_Journal!$G:$G,ACC_SUPPLIERS,GL_Journal!$K:$K,$A74,GL_Journal!$D:$D,"&gt;="&amp;SB_From,GL_Journal!$D:$D,"&lt;="&amp;SB_To))</f>
        <v/>
      </c>
      <c r="E74" s="43">
        <f>IF($A74="","",SUMIFS(GL_Journal!$S:$S,GL_Journal!$G:$G,ACC_SUPPLIERS,GL_Journal!$K:$K,$A74,GL_Journal!$D:$D,"&gt;="&amp;SB_From,GL_Journal!$D:$D,"&lt;="&amp;SB_To))</f>
        <v/>
      </c>
      <c r="F74" s="47">
        <f>IF($A74="","",$C74+$D74-$E74)</f>
        <v/>
      </c>
      <c r="G74" s="43">
        <f>IF($A74="","",MIN(MAX($F74,0),SUMIFS(Supplier_Invoices!$AC:$AC,Supplier_Invoices!$C:$C,$A74,Supplier_Invoices!$AG:$AG,1,Supplier_Invoices!$Y:$Y,"&gt;="&amp;(SB_To-0),Supplier_Invoices!$E:$E,"&lt;="&amp;SB_To)))</f>
        <v/>
      </c>
      <c r="H74" s="43">
        <f>IF($A74="","",MIN(MAX($F74,0),SUMIFS(Supplier_Invoices!$AC:$AC,Supplier_Invoices!$C:$C,$A74,Supplier_Invoices!$AG:$AG,1,Supplier_Invoices!$Y:$Y,"&gt;="&amp;(SB_To-30),Supplier_Invoices!$E:$E,"&lt;="&amp;SB_To))-MIN(MAX($F74,0),SUMIFS(Supplier_Invoices!$AC:$AC,Supplier_Invoices!$C:$C,$A74,Supplier_Invoices!$AG:$AG,1,Supplier_Invoices!$Y:$Y,"&gt;="&amp;(SB_To-0),Supplier_Invoices!$E:$E,"&lt;="&amp;SB_To)))</f>
        <v/>
      </c>
      <c r="I74" s="43">
        <f>IF($A74="","",MIN(MAX($F74,0),SUMIFS(Supplier_Invoices!$AC:$AC,Supplier_Invoices!$C:$C,$A74,Supplier_Invoices!$AG:$AG,1,Supplier_Invoices!$Y:$Y,"&gt;="&amp;(SB_To-60),Supplier_Invoices!$E:$E,"&lt;="&amp;SB_To))-MIN(MAX($F74,0),SUMIFS(Supplier_Invoices!$AC:$AC,Supplier_Invoices!$C:$C,$A74,Supplier_Invoices!$AG:$AG,1,Supplier_Invoices!$Y:$Y,"&gt;="&amp;(SB_To-30),Supplier_Invoices!$E:$E,"&lt;="&amp;SB_To)))</f>
        <v/>
      </c>
      <c r="J74" s="43">
        <f>IF($A74="","",MIN(MAX($F74,0),SUMIFS(Supplier_Invoices!$AC:$AC,Supplier_Invoices!$C:$C,$A74,Supplier_Invoices!$AG:$AG,1,Supplier_Invoices!$Y:$Y,"&gt;="&amp;(SB_To-90),Supplier_Invoices!$E:$E,"&lt;="&amp;SB_To))-MIN(MAX($F74,0),SUMIFS(Supplier_Invoices!$AC:$AC,Supplier_Invoices!$C:$C,$A74,Supplier_Invoices!$AG:$AG,1,Supplier_Invoices!$Y:$Y,"&gt;="&amp;(SB_To-60),Supplier_Invoices!$E:$E,"&lt;="&amp;SB_To)))</f>
        <v/>
      </c>
      <c r="K74" s="43">
        <f>IF($A74="","",MAX($F74,0)-MIN(MAX($F74,0),SUMIFS(Supplier_Invoices!$AC:$AC,Supplier_Invoices!$C:$C,$A74,Supplier_Invoices!$AG:$AG,1,Supplier_Invoices!$Y:$Y,"&gt;="&amp;(SB_To-90),Supplier_Invoices!$E:$E,"&lt;="&amp;SB_To)))</f>
        <v/>
      </c>
      <c r="L74" s="33">
        <f>IF($A74="","",IF(COUNTIFS(Supplier_Payments!$C:$C,$A74,Supplier_Payments!$V:$V,1)=0,"",_xlfn.MAXIFS(Supplier_Payments!$B:$B,Supplier_Payments!$C:$C,$A74,Supplier_Payments!$V:$V,1)))</f>
        <v/>
      </c>
      <c r="M74" s="32">
        <f>IF($A74="","",IF($F74&lt;-S_Tol,"رصيد مدين للمورد - مراجعة",IF($H74+$I74+$J74+$K74&gt;S_Tol,"يوجد مبالغ متأخرة","")))</f>
        <v/>
      </c>
    </row>
    <row r="75">
      <c r="A75" s="44">
        <f>IF(INDEX(Suppliers!$A:$A,ROW()-6)="","",INDEX(Suppliers!$A:$A,ROW()-6))</f>
        <v/>
      </c>
      <c r="B75" s="32">
        <f>IF($A75="","",INDEX(Suppliers!$B:$B,ROW()-6))</f>
        <v/>
      </c>
      <c r="C75" s="47">
        <f>IF($A75="","",SUMIFS(GL_Journal!$T:$T,GL_Journal!$G:$G,ACC_SUPPLIERS,GL_Journal!$K:$K,$A75,GL_Journal!$D:$D,"&lt;"&amp;SB_From)-SUMIFS(GL_Journal!$S:$S,GL_Journal!$G:$G,ACC_SUPPLIERS,GL_Journal!$K:$K,$A75,GL_Journal!$D:$D,"&lt;"&amp;SB_From))</f>
        <v/>
      </c>
      <c r="D75" s="43">
        <f>IF($A75="","",SUMIFS(GL_Journal!$T:$T,GL_Journal!$G:$G,ACC_SUPPLIERS,GL_Journal!$K:$K,$A75,GL_Journal!$D:$D,"&gt;="&amp;SB_From,GL_Journal!$D:$D,"&lt;="&amp;SB_To))</f>
        <v/>
      </c>
      <c r="E75" s="43">
        <f>IF($A75="","",SUMIFS(GL_Journal!$S:$S,GL_Journal!$G:$G,ACC_SUPPLIERS,GL_Journal!$K:$K,$A75,GL_Journal!$D:$D,"&gt;="&amp;SB_From,GL_Journal!$D:$D,"&lt;="&amp;SB_To))</f>
        <v/>
      </c>
      <c r="F75" s="47">
        <f>IF($A75="","",$C75+$D75-$E75)</f>
        <v/>
      </c>
      <c r="G75" s="43">
        <f>IF($A75="","",MIN(MAX($F75,0),SUMIFS(Supplier_Invoices!$AC:$AC,Supplier_Invoices!$C:$C,$A75,Supplier_Invoices!$AG:$AG,1,Supplier_Invoices!$Y:$Y,"&gt;="&amp;(SB_To-0),Supplier_Invoices!$E:$E,"&lt;="&amp;SB_To)))</f>
        <v/>
      </c>
      <c r="H75" s="43">
        <f>IF($A75="","",MIN(MAX($F75,0),SUMIFS(Supplier_Invoices!$AC:$AC,Supplier_Invoices!$C:$C,$A75,Supplier_Invoices!$AG:$AG,1,Supplier_Invoices!$Y:$Y,"&gt;="&amp;(SB_To-30),Supplier_Invoices!$E:$E,"&lt;="&amp;SB_To))-MIN(MAX($F75,0),SUMIFS(Supplier_Invoices!$AC:$AC,Supplier_Invoices!$C:$C,$A75,Supplier_Invoices!$AG:$AG,1,Supplier_Invoices!$Y:$Y,"&gt;="&amp;(SB_To-0),Supplier_Invoices!$E:$E,"&lt;="&amp;SB_To)))</f>
        <v/>
      </c>
      <c r="I75" s="43">
        <f>IF($A75="","",MIN(MAX($F75,0),SUMIFS(Supplier_Invoices!$AC:$AC,Supplier_Invoices!$C:$C,$A75,Supplier_Invoices!$AG:$AG,1,Supplier_Invoices!$Y:$Y,"&gt;="&amp;(SB_To-60),Supplier_Invoices!$E:$E,"&lt;="&amp;SB_To))-MIN(MAX($F75,0),SUMIFS(Supplier_Invoices!$AC:$AC,Supplier_Invoices!$C:$C,$A75,Supplier_Invoices!$AG:$AG,1,Supplier_Invoices!$Y:$Y,"&gt;="&amp;(SB_To-30),Supplier_Invoices!$E:$E,"&lt;="&amp;SB_To)))</f>
        <v/>
      </c>
      <c r="J75" s="43">
        <f>IF($A75="","",MIN(MAX($F75,0),SUMIFS(Supplier_Invoices!$AC:$AC,Supplier_Invoices!$C:$C,$A75,Supplier_Invoices!$AG:$AG,1,Supplier_Invoices!$Y:$Y,"&gt;="&amp;(SB_To-90),Supplier_Invoices!$E:$E,"&lt;="&amp;SB_To))-MIN(MAX($F75,0),SUMIFS(Supplier_Invoices!$AC:$AC,Supplier_Invoices!$C:$C,$A75,Supplier_Invoices!$AG:$AG,1,Supplier_Invoices!$Y:$Y,"&gt;="&amp;(SB_To-60),Supplier_Invoices!$E:$E,"&lt;="&amp;SB_To)))</f>
        <v/>
      </c>
      <c r="K75" s="43">
        <f>IF($A75="","",MAX($F75,0)-MIN(MAX($F75,0),SUMIFS(Supplier_Invoices!$AC:$AC,Supplier_Invoices!$C:$C,$A75,Supplier_Invoices!$AG:$AG,1,Supplier_Invoices!$Y:$Y,"&gt;="&amp;(SB_To-90),Supplier_Invoices!$E:$E,"&lt;="&amp;SB_To)))</f>
        <v/>
      </c>
      <c r="L75" s="33">
        <f>IF($A75="","",IF(COUNTIFS(Supplier_Payments!$C:$C,$A75,Supplier_Payments!$V:$V,1)=0,"",_xlfn.MAXIFS(Supplier_Payments!$B:$B,Supplier_Payments!$C:$C,$A75,Supplier_Payments!$V:$V,1)))</f>
        <v/>
      </c>
      <c r="M75" s="32">
        <f>IF($A75="","",IF($F75&lt;-S_Tol,"رصيد مدين للمورد - مراجعة",IF($H75+$I75+$J75+$K75&gt;S_Tol,"يوجد مبالغ متأخرة","")))</f>
        <v/>
      </c>
    </row>
    <row r="76">
      <c r="A76" s="44">
        <f>IF(INDEX(Suppliers!$A:$A,ROW()-6)="","",INDEX(Suppliers!$A:$A,ROW()-6))</f>
        <v/>
      </c>
      <c r="B76" s="32">
        <f>IF($A76="","",INDEX(Suppliers!$B:$B,ROW()-6))</f>
        <v/>
      </c>
      <c r="C76" s="47">
        <f>IF($A76="","",SUMIFS(GL_Journal!$T:$T,GL_Journal!$G:$G,ACC_SUPPLIERS,GL_Journal!$K:$K,$A76,GL_Journal!$D:$D,"&lt;"&amp;SB_From)-SUMIFS(GL_Journal!$S:$S,GL_Journal!$G:$G,ACC_SUPPLIERS,GL_Journal!$K:$K,$A76,GL_Journal!$D:$D,"&lt;"&amp;SB_From))</f>
        <v/>
      </c>
      <c r="D76" s="43">
        <f>IF($A76="","",SUMIFS(GL_Journal!$T:$T,GL_Journal!$G:$G,ACC_SUPPLIERS,GL_Journal!$K:$K,$A76,GL_Journal!$D:$D,"&gt;="&amp;SB_From,GL_Journal!$D:$D,"&lt;="&amp;SB_To))</f>
        <v/>
      </c>
      <c r="E76" s="43">
        <f>IF($A76="","",SUMIFS(GL_Journal!$S:$S,GL_Journal!$G:$G,ACC_SUPPLIERS,GL_Journal!$K:$K,$A76,GL_Journal!$D:$D,"&gt;="&amp;SB_From,GL_Journal!$D:$D,"&lt;="&amp;SB_To))</f>
        <v/>
      </c>
      <c r="F76" s="47">
        <f>IF($A76="","",$C76+$D76-$E76)</f>
        <v/>
      </c>
      <c r="G76" s="43">
        <f>IF($A76="","",MIN(MAX($F76,0),SUMIFS(Supplier_Invoices!$AC:$AC,Supplier_Invoices!$C:$C,$A76,Supplier_Invoices!$AG:$AG,1,Supplier_Invoices!$Y:$Y,"&gt;="&amp;(SB_To-0),Supplier_Invoices!$E:$E,"&lt;="&amp;SB_To)))</f>
        <v/>
      </c>
      <c r="H76" s="43">
        <f>IF($A76="","",MIN(MAX($F76,0),SUMIFS(Supplier_Invoices!$AC:$AC,Supplier_Invoices!$C:$C,$A76,Supplier_Invoices!$AG:$AG,1,Supplier_Invoices!$Y:$Y,"&gt;="&amp;(SB_To-30),Supplier_Invoices!$E:$E,"&lt;="&amp;SB_To))-MIN(MAX($F76,0),SUMIFS(Supplier_Invoices!$AC:$AC,Supplier_Invoices!$C:$C,$A76,Supplier_Invoices!$AG:$AG,1,Supplier_Invoices!$Y:$Y,"&gt;="&amp;(SB_To-0),Supplier_Invoices!$E:$E,"&lt;="&amp;SB_To)))</f>
        <v/>
      </c>
      <c r="I76" s="43">
        <f>IF($A76="","",MIN(MAX($F76,0),SUMIFS(Supplier_Invoices!$AC:$AC,Supplier_Invoices!$C:$C,$A76,Supplier_Invoices!$AG:$AG,1,Supplier_Invoices!$Y:$Y,"&gt;="&amp;(SB_To-60),Supplier_Invoices!$E:$E,"&lt;="&amp;SB_To))-MIN(MAX($F76,0),SUMIFS(Supplier_Invoices!$AC:$AC,Supplier_Invoices!$C:$C,$A76,Supplier_Invoices!$AG:$AG,1,Supplier_Invoices!$Y:$Y,"&gt;="&amp;(SB_To-30),Supplier_Invoices!$E:$E,"&lt;="&amp;SB_To)))</f>
        <v/>
      </c>
      <c r="J76" s="43">
        <f>IF($A76="","",MIN(MAX($F76,0),SUMIFS(Supplier_Invoices!$AC:$AC,Supplier_Invoices!$C:$C,$A76,Supplier_Invoices!$AG:$AG,1,Supplier_Invoices!$Y:$Y,"&gt;="&amp;(SB_To-90),Supplier_Invoices!$E:$E,"&lt;="&amp;SB_To))-MIN(MAX($F76,0),SUMIFS(Supplier_Invoices!$AC:$AC,Supplier_Invoices!$C:$C,$A76,Supplier_Invoices!$AG:$AG,1,Supplier_Invoices!$Y:$Y,"&gt;="&amp;(SB_To-60),Supplier_Invoices!$E:$E,"&lt;="&amp;SB_To)))</f>
        <v/>
      </c>
      <c r="K76" s="43">
        <f>IF($A76="","",MAX($F76,0)-MIN(MAX($F76,0),SUMIFS(Supplier_Invoices!$AC:$AC,Supplier_Invoices!$C:$C,$A76,Supplier_Invoices!$AG:$AG,1,Supplier_Invoices!$Y:$Y,"&gt;="&amp;(SB_To-90),Supplier_Invoices!$E:$E,"&lt;="&amp;SB_To)))</f>
        <v/>
      </c>
      <c r="L76" s="33">
        <f>IF($A76="","",IF(COUNTIFS(Supplier_Payments!$C:$C,$A76,Supplier_Payments!$V:$V,1)=0,"",_xlfn.MAXIFS(Supplier_Payments!$B:$B,Supplier_Payments!$C:$C,$A76,Supplier_Payments!$V:$V,1)))</f>
        <v/>
      </c>
      <c r="M76" s="32">
        <f>IF($A76="","",IF($F76&lt;-S_Tol,"رصيد مدين للمورد - مراجعة",IF($H76+$I76+$J76+$K76&gt;S_Tol,"يوجد مبالغ متأخرة","")))</f>
        <v/>
      </c>
    </row>
    <row r="77">
      <c r="A77" s="44">
        <f>IF(INDEX(Suppliers!$A:$A,ROW()-6)="","",INDEX(Suppliers!$A:$A,ROW()-6))</f>
        <v/>
      </c>
      <c r="B77" s="32">
        <f>IF($A77="","",INDEX(Suppliers!$B:$B,ROW()-6))</f>
        <v/>
      </c>
      <c r="C77" s="47">
        <f>IF($A77="","",SUMIFS(GL_Journal!$T:$T,GL_Journal!$G:$G,ACC_SUPPLIERS,GL_Journal!$K:$K,$A77,GL_Journal!$D:$D,"&lt;"&amp;SB_From)-SUMIFS(GL_Journal!$S:$S,GL_Journal!$G:$G,ACC_SUPPLIERS,GL_Journal!$K:$K,$A77,GL_Journal!$D:$D,"&lt;"&amp;SB_From))</f>
        <v/>
      </c>
      <c r="D77" s="43">
        <f>IF($A77="","",SUMIFS(GL_Journal!$T:$T,GL_Journal!$G:$G,ACC_SUPPLIERS,GL_Journal!$K:$K,$A77,GL_Journal!$D:$D,"&gt;="&amp;SB_From,GL_Journal!$D:$D,"&lt;="&amp;SB_To))</f>
        <v/>
      </c>
      <c r="E77" s="43">
        <f>IF($A77="","",SUMIFS(GL_Journal!$S:$S,GL_Journal!$G:$G,ACC_SUPPLIERS,GL_Journal!$K:$K,$A77,GL_Journal!$D:$D,"&gt;="&amp;SB_From,GL_Journal!$D:$D,"&lt;="&amp;SB_To))</f>
        <v/>
      </c>
      <c r="F77" s="47">
        <f>IF($A77="","",$C77+$D77-$E77)</f>
        <v/>
      </c>
      <c r="G77" s="43">
        <f>IF($A77="","",MIN(MAX($F77,0),SUMIFS(Supplier_Invoices!$AC:$AC,Supplier_Invoices!$C:$C,$A77,Supplier_Invoices!$AG:$AG,1,Supplier_Invoices!$Y:$Y,"&gt;="&amp;(SB_To-0),Supplier_Invoices!$E:$E,"&lt;="&amp;SB_To)))</f>
        <v/>
      </c>
      <c r="H77" s="43">
        <f>IF($A77="","",MIN(MAX($F77,0),SUMIFS(Supplier_Invoices!$AC:$AC,Supplier_Invoices!$C:$C,$A77,Supplier_Invoices!$AG:$AG,1,Supplier_Invoices!$Y:$Y,"&gt;="&amp;(SB_To-30),Supplier_Invoices!$E:$E,"&lt;="&amp;SB_To))-MIN(MAX($F77,0),SUMIFS(Supplier_Invoices!$AC:$AC,Supplier_Invoices!$C:$C,$A77,Supplier_Invoices!$AG:$AG,1,Supplier_Invoices!$Y:$Y,"&gt;="&amp;(SB_To-0),Supplier_Invoices!$E:$E,"&lt;="&amp;SB_To)))</f>
        <v/>
      </c>
      <c r="I77" s="43">
        <f>IF($A77="","",MIN(MAX($F77,0),SUMIFS(Supplier_Invoices!$AC:$AC,Supplier_Invoices!$C:$C,$A77,Supplier_Invoices!$AG:$AG,1,Supplier_Invoices!$Y:$Y,"&gt;="&amp;(SB_To-60),Supplier_Invoices!$E:$E,"&lt;="&amp;SB_To))-MIN(MAX($F77,0),SUMIFS(Supplier_Invoices!$AC:$AC,Supplier_Invoices!$C:$C,$A77,Supplier_Invoices!$AG:$AG,1,Supplier_Invoices!$Y:$Y,"&gt;="&amp;(SB_To-30),Supplier_Invoices!$E:$E,"&lt;="&amp;SB_To)))</f>
        <v/>
      </c>
      <c r="J77" s="43">
        <f>IF($A77="","",MIN(MAX($F77,0),SUMIFS(Supplier_Invoices!$AC:$AC,Supplier_Invoices!$C:$C,$A77,Supplier_Invoices!$AG:$AG,1,Supplier_Invoices!$Y:$Y,"&gt;="&amp;(SB_To-90),Supplier_Invoices!$E:$E,"&lt;="&amp;SB_To))-MIN(MAX($F77,0),SUMIFS(Supplier_Invoices!$AC:$AC,Supplier_Invoices!$C:$C,$A77,Supplier_Invoices!$AG:$AG,1,Supplier_Invoices!$Y:$Y,"&gt;="&amp;(SB_To-60),Supplier_Invoices!$E:$E,"&lt;="&amp;SB_To)))</f>
        <v/>
      </c>
      <c r="K77" s="43">
        <f>IF($A77="","",MAX($F77,0)-MIN(MAX($F77,0),SUMIFS(Supplier_Invoices!$AC:$AC,Supplier_Invoices!$C:$C,$A77,Supplier_Invoices!$AG:$AG,1,Supplier_Invoices!$Y:$Y,"&gt;="&amp;(SB_To-90),Supplier_Invoices!$E:$E,"&lt;="&amp;SB_To)))</f>
        <v/>
      </c>
      <c r="L77" s="33">
        <f>IF($A77="","",IF(COUNTIFS(Supplier_Payments!$C:$C,$A77,Supplier_Payments!$V:$V,1)=0,"",_xlfn.MAXIFS(Supplier_Payments!$B:$B,Supplier_Payments!$C:$C,$A77,Supplier_Payments!$V:$V,1)))</f>
        <v/>
      </c>
      <c r="M77" s="32">
        <f>IF($A77="","",IF($F77&lt;-S_Tol,"رصيد مدين للمورد - مراجعة",IF($H77+$I77+$J77+$K77&gt;S_Tol,"يوجد مبالغ متأخرة","")))</f>
        <v/>
      </c>
    </row>
    <row r="78">
      <c r="A78" s="44">
        <f>IF(INDEX(Suppliers!$A:$A,ROW()-6)="","",INDEX(Suppliers!$A:$A,ROW()-6))</f>
        <v/>
      </c>
      <c r="B78" s="32">
        <f>IF($A78="","",INDEX(Suppliers!$B:$B,ROW()-6))</f>
        <v/>
      </c>
      <c r="C78" s="47">
        <f>IF($A78="","",SUMIFS(GL_Journal!$T:$T,GL_Journal!$G:$G,ACC_SUPPLIERS,GL_Journal!$K:$K,$A78,GL_Journal!$D:$D,"&lt;"&amp;SB_From)-SUMIFS(GL_Journal!$S:$S,GL_Journal!$G:$G,ACC_SUPPLIERS,GL_Journal!$K:$K,$A78,GL_Journal!$D:$D,"&lt;"&amp;SB_From))</f>
        <v/>
      </c>
      <c r="D78" s="43">
        <f>IF($A78="","",SUMIFS(GL_Journal!$T:$T,GL_Journal!$G:$G,ACC_SUPPLIERS,GL_Journal!$K:$K,$A78,GL_Journal!$D:$D,"&gt;="&amp;SB_From,GL_Journal!$D:$D,"&lt;="&amp;SB_To))</f>
        <v/>
      </c>
      <c r="E78" s="43">
        <f>IF($A78="","",SUMIFS(GL_Journal!$S:$S,GL_Journal!$G:$G,ACC_SUPPLIERS,GL_Journal!$K:$K,$A78,GL_Journal!$D:$D,"&gt;="&amp;SB_From,GL_Journal!$D:$D,"&lt;="&amp;SB_To))</f>
        <v/>
      </c>
      <c r="F78" s="47">
        <f>IF($A78="","",$C78+$D78-$E78)</f>
        <v/>
      </c>
      <c r="G78" s="43">
        <f>IF($A78="","",MIN(MAX($F78,0),SUMIFS(Supplier_Invoices!$AC:$AC,Supplier_Invoices!$C:$C,$A78,Supplier_Invoices!$AG:$AG,1,Supplier_Invoices!$Y:$Y,"&gt;="&amp;(SB_To-0),Supplier_Invoices!$E:$E,"&lt;="&amp;SB_To)))</f>
        <v/>
      </c>
      <c r="H78" s="43">
        <f>IF($A78="","",MIN(MAX($F78,0),SUMIFS(Supplier_Invoices!$AC:$AC,Supplier_Invoices!$C:$C,$A78,Supplier_Invoices!$AG:$AG,1,Supplier_Invoices!$Y:$Y,"&gt;="&amp;(SB_To-30),Supplier_Invoices!$E:$E,"&lt;="&amp;SB_To))-MIN(MAX($F78,0),SUMIFS(Supplier_Invoices!$AC:$AC,Supplier_Invoices!$C:$C,$A78,Supplier_Invoices!$AG:$AG,1,Supplier_Invoices!$Y:$Y,"&gt;="&amp;(SB_To-0),Supplier_Invoices!$E:$E,"&lt;="&amp;SB_To)))</f>
        <v/>
      </c>
      <c r="I78" s="43">
        <f>IF($A78="","",MIN(MAX($F78,0),SUMIFS(Supplier_Invoices!$AC:$AC,Supplier_Invoices!$C:$C,$A78,Supplier_Invoices!$AG:$AG,1,Supplier_Invoices!$Y:$Y,"&gt;="&amp;(SB_To-60),Supplier_Invoices!$E:$E,"&lt;="&amp;SB_To))-MIN(MAX($F78,0),SUMIFS(Supplier_Invoices!$AC:$AC,Supplier_Invoices!$C:$C,$A78,Supplier_Invoices!$AG:$AG,1,Supplier_Invoices!$Y:$Y,"&gt;="&amp;(SB_To-30),Supplier_Invoices!$E:$E,"&lt;="&amp;SB_To)))</f>
        <v/>
      </c>
      <c r="J78" s="43">
        <f>IF($A78="","",MIN(MAX($F78,0),SUMIFS(Supplier_Invoices!$AC:$AC,Supplier_Invoices!$C:$C,$A78,Supplier_Invoices!$AG:$AG,1,Supplier_Invoices!$Y:$Y,"&gt;="&amp;(SB_To-90),Supplier_Invoices!$E:$E,"&lt;="&amp;SB_To))-MIN(MAX($F78,0),SUMIFS(Supplier_Invoices!$AC:$AC,Supplier_Invoices!$C:$C,$A78,Supplier_Invoices!$AG:$AG,1,Supplier_Invoices!$Y:$Y,"&gt;="&amp;(SB_To-60),Supplier_Invoices!$E:$E,"&lt;="&amp;SB_To)))</f>
        <v/>
      </c>
      <c r="K78" s="43">
        <f>IF($A78="","",MAX($F78,0)-MIN(MAX($F78,0),SUMIFS(Supplier_Invoices!$AC:$AC,Supplier_Invoices!$C:$C,$A78,Supplier_Invoices!$AG:$AG,1,Supplier_Invoices!$Y:$Y,"&gt;="&amp;(SB_To-90),Supplier_Invoices!$E:$E,"&lt;="&amp;SB_To)))</f>
        <v/>
      </c>
      <c r="L78" s="33">
        <f>IF($A78="","",IF(COUNTIFS(Supplier_Payments!$C:$C,$A78,Supplier_Payments!$V:$V,1)=0,"",_xlfn.MAXIFS(Supplier_Payments!$B:$B,Supplier_Payments!$C:$C,$A78,Supplier_Payments!$V:$V,1)))</f>
        <v/>
      </c>
      <c r="M78" s="32">
        <f>IF($A78="","",IF($F78&lt;-S_Tol,"رصيد مدين للمورد - مراجعة",IF($H78+$I78+$J78+$K78&gt;S_Tol,"يوجد مبالغ متأخرة","")))</f>
        <v/>
      </c>
    </row>
    <row r="79">
      <c r="A79" s="44">
        <f>IF(INDEX(Suppliers!$A:$A,ROW()-6)="","",INDEX(Suppliers!$A:$A,ROW()-6))</f>
        <v/>
      </c>
      <c r="B79" s="32">
        <f>IF($A79="","",INDEX(Suppliers!$B:$B,ROW()-6))</f>
        <v/>
      </c>
      <c r="C79" s="47">
        <f>IF($A79="","",SUMIFS(GL_Journal!$T:$T,GL_Journal!$G:$G,ACC_SUPPLIERS,GL_Journal!$K:$K,$A79,GL_Journal!$D:$D,"&lt;"&amp;SB_From)-SUMIFS(GL_Journal!$S:$S,GL_Journal!$G:$G,ACC_SUPPLIERS,GL_Journal!$K:$K,$A79,GL_Journal!$D:$D,"&lt;"&amp;SB_From))</f>
        <v/>
      </c>
      <c r="D79" s="43">
        <f>IF($A79="","",SUMIFS(GL_Journal!$T:$T,GL_Journal!$G:$G,ACC_SUPPLIERS,GL_Journal!$K:$K,$A79,GL_Journal!$D:$D,"&gt;="&amp;SB_From,GL_Journal!$D:$D,"&lt;="&amp;SB_To))</f>
        <v/>
      </c>
      <c r="E79" s="43">
        <f>IF($A79="","",SUMIFS(GL_Journal!$S:$S,GL_Journal!$G:$G,ACC_SUPPLIERS,GL_Journal!$K:$K,$A79,GL_Journal!$D:$D,"&gt;="&amp;SB_From,GL_Journal!$D:$D,"&lt;="&amp;SB_To))</f>
        <v/>
      </c>
      <c r="F79" s="47">
        <f>IF($A79="","",$C79+$D79-$E79)</f>
        <v/>
      </c>
      <c r="G79" s="43">
        <f>IF($A79="","",MIN(MAX($F79,0),SUMIFS(Supplier_Invoices!$AC:$AC,Supplier_Invoices!$C:$C,$A79,Supplier_Invoices!$AG:$AG,1,Supplier_Invoices!$Y:$Y,"&gt;="&amp;(SB_To-0),Supplier_Invoices!$E:$E,"&lt;="&amp;SB_To)))</f>
        <v/>
      </c>
      <c r="H79" s="43">
        <f>IF($A79="","",MIN(MAX($F79,0),SUMIFS(Supplier_Invoices!$AC:$AC,Supplier_Invoices!$C:$C,$A79,Supplier_Invoices!$AG:$AG,1,Supplier_Invoices!$Y:$Y,"&gt;="&amp;(SB_To-30),Supplier_Invoices!$E:$E,"&lt;="&amp;SB_To))-MIN(MAX($F79,0),SUMIFS(Supplier_Invoices!$AC:$AC,Supplier_Invoices!$C:$C,$A79,Supplier_Invoices!$AG:$AG,1,Supplier_Invoices!$Y:$Y,"&gt;="&amp;(SB_To-0),Supplier_Invoices!$E:$E,"&lt;="&amp;SB_To)))</f>
        <v/>
      </c>
      <c r="I79" s="43">
        <f>IF($A79="","",MIN(MAX($F79,0),SUMIFS(Supplier_Invoices!$AC:$AC,Supplier_Invoices!$C:$C,$A79,Supplier_Invoices!$AG:$AG,1,Supplier_Invoices!$Y:$Y,"&gt;="&amp;(SB_To-60),Supplier_Invoices!$E:$E,"&lt;="&amp;SB_To))-MIN(MAX($F79,0),SUMIFS(Supplier_Invoices!$AC:$AC,Supplier_Invoices!$C:$C,$A79,Supplier_Invoices!$AG:$AG,1,Supplier_Invoices!$Y:$Y,"&gt;="&amp;(SB_To-30),Supplier_Invoices!$E:$E,"&lt;="&amp;SB_To)))</f>
        <v/>
      </c>
      <c r="J79" s="43">
        <f>IF($A79="","",MIN(MAX($F79,0),SUMIFS(Supplier_Invoices!$AC:$AC,Supplier_Invoices!$C:$C,$A79,Supplier_Invoices!$AG:$AG,1,Supplier_Invoices!$Y:$Y,"&gt;="&amp;(SB_To-90),Supplier_Invoices!$E:$E,"&lt;="&amp;SB_To))-MIN(MAX($F79,0),SUMIFS(Supplier_Invoices!$AC:$AC,Supplier_Invoices!$C:$C,$A79,Supplier_Invoices!$AG:$AG,1,Supplier_Invoices!$Y:$Y,"&gt;="&amp;(SB_To-60),Supplier_Invoices!$E:$E,"&lt;="&amp;SB_To)))</f>
        <v/>
      </c>
      <c r="K79" s="43">
        <f>IF($A79="","",MAX($F79,0)-MIN(MAX($F79,0),SUMIFS(Supplier_Invoices!$AC:$AC,Supplier_Invoices!$C:$C,$A79,Supplier_Invoices!$AG:$AG,1,Supplier_Invoices!$Y:$Y,"&gt;="&amp;(SB_To-90),Supplier_Invoices!$E:$E,"&lt;="&amp;SB_To)))</f>
        <v/>
      </c>
      <c r="L79" s="33">
        <f>IF($A79="","",IF(COUNTIFS(Supplier_Payments!$C:$C,$A79,Supplier_Payments!$V:$V,1)=0,"",_xlfn.MAXIFS(Supplier_Payments!$B:$B,Supplier_Payments!$C:$C,$A79,Supplier_Payments!$V:$V,1)))</f>
        <v/>
      </c>
      <c r="M79" s="32">
        <f>IF($A79="","",IF($F79&lt;-S_Tol,"رصيد مدين للمورد - مراجعة",IF($H79+$I79+$J79+$K79&gt;S_Tol,"يوجد مبالغ متأخرة","")))</f>
        <v/>
      </c>
    </row>
    <row r="80">
      <c r="A80" s="44">
        <f>IF(INDEX(Suppliers!$A:$A,ROW()-6)="","",INDEX(Suppliers!$A:$A,ROW()-6))</f>
        <v/>
      </c>
      <c r="B80" s="32">
        <f>IF($A80="","",INDEX(Suppliers!$B:$B,ROW()-6))</f>
        <v/>
      </c>
      <c r="C80" s="47">
        <f>IF($A80="","",SUMIFS(GL_Journal!$T:$T,GL_Journal!$G:$G,ACC_SUPPLIERS,GL_Journal!$K:$K,$A80,GL_Journal!$D:$D,"&lt;"&amp;SB_From)-SUMIFS(GL_Journal!$S:$S,GL_Journal!$G:$G,ACC_SUPPLIERS,GL_Journal!$K:$K,$A80,GL_Journal!$D:$D,"&lt;"&amp;SB_From))</f>
        <v/>
      </c>
      <c r="D80" s="43">
        <f>IF($A80="","",SUMIFS(GL_Journal!$T:$T,GL_Journal!$G:$G,ACC_SUPPLIERS,GL_Journal!$K:$K,$A80,GL_Journal!$D:$D,"&gt;="&amp;SB_From,GL_Journal!$D:$D,"&lt;="&amp;SB_To))</f>
        <v/>
      </c>
      <c r="E80" s="43">
        <f>IF($A80="","",SUMIFS(GL_Journal!$S:$S,GL_Journal!$G:$G,ACC_SUPPLIERS,GL_Journal!$K:$K,$A80,GL_Journal!$D:$D,"&gt;="&amp;SB_From,GL_Journal!$D:$D,"&lt;="&amp;SB_To))</f>
        <v/>
      </c>
      <c r="F80" s="47">
        <f>IF($A80="","",$C80+$D80-$E80)</f>
        <v/>
      </c>
      <c r="G80" s="43">
        <f>IF($A80="","",MIN(MAX($F80,0),SUMIFS(Supplier_Invoices!$AC:$AC,Supplier_Invoices!$C:$C,$A80,Supplier_Invoices!$AG:$AG,1,Supplier_Invoices!$Y:$Y,"&gt;="&amp;(SB_To-0),Supplier_Invoices!$E:$E,"&lt;="&amp;SB_To)))</f>
        <v/>
      </c>
      <c r="H80" s="43">
        <f>IF($A80="","",MIN(MAX($F80,0),SUMIFS(Supplier_Invoices!$AC:$AC,Supplier_Invoices!$C:$C,$A80,Supplier_Invoices!$AG:$AG,1,Supplier_Invoices!$Y:$Y,"&gt;="&amp;(SB_To-30),Supplier_Invoices!$E:$E,"&lt;="&amp;SB_To))-MIN(MAX($F80,0),SUMIFS(Supplier_Invoices!$AC:$AC,Supplier_Invoices!$C:$C,$A80,Supplier_Invoices!$AG:$AG,1,Supplier_Invoices!$Y:$Y,"&gt;="&amp;(SB_To-0),Supplier_Invoices!$E:$E,"&lt;="&amp;SB_To)))</f>
        <v/>
      </c>
      <c r="I80" s="43">
        <f>IF($A80="","",MIN(MAX($F80,0),SUMIFS(Supplier_Invoices!$AC:$AC,Supplier_Invoices!$C:$C,$A80,Supplier_Invoices!$AG:$AG,1,Supplier_Invoices!$Y:$Y,"&gt;="&amp;(SB_To-60),Supplier_Invoices!$E:$E,"&lt;="&amp;SB_To))-MIN(MAX($F80,0),SUMIFS(Supplier_Invoices!$AC:$AC,Supplier_Invoices!$C:$C,$A80,Supplier_Invoices!$AG:$AG,1,Supplier_Invoices!$Y:$Y,"&gt;="&amp;(SB_To-30),Supplier_Invoices!$E:$E,"&lt;="&amp;SB_To)))</f>
        <v/>
      </c>
      <c r="J80" s="43">
        <f>IF($A80="","",MIN(MAX($F80,0),SUMIFS(Supplier_Invoices!$AC:$AC,Supplier_Invoices!$C:$C,$A80,Supplier_Invoices!$AG:$AG,1,Supplier_Invoices!$Y:$Y,"&gt;="&amp;(SB_To-90),Supplier_Invoices!$E:$E,"&lt;="&amp;SB_To))-MIN(MAX($F80,0),SUMIFS(Supplier_Invoices!$AC:$AC,Supplier_Invoices!$C:$C,$A80,Supplier_Invoices!$AG:$AG,1,Supplier_Invoices!$Y:$Y,"&gt;="&amp;(SB_To-60),Supplier_Invoices!$E:$E,"&lt;="&amp;SB_To)))</f>
        <v/>
      </c>
      <c r="K80" s="43">
        <f>IF($A80="","",MAX($F80,0)-MIN(MAX($F80,0),SUMIFS(Supplier_Invoices!$AC:$AC,Supplier_Invoices!$C:$C,$A80,Supplier_Invoices!$AG:$AG,1,Supplier_Invoices!$Y:$Y,"&gt;="&amp;(SB_To-90),Supplier_Invoices!$E:$E,"&lt;="&amp;SB_To)))</f>
        <v/>
      </c>
      <c r="L80" s="33">
        <f>IF($A80="","",IF(COUNTIFS(Supplier_Payments!$C:$C,$A80,Supplier_Payments!$V:$V,1)=0,"",_xlfn.MAXIFS(Supplier_Payments!$B:$B,Supplier_Payments!$C:$C,$A80,Supplier_Payments!$V:$V,1)))</f>
        <v/>
      </c>
      <c r="M80" s="32">
        <f>IF($A80="","",IF($F80&lt;-S_Tol,"رصيد مدين للمورد - مراجعة",IF($H80+$I80+$J80+$K80&gt;S_Tol,"يوجد مبالغ متأخرة","")))</f>
        <v/>
      </c>
    </row>
    <row r="81">
      <c r="A81" s="44">
        <f>IF(INDEX(Suppliers!$A:$A,ROW()-6)="","",INDEX(Suppliers!$A:$A,ROW()-6))</f>
        <v/>
      </c>
      <c r="B81" s="32">
        <f>IF($A81="","",INDEX(Suppliers!$B:$B,ROW()-6))</f>
        <v/>
      </c>
      <c r="C81" s="47">
        <f>IF($A81="","",SUMIFS(GL_Journal!$T:$T,GL_Journal!$G:$G,ACC_SUPPLIERS,GL_Journal!$K:$K,$A81,GL_Journal!$D:$D,"&lt;"&amp;SB_From)-SUMIFS(GL_Journal!$S:$S,GL_Journal!$G:$G,ACC_SUPPLIERS,GL_Journal!$K:$K,$A81,GL_Journal!$D:$D,"&lt;"&amp;SB_From))</f>
        <v/>
      </c>
      <c r="D81" s="43">
        <f>IF($A81="","",SUMIFS(GL_Journal!$T:$T,GL_Journal!$G:$G,ACC_SUPPLIERS,GL_Journal!$K:$K,$A81,GL_Journal!$D:$D,"&gt;="&amp;SB_From,GL_Journal!$D:$D,"&lt;="&amp;SB_To))</f>
        <v/>
      </c>
      <c r="E81" s="43">
        <f>IF($A81="","",SUMIFS(GL_Journal!$S:$S,GL_Journal!$G:$G,ACC_SUPPLIERS,GL_Journal!$K:$K,$A81,GL_Journal!$D:$D,"&gt;="&amp;SB_From,GL_Journal!$D:$D,"&lt;="&amp;SB_To))</f>
        <v/>
      </c>
      <c r="F81" s="47">
        <f>IF($A81="","",$C81+$D81-$E81)</f>
        <v/>
      </c>
      <c r="G81" s="43">
        <f>IF($A81="","",MIN(MAX($F81,0),SUMIFS(Supplier_Invoices!$AC:$AC,Supplier_Invoices!$C:$C,$A81,Supplier_Invoices!$AG:$AG,1,Supplier_Invoices!$Y:$Y,"&gt;="&amp;(SB_To-0),Supplier_Invoices!$E:$E,"&lt;="&amp;SB_To)))</f>
        <v/>
      </c>
      <c r="H81" s="43">
        <f>IF($A81="","",MIN(MAX($F81,0),SUMIFS(Supplier_Invoices!$AC:$AC,Supplier_Invoices!$C:$C,$A81,Supplier_Invoices!$AG:$AG,1,Supplier_Invoices!$Y:$Y,"&gt;="&amp;(SB_To-30),Supplier_Invoices!$E:$E,"&lt;="&amp;SB_To))-MIN(MAX($F81,0),SUMIFS(Supplier_Invoices!$AC:$AC,Supplier_Invoices!$C:$C,$A81,Supplier_Invoices!$AG:$AG,1,Supplier_Invoices!$Y:$Y,"&gt;="&amp;(SB_To-0),Supplier_Invoices!$E:$E,"&lt;="&amp;SB_To)))</f>
        <v/>
      </c>
      <c r="I81" s="43">
        <f>IF($A81="","",MIN(MAX($F81,0),SUMIFS(Supplier_Invoices!$AC:$AC,Supplier_Invoices!$C:$C,$A81,Supplier_Invoices!$AG:$AG,1,Supplier_Invoices!$Y:$Y,"&gt;="&amp;(SB_To-60),Supplier_Invoices!$E:$E,"&lt;="&amp;SB_To))-MIN(MAX($F81,0),SUMIFS(Supplier_Invoices!$AC:$AC,Supplier_Invoices!$C:$C,$A81,Supplier_Invoices!$AG:$AG,1,Supplier_Invoices!$Y:$Y,"&gt;="&amp;(SB_To-30),Supplier_Invoices!$E:$E,"&lt;="&amp;SB_To)))</f>
        <v/>
      </c>
      <c r="J81" s="43">
        <f>IF($A81="","",MIN(MAX($F81,0),SUMIFS(Supplier_Invoices!$AC:$AC,Supplier_Invoices!$C:$C,$A81,Supplier_Invoices!$AG:$AG,1,Supplier_Invoices!$Y:$Y,"&gt;="&amp;(SB_To-90),Supplier_Invoices!$E:$E,"&lt;="&amp;SB_To))-MIN(MAX($F81,0),SUMIFS(Supplier_Invoices!$AC:$AC,Supplier_Invoices!$C:$C,$A81,Supplier_Invoices!$AG:$AG,1,Supplier_Invoices!$Y:$Y,"&gt;="&amp;(SB_To-60),Supplier_Invoices!$E:$E,"&lt;="&amp;SB_To)))</f>
        <v/>
      </c>
      <c r="K81" s="43">
        <f>IF($A81="","",MAX($F81,0)-MIN(MAX($F81,0),SUMIFS(Supplier_Invoices!$AC:$AC,Supplier_Invoices!$C:$C,$A81,Supplier_Invoices!$AG:$AG,1,Supplier_Invoices!$Y:$Y,"&gt;="&amp;(SB_To-90),Supplier_Invoices!$E:$E,"&lt;="&amp;SB_To)))</f>
        <v/>
      </c>
      <c r="L81" s="33">
        <f>IF($A81="","",IF(COUNTIFS(Supplier_Payments!$C:$C,$A81,Supplier_Payments!$V:$V,1)=0,"",_xlfn.MAXIFS(Supplier_Payments!$B:$B,Supplier_Payments!$C:$C,$A81,Supplier_Payments!$V:$V,1)))</f>
        <v/>
      </c>
      <c r="M81" s="32">
        <f>IF($A81="","",IF($F81&lt;-S_Tol,"رصيد مدين للمورد - مراجعة",IF($H81+$I81+$J81+$K81&gt;S_Tol,"يوجد مبالغ متأخرة","")))</f>
        <v/>
      </c>
    </row>
    <row r="82">
      <c r="A82" s="44">
        <f>IF(INDEX(Suppliers!$A:$A,ROW()-6)="","",INDEX(Suppliers!$A:$A,ROW()-6))</f>
        <v/>
      </c>
      <c r="B82" s="32">
        <f>IF($A82="","",INDEX(Suppliers!$B:$B,ROW()-6))</f>
        <v/>
      </c>
      <c r="C82" s="47">
        <f>IF($A82="","",SUMIFS(GL_Journal!$T:$T,GL_Journal!$G:$G,ACC_SUPPLIERS,GL_Journal!$K:$K,$A82,GL_Journal!$D:$D,"&lt;"&amp;SB_From)-SUMIFS(GL_Journal!$S:$S,GL_Journal!$G:$G,ACC_SUPPLIERS,GL_Journal!$K:$K,$A82,GL_Journal!$D:$D,"&lt;"&amp;SB_From))</f>
        <v/>
      </c>
      <c r="D82" s="43">
        <f>IF($A82="","",SUMIFS(GL_Journal!$T:$T,GL_Journal!$G:$G,ACC_SUPPLIERS,GL_Journal!$K:$K,$A82,GL_Journal!$D:$D,"&gt;="&amp;SB_From,GL_Journal!$D:$D,"&lt;="&amp;SB_To))</f>
        <v/>
      </c>
      <c r="E82" s="43">
        <f>IF($A82="","",SUMIFS(GL_Journal!$S:$S,GL_Journal!$G:$G,ACC_SUPPLIERS,GL_Journal!$K:$K,$A82,GL_Journal!$D:$D,"&gt;="&amp;SB_From,GL_Journal!$D:$D,"&lt;="&amp;SB_To))</f>
        <v/>
      </c>
      <c r="F82" s="47">
        <f>IF($A82="","",$C82+$D82-$E82)</f>
        <v/>
      </c>
      <c r="G82" s="43">
        <f>IF($A82="","",MIN(MAX($F82,0),SUMIFS(Supplier_Invoices!$AC:$AC,Supplier_Invoices!$C:$C,$A82,Supplier_Invoices!$AG:$AG,1,Supplier_Invoices!$Y:$Y,"&gt;="&amp;(SB_To-0),Supplier_Invoices!$E:$E,"&lt;="&amp;SB_To)))</f>
        <v/>
      </c>
      <c r="H82" s="43">
        <f>IF($A82="","",MIN(MAX($F82,0),SUMIFS(Supplier_Invoices!$AC:$AC,Supplier_Invoices!$C:$C,$A82,Supplier_Invoices!$AG:$AG,1,Supplier_Invoices!$Y:$Y,"&gt;="&amp;(SB_To-30),Supplier_Invoices!$E:$E,"&lt;="&amp;SB_To))-MIN(MAX($F82,0),SUMIFS(Supplier_Invoices!$AC:$AC,Supplier_Invoices!$C:$C,$A82,Supplier_Invoices!$AG:$AG,1,Supplier_Invoices!$Y:$Y,"&gt;="&amp;(SB_To-0),Supplier_Invoices!$E:$E,"&lt;="&amp;SB_To)))</f>
        <v/>
      </c>
      <c r="I82" s="43">
        <f>IF($A82="","",MIN(MAX($F82,0),SUMIFS(Supplier_Invoices!$AC:$AC,Supplier_Invoices!$C:$C,$A82,Supplier_Invoices!$AG:$AG,1,Supplier_Invoices!$Y:$Y,"&gt;="&amp;(SB_To-60),Supplier_Invoices!$E:$E,"&lt;="&amp;SB_To))-MIN(MAX($F82,0),SUMIFS(Supplier_Invoices!$AC:$AC,Supplier_Invoices!$C:$C,$A82,Supplier_Invoices!$AG:$AG,1,Supplier_Invoices!$Y:$Y,"&gt;="&amp;(SB_To-30),Supplier_Invoices!$E:$E,"&lt;="&amp;SB_To)))</f>
        <v/>
      </c>
      <c r="J82" s="43">
        <f>IF($A82="","",MIN(MAX($F82,0),SUMIFS(Supplier_Invoices!$AC:$AC,Supplier_Invoices!$C:$C,$A82,Supplier_Invoices!$AG:$AG,1,Supplier_Invoices!$Y:$Y,"&gt;="&amp;(SB_To-90),Supplier_Invoices!$E:$E,"&lt;="&amp;SB_To))-MIN(MAX($F82,0),SUMIFS(Supplier_Invoices!$AC:$AC,Supplier_Invoices!$C:$C,$A82,Supplier_Invoices!$AG:$AG,1,Supplier_Invoices!$Y:$Y,"&gt;="&amp;(SB_To-60),Supplier_Invoices!$E:$E,"&lt;="&amp;SB_To)))</f>
        <v/>
      </c>
      <c r="K82" s="43">
        <f>IF($A82="","",MAX($F82,0)-MIN(MAX($F82,0),SUMIFS(Supplier_Invoices!$AC:$AC,Supplier_Invoices!$C:$C,$A82,Supplier_Invoices!$AG:$AG,1,Supplier_Invoices!$Y:$Y,"&gt;="&amp;(SB_To-90),Supplier_Invoices!$E:$E,"&lt;="&amp;SB_To)))</f>
        <v/>
      </c>
      <c r="L82" s="33">
        <f>IF($A82="","",IF(COUNTIFS(Supplier_Payments!$C:$C,$A82,Supplier_Payments!$V:$V,1)=0,"",_xlfn.MAXIFS(Supplier_Payments!$B:$B,Supplier_Payments!$C:$C,$A82,Supplier_Payments!$V:$V,1)))</f>
        <v/>
      </c>
      <c r="M82" s="32">
        <f>IF($A82="","",IF($F82&lt;-S_Tol,"رصيد مدين للمورد - مراجعة",IF($H82+$I82+$J82+$K82&gt;S_Tol,"يوجد مبالغ متأخرة","")))</f>
        <v/>
      </c>
    </row>
    <row r="83">
      <c r="A83" s="44">
        <f>IF(INDEX(Suppliers!$A:$A,ROW()-6)="","",INDEX(Suppliers!$A:$A,ROW()-6))</f>
        <v/>
      </c>
      <c r="B83" s="32">
        <f>IF($A83="","",INDEX(Suppliers!$B:$B,ROW()-6))</f>
        <v/>
      </c>
      <c r="C83" s="47">
        <f>IF($A83="","",SUMIFS(GL_Journal!$T:$T,GL_Journal!$G:$G,ACC_SUPPLIERS,GL_Journal!$K:$K,$A83,GL_Journal!$D:$D,"&lt;"&amp;SB_From)-SUMIFS(GL_Journal!$S:$S,GL_Journal!$G:$G,ACC_SUPPLIERS,GL_Journal!$K:$K,$A83,GL_Journal!$D:$D,"&lt;"&amp;SB_From))</f>
        <v/>
      </c>
      <c r="D83" s="43">
        <f>IF($A83="","",SUMIFS(GL_Journal!$T:$T,GL_Journal!$G:$G,ACC_SUPPLIERS,GL_Journal!$K:$K,$A83,GL_Journal!$D:$D,"&gt;="&amp;SB_From,GL_Journal!$D:$D,"&lt;="&amp;SB_To))</f>
        <v/>
      </c>
      <c r="E83" s="43">
        <f>IF($A83="","",SUMIFS(GL_Journal!$S:$S,GL_Journal!$G:$G,ACC_SUPPLIERS,GL_Journal!$K:$K,$A83,GL_Journal!$D:$D,"&gt;="&amp;SB_From,GL_Journal!$D:$D,"&lt;="&amp;SB_To))</f>
        <v/>
      </c>
      <c r="F83" s="47">
        <f>IF($A83="","",$C83+$D83-$E83)</f>
        <v/>
      </c>
      <c r="G83" s="43">
        <f>IF($A83="","",MIN(MAX($F83,0),SUMIFS(Supplier_Invoices!$AC:$AC,Supplier_Invoices!$C:$C,$A83,Supplier_Invoices!$AG:$AG,1,Supplier_Invoices!$Y:$Y,"&gt;="&amp;(SB_To-0),Supplier_Invoices!$E:$E,"&lt;="&amp;SB_To)))</f>
        <v/>
      </c>
      <c r="H83" s="43">
        <f>IF($A83="","",MIN(MAX($F83,0),SUMIFS(Supplier_Invoices!$AC:$AC,Supplier_Invoices!$C:$C,$A83,Supplier_Invoices!$AG:$AG,1,Supplier_Invoices!$Y:$Y,"&gt;="&amp;(SB_To-30),Supplier_Invoices!$E:$E,"&lt;="&amp;SB_To))-MIN(MAX($F83,0),SUMIFS(Supplier_Invoices!$AC:$AC,Supplier_Invoices!$C:$C,$A83,Supplier_Invoices!$AG:$AG,1,Supplier_Invoices!$Y:$Y,"&gt;="&amp;(SB_To-0),Supplier_Invoices!$E:$E,"&lt;="&amp;SB_To)))</f>
        <v/>
      </c>
      <c r="I83" s="43">
        <f>IF($A83="","",MIN(MAX($F83,0),SUMIFS(Supplier_Invoices!$AC:$AC,Supplier_Invoices!$C:$C,$A83,Supplier_Invoices!$AG:$AG,1,Supplier_Invoices!$Y:$Y,"&gt;="&amp;(SB_To-60),Supplier_Invoices!$E:$E,"&lt;="&amp;SB_To))-MIN(MAX($F83,0),SUMIFS(Supplier_Invoices!$AC:$AC,Supplier_Invoices!$C:$C,$A83,Supplier_Invoices!$AG:$AG,1,Supplier_Invoices!$Y:$Y,"&gt;="&amp;(SB_To-30),Supplier_Invoices!$E:$E,"&lt;="&amp;SB_To)))</f>
        <v/>
      </c>
      <c r="J83" s="43">
        <f>IF($A83="","",MIN(MAX($F83,0),SUMIFS(Supplier_Invoices!$AC:$AC,Supplier_Invoices!$C:$C,$A83,Supplier_Invoices!$AG:$AG,1,Supplier_Invoices!$Y:$Y,"&gt;="&amp;(SB_To-90),Supplier_Invoices!$E:$E,"&lt;="&amp;SB_To))-MIN(MAX($F83,0),SUMIFS(Supplier_Invoices!$AC:$AC,Supplier_Invoices!$C:$C,$A83,Supplier_Invoices!$AG:$AG,1,Supplier_Invoices!$Y:$Y,"&gt;="&amp;(SB_To-60),Supplier_Invoices!$E:$E,"&lt;="&amp;SB_To)))</f>
        <v/>
      </c>
      <c r="K83" s="43">
        <f>IF($A83="","",MAX($F83,0)-MIN(MAX($F83,0),SUMIFS(Supplier_Invoices!$AC:$AC,Supplier_Invoices!$C:$C,$A83,Supplier_Invoices!$AG:$AG,1,Supplier_Invoices!$Y:$Y,"&gt;="&amp;(SB_To-90),Supplier_Invoices!$E:$E,"&lt;="&amp;SB_To)))</f>
        <v/>
      </c>
      <c r="L83" s="33">
        <f>IF($A83="","",IF(COUNTIFS(Supplier_Payments!$C:$C,$A83,Supplier_Payments!$V:$V,1)=0,"",_xlfn.MAXIFS(Supplier_Payments!$B:$B,Supplier_Payments!$C:$C,$A83,Supplier_Payments!$V:$V,1)))</f>
        <v/>
      </c>
      <c r="M83" s="32">
        <f>IF($A83="","",IF($F83&lt;-S_Tol,"رصيد مدين للمورد - مراجعة",IF($H83+$I83+$J83+$K83&gt;S_Tol,"يوجد مبالغ متأخرة","")))</f>
        <v/>
      </c>
    </row>
    <row r="84">
      <c r="A84" s="44">
        <f>IF(INDEX(Suppliers!$A:$A,ROW()-6)="","",INDEX(Suppliers!$A:$A,ROW()-6))</f>
        <v/>
      </c>
      <c r="B84" s="32">
        <f>IF($A84="","",INDEX(Suppliers!$B:$B,ROW()-6))</f>
        <v/>
      </c>
      <c r="C84" s="47">
        <f>IF($A84="","",SUMIFS(GL_Journal!$T:$T,GL_Journal!$G:$G,ACC_SUPPLIERS,GL_Journal!$K:$K,$A84,GL_Journal!$D:$D,"&lt;"&amp;SB_From)-SUMIFS(GL_Journal!$S:$S,GL_Journal!$G:$G,ACC_SUPPLIERS,GL_Journal!$K:$K,$A84,GL_Journal!$D:$D,"&lt;"&amp;SB_From))</f>
        <v/>
      </c>
      <c r="D84" s="43">
        <f>IF($A84="","",SUMIFS(GL_Journal!$T:$T,GL_Journal!$G:$G,ACC_SUPPLIERS,GL_Journal!$K:$K,$A84,GL_Journal!$D:$D,"&gt;="&amp;SB_From,GL_Journal!$D:$D,"&lt;="&amp;SB_To))</f>
        <v/>
      </c>
      <c r="E84" s="43">
        <f>IF($A84="","",SUMIFS(GL_Journal!$S:$S,GL_Journal!$G:$G,ACC_SUPPLIERS,GL_Journal!$K:$K,$A84,GL_Journal!$D:$D,"&gt;="&amp;SB_From,GL_Journal!$D:$D,"&lt;="&amp;SB_To))</f>
        <v/>
      </c>
      <c r="F84" s="47">
        <f>IF($A84="","",$C84+$D84-$E84)</f>
        <v/>
      </c>
      <c r="G84" s="43">
        <f>IF($A84="","",MIN(MAX($F84,0),SUMIFS(Supplier_Invoices!$AC:$AC,Supplier_Invoices!$C:$C,$A84,Supplier_Invoices!$AG:$AG,1,Supplier_Invoices!$Y:$Y,"&gt;="&amp;(SB_To-0),Supplier_Invoices!$E:$E,"&lt;="&amp;SB_To)))</f>
        <v/>
      </c>
      <c r="H84" s="43">
        <f>IF($A84="","",MIN(MAX($F84,0),SUMIFS(Supplier_Invoices!$AC:$AC,Supplier_Invoices!$C:$C,$A84,Supplier_Invoices!$AG:$AG,1,Supplier_Invoices!$Y:$Y,"&gt;="&amp;(SB_To-30),Supplier_Invoices!$E:$E,"&lt;="&amp;SB_To))-MIN(MAX($F84,0),SUMIFS(Supplier_Invoices!$AC:$AC,Supplier_Invoices!$C:$C,$A84,Supplier_Invoices!$AG:$AG,1,Supplier_Invoices!$Y:$Y,"&gt;="&amp;(SB_To-0),Supplier_Invoices!$E:$E,"&lt;="&amp;SB_To)))</f>
        <v/>
      </c>
      <c r="I84" s="43">
        <f>IF($A84="","",MIN(MAX($F84,0),SUMIFS(Supplier_Invoices!$AC:$AC,Supplier_Invoices!$C:$C,$A84,Supplier_Invoices!$AG:$AG,1,Supplier_Invoices!$Y:$Y,"&gt;="&amp;(SB_To-60),Supplier_Invoices!$E:$E,"&lt;="&amp;SB_To))-MIN(MAX($F84,0),SUMIFS(Supplier_Invoices!$AC:$AC,Supplier_Invoices!$C:$C,$A84,Supplier_Invoices!$AG:$AG,1,Supplier_Invoices!$Y:$Y,"&gt;="&amp;(SB_To-30),Supplier_Invoices!$E:$E,"&lt;="&amp;SB_To)))</f>
        <v/>
      </c>
      <c r="J84" s="43">
        <f>IF($A84="","",MIN(MAX($F84,0),SUMIFS(Supplier_Invoices!$AC:$AC,Supplier_Invoices!$C:$C,$A84,Supplier_Invoices!$AG:$AG,1,Supplier_Invoices!$Y:$Y,"&gt;="&amp;(SB_To-90),Supplier_Invoices!$E:$E,"&lt;="&amp;SB_To))-MIN(MAX($F84,0),SUMIFS(Supplier_Invoices!$AC:$AC,Supplier_Invoices!$C:$C,$A84,Supplier_Invoices!$AG:$AG,1,Supplier_Invoices!$Y:$Y,"&gt;="&amp;(SB_To-60),Supplier_Invoices!$E:$E,"&lt;="&amp;SB_To)))</f>
        <v/>
      </c>
      <c r="K84" s="43">
        <f>IF($A84="","",MAX($F84,0)-MIN(MAX($F84,0),SUMIFS(Supplier_Invoices!$AC:$AC,Supplier_Invoices!$C:$C,$A84,Supplier_Invoices!$AG:$AG,1,Supplier_Invoices!$Y:$Y,"&gt;="&amp;(SB_To-90),Supplier_Invoices!$E:$E,"&lt;="&amp;SB_To)))</f>
        <v/>
      </c>
      <c r="L84" s="33">
        <f>IF($A84="","",IF(COUNTIFS(Supplier_Payments!$C:$C,$A84,Supplier_Payments!$V:$V,1)=0,"",_xlfn.MAXIFS(Supplier_Payments!$B:$B,Supplier_Payments!$C:$C,$A84,Supplier_Payments!$V:$V,1)))</f>
        <v/>
      </c>
      <c r="M84" s="32">
        <f>IF($A84="","",IF($F84&lt;-S_Tol,"رصيد مدين للمورد - مراجعة",IF($H84+$I84+$J84+$K84&gt;S_Tol,"يوجد مبالغ متأخرة","")))</f>
        <v/>
      </c>
    </row>
    <row r="85">
      <c r="A85" s="44">
        <f>IF(INDEX(Suppliers!$A:$A,ROW()-6)="","",INDEX(Suppliers!$A:$A,ROW()-6))</f>
        <v/>
      </c>
      <c r="B85" s="32">
        <f>IF($A85="","",INDEX(Suppliers!$B:$B,ROW()-6))</f>
        <v/>
      </c>
      <c r="C85" s="47">
        <f>IF($A85="","",SUMIFS(GL_Journal!$T:$T,GL_Journal!$G:$G,ACC_SUPPLIERS,GL_Journal!$K:$K,$A85,GL_Journal!$D:$D,"&lt;"&amp;SB_From)-SUMIFS(GL_Journal!$S:$S,GL_Journal!$G:$G,ACC_SUPPLIERS,GL_Journal!$K:$K,$A85,GL_Journal!$D:$D,"&lt;"&amp;SB_From))</f>
        <v/>
      </c>
      <c r="D85" s="43">
        <f>IF($A85="","",SUMIFS(GL_Journal!$T:$T,GL_Journal!$G:$G,ACC_SUPPLIERS,GL_Journal!$K:$K,$A85,GL_Journal!$D:$D,"&gt;="&amp;SB_From,GL_Journal!$D:$D,"&lt;="&amp;SB_To))</f>
        <v/>
      </c>
      <c r="E85" s="43">
        <f>IF($A85="","",SUMIFS(GL_Journal!$S:$S,GL_Journal!$G:$G,ACC_SUPPLIERS,GL_Journal!$K:$K,$A85,GL_Journal!$D:$D,"&gt;="&amp;SB_From,GL_Journal!$D:$D,"&lt;="&amp;SB_To))</f>
        <v/>
      </c>
      <c r="F85" s="47">
        <f>IF($A85="","",$C85+$D85-$E85)</f>
        <v/>
      </c>
      <c r="G85" s="43">
        <f>IF($A85="","",MIN(MAX($F85,0),SUMIFS(Supplier_Invoices!$AC:$AC,Supplier_Invoices!$C:$C,$A85,Supplier_Invoices!$AG:$AG,1,Supplier_Invoices!$Y:$Y,"&gt;="&amp;(SB_To-0),Supplier_Invoices!$E:$E,"&lt;="&amp;SB_To)))</f>
        <v/>
      </c>
      <c r="H85" s="43">
        <f>IF($A85="","",MIN(MAX($F85,0),SUMIFS(Supplier_Invoices!$AC:$AC,Supplier_Invoices!$C:$C,$A85,Supplier_Invoices!$AG:$AG,1,Supplier_Invoices!$Y:$Y,"&gt;="&amp;(SB_To-30),Supplier_Invoices!$E:$E,"&lt;="&amp;SB_To))-MIN(MAX($F85,0),SUMIFS(Supplier_Invoices!$AC:$AC,Supplier_Invoices!$C:$C,$A85,Supplier_Invoices!$AG:$AG,1,Supplier_Invoices!$Y:$Y,"&gt;="&amp;(SB_To-0),Supplier_Invoices!$E:$E,"&lt;="&amp;SB_To)))</f>
        <v/>
      </c>
      <c r="I85" s="43">
        <f>IF($A85="","",MIN(MAX($F85,0),SUMIFS(Supplier_Invoices!$AC:$AC,Supplier_Invoices!$C:$C,$A85,Supplier_Invoices!$AG:$AG,1,Supplier_Invoices!$Y:$Y,"&gt;="&amp;(SB_To-60),Supplier_Invoices!$E:$E,"&lt;="&amp;SB_To))-MIN(MAX($F85,0),SUMIFS(Supplier_Invoices!$AC:$AC,Supplier_Invoices!$C:$C,$A85,Supplier_Invoices!$AG:$AG,1,Supplier_Invoices!$Y:$Y,"&gt;="&amp;(SB_To-30),Supplier_Invoices!$E:$E,"&lt;="&amp;SB_To)))</f>
        <v/>
      </c>
      <c r="J85" s="43">
        <f>IF($A85="","",MIN(MAX($F85,0),SUMIFS(Supplier_Invoices!$AC:$AC,Supplier_Invoices!$C:$C,$A85,Supplier_Invoices!$AG:$AG,1,Supplier_Invoices!$Y:$Y,"&gt;="&amp;(SB_To-90),Supplier_Invoices!$E:$E,"&lt;="&amp;SB_To))-MIN(MAX($F85,0),SUMIFS(Supplier_Invoices!$AC:$AC,Supplier_Invoices!$C:$C,$A85,Supplier_Invoices!$AG:$AG,1,Supplier_Invoices!$Y:$Y,"&gt;="&amp;(SB_To-60),Supplier_Invoices!$E:$E,"&lt;="&amp;SB_To)))</f>
        <v/>
      </c>
      <c r="K85" s="43">
        <f>IF($A85="","",MAX($F85,0)-MIN(MAX($F85,0),SUMIFS(Supplier_Invoices!$AC:$AC,Supplier_Invoices!$C:$C,$A85,Supplier_Invoices!$AG:$AG,1,Supplier_Invoices!$Y:$Y,"&gt;="&amp;(SB_To-90),Supplier_Invoices!$E:$E,"&lt;="&amp;SB_To)))</f>
        <v/>
      </c>
      <c r="L85" s="33">
        <f>IF($A85="","",IF(COUNTIFS(Supplier_Payments!$C:$C,$A85,Supplier_Payments!$V:$V,1)=0,"",_xlfn.MAXIFS(Supplier_Payments!$B:$B,Supplier_Payments!$C:$C,$A85,Supplier_Payments!$V:$V,1)))</f>
        <v/>
      </c>
      <c r="M85" s="32">
        <f>IF($A85="","",IF($F85&lt;-S_Tol,"رصيد مدين للمورد - مراجعة",IF($H85+$I85+$J85+$K85&gt;S_Tol,"يوجد مبالغ متأخرة","")))</f>
        <v/>
      </c>
    </row>
    <row r="86">
      <c r="A86" s="44">
        <f>IF(INDEX(Suppliers!$A:$A,ROW()-6)="","",INDEX(Suppliers!$A:$A,ROW()-6))</f>
        <v/>
      </c>
      <c r="B86" s="32">
        <f>IF($A86="","",INDEX(Suppliers!$B:$B,ROW()-6))</f>
        <v/>
      </c>
      <c r="C86" s="47">
        <f>IF($A86="","",SUMIFS(GL_Journal!$T:$T,GL_Journal!$G:$G,ACC_SUPPLIERS,GL_Journal!$K:$K,$A86,GL_Journal!$D:$D,"&lt;"&amp;SB_From)-SUMIFS(GL_Journal!$S:$S,GL_Journal!$G:$G,ACC_SUPPLIERS,GL_Journal!$K:$K,$A86,GL_Journal!$D:$D,"&lt;"&amp;SB_From))</f>
        <v/>
      </c>
      <c r="D86" s="43">
        <f>IF($A86="","",SUMIFS(GL_Journal!$T:$T,GL_Journal!$G:$G,ACC_SUPPLIERS,GL_Journal!$K:$K,$A86,GL_Journal!$D:$D,"&gt;="&amp;SB_From,GL_Journal!$D:$D,"&lt;="&amp;SB_To))</f>
        <v/>
      </c>
      <c r="E86" s="43">
        <f>IF($A86="","",SUMIFS(GL_Journal!$S:$S,GL_Journal!$G:$G,ACC_SUPPLIERS,GL_Journal!$K:$K,$A86,GL_Journal!$D:$D,"&gt;="&amp;SB_From,GL_Journal!$D:$D,"&lt;="&amp;SB_To))</f>
        <v/>
      </c>
      <c r="F86" s="47">
        <f>IF($A86="","",$C86+$D86-$E86)</f>
        <v/>
      </c>
      <c r="G86" s="43">
        <f>IF($A86="","",MIN(MAX($F86,0),SUMIFS(Supplier_Invoices!$AC:$AC,Supplier_Invoices!$C:$C,$A86,Supplier_Invoices!$AG:$AG,1,Supplier_Invoices!$Y:$Y,"&gt;="&amp;(SB_To-0),Supplier_Invoices!$E:$E,"&lt;="&amp;SB_To)))</f>
        <v/>
      </c>
      <c r="H86" s="43">
        <f>IF($A86="","",MIN(MAX($F86,0),SUMIFS(Supplier_Invoices!$AC:$AC,Supplier_Invoices!$C:$C,$A86,Supplier_Invoices!$AG:$AG,1,Supplier_Invoices!$Y:$Y,"&gt;="&amp;(SB_To-30),Supplier_Invoices!$E:$E,"&lt;="&amp;SB_To))-MIN(MAX($F86,0),SUMIFS(Supplier_Invoices!$AC:$AC,Supplier_Invoices!$C:$C,$A86,Supplier_Invoices!$AG:$AG,1,Supplier_Invoices!$Y:$Y,"&gt;="&amp;(SB_To-0),Supplier_Invoices!$E:$E,"&lt;="&amp;SB_To)))</f>
        <v/>
      </c>
      <c r="I86" s="43">
        <f>IF($A86="","",MIN(MAX($F86,0),SUMIFS(Supplier_Invoices!$AC:$AC,Supplier_Invoices!$C:$C,$A86,Supplier_Invoices!$AG:$AG,1,Supplier_Invoices!$Y:$Y,"&gt;="&amp;(SB_To-60),Supplier_Invoices!$E:$E,"&lt;="&amp;SB_To))-MIN(MAX($F86,0),SUMIFS(Supplier_Invoices!$AC:$AC,Supplier_Invoices!$C:$C,$A86,Supplier_Invoices!$AG:$AG,1,Supplier_Invoices!$Y:$Y,"&gt;="&amp;(SB_To-30),Supplier_Invoices!$E:$E,"&lt;="&amp;SB_To)))</f>
        <v/>
      </c>
      <c r="J86" s="43">
        <f>IF($A86="","",MIN(MAX($F86,0),SUMIFS(Supplier_Invoices!$AC:$AC,Supplier_Invoices!$C:$C,$A86,Supplier_Invoices!$AG:$AG,1,Supplier_Invoices!$Y:$Y,"&gt;="&amp;(SB_To-90),Supplier_Invoices!$E:$E,"&lt;="&amp;SB_To))-MIN(MAX($F86,0),SUMIFS(Supplier_Invoices!$AC:$AC,Supplier_Invoices!$C:$C,$A86,Supplier_Invoices!$AG:$AG,1,Supplier_Invoices!$Y:$Y,"&gt;="&amp;(SB_To-60),Supplier_Invoices!$E:$E,"&lt;="&amp;SB_To)))</f>
        <v/>
      </c>
      <c r="K86" s="43">
        <f>IF($A86="","",MAX($F86,0)-MIN(MAX($F86,0),SUMIFS(Supplier_Invoices!$AC:$AC,Supplier_Invoices!$C:$C,$A86,Supplier_Invoices!$AG:$AG,1,Supplier_Invoices!$Y:$Y,"&gt;="&amp;(SB_To-90),Supplier_Invoices!$E:$E,"&lt;="&amp;SB_To)))</f>
        <v/>
      </c>
      <c r="L86" s="33">
        <f>IF($A86="","",IF(COUNTIFS(Supplier_Payments!$C:$C,$A86,Supplier_Payments!$V:$V,1)=0,"",_xlfn.MAXIFS(Supplier_Payments!$B:$B,Supplier_Payments!$C:$C,$A86,Supplier_Payments!$V:$V,1)))</f>
        <v/>
      </c>
      <c r="M86" s="32">
        <f>IF($A86="","",IF($F86&lt;-S_Tol,"رصيد مدين للمورد - مراجعة",IF($H86+$I86+$J86+$K86&gt;S_Tol,"يوجد مبالغ متأخرة","")))</f>
        <v/>
      </c>
    </row>
    <row r="87">
      <c r="A87" s="44">
        <f>IF(INDEX(Suppliers!$A:$A,ROW()-6)="","",INDEX(Suppliers!$A:$A,ROW()-6))</f>
        <v/>
      </c>
      <c r="B87" s="32">
        <f>IF($A87="","",INDEX(Suppliers!$B:$B,ROW()-6))</f>
        <v/>
      </c>
      <c r="C87" s="47">
        <f>IF($A87="","",SUMIFS(GL_Journal!$T:$T,GL_Journal!$G:$G,ACC_SUPPLIERS,GL_Journal!$K:$K,$A87,GL_Journal!$D:$D,"&lt;"&amp;SB_From)-SUMIFS(GL_Journal!$S:$S,GL_Journal!$G:$G,ACC_SUPPLIERS,GL_Journal!$K:$K,$A87,GL_Journal!$D:$D,"&lt;"&amp;SB_From))</f>
        <v/>
      </c>
      <c r="D87" s="43">
        <f>IF($A87="","",SUMIFS(GL_Journal!$T:$T,GL_Journal!$G:$G,ACC_SUPPLIERS,GL_Journal!$K:$K,$A87,GL_Journal!$D:$D,"&gt;="&amp;SB_From,GL_Journal!$D:$D,"&lt;="&amp;SB_To))</f>
        <v/>
      </c>
      <c r="E87" s="43">
        <f>IF($A87="","",SUMIFS(GL_Journal!$S:$S,GL_Journal!$G:$G,ACC_SUPPLIERS,GL_Journal!$K:$K,$A87,GL_Journal!$D:$D,"&gt;="&amp;SB_From,GL_Journal!$D:$D,"&lt;="&amp;SB_To))</f>
        <v/>
      </c>
      <c r="F87" s="47">
        <f>IF($A87="","",$C87+$D87-$E87)</f>
        <v/>
      </c>
      <c r="G87" s="43">
        <f>IF($A87="","",MIN(MAX($F87,0),SUMIFS(Supplier_Invoices!$AC:$AC,Supplier_Invoices!$C:$C,$A87,Supplier_Invoices!$AG:$AG,1,Supplier_Invoices!$Y:$Y,"&gt;="&amp;(SB_To-0),Supplier_Invoices!$E:$E,"&lt;="&amp;SB_To)))</f>
        <v/>
      </c>
      <c r="H87" s="43">
        <f>IF($A87="","",MIN(MAX($F87,0),SUMIFS(Supplier_Invoices!$AC:$AC,Supplier_Invoices!$C:$C,$A87,Supplier_Invoices!$AG:$AG,1,Supplier_Invoices!$Y:$Y,"&gt;="&amp;(SB_To-30),Supplier_Invoices!$E:$E,"&lt;="&amp;SB_To))-MIN(MAX($F87,0),SUMIFS(Supplier_Invoices!$AC:$AC,Supplier_Invoices!$C:$C,$A87,Supplier_Invoices!$AG:$AG,1,Supplier_Invoices!$Y:$Y,"&gt;="&amp;(SB_To-0),Supplier_Invoices!$E:$E,"&lt;="&amp;SB_To)))</f>
        <v/>
      </c>
      <c r="I87" s="43">
        <f>IF($A87="","",MIN(MAX($F87,0),SUMIFS(Supplier_Invoices!$AC:$AC,Supplier_Invoices!$C:$C,$A87,Supplier_Invoices!$AG:$AG,1,Supplier_Invoices!$Y:$Y,"&gt;="&amp;(SB_To-60),Supplier_Invoices!$E:$E,"&lt;="&amp;SB_To))-MIN(MAX($F87,0),SUMIFS(Supplier_Invoices!$AC:$AC,Supplier_Invoices!$C:$C,$A87,Supplier_Invoices!$AG:$AG,1,Supplier_Invoices!$Y:$Y,"&gt;="&amp;(SB_To-30),Supplier_Invoices!$E:$E,"&lt;="&amp;SB_To)))</f>
        <v/>
      </c>
      <c r="J87" s="43">
        <f>IF($A87="","",MIN(MAX($F87,0),SUMIFS(Supplier_Invoices!$AC:$AC,Supplier_Invoices!$C:$C,$A87,Supplier_Invoices!$AG:$AG,1,Supplier_Invoices!$Y:$Y,"&gt;="&amp;(SB_To-90),Supplier_Invoices!$E:$E,"&lt;="&amp;SB_To))-MIN(MAX($F87,0),SUMIFS(Supplier_Invoices!$AC:$AC,Supplier_Invoices!$C:$C,$A87,Supplier_Invoices!$AG:$AG,1,Supplier_Invoices!$Y:$Y,"&gt;="&amp;(SB_To-60),Supplier_Invoices!$E:$E,"&lt;="&amp;SB_To)))</f>
        <v/>
      </c>
      <c r="K87" s="43">
        <f>IF($A87="","",MAX($F87,0)-MIN(MAX($F87,0),SUMIFS(Supplier_Invoices!$AC:$AC,Supplier_Invoices!$C:$C,$A87,Supplier_Invoices!$AG:$AG,1,Supplier_Invoices!$Y:$Y,"&gt;="&amp;(SB_To-90),Supplier_Invoices!$E:$E,"&lt;="&amp;SB_To)))</f>
        <v/>
      </c>
      <c r="L87" s="33">
        <f>IF($A87="","",IF(COUNTIFS(Supplier_Payments!$C:$C,$A87,Supplier_Payments!$V:$V,1)=0,"",_xlfn.MAXIFS(Supplier_Payments!$B:$B,Supplier_Payments!$C:$C,$A87,Supplier_Payments!$V:$V,1)))</f>
        <v/>
      </c>
      <c r="M87" s="32">
        <f>IF($A87="","",IF($F87&lt;-S_Tol,"رصيد مدين للمورد - مراجعة",IF($H87+$I87+$J87+$K87&gt;S_Tol,"يوجد مبالغ متأخرة","")))</f>
        <v/>
      </c>
    </row>
    <row r="88">
      <c r="A88" s="44">
        <f>IF(INDEX(Suppliers!$A:$A,ROW()-6)="","",INDEX(Suppliers!$A:$A,ROW()-6))</f>
        <v/>
      </c>
      <c r="B88" s="32">
        <f>IF($A88="","",INDEX(Suppliers!$B:$B,ROW()-6))</f>
        <v/>
      </c>
      <c r="C88" s="47">
        <f>IF($A88="","",SUMIFS(GL_Journal!$T:$T,GL_Journal!$G:$G,ACC_SUPPLIERS,GL_Journal!$K:$K,$A88,GL_Journal!$D:$D,"&lt;"&amp;SB_From)-SUMIFS(GL_Journal!$S:$S,GL_Journal!$G:$G,ACC_SUPPLIERS,GL_Journal!$K:$K,$A88,GL_Journal!$D:$D,"&lt;"&amp;SB_From))</f>
        <v/>
      </c>
      <c r="D88" s="43">
        <f>IF($A88="","",SUMIFS(GL_Journal!$T:$T,GL_Journal!$G:$G,ACC_SUPPLIERS,GL_Journal!$K:$K,$A88,GL_Journal!$D:$D,"&gt;="&amp;SB_From,GL_Journal!$D:$D,"&lt;="&amp;SB_To))</f>
        <v/>
      </c>
      <c r="E88" s="43">
        <f>IF($A88="","",SUMIFS(GL_Journal!$S:$S,GL_Journal!$G:$G,ACC_SUPPLIERS,GL_Journal!$K:$K,$A88,GL_Journal!$D:$D,"&gt;="&amp;SB_From,GL_Journal!$D:$D,"&lt;="&amp;SB_To))</f>
        <v/>
      </c>
      <c r="F88" s="47">
        <f>IF($A88="","",$C88+$D88-$E88)</f>
        <v/>
      </c>
      <c r="G88" s="43">
        <f>IF($A88="","",MIN(MAX($F88,0),SUMIFS(Supplier_Invoices!$AC:$AC,Supplier_Invoices!$C:$C,$A88,Supplier_Invoices!$AG:$AG,1,Supplier_Invoices!$Y:$Y,"&gt;="&amp;(SB_To-0),Supplier_Invoices!$E:$E,"&lt;="&amp;SB_To)))</f>
        <v/>
      </c>
      <c r="H88" s="43">
        <f>IF($A88="","",MIN(MAX($F88,0),SUMIFS(Supplier_Invoices!$AC:$AC,Supplier_Invoices!$C:$C,$A88,Supplier_Invoices!$AG:$AG,1,Supplier_Invoices!$Y:$Y,"&gt;="&amp;(SB_To-30),Supplier_Invoices!$E:$E,"&lt;="&amp;SB_To))-MIN(MAX($F88,0),SUMIFS(Supplier_Invoices!$AC:$AC,Supplier_Invoices!$C:$C,$A88,Supplier_Invoices!$AG:$AG,1,Supplier_Invoices!$Y:$Y,"&gt;="&amp;(SB_To-0),Supplier_Invoices!$E:$E,"&lt;="&amp;SB_To)))</f>
        <v/>
      </c>
      <c r="I88" s="43">
        <f>IF($A88="","",MIN(MAX($F88,0),SUMIFS(Supplier_Invoices!$AC:$AC,Supplier_Invoices!$C:$C,$A88,Supplier_Invoices!$AG:$AG,1,Supplier_Invoices!$Y:$Y,"&gt;="&amp;(SB_To-60),Supplier_Invoices!$E:$E,"&lt;="&amp;SB_To))-MIN(MAX($F88,0),SUMIFS(Supplier_Invoices!$AC:$AC,Supplier_Invoices!$C:$C,$A88,Supplier_Invoices!$AG:$AG,1,Supplier_Invoices!$Y:$Y,"&gt;="&amp;(SB_To-30),Supplier_Invoices!$E:$E,"&lt;="&amp;SB_To)))</f>
        <v/>
      </c>
      <c r="J88" s="43">
        <f>IF($A88="","",MIN(MAX($F88,0),SUMIFS(Supplier_Invoices!$AC:$AC,Supplier_Invoices!$C:$C,$A88,Supplier_Invoices!$AG:$AG,1,Supplier_Invoices!$Y:$Y,"&gt;="&amp;(SB_To-90),Supplier_Invoices!$E:$E,"&lt;="&amp;SB_To))-MIN(MAX($F88,0),SUMIFS(Supplier_Invoices!$AC:$AC,Supplier_Invoices!$C:$C,$A88,Supplier_Invoices!$AG:$AG,1,Supplier_Invoices!$Y:$Y,"&gt;="&amp;(SB_To-60),Supplier_Invoices!$E:$E,"&lt;="&amp;SB_To)))</f>
        <v/>
      </c>
      <c r="K88" s="43">
        <f>IF($A88="","",MAX($F88,0)-MIN(MAX($F88,0),SUMIFS(Supplier_Invoices!$AC:$AC,Supplier_Invoices!$C:$C,$A88,Supplier_Invoices!$AG:$AG,1,Supplier_Invoices!$Y:$Y,"&gt;="&amp;(SB_To-90),Supplier_Invoices!$E:$E,"&lt;="&amp;SB_To)))</f>
        <v/>
      </c>
      <c r="L88" s="33">
        <f>IF($A88="","",IF(COUNTIFS(Supplier_Payments!$C:$C,$A88,Supplier_Payments!$V:$V,1)=0,"",_xlfn.MAXIFS(Supplier_Payments!$B:$B,Supplier_Payments!$C:$C,$A88,Supplier_Payments!$V:$V,1)))</f>
        <v/>
      </c>
      <c r="M88" s="32">
        <f>IF($A88="","",IF($F88&lt;-S_Tol,"رصيد مدين للمورد - مراجعة",IF($H88+$I88+$J88+$K88&gt;S_Tol,"يوجد مبالغ متأخرة","")))</f>
        <v/>
      </c>
    </row>
    <row r="89">
      <c r="A89" s="44">
        <f>IF(INDEX(Suppliers!$A:$A,ROW()-6)="","",INDEX(Suppliers!$A:$A,ROW()-6))</f>
        <v/>
      </c>
      <c r="B89" s="32">
        <f>IF($A89="","",INDEX(Suppliers!$B:$B,ROW()-6))</f>
        <v/>
      </c>
      <c r="C89" s="47">
        <f>IF($A89="","",SUMIFS(GL_Journal!$T:$T,GL_Journal!$G:$G,ACC_SUPPLIERS,GL_Journal!$K:$K,$A89,GL_Journal!$D:$D,"&lt;"&amp;SB_From)-SUMIFS(GL_Journal!$S:$S,GL_Journal!$G:$G,ACC_SUPPLIERS,GL_Journal!$K:$K,$A89,GL_Journal!$D:$D,"&lt;"&amp;SB_From))</f>
        <v/>
      </c>
      <c r="D89" s="43">
        <f>IF($A89="","",SUMIFS(GL_Journal!$T:$T,GL_Journal!$G:$G,ACC_SUPPLIERS,GL_Journal!$K:$K,$A89,GL_Journal!$D:$D,"&gt;="&amp;SB_From,GL_Journal!$D:$D,"&lt;="&amp;SB_To))</f>
        <v/>
      </c>
      <c r="E89" s="43">
        <f>IF($A89="","",SUMIFS(GL_Journal!$S:$S,GL_Journal!$G:$G,ACC_SUPPLIERS,GL_Journal!$K:$K,$A89,GL_Journal!$D:$D,"&gt;="&amp;SB_From,GL_Journal!$D:$D,"&lt;="&amp;SB_To))</f>
        <v/>
      </c>
      <c r="F89" s="47">
        <f>IF($A89="","",$C89+$D89-$E89)</f>
        <v/>
      </c>
      <c r="G89" s="43">
        <f>IF($A89="","",MIN(MAX($F89,0),SUMIFS(Supplier_Invoices!$AC:$AC,Supplier_Invoices!$C:$C,$A89,Supplier_Invoices!$AG:$AG,1,Supplier_Invoices!$Y:$Y,"&gt;="&amp;(SB_To-0),Supplier_Invoices!$E:$E,"&lt;="&amp;SB_To)))</f>
        <v/>
      </c>
      <c r="H89" s="43">
        <f>IF($A89="","",MIN(MAX($F89,0),SUMIFS(Supplier_Invoices!$AC:$AC,Supplier_Invoices!$C:$C,$A89,Supplier_Invoices!$AG:$AG,1,Supplier_Invoices!$Y:$Y,"&gt;="&amp;(SB_To-30),Supplier_Invoices!$E:$E,"&lt;="&amp;SB_To))-MIN(MAX($F89,0),SUMIFS(Supplier_Invoices!$AC:$AC,Supplier_Invoices!$C:$C,$A89,Supplier_Invoices!$AG:$AG,1,Supplier_Invoices!$Y:$Y,"&gt;="&amp;(SB_To-0),Supplier_Invoices!$E:$E,"&lt;="&amp;SB_To)))</f>
        <v/>
      </c>
      <c r="I89" s="43">
        <f>IF($A89="","",MIN(MAX($F89,0),SUMIFS(Supplier_Invoices!$AC:$AC,Supplier_Invoices!$C:$C,$A89,Supplier_Invoices!$AG:$AG,1,Supplier_Invoices!$Y:$Y,"&gt;="&amp;(SB_To-60),Supplier_Invoices!$E:$E,"&lt;="&amp;SB_To))-MIN(MAX($F89,0),SUMIFS(Supplier_Invoices!$AC:$AC,Supplier_Invoices!$C:$C,$A89,Supplier_Invoices!$AG:$AG,1,Supplier_Invoices!$Y:$Y,"&gt;="&amp;(SB_To-30),Supplier_Invoices!$E:$E,"&lt;="&amp;SB_To)))</f>
        <v/>
      </c>
      <c r="J89" s="43">
        <f>IF($A89="","",MIN(MAX($F89,0),SUMIFS(Supplier_Invoices!$AC:$AC,Supplier_Invoices!$C:$C,$A89,Supplier_Invoices!$AG:$AG,1,Supplier_Invoices!$Y:$Y,"&gt;="&amp;(SB_To-90),Supplier_Invoices!$E:$E,"&lt;="&amp;SB_To))-MIN(MAX($F89,0),SUMIFS(Supplier_Invoices!$AC:$AC,Supplier_Invoices!$C:$C,$A89,Supplier_Invoices!$AG:$AG,1,Supplier_Invoices!$Y:$Y,"&gt;="&amp;(SB_To-60),Supplier_Invoices!$E:$E,"&lt;="&amp;SB_To)))</f>
        <v/>
      </c>
      <c r="K89" s="43">
        <f>IF($A89="","",MAX($F89,0)-MIN(MAX($F89,0),SUMIFS(Supplier_Invoices!$AC:$AC,Supplier_Invoices!$C:$C,$A89,Supplier_Invoices!$AG:$AG,1,Supplier_Invoices!$Y:$Y,"&gt;="&amp;(SB_To-90),Supplier_Invoices!$E:$E,"&lt;="&amp;SB_To)))</f>
        <v/>
      </c>
      <c r="L89" s="33">
        <f>IF($A89="","",IF(COUNTIFS(Supplier_Payments!$C:$C,$A89,Supplier_Payments!$V:$V,1)=0,"",_xlfn.MAXIFS(Supplier_Payments!$B:$B,Supplier_Payments!$C:$C,$A89,Supplier_Payments!$V:$V,1)))</f>
        <v/>
      </c>
      <c r="M89" s="32">
        <f>IF($A89="","",IF($F89&lt;-S_Tol,"رصيد مدين للمورد - مراجعة",IF($H89+$I89+$J89+$K89&gt;S_Tol,"يوجد مبالغ متأخرة","")))</f>
        <v/>
      </c>
    </row>
    <row r="90">
      <c r="A90" s="44">
        <f>IF(INDEX(Suppliers!$A:$A,ROW()-6)="","",INDEX(Suppliers!$A:$A,ROW()-6))</f>
        <v/>
      </c>
      <c r="B90" s="32">
        <f>IF($A90="","",INDEX(Suppliers!$B:$B,ROW()-6))</f>
        <v/>
      </c>
      <c r="C90" s="47">
        <f>IF($A90="","",SUMIFS(GL_Journal!$T:$T,GL_Journal!$G:$G,ACC_SUPPLIERS,GL_Journal!$K:$K,$A90,GL_Journal!$D:$D,"&lt;"&amp;SB_From)-SUMIFS(GL_Journal!$S:$S,GL_Journal!$G:$G,ACC_SUPPLIERS,GL_Journal!$K:$K,$A90,GL_Journal!$D:$D,"&lt;"&amp;SB_From))</f>
        <v/>
      </c>
      <c r="D90" s="43">
        <f>IF($A90="","",SUMIFS(GL_Journal!$T:$T,GL_Journal!$G:$G,ACC_SUPPLIERS,GL_Journal!$K:$K,$A90,GL_Journal!$D:$D,"&gt;="&amp;SB_From,GL_Journal!$D:$D,"&lt;="&amp;SB_To))</f>
        <v/>
      </c>
      <c r="E90" s="43">
        <f>IF($A90="","",SUMIFS(GL_Journal!$S:$S,GL_Journal!$G:$G,ACC_SUPPLIERS,GL_Journal!$K:$K,$A90,GL_Journal!$D:$D,"&gt;="&amp;SB_From,GL_Journal!$D:$D,"&lt;="&amp;SB_To))</f>
        <v/>
      </c>
      <c r="F90" s="47">
        <f>IF($A90="","",$C90+$D90-$E90)</f>
        <v/>
      </c>
      <c r="G90" s="43">
        <f>IF($A90="","",MIN(MAX($F90,0),SUMIFS(Supplier_Invoices!$AC:$AC,Supplier_Invoices!$C:$C,$A90,Supplier_Invoices!$AG:$AG,1,Supplier_Invoices!$Y:$Y,"&gt;="&amp;(SB_To-0),Supplier_Invoices!$E:$E,"&lt;="&amp;SB_To)))</f>
        <v/>
      </c>
      <c r="H90" s="43">
        <f>IF($A90="","",MIN(MAX($F90,0),SUMIFS(Supplier_Invoices!$AC:$AC,Supplier_Invoices!$C:$C,$A90,Supplier_Invoices!$AG:$AG,1,Supplier_Invoices!$Y:$Y,"&gt;="&amp;(SB_To-30),Supplier_Invoices!$E:$E,"&lt;="&amp;SB_To))-MIN(MAX($F90,0),SUMIFS(Supplier_Invoices!$AC:$AC,Supplier_Invoices!$C:$C,$A90,Supplier_Invoices!$AG:$AG,1,Supplier_Invoices!$Y:$Y,"&gt;="&amp;(SB_To-0),Supplier_Invoices!$E:$E,"&lt;="&amp;SB_To)))</f>
        <v/>
      </c>
      <c r="I90" s="43">
        <f>IF($A90="","",MIN(MAX($F90,0),SUMIFS(Supplier_Invoices!$AC:$AC,Supplier_Invoices!$C:$C,$A90,Supplier_Invoices!$AG:$AG,1,Supplier_Invoices!$Y:$Y,"&gt;="&amp;(SB_To-60),Supplier_Invoices!$E:$E,"&lt;="&amp;SB_To))-MIN(MAX($F90,0),SUMIFS(Supplier_Invoices!$AC:$AC,Supplier_Invoices!$C:$C,$A90,Supplier_Invoices!$AG:$AG,1,Supplier_Invoices!$Y:$Y,"&gt;="&amp;(SB_To-30),Supplier_Invoices!$E:$E,"&lt;="&amp;SB_To)))</f>
        <v/>
      </c>
      <c r="J90" s="43">
        <f>IF($A90="","",MIN(MAX($F90,0),SUMIFS(Supplier_Invoices!$AC:$AC,Supplier_Invoices!$C:$C,$A90,Supplier_Invoices!$AG:$AG,1,Supplier_Invoices!$Y:$Y,"&gt;="&amp;(SB_To-90),Supplier_Invoices!$E:$E,"&lt;="&amp;SB_To))-MIN(MAX($F90,0),SUMIFS(Supplier_Invoices!$AC:$AC,Supplier_Invoices!$C:$C,$A90,Supplier_Invoices!$AG:$AG,1,Supplier_Invoices!$Y:$Y,"&gt;="&amp;(SB_To-60),Supplier_Invoices!$E:$E,"&lt;="&amp;SB_To)))</f>
        <v/>
      </c>
      <c r="K90" s="43">
        <f>IF($A90="","",MAX($F90,0)-MIN(MAX($F90,0),SUMIFS(Supplier_Invoices!$AC:$AC,Supplier_Invoices!$C:$C,$A90,Supplier_Invoices!$AG:$AG,1,Supplier_Invoices!$Y:$Y,"&gt;="&amp;(SB_To-90),Supplier_Invoices!$E:$E,"&lt;="&amp;SB_To)))</f>
        <v/>
      </c>
      <c r="L90" s="33">
        <f>IF($A90="","",IF(COUNTIFS(Supplier_Payments!$C:$C,$A90,Supplier_Payments!$V:$V,1)=0,"",_xlfn.MAXIFS(Supplier_Payments!$B:$B,Supplier_Payments!$C:$C,$A90,Supplier_Payments!$V:$V,1)))</f>
        <v/>
      </c>
      <c r="M90" s="32">
        <f>IF($A90="","",IF($F90&lt;-S_Tol,"رصيد مدين للمورد - مراجعة",IF($H90+$I90+$J90+$K90&gt;S_Tol,"يوجد مبالغ متأخرة","")))</f>
        <v/>
      </c>
    </row>
    <row r="91">
      <c r="A91" s="44">
        <f>IF(INDEX(Suppliers!$A:$A,ROW()-6)="","",INDEX(Suppliers!$A:$A,ROW()-6))</f>
        <v/>
      </c>
      <c r="B91" s="32">
        <f>IF($A91="","",INDEX(Suppliers!$B:$B,ROW()-6))</f>
        <v/>
      </c>
      <c r="C91" s="47">
        <f>IF($A91="","",SUMIFS(GL_Journal!$T:$T,GL_Journal!$G:$G,ACC_SUPPLIERS,GL_Journal!$K:$K,$A91,GL_Journal!$D:$D,"&lt;"&amp;SB_From)-SUMIFS(GL_Journal!$S:$S,GL_Journal!$G:$G,ACC_SUPPLIERS,GL_Journal!$K:$K,$A91,GL_Journal!$D:$D,"&lt;"&amp;SB_From))</f>
        <v/>
      </c>
      <c r="D91" s="43">
        <f>IF($A91="","",SUMIFS(GL_Journal!$T:$T,GL_Journal!$G:$G,ACC_SUPPLIERS,GL_Journal!$K:$K,$A91,GL_Journal!$D:$D,"&gt;="&amp;SB_From,GL_Journal!$D:$D,"&lt;="&amp;SB_To))</f>
        <v/>
      </c>
      <c r="E91" s="43">
        <f>IF($A91="","",SUMIFS(GL_Journal!$S:$S,GL_Journal!$G:$G,ACC_SUPPLIERS,GL_Journal!$K:$K,$A91,GL_Journal!$D:$D,"&gt;="&amp;SB_From,GL_Journal!$D:$D,"&lt;="&amp;SB_To))</f>
        <v/>
      </c>
      <c r="F91" s="47">
        <f>IF($A91="","",$C91+$D91-$E91)</f>
        <v/>
      </c>
      <c r="G91" s="43">
        <f>IF($A91="","",MIN(MAX($F91,0),SUMIFS(Supplier_Invoices!$AC:$AC,Supplier_Invoices!$C:$C,$A91,Supplier_Invoices!$AG:$AG,1,Supplier_Invoices!$Y:$Y,"&gt;="&amp;(SB_To-0),Supplier_Invoices!$E:$E,"&lt;="&amp;SB_To)))</f>
        <v/>
      </c>
      <c r="H91" s="43">
        <f>IF($A91="","",MIN(MAX($F91,0),SUMIFS(Supplier_Invoices!$AC:$AC,Supplier_Invoices!$C:$C,$A91,Supplier_Invoices!$AG:$AG,1,Supplier_Invoices!$Y:$Y,"&gt;="&amp;(SB_To-30),Supplier_Invoices!$E:$E,"&lt;="&amp;SB_To))-MIN(MAX($F91,0),SUMIFS(Supplier_Invoices!$AC:$AC,Supplier_Invoices!$C:$C,$A91,Supplier_Invoices!$AG:$AG,1,Supplier_Invoices!$Y:$Y,"&gt;="&amp;(SB_To-0),Supplier_Invoices!$E:$E,"&lt;="&amp;SB_To)))</f>
        <v/>
      </c>
      <c r="I91" s="43">
        <f>IF($A91="","",MIN(MAX($F91,0),SUMIFS(Supplier_Invoices!$AC:$AC,Supplier_Invoices!$C:$C,$A91,Supplier_Invoices!$AG:$AG,1,Supplier_Invoices!$Y:$Y,"&gt;="&amp;(SB_To-60),Supplier_Invoices!$E:$E,"&lt;="&amp;SB_To))-MIN(MAX($F91,0),SUMIFS(Supplier_Invoices!$AC:$AC,Supplier_Invoices!$C:$C,$A91,Supplier_Invoices!$AG:$AG,1,Supplier_Invoices!$Y:$Y,"&gt;="&amp;(SB_To-30),Supplier_Invoices!$E:$E,"&lt;="&amp;SB_To)))</f>
        <v/>
      </c>
      <c r="J91" s="43">
        <f>IF($A91="","",MIN(MAX($F91,0),SUMIFS(Supplier_Invoices!$AC:$AC,Supplier_Invoices!$C:$C,$A91,Supplier_Invoices!$AG:$AG,1,Supplier_Invoices!$Y:$Y,"&gt;="&amp;(SB_To-90),Supplier_Invoices!$E:$E,"&lt;="&amp;SB_To))-MIN(MAX($F91,0),SUMIFS(Supplier_Invoices!$AC:$AC,Supplier_Invoices!$C:$C,$A91,Supplier_Invoices!$AG:$AG,1,Supplier_Invoices!$Y:$Y,"&gt;="&amp;(SB_To-60),Supplier_Invoices!$E:$E,"&lt;="&amp;SB_To)))</f>
        <v/>
      </c>
      <c r="K91" s="43">
        <f>IF($A91="","",MAX($F91,0)-MIN(MAX($F91,0),SUMIFS(Supplier_Invoices!$AC:$AC,Supplier_Invoices!$C:$C,$A91,Supplier_Invoices!$AG:$AG,1,Supplier_Invoices!$Y:$Y,"&gt;="&amp;(SB_To-90),Supplier_Invoices!$E:$E,"&lt;="&amp;SB_To)))</f>
        <v/>
      </c>
      <c r="L91" s="33">
        <f>IF($A91="","",IF(COUNTIFS(Supplier_Payments!$C:$C,$A91,Supplier_Payments!$V:$V,1)=0,"",_xlfn.MAXIFS(Supplier_Payments!$B:$B,Supplier_Payments!$C:$C,$A91,Supplier_Payments!$V:$V,1)))</f>
        <v/>
      </c>
      <c r="M91" s="32">
        <f>IF($A91="","",IF($F91&lt;-S_Tol,"رصيد مدين للمورد - مراجعة",IF($H91+$I91+$J91+$K91&gt;S_Tol,"يوجد مبالغ متأخرة","")))</f>
        <v/>
      </c>
    </row>
    <row r="92">
      <c r="A92" s="44">
        <f>IF(INDEX(Suppliers!$A:$A,ROW()-6)="","",INDEX(Suppliers!$A:$A,ROW()-6))</f>
        <v/>
      </c>
      <c r="B92" s="32">
        <f>IF($A92="","",INDEX(Suppliers!$B:$B,ROW()-6))</f>
        <v/>
      </c>
      <c r="C92" s="47">
        <f>IF($A92="","",SUMIFS(GL_Journal!$T:$T,GL_Journal!$G:$G,ACC_SUPPLIERS,GL_Journal!$K:$K,$A92,GL_Journal!$D:$D,"&lt;"&amp;SB_From)-SUMIFS(GL_Journal!$S:$S,GL_Journal!$G:$G,ACC_SUPPLIERS,GL_Journal!$K:$K,$A92,GL_Journal!$D:$D,"&lt;"&amp;SB_From))</f>
        <v/>
      </c>
      <c r="D92" s="43">
        <f>IF($A92="","",SUMIFS(GL_Journal!$T:$T,GL_Journal!$G:$G,ACC_SUPPLIERS,GL_Journal!$K:$K,$A92,GL_Journal!$D:$D,"&gt;="&amp;SB_From,GL_Journal!$D:$D,"&lt;="&amp;SB_To))</f>
        <v/>
      </c>
      <c r="E92" s="43">
        <f>IF($A92="","",SUMIFS(GL_Journal!$S:$S,GL_Journal!$G:$G,ACC_SUPPLIERS,GL_Journal!$K:$K,$A92,GL_Journal!$D:$D,"&gt;="&amp;SB_From,GL_Journal!$D:$D,"&lt;="&amp;SB_To))</f>
        <v/>
      </c>
      <c r="F92" s="47">
        <f>IF($A92="","",$C92+$D92-$E92)</f>
        <v/>
      </c>
      <c r="G92" s="43">
        <f>IF($A92="","",MIN(MAX($F92,0),SUMIFS(Supplier_Invoices!$AC:$AC,Supplier_Invoices!$C:$C,$A92,Supplier_Invoices!$AG:$AG,1,Supplier_Invoices!$Y:$Y,"&gt;="&amp;(SB_To-0),Supplier_Invoices!$E:$E,"&lt;="&amp;SB_To)))</f>
        <v/>
      </c>
      <c r="H92" s="43">
        <f>IF($A92="","",MIN(MAX($F92,0),SUMIFS(Supplier_Invoices!$AC:$AC,Supplier_Invoices!$C:$C,$A92,Supplier_Invoices!$AG:$AG,1,Supplier_Invoices!$Y:$Y,"&gt;="&amp;(SB_To-30),Supplier_Invoices!$E:$E,"&lt;="&amp;SB_To))-MIN(MAX($F92,0),SUMIFS(Supplier_Invoices!$AC:$AC,Supplier_Invoices!$C:$C,$A92,Supplier_Invoices!$AG:$AG,1,Supplier_Invoices!$Y:$Y,"&gt;="&amp;(SB_To-0),Supplier_Invoices!$E:$E,"&lt;="&amp;SB_To)))</f>
        <v/>
      </c>
      <c r="I92" s="43">
        <f>IF($A92="","",MIN(MAX($F92,0),SUMIFS(Supplier_Invoices!$AC:$AC,Supplier_Invoices!$C:$C,$A92,Supplier_Invoices!$AG:$AG,1,Supplier_Invoices!$Y:$Y,"&gt;="&amp;(SB_To-60),Supplier_Invoices!$E:$E,"&lt;="&amp;SB_To))-MIN(MAX($F92,0),SUMIFS(Supplier_Invoices!$AC:$AC,Supplier_Invoices!$C:$C,$A92,Supplier_Invoices!$AG:$AG,1,Supplier_Invoices!$Y:$Y,"&gt;="&amp;(SB_To-30),Supplier_Invoices!$E:$E,"&lt;="&amp;SB_To)))</f>
        <v/>
      </c>
      <c r="J92" s="43">
        <f>IF($A92="","",MIN(MAX($F92,0),SUMIFS(Supplier_Invoices!$AC:$AC,Supplier_Invoices!$C:$C,$A92,Supplier_Invoices!$AG:$AG,1,Supplier_Invoices!$Y:$Y,"&gt;="&amp;(SB_To-90),Supplier_Invoices!$E:$E,"&lt;="&amp;SB_To))-MIN(MAX($F92,0),SUMIFS(Supplier_Invoices!$AC:$AC,Supplier_Invoices!$C:$C,$A92,Supplier_Invoices!$AG:$AG,1,Supplier_Invoices!$Y:$Y,"&gt;="&amp;(SB_To-60),Supplier_Invoices!$E:$E,"&lt;="&amp;SB_To)))</f>
        <v/>
      </c>
      <c r="K92" s="43">
        <f>IF($A92="","",MAX($F92,0)-MIN(MAX($F92,0),SUMIFS(Supplier_Invoices!$AC:$AC,Supplier_Invoices!$C:$C,$A92,Supplier_Invoices!$AG:$AG,1,Supplier_Invoices!$Y:$Y,"&gt;="&amp;(SB_To-90),Supplier_Invoices!$E:$E,"&lt;="&amp;SB_To)))</f>
        <v/>
      </c>
      <c r="L92" s="33">
        <f>IF($A92="","",IF(COUNTIFS(Supplier_Payments!$C:$C,$A92,Supplier_Payments!$V:$V,1)=0,"",_xlfn.MAXIFS(Supplier_Payments!$B:$B,Supplier_Payments!$C:$C,$A92,Supplier_Payments!$V:$V,1)))</f>
        <v/>
      </c>
      <c r="M92" s="32">
        <f>IF($A92="","",IF($F92&lt;-S_Tol,"رصيد مدين للمورد - مراجعة",IF($H92+$I92+$J92+$K92&gt;S_Tol,"يوجد مبالغ متأخرة","")))</f>
        <v/>
      </c>
    </row>
    <row r="93">
      <c r="A93" s="44">
        <f>IF(INDEX(Suppliers!$A:$A,ROW()-6)="","",INDEX(Suppliers!$A:$A,ROW()-6))</f>
        <v/>
      </c>
      <c r="B93" s="32">
        <f>IF($A93="","",INDEX(Suppliers!$B:$B,ROW()-6))</f>
        <v/>
      </c>
      <c r="C93" s="47">
        <f>IF($A93="","",SUMIFS(GL_Journal!$T:$T,GL_Journal!$G:$G,ACC_SUPPLIERS,GL_Journal!$K:$K,$A93,GL_Journal!$D:$D,"&lt;"&amp;SB_From)-SUMIFS(GL_Journal!$S:$S,GL_Journal!$G:$G,ACC_SUPPLIERS,GL_Journal!$K:$K,$A93,GL_Journal!$D:$D,"&lt;"&amp;SB_From))</f>
        <v/>
      </c>
      <c r="D93" s="43">
        <f>IF($A93="","",SUMIFS(GL_Journal!$T:$T,GL_Journal!$G:$G,ACC_SUPPLIERS,GL_Journal!$K:$K,$A93,GL_Journal!$D:$D,"&gt;="&amp;SB_From,GL_Journal!$D:$D,"&lt;="&amp;SB_To))</f>
        <v/>
      </c>
      <c r="E93" s="43">
        <f>IF($A93="","",SUMIFS(GL_Journal!$S:$S,GL_Journal!$G:$G,ACC_SUPPLIERS,GL_Journal!$K:$K,$A93,GL_Journal!$D:$D,"&gt;="&amp;SB_From,GL_Journal!$D:$D,"&lt;="&amp;SB_To))</f>
        <v/>
      </c>
      <c r="F93" s="47">
        <f>IF($A93="","",$C93+$D93-$E93)</f>
        <v/>
      </c>
      <c r="G93" s="43">
        <f>IF($A93="","",MIN(MAX($F93,0),SUMIFS(Supplier_Invoices!$AC:$AC,Supplier_Invoices!$C:$C,$A93,Supplier_Invoices!$AG:$AG,1,Supplier_Invoices!$Y:$Y,"&gt;="&amp;(SB_To-0),Supplier_Invoices!$E:$E,"&lt;="&amp;SB_To)))</f>
        <v/>
      </c>
      <c r="H93" s="43">
        <f>IF($A93="","",MIN(MAX($F93,0),SUMIFS(Supplier_Invoices!$AC:$AC,Supplier_Invoices!$C:$C,$A93,Supplier_Invoices!$AG:$AG,1,Supplier_Invoices!$Y:$Y,"&gt;="&amp;(SB_To-30),Supplier_Invoices!$E:$E,"&lt;="&amp;SB_To))-MIN(MAX($F93,0),SUMIFS(Supplier_Invoices!$AC:$AC,Supplier_Invoices!$C:$C,$A93,Supplier_Invoices!$AG:$AG,1,Supplier_Invoices!$Y:$Y,"&gt;="&amp;(SB_To-0),Supplier_Invoices!$E:$E,"&lt;="&amp;SB_To)))</f>
        <v/>
      </c>
      <c r="I93" s="43">
        <f>IF($A93="","",MIN(MAX($F93,0),SUMIFS(Supplier_Invoices!$AC:$AC,Supplier_Invoices!$C:$C,$A93,Supplier_Invoices!$AG:$AG,1,Supplier_Invoices!$Y:$Y,"&gt;="&amp;(SB_To-60),Supplier_Invoices!$E:$E,"&lt;="&amp;SB_To))-MIN(MAX($F93,0),SUMIFS(Supplier_Invoices!$AC:$AC,Supplier_Invoices!$C:$C,$A93,Supplier_Invoices!$AG:$AG,1,Supplier_Invoices!$Y:$Y,"&gt;="&amp;(SB_To-30),Supplier_Invoices!$E:$E,"&lt;="&amp;SB_To)))</f>
        <v/>
      </c>
      <c r="J93" s="43">
        <f>IF($A93="","",MIN(MAX($F93,0),SUMIFS(Supplier_Invoices!$AC:$AC,Supplier_Invoices!$C:$C,$A93,Supplier_Invoices!$AG:$AG,1,Supplier_Invoices!$Y:$Y,"&gt;="&amp;(SB_To-90),Supplier_Invoices!$E:$E,"&lt;="&amp;SB_To))-MIN(MAX($F93,0),SUMIFS(Supplier_Invoices!$AC:$AC,Supplier_Invoices!$C:$C,$A93,Supplier_Invoices!$AG:$AG,1,Supplier_Invoices!$Y:$Y,"&gt;="&amp;(SB_To-60),Supplier_Invoices!$E:$E,"&lt;="&amp;SB_To)))</f>
        <v/>
      </c>
      <c r="K93" s="43">
        <f>IF($A93="","",MAX($F93,0)-MIN(MAX($F93,0),SUMIFS(Supplier_Invoices!$AC:$AC,Supplier_Invoices!$C:$C,$A93,Supplier_Invoices!$AG:$AG,1,Supplier_Invoices!$Y:$Y,"&gt;="&amp;(SB_To-90),Supplier_Invoices!$E:$E,"&lt;="&amp;SB_To)))</f>
        <v/>
      </c>
      <c r="L93" s="33">
        <f>IF($A93="","",IF(COUNTIFS(Supplier_Payments!$C:$C,$A93,Supplier_Payments!$V:$V,1)=0,"",_xlfn.MAXIFS(Supplier_Payments!$B:$B,Supplier_Payments!$C:$C,$A93,Supplier_Payments!$V:$V,1)))</f>
        <v/>
      </c>
      <c r="M93" s="32">
        <f>IF($A93="","",IF($F93&lt;-S_Tol,"رصيد مدين للمورد - مراجعة",IF($H93+$I93+$J93+$K93&gt;S_Tol,"يوجد مبالغ متأخرة","")))</f>
        <v/>
      </c>
    </row>
    <row r="94">
      <c r="A94" s="44">
        <f>IF(INDEX(Suppliers!$A:$A,ROW()-6)="","",INDEX(Suppliers!$A:$A,ROW()-6))</f>
        <v/>
      </c>
      <c r="B94" s="32">
        <f>IF($A94="","",INDEX(Suppliers!$B:$B,ROW()-6))</f>
        <v/>
      </c>
      <c r="C94" s="47">
        <f>IF($A94="","",SUMIFS(GL_Journal!$T:$T,GL_Journal!$G:$G,ACC_SUPPLIERS,GL_Journal!$K:$K,$A94,GL_Journal!$D:$D,"&lt;"&amp;SB_From)-SUMIFS(GL_Journal!$S:$S,GL_Journal!$G:$G,ACC_SUPPLIERS,GL_Journal!$K:$K,$A94,GL_Journal!$D:$D,"&lt;"&amp;SB_From))</f>
        <v/>
      </c>
      <c r="D94" s="43">
        <f>IF($A94="","",SUMIFS(GL_Journal!$T:$T,GL_Journal!$G:$G,ACC_SUPPLIERS,GL_Journal!$K:$K,$A94,GL_Journal!$D:$D,"&gt;="&amp;SB_From,GL_Journal!$D:$D,"&lt;="&amp;SB_To))</f>
        <v/>
      </c>
      <c r="E94" s="43">
        <f>IF($A94="","",SUMIFS(GL_Journal!$S:$S,GL_Journal!$G:$G,ACC_SUPPLIERS,GL_Journal!$K:$K,$A94,GL_Journal!$D:$D,"&gt;="&amp;SB_From,GL_Journal!$D:$D,"&lt;="&amp;SB_To))</f>
        <v/>
      </c>
      <c r="F94" s="47">
        <f>IF($A94="","",$C94+$D94-$E94)</f>
        <v/>
      </c>
      <c r="G94" s="43">
        <f>IF($A94="","",MIN(MAX($F94,0),SUMIFS(Supplier_Invoices!$AC:$AC,Supplier_Invoices!$C:$C,$A94,Supplier_Invoices!$AG:$AG,1,Supplier_Invoices!$Y:$Y,"&gt;="&amp;(SB_To-0),Supplier_Invoices!$E:$E,"&lt;="&amp;SB_To)))</f>
        <v/>
      </c>
      <c r="H94" s="43">
        <f>IF($A94="","",MIN(MAX($F94,0),SUMIFS(Supplier_Invoices!$AC:$AC,Supplier_Invoices!$C:$C,$A94,Supplier_Invoices!$AG:$AG,1,Supplier_Invoices!$Y:$Y,"&gt;="&amp;(SB_To-30),Supplier_Invoices!$E:$E,"&lt;="&amp;SB_To))-MIN(MAX($F94,0),SUMIFS(Supplier_Invoices!$AC:$AC,Supplier_Invoices!$C:$C,$A94,Supplier_Invoices!$AG:$AG,1,Supplier_Invoices!$Y:$Y,"&gt;="&amp;(SB_To-0),Supplier_Invoices!$E:$E,"&lt;="&amp;SB_To)))</f>
        <v/>
      </c>
      <c r="I94" s="43">
        <f>IF($A94="","",MIN(MAX($F94,0),SUMIFS(Supplier_Invoices!$AC:$AC,Supplier_Invoices!$C:$C,$A94,Supplier_Invoices!$AG:$AG,1,Supplier_Invoices!$Y:$Y,"&gt;="&amp;(SB_To-60),Supplier_Invoices!$E:$E,"&lt;="&amp;SB_To))-MIN(MAX($F94,0),SUMIFS(Supplier_Invoices!$AC:$AC,Supplier_Invoices!$C:$C,$A94,Supplier_Invoices!$AG:$AG,1,Supplier_Invoices!$Y:$Y,"&gt;="&amp;(SB_To-30),Supplier_Invoices!$E:$E,"&lt;="&amp;SB_To)))</f>
        <v/>
      </c>
      <c r="J94" s="43">
        <f>IF($A94="","",MIN(MAX($F94,0),SUMIFS(Supplier_Invoices!$AC:$AC,Supplier_Invoices!$C:$C,$A94,Supplier_Invoices!$AG:$AG,1,Supplier_Invoices!$Y:$Y,"&gt;="&amp;(SB_To-90),Supplier_Invoices!$E:$E,"&lt;="&amp;SB_To))-MIN(MAX($F94,0),SUMIFS(Supplier_Invoices!$AC:$AC,Supplier_Invoices!$C:$C,$A94,Supplier_Invoices!$AG:$AG,1,Supplier_Invoices!$Y:$Y,"&gt;="&amp;(SB_To-60),Supplier_Invoices!$E:$E,"&lt;="&amp;SB_To)))</f>
        <v/>
      </c>
      <c r="K94" s="43">
        <f>IF($A94="","",MAX($F94,0)-MIN(MAX($F94,0),SUMIFS(Supplier_Invoices!$AC:$AC,Supplier_Invoices!$C:$C,$A94,Supplier_Invoices!$AG:$AG,1,Supplier_Invoices!$Y:$Y,"&gt;="&amp;(SB_To-90),Supplier_Invoices!$E:$E,"&lt;="&amp;SB_To)))</f>
        <v/>
      </c>
      <c r="L94" s="33">
        <f>IF($A94="","",IF(COUNTIFS(Supplier_Payments!$C:$C,$A94,Supplier_Payments!$V:$V,1)=0,"",_xlfn.MAXIFS(Supplier_Payments!$B:$B,Supplier_Payments!$C:$C,$A94,Supplier_Payments!$V:$V,1)))</f>
        <v/>
      </c>
      <c r="M94" s="32">
        <f>IF($A94="","",IF($F94&lt;-S_Tol,"رصيد مدين للمورد - مراجعة",IF($H94+$I94+$J94+$K94&gt;S_Tol,"يوجد مبالغ متأخرة","")))</f>
        <v/>
      </c>
    </row>
    <row r="95">
      <c r="A95" s="44">
        <f>IF(INDEX(Suppliers!$A:$A,ROW()-6)="","",INDEX(Suppliers!$A:$A,ROW()-6))</f>
        <v/>
      </c>
      <c r="B95" s="32">
        <f>IF($A95="","",INDEX(Suppliers!$B:$B,ROW()-6))</f>
        <v/>
      </c>
      <c r="C95" s="47">
        <f>IF($A95="","",SUMIFS(GL_Journal!$T:$T,GL_Journal!$G:$G,ACC_SUPPLIERS,GL_Journal!$K:$K,$A95,GL_Journal!$D:$D,"&lt;"&amp;SB_From)-SUMIFS(GL_Journal!$S:$S,GL_Journal!$G:$G,ACC_SUPPLIERS,GL_Journal!$K:$K,$A95,GL_Journal!$D:$D,"&lt;"&amp;SB_From))</f>
        <v/>
      </c>
      <c r="D95" s="43">
        <f>IF($A95="","",SUMIFS(GL_Journal!$T:$T,GL_Journal!$G:$G,ACC_SUPPLIERS,GL_Journal!$K:$K,$A95,GL_Journal!$D:$D,"&gt;="&amp;SB_From,GL_Journal!$D:$D,"&lt;="&amp;SB_To))</f>
        <v/>
      </c>
      <c r="E95" s="43">
        <f>IF($A95="","",SUMIFS(GL_Journal!$S:$S,GL_Journal!$G:$G,ACC_SUPPLIERS,GL_Journal!$K:$K,$A95,GL_Journal!$D:$D,"&gt;="&amp;SB_From,GL_Journal!$D:$D,"&lt;="&amp;SB_To))</f>
        <v/>
      </c>
      <c r="F95" s="47">
        <f>IF($A95="","",$C95+$D95-$E95)</f>
        <v/>
      </c>
      <c r="G95" s="43">
        <f>IF($A95="","",MIN(MAX($F95,0),SUMIFS(Supplier_Invoices!$AC:$AC,Supplier_Invoices!$C:$C,$A95,Supplier_Invoices!$AG:$AG,1,Supplier_Invoices!$Y:$Y,"&gt;="&amp;(SB_To-0),Supplier_Invoices!$E:$E,"&lt;="&amp;SB_To)))</f>
        <v/>
      </c>
      <c r="H95" s="43">
        <f>IF($A95="","",MIN(MAX($F95,0),SUMIFS(Supplier_Invoices!$AC:$AC,Supplier_Invoices!$C:$C,$A95,Supplier_Invoices!$AG:$AG,1,Supplier_Invoices!$Y:$Y,"&gt;="&amp;(SB_To-30),Supplier_Invoices!$E:$E,"&lt;="&amp;SB_To))-MIN(MAX($F95,0),SUMIFS(Supplier_Invoices!$AC:$AC,Supplier_Invoices!$C:$C,$A95,Supplier_Invoices!$AG:$AG,1,Supplier_Invoices!$Y:$Y,"&gt;="&amp;(SB_To-0),Supplier_Invoices!$E:$E,"&lt;="&amp;SB_To)))</f>
        <v/>
      </c>
      <c r="I95" s="43">
        <f>IF($A95="","",MIN(MAX($F95,0),SUMIFS(Supplier_Invoices!$AC:$AC,Supplier_Invoices!$C:$C,$A95,Supplier_Invoices!$AG:$AG,1,Supplier_Invoices!$Y:$Y,"&gt;="&amp;(SB_To-60),Supplier_Invoices!$E:$E,"&lt;="&amp;SB_To))-MIN(MAX($F95,0),SUMIFS(Supplier_Invoices!$AC:$AC,Supplier_Invoices!$C:$C,$A95,Supplier_Invoices!$AG:$AG,1,Supplier_Invoices!$Y:$Y,"&gt;="&amp;(SB_To-30),Supplier_Invoices!$E:$E,"&lt;="&amp;SB_To)))</f>
        <v/>
      </c>
      <c r="J95" s="43">
        <f>IF($A95="","",MIN(MAX($F95,0),SUMIFS(Supplier_Invoices!$AC:$AC,Supplier_Invoices!$C:$C,$A95,Supplier_Invoices!$AG:$AG,1,Supplier_Invoices!$Y:$Y,"&gt;="&amp;(SB_To-90),Supplier_Invoices!$E:$E,"&lt;="&amp;SB_To))-MIN(MAX($F95,0),SUMIFS(Supplier_Invoices!$AC:$AC,Supplier_Invoices!$C:$C,$A95,Supplier_Invoices!$AG:$AG,1,Supplier_Invoices!$Y:$Y,"&gt;="&amp;(SB_To-60),Supplier_Invoices!$E:$E,"&lt;="&amp;SB_To)))</f>
        <v/>
      </c>
      <c r="K95" s="43">
        <f>IF($A95="","",MAX($F95,0)-MIN(MAX($F95,0),SUMIFS(Supplier_Invoices!$AC:$AC,Supplier_Invoices!$C:$C,$A95,Supplier_Invoices!$AG:$AG,1,Supplier_Invoices!$Y:$Y,"&gt;="&amp;(SB_To-90),Supplier_Invoices!$E:$E,"&lt;="&amp;SB_To)))</f>
        <v/>
      </c>
      <c r="L95" s="33">
        <f>IF($A95="","",IF(COUNTIFS(Supplier_Payments!$C:$C,$A95,Supplier_Payments!$V:$V,1)=0,"",_xlfn.MAXIFS(Supplier_Payments!$B:$B,Supplier_Payments!$C:$C,$A95,Supplier_Payments!$V:$V,1)))</f>
        <v/>
      </c>
      <c r="M95" s="32">
        <f>IF($A95="","",IF($F95&lt;-S_Tol,"رصيد مدين للمورد - مراجعة",IF($H95+$I95+$J95+$K95&gt;S_Tol,"يوجد مبالغ متأخرة","")))</f>
        <v/>
      </c>
    </row>
    <row r="96">
      <c r="A96" s="44">
        <f>IF(INDEX(Suppliers!$A:$A,ROW()-6)="","",INDEX(Suppliers!$A:$A,ROW()-6))</f>
        <v/>
      </c>
      <c r="B96" s="32">
        <f>IF($A96="","",INDEX(Suppliers!$B:$B,ROW()-6))</f>
        <v/>
      </c>
      <c r="C96" s="47">
        <f>IF($A96="","",SUMIFS(GL_Journal!$T:$T,GL_Journal!$G:$G,ACC_SUPPLIERS,GL_Journal!$K:$K,$A96,GL_Journal!$D:$D,"&lt;"&amp;SB_From)-SUMIFS(GL_Journal!$S:$S,GL_Journal!$G:$G,ACC_SUPPLIERS,GL_Journal!$K:$K,$A96,GL_Journal!$D:$D,"&lt;"&amp;SB_From))</f>
        <v/>
      </c>
      <c r="D96" s="43">
        <f>IF($A96="","",SUMIFS(GL_Journal!$T:$T,GL_Journal!$G:$G,ACC_SUPPLIERS,GL_Journal!$K:$K,$A96,GL_Journal!$D:$D,"&gt;="&amp;SB_From,GL_Journal!$D:$D,"&lt;="&amp;SB_To))</f>
        <v/>
      </c>
      <c r="E96" s="43">
        <f>IF($A96="","",SUMIFS(GL_Journal!$S:$S,GL_Journal!$G:$G,ACC_SUPPLIERS,GL_Journal!$K:$K,$A96,GL_Journal!$D:$D,"&gt;="&amp;SB_From,GL_Journal!$D:$D,"&lt;="&amp;SB_To))</f>
        <v/>
      </c>
      <c r="F96" s="47">
        <f>IF($A96="","",$C96+$D96-$E96)</f>
        <v/>
      </c>
      <c r="G96" s="43">
        <f>IF($A96="","",MIN(MAX($F96,0),SUMIFS(Supplier_Invoices!$AC:$AC,Supplier_Invoices!$C:$C,$A96,Supplier_Invoices!$AG:$AG,1,Supplier_Invoices!$Y:$Y,"&gt;="&amp;(SB_To-0),Supplier_Invoices!$E:$E,"&lt;="&amp;SB_To)))</f>
        <v/>
      </c>
      <c r="H96" s="43">
        <f>IF($A96="","",MIN(MAX($F96,0),SUMIFS(Supplier_Invoices!$AC:$AC,Supplier_Invoices!$C:$C,$A96,Supplier_Invoices!$AG:$AG,1,Supplier_Invoices!$Y:$Y,"&gt;="&amp;(SB_To-30),Supplier_Invoices!$E:$E,"&lt;="&amp;SB_To))-MIN(MAX($F96,0),SUMIFS(Supplier_Invoices!$AC:$AC,Supplier_Invoices!$C:$C,$A96,Supplier_Invoices!$AG:$AG,1,Supplier_Invoices!$Y:$Y,"&gt;="&amp;(SB_To-0),Supplier_Invoices!$E:$E,"&lt;="&amp;SB_To)))</f>
        <v/>
      </c>
      <c r="I96" s="43">
        <f>IF($A96="","",MIN(MAX($F96,0),SUMIFS(Supplier_Invoices!$AC:$AC,Supplier_Invoices!$C:$C,$A96,Supplier_Invoices!$AG:$AG,1,Supplier_Invoices!$Y:$Y,"&gt;="&amp;(SB_To-60),Supplier_Invoices!$E:$E,"&lt;="&amp;SB_To))-MIN(MAX($F96,0),SUMIFS(Supplier_Invoices!$AC:$AC,Supplier_Invoices!$C:$C,$A96,Supplier_Invoices!$AG:$AG,1,Supplier_Invoices!$Y:$Y,"&gt;="&amp;(SB_To-30),Supplier_Invoices!$E:$E,"&lt;="&amp;SB_To)))</f>
        <v/>
      </c>
      <c r="J96" s="43">
        <f>IF($A96="","",MIN(MAX($F96,0),SUMIFS(Supplier_Invoices!$AC:$AC,Supplier_Invoices!$C:$C,$A96,Supplier_Invoices!$AG:$AG,1,Supplier_Invoices!$Y:$Y,"&gt;="&amp;(SB_To-90),Supplier_Invoices!$E:$E,"&lt;="&amp;SB_To))-MIN(MAX($F96,0),SUMIFS(Supplier_Invoices!$AC:$AC,Supplier_Invoices!$C:$C,$A96,Supplier_Invoices!$AG:$AG,1,Supplier_Invoices!$Y:$Y,"&gt;="&amp;(SB_To-60),Supplier_Invoices!$E:$E,"&lt;="&amp;SB_To)))</f>
        <v/>
      </c>
      <c r="K96" s="43">
        <f>IF($A96="","",MAX($F96,0)-MIN(MAX($F96,0),SUMIFS(Supplier_Invoices!$AC:$AC,Supplier_Invoices!$C:$C,$A96,Supplier_Invoices!$AG:$AG,1,Supplier_Invoices!$Y:$Y,"&gt;="&amp;(SB_To-90),Supplier_Invoices!$E:$E,"&lt;="&amp;SB_To)))</f>
        <v/>
      </c>
      <c r="L96" s="33">
        <f>IF($A96="","",IF(COUNTIFS(Supplier_Payments!$C:$C,$A96,Supplier_Payments!$V:$V,1)=0,"",_xlfn.MAXIFS(Supplier_Payments!$B:$B,Supplier_Payments!$C:$C,$A96,Supplier_Payments!$V:$V,1)))</f>
        <v/>
      </c>
      <c r="M96" s="32">
        <f>IF($A96="","",IF($F96&lt;-S_Tol,"رصيد مدين للمورد - مراجعة",IF($H96+$I96+$J96+$K96&gt;S_Tol,"يوجد مبالغ متأخرة","")))</f>
        <v/>
      </c>
    </row>
    <row r="97">
      <c r="A97" s="44">
        <f>IF(INDEX(Suppliers!$A:$A,ROW()-6)="","",INDEX(Suppliers!$A:$A,ROW()-6))</f>
        <v/>
      </c>
      <c r="B97" s="32">
        <f>IF($A97="","",INDEX(Suppliers!$B:$B,ROW()-6))</f>
        <v/>
      </c>
      <c r="C97" s="47">
        <f>IF($A97="","",SUMIFS(GL_Journal!$T:$T,GL_Journal!$G:$G,ACC_SUPPLIERS,GL_Journal!$K:$K,$A97,GL_Journal!$D:$D,"&lt;"&amp;SB_From)-SUMIFS(GL_Journal!$S:$S,GL_Journal!$G:$G,ACC_SUPPLIERS,GL_Journal!$K:$K,$A97,GL_Journal!$D:$D,"&lt;"&amp;SB_From))</f>
        <v/>
      </c>
      <c r="D97" s="43">
        <f>IF($A97="","",SUMIFS(GL_Journal!$T:$T,GL_Journal!$G:$G,ACC_SUPPLIERS,GL_Journal!$K:$K,$A97,GL_Journal!$D:$D,"&gt;="&amp;SB_From,GL_Journal!$D:$D,"&lt;="&amp;SB_To))</f>
        <v/>
      </c>
      <c r="E97" s="43">
        <f>IF($A97="","",SUMIFS(GL_Journal!$S:$S,GL_Journal!$G:$G,ACC_SUPPLIERS,GL_Journal!$K:$K,$A97,GL_Journal!$D:$D,"&gt;="&amp;SB_From,GL_Journal!$D:$D,"&lt;="&amp;SB_To))</f>
        <v/>
      </c>
      <c r="F97" s="47">
        <f>IF($A97="","",$C97+$D97-$E97)</f>
        <v/>
      </c>
      <c r="G97" s="43">
        <f>IF($A97="","",MIN(MAX($F97,0),SUMIFS(Supplier_Invoices!$AC:$AC,Supplier_Invoices!$C:$C,$A97,Supplier_Invoices!$AG:$AG,1,Supplier_Invoices!$Y:$Y,"&gt;="&amp;(SB_To-0),Supplier_Invoices!$E:$E,"&lt;="&amp;SB_To)))</f>
        <v/>
      </c>
      <c r="H97" s="43">
        <f>IF($A97="","",MIN(MAX($F97,0),SUMIFS(Supplier_Invoices!$AC:$AC,Supplier_Invoices!$C:$C,$A97,Supplier_Invoices!$AG:$AG,1,Supplier_Invoices!$Y:$Y,"&gt;="&amp;(SB_To-30),Supplier_Invoices!$E:$E,"&lt;="&amp;SB_To))-MIN(MAX($F97,0),SUMIFS(Supplier_Invoices!$AC:$AC,Supplier_Invoices!$C:$C,$A97,Supplier_Invoices!$AG:$AG,1,Supplier_Invoices!$Y:$Y,"&gt;="&amp;(SB_To-0),Supplier_Invoices!$E:$E,"&lt;="&amp;SB_To)))</f>
        <v/>
      </c>
      <c r="I97" s="43">
        <f>IF($A97="","",MIN(MAX($F97,0),SUMIFS(Supplier_Invoices!$AC:$AC,Supplier_Invoices!$C:$C,$A97,Supplier_Invoices!$AG:$AG,1,Supplier_Invoices!$Y:$Y,"&gt;="&amp;(SB_To-60),Supplier_Invoices!$E:$E,"&lt;="&amp;SB_To))-MIN(MAX($F97,0),SUMIFS(Supplier_Invoices!$AC:$AC,Supplier_Invoices!$C:$C,$A97,Supplier_Invoices!$AG:$AG,1,Supplier_Invoices!$Y:$Y,"&gt;="&amp;(SB_To-30),Supplier_Invoices!$E:$E,"&lt;="&amp;SB_To)))</f>
        <v/>
      </c>
      <c r="J97" s="43">
        <f>IF($A97="","",MIN(MAX($F97,0),SUMIFS(Supplier_Invoices!$AC:$AC,Supplier_Invoices!$C:$C,$A97,Supplier_Invoices!$AG:$AG,1,Supplier_Invoices!$Y:$Y,"&gt;="&amp;(SB_To-90),Supplier_Invoices!$E:$E,"&lt;="&amp;SB_To))-MIN(MAX($F97,0),SUMIFS(Supplier_Invoices!$AC:$AC,Supplier_Invoices!$C:$C,$A97,Supplier_Invoices!$AG:$AG,1,Supplier_Invoices!$Y:$Y,"&gt;="&amp;(SB_To-60),Supplier_Invoices!$E:$E,"&lt;="&amp;SB_To)))</f>
        <v/>
      </c>
      <c r="K97" s="43">
        <f>IF($A97="","",MAX($F97,0)-MIN(MAX($F97,0),SUMIFS(Supplier_Invoices!$AC:$AC,Supplier_Invoices!$C:$C,$A97,Supplier_Invoices!$AG:$AG,1,Supplier_Invoices!$Y:$Y,"&gt;="&amp;(SB_To-90),Supplier_Invoices!$E:$E,"&lt;="&amp;SB_To)))</f>
        <v/>
      </c>
      <c r="L97" s="33">
        <f>IF($A97="","",IF(COUNTIFS(Supplier_Payments!$C:$C,$A97,Supplier_Payments!$V:$V,1)=0,"",_xlfn.MAXIFS(Supplier_Payments!$B:$B,Supplier_Payments!$C:$C,$A97,Supplier_Payments!$V:$V,1)))</f>
        <v/>
      </c>
      <c r="M97" s="32">
        <f>IF($A97="","",IF($F97&lt;-S_Tol,"رصيد مدين للمورد - مراجعة",IF($H97+$I97+$J97+$K97&gt;S_Tol,"يوجد مبالغ متأخرة","")))</f>
        <v/>
      </c>
    </row>
    <row r="98">
      <c r="A98" s="44">
        <f>IF(INDEX(Suppliers!$A:$A,ROW()-6)="","",INDEX(Suppliers!$A:$A,ROW()-6))</f>
        <v/>
      </c>
      <c r="B98" s="32">
        <f>IF($A98="","",INDEX(Suppliers!$B:$B,ROW()-6))</f>
        <v/>
      </c>
      <c r="C98" s="47">
        <f>IF($A98="","",SUMIFS(GL_Journal!$T:$T,GL_Journal!$G:$G,ACC_SUPPLIERS,GL_Journal!$K:$K,$A98,GL_Journal!$D:$D,"&lt;"&amp;SB_From)-SUMIFS(GL_Journal!$S:$S,GL_Journal!$G:$G,ACC_SUPPLIERS,GL_Journal!$K:$K,$A98,GL_Journal!$D:$D,"&lt;"&amp;SB_From))</f>
        <v/>
      </c>
      <c r="D98" s="43">
        <f>IF($A98="","",SUMIFS(GL_Journal!$T:$T,GL_Journal!$G:$G,ACC_SUPPLIERS,GL_Journal!$K:$K,$A98,GL_Journal!$D:$D,"&gt;="&amp;SB_From,GL_Journal!$D:$D,"&lt;="&amp;SB_To))</f>
        <v/>
      </c>
      <c r="E98" s="43">
        <f>IF($A98="","",SUMIFS(GL_Journal!$S:$S,GL_Journal!$G:$G,ACC_SUPPLIERS,GL_Journal!$K:$K,$A98,GL_Journal!$D:$D,"&gt;="&amp;SB_From,GL_Journal!$D:$D,"&lt;="&amp;SB_To))</f>
        <v/>
      </c>
      <c r="F98" s="47">
        <f>IF($A98="","",$C98+$D98-$E98)</f>
        <v/>
      </c>
      <c r="G98" s="43">
        <f>IF($A98="","",MIN(MAX($F98,0),SUMIFS(Supplier_Invoices!$AC:$AC,Supplier_Invoices!$C:$C,$A98,Supplier_Invoices!$AG:$AG,1,Supplier_Invoices!$Y:$Y,"&gt;="&amp;(SB_To-0),Supplier_Invoices!$E:$E,"&lt;="&amp;SB_To)))</f>
        <v/>
      </c>
      <c r="H98" s="43">
        <f>IF($A98="","",MIN(MAX($F98,0),SUMIFS(Supplier_Invoices!$AC:$AC,Supplier_Invoices!$C:$C,$A98,Supplier_Invoices!$AG:$AG,1,Supplier_Invoices!$Y:$Y,"&gt;="&amp;(SB_To-30),Supplier_Invoices!$E:$E,"&lt;="&amp;SB_To))-MIN(MAX($F98,0),SUMIFS(Supplier_Invoices!$AC:$AC,Supplier_Invoices!$C:$C,$A98,Supplier_Invoices!$AG:$AG,1,Supplier_Invoices!$Y:$Y,"&gt;="&amp;(SB_To-0),Supplier_Invoices!$E:$E,"&lt;="&amp;SB_To)))</f>
        <v/>
      </c>
      <c r="I98" s="43">
        <f>IF($A98="","",MIN(MAX($F98,0),SUMIFS(Supplier_Invoices!$AC:$AC,Supplier_Invoices!$C:$C,$A98,Supplier_Invoices!$AG:$AG,1,Supplier_Invoices!$Y:$Y,"&gt;="&amp;(SB_To-60),Supplier_Invoices!$E:$E,"&lt;="&amp;SB_To))-MIN(MAX($F98,0),SUMIFS(Supplier_Invoices!$AC:$AC,Supplier_Invoices!$C:$C,$A98,Supplier_Invoices!$AG:$AG,1,Supplier_Invoices!$Y:$Y,"&gt;="&amp;(SB_To-30),Supplier_Invoices!$E:$E,"&lt;="&amp;SB_To)))</f>
        <v/>
      </c>
      <c r="J98" s="43">
        <f>IF($A98="","",MIN(MAX($F98,0),SUMIFS(Supplier_Invoices!$AC:$AC,Supplier_Invoices!$C:$C,$A98,Supplier_Invoices!$AG:$AG,1,Supplier_Invoices!$Y:$Y,"&gt;="&amp;(SB_To-90),Supplier_Invoices!$E:$E,"&lt;="&amp;SB_To))-MIN(MAX($F98,0),SUMIFS(Supplier_Invoices!$AC:$AC,Supplier_Invoices!$C:$C,$A98,Supplier_Invoices!$AG:$AG,1,Supplier_Invoices!$Y:$Y,"&gt;="&amp;(SB_To-60),Supplier_Invoices!$E:$E,"&lt;="&amp;SB_To)))</f>
        <v/>
      </c>
      <c r="K98" s="43">
        <f>IF($A98="","",MAX($F98,0)-MIN(MAX($F98,0),SUMIFS(Supplier_Invoices!$AC:$AC,Supplier_Invoices!$C:$C,$A98,Supplier_Invoices!$AG:$AG,1,Supplier_Invoices!$Y:$Y,"&gt;="&amp;(SB_To-90),Supplier_Invoices!$E:$E,"&lt;="&amp;SB_To)))</f>
        <v/>
      </c>
      <c r="L98" s="33">
        <f>IF($A98="","",IF(COUNTIFS(Supplier_Payments!$C:$C,$A98,Supplier_Payments!$V:$V,1)=0,"",_xlfn.MAXIFS(Supplier_Payments!$B:$B,Supplier_Payments!$C:$C,$A98,Supplier_Payments!$V:$V,1)))</f>
        <v/>
      </c>
      <c r="M98" s="32">
        <f>IF($A98="","",IF($F98&lt;-S_Tol,"رصيد مدين للمورد - مراجعة",IF($H98+$I98+$J98+$K98&gt;S_Tol,"يوجد مبالغ متأخرة","")))</f>
        <v/>
      </c>
    </row>
    <row r="99">
      <c r="A99" s="44">
        <f>IF(INDEX(Suppliers!$A:$A,ROW()-6)="","",INDEX(Suppliers!$A:$A,ROW()-6))</f>
        <v/>
      </c>
      <c r="B99" s="32">
        <f>IF($A99="","",INDEX(Suppliers!$B:$B,ROW()-6))</f>
        <v/>
      </c>
      <c r="C99" s="47">
        <f>IF($A99="","",SUMIFS(GL_Journal!$T:$T,GL_Journal!$G:$G,ACC_SUPPLIERS,GL_Journal!$K:$K,$A99,GL_Journal!$D:$D,"&lt;"&amp;SB_From)-SUMIFS(GL_Journal!$S:$S,GL_Journal!$G:$G,ACC_SUPPLIERS,GL_Journal!$K:$K,$A99,GL_Journal!$D:$D,"&lt;"&amp;SB_From))</f>
        <v/>
      </c>
      <c r="D99" s="43">
        <f>IF($A99="","",SUMIFS(GL_Journal!$T:$T,GL_Journal!$G:$G,ACC_SUPPLIERS,GL_Journal!$K:$K,$A99,GL_Journal!$D:$D,"&gt;="&amp;SB_From,GL_Journal!$D:$D,"&lt;="&amp;SB_To))</f>
        <v/>
      </c>
      <c r="E99" s="43">
        <f>IF($A99="","",SUMIFS(GL_Journal!$S:$S,GL_Journal!$G:$G,ACC_SUPPLIERS,GL_Journal!$K:$K,$A99,GL_Journal!$D:$D,"&gt;="&amp;SB_From,GL_Journal!$D:$D,"&lt;="&amp;SB_To))</f>
        <v/>
      </c>
      <c r="F99" s="47">
        <f>IF($A99="","",$C99+$D99-$E99)</f>
        <v/>
      </c>
      <c r="G99" s="43">
        <f>IF($A99="","",MIN(MAX($F99,0),SUMIFS(Supplier_Invoices!$AC:$AC,Supplier_Invoices!$C:$C,$A99,Supplier_Invoices!$AG:$AG,1,Supplier_Invoices!$Y:$Y,"&gt;="&amp;(SB_To-0),Supplier_Invoices!$E:$E,"&lt;="&amp;SB_To)))</f>
        <v/>
      </c>
      <c r="H99" s="43">
        <f>IF($A99="","",MIN(MAX($F99,0),SUMIFS(Supplier_Invoices!$AC:$AC,Supplier_Invoices!$C:$C,$A99,Supplier_Invoices!$AG:$AG,1,Supplier_Invoices!$Y:$Y,"&gt;="&amp;(SB_To-30),Supplier_Invoices!$E:$E,"&lt;="&amp;SB_To))-MIN(MAX($F99,0),SUMIFS(Supplier_Invoices!$AC:$AC,Supplier_Invoices!$C:$C,$A99,Supplier_Invoices!$AG:$AG,1,Supplier_Invoices!$Y:$Y,"&gt;="&amp;(SB_To-0),Supplier_Invoices!$E:$E,"&lt;="&amp;SB_To)))</f>
        <v/>
      </c>
      <c r="I99" s="43">
        <f>IF($A99="","",MIN(MAX($F99,0),SUMIFS(Supplier_Invoices!$AC:$AC,Supplier_Invoices!$C:$C,$A99,Supplier_Invoices!$AG:$AG,1,Supplier_Invoices!$Y:$Y,"&gt;="&amp;(SB_To-60),Supplier_Invoices!$E:$E,"&lt;="&amp;SB_To))-MIN(MAX($F99,0),SUMIFS(Supplier_Invoices!$AC:$AC,Supplier_Invoices!$C:$C,$A99,Supplier_Invoices!$AG:$AG,1,Supplier_Invoices!$Y:$Y,"&gt;="&amp;(SB_To-30),Supplier_Invoices!$E:$E,"&lt;="&amp;SB_To)))</f>
        <v/>
      </c>
      <c r="J99" s="43">
        <f>IF($A99="","",MIN(MAX($F99,0),SUMIFS(Supplier_Invoices!$AC:$AC,Supplier_Invoices!$C:$C,$A99,Supplier_Invoices!$AG:$AG,1,Supplier_Invoices!$Y:$Y,"&gt;="&amp;(SB_To-90),Supplier_Invoices!$E:$E,"&lt;="&amp;SB_To))-MIN(MAX($F99,0),SUMIFS(Supplier_Invoices!$AC:$AC,Supplier_Invoices!$C:$C,$A99,Supplier_Invoices!$AG:$AG,1,Supplier_Invoices!$Y:$Y,"&gt;="&amp;(SB_To-60),Supplier_Invoices!$E:$E,"&lt;="&amp;SB_To)))</f>
        <v/>
      </c>
      <c r="K99" s="43">
        <f>IF($A99="","",MAX($F99,0)-MIN(MAX($F99,0),SUMIFS(Supplier_Invoices!$AC:$AC,Supplier_Invoices!$C:$C,$A99,Supplier_Invoices!$AG:$AG,1,Supplier_Invoices!$Y:$Y,"&gt;="&amp;(SB_To-90),Supplier_Invoices!$E:$E,"&lt;="&amp;SB_To)))</f>
        <v/>
      </c>
      <c r="L99" s="33">
        <f>IF($A99="","",IF(COUNTIFS(Supplier_Payments!$C:$C,$A99,Supplier_Payments!$V:$V,1)=0,"",_xlfn.MAXIFS(Supplier_Payments!$B:$B,Supplier_Payments!$C:$C,$A99,Supplier_Payments!$V:$V,1)))</f>
        <v/>
      </c>
      <c r="M99" s="32">
        <f>IF($A99="","",IF($F99&lt;-S_Tol,"رصيد مدين للمورد - مراجعة",IF($H99+$I99+$J99+$K99&gt;S_Tol,"يوجد مبالغ متأخرة","")))</f>
        <v/>
      </c>
    </row>
    <row r="100">
      <c r="A100" s="44">
        <f>IF(INDEX(Suppliers!$A:$A,ROW()-6)="","",INDEX(Suppliers!$A:$A,ROW()-6))</f>
        <v/>
      </c>
      <c r="B100" s="32">
        <f>IF($A100="","",INDEX(Suppliers!$B:$B,ROW()-6))</f>
        <v/>
      </c>
      <c r="C100" s="47">
        <f>IF($A100="","",SUMIFS(GL_Journal!$T:$T,GL_Journal!$G:$G,ACC_SUPPLIERS,GL_Journal!$K:$K,$A100,GL_Journal!$D:$D,"&lt;"&amp;SB_From)-SUMIFS(GL_Journal!$S:$S,GL_Journal!$G:$G,ACC_SUPPLIERS,GL_Journal!$K:$K,$A100,GL_Journal!$D:$D,"&lt;"&amp;SB_From))</f>
        <v/>
      </c>
      <c r="D100" s="43">
        <f>IF($A100="","",SUMIFS(GL_Journal!$T:$T,GL_Journal!$G:$G,ACC_SUPPLIERS,GL_Journal!$K:$K,$A100,GL_Journal!$D:$D,"&gt;="&amp;SB_From,GL_Journal!$D:$D,"&lt;="&amp;SB_To))</f>
        <v/>
      </c>
      <c r="E100" s="43">
        <f>IF($A100="","",SUMIFS(GL_Journal!$S:$S,GL_Journal!$G:$G,ACC_SUPPLIERS,GL_Journal!$K:$K,$A100,GL_Journal!$D:$D,"&gt;="&amp;SB_From,GL_Journal!$D:$D,"&lt;="&amp;SB_To))</f>
        <v/>
      </c>
      <c r="F100" s="47">
        <f>IF($A100="","",$C100+$D100-$E100)</f>
        <v/>
      </c>
      <c r="G100" s="43">
        <f>IF($A100="","",MIN(MAX($F100,0),SUMIFS(Supplier_Invoices!$AC:$AC,Supplier_Invoices!$C:$C,$A100,Supplier_Invoices!$AG:$AG,1,Supplier_Invoices!$Y:$Y,"&gt;="&amp;(SB_To-0),Supplier_Invoices!$E:$E,"&lt;="&amp;SB_To)))</f>
        <v/>
      </c>
      <c r="H100" s="43">
        <f>IF($A100="","",MIN(MAX($F100,0),SUMIFS(Supplier_Invoices!$AC:$AC,Supplier_Invoices!$C:$C,$A100,Supplier_Invoices!$AG:$AG,1,Supplier_Invoices!$Y:$Y,"&gt;="&amp;(SB_To-30),Supplier_Invoices!$E:$E,"&lt;="&amp;SB_To))-MIN(MAX($F100,0),SUMIFS(Supplier_Invoices!$AC:$AC,Supplier_Invoices!$C:$C,$A100,Supplier_Invoices!$AG:$AG,1,Supplier_Invoices!$Y:$Y,"&gt;="&amp;(SB_To-0),Supplier_Invoices!$E:$E,"&lt;="&amp;SB_To)))</f>
        <v/>
      </c>
      <c r="I100" s="43">
        <f>IF($A100="","",MIN(MAX($F100,0),SUMIFS(Supplier_Invoices!$AC:$AC,Supplier_Invoices!$C:$C,$A100,Supplier_Invoices!$AG:$AG,1,Supplier_Invoices!$Y:$Y,"&gt;="&amp;(SB_To-60),Supplier_Invoices!$E:$E,"&lt;="&amp;SB_To))-MIN(MAX($F100,0),SUMIFS(Supplier_Invoices!$AC:$AC,Supplier_Invoices!$C:$C,$A100,Supplier_Invoices!$AG:$AG,1,Supplier_Invoices!$Y:$Y,"&gt;="&amp;(SB_To-30),Supplier_Invoices!$E:$E,"&lt;="&amp;SB_To)))</f>
        <v/>
      </c>
      <c r="J100" s="43">
        <f>IF($A100="","",MIN(MAX($F100,0),SUMIFS(Supplier_Invoices!$AC:$AC,Supplier_Invoices!$C:$C,$A100,Supplier_Invoices!$AG:$AG,1,Supplier_Invoices!$Y:$Y,"&gt;="&amp;(SB_To-90),Supplier_Invoices!$E:$E,"&lt;="&amp;SB_To))-MIN(MAX($F100,0),SUMIFS(Supplier_Invoices!$AC:$AC,Supplier_Invoices!$C:$C,$A100,Supplier_Invoices!$AG:$AG,1,Supplier_Invoices!$Y:$Y,"&gt;="&amp;(SB_To-60),Supplier_Invoices!$E:$E,"&lt;="&amp;SB_To)))</f>
        <v/>
      </c>
      <c r="K100" s="43">
        <f>IF($A100="","",MAX($F100,0)-MIN(MAX($F100,0),SUMIFS(Supplier_Invoices!$AC:$AC,Supplier_Invoices!$C:$C,$A100,Supplier_Invoices!$AG:$AG,1,Supplier_Invoices!$Y:$Y,"&gt;="&amp;(SB_To-90),Supplier_Invoices!$E:$E,"&lt;="&amp;SB_To)))</f>
        <v/>
      </c>
      <c r="L100" s="33">
        <f>IF($A100="","",IF(COUNTIFS(Supplier_Payments!$C:$C,$A100,Supplier_Payments!$V:$V,1)=0,"",_xlfn.MAXIFS(Supplier_Payments!$B:$B,Supplier_Payments!$C:$C,$A100,Supplier_Payments!$V:$V,1)))</f>
        <v/>
      </c>
      <c r="M100" s="32">
        <f>IF($A100="","",IF($F100&lt;-S_Tol,"رصيد مدين للمورد - مراجعة",IF($H100+$I100+$J100+$K100&gt;S_Tol,"يوجد مبالغ متأخرة","")))</f>
        <v/>
      </c>
    </row>
    <row r="101">
      <c r="A101" s="44">
        <f>IF(INDEX(Suppliers!$A:$A,ROW()-6)="","",INDEX(Suppliers!$A:$A,ROW()-6))</f>
        <v/>
      </c>
      <c r="B101" s="32">
        <f>IF($A101="","",INDEX(Suppliers!$B:$B,ROW()-6))</f>
        <v/>
      </c>
      <c r="C101" s="47">
        <f>IF($A101="","",SUMIFS(GL_Journal!$T:$T,GL_Journal!$G:$G,ACC_SUPPLIERS,GL_Journal!$K:$K,$A101,GL_Journal!$D:$D,"&lt;"&amp;SB_From)-SUMIFS(GL_Journal!$S:$S,GL_Journal!$G:$G,ACC_SUPPLIERS,GL_Journal!$K:$K,$A101,GL_Journal!$D:$D,"&lt;"&amp;SB_From))</f>
        <v/>
      </c>
      <c r="D101" s="43">
        <f>IF($A101="","",SUMIFS(GL_Journal!$T:$T,GL_Journal!$G:$G,ACC_SUPPLIERS,GL_Journal!$K:$K,$A101,GL_Journal!$D:$D,"&gt;="&amp;SB_From,GL_Journal!$D:$D,"&lt;="&amp;SB_To))</f>
        <v/>
      </c>
      <c r="E101" s="43">
        <f>IF($A101="","",SUMIFS(GL_Journal!$S:$S,GL_Journal!$G:$G,ACC_SUPPLIERS,GL_Journal!$K:$K,$A101,GL_Journal!$D:$D,"&gt;="&amp;SB_From,GL_Journal!$D:$D,"&lt;="&amp;SB_To))</f>
        <v/>
      </c>
      <c r="F101" s="47">
        <f>IF($A101="","",$C101+$D101-$E101)</f>
        <v/>
      </c>
      <c r="G101" s="43">
        <f>IF($A101="","",MIN(MAX($F101,0),SUMIFS(Supplier_Invoices!$AC:$AC,Supplier_Invoices!$C:$C,$A101,Supplier_Invoices!$AG:$AG,1,Supplier_Invoices!$Y:$Y,"&gt;="&amp;(SB_To-0),Supplier_Invoices!$E:$E,"&lt;="&amp;SB_To)))</f>
        <v/>
      </c>
      <c r="H101" s="43">
        <f>IF($A101="","",MIN(MAX($F101,0),SUMIFS(Supplier_Invoices!$AC:$AC,Supplier_Invoices!$C:$C,$A101,Supplier_Invoices!$AG:$AG,1,Supplier_Invoices!$Y:$Y,"&gt;="&amp;(SB_To-30),Supplier_Invoices!$E:$E,"&lt;="&amp;SB_To))-MIN(MAX($F101,0),SUMIFS(Supplier_Invoices!$AC:$AC,Supplier_Invoices!$C:$C,$A101,Supplier_Invoices!$AG:$AG,1,Supplier_Invoices!$Y:$Y,"&gt;="&amp;(SB_To-0),Supplier_Invoices!$E:$E,"&lt;="&amp;SB_To)))</f>
        <v/>
      </c>
      <c r="I101" s="43">
        <f>IF($A101="","",MIN(MAX($F101,0),SUMIFS(Supplier_Invoices!$AC:$AC,Supplier_Invoices!$C:$C,$A101,Supplier_Invoices!$AG:$AG,1,Supplier_Invoices!$Y:$Y,"&gt;="&amp;(SB_To-60),Supplier_Invoices!$E:$E,"&lt;="&amp;SB_To))-MIN(MAX($F101,0),SUMIFS(Supplier_Invoices!$AC:$AC,Supplier_Invoices!$C:$C,$A101,Supplier_Invoices!$AG:$AG,1,Supplier_Invoices!$Y:$Y,"&gt;="&amp;(SB_To-30),Supplier_Invoices!$E:$E,"&lt;="&amp;SB_To)))</f>
        <v/>
      </c>
      <c r="J101" s="43">
        <f>IF($A101="","",MIN(MAX($F101,0),SUMIFS(Supplier_Invoices!$AC:$AC,Supplier_Invoices!$C:$C,$A101,Supplier_Invoices!$AG:$AG,1,Supplier_Invoices!$Y:$Y,"&gt;="&amp;(SB_To-90),Supplier_Invoices!$E:$E,"&lt;="&amp;SB_To))-MIN(MAX($F101,0),SUMIFS(Supplier_Invoices!$AC:$AC,Supplier_Invoices!$C:$C,$A101,Supplier_Invoices!$AG:$AG,1,Supplier_Invoices!$Y:$Y,"&gt;="&amp;(SB_To-60),Supplier_Invoices!$E:$E,"&lt;="&amp;SB_To)))</f>
        <v/>
      </c>
      <c r="K101" s="43">
        <f>IF($A101="","",MAX($F101,0)-MIN(MAX($F101,0),SUMIFS(Supplier_Invoices!$AC:$AC,Supplier_Invoices!$C:$C,$A101,Supplier_Invoices!$AG:$AG,1,Supplier_Invoices!$Y:$Y,"&gt;="&amp;(SB_To-90),Supplier_Invoices!$E:$E,"&lt;="&amp;SB_To)))</f>
        <v/>
      </c>
      <c r="L101" s="33">
        <f>IF($A101="","",IF(COUNTIFS(Supplier_Payments!$C:$C,$A101,Supplier_Payments!$V:$V,1)=0,"",_xlfn.MAXIFS(Supplier_Payments!$B:$B,Supplier_Payments!$C:$C,$A101,Supplier_Payments!$V:$V,1)))</f>
        <v/>
      </c>
      <c r="M101" s="32">
        <f>IF($A101="","",IF($F101&lt;-S_Tol,"رصيد مدين للمورد - مراجعة",IF($H101+$I101+$J101+$K101&gt;S_Tol,"يوجد مبالغ متأخرة","")))</f>
        <v/>
      </c>
    </row>
    <row r="102">
      <c r="A102" s="44">
        <f>IF(INDEX(Suppliers!$A:$A,ROW()-6)="","",INDEX(Suppliers!$A:$A,ROW()-6))</f>
        <v/>
      </c>
      <c r="B102" s="32">
        <f>IF($A102="","",INDEX(Suppliers!$B:$B,ROW()-6))</f>
        <v/>
      </c>
      <c r="C102" s="47">
        <f>IF($A102="","",SUMIFS(GL_Journal!$T:$T,GL_Journal!$G:$G,ACC_SUPPLIERS,GL_Journal!$K:$K,$A102,GL_Journal!$D:$D,"&lt;"&amp;SB_From)-SUMIFS(GL_Journal!$S:$S,GL_Journal!$G:$G,ACC_SUPPLIERS,GL_Journal!$K:$K,$A102,GL_Journal!$D:$D,"&lt;"&amp;SB_From))</f>
        <v/>
      </c>
      <c r="D102" s="43">
        <f>IF($A102="","",SUMIFS(GL_Journal!$T:$T,GL_Journal!$G:$G,ACC_SUPPLIERS,GL_Journal!$K:$K,$A102,GL_Journal!$D:$D,"&gt;="&amp;SB_From,GL_Journal!$D:$D,"&lt;="&amp;SB_To))</f>
        <v/>
      </c>
      <c r="E102" s="43">
        <f>IF($A102="","",SUMIFS(GL_Journal!$S:$S,GL_Journal!$G:$G,ACC_SUPPLIERS,GL_Journal!$K:$K,$A102,GL_Journal!$D:$D,"&gt;="&amp;SB_From,GL_Journal!$D:$D,"&lt;="&amp;SB_To))</f>
        <v/>
      </c>
      <c r="F102" s="47">
        <f>IF($A102="","",$C102+$D102-$E102)</f>
        <v/>
      </c>
      <c r="G102" s="43">
        <f>IF($A102="","",MIN(MAX($F102,0),SUMIFS(Supplier_Invoices!$AC:$AC,Supplier_Invoices!$C:$C,$A102,Supplier_Invoices!$AG:$AG,1,Supplier_Invoices!$Y:$Y,"&gt;="&amp;(SB_To-0),Supplier_Invoices!$E:$E,"&lt;="&amp;SB_To)))</f>
        <v/>
      </c>
      <c r="H102" s="43">
        <f>IF($A102="","",MIN(MAX($F102,0),SUMIFS(Supplier_Invoices!$AC:$AC,Supplier_Invoices!$C:$C,$A102,Supplier_Invoices!$AG:$AG,1,Supplier_Invoices!$Y:$Y,"&gt;="&amp;(SB_To-30),Supplier_Invoices!$E:$E,"&lt;="&amp;SB_To))-MIN(MAX($F102,0),SUMIFS(Supplier_Invoices!$AC:$AC,Supplier_Invoices!$C:$C,$A102,Supplier_Invoices!$AG:$AG,1,Supplier_Invoices!$Y:$Y,"&gt;="&amp;(SB_To-0),Supplier_Invoices!$E:$E,"&lt;="&amp;SB_To)))</f>
        <v/>
      </c>
      <c r="I102" s="43">
        <f>IF($A102="","",MIN(MAX($F102,0),SUMIFS(Supplier_Invoices!$AC:$AC,Supplier_Invoices!$C:$C,$A102,Supplier_Invoices!$AG:$AG,1,Supplier_Invoices!$Y:$Y,"&gt;="&amp;(SB_To-60),Supplier_Invoices!$E:$E,"&lt;="&amp;SB_To))-MIN(MAX($F102,0),SUMIFS(Supplier_Invoices!$AC:$AC,Supplier_Invoices!$C:$C,$A102,Supplier_Invoices!$AG:$AG,1,Supplier_Invoices!$Y:$Y,"&gt;="&amp;(SB_To-30),Supplier_Invoices!$E:$E,"&lt;="&amp;SB_To)))</f>
        <v/>
      </c>
      <c r="J102" s="43">
        <f>IF($A102="","",MIN(MAX($F102,0),SUMIFS(Supplier_Invoices!$AC:$AC,Supplier_Invoices!$C:$C,$A102,Supplier_Invoices!$AG:$AG,1,Supplier_Invoices!$Y:$Y,"&gt;="&amp;(SB_To-90),Supplier_Invoices!$E:$E,"&lt;="&amp;SB_To))-MIN(MAX($F102,0),SUMIFS(Supplier_Invoices!$AC:$AC,Supplier_Invoices!$C:$C,$A102,Supplier_Invoices!$AG:$AG,1,Supplier_Invoices!$Y:$Y,"&gt;="&amp;(SB_To-60),Supplier_Invoices!$E:$E,"&lt;="&amp;SB_To)))</f>
        <v/>
      </c>
      <c r="K102" s="43">
        <f>IF($A102="","",MAX($F102,0)-MIN(MAX($F102,0),SUMIFS(Supplier_Invoices!$AC:$AC,Supplier_Invoices!$C:$C,$A102,Supplier_Invoices!$AG:$AG,1,Supplier_Invoices!$Y:$Y,"&gt;="&amp;(SB_To-90),Supplier_Invoices!$E:$E,"&lt;="&amp;SB_To)))</f>
        <v/>
      </c>
      <c r="L102" s="33">
        <f>IF($A102="","",IF(COUNTIFS(Supplier_Payments!$C:$C,$A102,Supplier_Payments!$V:$V,1)=0,"",_xlfn.MAXIFS(Supplier_Payments!$B:$B,Supplier_Payments!$C:$C,$A102,Supplier_Payments!$V:$V,1)))</f>
        <v/>
      </c>
      <c r="M102" s="32">
        <f>IF($A102="","",IF($F102&lt;-S_Tol,"رصيد مدين للمورد - مراجعة",IF($H102+$I102+$J102+$K102&gt;S_Tol,"يوجد مبالغ متأخرة","")))</f>
        <v/>
      </c>
    </row>
    <row r="103">
      <c r="A103" s="44">
        <f>IF(INDEX(Suppliers!$A:$A,ROW()-6)="","",INDEX(Suppliers!$A:$A,ROW()-6))</f>
        <v/>
      </c>
      <c r="B103" s="32">
        <f>IF($A103="","",INDEX(Suppliers!$B:$B,ROW()-6))</f>
        <v/>
      </c>
      <c r="C103" s="47">
        <f>IF($A103="","",SUMIFS(GL_Journal!$T:$T,GL_Journal!$G:$G,ACC_SUPPLIERS,GL_Journal!$K:$K,$A103,GL_Journal!$D:$D,"&lt;"&amp;SB_From)-SUMIFS(GL_Journal!$S:$S,GL_Journal!$G:$G,ACC_SUPPLIERS,GL_Journal!$K:$K,$A103,GL_Journal!$D:$D,"&lt;"&amp;SB_From))</f>
        <v/>
      </c>
      <c r="D103" s="43">
        <f>IF($A103="","",SUMIFS(GL_Journal!$T:$T,GL_Journal!$G:$G,ACC_SUPPLIERS,GL_Journal!$K:$K,$A103,GL_Journal!$D:$D,"&gt;="&amp;SB_From,GL_Journal!$D:$D,"&lt;="&amp;SB_To))</f>
        <v/>
      </c>
      <c r="E103" s="43">
        <f>IF($A103="","",SUMIFS(GL_Journal!$S:$S,GL_Journal!$G:$G,ACC_SUPPLIERS,GL_Journal!$K:$K,$A103,GL_Journal!$D:$D,"&gt;="&amp;SB_From,GL_Journal!$D:$D,"&lt;="&amp;SB_To))</f>
        <v/>
      </c>
      <c r="F103" s="47">
        <f>IF($A103="","",$C103+$D103-$E103)</f>
        <v/>
      </c>
      <c r="G103" s="43">
        <f>IF($A103="","",MIN(MAX($F103,0),SUMIFS(Supplier_Invoices!$AC:$AC,Supplier_Invoices!$C:$C,$A103,Supplier_Invoices!$AG:$AG,1,Supplier_Invoices!$Y:$Y,"&gt;="&amp;(SB_To-0),Supplier_Invoices!$E:$E,"&lt;="&amp;SB_To)))</f>
        <v/>
      </c>
      <c r="H103" s="43">
        <f>IF($A103="","",MIN(MAX($F103,0),SUMIFS(Supplier_Invoices!$AC:$AC,Supplier_Invoices!$C:$C,$A103,Supplier_Invoices!$AG:$AG,1,Supplier_Invoices!$Y:$Y,"&gt;="&amp;(SB_To-30),Supplier_Invoices!$E:$E,"&lt;="&amp;SB_To))-MIN(MAX($F103,0),SUMIFS(Supplier_Invoices!$AC:$AC,Supplier_Invoices!$C:$C,$A103,Supplier_Invoices!$AG:$AG,1,Supplier_Invoices!$Y:$Y,"&gt;="&amp;(SB_To-0),Supplier_Invoices!$E:$E,"&lt;="&amp;SB_To)))</f>
        <v/>
      </c>
      <c r="I103" s="43">
        <f>IF($A103="","",MIN(MAX($F103,0),SUMIFS(Supplier_Invoices!$AC:$AC,Supplier_Invoices!$C:$C,$A103,Supplier_Invoices!$AG:$AG,1,Supplier_Invoices!$Y:$Y,"&gt;="&amp;(SB_To-60),Supplier_Invoices!$E:$E,"&lt;="&amp;SB_To))-MIN(MAX($F103,0),SUMIFS(Supplier_Invoices!$AC:$AC,Supplier_Invoices!$C:$C,$A103,Supplier_Invoices!$AG:$AG,1,Supplier_Invoices!$Y:$Y,"&gt;="&amp;(SB_To-30),Supplier_Invoices!$E:$E,"&lt;="&amp;SB_To)))</f>
        <v/>
      </c>
      <c r="J103" s="43">
        <f>IF($A103="","",MIN(MAX($F103,0),SUMIFS(Supplier_Invoices!$AC:$AC,Supplier_Invoices!$C:$C,$A103,Supplier_Invoices!$AG:$AG,1,Supplier_Invoices!$Y:$Y,"&gt;="&amp;(SB_To-90),Supplier_Invoices!$E:$E,"&lt;="&amp;SB_To))-MIN(MAX($F103,0),SUMIFS(Supplier_Invoices!$AC:$AC,Supplier_Invoices!$C:$C,$A103,Supplier_Invoices!$AG:$AG,1,Supplier_Invoices!$Y:$Y,"&gt;="&amp;(SB_To-60),Supplier_Invoices!$E:$E,"&lt;="&amp;SB_To)))</f>
        <v/>
      </c>
      <c r="K103" s="43">
        <f>IF($A103="","",MAX($F103,0)-MIN(MAX($F103,0),SUMIFS(Supplier_Invoices!$AC:$AC,Supplier_Invoices!$C:$C,$A103,Supplier_Invoices!$AG:$AG,1,Supplier_Invoices!$Y:$Y,"&gt;="&amp;(SB_To-90),Supplier_Invoices!$E:$E,"&lt;="&amp;SB_To)))</f>
        <v/>
      </c>
      <c r="L103" s="33">
        <f>IF($A103="","",IF(COUNTIFS(Supplier_Payments!$C:$C,$A103,Supplier_Payments!$V:$V,1)=0,"",_xlfn.MAXIFS(Supplier_Payments!$B:$B,Supplier_Payments!$C:$C,$A103,Supplier_Payments!$V:$V,1)))</f>
        <v/>
      </c>
      <c r="M103" s="32">
        <f>IF($A103="","",IF($F103&lt;-S_Tol,"رصيد مدين للمورد - مراجعة",IF($H103+$I103+$J103+$K103&gt;S_Tol,"يوجد مبالغ متأخرة","")))</f>
        <v/>
      </c>
    </row>
    <row r="104">
      <c r="A104" s="44">
        <f>IF(INDEX(Suppliers!$A:$A,ROW()-6)="","",INDEX(Suppliers!$A:$A,ROW()-6))</f>
        <v/>
      </c>
      <c r="B104" s="32">
        <f>IF($A104="","",INDEX(Suppliers!$B:$B,ROW()-6))</f>
        <v/>
      </c>
      <c r="C104" s="47">
        <f>IF($A104="","",SUMIFS(GL_Journal!$T:$T,GL_Journal!$G:$G,ACC_SUPPLIERS,GL_Journal!$K:$K,$A104,GL_Journal!$D:$D,"&lt;"&amp;SB_From)-SUMIFS(GL_Journal!$S:$S,GL_Journal!$G:$G,ACC_SUPPLIERS,GL_Journal!$K:$K,$A104,GL_Journal!$D:$D,"&lt;"&amp;SB_From))</f>
        <v/>
      </c>
      <c r="D104" s="43">
        <f>IF($A104="","",SUMIFS(GL_Journal!$T:$T,GL_Journal!$G:$G,ACC_SUPPLIERS,GL_Journal!$K:$K,$A104,GL_Journal!$D:$D,"&gt;="&amp;SB_From,GL_Journal!$D:$D,"&lt;="&amp;SB_To))</f>
        <v/>
      </c>
      <c r="E104" s="43">
        <f>IF($A104="","",SUMIFS(GL_Journal!$S:$S,GL_Journal!$G:$G,ACC_SUPPLIERS,GL_Journal!$K:$K,$A104,GL_Journal!$D:$D,"&gt;="&amp;SB_From,GL_Journal!$D:$D,"&lt;="&amp;SB_To))</f>
        <v/>
      </c>
      <c r="F104" s="47">
        <f>IF($A104="","",$C104+$D104-$E104)</f>
        <v/>
      </c>
      <c r="G104" s="43">
        <f>IF($A104="","",MIN(MAX($F104,0),SUMIFS(Supplier_Invoices!$AC:$AC,Supplier_Invoices!$C:$C,$A104,Supplier_Invoices!$AG:$AG,1,Supplier_Invoices!$Y:$Y,"&gt;="&amp;(SB_To-0),Supplier_Invoices!$E:$E,"&lt;="&amp;SB_To)))</f>
        <v/>
      </c>
      <c r="H104" s="43">
        <f>IF($A104="","",MIN(MAX($F104,0),SUMIFS(Supplier_Invoices!$AC:$AC,Supplier_Invoices!$C:$C,$A104,Supplier_Invoices!$AG:$AG,1,Supplier_Invoices!$Y:$Y,"&gt;="&amp;(SB_To-30),Supplier_Invoices!$E:$E,"&lt;="&amp;SB_To))-MIN(MAX($F104,0),SUMIFS(Supplier_Invoices!$AC:$AC,Supplier_Invoices!$C:$C,$A104,Supplier_Invoices!$AG:$AG,1,Supplier_Invoices!$Y:$Y,"&gt;="&amp;(SB_To-0),Supplier_Invoices!$E:$E,"&lt;="&amp;SB_To)))</f>
        <v/>
      </c>
      <c r="I104" s="43">
        <f>IF($A104="","",MIN(MAX($F104,0),SUMIFS(Supplier_Invoices!$AC:$AC,Supplier_Invoices!$C:$C,$A104,Supplier_Invoices!$AG:$AG,1,Supplier_Invoices!$Y:$Y,"&gt;="&amp;(SB_To-60),Supplier_Invoices!$E:$E,"&lt;="&amp;SB_To))-MIN(MAX($F104,0),SUMIFS(Supplier_Invoices!$AC:$AC,Supplier_Invoices!$C:$C,$A104,Supplier_Invoices!$AG:$AG,1,Supplier_Invoices!$Y:$Y,"&gt;="&amp;(SB_To-30),Supplier_Invoices!$E:$E,"&lt;="&amp;SB_To)))</f>
        <v/>
      </c>
      <c r="J104" s="43">
        <f>IF($A104="","",MIN(MAX($F104,0),SUMIFS(Supplier_Invoices!$AC:$AC,Supplier_Invoices!$C:$C,$A104,Supplier_Invoices!$AG:$AG,1,Supplier_Invoices!$Y:$Y,"&gt;="&amp;(SB_To-90),Supplier_Invoices!$E:$E,"&lt;="&amp;SB_To))-MIN(MAX($F104,0),SUMIFS(Supplier_Invoices!$AC:$AC,Supplier_Invoices!$C:$C,$A104,Supplier_Invoices!$AG:$AG,1,Supplier_Invoices!$Y:$Y,"&gt;="&amp;(SB_To-60),Supplier_Invoices!$E:$E,"&lt;="&amp;SB_To)))</f>
        <v/>
      </c>
      <c r="K104" s="43">
        <f>IF($A104="","",MAX($F104,0)-MIN(MAX($F104,0),SUMIFS(Supplier_Invoices!$AC:$AC,Supplier_Invoices!$C:$C,$A104,Supplier_Invoices!$AG:$AG,1,Supplier_Invoices!$Y:$Y,"&gt;="&amp;(SB_To-90),Supplier_Invoices!$E:$E,"&lt;="&amp;SB_To)))</f>
        <v/>
      </c>
      <c r="L104" s="33">
        <f>IF($A104="","",IF(COUNTIFS(Supplier_Payments!$C:$C,$A104,Supplier_Payments!$V:$V,1)=0,"",_xlfn.MAXIFS(Supplier_Payments!$B:$B,Supplier_Payments!$C:$C,$A104,Supplier_Payments!$V:$V,1)))</f>
        <v/>
      </c>
      <c r="M104" s="32">
        <f>IF($A104="","",IF($F104&lt;-S_Tol,"رصيد مدين للمورد - مراجعة",IF($H104+$I104+$J104+$K104&gt;S_Tol,"يوجد مبالغ متأخرة","")))</f>
        <v/>
      </c>
    </row>
    <row r="105">
      <c r="A105" s="44">
        <f>IF(INDEX(Suppliers!$A:$A,ROW()-6)="","",INDEX(Suppliers!$A:$A,ROW()-6))</f>
        <v/>
      </c>
      <c r="B105" s="32">
        <f>IF($A105="","",INDEX(Suppliers!$B:$B,ROW()-6))</f>
        <v/>
      </c>
      <c r="C105" s="47">
        <f>IF($A105="","",SUMIFS(GL_Journal!$T:$T,GL_Journal!$G:$G,ACC_SUPPLIERS,GL_Journal!$K:$K,$A105,GL_Journal!$D:$D,"&lt;"&amp;SB_From)-SUMIFS(GL_Journal!$S:$S,GL_Journal!$G:$G,ACC_SUPPLIERS,GL_Journal!$K:$K,$A105,GL_Journal!$D:$D,"&lt;"&amp;SB_From))</f>
        <v/>
      </c>
      <c r="D105" s="43">
        <f>IF($A105="","",SUMIFS(GL_Journal!$T:$T,GL_Journal!$G:$G,ACC_SUPPLIERS,GL_Journal!$K:$K,$A105,GL_Journal!$D:$D,"&gt;="&amp;SB_From,GL_Journal!$D:$D,"&lt;="&amp;SB_To))</f>
        <v/>
      </c>
      <c r="E105" s="43">
        <f>IF($A105="","",SUMIFS(GL_Journal!$S:$S,GL_Journal!$G:$G,ACC_SUPPLIERS,GL_Journal!$K:$K,$A105,GL_Journal!$D:$D,"&gt;="&amp;SB_From,GL_Journal!$D:$D,"&lt;="&amp;SB_To))</f>
        <v/>
      </c>
      <c r="F105" s="47">
        <f>IF($A105="","",$C105+$D105-$E105)</f>
        <v/>
      </c>
      <c r="G105" s="43">
        <f>IF($A105="","",MIN(MAX($F105,0),SUMIFS(Supplier_Invoices!$AC:$AC,Supplier_Invoices!$C:$C,$A105,Supplier_Invoices!$AG:$AG,1,Supplier_Invoices!$Y:$Y,"&gt;="&amp;(SB_To-0),Supplier_Invoices!$E:$E,"&lt;="&amp;SB_To)))</f>
        <v/>
      </c>
      <c r="H105" s="43">
        <f>IF($A105="","",MIN(MAX($F105,0),SUMIFS(Supplier_Invoices!$AC:$AC,Supplier_Invoices!$C:$C,$A105,Supplier_Invoices!$AG:$AG,1,Supplier_Invoices!$Y:$Y,"&gt;="&amp;(SB_To-30),Supplier_Invoices!$E:$E,"&lt;="&amp;SB_To))-MIN(MAX($F105,0),SUMIFS(Supplier_Invoices!$AC:$AC,Supplier_Invoices!$C:$C,$A105,Supplier_Invoices!$AG:$AG,1,Supplier_Invoices!$Y:$Y,"&gt;="&amp;(SB_To-0),Supplier_Invoices!$E:$E,"&lt;="&amp;SB_To)))</f>
        <v/>
      </c>
      <c r="I105" s="43">
        <f>IF($A105="","",MIN(MAX($F105,0),SUMIFS(Supplier_Invoices!$AC:$AC,Supplier_Invoices!$C:$C,$A105,Supplier_Invoices!$AG:$AG,1,Supplier_Invoices!$Y:$Y,"&gt;="&amp;(SB_To-60),Supplier_Invoices!$E:$E,"&lt;="&amp;SB_To))-MIN(MAX($F105,0),SUMIFS(Supplier_Invoices!$AC:$AC,Supplier_Invoices!$C:$C,$A105,Supplier_Invoices!$AG:$AG,1,Supplier_Invoices!$Y:$Y,"&gt;="&amp;(SB_To-30),Supplier_Invoices!$E:$E,"&lt;="&amp;SB_To)))</f>
        <v/>
      </c>
      <c r="J105" s="43">
        <f>IF($A105="","",MIN(MAX($F105,0),SUMIFS(Supplier_Invoices!$AC:$AC,Supplier_Invoices!$C:$C,$A105,Supplier_Invoices!$AG:$AG,1,Supplier_Invoices!$Y:$Y,"&gt;="&amp;(SB_To-90),Supplier_Invoices!$E:$E,"&lt;="&amp;SB_To))-MIN(MAX($F105,0),SUMIFS(Supplier_Invoices!$AC:$AC,Supplier_Invoices!$C:$C,$A105,Supplier_Invoices!$AG:$AG,1,Supplier_Invoices!$Y:$Y,"&gt;="&amp;(SB_To-60),Supplier_Invoices!$E:$E,"&lt;="&amp;SB_To)))</f>
        <v/>
      </c>
      <c r="K105" s="43">
        <f>IF($A105="","",MAX($F105,0)-MIN(MAX($F105,0),SUMIFS(Supplier_Invoices!$AC:$AC,Supplier_Invoices!$C:$C,$A105,Supplier_Invoices!$AG:$AG,1,Supplier_Invoices!$Y:$Y,"&gt;="&amp;(SB_To-90),Supplier_Invoices!$E:$E,"&lt;="&amp;SB_To)))</f>
        <v/>
      </c>
      <c r="L105" s="33">
        <f>IF($A105="","",IF(COUNTIFS(Supplier_Payments!$C:$C,$A105,Supplier_Payments!$V:$V,1)=0,"",_xlfn.MAXIFS(Supplier_Payments!$B:$B,Supplier_Payments!$C:$C,$A105,Supplier_Payments!$V:$V,1)))</f>
        <v/>
      </c>
      <c r="M105" s="32">
        <f>IF($A105="","",IF($F105&lt;-S_Tol,"رصيد مدين للمورد - مراجعة",IF($H105+$I105+$J105+$K105&gt;S_Tol,"يوجد مبالغ متأخرة","")))</f>
        <v/>
      </c>
    </row>
    <row r="106">
      <c r="A106" s="44">
        <f>IF(INDEX(Suppliers!$A:$A,ROW()-6)="","",INDEX(Suppliers!$A:$A,ROW()-6))</f>
        <v/>
      </c>
      <c r="B106" s="32">
        <f>IF($A106="","",INDEX(Suppliers!$B:$B,ROW()-6))</f>
        <v/>
      </c>
      <c r="C106" s="47">
        <f>IF($A106="","",SUMIFS(GL_Journal!$T:$T,GL_Journal!$G:$G,ACC_SUPPLIERS,GL_Journal!$K:$K,$A106,GL_Journal!$D:$D,"&lt;"&amp;SB_From)-SUMIFS(GL_Journal!$S:$S,GL_Journal!$G:$G,ACC_SUPPLIERS,GL_Journal!$K:$K,$A106,GL_Journal!$D:$D,"&lt;"&amp;SB_From))</f>
        <v/>
      </c>
      <c r="D106" s="43">
        <f>IF($A106="","",SUMIFS(GL_Journal!$T:$T,GL_Journal!$G:$G,ACC_SUPPLIERS,GL_Journal!$K:$K,$A106,GL_Journal!$D:$D,"&gt;="&amp;SB_From,GL_Journal!$D:$D,"&lt;="&amp;SB_To))</f>
        <v/>
      </c>
      <c r="E106" s="43">
        <f>IF($A106="","",SUMIFS(GL_Journal!$S:$S,GL_Journal!$G:$G,ACC_SUPPLIERS,GL_Journal!$K:$K,$A106,GL_Journal!$D:$D,"&gt;="&amp;SB_From,GL_Journal!$D:$D,"&lt;="&amp;SB_To))</f>
        <v/>
      </c>
      <c r="F106" s="47">
        <f>IF($A106="","",$C106+$D106-$E106)</f>
        <v/>
      </c>
      <c r="G106" s="43">
        <f>IF($A106="","",MIN(MAX($F106,0),SUMIFS(Supplier_Invoices!$AC:$AC,Supplier_Invoices!$C:$C,$A106,Supplier_Invoices!$AG:$AG,1,Supplier_Invoices!$Y:$Y,"&gt;="&amp;(SB_To-0),Supplier_Invoices!$E:$E,"&lt;="&amp;SB_To)))</f>
        <v/>
      </c>
      <c r="H106" s="43">
        <f>IF($A106="","",MIN(MAX($F106,0),SUMIFS(Supplier_Invoices!$AC:$AC,Supplier_Invoices!$C:$C,$A106,Supplier_Invoices!$AG:$AG,1,Supplier_Invoices!$Y:$Y,"&gt;="&amp;(SB_To-30),Supplier_Invoices!$E:$E,"&lt;="&amp;SB_To))-MIN(MAX($F106,0),SUMIFS(Supplier_Invoices!$AC:$AC,Supplier_Invoices!$C:$C,$A106,Supplier_Invoices!$AG:$AG,1,Supplier_Invoices!$Y:$Y,"&gt;="&amp;(SB_To-0),Supplier_Invoices!$E:$E,"&lt;="&amp;SB_To)))</f>
        <v/>
      </c>
      <c r="I106" s="43">
        <f>IF($A106="","",MIN(MAX($F106,0),SUMIFS(Supplier_Invoices!$AC:$AC,Supplier_Invoices!$C:$C,$A106,Supplier_Invoices!$AG:$AG,1,Supplier_Invoices!$Y:$Y,"&gt;="&amp;(SB_To-60),Supplier_Invoices!$E:$E,"&lt;="&amp;SB_To))-MIN(MAX($F106,0),SUMIFS(Supplier_Invoices!$AC:$AC,Supplier_Invoices!$C:$C,$A106,Supplier_Invoices!$AG:$AG,1,Supplier_Invoices!$Y:$Y,"&gt;="&amp;(SB_To-30),Supplier_Invoices!$E:$E,"&lt;="&amp;SB_To)))</f>
        <v/>
      </c>
      <c r="J106" s="43">
        <f>IF($A106="","",MIN(MAX($F106,0),SUMIFS(Supplier_Invoices!$AC:$AC,Supplier_Invoices!$C:$C,$A106,Supplier_Invoices!$AG:$AG,1,Supplier_Invoices!$Y:$Y,"&gt;="&amp;(SB_To-90),Supplier_Invoices!$E:$E,"&lt;="&amp;SB_To))-MIN(MAX($F106,0),SUMIFS(Supplier_Invoices!$AC:$AC,Supplier_Invoices!$C:$C,$A106,Supplier_Invoices!$AG:$AG,1,Supplier_Invoices!$Y:$Y,"&gt;="&amp;(SB_To-60),Supplier_Invoices!$E:$E,"&lt;="&amp;SB_To)))</f>
        <v/>
      </c>
      <c r="K106" s="43">
        <f>IF($A106="","",MAX($F106,0)-MIN(MAX($F106,0),SUMIFS(Supplier_Invoices!$AC:$AC,Supplier_Invoices!$C:$C,$A106,Supplier_Invoices!$AG:$AG,1,Supplier_Invoices!$Y:$Y,"&gt;="&amp;(SB_To-90),Supplier_Invoices!$E:$E,"&lt;="&amp;SB_To)))</f>
        <v/>
      </c>
      <c r="L106" s="33">
        <f>IF($A106="","",IF(COUNTIFS(Supplier_Payments!$C:$C,$A106,Supplier_Payments!$V:$V,1)=0,"",_xlfn.MAXIFS(Supplier_Payments!$B:$B,Supplier_Payments!$C:$C,$A106,Supplier_Payments!$V:$V,1)))</f>
        <v/>
      </c>
      <c r="M106" s="32">
        <f>IF($A106="","",IF($F106&lt;-S_Tol,"رصيد مدين للمورد - مراجعة",IF($H106+$I106+$J106+$K106&gt;S_Tol,"يوجد مبالغ متأخرة","")))</f>
        <v/>
      </c>
    </row>
    <row r="107">
      <c r="A107" s="44">
        <f>IF(INDEX(Suppliers!$A:$A,ROW()-6)="","",INDEX(Suppliers!$A:$A,ROW()-6))</f>
        <v/>
      </c>
      <c r="B107" s="32">
        <f>IF($A107="","",INDEX(Suppliers!$B:$B,ROW()-6))</f>
        <v/>
      </c>
      <c r="C107" s="47">
        <f>IF($A107="","",SUMIFS(GL_Journal!$T:$T,GL_Journal!$G:$G,ACC_SUPPLIERS,GL_Journal!$K:$K,$A107,GL_Journal!$D:$D,"&lt;"&amp;SB_From)-SUMIFS(GL_Journal!$S:$S,GL_Journal!$G:$G,ACC_SUPPLIERS,GL_Journal!$K:$K,$A107,GL_Journal!$D:$D,"&lt;"&amp;SB_From))</f>
        <v/>
      </c>
      <c r="D107" s="43">
        <f>IF($A107="","",SUMIFS(GL_Journal!$T:$T,GL_Journal!$G:$G,ACC_SUPPLIERS,GL_Journal!$K:$K,$A107,GL_Journal!$D:$D,"&gt;="&amp;SB_From,GL_Journal!$D:$D,"&lt;="&amp;SB_To))</f>
        <v/>
      </c>
      <c r="E107" s="43">
        <f>IF($A107="","",SUMIFS(GL_Journal!$S:$S,GL_Journal!$G:$G,ACC_SUPPLIERS,GL_Journal!$K:$K,$A107,GL_Journal!$D:$D,"&gt;="&amp;SB_From,GL_Journal!$D:$D,"&lt;="&amp;SB_To))</f>
        <v/>
      </c>
      <c r="F107" s="47">
        <f>IF($A107="","",$C107+$D107-$E107)</f>
        <v/>
      </c>
      <c r="G107" s="43">
        <f>IF($A107="","",MIN(MAX($F107,0),SUMIFS(Supplier_Invoices!$AC:$AC,Supplier_Invoices!$C:$C,$A107,Supplier_Invoices!$AG:$AG,1,Supplier_Invoices!$Y:$Y,"&gt;="&amp;(SB_To-0),Supplier_Invoices!$E:$E,"&lt;="&amp;SB_To)))</f>
        <v/>
      </c>
      <c r="H107" s="43">
        <f>IF($A107="","",MIN(MAX($F107,0),SUMIFS(Supplier_Invoices!$AC:$AC,Supplier_Invoices!$C:$C,$A107,Supplier_Invoices!$AG:$AG,1,Supplier_Invoices!$Y:$Y,"&gt;="&amp;(SB_To-30),Supplier_Invoices!$E:$E,"&lt;="&amp;SB_To))-MIN(MAX($F107,0),SUMIFS(Supplier_Invoices!$AC:$AC,Supplier_Invoices!$C:$C,$A107,Supplier_Invoices!$AG:$AG,1,Supplier_Invoices!$Y:$Y,"&gt;="&amp;(SB_To-0),Supplier_Invoices!$E:$E,"&lt;="&amp;SB_To)))</f>
        <v/>
      </c>
      <c r="I107" s="43">
        <f>IF($A107="","",MIN(MAX($F107,0),SUMIFS(Supplier_Invoices!$AC:$AC,Supplier_Invoices!$C:$C,$A107,Supplier_Invoices!$AG:$AG,1,Supplier_Invoices!$Y:$Y,"&gt;="&amp;(SB_To-60),Supplier_Invoices!$E:$E,"&lt;="&amp;SB_To))-MIN(MAX($F107,0),SUMIFS(Supplier_Invoices!$AC:$AC,Supplier_Invoices!$C:$C,$A107,Supplier_Invoices!$AG:$AG,1,Supplier_Invoices!$Y:$Y,"&gt;="&amp;(SB_To-30),Supplier_Invoices!$E:$E,"&lt;="&amp;SB_To)))</f>
        <v/>
      </c>
      <c r="J107" s="43">
        <f>IF($A107="","",MIN(MAX($F107,0),SUMIFS(Supplier_Invoices!$AC:$AC,Supplier_Invoices!$C:$C,$A107,Supplier_Invoices!$AG:$AG,1,Supplier_Invoices!$Y:$Y,"&gt;="&amp;(SB_To-90),Supplier_Invoices!$E:$E,"&lt;="&amp;SB_To))-MIN(MAX($F107,0),SUMIFS(Supplier_Invoices!$AC:$AC,Supplier_Invoices!$C:$C,$A107,Supplier_Invoices!$AG:$AG,1,Supplier_Invoices!$Y:$Y,"&gt;="&amp;(SB_To-60),Supplier_Invoices!$E:$E,"&lt;="&amp;SB_To)))</f>
        <v/>
      </c>
      <c r="K107" s="43">
        <f>IF($A107="","",MAX($F107,0)-MIN(MAX($F107,0),SUMIFS(Supplier_Invoices!$AC:$AC,Supplier_Invoices!$C:$C,$A107,Supplier_Invoices!$AG:$AG,1,Supplier_Invoices!$Y:$Y,"&gt;="&amp;(SB_To-90),Supplier_Invoices!$E:$E,"&lt;="&amp;SB_To)))</f>
        <v/>
      </c>
      <c r="L107" s="33">
        <f>IF($A107="","",IF(COUNTIFS(Supplier_Payments!$C:$C,$A107,Supplier_Payments!$V:$V,1)=0,"",_xlfn.MAXIFS(Supplier_Payments!$B:$B,Supplier_Payments!$C:$C,$A107,Supplier_Payments!$V:$V,1)))</f>
        <v/>
      </c>
      <c r="M107" s="32">
        <f>IF($A107="","",IF($F107&lt;-S_Tol,"رصيد مدين للمورد - مراجعة",IF($H107+$I107+$J107+$K107&gt;S_Tol,"يوجد مبالغ متأخرة","")))</f>
        <v/>
      </c>
    </row>
    <row r="108">
      <c r="A108" s="44">
        <f>IF(INDEX(Suppliers!$A:$A,ROW()-6)="","",INDEX(Suppliers!$A:$A,ROW()-6))</f>
        <v/>
      </c>
      <c r="B108" s="32">
        <f>IF($A108="","",INDEX(Suppliers!$B:$B,ROW()-6))</f>
        <v/>
      </c>
      <c r="C108" s="47">
        <f>IF($A108="","",SUMIFS(GL_Journal!$T:$T,GL_Journal!$G:$G,ACC_SUPPLIERS,GL_Journal!$K:$K,$A108,GL_Journal!$D:$D,"&lt;"&amp;SB_From)-SUMIFS(GL_Journal!$S:$S,GL_Journal!$G:$G,ACC_SUPPLIERS,GL_Journal!$K:$K,$A108,GL_Journal!$D:$D,"&lt;"&amp;SB_From))</f>
        <v/>
      </c>
      <c r="D108" s="43">
        <f>IF($A108="","",SUMIFS(GL_Journal!$T:$T,GL_Journal!$G:$G,ACC_SUPPLIERS,GL_Journal!$K:$K,$A108,GL_Journal!$D:$D,"&gt;="&amp;SB_From,GL_Journal!$D:$D,"&lt;="&amp;SB_To))</f>
        <v/>
      </c>
      <c r="E108" s="43">
        <f>IF($A108="","",SUMIFS(GL_Journal!$S:$S,GL_Journal!$G:$G,ACC_SUPPLIERS,GL_Journal!$K:$K,$A108,GL_Journal!$D:$D,"&gt;="&amp;SB_From,GL_Journal!$D:$D,"&lt;="&amp;SB_To))</f>
        <v/>
      </c>
      <c r="F108" s="47">
        <f>IF($A108="","",$C108+$D108-$E108)</f>
        <v/>
      </c>
      <c r="G108" s="43">
        <f>IF($A108="","",MIN(MAX($F108,0),SUMIFS(Supplier_Invoices!$AC:$AC,Supplier_Invoices!$C:$C,$A108,Supplier_Invoices!$AG:$AG,1,Supplier_Invoices!$Y:$Y,"&gt;="&amp;(SB_To-0),Supplier_Invoices!$E:$E,"&lt;="&amp;SB_To)))</f>
        <v/>
      </c>
      <c r="H108" s="43">
        <f>IF($A108="","",MIN(MAX($F108,0),SUMIFS(Supplier_Invoices!$AC:$AC,Supplier_Invoices!$C:$C,$A108,Supplier_Invoices!$AG:$AG,1,Supplier_Invoices!$Y:$Y,"&gt;="&amp;(SB_To-30),Supplier_Invoices!$E:$E,"&lt;="&amp;SB_To))-MIN(MAX($F108,0),SUMIFS(Supplier_Invoices!$AC:$AC,Supplier_Invoices!$C:$C,$A108,Supplier_Invoices!$AG:$AG,1,Supplier_Invoices!$Y:$Y,"&gt;="&amp;(SB_To-0),Supplier_Invoices!$E:$E,"&lt;="&amp;SB_To)))</f>
        <v/>
      </c>
      <c r="I108" s="43">
        <f>IF($A108="","",MIN(MAX($F108,0),SUMIFS(Supplier_Invoices!$AC:$AC,Supplier_Invoices!$C:$C,$A108,Supplier_Invoices!$AG:$AG,1,Supplier_Invoices!$Y:$Y,"&gt;="&amp;(SB_To-60),Supplier_Invoices!$E:$E,"&lt;="&amp;SB_To))-MIN(MAX($F108,0),SUMIFS(Supplier_Invoices!$AC:$AC,Supplier_Invoices!$C:$C,$A108,Supplier_Invoices!$AG:$AG,1,Supplier_Invoices!$Y:$Y,"&gt;="&amp;(SB_To-30),Supplier_Invoices!$E:$E,"&lt;="&amp;SB_To)))</f>
        <v/>
      </c>
      <c r="J108" s="43">
        <f>IF($A108="","",MIN(MAX($F108,0),SUMIFS(Supplier_Invoices!$AC:$AC,Supplier_Invoices!$C:$C,$A108,Supplier_Invoices!$AG:$AG,1,Supplier_Invoices!$Y:$Y,"&gt;="&amp;(SB_To-90),Supplier_Invoices!$E:$E,"&lt;="&amp;SB_To))-MIN(MAX($F108,0),SUMIFS(Supplier_Invoices!$AC:$AC,Supplier_Invoices!$C:$C,$A108,Supplier_Invoices!$AG:$AG,1,Supplier_Invoices!$Y:$Y,"&gt;="&amp;(SB_To-60),Supplier_Invoices!$E:$E,"&lt;="&amp;SB_To)))</f>
        <v/>
      </c>
      <c r="K108" s="43">
        <f>IF($A108="","",MAX($F108,0)-MIN(MAX($F108,0),SUMIFS(Supplier_Invoices!$AC:$AC,Supplier_Invoices!$C:$C,$A108,Supplier_Invoices!$AG:$AG,1,Supplier_Invoices!$Y:$Y,"&gt;="&amp;(SB_To-90),Supplier_Invoices!$E:$E,"&lt;="&amp;SB_To)))</f>
        <v/>
      </c>
      <c r="L108" s="33">
        <f>IF($A108="","",IF(COUNTIFS(Supplier_Payments!$C:$C,$A108,Supplier_Payments!$V:$V,1)=0,"",_xlfn.MAXIFS(Supplier_Payments!$B:$B,Supplier_Payments!$C:$C,$A108,Supplier_Payments!$V:$V,1)))</f>
        <v/>
      </c>
      <c r="M108" s="32">
        <f>IF($A108="","",IF($F108&lt;-S_Tol,"رصيد مدين للمورد - مراجعة",IF($H108+$I108+$J108+$K108&gt;S_Tol,"يوجد مبالغ متأخرة","")))</f>
        <v/>
      </c>
    </row>
    <row r="109">
      <c r="A109" s="44">
        <f>IF(INDEX(Suppliers!$A:$A,ROW()-6)="","",INDEX(Suppliers!$A:$A,ROW()-6))</f>
        <v/>
      </c>
      <c r="B109" s="32">
        <f>IF($A109="","",INDEX(Suppliers!$B:$B,ROW()-6))</f>
        <v/>
      </c>
      <c r="C109" s="47">
        <f>IF($A109="","",SUMIFS(GL_Journal!$T:$T,GL_Journal!$G:$G,ACC_SUPPLIERS,GL_Journal!$K:$K,$A109,GL_Journal!$D:$D,"&lt;"&amp;SB_From)-SUMIFS(GL_Journal!$S:$S,GL_Journal!$G:$G,ACC_SUPPLIERS,GL_Journal!$K:$K,$A109,GL_Journal!$D:$D,"&lt;"&amp;SB_From))</f>
        <v/>
      </c>
      <c r="D109" s="43">
        <f>IF($A109="","",SUMIFS(GL_Journal!$T:$T,GL_Journal!$G:$G,ACC_SUPPLIERS,GL_Journal!$K:$K,$A109,GL_Journal!$D:$D,"&gt;="&amp;SB_From,GL_Journal!$D:$D,"&lt;="&amp;SB_To))</f>
        <v/>
      </c>
      <c r="E109" s="43">
        <f>IF($A109="","",SUMIFS(GL_Journal!$S:$S,GL_Journal!$G:$G,ACC_SUPPLIERS,GL_Journal!$K:$K,$A109,GL_Journal!$D:$D,"&gt;="&amp;SB_From,GL_Journal!$D:$D,"&lt;="&amp;SB_To))</f>
        <v/>
      </c>
      <c r="F109" s="47">
        <f>IF($A109="","",$C109+$D109-$E109)</f>
        <v/>
      </c>
      <c r="G109" s="43">
        <f>IF($A109="","",MIN(MAX($F109,0),SUMIFS(Supplier_Invoices!$AC:$AC,Supplier_Invoices!$C:$C,$A109,Supplier_Invoices!$AG:$AG,1,Supplier_Invoices!$Y:$Y,"&gt;="&amp;(SB_To-0),Supplier_Invoices!$E:$E,"&lt;="&amp;SB_To)))</f>
        <v/>
      </c>
      <c r="H109" s="43">
        <f>IF($A109="","",MIN(MAX($F109,0),SUMIFS(Supplier_Invoices!$AC:$AC,Supplier_Invoices!$C:$C,$A109,Supplier_Invoices!$AG:$AG,1,Supplier_Invoices!$Y:$Y,"&gt;="&amp;(SB_To-30),Supplier_Invoices!$E:$E,"&lt;="&amp;SB_To))-MIN(MAX($F109,0),SUMIFS(Supplier_Invoices!$AC:$AC,Supplier_Invoices!$C:$C,$A109,Supplier_Invoices!$AG:$AG,1,Supplier_Invoices!$Y:$Y,"&gt;="&amp;(SB_To-0),Supplier_Invoices!$E:$E,"&lt;="&amp;SB_To)))</f>
        <v/>
      </c>
      <c r="I109" s="43">
        <f>IF($A109="","",MIN(MAX($F109,0),SUMIFS(Supplier_Invoices!$AC:$AC,Supplier_Invoices!$C:$C,$A109,Supplier_Invoices!$AG:$AG,1,Supplier_Invoices!$Y:$Y,"&gt;="&amp;(SB_To-60),Supplier_Invoices!$E:$E,"&lt;="&amp;SB_To))-MIN(MAX($F109,0),SUMIFS(Supplier_Invoices!$AC:$AC,Supplier_Invoices!$C:$C,$A109,Supplier_Invoices!$AG:$AG,1,Supplier_Invoices!$Y:$Y,"&gt;="&amp;(SB_To-30),Supplier_Invoices!$E:$E,"&lt;="&amp;SB_To)))</f>
        <v/>
      </c>
      <c r="J109" s="43">
        <f>IF($A109="","",MIN(MAX($F109,0),SUMIFS(Supplier_Invoices!$AC:$AC,Supplier_Invoices!$C:$C,$A109,Supplier_Invoices!$AG:$AG,1,Supplier_Invoices!$Y:$Y,"&gt;="&amp;(SB_To-90),Supplier_Invoices!$E:$E,"&lt;="&amp;SB_To))-MIN(MAX($F109,0),SUMIFS(Supplier_Invoices!$AC:$AC,Supplier_Invoices!$C:$C,$A109,Supplier_Invoices!$AG:$AG,1,Supplier_Invoices!$Y:$Y,"&gt;="&amp;(SB_To-60),Supplier_Invoices!$E:$E,"&lt;="&amp;SB_To)))</f>
        <v/>
      </c>
      <c r="K109" s="43">
        <f>IF($A109="","",MAX($F109,0)-MIN(MAX($F109,0),SUMIFS(Supplier_Invoices!$AC:$AC,Supplier_Invoices!$C:$C,$A109,Supplier_Invoices!$AG:$AG,1,Supplier_Invoices!$Y:$Y,"&gt;="&amp;(SB_To-90),Supplier_Invoices!$E:$E,"&lt;="&amp;SB_To)))</f>
        <v/>
      </c>
      <c r="L109" s="33">
        <f>IF($A109="","",IF(COUNTIFS(Supplier_Payments!$C:$C,$A109,Supplier_Payments!$V:$V,1)=0,"",_xlfn.MAXIFS(Supplier_Payments!$B:$B,Supplier_Payments!$C:$C,$A109,Supplier_Payments!$V:$V,1)))</f>
        <v/>
      </c>
      <c r="M109" s="32">
        <f>IF($A109="","",IF($F109&lt;-S_Tol,"رصيد مدين للمورد - مراجعة",IF($H109+$I109+$J109+$K109&gt;S_Tol,"يوجد مبالغ متأخرة","")))</f>
        <v/>
      </c>
    </row>
    <row r="110">
      <c r="A110" s="44">
        <f>IF(INDEX(Suppliers!$A:$A,ROW()-6)="","",INDEX(Suppliers!$A:$A,ROW()-6))</f>
        <v/>
      </c>
      <c r="B110" s="32">
        <f>IF($A110="","",INDEX(Suppliers!$B:$B,ROW()-6))</f>
        <v/>
      </c>
      <c r="C110" s="47">
        <f>IF($A110="","",SUMIFS(GL_Journal!$T:$T,GL_Journal!$G:$G,ACC_SUPPLIERS,GL_Journal!$K:$K,$A110,GL_Journal!$D:$D,"&lt;"&amp;SB_From)-SUMIFS(GL_Journal!$S:$S,GL_Journal!$G:$G,ACC_SUPPLIERS,GL_Journal!$K:$K,$A110,GL_Journal!$D:$D,"&lt;"&amp;SB_From))</f>
        <v/>
      </c>
      <c r="D110" s="43">
        <f>IF($A110="","",SUMIFS(GL_Journal!$T:$T,GL_Journal!$G:$G,ACC_SUPPLIERS,GL_Journal!$K:$K,$A110,GL_Journal!$D:$D,"&gt;="&amp;SB_From,GL_Journal!$D:$D,"&lt;="&amp;SB_To))</f>
        <v/>
      </c>
      <c r="E110" s="43">
        <f>IF($A110="","",SUMIFS(GL_Journal!$S:$S,GL_Journal!$G:$G,ACC_SUPPLIERS,GL_Journal!$K:$K,$A110,GL_Journal!$D:$D,"&gt;="&amp;SB_From,GL_Journal!$D:$D,"&lt;="&amp;SB_To))</f>
        <v/>
      </c>
      <c r="F110" s="47">
        <f>IF($A110="","",$C110+$D110-$E110)</f>
        <v/>
      </c>
      <c r="G110" s="43">
        <f>IF($A110="","",MIN(MAX($F110,0),SUMIFS(Supplier_Invoices!$AC:$AC,Supplier_Invoices!$C:$C,$A110,Supplier_Invoices!$AG:$AG,1,Supplier_Invoices!$Y:$Y,"&gt;="&amp;(SB_To-0),Supplier_Invoices!$E:$E,"&lt;="&amp;SB_To)))</f>
        <v/>
      </c>
      <c r="H110" s="43">
        <f>IF($A110="","",MIN(MAX($F110,0),SUMIFS(Supplier_Invoices!$AC:$AC,Supplier_Invoices!$C:$C,$A110,Supplier_Invoices!$AG:$AG,1,Supplier_Invoices!$Y:$Y,"&gt;="&amp;(SB_To-30),Supplier_Invoices!$E:$E,"&lt;="&amp;SB_To))-MIN(MAX($F110,0),SUMIFS(Supplier_Invoices!$AC:$AC,Supplier_Invoices!$C:$C,$A110,Supplier_Invoices!$AG:$AG,1,Supplier_Invoices!$Y:$Y,"&gt;="&amp;(SB_To-0),Supplier_Invoices!$E:$E,"&lt;="&amp;SB_To)))</f>
        <v/>
      </c>
      <c r="I110" s="43">
        <f>IF($A110="","",MIN(MAX($F110,0),SUMIFS(Supplier_Invoices!$AC:$AC,Supplier_Invoices!$C:$C,$A110,Supplier_Invoices!$AG:$AG,1,Supplier_Invoices!$Y:$Y,"&gt;="&amp;(SB_To-60),Supplier_Invoices!$E:$E,"&lt;="&amp;SB_To))-MIN(MAX($F110,0),SUMIFS(Supplier_Invoices!$AC:$AC,Supplier_Invoices!$C:$C,$A110,Supplier_Invoices!$AG:$AG,1,Supplier_Invoices!$Y:$Y,"&gt;="&amp;(SB_To-30),Supplier_Invoices!$E:$E,"&lt;="&amp;SB_To)))</f>
        <v/>
      </c>
      <c r="J110" s="43">
        <f>IF($A110="","",MIN(MAX($F110,0),SUMIFS(Supplier_Invoices!$AC:$AC,Supplier_Invoices!$C:$C,$A110,Supplier_Invoices!$AG:$AG,1,Supplier_Invoices!$Y:$Y,"&gt;="&amp;(SB_To-90),Supplier_Invoices!$E:$E,"&lt;="&amp;SB_To))-MIN(MAX($F110,0),SUMIFS(Supplier_Invoices!$AC:$AC,Supplier_Invoices!$C:$C,$A110,Supplier_Invoices!$AG:$AG,1,Supplier_Invoices!$Y:$Y,"&gt;="&amp;(SB_To-60),Supplier_Invoices!$E:$E,"&lt;="&amp;SB_To)))</f>
        <v/>
      </c>
      <c r="K110" s="43">
        <f>IF($A110="","",MAX($F110,0)-MIN(MAX($F110,0),SUMIFS(Supplier_Invoices!$AC:$AC,Supplier_Invoices!$C:$C,$A110,Supplier_Invoices!$AG:$AG,1,Supplier_Invoices!$Y:$Y,"&gt;="&amp;(SB_To-90),Supplier_Invoices!$E:$E,"&lt;="&amp;SB_To)))</f>
        <v/>
      </c>
      <c r="L110" s="33">
        <f>IF($A110="","",IF(COUNTIFS(Supplier_Payments!$C:$C,$A110,Supplier_Payments!$V:$V,1)=0,"",_xlfn.MAXIFS(Supplier_Payments!$B:$B,Supplier_Payments!$C:$C,$A110,Supplier_Payments!$V:$V,1)))</f>
        <v/>
      </c>
      <c r="M110" s="32">
        <f>IF($A110="","",IF($F110&lt;-S_Tol,"رصيد مدين للمورد - مراجعة",IF($H110+$I110+$J110+$K110&gt;S_Tol,"يوجد مبالغ متأخرة","")))</f>
        <v/>
      </c>
    </row>
    <row r="111">
      <c r="A111" s="44">
        <f>IF(INDEX(Suppliers!$A:$A,ROW()-6)="","",INDEX(Suppliers!$A:$A,ROW()-6))</f>
        <v/>
      </c>
      <c r="B111" s="32">
        <f>IF($A111="","",INDEX(Suppliers!$B:$B,ROW()-6))</f>
        <v/>
      </c>
      <c r="C111" s="47">
        <f>IF($A111="","",SUMIFS(GL_Journal!$T:$T,GL_Journal!$G:$G,ACC_SUPPLIERS,GL_Journal!$K:$K,$A111,GL_Journal!$D:$D,"&lt;"&amp;SB_From)-SUMIFS(GL_Journal!$S:$S,GL_Journal!$G:$G,ACC_SUPPLIERS,GL_Journal!$K:$K,$A111,GL_Journal!$D:$D,"&lt;"&amp;SB_From))</f>
        <v/>
      </c>
      <c r="D111" s="43">
        <f>IF($A111="","",SUMIFS(GL_Journal!$T:$T,GL_Journal!$G:$G,ACC_SUPPLIERS,GL_Journal!$K:$K,$A111,GL_Journal!$D:$D,"&gt;="&amp;SB_From,GL_Journal!$D:$D,"&lt;="&amp;SB_To))</f>
        <v/>
      </c>
      <c r="E111" s="43">
        <f>IF($A111="","",SUMIFS(GL_Journal!$S:$S,GL_Journal!$G:$G,ACC_SUPPLIERS,GL_Journal!$K:$K,$A111,GL_Journal!$D:$D,"&gt;="&amp;SB_From,GL_Journal!$D:$D,"&lt;="&amp;SB_To))</f>
        <v/>
      </c>
      <c r="F111" s="47">
        <f>IF($A111="","",$C111+$D111-$E111)</f>
        <v/>
      </c>
      <c r="G111" s="43">
        <f>IF($A111="","",MIN(MAX($F111,0),SUMIFS(Supplier_Invoices!$AC:$AC,Supplier_Invoices!$C:$C,$A111,Supplier_Invoices!$AG:$AG,1,Supplier_Invoices!$Y:$Y,"&gt;="&amp;(SB_To-0),Supplier_Invoices!$E:$E,"&lt;="&amp;SB_To)))</f>
        <v/>
      </c>
      <c r="H111" s="43">
        <f>IF($A111="","",MIN(MAX($F111,0),SUMIFS(Supplier_Invoices!$AC:$AC,Supplier_Invoices!$C:$C,$A111,Supplier_Invoices!$AG:$AG,1,Supplier_Invoices!$Y:$Y,"&gt;="&amp;(SB_To-30),Supplier_Invoices!$E:$E,"&lt;="&amp;SB_To))-MIN(MAX($F111,0),SUMIFS(Supplier_Invoices!$AC:$AC,Supplier_Invoices!$C:$C,$A111,Supplier_Invoices!$AG:$AG,1,Supplier_Invoices!$Y:$Y,"&gt;="&amp;(SB_To-0),Supplier_Invoices!$E:$E,"&lt;="&amp;SB_To)))</f>
        <v/>
      </c>
      <c r="I111" s="43">
        <f>IF($A111="","",MIN(MAX($F111,0),SUMIFS(Supplier_Invoices!$AC:$AC,Supplier_Invoices!$C:$C,$A111,Supplier_Invoices!$AG:$AG,1,Supplier_Invoices!$Y:$Y,"&gt;="&amp;(SB_To-60),Supplier_Invoices!$E:$E,"&lt;="&amp;SB_To))-MIN(MAX($F111,0),SUMIFS(Supplier_Invoices!$AC:$AC,Supplier_Invoices!$C:$C,$A111,Supplier_Invoices!$AG:$AG,1,Supplier_Invoices!$Y:$Y,"&gt;="&amp;(SB_To-30),Supplier_Invoices!$E:$E,"&lt;="&amp;SB_To)))</f>
        <v/>
      </c>
      <c r="J111" s="43">
        <f>IF($A111="","",MIN(MAX($F111,0),SUMIFS(Supplier_Invoices!$AC:$AC,Supplier_Invoices!$C:$C,$A111,Supplier_Invoices!$AG:$AG,1,Supplier_Invoices!$Y:$Y,"&gt;="&amp;(SB_To-90),Supplier_Invoices!$E:$E,"&lt;="&amp;SB_To))-MIN(MAX($F111,0),SUMIFS(Supplier_Invoices!$AC:$AC,Supplier_Invoices!$C:$C,$A111,Supplier_Invoices!$AG:$AG,1,Supplier_Invoices!$Y:$Y,"&gt;="&amp;(SB_To-60),Supplier_Invoices!$E:$E,"&lt;="&amp;SB_To)))</f>
        <v/>
      </c>
      <c r="K111" s="43">
        <f>IF($A111="","",MAX($F111,0)-MIN(MAX($F111,0),SUMIFS(Supplier_Invoices!$AC:$AC,Supplier_Invoices!$C:$C,$A111,Supplier_Invoices!$AG:$AG,1,Supplier_Invoices!$Y:$Y,"&gt;="&amp;(SB_To-90),Supplier_Invoices!$E:$E,"&lt;="&amp;SB_To)))</f>
        <v/>
      </c>
      <c r="L111" s="33">
        <f>IF($A111="","",IF(COUNTIFS(Supplier_Payments!$C:$C,$A111,Supplier_Payments!$V:$V,1)=0,"",_xlfn.MAXIFS(Supplier_Payments!$B:$B,Supplier_Payments!$C:$C,$A111,Supplier_Payments!$V:$V,1)))</f>
        <v/>
      </c>
      <c r="M111" s="32">
        <f>IF($A111="","",IF($F111&lt;-S_Tol,"رصيد مدين للمورد - مراجعة",IF($H111+$I111+$J111+$K111&gt;S_Tol,"يوجد مبالغ متأخرة","")))</f>
        <v/>
      </c>
    </row>
    <row r="112">
      <c r="A112" s="44">
        <f>IF(INDEX(Suppliers!$A:$A,ROW()-6)="","",INDEX(Suppliers!$A:$A,ROW()-6))</f>
        <v/>
      </c>
      <c r="B112" s="32">
        <f>IF($A112="","",INDEX(Suppliers!$B:$B,ROW()-6))</f>
        <v/>
      </c>
      <c r="C112" s="47">
        <f>IF($A112="","",SUMIFS(GL_Journal!$T:$T,GL_Journal!$G:$G,ACC_SUPPLIERS,GL_Journal!$K:$K,$A112,GL_Journal!$D:$D,"&lt;"&amp;SB_From)-SUMIFS(GL_Journal!$S:$S,GL_Journal!$G:$G,ACC_SUPPLIERS,GL_Journal!$K:$K,$A112,GL_Journal!$D:$D,"&lt;"&amp;SB_From))</f>
        <v/>
      </c>
      <c r="D112" s="43">
        <f>IF($A112="","",SUMIFS(GL_Journal!$T:$T,GL_Journal!$G:$G,ACC_SUPPLIERS,GL_Journal!$K:$K,$A112,GL_Journal!$D:$D,"&gt;="&amp;SB_From,GL_Journal!$D:$D,"&lt;="&amp;SB_To))</f>
        <v/>
      </c>
      <c r="E112" s="43">
        <f>IF($A112="","",SUMIFS(GL_Journal!$S:$S,GL_Journal!$G:$G,ACC_SUPPLIERS,GL_Journal!$K:$K,$A112,GL_Journal!$D:$D,"&gt;="&amp;SB_From,GL_Journal!$D:$D,"&lt;="&amp;SB_To))</f>
        <v/>
      </c>
      <c r="F112" s="47">
        <f>IF($A112="","",$C112+$D112-$E112)</f>
        <v/>
      </c>
      <c r="G112" s="43">
        <f>IF($A112="","",MIN(MAX($F112,0),SUMIFS(Supplier_Invoices!$AC:$AC,Supplier_Invoices!$C:$C,$A112,Supplier_Invoices!$AG:$AG,1,Supplier_Invoices!$Y:$Y,"&gt;="&amp;(SB_To-0),Supplier_Invoices!$E:$E,"&lt;="&amp;SB_To)))</f>
        <v/>
      </c>
      <c r="H112" s="43">
        <f>IF($A112="","",MIN(MAX($F112,0),SUMIFS(Supplier_Invoices!$AC:$AC,Supplier_Invoices!$C:$C,$A112,Supplier_Invoices!$AG:$AG,1,Supplier_Invoices!$Y:$Y,"&gt;="&amp;(SB_To-30),Supplier_Invoices!$E:$E,"&lt;="&amp;SB_To))-MIN(MAX($F112,0),SUMIFS(Supplier_Invoices!$AC:$AC,Supplier_Invoices!$C:$C,$A112,Supplier_Invoices!$AG:$AG,1,Supplier_Invoices!$Y:$Y,"&gt;="&amp;(SB_To-0),Supplier_Invoices!$E:$E,"&lt;="&amp;SB_To)))</f>
        <v/>
      </c>
      <c r="I112" s="43">
        <f>IF($A112="","",MIN(MAX($F112,0),SUMIFS(Supplier_Invoices!$AC:$AC,Supplier_Invoices!$C:$C,$A112,Supplier_Invoices!$AG:$AG,1,Supplier_Invoices!$Y:$Y,"&gt;="&amp;(SB_To-60),Supplier_Invoices!$E:$E,"&lt;="&amp;SB_To))-MIN(MAX($F112,0),SUMIFS(Supplier_Invoices!$AC:$AC,Supplier_Invoices!$C:$C,$A112,Supplier_Invoices!$AG:$AG,1,Supplier_Invoices!$Y:$Y,"&gt;="&amp;(SB_To-30),Supplier_Invoices!$E:$E,"&lt;="&amp;SB_To)))</f>
        <v/>
      </c>
      <c r="J112" s="43">
        <f>IF($A112="","",MIN(MAX($F112,0),SUMIFS(Supplier_Invoices!$AC:$AC,Supplier_Invoices!$C:$C,$A112,Supplier_Invoices!$AG:$AG,1,Supplier_Invoices!$Y:$Y,"&gt;="&amp;(SB_To-90),Supplier_Invoices!$E:$E,"&lt;="&amp;SB_To))-MIN(MAX($F112,0),SUMIFS(Supplier_Invoices!$AC:$AC,Supplier_Invoices!$C:$C,$A112,Supplier_Invoices!$AG:$AG,1,Supplier_Invoices!$Y:$Y,"&gt;="&amp;(SB_To-60),Supplier_Invoices!$E:$E,"&lt;="&amp;SB_To)))</f>
        <v/>
      </c>
      <c r="K112" s="43">
        <f>IF($A112="","",MAX($F112,0)-MIN(MAX($F112,0),SUMIFS(Supplier_Invoices!$AC:$AC,Supplier_Invoices!$C:$C,$A112,Supplier_Invoices!$AG:$AG,1,Supplier_Invoices!$Y:$Y,"&gt;="&amp;(SB_To-90),Supplier_Invoices!$E:$E,"&lt;="&amp;SB_To)))</f>
        <v/>
      </c>
      <c r="L112" s="33">
        <f>IF($A112="","",IF(COUNTIFS(Supplier_Payments!$C:$C,$A112,Supplier_Payments!$V:$V,1)=0,"",_xlfn.MAXIFS(Supplier_Payments!$B:$B,Supplier_Payments!$C:$C,$A112,Supplier_Payments!$V:$V,1)))</f>
        <v/>
      </c>
      <c r="M112" s="32">
        <f>IF($A112="","",IF($F112&lt;-S_Tol,"رصيد مدين للمورد - مراجعة",IF($H112+$I112+$J112+$K112&gt;S_Tol,"يوجد مبالغ متأخرة","")))</f>
        <v/>
      </c>
    </row>
    <row r="113">
      <c r="A113" s="44">
        <f>IF(INDEX(Suppliers!$A:$A,ROW()-6)="","",INDEX(Suppliers!$A:$A,ROW()-6))</f>
        <v/>
      </c>
      <c r="B113" s="32">
        <f>IF($A113="","",INDEX(Suppliers!$B:$B,ROW()-6))</f>
        <v/>
      </c>
      <c r="C113" s="47">
        <f>IF($A113="","",SUMIFS(GL_Journal!$T:$T,GL_Journal!$G:$G,ACC_SUPPLIERS,GL_Journal!$K:$K,$A113,GL_Journal!$D:$D,"&lt;"&amp;SB_From)-SUMIFS(GL_Journal!$S:$S,GL_Journal!$G:$G,ACC_SUPPLIERS,GL_Journal!$K:$K,$A113,GL_Journal!$D:$D,"&lt;"&amp;SB_From))</f>
        <v/>
      </c>
      <c r="D113" s="43">
        <f>IF($A113="","",SUMIFS(GL_Journal!$T:$T,GL_Journal!$G:$G,ACC_SUPPLIERS,GL_Journal!$K:$K,$A113,GL_Journal!$D:$D,"&gt;="&amp;SB_From,GL_Journal!$D:$D,"&lt;="&amp;SB_To))</f>
        <v/>
      </c>
      <c r="E113" s="43">
        <f>IF($A113="","",SUMIFS(GL_Journal!$S:$S,GL_Journal!$G:$G,ACC_SUPPLIERS,GL_Journal!$K:$K,$A113,GL_Journal!$D:$D,"&gt;="&amp;SB_From,GL_Journal!$D:$D,"&lt;="&amp;SB_To))</f>
        <v/>
      </c>
      <c r="F113" s="47">
        <f>IF($A113="","",$C113+$D113-$E113)</f>
        <v/>
      </c>
      <c r="G113" s="43">
        <f>IF($A113="","",MIN(MAX($F113,0),SUMIFS(Supplier_Invoices!$AC:$AC,Supplier_Invoices!$C:$C,$A113,Supplier_Invoices!$AG:$AG,1,Supplier_Invoices!$Y:$Y,"&gt;="&amp;(SB_To-0),Supplier_Invoices!$E:$E,"&lt;="&amp;SB_To)))</f>
        <v/>
      </c>
      <c r="H113" s="43">
        <f>IF($A113="","",MIN(MAX($F113,0),SUMIFS(Supplier_Invoices!$AC:$AC,Supplier_Invoices!$C:$C,$A113,Supplier_Invoices!$AG:$AG,1,Supplier_Invoices!$Y:$Y,"&gt;="&amp;(SB_To-30),Supplier_Invoices!$E:$E,"&lt;="&amp;SB_To))-MIN(MAX($F113,0),SUMIFS(Supplier_Invoices!$AC:$AC,Supplier_Invoices!$C:$C,$A113,Supplier_Invoices!$AG:$AG,1,Supplier_Invoices!$Y:$Y,"&gt;="&amp;(SB_To-0),Supplier_Invoices!$E:$E,"&lt;="&amp;SB_To)))</f>
        <v/>
      </c>
      <c r="I113" s="43">
        <f>IF($A113="","",MIN(MAX($F113,0),SUMIFS(Supplier_Invoices!$AC:$AC,Supplier_Invoices!$C:$C,$A113,Supplier_Invoices!$AG:$AG,1,Supplier_Invoices!$Y:$Y,"&gt;="&amp;(SB_To-60),Supplier_Invoices!$E:$E,"&lt;="&amp;SB_To))-MIN(MAX($F113,0),SUMIFS(Supplier_Invoices!$AC:$AC,Supplier_Invoices!$C:$C,$A113,Supplier_Invoices!$AG:$AG,1,Supplier_Invoices!$Y:$Y,"&gt;="&amp;(SB_To-30),Supplier_Invoices!$E:$E,"&lt;="&amp;SB_To)))</f>
        <v/>
      </c>
      <c r="J113" s="43">
        <f>IF($A113="","",MIN(MAX($F113,0),SUMIFS(Supplier_Invoices!$AC:$AC,Supplier_Invoices!$C:$C,$A113,Supplier_Invoices!$AG:$AG,1,Supplier_Invoices!$Y:$Y,"&gt;="&amp;(SB_To-90),Supplier_Invoices!$E:$E,"&lt;="&amp;SB_To))-MIN(MAX($F113,0),SUMIFS(Supplier_Invoices!$AC:$AC,Supplier_Invoices!$C:$C,$A113,Supplier_Invoices!$AG:$AG,1,Supplier_Invoices!$Y:$Y,"&gt;="&amp;(SB_To-60),Supplier_Invoices!$E:$E,"&lt;="&amp;SB_To)))</f>
        <v/>
      </c>
      <c r="K113" s="43">
        <f>IF($A113="","",MAX($F113,0)-MIN(MAX($F113,0),SUMIFS(Supplier_Invoices!$AC:$AC,Supplier_Invoices!$C:$C,$A113,Supplier_Invoices!$AG:$AG,1,Supplier_Invoices!$Y:$Y,"&gt;="&amp;(SB_To-90),Supplier_Invoices!$E:$E,"&lt;="&amp;SB_To)))</f>
        <v/>
      </c>
      <c r="L113" s="33">
        <f>IF($A113="","",IF(COUNTIFS(Supplier_Payments!$C:$C,$A113,Supplier_Payments!$V:$V,1)=0,"",_xlfn.MAXIFS(Supplier_Payments!$B:$B,Supplier_Payments!$C:$C,$A113,Supplier_Payments!$V:$V,1)))</f>
        <v/>
      </c>
      <c r="M113" s="32">
        <f>IF($A113="","",IF($F113&lt;-S_Tol,"رصيد مدين للمورد - مراجعة",IF($H113+$I113+$J113+$K113&gt;S_Tol,"يوجد مبالغ متأخرة","")))</f>
        <v/>
      </c>
    </row>
    <row r="114">
      <c r="A114" s="44">
        <f>IF(INDEX(Suppliers!$A:$A,ROW()-6)="","",INDEX(Suppliers!$A:$A,ROW()-6))</f>
        <v/>
      </c>
      <c r="B114" s="32">
        <f>IF($A114="","",INDEX(Suppliers!$B:$B,ROW()-6))</f>
        <v/>
      </c>
      <c r="C114" s="47">
        <f>IF($A114="","",SUMIFS(GL_Journal!$T:$T,GL_Journal!$G:$G,ACC_SUPPLIERS,GL_Journal!$K:$K,$A114,GL_Journal!$D:$D,"&lt;"&amp;SB_From)-SUMIFS(GL_Journal!$S:$S,GL_Journal!$G:$G,ACC_SUPPLIERS,GL_Journal!$K:$K,$A114,GL_Journal!$D:$D,"&lt;"&amp;SB_From))</f>
        <v/>
      </c>
      <c r="D114" s="43">
        <f>IF($A114="","",SUMIFS(GL_Journal!$T:$T,GL_Journal!$G:$G,ACC_SUPPLIERS,GL_Journal!$K:$K,$A114,GL_Journal!$D:$D,"&gt;="&amp;SB_From,GL_Journal!$D:$D,"&lt;="&amp;SB_To))</f>
        <v/>
      </c>
      <c r="E114" s="43">
        <f>IF($A114="","",SUMIFS(GL_Journal!$S:$S,GL_Journal!$G:$G,ACC_SUPPLIERS,GL_Journal!$K:$K,$A114,GL_Journal!$D:$D,"&gt;="&amp;SB_From,GL_Journal!$D:$D,"&lt;="&amp;SB_To))</f>
        <v/>
      </c>
      <c r="F114" s="47">
        <f>IF($A114="","",$C114+$D114-$E114)</f>
        <v/>
      </c>
      <c r="G114" s="43">
        <f>IF($A114="","",MIN(MAX($F114,0),SUMIFS(Supplier_Invoices!$AC:$AC,Supplier_Invoices!$C:$C,$A114,Supplier_Invoices!$AG:$AG,1,Supplier_Invoices!$Y:$Y,"&gt;="&amp;(SB_To-0),Supplier_Invoices!$E:$E,"&lt;="&amp;SB_To)))</f>
        <v/>
      </c>
      <c r="H114" s="43">
        <f>IF($A114="","",MIN(MAX($F114,0),SUMIFS(Supplier_Invoices!$AC:$AC,Supplier_Invoices!$C:$C,$A114,Supplier_Invoices!$AG:$AG,1,Supplier_Invoices!$Y:$Y,"&gt;="&amp;(SB_To-30),Supplier_Invoices!$E:$E,"&lt;="&amp;SB_To))-MIN(MAX($F114,0),SUMIFS(Supplier_Invoices!$AC:$AC,Supplier_Invoices!$C:$C,$A114,Supplier_Invoices!$AG:$AG,1,Supplier_Invoices!$Y:$Y,"&gt;="&amp;(SB_To-0),Supplier_Invoices!$E:$E,"&lt;="&amp;SB_To)))</f>
        <v/>
      </c>
      <c r="I114" s="43">
        <f>IF($A114="","",MIN(MAX($F114,0),SUMIFS(Supplier_Invoices!$AC:$AC,Supplier_Invoices!$C:$C,$A114,Supplier_Invoices!$AG:$AG,1,Supplier_Invoices!$Y:$Y,"&gt;="&amp;(SB_To-60),Supplier_Invoices!$E:$E,"&lt;="&amp;SB_To))-MIN(MAX($F114,0),SUMIFS(Supplier_Invoices!$AC:$AC,Supplier_Invoices!$C:$C,$A114,Supplier_Invoices!$AG:$AG,1,Supplier_Invoices!$Y:$Y,"&gt;="&amp;(SB_To-30),Supplier_Invoices!$E:$E,"&lt;="&amp;SB_To)))</f>
        <v/>
      </c>
      <c r="J114" s="43">
        <f>IF($A114="","",MIN(MAX($F114,0),SUMIFS(Supplier_Invoices!$AC:$AC,Supplier_Invoices!$C:$C,$A114,Supplier_Invoices!$AG:$AG,1,Supplier_Invoices!$Y:$Y,"&gt;="&amp;(SB_To-90),Supplier_Invoices!$E:$E,"&lt;="&amp;SB_To))-MIN(MAX($F114,0),SUMIFS(Supplier_Invoices!$AC:$AC,Supplier_Invoices!$C:$C,$A114,Supplier_Invoices!$AG:$AG,1,Supplier_Invoices!$Y:$Y,"&gt;="&amp;(SB_To-60),Supplier_Invoices!$E:$E,"&lt;="&amp;SB_To)))</f>
        <v/>
      </c>
      <c r="K114" s="43">
        <f>IF($A114="","",MAX($F114,0)-MIN(MAX($F114,0),SUMIFS(Supplier_Invoices!$AC:$AC,Supplier_Invoices!$C:$C,$A114,Supplier_Invoices!$AG:$AG,1,Supplier_Invoices!$Y:$Y,"&gt;="&amp;(SB_To-90),Supplier_Invoices!$E:$E,"&lt;="&amp;SB_To)))</f>
        <v/>
      </c>
      <c r="L114" s="33">
        <f>IF($A114="","",IF(COUNTIFS(Supplier_Payments!$C:$C,$A114,Supplier_Payments!$V:$V,1)=0,"",_xlfn.MAXIFS(Supplier_Payments!$B:$B,Supplier_Payments!$C:$C,$A114,Supplier_Payments!$V:$V,1)))</f>
        <v/>
      </c>
      <c r="M114" s="32">
        <f>IF($A114="","",IF($F114&lt;-S_Tol,"رصيد مدين للمورد - مراجعة",IF($H114+$I114+$J114+$K114&gt;S_Tol,"يوجد مبالغ متأخرة","")))</f>
        <v/>
      </c>
    </row>
    <row r="115">
      <c r="A115" s="44">
        <f>IF(INDEX(Suppliers!$A:$A,ROW()-6)="","",INDEX(Suppliers!$A:$A,ROW()-6))</f>
        <v/>
      </c>
      <c r="B115" s="32">
        <f>IF($A115="","",INDEX(Suppliers!$B:$B,ROW()-6))</f>
        <v/>
      </c>
      <c r="C115" s="47">
        <f>IF($A115="","",SUMIFS(GL_Journal!$T:$T,GL_Journal!$G:$G,ACC_SUPPLIERS,GL_Journal!$K:$K,$A115,GL_Journal!$D:$D,"&lt;"&amp;SB_From)-SUMIFS(GL_Journal!$S:$S,GL_Journal!$G:$G,ACC_SUPPLIERS,GL_Journal!$K:$K,$A115,GL_Journal!$D:$D,"&lt;"&amp;SB_From))</f>
        <v/>
      </c>
      <c r="D115" s="43">
        <f>IF($A115="","",SUMIFS(GL_Journal!$T:$T,GL_Journal!$G:$G,ACC_SUPPLIERS,GL_Journal!$K:$K,$A115,GL_Journal!$D:$D,"&gt;="&amp;SB_From,GL_Journal!$D:$D,"&lt;="&amp;SB_To))</f>
        <v/>
      </c>
      <c r="E115" s="43">
        <f>IF($A115="","",SUMIFS(GL_Journal!$S:$S,GL_Journal!$G:$G,ACC_SUPPLIERS,GL_Journal!$K:$K,$A115,GL_Journal!$D:$D,"&gt;="&amp;SB_From,GL_Journal!$D:$D,"&lt;="&amp;SB_To))</f>
        <v/>
      </c>
      <c r="F115" s="47">
        <f>IF($A115="","",$C115+$D115-$E115)</f>
        <v/>
      </c>
      <c r="G115" s="43">
        <f>IF($A115="","",MIN(MAX($F115,0),SUMIFS(Supplier_Invoices!$AC:$AC,Supplier_Invoices!$C:$C,$A115,Supplier_Invoices!$AG:$AG,1,Supplier_Invoices!$Y:$Y,"&gt;="&amp;(SB_To-0),Supplier_Invoices!$E:$E,"&lt;="&amp;SB_To)))</f>
        <v/>
      </c>
      <c r="H115" s="43">
        <f>IF($A115="","",MIN(MAX($F115,0),SUMIFS(Supplier_Invoices!$AC:$AC,Supplier_Invoices!$C:$C,$A115,Supplier_Invoices!$AG:$AG,1,Supplier_Invoices!$Y:$Y,"&gt;="&amp;(SB_To-30),Supplier_Invoices!$E:$E,"&lt;="&amp;SB_To))-MIN(MAX($F115,0),SUMIFS(Supplier_Invoices!$AC:$AC,Supplier_Invoices!$C:$C,$A115,Supplier_Invoices!$AG:$AG,1,Supplier_Invoices!$Y:$Y,"&gt;="&amp;(SB_To-0),Supplier_Invoices!$E:$E,"&lt;="&amp;SB_To)))</f>
        <v/>
      </c>
      <c r="I115" s="43">
        <f>IF($A115="","",MIN(MAX($F115,0),SUMIFS(Supplier_Invoices!$AC:$AC,Supplier_Invoices!$C:$C,$A115,Supplier_Invoices!$AG:$AG,1,Supplier_Invoices!$Y:$Y,"&gt;="&amp;(SB_To-60),Supplier_Invoices!$E:$E,"&lt;="&amp;SB_To))-MIN(MAX($F115,0),SUMIFS(Supplier_Invoices!$AC:$AC,Supplier_Invoices!$C:$C,$A115,Supplier_Invoices!$AG:$AG,1,Supplier_Invoices!$Y:$Y,"&gt;="&amp;(SB_To-30),Supplier_Invoices!$E:$E,"&lt;="&amp;SB_To)))</f>
        <v/>
      </c>
      <c r="J115" s="43">
        <f>IF($A115="","",MIN(MAX($F115,0),SUMIFS(Supplier_Invoices!$AC:$AC,Supplier_Invoices!$C:$C,$A115,Supplier_Invoices!$AG:$AG,1,Supplier_Invoices!$Y:$Y,"&gt;="&amp;(SB_To-90),Supplier_Invoices!$E:$E,"&lt;="&amp;SB_To))-MIN(MAX($F115,0),SUMIFS(Supplier_Invoices!$AC:$AC,Supplier_Invoices!$C:$C,$A115,Supplier_Invoices!$AG:$AG,1,Supplier_Invoices!$Y:$Y,"&gt;="&amp;(SB_To-60),Supplier_Invoices!$E:$E,"&lt;="&amp;SB_To)))</f>
        <v/>
      </c>
      <c r="K115" s="43">
        <f>IF($A115="","",MAX($F115,0)-MIN(MAX($F115,0),SUMIFS(Supplier_Invoices!$AC:$AC,Supplier_Invoices!$C:$C,$A115,Supplier_Invoices!$AG:$AG,1,Supplier_Invoices!$Y:$Y,"&gt;="&amp;(SB_To-90),Supplier_Invoices!$E:$E,"&lt;="&amp;SB_To)))</f>
        <v/>
      </c>
      <c r="L115" s="33">
        <f>IF($A115="","",IF(COUNTIFS(Supplier_Payments!$C:$C,$A115,Supplier_Payments!$V:$V,1)=0,"",_xlfn.MAXIFS(Supplier_Payments!$B:$B,Supplier_Payments!$C:$C,$A115,Supplier_Payments!$V:$V,1)))</f>
        <v/>
      </c>
      <c r="M115" s="32">
        <f>IF($A115="","",IF($F115&lt;-S_Tol,"رصيد مدين للمورد - مراجعة",IF($H115+$I115+$J115+$K115&gt;S_Tol,"يوجد مبالغ متأخرة","")))</f>
        <v/>
      </c>
    </row>
    <row r="116">
      <c r="A116" s="44">
        <f>IF(INDEX(Suppliers!$A:$A,ROW()-6)="","",INDEX(Suppliers!$A:$A,ROW()-6))</f>
        <v/>
      </c>
      <c r="B116" s="32">
        <f>IF($A116="","",INDEX(Suppliers!$B:$B,ROW()-6))</f>
        <v/>
      </c>
      <c r="C116" s="47">
        <f>IF($A116="","",SUMIFS(GL_Journal!$T:$T,GL_Journal!$G:$G,ACC_SUPPLIERS,GL_Journal!$K:$K,$A116,GL_Journal!$D:$D,"&lt;"&amp;SB_From)-SUMIFS(GL_Journal!$S:$S,GL_Journal!$G:$G,ACC_SUPPLIERS,GL_Journal!$K:$K,$A116,GL_Journal!$D:$D,"&lt;"&amp;SB_From))</f>
        <v/>
      </c>
      <c r="D116" s="43">
        <f>IF($A116="","",SUMIFS(GL_Journal!$T:$T,GL_Journal!$G:$G,ACC_SUPPLIERS,GL_Journal!$K:$K,$A116,GL_Journal!$D:$D,"&gt;="&amp;SB_From,GL_Journal!$D:$D,"&lt;="&amp;SB_To))</f>
        <v/>
      </c>
      <c r="E116" s="43">
        <f>IF($A116="","",SUMIFS(GL_Journal!$S:$S,GL_Journal!$G:$G,ACC_SUPPLIERS,GL_Journal!$K:$K,$A116,GL_Journal!$D:$D,"&gt;="&amp;SB_From,GL_Journal!$D:$D,"&lt;="&amp;SB_To))</f>
        <v/>
      </c>
      <c r="F116" s="47">
        <f>IF($A116="","",$C116+$D116-$E116)</f>
        <v/>
      </c>
      <c r="G116" s="43">
        <f>IF($A116="","",MIN(MAX($F116,0),SUMIFS(Supplier_Invoices!$AC:$AC,Supplier_Invoices!$C:$C,$A116,Supplier_Invoices!$AG:$AG,1,Supplier_Invoices!$Y:$Y,"&gt;="&amp;(SB_To-0),Supplier_Invoices!$E:$E,"&lt;="&amp;SB_To)))</f>
        <v/>
      </c>
      <c r="H116" s="43">
        <f>IF($A116="","",MIN(MAX($F116,0),SUMIFS(Supplier_Invoices!$AC:$AC,Supplier_Invoices!$C:$C,$A116,Supplier_Invoices!$AG:$AG,1,Supplier_Invoices!$Y:$Y,"&gt;="&amp;(SB_To-30),Supplier_Invoices!$E:$E,"&lt;="&amp;SB_To))-MIN(MAX($F116,0),SUMIFS(Supplier_Invoices!$AC:$AC,Supplier_Invoices!$C:$C,$A116,Supplier_Invoices!$AG:$AG,1,Supplier_Invoices!$Y:$Y,"&gt;="&amp;(SB_To-0),Supplier_Invoices!$E:$E,"&lt;="&amp;SB_To)))</f>
        <v/>
      </c>
      <c r="I116" s="43">
        <f>IF($A116="","",MIN(MAX($F116,0),SUMIFS(Supplier_Invoices!$AC:$AC,Supplier_Invoices!$C:$C,$A116,Supplier_Invoices!$AG:$AG,1,Supplier_Invoices!$Y:$Y,"&gt;="&amp;(SB_To-60),Supplier_Invoices!$E:$E,"&lt;="&amp;SB_To))-MIN(MAX($F116,0),SUMIFS(Supplier_Invoices!$AC:$AC,Supplier_Invoices!$C:$C,$A116,Supplier_Invoices!$AG:$AG,1,Supplier_Invoices!$Y:$Y,"&gt;="&amp;(SB_To-30),Supplier_Invoices!$E:$E,"&lt;="&amp;SB_To)))</f>
        <v/>
      </c>
      <c r="J116" s="43">
        <f>IF($A116="","",MIN(MAX($F116,0),SUMIFS(Supplier_Invoices!$AC:$AC,Supplier_Invoices!$C:$C,$A116,Supplier_Invoices!$AG:$AG,1,Supplier_Invoices!$Y:$Y,"&gt;="&amp;(SB_To-90),Supplier_Invoices!$E:$E,"&lt;="&amp;SB_To))-MIN(MAX($F116,0),SUMIFS(Supplier_Invoices!$AC:$AC,Supplier_Invoices!$C:$C,$A116,Supplier_Invoices!$AG:$AG,1,Supplier_Invoices!$Y:$Y,"&gt;="&amp;(SB_To-60),Supplier_Invoices!$E:$E,"&lt;="&amp;SB_To)))</f>
        <v/>
      </c>
      <c r="K116" s="43">
        <f>IF($A116="","",MAX($F116,0)-MIN(MAX($F116,0),SUMIFS(Supplier_Invoices!$AC:$AC,Supplier_Invoices!$C:$C,$A116,Supplier_Invoices!$AG:$AG,1,Supplier_Invoices!$Y:$Y,"&gt;="&amp;(SB_To-90),Supplier_Invoices!$E:$E,"&lt;="&amp;SB_To)))</f>
        <v/>
      </c>
      <c r="L116" s="33">
        <f>IF($A116="","",IF(COUNTIFS(Supplier_Payments!$C:$C,$A116,Supplier_Payments!$V:$V,1)=0,"",_xlfn.MAXIFS(Supplier_Payments!$B:$B,Supplier_Payments!$C:$C,$A116,Supplier_Payments!$V:$V,1)))</f>
        <v/>
      </c>
      <c r="M116" s="32">
        <f>IF($A116="","",IF($F116&lt;-S_Tol,"رصيد مدين للمورد - مراجعة",IF($H116+$I116+$J116+$K116&gt;S_Tol,"يوجد مبالغ متأخرة","")))</f>
        <v/>
      </c>
    </row>
    <row r="117">
      <c r="A117" s="44">
        <f>IF(INDEX(Suppliers!$A:$A,ROW()-6)="","",INDEX(Suppliers!$A:$A,ROW()-6))</f>
        <v/>
      </c>
      <c r="B117" s="32">
        <f>IF($A117="","",INDEX(Suppliers!$B:$B,ROW()-6))</f>
        <v/>
      </c>
      <c r="C117" s="47">
        <f>IF($A117="","",SUMIFS(GL_Journal!$T:$T,GL_Journal!$G:$G,ACC_SUPPLIERS,GL_Journal!$K:$K,$A117,GL_Journal!$D:$D,"&lt;"&amp;SB_From)-SUMIFS(GL_Journal!$S:$S,GL_Journal!$G:$G,ACC_SUPPLIERS,GL_Journal!$K:$K,$A117,GL_Journal!$D:$D,"&lt;"&amp;SB_From))</f>
        <v/>
      </c>
      <c r="D117" s="43">
        <f>IF($A117="","",SUMIFS(GL_Journal!$T:$T,GL_Journal!$G:$G,ACC_SUPPLIERS,GL_Journal!$K:$K,$A117,GL_Journal!$D:$D,"&gt;="&amp;SB_From,GL_Journal!$D:$D,"&lt;="&amp;SB_To))</f>
        <v/>
      </c>
      <c r="E117" s="43">
        <f>IF($A117="","",SUMIFS(GL_Journal!$S:$S,GL_Journal!$G:$G,ACC_SUPPLIERS,GL_Journal!$K:$K,$A117,GL_Journal!$D:$D,"&gt;="&amp;SB_From,GL_Journal!$D:$D,"&lt;="&amp;SB_To))</f>
        <v/>
      </c>
      <c r="F117" s="47">
        <f>IF($A117="","",$C117+$D117-$E117)</f>
        <v/>
      </c>
      <c r="G117" s="43">
        <f>IF($A117="","",MIN(MAX($F117,0),SUMIFS(Supplier_Invoices!$AC:$AC,Supplier_Invoices!$C:$C,$A117,Supplier_Invoices!$AG:$AG,1,Supplier_Invoices!$Y:$Y,"&gt;="&amp;(SB_To-0),Supplier_Invoices!$E:$E,"&lt;="&amp;SB_To)))</f>
        <v/>
      </c>
      <c r="H117" s="43">
        <f>IF($A117="","",MIN(MAX($F117,0),SUMIFS(Supplier_Invoices!$AC:$AC,Supplier_Invoices!$C:$C,$A117,Supplier_Invoices!$AG:$AG,1,Supplier_Invoices!$Y:$Y,"&gt;="&amp;(SB_To-30),Supplier_Invoices!$E:$E,"&lt;="&amp;SB_To))-MIN(MAX($F117,0),SUMIFS(Supplier_Invoices!$AC:$AC,Supplier_Invoices!$C:$C,$A117,Supplier_Invoices!$AG:$AG,1,Supplier_Invoices!$Y:$Y,"&gt;="&amp;(SB_To-0),Supplier_Invoices!$E:$E,"&lt;="&amp;SB_To)))</f>
        <v/>
      </c>
      <c r="I117" s="43">
        <f>IF($A117="","",MIN(MAX($F117,0),SUMIFS(Supplier_Invoices!$AC:$AC,Supplier_Invoices!$C:$C,$A117,Supplier_Invoices!$AG:$AG,1,Supplier_Invoices!$Y:$Y,"&gt;="&amp;(SB_To-60),Supplier_Invoices!$E:$E,"&lt;="&amp;SB_To))-MIN(MAX($F117,0),SUMIFS(Supplier_Invoices!$AC:$AC,Supplier_Invoices!$C:$C,$A117,Supplier_Invoices!$AG:$AG,1,Supplier_Invoices!$Y:$Y,"&gt;="&amp;(SB_To-30),Supplier_Invoices!$E:$E,"&lt;="&amp;SB_To)))</f>
        <v/>
      </c>
      <c r="J117" s="43">
        <f>IF($A117="","",MIN(MAX($F117,0),SUMIFS(Supplier_Invoices!$AC:$AC,Supplier_Invoices!$C:$C,$A117,Supplier_Invoices!$AG:$AG,1,Supplier_Invoices!$Y:$Y,"&gt;="&amp;(SB_To-90),Supplier_Invoices!$E:$E,"&lt;="&amp;SB_To))-MIN(MAX($F117,0),SUMIFS(Supplier_Invoices!$AC:$AC,Supplier_Invoices!$C:$C,$A117,Supplier_Invoices!$AG:$AG,1,Supplier_Invoices!$Y:$Y,"&gt;="&amp;(SB_To-60),Supplier_Invoices!$E:$E,"&lt;="&amp;SB_To)))</f>
        <v/>
      </c>
      <c r="K117" s="43">
        <f>IF($A117="","",MAX($F117,0)-MIN(MAX($F117,0),SUMIFS(Supplier_Invoices!$AC:$AC,Supplier_Invoices!$C:$C,$A117,Supplier_Invoices!$AG:$AG,1,Supplier_Invoices!$Y:$Y,"&gt;="&amp;(SB_To-90),Supplier_Invoices!$E:$E,"&lt;="&amp;SB_To)))</f>
        <v/>
      </c>
      <c r="L117" s="33">
        <f>IF($A117="","",IF(COUNTIFS(Supplier_Payments!$C:$C,$A117,Supplier_Payments!$V:$V,1)=0,"",_xlfn.MAXIFS(Supplier_Payments!$B:$B,Supplier_Payments!$C:$C,$A117,Supplier_Payments!$V:$V,1)))</f>
        <v/>
      </c>
      <c r="M117" s="32">
        <f>IF($A117="","",IF($F117&lt;-S_Tol,"رصيد مدين للمورد - مراجعة",IF($H117+$I117+$J117+$K117&gt;S_Tol,"يوجد مبالغ متأخرة","")))</f>
        <v/>
      </c>
    </row>
    <row r="118">
      <c r="A118" s="44">
        <f>IF(INDEX(Suppliers!$A:$A,ROW()-6)="","",INDEX(Suppliers!$A:$A,ROW()-6))</f>
        <v/>
      </c>
      <c r="B118" s="32">
        <f>IF($A118="","",INDEX(Suppliers!$B:$B,ROW()-6))</f>
        <v/>
      </c>
      <c r="C118" s="47">
        <f>IF($A118="","",SUMIFS(GL_Journal!$T:$T,GL_Journal!$G:$G,ACC_SUPPLIERS,GL_Journal!$K:$K,$A118,GL_Journal!$D:$D,"&lt;"&amp;SB_From)-SUMIFS(GL_Journal!$S:$S,GL_Journal!$G:$G,ACC_SUPPLIERS,GL_Journal!$K:$K,$A118,GL_Journal!$D:$D,"&lt;"&amp;SB_From))</f>
        <v/>
      </c>
      <c r="D118" s="43">
        <f>IF($A118="","",SUMIFS(GL_Journal!$T:$T,GL_Journal!$G:$G,ACC_SUPPLIERS,GL_Journal!$K:$K,$A118,GL_Journal!$D:$D,"&gt;="&amp;SB_From,GL_Journal!$D:$D,"&lt;="&amp;SB_To))</f>
        <v/>
      </c>
      <c r="E118" s="43">
        <f>IF($A118="","",SUMIFS(GL_Journal!$S:$S,GL_Journal!$G:$G,ACC_SUPPLIERS,GL_Journal!$K:$K,$A118,GL_Journal!$D:$D,"&gt;="&amp;SB_From,GL_Journal!$D:$D,"&lt;="&amp;SB_To))</f>
        <v/>
      </c>
      <c r="F118" s="47">
        <f>IF($A118="","",$C118+$D118-$E118)</f>
        <v/>
      </c>
      <c r="G118" s="43">
        <f>IF($A118="","",MIN(MAX($F118,0),SUMIFS(Supplier_Invoices!$AC:$AC,Supplier_Invoices!$C:$C,$A118,Supplier_Invoices!$AG:$AG,1,Supplier_Invoices!$Y:$Y,"&gt;="&amp;(SB_To-0),Supplier_Invoices!$E:$E,"&lt;="&amp;SB_To)))</f>
        <v/>
      </c>
      <c r="H118" s="43">
        <f>IF($A118="","",MIN(MAX($F118,0),SUMIFS(Supplier_Invoices!$AC:$AC,Supplier_Invoices!$C:$C,$A118,Supplier_Invoices!$AG:$AG,1,Supplier_Invoices!$Y:$Y,"&gt;="&amp;(SB_To-30),Supplier_Invoices!$E:$E,"&lt;="&amp;SB_To))-MIN(MAX($F118,0),SUMIFS(Supplier_Invoices!$AC:$AC,Supplier_Invoices!$C:$C,$A118,Supplier_Invoices!$AG:$AG,1,Supplier_Invoices!$Y:$Y,"&gt;="&amp;(SB_To-0),Supplier_Invoices!$E:$E,"&lt;="&amp;SB_To)))</f>
        <v/>
      </c>
      <c r="I118" s="43">
        <f>IF($A118="","",MIN(MAX($F118,0),SUMIFS(Supplier_Invoices!$AC:$AC,Supplier_Invoices!$C:$C,$A118,Supplier_Invoices!$AG:$AG,1,Supplier_Invoices!$Y:$Y,"&gt;="&amp;(SB_To-60),Supplier_Invoices!$E:$E,"&lt;="&amp;SB_To))-MIN(MAX($F118,0),SUMIFS(Supplier_Invoices!$AC:$AC,Supplier_Invoices!$C:$C,$A118,Supplier_Invoices!$AG:$AG,1,Supplier_Invoices!$Y:$Y,"&gt;="&amp;(SB_To-30),Supplier_Invoices!$E:$E,"&lt;="&amp;SB_To)))</f>
        <v/>
      </c>
      <c r="J118" s="43">
        <f>IF($A118="","",MIN(MAX($F118,0),SUMIFS(Supplier_Invoices!$AC:$AC,Supplier_Invoices!$C:$C,$A118,Supplier_Invoices!$AG:$AG,1,Supplier_Invoices!$Y:$Y,"&gt;="&amp;(SB_To-90),Supplier_Invoices!$E:$E,"&lt;="&amp;SB_To))-MIN(MAX($F118,0),SUMIFS(Supplier_Invoices!$AC:$AC,Supplier_Invoices!$C:$C,$A118,Supplier_Invoices!$AG:$AG,1,Supplier_Invoices!$Y:$Y,"&gt;="&amp;(SB_To-60),Supplier_Invoices!$E:$E,"&lt;="&amp;SB_To)))</f>
        <v/>
      </c>
      <c r="K118" s="43">
        <f>IF($A118="","",MAX($F118,0)-MIN(MAX($F118,0),SUMIFS(Supplier_Invoices!$AC:$AC,Supplier_Invoices!$C:$C,$A118,Supplier_Invoices!$AG:$AG,1,Supplier_Invoices!$Y:$Y,"&gt;="&amp;(SB_To-90),Supplier_Invoices!$E:$E,"&lt;="&amp;SB_To)))</f>
        <v/>
      </c>
      <c r="L118" s="33">
        <f>IF($A118="","",IF(COUNTIFS(Supplier_Payments!$C:$C,$A118,Supplier_Payments!$V:$V,1)=0,"",_xlfn.MAXIFS(Supplier_Payments!$B:$B,Supplier_Payments!$C:$C,$A118,Supplier_Payments!$V:$V,1)))</f>
        <v/>
      </c>
      <c r="M118" s="32">
        <f>IF($A118="","",IF($F118&lt;-S_Tol,"رصيد مدين للمورد - مراجعة",IF($H118+$I118+$J118+$K118&gt;S_Tol,"يوجد مبالغ متأخرة","")))</f>
        <v/>
      </c>
    </row>
    <row r="119">
      <c r="A119" s="44">
        <f>IF(INDEX(Suppliers!$A:$A,ROW()-6)="","",INDEX(Suppliers!$A:$A,ROW()-6))</f>
        <v/>
      </c>
      <c r="B119" s="32">
        <f>IF($A119="","",INDEX(Suppliers!$B:$B,ROW()-6))</f>
        <v/>
      </c>
      <c r="C119" s="47">
        <f>IF($A119="","",SUMIFS(GL_Journal!$T:$T,GL_Journal!$G:$G,ACC_SUPPLIERS,GL_Journal!$K:$K,$A119,GL_Journal!$D:$D,"&lt;"&amp;SB_From)-SUMIFS(GL_Journal!$S:$S,GL_Journal!$G:$G,ACC_SUPPLIERS,GL_Journal!$K:$K,$A119,GL_Journal!$D:$D,"&lt;"&amp;SB_From))</f>
        <v/>
      </c>
      <c r="D119" s="43">
        <f>IF($A119="","",SUMIFS(GL_Journal!$T:$T,GL_Journal!$G:$G,ACC_SUPPLIERS,GL_Journal!$K:$K,$A119,GL_Journal!$D:$D,"&gt;="&amp;SB_From,GL_Journal!$D:$D,"&lt;="&amp;SB_To))</f>
        <v/>
      </c>
      <c r="E119" s="43">
        <f>IF($A119="","",SUMIFS(GL_Journal!$S:$S,GL_Journal!$G:$G,ACC_SUPPLIERS,GL_Journal!$K:$K,$A119,GL_Journal!$D:$D,"&gt;="&amp;SB_From,GL_Journal!$D:$D,"&lt;="&amp;SB_To))</f>
        <v/>
      </c>
      <c r="F119" s="47">
        <f>IF($A119="","",$C119+$D119-$E119)</f>
        <v/>
      </c>
      <c r="G119" s="43">
        <f>IF($A119="","",MIN(MAX($F119,0),SUMIFS(Supplier_Invoices!$AC:$AC,Supplier_Invoices!$C:$C,$A119,Supplier_Invoices!$AG:$AG,1,Supplier_Invoices!$Y:$Y,"&gt;="&amp;(SB_To-0),Supplier_Invoices!$E:$E,"&lt;="&amp;SB_To)))</f>
        <v/>
      </c>
      <c r="H119" s="43">
        <f>IF($A119="","",MIN(MAX($F119,0),SUMIFS(Supplier_Invoices!$AC:$AC,Supplier_Invoices!$C:$C,$A119,Supplier_Invoices!$AG:$AG,1,Supplier_Invoices!$Y:$Y,"&gt;="&amp;(SB_To-30),Supplier_Invoices!$E:$E,"&lt;="&amp;SB_To))-MIN(MAX($F119,0),SUMIFS(Supplier_Invoices!$AC:$AC,Supplier_Invoices!$C:$C,$A119,Supplier_Invoices!$AG:$AG,1,Supplier_Invoices!$Y:$Y,"&gt;="&amp;(SB_To-0),Supplier_Invoices!$E:$E,"&lt;="&amp;SB_To)))</f>
        <v/>
      </c>
      <c r="I119" s="43">
        <f>IF($A119="","",MIN(MAX($F119,0),SUMIFS(Supplier_Invoices!$AC:$AC,Supplier_Invoices!$C:$C,$A119,Supplier_Invoices!$AG:$AG,1,Supplier_Invoices!$Y:$Y,"&gt;="&amp;(SB_To-60),Supplier_Invoices!$E:$E,"&lt;="&amp;SB_To))-MIN(MAX($F119,0),SUMIFS(Supplier_Invoices!$AC:$AC,Supplier_Invoices!$C:$C,$A119,Supplier_Invoices!$AG:$AG,1,Supplier_Invoices!$Y:$Y,"&gt;="&amp;(SB_To-30),Supplier_Invoices!$E:$E,"&lt;="&amp;SB_To)))</f>
        <v/>
      </c>
      <c r="J119" s="43">
        <f>IF($A119="","",MIN(MAX($F119,0),SUMIFS(Supplier_Invoices!$AC:$AC,Supplier_Invoices!$C:$C,$A119,Supplier_Invoices!$AG:$AG,1,Supplier_Invoices!$Y:$Y,"&gt;="&amp;(SB_To-90),Supplier_Invoices!$E:$E,"&lt;="&amp;SB_To))-MIN(MAX($F119,0),SUMIFS(Supplier_Invoices!$AC:$AC,Supplier_Invoices!$C:$C,$A119,Supplier_Invoices!$AG:$AG,1,Supplier_Invoices!$Y:$Y,"&gt;="&amp;(SB_To-60),Supplier_Invoices!$E:$E,"&lt;="&amp;SB_To)))</f>
        <v/>
      </c>
      <c r="K119" s="43">
        <f>IF($A119="","",MAX($F119,0)-MIN(MAX($F119,0),SUMIFS(Supplier_Invoices!$AC:$AC,Supplier_Invoices!$C:$C,$A119,Supplier_Invoices!$AG:$AG,1,Supplier_Invoices!$Y:$Y,"&gt;="&amp;(SB_To-90),Supplier_Invoices!$E:$E,"&lt;="&amp;SB_To)))</f>
        <v/>
      </c>
      <c r="L119" s="33">
        <f>IF($A119="","",IF(COUNTIFS(Supplier_Payments!$C:$C,$A119,Supplier_Payments!$V:$V,1)=0,"",_xlfn.MAXIFS(Supplier_Payments!$B:$B,Supplier_Payments!$C:$C,$A119,Supplier_Payments!$V:$V,1)))</f>
        <v/>
      </c>
      <c r="M119" s="32">
        <f>IF($A119="","",IF($F119&lt;-S_Tol,"رصيد مدين للمورد - مراجعة",IF($H119+$I119+$J119+$K119&gt;S_Tol,"يوجد مبالغ متأخرة","")))</f>
        <v/>
      </c>
    </row>
    <row r="120">
      <c r="A120" s="44">
        <f>IF(INDEX(Suppliers!$A:$A,ROW()-6)="","",INDEX(Suppliers!$A:$A,ROW()-6))</f>
        <v/>
      </c>
      <c r="B120" s="32">
        <f>IF($A120="","",INDEX(Suppliers!$B:$B,ROW()-6))</f>
        <v/>
      </c>
      <c r="C120" s="47">
        <f>IF($A120="","",SUMIFS(GL_Journal!$T:$T,GL_Journal!$G:$G,ACC_SUPPLIERS,GL_Journal!$K:$K,$A120,GL_Journal!$D:$D,"&lt;"&amp;SB_From)-SUMIFS(GL_Journal!$S:$S,GL_Journal!$G:$G,ACC_SUPPLIERS,GL_Journal!$K:$K,$A120,GL_Journal!$D:$D,"&lt;"&amp;SB_From))</f>
        <v/>
      </c>
      <c r="D120" s="43">
        <f>IF($A120="","",SUMIFS(GL_Journal!$T:$T,GL_Journal!$G:$G,ACC_SUPPLIERS,GL_Journal!$K:$K,$A120,GL_Journal!$D:$D,"&gt;="&amp;SB_From,GL_Journal!$D:$D,"&lt;="&amp;SB_To))</f>
        <v/>
      </c>
      <c r="E120" s="43">
        <f>IF($A120="","",SUMIFS(GL_Journal!$S:$S,GL_Journal!$G:$G,ACC_SUPPLIERS,GL_Journal!$K:$K,$A120,GL_Journal!$D:$D,"&gt;="&amp;SB_From,GL_Journal!$D:$D,"&lt;="&amp;SB_To))</f>
        <v/>
      </c>
      <c r="F120" s="47">
        <f>IF($A120="","",$C120+$D120-$E120)</f>
        <v/>
      </c>
      <c r="G120" s="43">
        <f>IF($A120="","",MIN(MAX($F120,0),SUMIFS(Supplier_Invoices!$AC:$AC,Supplier_Invoices!$C:$C,$A120,Supplier_Invoices!$AG:$AG,1,Supplier_Invoices!$Y:$Y,"&gt;="&amp;(SB_To-0),Supplier_Invoices!$E:$E,"&lt;="&amp;SB_To)))</f>
        <v/>
      </c>
      <c r="H120" s="43">
        <f>IF($A120="","",MIN(MAX($F120,0),SUMIFS(Supplier_Invoices!$AC:$AC,Supplier_Invoices!$C:$C,$A120,Supplier_Invoices!$AG:$AG,1,Supplier_Invoices!$Y:$Y,"&gt;="&amp;(SB_To-30),Supplier_Invoices!$E:$E,"&lt;="&amp;SB_To))-MIN(MAX($F120,0),SUMIFS(Supplier_Invoices!$AC:$AC,Supplier_Invoices!$C:$C,$A120,Supplier_Invoices!$AG:$AG,1,Supplier_Invoices!$Y:$Y,"&gt;="&amp;(SB_To-0),Supplier_Invoices!$E:$E,"&lt;="&amp;SB_To)))</f>
        <v/>
      </c>
      <c r="I120" s="43">
        <f>IF($A120="","",MIN(MAX($F120,0),SUMIFS(Supplier_Invoices!$AC:$AC,Supplier_Invoices!$C:$C,$A120,Supplier_Invoices!$AG:$AG,1,Supplier_Invoices!$Y:$Y,"&gt;="&amp;(SB_To-60),Supplier_Invoices!$E:$E,"&lt;="&amp;SB_To))-MIN(MAX($F120,0),SUMIFS(Supplier_Invoices!$AC:$AC,Supplier_Invoices!$C:$C,$A120,Supplier_Invoices!$AG:$AG,1,Supplier_Invoices!$Y:$Y,"&gt;="&amp;(SB_To-30),Supplier_Invoices!$E:$E,"&lt;="&amp;SB_To)))</f>
        <v/>
      </c>
      <c r="J120" s="43">
        <f>IF($A120="","",MIN(MAX($F120,0),SUMIFS(Supplier_Invoices!$AC:$AC,Supplier_Invoices!$C:$C,$A120,Supplier_Invoices!$AG:$AG,1,Supplier_Invoices!$Y:$Y,"&gt;="&amp;(SB_To-90),Supplier_Invoices!$E:$E,"&lt;="&amp;SB_To))-MIN(MAX($F120,0),SUMIFS(Supplier_Invoices!$AC:$AC,Supplier_Invoices!$C:$C,$A120,Supplier_Invoices!$AG:$AG,1,Supplier_Invoices!$Y:$Y,"&gt;="&amp;(SB_To-60),Supplier_Invoices!$E:$E,"&lt;="&amp;SB_To)))</f>
        <v/>
      </c>
      <c r="K120" s="43">
        <f>IF($A120="","",MAX($F120,0)-MIN(MAX($F120,0),SUMIFS(Supplier_Invoices!$AC:$AC,Supplier_Invoices!$C:$C,$A120,Supplier_Invoices!$AG:$AG,1,Supplier_Invoices!$Y:$Y,"&gt;="&amp;(SB_To-90),Supplier_Invoices!$E:$E,"&lt;="&amp;SB_To)))</f>
        <v/>
      </c>
      <c r="L120" s="33">
        <f>IF($A120="","",IF(COUNTIFS(Supplier_Payments!$C:$C,$A120,Supplier_Payments!$V:$V,1)=0,"",_xlfn.MAXIFS(Supplier_Payments!$B:$B,Supplier_Payments!$C:$C,$A120,Supplier_Payments!$V:$V,1)))</f>
        <v/>
      </c>
      <c r="M120" s="32">
        <f>IF($A120="","",IF($F120&lt;-S_Tol,"رصيد مدين للمورد - مراجعة",IF($H120+$I120+$J120+$K120&gt;S_Tol,"يوجد مبالغ متأخرة","")))</f>
        <v/>
      </c>
    </row>
    <row r="121">
      <c r="A121" s="44">
        <f>IF(INDEX(Suppliers!$A:$A,ROW()-6)="","",INDEX(Suppliers!$A:$A,ROW()-6))</f>
        <v/>
      </c>
      <c r="B121" s="32">
        <f>IF($A121="","",INDEX(Suppliers!$B:$B,ROW()-6))</f>
        <v/>
      </c>
      <c r="C121" s="47">
        <f>IF($A121="","",SUMIFS(GL_Journal!$T:$T,GL_Journal!$G:$G,ACC_SUPPLIERS,GL_Journal!$K:$K,$A121,GL_Journal!$D:$D,"&lt;"&amp;SB_From)-SUMIFS(GL_Journal!$S:$S,GL_Journal!$G:$G,ACC_SUPPLIERS,GL_Journal!$K:$K,$A121,GL_Journal!$D:$D,"&lt;"&amp;SB_From))</f>
        <v/>
      </c>
      <c r="D121" s="43">
        <f>IF($A121="","",SUMIFS(GL_Journal!$T:$T,GL_Journal!$G:$G,ACC_SUPPLIERS,GL_Journal!$K:$K,$A121,GL_Journal!$D:$D,"&gt;="&amp;SB_From,GL_Journal!$D:$D,"&lt;="&amp;SB_To))</f>
        <v/>
      </c>
      <c r="E121" s="43">
        <f>IF($A121="","",SUMIFS(GL_Journal!$S:$S,GL_Journal!$G:$G,ACC_SUPPLIERS,GL_Journal!$K:$K,$A121,GL_Journal!$D:$D,"&gt;="&amp;SB_From,GL_Journal!$D:$D,"&lt;="&amp;SB_To))</f>
        <v/>
      </c>
      <c r="F121" s="47">
        <f>IF($A121="","",$C121+$D121-$E121)</f>
        <v/>
      </c>
      <c r="G121" s="43">
        <f>IF($A121="","",MIN(MAX($F121,0),SUMIFS(Supplier_Invoices!$AC:$AC,Supplier_Invoices!$C:$C,$A121,Supplier_Invoices!$AG:$AG,1,Supplier_Invoices!$Y:$Y,"&gt;="&amp;(SB_To-0),Supplier_Invoices!$E:$E,"&lt;="&amp;SB_To)))</f>
        <v/>
      </c>
      <c r="H121" s="43">
        <f>IF($A121="","",MIN(MAX($F121,0),SUMIFS(Supplier_Invoices!$AC:$AC,Supplier_Invoices!$C:$C,$A121,Supplier_Invoices!$AG:$AG,1,Supplier_Invoices!$Y:$Y,"&gt;="&amp;(SB_To-30),Supplier_Invoices!$E:$E,"&lt;="&amp;SB_To))-MIN(MAX($F121,0),SUMIFS(Supplier_Invoices!$AC:$AC,Supplier_Invoices!$C:$C,$A121,Supplier_Invoices!$AG:$AG,1,Supplier_Invoices!$Y:$Y,"&gt;="&amp;(SB_To-0),Supplier_Invoices!$E:$E,"&lt;="&amp;SB_To)))</f>
        <v/>
      </c>
      <c r="I121" s="43">
        <f>IF($A121="","",MIN(MAX($F121,0),SUMIFS(Supplier_Invoices!$AC:$AC,Supplier_Invoices!$C:$C,$A121,Supplier_Invoices!$AG:$AG,1,Supplier_Invoices!$Y:$Y,"&gt;="&amp;(SB_To-60),Supplier_Invoices!$E:$E,"&lt;="&amp;SB_To))-MIN(MAX($F121,0),SUMIFS(Supplier_Invoices!$AC:$AC,Supplier_Invoices!$C:$C,$A121,Supplier_Invoices!$AG:$AG,1,Supplier_Invoices!$Y:$Y,"&gt;="&amp;(SB_To-30),Supplier_Invoices!$E:$E,"&lt;="&amp;SB_To)))</f>
        <v/>
      </c>
      <c r="J121" s="43">
        <f>IF($A121="","",MIN(MAX($F121,0),SUMIFS(Supplier_Invoices!$AC:$AC,Supplier_Invoices!$C:$C,$A121,Supplier_Invoices!$AG:$AG,1,Supplier_Invoices!$Y:$Y,"&gt;="&amp;(SB_To-90),Supplier_Invoices!$E:$E,"&lt;="&amp;SB_To))-MIN(MAX($F121,0),SUMIFS(Supplier_Invoices!$AC:$AC,Supplier_Invoices!$C:$C,$A121,Supplier_Invoices!$AG:$AG,1,Supplier_Invoices!$Y:$Y,"&gt;="&amp;(SB_To-60),Supplier_Invoices!$E:$E,"&lt;="&amp;SB_To)))</f>
        <v/>
      </c>
      <c r="K121" s="43">
        <f>IF($A121="","",MAX($F121,0)-MIN(MAX($F121,0),SUMIFS(Supplier_Invoices!$AC:$AC,Supplier_Invoices!$C:$C,$A121,Supplier_Invoices!$AG:$AG,1,Supplier_Invoices!$Y:$Y,"&gt;="&amp;(SB_To-90),Supplier_Invoices!$E:$E,"&lt;="&amp;SB_To)))</f>
        <v/>
      </c>
      <c r="L121" s="33">
        <f>IF($A121="","",IF(COUNTIFS(Supplier_Payments!$C:$C,$A121,Supplier_Payments!$V:$V,1)=0,"",_xlfn.MAXIFS(Supplier_Payments!$B:$B,Supplier_Payments!$C:$C,$A121,Supplier_Payments!$V:$V,1)))</f>
        <v/>
      </c>
      <c r="M121" s="32">
        <f>IF($A121="","",IF($F121&lt;-S_Tol,"رصيد مدين للمورد - مراجعة",IF($H121+$I121+$J121+$K121&gt;S_Tol,"يوجد مبالغ متأخرة","")))</f>
        <v/>
      </c>
    </row>
    <row r="122">
      <c r="A122" s="44">
        <f>IF(INDEX(Suppliers!$A:$A,ROW()-6)="","",INDEX(Suppliers!$A:$A,ROW()-6))</f>
        <v/>
      </c>
      <c r="B122" s="32">
        <f>IF($A122="","",INDEX(Suppliers!$B:$B,ROW()-6))</f>
        <v/>
      </c>
      <c r="C122" s="47">
        <f>IF($A122="","",SUMIFS(GL_Journal!$T:$T,GL_Journal!$G:$G,ACC_SUPPLIERS,GL_Journal!$K:$K,$A122,GL_Journal!$D:$D,"&lt;"&amp;SB_From)-SUMIFS(GL_Journal!$S:$S,GL_Journal!$G:$G,ACC_SUPPLIERS,GL_Journal!$K:$K,$A122,GL_Journal!$D:$D,"&lt;"&amp;SB_From))</f>
        <v/>
      </c>
      <c r="D122" s="43">
        <f>IF($A122="","",SUMIFS(GL_Journal!$T:$T,GL_Journal!$G:$G,ACC_SUPPLIERS,GL_Journal!$K:$K,$A122,GL_Journal!$D:$D,"&gt;="&amp;SB_From,GL_Journal!$D:$D,"&lt;="&amp;SB_To))</f>
        <v/>
      </c>
      <c r="E122" s="43">
        <f>IF($A122="","",SUMIFS(GL_Journal!$S:$S,GL_Journal!$G:$G,ACC_SUPPLIERS,GL_Journal!$K:$K,$A122,GL_Journal!$D:$D,"&gt;="&amp;SB_From,GL_Journal!$D:$D,"&lt;="&amp;SB_To))</f>
        <v/>
      </c>
      <c r="F122" s="47">
        <f>IF($A122="","",$C122+$D122-$E122)</f>
        <v/>
      </c>
      <c r="G122" s="43">
        <f>IF($A122="","",MIN(MAX($F122,0),SUMIFS(Supplier_Invoices!$AC:$AC,Supplier_Invoices!$C:$C,$A122,Supplier_Invoices!$AG:$AG,1,Supplier_Invoices!$Y:$Y,"&gt;="&amp;(SB_To-0),Supplier_Invoices!$E:$E,"&lt;="&amp;SB_To)))</f>
        <v/>
      </c>
      <c r="H122" s="43">
        <f>IF($A122="","",MIN(MAX($F122,0),SUMIFS(Supplier_Invoices!$AC:$AC,Supplier_Invoices!$C:$C,$A122,Supplier_Invoices!$AG:$AG,1,Supplier_Invoices!$Y:$Y,"&gt;="&amp;(SB_To-30),Supplier_Invoices!$E:$E,"&lt;="&amp;SB_To))-MIN(MAX($F122,0),SUMIFS(Supplier_Invoices!$AC:$AC,Supplier_Invoices!$C:$C,$A122,Supplier_Invoices!$AG:$AG,1,Supplier_Invoices!$Y:$Y,"&gt;="&amp;(SB_To-0),Supplier_Invoices!$E:$E,"&lt;="&amp;SB_To)))</f>
        <v/>
      </c>
      <c r="I122" s="43">
        <f>IF($A122="","",MIN(MAX($F122,0),SUMIFS(Supplier_Invoices!$AC:$AC,Supplier_Invoices!$C:$C,$A122,Supplier_Invoices!$AG:$AG,1,Supplier_Invoices!$Y:$Y,"&gt;="&amp;(SB_To-60),Supplier_Invoices!$E:$E,"&lt;="&amp;SB_To))-MIN(MAX($F122,0),SUMIFS(Supplier_Invoices!$AC:$AC,Supplier_Invoices!$C:$C,$A122,Supplier_Invoices!$AG:$AG,1,Supplier_Invoices!$Y:$Y,"&gt;="&amp;(SB_To-30),Supplier_Invoices!$E:$E,"&lt;="&amp;SB_To)))</f>
        <v/>
      </c>
      <c r="J122" s="43">
        <f>IF($A122="","",MIN(MAX($F122,0),SUMIFS(Supplier_Invoices!$AC:$AC,Supplier_Invoices!$C:$C,$A122,Supplier_Invoices!$AG:$AG,1,Supplier_Invoices!$Y:$Y,"&gt;="&amp;(SB_To-90),Supplier_Invoices!$E:$E,"&lt;="&amp;SB_To))-MIN(MAX($F122,0),SUMIFS(Supplier_Invoices!$AC:$AC,Supplier_Invoices!$C:$C,$A122,Supplier_Invoices!$AG:$AG,1,Supplier_Invoices!$Y:$Y,"&gt;="&amp;(SB_To-60),Supplier_Invoices!$E:$E,"&lt;="&amp;SB_To)))</f>
        <v/>
      </c>
      <c r="K122" s="43">
        <f>IF($A122="","",MAX($F122,0)-MIN(MAX($F122,0),SUMIFS(Supplier_Invoices!$AC:$AC,Supplier_Invoices!$C:$C,$A122,Supplier_Invoices!$AG:$AG,1,Supplier_Invoices!$Y:$Y,"&gt;="&amp;(SB_To-90),Supplier_Invoices!$E:$E,"&lt;="&amp;SB_To)))</f>
        <v/>
      </c>
      <c r="L122" s="33">
        <f>IF($A122="","",IF(COUNTIFS(Supplier_Payments!$C:$C,$A122,Supplier_Payments!$V:$V,1)=0,"",_xlfn.MAXIFS(Supplier_Payments!$B:$B,Supplier_Payments!$C:$C,$A122,Supplier_Payments!$V:$V,1)))</f>
        <v/>
      </c>
      <c r="M122" s="32">
        <f>IF($A122="","",IF($F122&lt;-S_Tol,"رصيد مدين للمورد - مراجعة",IF($H122+$I122+$J122+$K122&gt;S_Tol,"يوجد مبالغ متأخرة","")))</f>
        <v/>
      </c>
    </row>
    <row r="123">
      <c r="A123" s="44">
        <f>IF(INDEX(Suppliers!$A:$A,ROW()-6)="","",INDEX(Suppliers!$A:$A,ROW()-6))</f>
        <v/>
      </c>
      <c r="B123" s="32">
        <f>IF($A123="","",INDEX(Suppliers!$B:$B,ROW()-6))</f>
        <v/>
      </c>
      <c r="C123" s="47">
        <f>IF($A123="","",SUMIFS(GL_Journal!$T:$T,GL_Journal!$G:$G,ACC_SUPPLIERS,GL_Journal!$K:$K,$A123,GL_Journal!$D:$D,"&lt;"&amp;SB_From)-SUMIFS(GL_Journal!$S:$S,GL_Journal!$G:$G,ACC_SUPPLIERS,GL_Journal!$K:$K,$A123,GL_Journal!$D:$D,"&lt;"&amp;SB_From))</f>
        <v/>
      </c>
      <c r="D123" s="43">
        <f>IF($A123="","",SUMIFS(GL_Journal!$T:$T,GL_Journal!$G:$G,ACC_SUPPLIERS,GL_Journal!$K:$K,$A123,GL_Journal!$D:$D,"&gt;="&amp;SB_From,GL_Journal!$D:$D,"&lt;="&amp;SB_To))</f>
        <v/>
      </c>
      <c r="E123" s="43">
        <f>IF($A123="","",SUMIFS(GL_Journal!$S:$S,GL_Journal!$G:$G,ACC_SUPPLIERS,GL_Journal!$K:$K,$A123,GL_Journal!$D:$D,"&gt;="&amp;SB_From,GL_Journal!$D:$D,"&lt;="&amp;SB_To))</f>
        <v/>
      </c>
      <c r="F123" s="47">
        <f>IF($A123="","",$C123+$D123-$E123)</f>
        <v/>
      </c>
      <c r="G123" s="43">
        <f>IF($A123="","",MIN(MAX($F123,0),SUMIFS(Supplier_Invoices!$AC:$AC,Supplier_Invoices!$C:$C,$A123,Supplier_Invoices!$AG:$AG,1,Supplier_Invoices!$Y:$Y,"&gt;="&amp;(SB_To-0),Supplier_Invoices!$E:$E,"&lt;="&amp;SB_To)))</f>
        <v/>
      </c>
      <c r="H123" s="43">
        <f>IF($A123="","",MIN(MAX($F123,0),SUMIFS(Supplier_Invoices!$AC:$AC,Supplier_Invoices!$C:$C,$A123,Supplier_Invoices!$AG:$AG,1,Supplier_Invoices!$Y:$Y,"&gt;="&amp;(SB_To-30),Supplier_Invoices!$E:$E,"&lt;="&amp;SB_To))-MIN(MAX($F123,0),SUMIFS(Supplier_Invoices!$AC:$AC,Supplier_Invoices!$C:$C,$A123,Supplier_Invoices!$AG:$AG,1,Supplier_Invoices!$Y:$Y,"&gt;="&amp;(SB_To-0),Supplier_Invoices!$E:$E,"&lt;="&amp;SB_To)))</f>
        <v/>
      </c>
      <c r="I123" s="43">
        <f>IF($A123="","",MIN(MAX($F123,0),SUMIFS(Supplier_Invoices!$AC:$AC,Supplier_Invoices!$C:$C,$A123,Supplier_Invoices!$AG:$AG,1,Supplier_Invoices!$Y:$Y,"&gt;="&amp;(SB_To-60),Supplier_Invoices!$E:$E,"&lt;="&amp;SB_To))-MIN(MAX($F123,0),SUMIFS(Supplier_Invoices!$AC:$AC,Supplier_Invoices!$C:$C,$A123,Supplier_Invoices!$AG:$AG,1,Supplier_Invoices!$Y:$Y,"&gt;="&amp;(SB_To-30),Supplier_Invoices!$E:$E,"&lt;="&amp;SB_To)))</f>
        <v/>
      </c>
      <c r="J123" s="43">
        <f>IF($A123="","",MIN(MAX($F123,0),SUMIFS(Supplier_Invoices!$AC:$AC,Supplier_Invoices!$C:$C,$A123,Supplier_Invoices!$AG:$AG,1,Supplier_Invoices!$Y:$Y,"&gt;="&amp;(SB_To-90),Supplier_Invoices!$E:$E,"&lt;="&amp;SB_To))-MIN(MAX($F123,0),SUMIFS(Supplier_Invoices!$AC:$AC,Supplier_Invoices!$C:$C,$A123,Supplier_Invoices!$AG:$AG,1,Supplier_Invoices!$Y:$Y,"&gt;="&amp;(SB_To-60),Supplier_Invoices!$E:$E,"&lt;="&amp;SB_To)))</f>
        <v/>
      </c>
      <c r="K123" s="43">
        <f>IF($A123="","",MAX($F123,0)-MIN(MAX($F123,0),SUMIFS(Supplier_Invoices!$AC:$AC,Supplier_Invoices!$C:$C,$A123,Supplier_Invoices!$AG:$AG,1,Supplier_Invoices!$Y:$Y,"&gt;="&amp;(SB_To-90),Supplier_Invoices!$E:$E,"&lt;="&amp;SB_To)))</f>
        <v/>
      </c>
      <c r="L123" s="33">
        <f>IF($A123="","",IF(COUNTIFS(Supplier_Payments!$C:$C,$A123,Supplier_Payments!$V:$V,1)=0,"",_xlfn.MAXIFS(Supplier_Payments!$B:$B,Supplier_Payments!$C:$C,$A123,Supplier_Payments!$V:$V,1)))</f>
        <v/>
      </c>
      <c r="M123" s="32">
        <f>IF($A123="","",IF($F123&lt;-S_Tol,"رصيد مدين للمورد - مراجعة",IF($H123+$I123+$J123+$K123&gt;S_Tol,"يوجد مبالغ متأخرة","")))</f>
        <v/>
      </c>
    </row>
    <row r="124">
      <c r="A124" s="44">
        <f>IF(INDEX(Suppliers!$A:$A,ROW()-6)="","",INDEX(Suppliers!$A:$A,ROW()-6))</f>
        <v/>
      </c>
      <c r="B124" s="32">
        <f>IF($A124="","",INDEX(Suppliers!$B:$B,ROW()-6))</f>
        <v/>
      </c>
      <c r="C124" s="47">
        <f>IF($A124="","",SUMIFS(GL_Journal!$T:$T,GL_Journal!$G:$G,ACC_SUPPLIERS,GL_Journal!$K:$K,$A124,GL_Journal!$D:$D,"&lt;"&amp;SB_From)-SUMIFS(GL_Journal!$S:$S,GL_Journal!$G:$G,ACC_SUPPLIERS,GL_Journal!$K:$K,$A124,GL_Journal!$D:$D,"&lt;"&amp;SB_From))</f>
        <v/>
      </c>
      <c r="D124" s="43">
        <f>IF($A124="","",SUMIFS(GL_Journal!$T:$T,GL_Journal!$G:$G,ACC_SUPPLIERS,GL_Journal!$K:$K,$A124,GL_Journal!$D:$D,"&gt;="&amp;SB_From,GL_Journal!$D:$D,"&lt;="&amp;SB_To))</f>
        <v/>
      </c>
      <c r="E124" s="43">
        <f>IF($A124="","",SUMIFS(GL_Journal!$S:$S,GL_Journal!$G:$G,ACC_SUPPLIERS,GL_Journal!$K:$K,$A124,GL_Journal!$D:$D,"&gt;="&amp;SB_From,GL_Journal!$D:$D,"&lt;="&amp;SB_To))</f>
        <v/>
      </c>
      <c r="F124" s="47">
        <f>IF($A124="","",$C124+$D124-$E124)</f>
        <v/>
      </c>
      <c r="G124" s="43">
        <f>IF($A124="","",MIN(MAX($F124,0),SUMIFS(Supplier_Invoices!$AC:$AC,Supplier_Invoices!$C:$C,$A124,Supplier_Invoices!$AG:$AG,1,Supplier_Invoices!$Y:$Y,"&gt;="&amp;(SB_To-0),Supplier_Invoices!$E:$E,"&lt;="&amp;SB_To)))</f>
        <v/>
      </c>
      <c r="H124" s="43">
        <f>IF($A124="","",MIN(MAX($F124,0),SUMIFS(Supplier_Invoices!$AC:$AC,Supplier_Invoices!$C:$C,$A124,Supplier_Invoices!$AG:$AG,1,Supplier_Invoices!$Y:$Y,"&gt;="&amp;(SB_To-30),Supplier_Invoices!$E:$E,"&lt;="&amp;SB_To))-MIN(MAX($F124,0),SUMIFS(Supplier_Invoices!$AC:$AC,Supplier_Invoices!$C:$C,$A124,Supplier_Invoices!$AG:$AG,1,Supplier_Invoices!$Y:$Y,"&gt;="&amp;(SB_To-0),Supplier_Invoices!$E:$E,"&lt;="&amp;SB_To)))</f>
        <v/>
      </c>
      <c r="I124" s="43">
        <f>IF($A124="","",MIN(MAX($F124,0),SUMIFS(Supplier_Invoices!$AC:$AC,Supplier_Invoices!$C:$C,$A124,Supplier_Invoices!$AG:$AG,1,Supplier_Invoices!$Y:$Y,"&gt;="&amp;(SB_To-60),Supplier_Invoices!$E:$E,"&lt;="&amp;SB_To))-MIN(MAX($F124,0),SUMIFS(Supplier_Invoices!$AC:$AC,Supplier_Invoices!$C:$C,$A124,Supplier_Invoices!$AG:$AG,1,Supplier_Invoices!$Y:$Y,"&gt;="&amp;(SB_To-30),Supplier_Invoices!$E:$E,"&lt;="&amp;SB_To)))</f>
        <v/>
      </c>
      <c r="J124" s="43">
        <f>IF($A124="","",MIN(MAX($F124,0),SUMIFS(Supplier_Invoices!$AC:$AC,Supplier_Invoices!$C:$C,$A124,Supplier_Invoices!$AG:$AG,1,Supplier_Invoices!$Y:$Y,"&gt;="&amp;(SB_To-90),Supplier_Invoices!$E:$E,"&lt;="&amp;SB_To))-MIN(MAX($F124,0),SUMIFS(Supplier_Invoices!$AC:$AC,Supplier_Invoices!$C:$C,$A124,Supplier_Invoices!$AG:$AG,1,Supplier_Invoices!$Y:$Y,"&gt;="&amp;(SB_To-60),Supplier_Invoices!$E:$E,"&lt;="&amp;SB_To)))</f>
        <v/>
      </c>
      <c r="K124" s="43">
        <f>IF($A124="","",MAX($F124,0)-MIN(MAX($F124,0),SUMIFS(Supplier_Invoices!$AC:$AC,Supplier_Invoices!$C:$C,$A124,Supplier_Invoices!$AG:$AG,1,Supplier_Invoices!$Y:$Y,"&gt;="&amp;(SB_To-90),Supplier_Invoices!$E:$E,"&lt;="&amp;SB_To)))</f>
        <v/>
      </c>
      <c r="L124" s="33">
        <f>IF($A124="","",IF(COUNTIFS(Supplier_Payments!$C:$C,$A124,Supplier_Payments!$V:$V,1)=0,"",_xlfn.MAXIFS(Supplier_Payments!$B:$B,Supplier_Payments!$C:$C,$A124,Supplier_Payments!$V:$V,1)))</f>
        <v/>
      </c>
      <c r="M124" s="32">
        <f>IF($A124="","",IF($F124&lt;-S_Tol,"رصيد مدين للمورد - مراجعة",IF($H124+$I124+$J124+$K124&gt;S_Tol,"يوجد مبالغ متأخرة","")))</f>
        <v/>
      </c>
    </row>
    <row r="125">
      <c r="A125" s="44">
        <f>IF(INDEX(Suppliers!$A:$A,ROW()-6)="","",INDEX(Suppliers!$A:$A,ROW()-6))</f>
        <v/>
      </c>
      <c r="B125" s="32">
        <f>IF($A125="","",INDEX(Suppliers!$B:$B,ROW()-6))</f>
        <v/>
      </c>
      <c r="C125" s="47">
        <f>IF($A125="","",SUMIFS(GL_Journal!$T:$T,GL_Journal!$G:$G,ACC_SUPPLIERS,GL_Journal!$K:$K,$A125,GL_Journal!$D:$D,"&lt;"&amp;SB_From)-SUMIFS(GL_Journal!$S:$S,GL_Journal!$G:$G,ACC_SUPPLIERS,GL_Journal!$K:$K,$A125,GL_Journal!$D:$D,"&lt;"&amp;SB_From))</f>
        <v/>
      </c>
      <c r="D125" s="43">
        <f>IF($A125="","",SUMIFS(GL_Journal!$T:$T,GL_Journal!$G:$G,ACC_SUPPLIERS,GL_Journal!$K:$K,$A125,GL_Journal!$D:$D,"&gt;="&amp;SB_From,GL_Journal!$D:$D,"&lt;="&amp;SB_To))</f>
        <v/>
      </c>
      <c r="E125" s="43">
        <f>IF($A125="","",SUMIFS(GL_Journal!$S:$S,GL_Journal!$G:$G,ACC_SUPPLIERS,GL_Journal!$K:$K,$A125,GL_Journal!$D:$D,"&gt;="&amp;SB_From,GL_Journal!$D:$D,"&lt;="&amp;SB_To))</f>
        <v/>
      </c>
      <c r="F125" s="47">
        <f>IF($A125="","",$C125+$D125-$E125)</f>
        <v/>
      </c>
      <c r="G125" s="43">
        <f>IF($A125="","",MIN(MAX($F125,0),SUMIFS(Supplier_Invoices!$AC:$AC,Supplier_Invoices!$C:$C,$A125,Supplier_Invoices!$AG:$AG,1,Supplier_Invoices!$Y:$Y,"&gt;="&amp;(SB_To-0),Supplier_Invoices!$E:$E,"&lt;="&amp;SB_To)))</f>
        <v/>
      </c>
      <c r="H125" s="43">
        <f>IF($A125="","",MIN(MAX($F125,0),SUMIFS(Supplier_Invoices!$AC:$AC,Supplier_Invoices!$C:$C,$A125,Supplier_Invoices!$AG:$AG,1,Supplier_Invoices!$Y:$Y,"&gt;="&amp;(SB_To-30),Supplier_Invoices!$E:$E,"&lt;="&amp;SB_To))-MIN(MAX($F125,0),SUMIFS(Supplier_Invoices!$AC:$AC,Supplier_Invoices!$C:$C,$A125,Supplier_Invoices!$AG:$AG,1,Supplier_Invoices!$Y:$Y,"&gt;="&amp;(SB_To-0),Supplier_Invoices!$E:$E,"&lt;="&amp;SB_To)))</f>
        <v/>
      </c>
      <c r="I125" s="43">
        <f>IF($A125="","",MIN(MAX($F125,0),SUMIFS(Supplier_Invoices!$AC:$AC,Supplier_Invoices!$C:$C,$A125,Supplier_Invoices!$AG:$AG,1,Supplier_Invoices!$Y:$Y,"&gt;="&amp;(SB_To-60),Supplier_Invoices!$E:$E,"&lt;="&amp;SB_To))-MIN(MAX($F125,0),SUMIFS(Supplier_Invoices!$AC:$AC,Supplier_Invoices!$C:$C,$A125,Supplier_Invoices!$AG:$AG,1,Supplier_Invoices!$Y:$Y,"&gt;="&amp;(SB_To-30),Supplier_Invoices!$E:$E,"&lt;="&amp;SB_To)))</f>
        <v/>
      </c>
      <c r="J125" s="43">
        <f>IF($A125="","",MIN(MAX($F125,0),SUMIFS(Supplier_Invoices!$AC:$AC,Supplier_Invoices!$C:$C,$A125,Supplier_Invoices!$AG:$AG,1,Supplier_Invoices!$Y:$Y,"&gt;="&amp;(SB_To-90),Supplier_Invoices!$E:$E,"&lt;="&amp;SB_To))-MIN(MAX($F125,0),SUMIFS(Supplier_Invoices!$AC:$AC,Supplier_Invoices!$C:$C,$A125,Supplier_Invoices!$AG:$AG,1,Supplier_Invoices!$Y:$Y,"&gt;="&amp;(SB_To-60),Supplier_Invoices!$E:$E,"&lt;="&amp;SB_To)))</f>
        <v/>
      </c>
      <c r="K125" s="43">
        <f>IF($A125="","",MAX($F125,0)-MIN(MAX($F125,0),SUMIFS(Supplier_Invoices!$AC:$AC,Supplier_Invoices!$C:$C,$A125,Supplier_Invoices!$AG:$AG,1,Supplier_Invoices!$Y:$Y,"&gt;="&amp;(SB_To-90),Supplier_Invoices!$E:$E,"&lt;="&amp;SB_To)))</f>
        <v/>
      </c>
      <c r="L125" s="33">
        <f>IF($A125="","",IF(COUNTIFS(Supplier_Payments!$C:$C,$A125,Supplier_Payments!$V:$V,1)=0,"",_xlfn.MAXIFS(Supplier_Payments!$B:$B,Supplier_Payments!$C:$C,$A125,Supplier_Payments!$V:$V,1)))</f>
        <v/>
      </c>
      <c r="M125" s="32">
        <f>IF($A125="","",IF($F125&lt;-S_Tol,"رصيد مدين للمورد - مراجعة",IF($H125+$I125+$J125+$K125&gt;S_Tol,"يوجد مبالغ متأخرة","")))</f>
        <v/>
      </c>
    </row>
    <row r="126">
      <c r="A126" s="44">
        <f>IF(INDEX(Suppliers!$A:$A,ROW()-6)="","",INDEX(Suppliers!$A:$A,ROW()-6))</f>
        <v/>
      </c>
      <c r="B126" s="32">
        <f>IF($A126="","",INDEX(Suppliers!$B:$B,ROW()-6))</f>
        <v/>
      </c>
      <c r="C126" s="47">
        <f>IF($A126="","",SUMIFS(GL_Journal!$T:$T,GL_Journal!$G:$G,ACC_SUPPLIERS,GL_Journal!$K:$K,$A126,GL_Journal!$D:$D,"&lt;"&amp;SB_From)-SUMIFS(GL_Journal!$S:$S,GL_Journal!$G:$G,ACC_SUPPLIERS,GL_Journal!$K:$K,$A126,GL_Journal!$D:$D,"&lt;"&amp;SB_From))</f>
        <v/>
      </c>
      <c r="D126" s="43">
        <f>IF($A126="","",SUMIFS(GL_Journal!$T:$T,GL_Journal!$G:$G,ACC_SUPPLIERS,GL_Journal!$K:$K,$A126,GL_Journal!$D:$D,"&gt;="&amp;SB_From,GL_Journal!$D:$D,"&lt;="&amp;SB_To))</f>
        <v/>
      </c>
      <c r="E126" s="43">
        <f>IF($A126="","",SUMIFS(GL_Journal!$S:$S,GL_Journal!$G:$G,ACC_SUPPLIERS,GL_Journal!$K:$K,$A126,GL_Journal!$D:$D,"&gt;="&amp;SB_From,GL_Journal!$D:$D,"&lt;="&amp;SB_To))</f>
        <v/>
      </c>
      <c r="F126" s="47">
        <f>IF($A126="","",$C126+$D126-$E126)</f>
        <v/>
      </c>
      <c r="G126" s="43">
        <f>IF($A126="","",MIN(MAX($F126,0),SUMIFS(Supplier_Invoices!$AC:$AC,Supplier_Invoices!$C:$C,$A126,Supplier_Invoices!$AG:$AG,1,Supplier_Invoices!$Y:$Y,"&gt;="&amp;(SB_To-0),Supplier_Invoices!$E:$E,"&lt;="&amp;SB_To)))</f>
        <v/>
      </c>
      <c r="H126" s="43">
        <f>IF($A126="","",MIN(MAX($F126,0),SUMIFS(Supplier_Invoices!$AC:$AC,Supplier_Invoices!$C:$C,$A126,Supplier_Invoices!$AG:$AG,1,Supplier_Invoices!$Y:$Y,"&gt;="&amp;(SB_To-30),Supplier_Invoices!$E:$E,"&lt;="&amp;SB_To))-MIN(MAX($F126,0),SUMIFS(Supplier_Invoices!$AC:$AC,Supplier_Invoices!$C:$C,$A126,Supplier_Invoices!$AG:$AG,1,Supplier_Invoices!$Y:$Y,"&gt;="&amp;(SB_To-0),Supplier_Invoices!$E:$E,"&lt;="&amp;SB_To)))</f>
        <v/>
      </c>
      <c r="I126" s="43">
        <f>IF($A126="","",MIN(MAX($F126,0),SUMIFS(Supplier_Invoices!$AC:$AC,Supplier_Invoices!$C:$C,$A126,Supplier_Invoices!$AG:$AG,1,Supplier_Invoices!$Y:$Y,"&gt;="&amp;(SB_To-60),Supplier_Invoices!$E:$E,"&lt;="&amp;SB_To))-MIN(MAX($F126,0),SUMIFS(Supplier_Invoices!$AC:$AC,Supplier_Invoices!$C:$C,$A126,Supplier_Invoices!$AG:$AG,1,Supplier_Invoices!$Y:$Y,"&gt;="&amp;(SB_To-30),Supplier_Invoices!$E:$E,"&lt;="&amp;SB_To)))</f>
        <v/>
      </c>
      <c r="J126" s="43">
        <f>IF($A126="","",MIN(MAX($F126,0),SUMIFS(Supplier_Invoices!$AC:$AC,Supplier_Invoices!$C:$C,$A126,Supplier_Invoices!$AG:$AG,1,Supplier_Invoices!$Y:$Y,"&gt;="&amp;(SB_To-90),Supplier_Invoices!$E:$E,"&lt;="&amp;SB_To))-MIN(MAX($F126,0),SUMIFS(Supplier_Invoices!$AC:$AC,Supplier_Invoices!$C:$C,$A126,Supplier_Invoices!$AG:$AG,1,Supplier_Invoices!$Y:$Y,"&gt;="&amp;(SB_To-60),Supplier_Invoices!$E:$E,"&lt;="&amp;SB_To)))</f>
        <v/>
      </c>
      <c r="K126" s="43">
        <f>IF($A126="","",MAX($F126,0)-MIN(MAX($F126,0),SUMIFS(Supplier_Invoices!$AC:$AC,Supplier_Invoices!$C:$C,$A126,Supplier_Invoices!$AG:$AG,1,Supplier_Invoices!$Y:$Y,"&gt;="&amp;(SB_To-90),Supplier_Invoices!$E:$E,"&lt;="&amp;SB_To)))</f>
        <v/>
      </c>
      <c r="L126" s="33">
        <f>IF($A126="","",IF(COUNTIFS(Supplier_Payments!$C:$C,$A126,Supplier_Payments!$V:$V,1)=0,"",_xlfn.MAXIFS(Supplier_Payments!$B:$B,Supplier_Payments!$C:$C,$A126,Supplier_Payments!$V:$V,1)))</f>
        <v/>
      </c>
      <c r="M126" s="32">
        <f>IF($A126="","",IF($F126&lt;-S_Tol,"رصيد مدين للمورد - مراجعة",IF($H126+$I126+$J126+$K126&gt;S_Tol,"يوجد مبالغ متأخرة","")))</f>
        <v/>
      </c>
    </row>
    <row r="127">
      <c r="A127" s="44">
        <f>IF(INDEX(Suppliers!$A:$A,ROW()-6)="","",INDEX(Suppliers!$A:$A,ROW()-6))</f>
        <v/>
      </c>
      <c r="B127" s="32">
        <f>IF($A127="","",INDEX(Suppliers!$B:$B,ROW()-6))</f>
        <v/>
      </c>
      <c r="C127" s="47">
        <f>IF($A127="","",SUMIFS(GL_Journal!$T:$T,GL_Journal!$G:$G,ACC_SUPPLIERS,GL_Journal!$K:$K,$A127,GL_Journal!$D:$D,"&lt;"&amp;SB_From)-SUMIFS(GL_Journal!$S:$S,GL_Journal!$G:$G,ACC_SUPPLIERS,GL_Journal!$K:$K,$A127,GL_Journal!$D:$D,"&lt;"&amp;SB_From))</f>
        <v/>
      </c>
      <c r="D127" s="43">
        <f>IF($A127="","",SUMIFS(GL_Journal!$T:$T,GL_Journal!$G:$G,ACC_SUPPLIERS,GL_Journal!$K:$K,$A127,GL_Journal!$D:$D,"&gt;="&amp;SB_From,GL_Journal!$D:$D,"&lt;="&amp;SB_To))</f>
        <v/>
      </c>
      <c r="E127" s="43">
        <f>IF($A127="","",SUMIFS(GL_Journal!$S:$S,GL_Journal!$G:$G,ACC_SUPPLIERS,GL_Journal!$K:$K,$A127,GL_Journal!$D:$D,"&gt;="&amp;SB_From,GL_Journal!$D:$D,"&lt;="&amp;SB_To))</f>
        <v/>
      </c>
      <c r="F127" s="47">
        <f>IF($A127="","",$C127+$D127-$E127)</f>
        <v/>
      </c>
      <c r="G127" s="43">
        <f>IF($A127="","",MIN(MAX($F127,0),SUMIFS(Supplier_Invoices!$AC:$AC,Supplier_Invoices!$C:$C,$A127,Supplier_Invoices!$AG:$AG,1,Supplier_Invoices!$Y:$Y,"&gt;="&amp;(SB_To-0),Supplier_Invoices!$E:$E,"&lt;="&amp;SB_To)))</f>
        <v/>
      </c>
      <c r="H127" s="43">
        <f>IF($A127="","",MIN(MAX($F127,0),SUMIFS(Supplier_Invoices!$AC:$AC,Supplier_Invoices!$C:$C,$A127,Supplier_Invoices!$AG:$AG,1,Supplier_Invoices!$Y:$Y,"&gt;="&amp;(SB_To-30),Supplier_Invoices!$E:$E,"&lt;="&amp;SB_To))-MIN(MAX($F127,0),SUMIFS(Supplier_Invoices!$AC:$AC,Supplier_Invoices!$C:$C,$A127,Supplier_Invoices!$AG:$AG,1,Supplier_Invoices!$Y:$Y,"&gt;="&amp;(SB_To-0),Supplier_Invoices!$E:$E,"&lt;="&amp;SB_To)))</f>
        <v/>
      </c>
      <c r="I127" s="43">
        <f>IF($A127="","",MIN(MAX($F127,0),SUMIFS(Supplier_Invoices!$AC:$AC,Supplier_Invoices!$C:$C,$A127,Supplier_Invoices!$AG:$AG,1,Supplier_Invoices!$Y:$Y,"&gt;="&amp;(SB_To-60),Supplier_Invoices!$E:$E,"&lt;="&amp;SB_To))-MIN(MAX($F127,0),SUMIFS(Supplier_Invoices!$AC:$AC,Supplier_Invoices!$C:$C,$A127,Supplier_Invoices!$AG:$AG,1,Supplier_Invoices!$Y:$Y,"&gt;="&amp;(SB_To-30),Supplier_Invoices!$E:$E,"&lt;="&amp;SB_To)))</f>
        <v/>
      </c>
      <c r="J127" s="43">
        <f>IF($A127="","",MIN(MAX($F127,0),SUMIFS(Supplier_Invoices!$AC:$AC,Supplier_Invoices!$C:$C,$A127,Supplier_Invoices!$AG:$AG,1,Supplier_Invoices!$Y:$Y,"&gt;="&amp;(SB_To-90),Supplier_Invoices!$E:$E,"&lt;="&amp;SB_To))-MIN(MAX($F127,0),SUMIFS(Supplier_Invoices!$AC:$AC,Supplier_Invoices!$C:$C,$A127,Supplier_Invoices!$AG:$AG,1,Supplier_Invoices!$Y:$Y,"&gt;="&amp;(SB_To-60),Supplier_Invoices!$E:$E,"&lt;="&amp;SB_To)))</f>
        <v/>
      </c>
      <c r="K127" s="43">
        <f>IF($A127="","",MAX($F127,0)-MIN(MAX($F127,0),SUMIFS(Supplier_Invoices!$AC:$AC,Supplier_Invoices!$C:$C,$A127,Supplier_Invoices!$AG:$AG,1,Supplier_Invoices!$Y:$Y,"&gt;="&amp;(SB_To-90),Supplier_Invoices!$E:$E,"&lt;="&amp;SB_To)))</f>
        <v/>
      </c>
      <c r="L127" s="33">
        <f>IF($A127="","",IF(COUNTIFS(Supplier_Payments!$C:$C,$A127,Supplier_Payments!$V:$V,1)=0,"",_xlfn.MAXIFS(Supplier_Payments!$B:$B,Supplier_Payments!$C:$C,$A127,Supplier_Payments!$V:$V,1)))</f>
        <v/>
      </c>
      <c r="M127" s="32">
        <f>IF($A127="","",IF($F127&lt;-S_Tol,"رصيد مدين للمورد - مراجعة",IF($H127+$I127+$J127+$K127&gt;S_Tol,"يوجد مبالغ متأخرة","")))</f>
        <v/>
      </c>
    </row>
    <row r="128">
      <c r="A128" s="44">
        <f>IF(INDEX(Suppliers!$A:$A,ROW()-6)="","",INDEX(Suppliers!$A:$A,ROW()-6))</f>
        <v/>
      </c>
      <c r="B128" s="32">
        <f>IF($A128="","",INDEX(Suppliers!$B:$B,ROW()-6))</f>
        <v/>
      </c>
      <c r="C128" s="47">
        <f>IF($A128="","",SUMIFS(GL_Journal!$T:$T,GL_Journal!$G:$G,ACC_SUPPLIERS,GL_Journal!$K:$K,$A128,GL_Journal!$D:$D,"&lt;"&amp;SB_From)-SUMIFS(GL_Journal!$S:$S,GL_Journal!$G:$G,ACC_SUPPLIERS,GL_Journal!$K:$K,$A128,GL_Journal!$D:$D,"&lt;"&amp;SB_From))</f>
        <v/>
      </c>
      <c r="D128" s="43">
        <f>IF($A128="","",SUMIFS(GL_Journal!$T:$T,GL_Journal!$G:$G,ACC_SUPPLIERS,GL_Journal!$K:$K,$A128,GL_Journal!$D:$D,"&gt;="&amp;SB_From,GL_Journal!$D:$D,"&lt;="&amp;SB_To))</f>
        <v/>
      </c>
      <c r="E128" s="43">
        <f>IF($A128="","",SUMIFS(GL_Journal!$S:$S,GL_Journal!$G:$G,ACC_SUPPLIERS,GL_Journal!$K:$K,$A128,GL_Journal!$D:$D,"&gt;="&amp;SB_From,GL_Journal!$D:$D,"&lt;="&amp;SB_To))</f>
        <v/>
      </c>
      <c r="F128" s="47">
        <f>IF($A128="","",$C128+$D128-$E128)</f>
        <v/>
      </c>
      <c r="G128" s="43">
        <f>IF($A128="","",MIN(MAX($F128,0),SUMIFS(Supplier_Invoices!$AC:$AC,Supplier_Invoices!$C:$C,$A128,Supplier_Invoices!$AG:$AG,1,Supplier_Invoices!$Y:$Y,"&gt;="&amp;(SB_To-0),Supplier_Invoices!$E:$E,"&lt;="&amp;SB_To)))</f>
        <v/>
      </c>
      <c r="H128" s="43">
        <f>IF($A128="","",MIN(MAX($F128,0),SUMIFS(Supplier_Invoices!$AC:$AC,Supplier_Invoices!$C:$C,$A128,Supplier_Invoices!$AG:$AG,1,Supplier_Invoices!$Y:$Y,"&gt;="&amp;(SB_To-30),Supplier_Invoices!$E:$E,"&lt;="&amp;SB_To))-MIN(MAX($F128,0),SUMIFS(Supplier_Invoices!$AC:$AC,Supplier_Invoices!$C:$C,$A128,Supplier_Invoices!$AG:$AG,1,Supplier_Invoices!$Y:$Y,"&gt;="&amp;(SB_To-0),Supplier_Invoices!$E:$E,"&lt;="&amp;SB_To)))</f>
        <v/>
      </c>
      <c r="I128" s="43">
        <f>IF($A128="","",MIN(MAX($F128,0),SUMIFS(Supplier_Invoices!$AC:$AC,Supplier_Invoices!$C:$C,$A128,Supplier_Invoices!$AG:$AG,1,Supplier_Invoices!$Y:$Y,"&gt;="&amp;(SB_To-60),Supplier_Invoices!$E:$E,"&lt;="&amp;SB_To))-MIN(MAX($F128,0),SUMIFS(Supplier_Invoices!$AC:$AC,Supplier_Invoices!$C:$C,$A128,Supplier_Invoices!$AG:$AG,1,Supplier_Invoices!$Y:$Y,"&gt;="&amp;(SB_To-30),Supplier_Invoices!$E:$E,"&lt;="&amp;SB_To)))</f>
        <v/>
      </c>
      <c r="J128" s="43">
        <f>IF($A128="","",MIN(MAX($F128,0),SUMIFS(Supplier_Invoices!$AC:$AC,Supplier_Invoices!$C:$C,$A128,Supplier_Invoices!$AG:$AG,1,Supplier_Invoices!$Y:$Y,"&gt;="&amp;(SB_To-90),Supplier_Invoices!$E:$E,"&lt;="&amp;SB_To))-MIN(MAX($F128,0),SUMIFS(Supplier_Invoices!$AC:$AC,Supplier_Invoices!$C:$C,$A128,Supplier_Invoices!$AG:$AG,1,Supplier_Invoices!$Y:$Y,"&gt;="&amp;(SB_To-60),Supplier_Invoices!$E:$E,"&lt;="&amp;SB_To)))</f>
        <v/>
      </c>
      <c r="K128" s="43">
        <f>IF($A128="","",MAX($F128,0)-MIN(MAX($F128,0),SUMIFS(Supplier_Invoices!$AC:$AC,Supplier_Invoices!$C:$C,$A128,Supplier_Invoices!$AG:$AG,1,Supplier_Invoices!$Y:$Y,"&gt;="&amp;(SB_To-90),Supplier_Invoices!$E:$E,"&lt;="&amp;SB_To)))</f>
        <v/>
      </c>
      <c r="L128" s="33">
        <f>IF($A128="","",IF(COUNTIFS(Supplier_Payments!$C:$C,$A128,Supplier_Payments!$V:$V,1)=0,"",_xlfn.MAXIFS(Supplier_Payments!$B:$B,Supplier_Payments!$C:$C,$A128,Supplier_Payments!$V:$V,1)))</f>
        <v/>
      </c>
      <c r="M128" s="32">
        <f>IF($A128="","",IF($F128&lt;-S_Tol,"رصيد مدين للمورد - مراجعة",IF($H128+$I128+$J128+$K128&gt;S_Tol,"يوجد مبالغ متأخرة","")))</f>
        <v/>
      </c>
    </row>
    <row r="129">
      <c r="A129" s="44">
        <f>IF(INDEX(Suppliers!$A:$A,ROW()-6)="","",INDEX(Suppliers!$A:$A,ROW()-6))</f>
        <v/>
      </c>
      <c r="B129" s="32">
        <f>IF($A129="","",INDEX(Suppliers!$B:$B,ROW()-6))</f>
        <v/>
      </c>
      <c r="C129" s="47">
        <f>IF($A129="","",SUMIFS(GL_Journal!$T:$T,GL_Journal!$G:$G,ACC_SUPPLIERS,GL_Journal!$K:$K,$A129,GL_Journal!$D:$D,"&lt;"&amp;SB_From)-SUMIFS(GL_Journal!$S:$S,GL_Journal!$G:$G,ACC_SUPPLIERS,GL_Journal!$K:$K,$A129,GL_Journal!$D:$D,"&lt;"&amp;SB_From))</f>
        <v/>
      </c>
      <c r="D129" s="43">
        <f>IF($A129="","",SUMIFS(GL_Journal!$T:$T,GL_Journal!$G:$G,ACC_SUPPLIERS,GL_Journal!$K:$K,$A129,GL_Journal!$D:$D,"&gt;="&amp;SB_From,GL_Journal!$D:$D,"&lt;="&amp;SB_To))</f>
        <v/>
      </c>
      <c r="E129" s="43">
        <f>IF($A129="","",SUMIFS(GL_Journal!$S:$S,GL_Journal!$G:$G,ACC_SUPPLIERS,GL_Journal!$K:$K,$A129,GL_Journal!$D:$D,"&gt;="&amp;SB_From,GL_Journal!$D:$D,"&lt;="&amp;SB_To))</f>
        <v/>
      </c>
      <c r="F129" s="47">
        <f>IF($A129="","",$C129+$D129-$E129)</f>
        <v/>
      </c>
      <c r="G129" s="43">
        <f>IF($A129="","",MIN(MAX($F129,0),SUMIFS(Supplier_Invoices!$AC:$AC,Supplier_Invoices!$C:$C,$A129,Supplier_Invoices!$AG:$AG,1,Supplier_Invoices!$Y:$Y,"&gt;="&amp;(SB_To-0),Supplier_Invoices!$E:$E,"&lt;="&amp;SB_To)))</f>
        <v/>
      </c>
      <c r="H129" s="43">
        <f>IF($A129="","",MIN(MAX($F129,0),SUMIFS(Supplier_Invoices!$AC:$AC,Supplier_Invoices!$C:$C,$A129,Supplier_Invoices!$AG:$AG,1,Supplier_Invoices!$Y:$Y,"&gt;="&amp;(SB_To-30),Supplier_Invoices!$E:$E,"&lt;="&amp;SB_To))-MIN(MAX($F129,0),SUMIFS(Supplier_Invoices!$AC:$AC,Supplier_Invoices!$C:$C,$A129,Supplier_Invoices!$AG:$AG,1,Supplier_Invoices!$Y:$Y,"&gt;="&amp;(SB_To-0),Supplier_Invoices!$E:$E,"&lt;="&amp;SB_To)))</f>
        <v/>
      </c>
      <c r="I129" s="43">
        <f>IF($A129="","",MIN(MAX($F129,0),SUMIFS(Supplier_Invoices!$AC:$AC,Supplier_Invoices!$C:$C,$A129,Supplier_Invoices!$AG:$AG,1,Supplier_Invoices!$Y:$Y,"&gt;="&amp;(SB_To-60),Supplier_Invoices!$E:$E,"&lt;="&amp;SB_To))-MIN(MAX($F129,0),SUMIFS(Supplier_Invoices!$AC:$AC,Supplier_Invoices!$C:$C,$A129,Supplier_Invoices!$AG:$AG,1,Supplier_Invoices!$Y:$Y,"&gt;="&amp;(SB_To-30),Supplier_Invoices!$E:$E,"&lt;="&amp;SB_To)))</f>
        <v/>
      </c>
      <c r="J129" s="43">
        <f>IF($A129="","",MIN(MAX($F129,0),SUMIFS(Supplier_Invoices!$AC:$AC,Supplier_Invoices!$C:$C,$A129,Supplier_Invoices!$AG:$AG,1,Supplier_Invoices!$Y:$Y,"&gt;="&amp;(SB_To-90),Supplier_Invoices!$E:$E,"&lt;="&amp;SB_To))-MIN(MAX($F129,0),SUMIFS(Supplier_Invoices!$AC:$AC,Supplier_Invoices!$C:$C,$A129,Supplier_Invoices!$AG:$AG,1,Supplier_Invoices!$Y:$Y,"&gt;="&amp;(SB_To-60),Supplier_Invoices!$E:$E,"&lt;="&amp;SB_To)))</f>
        <v/>
      </c>
      <c r="K129" s="43">
        <f>IF($A129="","",MAX($F129,0)-MIN(MAX($F129,0),SUMIFS(Supplier_Invoices!$AC:$AC,Supplier_Invoices!$C:$C,$A129,Supplier_Invoices!$AG:$AG,1,Supplier_Invoices!$Y:$Y,"&gt;="&amp;(SB_To-90),Supplier_Invoices!$E:$E,"&lt;="&amp;SB_To)))</f>
        <v/>
      </c>
      <c r="L129" s="33">
        <f>IF($A129="","",IF(COUNTIFS(Supplier_Payments!$C:$C,$A129,Supplier_Payments!$V:$V,1)=0,"",_xlfn.MAXIFS(Supplier_Payments!$B:$B,Supplier_Payments!$C:$C,$A129,Supplier_Payments!$V:$V,1)))</f>
        <v/>
      </c>
      <c r="M129" s="32">
        <f>IF($A129="","",IF($F129&lt;-S_Tol,"رصيد مدين للمورد - مراجعة",IF($H129+$I129+$J129+$K129&gt;S_Tol,"يوجد مبالغ متأخرة","")))</f>
        <v/>
      </c>
    </row>
    <row r="130">
      <c r="A130" s="44">
        <f>IF(INDEX(Suppliers!$A:$A,ROW()-6)="","",INDEX(Suppliers!$A:$A,ROW()-6))</f>
        <v/>
      </c>
      <c r="B130" s="32">
        <f>IF($A130="","",INDEX(Suppliers!$B:$B,ROW()-6))</f>
        <v/>
      </c>
      <c r="C130" s="47">
        <f>IF($A130="","",SUMIFS(GL_Journal!$T:$T,GL_Journal!$G:$G,ACC_SUPPLIERS,GL_Journal!$K:$K,$A130,GL_Journal!$D:$D,"&lt;"&amp;SB_From)-SUMIFS(GL_Journal!$S:$S,GL_Journal!$G:$G,ACC_SUPPLIERS,GL_Journal!$K:$K,$A130,GL_Journal!$D:$D,"&lt;"&amp;SB_From))</f>
        <v/>
      </c>
      <c r="D130" s="43">
        <f>IF($A130="","",SUMIFS(GL_Journal!$T:$T,GL_Journal!$G:$G,ACC_SUPPLIERS,GL_Journal!$K:$K,$A130,GL_Journal!$D:$D,"&gt;="&amp;SB_From,GL_Journal!$D:$D,"&lt;="&amp;SB_To))</f>
        <v/>
      </c>
      <c r="E130" s="43">
        <f>IF($A130="","",SUMIFS(GL_Journal!$S:$S,GL_Journal!$G:$G,ACC_SUPPLIERS,GL_Journal!$K:$K,$A130,GL_Journal!$D:$D,"&gt;="&amp;SB_From,GL_Journal!$D:$D,"&lt;="&amp;SB_To))</f>
        <v/>
      </c>
      <c r="F130" s="47">
        <f>IF($A130="","",$C130+$D130-$E130)</f>
        <v/>
      </c>
      <c r="G130" s="43">
        <f>IF($A130="","",MIN(MAX($F130,0),SUMIFS(Supplier_Invoices!$AC:$AC,Supplier_Invoices!$C:$C,$A130,Supplier_Invoices!$AG:$AG,1,Supplier_Invoices!$Y:$Y,"&gt;="&amp;(SB_To-0),Supplier_Invoices!$E:$E,"&lt;="&amp;SB_To)))</f>
        <v/>
      </c>
      <c r="H130" s="43">
        <f>IF($A130="","",MIN(MAX($F130,0),SUMIFS(Supplier_Invoices!$AC:$AC,Supplier_Invoices!$C:$C,$A130,Supplier_Invoices!$AG:$AG,1,Supplier_Invoices!$Y:$Y,"&gt;="&amp;(SB_To-30),Supplier_Invoices!$E:$E,"&lt;="&amp;SB_To))-MIN(MAX($F130,0),SUMIFS(Supplier_Invoices!$AC:$AC,Supplier_Invoices!$C:$C,$A130,Supplier_Invoices!$AG:$AG,1,Supplier_Invoices!$Y:$Y,"&gt;="&amp;(SB_To-0),Supplier_Invoices!$E:$E,"&lt;="&amp;SB_To)))</f>
        <v/>
      </c>
      <c r="I130" s="43">
        <f>IF($A130="","",MIN(MAX($F130,0),SUMIFS(Supplier_Invoices!$AC:$AC,Supplier_Invoices!$C:$C,$A130,Supplier_Invoices!$AG:$AG,1,Supplier_Invoices!$Y:$Y,"&gt;="&amp;(SB_To-60),Supplier_Invoices!$E:$E,"&lt;="&amp;SB_To))-MIN(MAX($F130,0),SUMIFS(Supplier_Invoices!$AC:$AC,Supplier_Invoices!$C:$C,$A130,Supplier_Invoices!$AG:$AG,1,Supplier_Invoices!$Y:$Y,"&gt;="&amp;(SB_To-30),Supplier_Invoices!$E:$E,"&lt;="&amp;SB_To)))</f>
        <v/>
      </c>
      <c r="J130" s="43">
        <f>IF($A130="","",MIN(MAX($F130,0),SUMIFS(Supplier_Invoices!$AC:$AC,Supplier_Invoices!$C:$C,$A130,Supplier_Invoices!$AG:$AG,1,Supplier_Invoices!$Y:$Y,"&gt;="&amp;(SB_To-90),Supplier_Invoices!$E:$E,"&lt;="&amp;SB_To))-MIN(MAX($F130,0),SUMIFS(Supplier_Invoices!$AC:$AC,Supplier_Invoices!$C:$C,$A130,Supplier_Invoices!$AG:$AG,1,Supplier_Invoices!$Y:$Y,"&gt;="&amp;(SB_To-60),Supplier_Invoices!$E:$E,"&lt;="&amp;SB_To)))</f>
        <v/>
      </c>
      <c r="K130" s="43">
        <f>IF($A130="","",MAX($F130,0)-MIN(MAX($F130,0),SUMIFS(Supplier_Invoices!$AC:$AC,Supplier_Invoices!$C:$C,$A130,Supplier_Invoices!$AG:$AG,1,Supplier_Invoices!$Y:$Y,"&gt;="&amp;(SB_To-90),Supplier_Invoices!$E:$E,"&lt;="&amp;SB_To)))</f>
        <v/>
      </c>
      <c r="L130" s="33">
        <f>IF($A130="","",IF(COUNTIFS(Supplier_Payments!$C:$C,$A130,Supplier_Payments!$V:$V,1)=0,"",_xlfn.MAXIFS(Supplier_Payments!$B:$B,Supplier_Payments!$C:$C,$A130,Supplier_Payments!$V:$V,1)))</f>
        <v/>
      </c>
      <c r="M130" s="32">
        <f>IF($A130="","",IF($F130&lt;-S_Tol,"رصيد مدين للمورد - مراجعة",IF($H130+$I130+$J130+$K130&gt;S_Tol,"يوجد مبالغ متأخرة","")))</f>
        <v/>
      </c>
    </row>
    <row r="131">
      <c r="A131" s="44">
        <f>IF(INDEX(Suppliers!$A:$A,ROW()-6)="","",INDEX(Suppliers!$A:$A,ROW()-6))</f>
        <v/>
      </c>
      <c r="B131" s="32">
        <f>IF($A131="","",INDEX(Suppliers!$B:$B,ROW()-6))</f>
        <v/>
      </c>
      <c r="C131" s="47">
        <f>IF($A131="","",SUMIFS(GL_Journal!$T:$T,GL_Journal!$G:$G,ACC_SUPPLIERS,GL_Journal!$K:$K,$A131,GL_Journal!$D:$D,"&lt;"&amp;SB_From)-SUMIFS(GL_Journal!$S:$S,GL_Journal!$G:$G,ACC_SUPPLIERS,GL_Journal!$K:$K,$A131,GL_Journal!$D:$D,"&lt;"&amp;SB_From))</f>
        <v/>
      </c>
      <c r="D131" s="43">
        <f>IF($A131="","",SUMIFS(GL_Journal!$T:$T,GL_Journal!$G:$G,ACC_SUPPLIERS,GL_Journal!$K:$K,$A131,GL_Journal!$D:$D,"&gt;="&amp;SB_From,GL_Journal!$D:$D,"&lt;="&amp;SB_To))</f>
        <v/>
      </c>
      <c r="E131" s="43">
        <f>IF($A131="","",SUMIFS(GL_Journal!$S:$S,GL_Journal!$G:$G,ACC_SUPPLIERS,GL_Journal!$K:$K,$A131,GL_Journal!$D:$D,"&gt;="&amp;SB_From,GL_Journal!$D:$D,"&lt;="&amp;SB_To))</f>
        <v/>
      </c>
      <c r="F131" s="47">
        <f>IF($A131="","",$C131+$D131-$E131)</f>
        <v/>
      </c>
      <c r="G131" s="43">
        <f>IF($A131="","",MIN(MAX($F131,0),SUMIFS(Supplier_Invoices!$AC:$AC,Supplier_Invoices!$C:$C,$A131,Supplier_Invoices!$AG:$AG,1,Supplier_Invoices!$Y:$Y,"&gt;="&amp;(SB_To-0),Supplier_Invoices!$E:$E,"&lt;="&amp;SB_To)))</f>
        <v/>
      </c>
      <c r="H131" s="43">
        <f>IF($A131="","",MIN(MAX($F131,0),SUMIFS(Supplier_Invoices!$AC:$AC,Supplier_Invoices!$C:$C,$A131,Supplier_Invoices!$AG:$AG,1,Supplier_Invoices!$Y:$Y,"&gt;="&amp;(SB_To-30),Supplier_Invoices!$E:$E,"&lt;="&amp;SB_To))-MIN(MAX($F131,0),SUMIFS(Supplier_Invoices!$AC:$AC,Supplier_Invoices!$C:$C,$A131,Supplier_Invoices!$AG:$AG,1,Supplier_Invoices!$Y:$Y,"&gt;="&amp;(SB_To-0),Supplier_Invoices!$E:$E,"&lt;="&amp;SB_To)))</f>
        <v/>
      </c>
      <c r="I131" s="43">
        <f>IF($A131="","",MIN(MAX($F131,0),SUMIFS(Supplier_Invoices!$AC:$AC,Supplier_Invoices!$C:$C,$A131,Supplier_Invoices!$AG:$AG,1,Supplier_Invoices!$Y:$Y,"&gt;="&amp;(SB_To-60),Supplier_Invoices!$E:$E,"&lt;="&amp;SB_To))-MIN(MAX($F131,0),SUMIFS(Supplier_Invoices!$AC:$AC,Supplier_Invoices!$C:$C,$A131,Supplier_Invoices!$AG:$AG,1,Supplier_Invoices!$Y:$Y,"&gt;="&amp;(SB_To-30),Supplier_Invoices!$E:$E,"&lt;="&amp;SB_To)))</f>
        <v/>
      </c>
      <c r="J131" s="43">
        <f>IF($A131="","",MIN(MAX($F131,0),SUMIFS(Supplier_Invoices!$AC:$AC,Supplier_Invoices!$C:$C,$A131,Supplier_Invoices!$AG:$AG,1,Supplier_Invoices!$Y:$Y,"&gt;="&amp;(SB_To-90),Supplier_Invoices!$E:$E,"&lt;="&amp;SB_To))-MIN(MAX($F131,0),SUMIFS(Supplier_Invoices!$AC:$AC,Supplier_Invoices!$C:$C,$A131,Supplier_Invoices!$AG:$AG,1,Supplier_Invoices!$Y:$Y,"&gt;="&amp;(SB_To-60),Supplier_Invoices!$E:$E,"&lt;="&amp;SB_To)))</f>
        <v/>
      </c>
      <c r="K131" s="43">
        <f>IF($A131="","",MAX($F131,0)-MIN(MAX($F131,0),SUMIFS(Supplier_Invoices!$AC:$AC,Supplier_Invoices!$C:$C,$A131,Supplier_Invoices!$AG:$AG,1,Supplier_Invoices!$Y:$Y,"&gt;="&amp;(SB_To-90),Supplier_Invoices!$E:$E,"&lt;="&amp;SB_To)))</f>
        <v/>
      </c>
      <c r="L131" s="33">
        <f>IF($A131="","",IF(COUNTIFS(Supplier_Payments!$C:$C,$A131,Supplier_Payments!$V:$V,1)=0,"",_xlfn.MAXIFS(Supplier_Payments!$B:$B,Supplier_Payments!$C:$C,$A131,Supplier_Payments!$V:$V,1)))</f>
        <v/>
      </c>
      <c r="M131" s="32">
        <f>IF($A131="","",IF($F131&lt;-S_Tol,"رصيد مدين للمورد - مراجعة",IF($H131+$I131+$J131+$K131&gt;S_Tol,"يوجد مبالغ متأخرة","")))</f>
        <v/>
      </c>
    </row>
    <row r="132">
      <c r="A132" s="44">
        <f>IF(INDEX(Suppliers!$A:$A,ROW()-6)="","",INDEX(Suppliers!$A:$A,ROW()-6))</f>
        <v/>
      </c>
      <c r="B132" s="32">
        <f>IF($A132="","",INDEX(Suppliers!$B:$B,ROW()-6))</f>
        <v/>
      </c>
      <c r="C132" s="47">
        <f>IF($A132="","",SUMIFS(GL_Journal!$T:$T,GL_Journal!$G:$G,ACC_SUPPLIERS,GL_Journal!$K:$K,$A132,GL_Journal!$D:$D,"&lt;"&amp;SB_From)-SUMIFS(GL_Journal!$S:$S,GL_Journal!$G:$G,ACC_SUPPLIERS,GL_Journal!$K:$K,$A132,GL_Journal!$D:$D,"&lt;"&amp;SB_From))</f>
        <v/>
      </c>
      <c r="D132" s="43">
        <f>IF($A132="","",SUMIFS(GL_Journal!$T:$T,GL_Journal!$G:$G,ACC_SUPPLIERS,GL_Journal!$K:$K,$A132,GL_Journal!$D:$D,"&gt;="&amp;SB_From,GL_Journal!$D:$D,"&lt;="&amp;SB_To))</f>
        <v/>
      </c>
      <c r="E132" s="43">
        <f>IF($A132="","",SUMIFS(GL_Journal!$S:$S,GL_Journal!$G:$G,ACC_SUPPLIERS,GL_Journal!$K:$K,$A132,GL_Journal!$D:$D,"&gt;="&amp;SB_From,GL_Journal!$D:$D,"&lt;="&amp;SB_To))</f>
        <v/>
      </c>
      <c r="F132" s="47">
        <f>IF($A132="","",$C132+$D132-$E132)</f>
        <v/>
      </c>
      <c r="G132" s="43">
        <f>IF($A132="","",MIN(MAX($F132,0),SUMIFS(Supplier_Invoices!$AC:$AC,Supplier_Invoices!$C:$C,$A132,Supplier_Invoices!$AG:$AG,1,Supplier_Invoices!$Y:$Y,"&gt;="&amp;(SB_To-0),Supplier_Invoices!$E:$E,"&lt;="&amp;SB_To)))</f>
        <v/>
      </c>
      <c r="H132" s="43">
        <f>IF($A132="","",MIN(MAX($F132,0),SUMIFS(Supplier_Invoices!$AC:$AC,Supplier_Invoices!$C:$C,$A132,Supplier_Invoices!$AG:$AG,1,Supplier_Invoices!$Y:$Y,"&gt;="&amp;(SB_To-30),Supplier_Invoices!$E:$E,"&lt;="&amp;SB_To))-MIN(MAX($F132,0),SUMIFS(Supplier_Invoices!$AC:$AC,Supplier_Invoices!$C:$C,$A132,Supplier_Invoices!$AG:$AG,1,Supplier_Invoices!$Y:$Y,"&gt;="&amp;(SB_To-0),Supplier_Invoices!$E:$E,"&lt;="&amp;SB_To)))</f>
        <v/>
      </c>
      <c r="I132" s="43">
        <f>IF($A132="","",MIN(MAX($F132,0),SUMIFS(Supplier_Invoices!$AC:$AC,Supplier_Invoices!$C:$C,$A132,Supplier_Invoices!$AG:$AG,1,Supplier_Invoices!$Y:$Y,"&gt;="&amp;(SB_To-60),Supplier_Invoices!$E:$E,"&lt;="&amp;SB_To))-MIN(MAX($F132,0),SUMIFS(Supplier_Invoices!$AC:$AC,Supplier_Invoices!$C:$C,$A132,Supplier_Invoices!$AG:$AG,1,Supplier_Invoices!$Y:$Y,"&gt;="&amp;(SB_To-30),Supplier_Invoices!$E:$E,"&lt;="&amp;SB_To)))</f>
        <v/>
      </c>
      <c r="J132" s="43">
        <f>IF($A132="","",MIN(MAX($F132,0),SUMIFS(Supplier_Invoices!$AC:$AC,Supplier_Invoices!$C:$C,$A132,Supplier_Invoices!$AG:$AG,1,Supplier_Invoices!$Y:$Y,"&gt;="&amp;(SB_To-90),Supplier_Invoices!$E:$E,"&lt;="&amp;SB_To))-MIN(MAX($F132,0),SUMIFS(Supplier_Invoices!$AC:$AC,Supplier_Invoices!$C:$C,$A132,Supplier_Invoices!$AG:$AG,1,Supplier_Invoices!$Y:$Y,"&gt;="&amp;(SB_To-60),Supplier_Invoices!$E:$E,"&lt;="&amp;SB_To)))</f>
        <v/>
      </c>
      <c r="K132" s="43">
        <f>IF($A132="","",MAX($F132,0)-MIN(MAX($F132,0),SUMIFS(Supplier_Invoices!$AC:$AC,Supplier_Invoices!$C:$C,$A132,Supplier_Invoices!$AG:$AG,1,Supplier_Invoices!$Y:$Y,"&gt;="&amp;(SB_To-90),Supplier_Invoices!$E:$E,"&lt;="&amp;SB_To)))</f>
        <v/>
      </c>
      <c r="L132" s="33">
        <f>IF($A132="","",IF(COUNTIFS(Supplier_Payments!$C:$C,$A132,Supplier_Payments!$V:$V,1)=0,"",_xlfn.MAXIFS(Supplier_Payments!$B:$B,Supplier_Payments!$C:$C,$A132,Supplier_Payments!$V:$V,1)))</f>
        <v/>
      </c>
      <c r="M132" s="32">
        <f>IF($A132="","",IF($F132&lt;-S_Tol,"رصيد مدين للمورد - مراجعة",IF($H132+$I132+$J132+$K132&gt;S_Tol,"يوجد مبالغ متأخرة","")))</f>
        <v/>
      </c>
    </row>
    <row r="133">
      <c r="A133" s="44">
        <f>IF(INDEX(Suppliers!$A:$A,ROW()-6)="","",INDEX(Suppliers!$A:$A,ROW()-6))</f>
        <v/>
      </c>
      <c r="B133" s="32">
        <f>IF($A133="","",INDEX(Suppliers!$B:$B,ROW()-6))</f>
        <v/>
      </c>
      <c r="C133" s="47">
        <f>IF($A133="","",SUMIFS(GL_Journal!$T:$T,GL_Journal!$G:$G,ACC_SUPPLIERS,GL_Journal!$K:$K,$A133,GL_Journal!$D:$D,"&lt;"&amp;SB_From)-SUMIFS(GL_Journal!$S:$S,GL_Journal!$G:$G,ACC_SUPPLIERS,GL_Journal!$K:$K,$A133,GL_Journal!$D:$D,"&lt;"&amp;SB_From))</f>
        <v/>
      </c>
      <c r="D133" s="43">
        <f>IF($A133="","",SUMIFS(GL_Journal!$T:$T,GL_Journal!$G:$G,ACC_SUPPLIERS,GL_Journal!$K:$K,$A133,GL_Journal!$D:$D,"&gt;="&amp;SB_From,GL_Journal!$D:$D,"&lt;="&amp;SB_To))</f>
        <v/>
      </c>
      <c r="E133" s="43">
        <f>IF($A133="","",SUMIFS(GL_Journal!$S:$S,GL_Journal!$G:$G,ACC_SUPPLIERS,GL_Journal!$K:$K,$A133,GL_Journal!$D:$D,"&gt;="&amp;SB_From,GL_Journal!$D:$D,"&lt;="&amp;SB_To))</f>
        <v/>
      </c>
      <c r="F133" s="47">
        <f>IF($A133="","",$C133+$D133-$E133)</f>
        <v/>
      </c>
      <c r="G133" s="43">
        <f>IF($A133="","",MIN(MAX($F133,0),SUMIFS(Supplier_Invoices!$AC:$AC,Supplier_Invoices!$C:$C,$A133,Supplier_Invoices!$AG:$AG,1,Supplier_Invoices!$Y:$Y,"&gt;="&amp;(SB_To-0),Supplier_Invoices!$E:$E,"&lt;="&amp;SB_To)))</f>
        <v/>
      </c>
      <c r="H133" s="43">
        <f>IF($A133="","",MIN(MAX($F133,0),SUMIFS(Supplier_Invoices!$AC:$AC,Supplier_Invoices!$C:$C,$A133,Supplier_Invoices!$AG:$AG,1,Supplier_Invoices!$Y:$Y,"&gt;="&amp;(SB_To-30),Supplier_Invoices!$E:$E,"&lt;="&amp;SB_To))-MIN(MAX($F133,0),SUMIFS(Supplier_Invoices!$AC:$AC,Supplier_Invoices!$C:$C,$A133,Supplier_Invoices!$AG:$AG,1,Supplier_Invoices!$Y:$Y,"&gt;="&amp;(SB_To-0),Supplier_Invoices!$E:$E,"&lt;="&amp;SB_To)))</f>
        <v/>
      </c>
      <c r="I133" s="43">
        <f>IF($A133="","",MIN(MAX($F133,0),SUMIFS(Supplier_Invoices!$AC:$AC,Supplier_Invoices!$C:$C,$A133,Supplier_Invoices!$AG:$AG,1,Supplier_Invoices!$Y:$Y,"&gt;="&amp;(SB_To-60),Supplier_Invoices!$E:$E,"&lt;="&amp;SB_To))-MIN(MAX($F133,0),SUMIFS(Supplier_Invoices!$AC:$AC,Supplier_Invoices!$C:$C,$A133,Supplier_Invoices!$AG:$AG,1,Supplier_Invoices!$Y:$Y,"&gt;="&amp;(SB_To-30),Supplier_Invoices!$E:$E,"&lt;="&amp;SB_To)))</f>
        <v/>
      </c>
      <c r="J133" s="43">
        <f>IF($A133="","",MIN(MAX($F133,0),SUMIFS(Supplier_Invoices!$AC:$AC,Supplier_Invoices!$C:$C,$A133,Supplier_Invoices!$AG:$AG,1,Supplier_Invoices!$Y:$Y,"&gt;="&amp;(SB_To-90),Supplier_Invoices!$E:$E,"&lt;="&amp;SB_To))-MIN(MAX($F133,0),SUMIFS(Supplier_Invoices!$AC:$AC,Supplier_Invoices!$C:$C,$A133,Supplier_Invoices!$AG:$AG,1,Supplier_Invoices!$Y:$Y,"&gt;="&amp;(SB_To-60),Supplier_Invoices!$E:$E,"&lt;="&amp;SB_To)))</f>
        <v/>
      </c>
      <c r="K133" s="43">
        <f>IF($A133="","",MAX($F133,0)-MIN(MAX($F133,0),SUMIFS(Supplier_Invoices!$AC:$AC,Supplier_Invoices!$C:$C,$A133,Supplier_Invoices!$AG:$AG,1,Supplier_Invoices!$Y:$Y,"&gt;="&amp;(SB_To-90),Supplier_Invoices!$E:$E,"&lt;="&amp;SB_To)))</f>
        <v/>
      </c>
      <c r="L133" s="33">
        <f>IF($A133="","",IF(COUNTIFS(Supplier_Payments!$C:$C,$A133,Supplier_Payments!$V:$V,1)=0,"",_xlfn.MAXIFS(Supplier_Payments!$B:$B,Supplier_Payments!$C:$C,$A133,Supplier_Payments!$V:$V,1)))</f>
        <v/>
      </c>
      <c r="M133" s="32">
        <f>IF($A133="","",IF($F133&lt;-S_Tol,"رصيد مدين للمورد - مراجعة",IF($H133+$I133+$J133+$K133&gt;S_Tol,"يوجد مبالغ متأخرة","")))</f>
        <v/>
      </c>
    </row>
    <row r="134">
      <c r="A134" s="44">
        <f>IF(INDEX(Suppliers!$A:$A,ROW()-6)="","",INDEX(Suppliers!$A:$A,ROW()-6))</f>
        <v/>
      </c>
      <c r="B134" s="32">
        <f>IF($A134="","",INDEX(Suppliers!$B:$B,ROW()-6))</f>
        <v/>
      </c>
      <c r="C134" s="47">
        <f>IF($A134="","",SUMIFS(GL_Journal!$T:$T,GL_Journal!$G:$G,ACC_SUPPLIERS,GL_Journal!$K:$K,$A134,GL_Journal!$D:$D,"&lt;"&amp;SB_From)-SUMIFS(GL_Journal!$S:$S,GL_Journal!$G:$G,ACC_SUPPLIERS,GL_Journal!$K:$K,$A134,GL_Journal!$D:$D,"&lt;"&amp;SB_From))</f>
        <v/>
      </c>
      <c r="D134" s="43">
        <f>IF($A134="","",SUMIFS(GL_Journal!$T:$T,GL_Journal!$G:$G,ACC_SUPPLIERS,GL_Journal!$K:$K,$A134,GL_Journal!$D:$D,"&gt;="&amp;SB_From,GL_Journal!$D:$D,"&lt;="&amp;SB_To))</f>
        <v/>
      </c>
      <c r="E134" s="43">
        <f>IF($A134="","",SUMIFS(GL_Journal!$S:$S,GL_Journal!$G:$G,ACC_SUPPLIERS,GL_Journal!$K:$K,$A134,GL_Journal!$D:$D,"&gt;="&amp;SB_From,GL_Journal!$D:$D,"&lt;="&amp;SB_To))</f>
        <v/>
      </c>
      <c r="F134" s="47">
        <f>IF($A134="","",$C134+$D134-$E134)</f>
        <v/>
      </c>
      <c r="G134" s="43">
        <f>IF($A134="","",MIN(MAX($F134,0),SUMIFS(Supplier_Invoices!$AC:$AC,Supplier_Invoices!$C:$C,$A134,Supplier_Invoices!$AG:$AG,1,Supplier_Invoices!$Y:$Y,"&gt;="&amp;(SB_To-0),Supplier_Invoices!$E:$E,"&lt;="&amp;SB_To)))</f>
        <v/>
      </c>
      <c r="H134" s="43">
        <f>IF($A134="","",MIN(MAX($F134,0),SUMIFS(Supplier_Invoices!$AC:$AC,Supplier_Invoices!$C:$C,$A134,Supplier_Invoices!$AG:$AG,1,Supplier_Invoices!$Y:$Y,"&gt;="&amp;(SB_To-30),Supplier_Invoices!$E:$E,"&lt;="&amp;SB_To))-MIN(MAX($F134,0),SUMIFS(Supplier_Invoices!$AC:$AC,Supplier_Invoices!$C:$C,$A134,Supplier_Invoices!$AG:$AG,1,Supplier_Invoices!$Y:$Y,"&gt;="&amp;(SB_To-0),Supplier_Invoices!$E:$E,"&lt;="&amp;SB_To)))</f>
        <v/>
      </c>
      <c r="I134" s="43">
        <f>IF($A134="","",MIN(MAX($F134,0),SUMIFS(Supplier_Invoices!$AC:$AC,Supplier_Invoices!$C:$C,$A134,Supplier_Invoices!$AG:$AG,1,Supplier_Invoices!$Y:$Y,"&gt;="&amp;(SB_To-60),Supplier_Invoices!$E:$E,"&lt;="&amp;SB_To))-MIN(MAX($F134,0),SUMIFS(Supplier_Invoices!$AC:$AC,Supplier_Invoices!$C:$C,$A134,Supplier_Invoices!$AG:$AG,1,Supplier_Invoices!$Y:$Y,"&gt;="&amp;(SB_To-30),Supplier_Invoices!$E:$E,"&lt;="&amp;SB_To)))</f>
        <v/>
      </c>
      <c r="J134" s="43">
        <f>IF($A134="","",MIN(MAX($F134,0),SUMIFS(Supplier_Invoices!$AC:$AC,Supplier_Invoices!$C:$C,$A134,Supplier_Invoices!$AG:$AG,1,Supplier_Invoices!$Y:$Y,"&gt;="&amp;(SB_To-90),Supplier_Invoices!$E:$E,"&lt;="&amp;SB_To))-MIN(MAX($F134,0),SUMIFS(Supplier_Invoices!$AC:$AC,Supplier_Invoices!$C:$C,$A134,Supplier_Invoices!$AG:$AG,1,Supplier_Invoices!$Y:$Y,"&gt;="&amp;(SB_To-60),Supplier_Invoices!$E:$E,"&lt;="&amp;SB_To)))</f>
        <v/>
      </c>
      <c r="K134" s="43">
        <f>IF($A134="","",MAX($F134,0)-MIN(MAX($F134,0),SUMIFS(Supplier_Invoices!$AC:$AC,Supplier_Invoices!$C:$C,$A134,Supplier_Invoices!$AG:$AG,1,Supplier_Invoices!$Y:$Y,"&gt;="&amp;(SB_To-90),Supplier_Invoices!$E:$E,"&lt;="&amp;SB_To)))</f>
        <v/>
      </c>
      <c r="L134" s="33">
        <f>IF($A134="","",IF(COUNTIFS(Supplier_Payments!$C:$C,$A134,Supplier_Payments!$V:$V,1)=0,"",_xlfn.MAXIFS(Supplier_Payments!$B:$B,Supplier_Payments!$C:$C,$A134,Supplier_Payments!$V:$V,1)))</f>
        <v/>
      </c>
      <c r="M134" s="32">
        <f>IF($A134="","",IF($F134&lt;-S_Tol,"رصيد مدين للمورد - مراجعة",IF($H134+$I134+$J134+$K134&gt;S_Tol,"يوجد مبالغ متأخرة","")))</f>
        <v/>
      </c>
    </row>
    <row r="135">
      <c r="A135" s="44">
        <f>IF(INDEX(Suppliers!$A:$A,ROW()-6)="","",INDEX(Suppliers!$A:$A,ROW()-6))</f>
        <v/>
      </c>
      <c r="B135" s="32">
        <f>IF($A135="","",INDEX(Suppliers!$B:$B,ROW()-6))</f>
        <v/>
      </c>
      <c r="C135" s="47">
        <f>IF($A135="","",SUMIFS(GL_Journal!$T:$T,GL_Journal!$G:$G,ACC_SUPPLIERS,GL_Journal!$K:$K,$A135,GL_Journal!$D:$D,"&lt;"&amp;SB_From)-SUMIFS(GL_Journal!$S:$S,GL_Journal!$G:$G,ACC_SUPPLIERS,GL_Journal!$K:$K,$A135,GL_Journal!$D:$D,"&lt;"&amp;SB_From))</f>
        <v/>
      </c>
      <c r="D135" s="43">
        <f>IF($A135="","",SUMIFS(GL_Journal!$T:$T,GL_Journal!$G:$G,ACC_SUPPLIERS,GL_Journal!$K:$K,$A135,GL_Journal!$D:$D,"&gt;="&amp;SB_From,GL_Journal!$D:$D,"&lt;="&amp;SB_To))</f>
        <v/>
      </c>
      <c r="E135" s="43">
        <f>IF($A135="","",SUMIFS(GL_Journal!$S:$S,GL_Journal!$G:$G,ACC_SUPPLIERS,GL_Journal!$K:$K,$A135,GL_Journal!$D:$D,"&gt;="&amp;SB_From,GL_Journal!$D:$D,"&lt;="&amp;SB_To))</f>
        <v/>
      </c>
      <c r="F135" s="47">
        <f>IF($A135="","",$C135+$D135-$E135)</f>
        <v/>
      </c>
      <c r="G135" s="43">
        <f>IF($A135="","",MIN(MAX($F135,0),SUMIFS(Supplier_Invoices!$AC:$AC,Supplier_Invoices!$C:$C,$A135,Supplier_Invoices!$AG:$AG,1,Supplier_Invoices!$Y:$Y,"&gt;="&amp;(SB_To-0),Supplier_Invoices!$E:$E,"&lt;="&amp;SB_To)))</f>
        <v/>
      </c>
      <c r="H135" s="43">
        <f>IF($A135="","",MIN(MAX($F135,0),SUMIFS(Supplier_Invoices!$AC:$AC,Supplier_Invoices!$C:$C,$A135,Supplier_Invoices!$AG:$AG,1,Supplier_Invoices!$Y:$Y,"&gt;="&amp;(SB_To-30),Supplier_Invoices!$E:$E,"&lt;="&amp;SB_To))-MIN(MAX($F135,0),SUMIFS(Supplier_Invoices!$AC:$AC,Supplier_Invoices!$C:$C,$A135,Supplier_Invoices!$AG:$AG,1,Supplier_Invoices!$Y:$Y,"&gt;="&amp;(SB_To-0),Supplier_Invoices!$E:$E,"&lt;="&amp;SB_To)))</f>
        <v/>
      </c>
      <c r="I135" s="43">
        <f>IF($A135="","",MIN(MAX($F135,0),SUMIFS(Supplier_Invoices!$AC:$AC,Supplier_Invoices!$C:$C,$A135,Supplier_Invoices!$AG:$AG,1,Supplier_Invoices!$Y:$Y,"&gt;="&amp;(SB_To-60),Supplier_Invoices!$E:$E,"&lt;="&amp;SB_To))-MIN(MAX($F135,0),SUMIFS(Supplier_Invoices!$AC:$AC,Supplier_Invoices!$C:$C,$A135,Supplier_Invoices!$AG:$AG,1,Supplier_Invoices!$Y:$Y,"&gt;="&amp;(SB_To-30),Supplier_Invoices!$E:$E,"&lt;="&amp;SB_To)))</f>
        <v/>
      </c>
      <c r="J135" s="43">
        <f>IF($A135="","",MIN(MAX($F135,0),SUMIFS(Supplier_Invoices!$AC:$AC,Supplier_Invoices!$C:$C,$A135,Supplier_Invoices!$AG:$AG,1,Supplier_Invoices!$Y:$Y,"&gt;="&amp;(SB_To-90),Supplier_Invoices!$E:$E,"&lt;="&amp;SB_To))-MIN(MAX($F135,0),SUMIFS(Supplier_Invoices!$AC:$AC,Supplier_Invoices!$C:$C,$A135,Supplier_Invoices!$AG:$AG,1,Supplier_Invoices!$Y:$Y,"&gt;="&amp;(SB_To-60),Supplier_Invoices!$E:$E,"&lt;="&amp;SB_To)))</f>
        <v/>
      </c>
      <c r="K135" s="43">
        <f>IF($A135="","",MAX($F135,0)-MIN(MAX($F135,0),SUMIFS(Supplier_Invoices!$AC:$AC,Supplier_Invoices!$C:$C,$A135,Supplier_Invoices!$AG:$AG,1,Supplier_Invoices!$Y:$Y,"&gt;="&amp;(SB_To-90),Supplier_Invoices!$E:$E,"&lt;="&amp;SB_To)))</f>
        <v/>
      </c>
      <c r="L135" s="33">
        <f>IF($A135="","",IF(COUNTIFS(Supplier_Payments!$C:$C,$A135,Supplier_Payments!$V:$V,1)=0,"",_xlfn.MAXIFS(Supplier_Payments!$B:$B,Supplier_Payments!$C:$C,$A135,Supplier_Payments!$V:$V,1)))</f>
        <v/>
      </c>
      <c r="M135" s="32">
        <f>IF($A135="","",IF($F135&lt;-S_Tol,"رصيد مدين للمورد - مراجعة",IF($H135+$I135+$J135+$K135&gt;S_Tol,"يوجد مبالغ متأخرة","")))</f>
        <v/>
      </c>
    </row>
    <row r="136">
      <c r="A136" s="44">
        <f>IF(INDEX(Suppliers!$A:$A,ROW()-6)="","",INDEX(Suppliers!$A:$A,ROW()-6))</f>
        <v/>
      </c>
      <c r="B136" s="32">
        <f>IF($A136="","",INDEX(Suppliers!$B:$B,ROW()-6))</f>
        <v/>
      </c>
      <c r="C136" s="47">
        <f>IF($A136="","",SUMIFS(GL_Journal!$T:$T,GL_Journal!$G:$G,ACC_SUPPLIERS,GL_Journal!$K:$K,$A136,GL_Journal!$D:$D,"&lt;"&amp;SB_From)-SUMIFS(GL_Journal!$S:$S,GL_Journal!$G:$G,ACC_SUPPLIERS,GL_Journal!$K:$K,$A136,GL_Journal!$D:$D,"&lt;"&amp;SB_From))</f>
        <v/>
      </c>
      <c r="D136" s="43">
        <f>IF($A136="","",SUMIFS(GL_Journal!$T:$T,GL_Journal!$G:$G,ACC_SUPPLIERS,GL_Journal!$K:$K,$A136,GL_Journal!$D:$D,"&gt;="&amp;SB_From,GL_Journal!$D:$D,"&lt;="&amp;SB_To))</f>
        <v/>
      </c>
      <c r="E136" s="43">
        <f>IF($A136="","",SUMIFS(GL_Journal!$S:$S,GL_Journal!$G:$G,ACC_SUPPLIERS,GL_Journal!$K:$K,$A136,GL_Journal!$D:$D,"&gt;="&amp;SB_From,GL_Journal!$D:$D,"&lt;="&amp;SB_To))</f>
        <v/>
      </c>
      <c r="F136" s="47">
        <f>IF($A136="","",$C136+$D136-$E136)</f>
        <v/>
      </c>
      <c r="G136" s="43">
        <f>IF($A136="","",MIN(MAX($F136,0),SUMIFS(Supplier_Invoices!$AC:$AC,Supplier_Invoices!$C:$C,$A136,Supplier_Invoices!$AG:$AG,1,Supplier_Invoices!$Y:$Y,"&gt;="&amp;(SB_To-0),Supplier_Invoices!$E:$E,"&lt;="&amp;SB_To)))</f>
        <v/>
      </c>
      <c r="H136" s="43">
        <f>IF($A136="","",MIN(MAX($F136,0),SUMIFS(Supplier_Invoices!$AC:$AC,Supplier_Invoices!$C:$C,$A136,Supplier_Invoices!$AG:$AG,1,Supplier_Invoices!$Y:$Y,"&gt;="&amp;(SB_To-30),Supplier_Invoices!$E:$E,"&lt;="&amp;SB_To))-MIN(MAX($F136,0),SUMIFS(Supplier_Invoices!$AC:$AC,Supplier_Invoices!$C:$C,$A136,Supplier_Invoices!$AG:$AG,1,Supplier_Invoices!$Y:$Y,"&gt;="&amp;(SB_To-0),Supplier_Invoices!$E:$E,"&lt;="&amp;SB_To)))</f>
        <v/>
      </c>
      <c r="I136" s="43">
        <f>IF($A136="","",MIN(MAX($F136,0),SUMIFS(Supplier_Invoices!$AC:$AC,Supplier_Invoices!$C:$C,$A136,Supplier_Invoices!$AG:$AG,1,Supplier_Invoices!$Y:$Y,"&gt;="&amp;(SB_To-60),Supplier_Invoices!$E:$E,"&lt;="&amp;SB_To))-MIN(MAX($F136,0),SUMIFS(Supplier_Invoices!$AC:$AC,Supplier_Invoices!$C:$C,$A136,Supplier_Invoices!$AG:$AG,1,Supplier_Invoices!$Y:$Y,"&gt;="&amp;(SB_To-30),Supplier_Invoices!$E:$E,"&lt;="&amp;SB_To)))</f>
        <v/>
      </c>
      <c r="J136" s="43">
        <f>IF($A136="","",MIN(MAX($F136,0),SUMIFS(Supplier_Invoices!$AC:$AC,Supplier_Invoices!$C:$C,$A136,Supplier_Invoices!$AG:$AG,1,Supplier_Invoices!$Y:$Y,"&gt;="&amp;(SB_To-90),Supplier_Invoices!$E:$E,"&lt;="&amp;SB_To))-MIN(MAX($F136,0),SUMIFS(Supplier_Invoices!$AC:$AC,Supplier_Invoices!$C:$C,$A136,Supplier_Invoices!$AG:$AG,1,Supplier_Invoices!$Y:$Y,"&gt;="&amp;(SB_To-60),Supplier_Invoices!$E:$E,"&lt;="&amp;SB_To)))</f>
        <v/>
      </c>
      <c r="K136" s="43">
        <f>IF($A136="","",MAX($F136,0)-MIN(MAX($F136,0),SUMIFS(Supplier_Invoices!$AC:$AC,Supplier_Invoices!$C:$C,$A136,Supplier_Invoices!$AG:$AG,1,Supplier_Invoices!$Y:$Y,"&gt;="&amp;(SB_To-90),Supplier_Invoices!$E:$E,"&lt;="&amp;SB_To)))</f>
        <v/>
      </c>
      <c r="L136" s="33">
        <f>IF($A136="","",IF(COUNTIFS(Supplier_Payments!$C:$C,$A136,Supplier_Payments!$V:$V,1)=0,"",_xlfn.MAXIFS(Supplier_Payments!$B:$B,Supplier_Payments!$C:$C,$A136,Supplier_Payments!$V:$V,1)))</f>
        <v/>
      </c>
      <c r="M136" s="32">
        <f>IF($A136="","",IF($F136&lt;-S_Tol,"رصيد مدين للمورد - مراجعة",IF($H136+$I136+$J136+$K136&gt;S_Tol,"يوجد مبالغ متأخرة","")))</f>
        <v/>
      </c>
    </row>
    <row r="137">
      <c r="A137" s="44">
        <f>IF(INDEX(Suppliers!$A:$A,ROW()-6)="","",INDEX(Suppliers!$A:$A,ROW()-6))</f>
        <v/>
      </c>
      <c r="B137" s="32">
        <f>IF($A137="","",INDEX(Suppliers!$B:$B,ROW()-6))</f>
        <v/>
      </c>
      <c r="C137" s="47">
        <f>IF($A137="","",SUMIFS(GL_Journal!$T:$T,GL_Journal!$G:$G,ACC_SUPPLIERS,GL_Journal!$K:$K,$A137,GL_Journal!$D:$D,"&lt;"&amp;SB_From)-SUMIFS(GL_Journal!$S:$S,GL_Journal!$G:$G,ACC_SUPPLIERS,GL_Journal!$K:$K,$A137,GL_Journal!$D:$D,"&lt;"&amp;SB_From))</f>
        <v/>
      </c>
      <c r="D137" s="43">
        <f>IF($A137="","",SUMIFS(GL_Journal!$T:$T,GL_Journal!$G:$G,ACC_SUPPLIERS,GL_Journal!$K:$K,$A137,GL_Journal!$D:$D,"&gt;="&amp;SB_From,GL_Journal!$D:$D,"&lt;="&amp;SB_To))</f>
        <v/>
      </c>
      <c r="E137" s="43">
        <f>IF($A137="","",SUMIFS(GL_Journal!$S:$S,GL_Journal!$G:$G,ACC_SUPPLIERS,GL_Journal!$K:$K,$A137,GL_Journal!$D:$D,"&gt;="&amp;SB_From,GL_Journal!$D:$D,"&lt;="&amp;SB_To))</f>
        <v/>
      </c>
      <c r="F137" s="47">
        <f>IF($A137="","",$C137+$D137-$E137)</f>
        <v/>
      </c>
      <c r="G137" s="43">
        <f>IF($A137="","",MIN(MAX($F137,0),SUMIFS(Supplier_Invoices!$AC:$AC,Supplier_Invoices!$C:$C,$A137,Supplier_Invoices!$AG:$AG,1,Supplier_Invoices!$Y:$Y,"&gt;="&amp;(SB_To-0),Supplier_Invoices!$E:$E,"&lt;="&amp;SB_To)))</f>
        <v/>
      </c>
      <c r="H137" s="43">
        <f>IF($A137="","",MIN(MAX($F137,0),SUMIFS(Supplier_Invoices!$AC:$AC,Supplier_Invoices!$C:$C,$A137,Supplier_Invoices!$AG:$AG,1,Supplier_Invoices!$Y:$Y,"&gt;="&amp;(SB_To-30),Supplier_Invoices!$E:$E,"&lt;="&amp;SB_To))-MIN(MAX($F137,0),SUMIFS(Supplier_Invoices!$AC:$AC,Supplier_Invoices!$C:$C,$A137,Supplier_Invoices!$AG:$AG,1,Supplier_Invoices!$Y:$Y,"&gt;="&amp;(SB_To-0),Supplier_Invoices!$E:$E,"&lt;="&amp;SB_To)))</f>
        <v/>
      </c>
      <c r="I137" s="43">
        <f>IF($A137="","",MIN(MAX($F137,0),SUMIFS(Supplier_Invoices!$AC:$AC,Supplier_Invoices!$C:$C,$A137,Supplier_Invoices!$AG:$AG,1,Supplier_Invoices!$Y:$Y,"&gt;="&amp;(SB_To-60),Supplier_Invoices!$E:$E,"&lt;="&amp;SB_To))-MIN(MAX($F137,0),SUMIFS(Supplier_Invoices!$AC:$AC,Supplier_Invoices!$C:$C,$A137,Supplier_Invoices!$AG:$AG,1,Supplier_Invoices!$Y:$Y,"&gt;="&amp;(SB_To-30),Supplier_Invoices!$E:$E,"&lt;="&amp;SB_To)))</f>
        <v/>
      </c>
      <c r="J137" s="43">
        <f>IF($A137="","",MIN(MAX($F137,0),SUMIFS(Supplier_Invoices!$AC:$AC,Supplier_Invoices!$C:$C,$A137,Supplier_Invoices!$AG:$AG,1,Supplier_Invoices!$Y:$Y,"&gt;="&amp;(SB_To-90),Supplier_Invoices!$E:$E,"&lt;="&amp;SB_To))-MIN(MAX($F137,0),SUMIFS(Supplier_Invoices!$AC:$AC,Supplier_Invoices!$C:$C,$A137,Supplier_Invoices!$AG:$AG,1,Supplier_Invoices!$Y:$Y,"&gt;="&amp;(SB_To-60),Supplier_Invoices!$E:$E,"&lt;="&amp;SB_To)))</f>
        <v/>
      </c>
      <c r="K137" s="43">
        <f>IF($A137="","",MAX($F137,0)-MIN(MAX($F137,0),SUMIFS(Supplier_Invoices!$AC:$AC,Supplier_Invoices!$C:$C,$A137,Supplier_Invoices!$AG:$AG,1,Supplier_Invoices!$Y:$Y,"&gt;="&amp;(SB_To-90),Supplier_Invoices!$E:$E,"&lt;="&amp;SB_To)))</f>
        <v/>
      </c>
      <c r="L137" s="33">
        <f>IF($A137="","",IF(COUNTIFS(Supplier_Payments!$C:$C,$A137,Supplier_Payments!$V:$V,1)=0,"",_xlfn.MAXIFS(Supplier_Payments!$B:$B,Supplier_Payments!$C:$C,$A137,Supplier_Payments!$V:$V,1)))</f>
        <v/>
      </c>
      <c r="M137" s="32">
        <f>IF($A137="","",IF($F137&lt;-S_Tol,"رصيد مدين للمورد - مراجعة",IF($H137+$I137+$J137+$K137&gt;S_Tol,"يوجد مبالغ متأخرة","")))</f>
        <v/>
      </c>
    </row>
    <row r="138">
      <c r="A138" s="44">
        <f>IF(INDEX(Suppliers!$A:$A,ROW()-6)="","",INDEX(Suppliers!$A:$A,ROW()-6))</f>
        <v/>
      </c>
      <c r="B138" s="32">
        <f>IF($A138="","",INDEX(Suppliers!$B:$B,ROW()-6))</f>
        <v/>
      </c>
      <c r="C138" s="47">
        <f>IF($A138="","",SUMIFS(GL_Journal!$T:$T,GL_Journal!$G:$G,ACC_SUPPLIERS,GL_Journal!$K:$K,$A138,GL_Journal!$D:$D,"&lt;"&amp;SB_From)-SUMIFS(GL_Journal!$S:$S,GL_Journal!$G:$G,ACC_SUPPLIERS,GL_Journal!$K:$K,$A138,GL_Journal!$D:$D,"&lt;"&amp;SB_From))</f>
        <v/>
      </c>
      <c r="D138" s="43">
        <f>IF($A138="","",SUMIFS(GL_Journal!$T:$T,GL_Journal!$G:$G,ACC_SUPPLIERS,GL_Journal!$K:$K,$A138,GL_Journal!$D:$D,"&gt;="&amp;SB_From,GL_Journal!$D:$D,"&lt;="&amp;SB_To))</f>
        <v/>
      </c>
      <c r="E138" s="43">
        <f>IF($A138="","",SUMIFS(GL_Journal!$S:$S,GL_Journal!$G:$G,ACC_SUPPLIERS,GL_Journal!$K:$K,$A138,GL_Journal!$D:$D,"&gt;="&amp;SB_From,GL_Journal!$D:$D,"&lt;="&amp;SB_To))</f>
        <v/>
      </c>
      <c r="F138" s="47">
        <f>IF($A138="","",$C138+$D138-$E138)</f>
        <v/>
      </c>
      <c r="G138" s="43">
        <f>IF($A138="","",MIN(MAX($F138,0),SUMIFS(Supplier_Invoices!$AC:$AC,Supplier_Invoices!$C:$C,$A138,Supplier_Invoices!$AG:$AG,1,Supplier_Invoices!$Y:$Y,"&gt;="&amp;(SB_To-0),Supplier_Invoices!$E:$E,"&lt;="&amp;SB_To)))</f>
        <v/>
      </c>
      <c r="H138" s="43">
        <f>IF($A138="","",MIN(MAX($F138,0),SUMIFS(Supplier_Invoices!$AC:$AC,Supplier_Invoices!$C:$C,$A138,Supplier_Invoices!$AG:$AG,1,Supplier_Invoices!$Y:$Y,"&gt;="&amp;(SB_To-30),Supplier_Invoices!$E:$E,"&lt;="&amp;SB_To))-MIN(MAX($F138,0),SUMIFS(Supplier_Invoices!$AC:$AC,Supplier_Invoices!$C:$C,$A138,Supplier_Invoices!$AG:$AG,1,Supplier_Invoices!$Y:$Y,"&gt;="&amp;(SB_To-0),Supplier_Invoices!$E:$E,"&lt;="&amp;SB_To)))</f>
        <v/>
      </c>
      <c r="I138" s="43">
        <f>IF($A138="","",MIN(MAX($F138,0),SUMIFS(Supplier_Invoices!$AC:$AC,Supplier_Invoices!$C:$C,$A138,Supplier_Invoices!$AG:$AG,1,Supplier_Invoices!$Y:$Y,"&gt;="&amp;(SB_To-60),Supplier_Invoices!$E:$E,"&lt;="&amp;SB_To))-MIN(MAX($F138,0),SUMIFS(Supplier_Invoices!$AC:$AC,Supplier_Invoices!$C:$C,$A138,Supplier_Invoices!$AG:$AG,1,Supplier_Invoices!$Y:$Y,"&gt;="&amp;(SB_To-30),Supplier_Invoices!$E:$E,"&lt;="&amp;SB_To)))</f>
        <v/>
      </c>
      <c r="J138" s="43">
        <f>IF($A138="","",MIN(MAX($F138,0),SUMIFS(Supplier_Invoices!$AC:$AC,Supplier_Invoices!$C:$C,$A138,Supplier_Invoices!$AG:$AG,1,Supplier_Invoices!$Y:$Y,"&gt;="&amp;(SB_To-90),Supplier_Invoices!$E:$E,"&lt;="&amp;SB_To))-MIN(MAX($F138,0),SUMIFS(Supplier_Invoices!$AC:$AC,Supplier_Invoices!$C:$C,$A138,Supplier_Invoices!$AG:$AG,1,Supplier_Invoices!$Y:$Y,"&gt;="&amp;(SB_To-60),Supplier_Invoices!$E:$E,"&lt;="&amp;SB_To)))</f>
        <v/>
      </c>
      <c r="K138" s="43">
        <f>IF($A138="","",MAX($F138,0)-MIN(MAX($F138,0),SUMIFS(Supplier_Invoices!$AC:$AC,Supplier_Invoices!$C:$C,$A138,Supplier_Invoices!$AG:$AG,1,Supplier_Invoices!$Y:$Y,"&gt;="&amp;(SB_To-90),Supplier_Invoices!$E:$E,"&lt;="&amp;SB_To)))</f>
        <v/>
      </c>
      <c r="L138" s="33">
        <f>IF($A138="","",IF(COUNTIFS(Supplier_Payments!$C:$C,$A138,Supplier_Payments!$V:$V,1)=0,"",_xlfn.MAXIFS(Supplier_Payments!$B:$B,Supplier_Payments!$C:$C,$A138,Supplier_Payments!$V:$V,1)))</f>
        <v/>
      </c>
      <c r="M138" s="32">
        <f>IF($A138="","",IF($F138&lt;-S_Tol,"رصيد مدين للمورد - مراجعة",IF($H138+$I138+$J138+$K138&gt;S_Tol,"يوجد مبالغ متأخرة","")))</f>
        <v/>
      </c>
    </row>
    <row r="139">
      <c r="A139" s="44">
        <f>IF(INDEX(Suppliers!$A:$A,ROW()-6)="","",INDEX(Suppliers!$A:$A,ROW()-6))</f>
        <v/>
      </c>
      <c r="B139" s="32">
        <f>IF($A139="","",INDEX(Suppliers!$B:$B,ROW()-6))</f>
        <v/>
      </c>
      <c r="C139" s="47">
        <f>IF($A139="","",SUMIFS(GL_Journal!$T:$T,GL_Journal!$G:$G,ACC_SUPPLIERS,GL_Journal!$K:$K,$A139,GL_Journal!$D:$D,"&lt;"&amp;SB_From)-SUMIFS(GL_Journal!$S:$S,GL_Journal!$G:$G,ACC_SUPPLIERS,GL_Journal!$K:$K,$A139,GL_Journal!$D:$D,"&lt;"&amp;SB_From))</f>
        <v/>
      </c>
      <c r="D139" s="43">
        <f>IF($A139="","",SUMIFS(GL_Journal!$T:$T,GL_Journal!$G:$G,ACC_SUPPLIERS,GL_Journal!$K:$K,$A139,GL_Journal!$D:$D,"&gt;="&amp;SB_From,GL_Journal!$D:$D,"&lt;="&amp;SB_To))</f>
        <v/>
      </c>
      <c r="E139" s="43">
        <f>IF($A139="","",SUMIFS(GL_Journal!$S:$S,GL_Journal!$G:$G,ACC_SUPPLIERS,GL_Journal!$K:$K,$A139,GL_Journal!$D:$D,"&gt;="&amp;SB_From,GL_Journal!$D:$D,"&lt;="&amp;SB_To))</f>
        <v/>
      </c>
      <c r="F139" s="47">
        <f>IF($A139="","",$C139+$D139-$E139)</f>
        <v/>
      </c>
      <c r="G139" s="43">
        <f>IF($A139="","",MIN(MAX($F139,0),SUMIFS(Supplier_Invoices!$AC:$AC,Supplier_Invoices!$C:$C,$A139,Supplier_Invoices!$AG:$AG,1,Supplier_Invoices!$Y:$Y,"&gt;="&amp;(SB_To-0),Supplier_Invoices!$E:$E,"&lt;="&amp;SB_To)))</f>
        <v/>
      </c>
      <c r="H139" s="43">
        <f>IF($A139="","",MIN(MAX($F139,0),SUMIFS(Supplier_Invoices!$AC:$AC,Supplier_Invoices!$C:$C,$A139,Supplier_Invoices!$AG:$AG,1,Supplier_Invoices!$Y:$Y,"&gt;="&amp;(SB_To-30),Supplier_Invoices!$E:$E,"&lt;="&amp;SB_To))-MIN(MAX($F139,0),SUMIFS(Supplier_Invoices!$AC:$AC,Supplier_Invoices!$C:$C,$A139,Supplier_Invoices!$AG:$AG,1,Supplier_Invoices!$Y:$Y,"&gt;="&amp;(SB_To-0),Supplier_Invoices!$E:$E,"&lt;="&amp;SB_To)))</f>
        <v/>
      </c>
      <c r="I139" s="43">
        <f>IF($A139="","",MIN(MAX($F139,0),SUMIFS(Supplier_Invoices!$AC:$AC,Supplier_Invoices!$C:$C,$A139,Supplier_Invoices!$AG:$AG,1,Supplier_Invoices!$Y:$Y,"&gt;="&amp;(SB_To-60),Supplier_Invoices!$E:$E,"&lt;="&amp;SB_To))-MIN(MAX($F139,0),SUMIFS(Supplier_Invoices!$AC:$AC,Supplier_Invoices!$C:$C,$A139,Supplier_Invoices!$AG:$AG,1,Supplier_Invoices!$Y:$Y,"&gt;="&amp;(SB_To-30),Supplier_Invoices!$E:$E,"&lt;="&amp;SB_To)))</f>
        <v/>
      </c>
      <c r="J139" s="43">
        <f>IF($A139="","",MIN(MAX($F139,0),SUMIFS(Supplier_Invoices!$AC:$AC,Supplier_Invoices!$C:$C,$A139,Supplier_Invoices!$AG:$AG,1,Supplier_Invoices!$Y:$Y,"&gt;="&amp;(SB_To-90),Supplier_Invoices!$E:$E,"&lt;="&amp;SB_To))-MIN(MAX($F139,0),SUMIFS(Supplier_Invoices!$AC:$AC,Supplier_Invoices!$C:$C,$A139,Supplier_Invoices!$AG:$AG,1,Supplier_Invoices!$Y:$Y,"&gt;="&amp;(SB_To-60),Supplier_Invoices!$E:$E,"&lt;="&amp;SB_To)))</f>
        <v/>
      </c>
      <c r="K139" s="43">
        <f>IF($A139="","",MAX($F139,0)-MIN(MAX($F139,0),SUMIFS(Supplier_Invoices!$AC:$AC,Supplier_Invoices!$C:$C,$A139,Supplier_Invoices!$AG:$AG,1,Supplier_Invoices!$Y:$Y,"&gt;="&amp;(SB_To-90),Supplier_Invoices!$E:$E,"&lt;="&amp;SB_To)))</f>
        <v/>
      </c>
      <c r="L139" s="33">
        <f>IF($A139="","",IF(COUNTIFS(Supplier_Payments!$C:$C,$A139,Supplier_Payments!$V:$V,1)=0,"",_xlfn.MAXIFS(Supplier_Payments!$B:$B,Supplier_Payments!$C:$C,$A139,Supplier_Payments!$V:$V,1)))</f>
        <v/>
      </c>
      <c r="M139" s="32">
        <f>IF($A139="","",IF($F139&lt;-S_Tol,"رصيد مدين للمورد - مراجعة",IF($H139+$I139+$J139+$K139&gt;S_Tol,"يوجد مبالغ متأخرة","")))</f>
        <v/>
      </c>
    </row>
    <row r="140">
      <c r="A140" s="44">
        <f>IF(INDEX(Suppliers!$A:$A,ROW()-6)="","",INDEX(Suppliers!$A:$A,ROW()-6))</f>
        <v/>
      </c>
      <c r="B140" s="32">
        <f>IF($A140="","",INDEX(Suppliers!$B:$B,ROW()-6))</f>
        <v/>
      </c>
      <c r="C140" s="47">
        <f>IF($A140="","",SUMIFS(GL_Journal!$T:$T,GL_Journal!$G:$G,ACC_SUPPLIERS,GL_Journal!$K:$K,$A140,GL_Journal!$D:$D,"&lt;"&amp;SB_From)-SUMIFS(GL_Journal!$S:$S,GL_Journal!$G:$G,ACC_SUPPLIERS,GL_Journal!$K:$K,$A140,GL_Journal!$D:$D,"&lt;"&amp;SB_From))</f>
        <v/>
      </c>
      <c r="D140" s="43">
        <f>IF($A140="","",SUMIFS(GL_Journal!$T:$T,GL_Journal!$G:$G,ACC_SUPPLIERS,GL_Journal!$K:$K,$A140,GL_Journal!$D:$D,"&gt;="&amp;SB_From,GL_Journal!$D:$D,"&lt;="&amp;SB_To))</f>
        <v/>
      </c>
      <c r="E140" s="43">
        <f>IF($A140="","",SUMIFS(GL_Journal!$S:$S,GL_Journal!$G:$G,ACC_SUPPLIERS,GL_Journal!$K:$K,$A140,GL_Journal!$D:$D,"&gt;="&amp;SB_From,GL_Journal!$D:$D,"&lt;="&amp;SB_To))</f>
        <v/>
      </c>
      <c r="F140" s="47">
        <f>IF($A140="","",$C140+$D140-$E140)</f>
        <v/>
      </c>
      <c r="G140" s="43">
        <f>IF($A140="","",MIN(MAX($F140,0),SUMIFS(Supplier_Invoices!$AC:$AC,Supplier_Invoices!$C:$C,$A140,Supplier_Invoices!$AG:$AG,1,Supplier_Invoices!$Y:$Y,"&gt;="&amp;(SB_To-0),Supplier_Invoices!$E:$E,"&lt;="&amp;SB_To)))</f>
        <v/>
      </c>
      <c r="H140" s="43">
        <f>IF($A140="","",MIN(MAX($F140,0),SUMIFS(Supplier_Invoices!$AC:$AC,Supplier_Invoices!$C:$C,$A140,Supplier_Invoices!$AG:$AG,1,Supplier_Invoices!$Y:$Y,"&gt;="&amp;(SB_To-30),Supplier_Invoices!$E:$E,"&lt;="&amp;SB_To))-MIN(MAX($F140,0),SUMIFS(Supplier_Invoices!$AC:$AC,Supplier_Invoices!$C:$C,$A140,Supplier_Invoices!$AG:$AG,1,Supplier_Invoices!$Y:$Y,"&gt;="&amp;(SB_To-0),Supplier_Invoices!$E:$E,"&lt;="&amp;SB_To)))</f>
        <v/>
      </c>
      <c r="I140" s="43">
        <f>IF($A140="","",MIN(MAX($F140,0),SUMIFS(Supplier_Invoices!$AC:$AC,Supplier_Invoices!$C:$C,$A140,Supplier_Invoices!$AG:$AG,1,Supplier_Invoices!$Y:$Y,"&gt;="&amp;(SB_To-60),Supplier_Invoices!$E:$E,"&lt;="&amp;SB_To))-MIN(MAX($F140,0),SUMIFS(Supplier_Invoices!$AC:$AC,Supplier_Invoices!$C:$C,$A140,Supplier_Invoices!$AG:$AG,1,Supplier_Invoices!$Y:$Y,"&gt;="&amp;(SB_To-30),Supplier_Invoices!$E:$E,"&lt;="&amp;SB_To)))</f>
        <v/>
      </c>
      <c r="J140" s="43">
        <f>IF($A140="","",MIN(MAX($F140,0),SUMIFS(Supplier_Invoices!$AC:$AC,Supplier_Invoices!$C:$C,$A140,Supplier_Invoices!$AG:$AG,1,Supplier_Invoices!$Y:$Y,"&gt;="&amp;(SB_To-90),Supplier_Invoices!$E:$E,"&lt;="&amp;SB_To))-MIN(MAX($F140,0),SUMIFS(Supplier_Invoices!$AC:$AC,Supplier_Invoices!$C:$C,$A140,Supplier_Invoices!$AG:$AG,1,Supplier_Invoices!$Y:$Y,"&gt;="&amp;(SB_To-60),Supplier_Invoices!$E:$E,"&lt;="&amp;SB_To)))</f>
        <v/>
      </c>
      <c r="K140" s="43">
        <f>IF($A140="","",MAX($F140,0)-MIN(MAX($F140,0),SUMIFS(Supplier_Invoices!$AC:$AC,Supplier_Invoices!$C:$C,$A140,Supplier_Invoices!$AG:$AG,1,Supplier_Invoices!$Y:$Y,"&gt;="&amp;(SB_To-90),Supplier_Invoices!$E:$E,"&lt;="&amp;SB_To)))</f>
        <v/>
      </c>
      <c r="L140" s="33">
        <f>IF($A140="","",IF(COUNTIFS(Supplier_Payments!$C:$C,$A140,Supplier_Payments!$V:$V,1)=0,"",_xlfn.MAXIFS(Supplier_Payments!$B:$B,Supplier_Payments!$C:$C,$A140,Supplier_Payments!$V:$V,1)))</f>
        <v/>
      </c>
      <c r="M140" s="32">
        <f>IF($A140="","",IF($F140&lt;-S_Tol,"رصيد مدين للمورد - مراجعة",IF($H140+$I140+$J140+$K140&gt;S_Tol,"يوجد مبالغ متأخرة","")))</f>
        <v/>
      </c>
    </row>
    <row r="141">
      <c r="A141" s="44">
        <f>IF(INDEX(Suppliers!$A:$A,ROW()-6)="","",INDEX(Suppliers!$A:$A,ROW()-6))</f>
        <v/>
      </c>
      <c r="B141" s="32">
        <f>IF($A141="","",INDEX(Suppliers!$B:$B,ROW()-6))</f>
        <v/>
      </c>
      <c r="C141" s="47">
        <f>IF($A141="","",SUMIFS(GL_Journal!$T:$T,GL_Journal!$G:$G,ACC_SUPPLIERS,GL_Journal!$K:$K,$A141,GL_Journal!$D:$D,"&lt;"&amp;SB_From)-SUMIFS(GL_Journal!$S:$S,GL_Journal!$G:$G,ACC_SUPPLIERS,GL_Journal!$K:$K,$A141,GL_Journal!$D:$D,"&lt;"&amp;SB_From))</f>
        <v/>
      </c>
      <c r="D141" s="43">
        <f>IF($A141="","",SUMIFS(GL_Journal!$T:$T,GL_Journal!$G:$G,ACC_SUPPLIERS,GL_Journal!$K:$K,$A141,GL_Journal!$D:$D,"&gt;="&amp;SB_From,GL_Journal!$D:$D,"&lt;="&amp;SB_To))</f>
        <v/>
      </c>
      <c r="E141" s="43">
        <f>IF($A141="","",SUMIFS(GL_Journal!$S:$S,GL_Journal!$G:$G,ACC_SUPPLIERS,GL_Journal!$K:$K,$A141,GL_Journal!$D:$D,"&gt;="&amp;SB_From,GL_Journal!$D:$D,"&lt;="&amp;SB_To))</f>
        <v/>
      </c>
      <c r="F141" s="47">
        <f>IF($A141="","",$C141+$D141-$E141)</f>
        <v/>
      </c>
      <c r="G141" s="43">
        <f>IF($A141="","",MIN(MAX($F141,0),SUMIFS(Supplier_Invoices!$AC:$AC,Supplier_Invoices!$C:$C,$A141,Supplier_Invoices!$AG:$AG,1,Supplier_Invoices!$Y:$Y,"&gt;="&amp;(SB_To-0),Supplier_Invoices!$E:$E,"&lt;="&amp;SB_To)))</f>
        <v/>
      </c>
      <c r="H141" s="43">
        <f>IF($A141="","",MIN(MAX($F141,0),SUMIFS(Supplier_Invoices!$AC:$AC,Supplier_Invoices!$C:$C,$A141,Supplier_Invoices!$AG:$AG,1,Supplier_Invoices!$Y:$Y,"&gt;="&amp;(SB_To-30),Supplier_Invoices!$E:$E,"&lt;="&amp;SB_To))-MIN(MAX($F141,0),SUMIFS(Supplier_Invoices!$AC:$AC,Supplier_Invoices!$C:$C,$A141,Supplier_Invoices!$AG:$AG,1,Supplier_Invoices!$Y:$Y,"&gt;="&amp;(SB_To-0),Supplier_Invoices!$E:$E,"&lt;="&amp;SB_To)))</f>
        <v/>
      </c>
      <c r="I141" s="43">
        <f>IF($A141="","",MIN(MAX($F141,0),SUMIFS(Supplier_Invoices!$AC:$AC,Supplier_Invoices!$C:$C,$A141,Supplier_Invoices!$AG:$AG,1,Supplier_Invoices!$Y:$Y,"&gt;="&amp;(SB_To-60),Supplier_Invoices!$E:$E,"&lt;="&amp;SB_To))-MIN(MAX($F141,0),SUMIFS(Supplier_Invoices!$AC:$AC,Supplier_Invoices!$C:$C,$A141,Supplier_Invoices!$AG:$AG,1,Supplier_Invoices!$Y:$Y,"&gt;="&amp;(SB_To-30),Supplier_Invoices!$E:$E,"&lt;="&amp;SB_To)))</f>
        <v/>
      </c>
      <c r="J141" s="43">
        <f>IF($A141="","",MIN(MAX($F141,0),SUMIFS(Supplier_Invoices!$AC:$AC,Supplier_Invoices!$C:$C,$A141,Supplier_Invoices!$AG:$AG,1,Supplier_Invoices!$Y:$Y,"&gt;="&amp;(SB_To-90),Supplier_Invoices!$E:$E,"&lt;="&amp;SB_To))-MIN(MAX($F141,0),SUMIFS(Supplier_Invoices!$AC:$AC,Supplier_Invoices!$C:$C,$A141,Supplier_Invoices!$AG:$AG,1,Supplier_Invoices!$Y:$Y,"&gt;="&amp;(SB_To-60),Supplier_Invoices!$E:$E,"&lt;="&amp;SB_To)))</f>
        <v/>
      </c>
      <c r="K141" s="43">
        <f>IF($A141="","",MAX($F141,0)-MIN(MAX($F141,0),SUMIFS(Supplier_Invoices!$AC:$AC,Supplier_Invoices!$C:$C,$A141,Supplier_Invoices!$AG:$AG,1,Supplier_Invoices!$Y:$Y,"&gt;="&amp;(SB_To-90),Supplier_Invoices!$E:$E,"&lt;="&amp;SB_To)))</f>
        <v/>
      </c>
      <c r="L141" s="33">
        <f>IF($A141="","",IF(COUNTIFS(Supplier_Payments!$C:$C,$A141,Supplier_Payments!$V:$V,1)=0,"",_xlfn.MAXIFS(Supplier_Payments!$B:$B,Supplier_Payments!$C:$C,$A141,Supplier_Payments!$V:$V,1)))</f>
        <v/>
      </c>
      <c r="M141" s="32">
        <f>IF($A141="","",IF($F141&lt;-S_Tol,"رصيد مدين للمورد - مراجعة",IF($H141+$I141+$J141+$K141&gt;S_Tol,"يوجد مبالغ متأخرة","")))</f>
        <v/>
      </c>
    </row>
    <row r="142">
      <c r="A142" s="44">
        <f>IF(INDEX(Suppliers!$A:$A,ROW()-6)="","",INDEX(Suppliers!$A:$A,ROW()-6))</f>
        <v/>
      </c>
      <c r="B142" s="32">
        <f>IF($A142="","",INDEX(Suppliers!$B:$B,ROW()-6))</f>
        <v/>
      </c>
      <c r="C142" s="47">
        <f>IF($A142="","",SUMIFS(GL_Journal!$T:$T,GL_Journal!$G:$G,ACC_SUPPLIERS,GL_Journal!$K:$K,$A142,GL_Journal!$D:$D,"&lt;"&amp;SB_From)-SUMIFS(GL_Journal!$S:$S,GL_Journal!$G:$G,ACC_SUPPLIERS,GL_Journal!$K:$K,$A142,GL_Journal!$D:$D,"&lt;"&amp;SB_From))</f>
        <v/>
      </c>
      <c r="D142" s="43">
        <f>IF($A142="","",SUMIFS(GL_Journal!$T:$T,GL_Journal!$G:$G,ACC_SUPPLIERS,GL_Journal!$K:$K,$A142,GL_Journal!$D:$D,"&gt;="&amp;SB_From,GL_Journal!$D:$D,"&lt;="&amp;SB_To))</f>
        <v/>
      </c>
      <c r="E142" s="43">
        <f>IF($A142="","",SUMIFS(GL_Journal!$S:$S,GL_Journal!$G:$G,ACC_SUPPLIERS,GL_Journal!$K:$K,$A142,GL_Journal!$D:$D,"&gt;="&amp;SB_From,GL_Journal!$D:$D,"&lt;="&amp;SB_To))</f>
        <v/>
      </c>
      <c r="F142" s="47">
        <f>IF($A142="","",$C142+$D142-$E142)</f>
        <v/>
      </c>
      <c r="G142" s="43">
        <f>IF($A142="","",MIN(MAX($F142,0),SUMIFS(Supplier_Invoices!$AC:$AC,Supplier_Invoices!$C:$C,$A142,Supplier_Invoices!$AG:$AG,1,Supplier_Invoices!$Y:$Y,"&gt;="&amp;(SB_To-0),Supplier_Invoices!$E:$E,"&lt;="&amp;SB_To)))</f>
        <v/>
      </c>
      <c r="H142" s="43">
        <f>IF($A142="","",MIN(MAX($F142,0),SUMIFS(Supplier_Invoices!$AC:$AC,Supplier_Invoices!$C:$C,$A142,Supplier_Invoices!$AG:$AG,1,Supplier_Invoices!$Y:$Y,"&gt;="&amp;(SB_To-30),Supplier_Invoices!$E:$E,"&lt;="&amp;SB_To))-MIN(MAX($F142,0),SUMIFS(Supplier_Invoices!$AC:$AC,Supplier_Invoices!$C:$C,$A142,Supplier_Invoices!$AG:$AG,1,Supplier_Invoices!$Y:$Y,"&gt;="&amp;(SB_To-0),Supplier_Invoices!$E:$E,"&lt;="&amp;SB_To)))</f>
        <v/>
      </c>
      <c r="I142" s="43">
        <f>IF($A142="","",MIN(MAX($F142,0),SUMIFS(Supplier_Invoices!$AC:$AC,Supplier_Invoices!$C:$C,$A142,Supplier_Invoices!$AG:$AG,1,Supplier_Invoices!$Y:$Y,"&gt;="&amp;(SB_To-60),Supplier_Invoices!$E:$E,"&lt;="&amp;SB_To))-MIN(MAX($F142,0),SUMIFS(Supplier_Invoices!$AC:$AC,Supplier_Invoices!$C:$C,$A142,Supplier_Invoices!$AG:$AG,1,Supplier_Invoices!$Y:$Y,"&gt;="&amp;(SB_To-30),Supplier_Invoices!$E:$E,"&lt;="&amp;SB_To)))</f>
        <v/>
      </c>
      <c r="J142" s="43">
        <f>IF($A142="","",MIN(MAX($F142,0),SUMIFS(Supplier_Invoices!$AC:$AC,Supplier_Invoices!$C:$C,$A142,Supplier_Invoices!$AG:$AG,1,Supplier_Invoices!$Y:$Y,"&gt;="&amp;(SB_To-90),Supplier_Invoices!$E:$E,"&lt;="&amp;SB_To))-MIN(MAX($F142,0),SUMIFS(Supplier_Invoices!$AC:$AC,Supplier_Invoices!$C:$C,$A142,Supplier_Invoices!$AG:$AG,1,Supplier_Invoices!$Y:$Y,"&gt;="&amp;(SB_To-60),Supplier_Invoices!$E:$E,"&lt;="&amp;SB_To)))</f>
        <v/>
      </c>
      <c r="K142" s="43">
        <f>IF($A142="","",MAX($F142,0)-MIN(MAX($F142,0),SUMIFS(Supplier_Invoices!$AC:$AC,Supplier_Invoices!$C:$C,$A142,Supplier_Invoices!$AG:$AG,1,Supplier_Invoices!$Y:$Y,"&gt;="&amp;(SB_To-90),Supplier_Invoices!$E:$E,"&lt;="&amp;SB_To)))</f>
        <v/>
      </c>
      <c r="L142" s="33">
        <f>IF($A142="","",IF(COUNTIFS(Supplier_Payments!$C:$C,$A142,Supplier_Payments!$V:$V,1)=0,"",_xlfn.MAXIFS(Supplier_Payments!$B:$B,Supplier_Payments!$C:$C,$A142,Supplier_Payments!$V:$V,1)))</f>
        <v/>
      </c>
      <c r="M142" s="32">
        <f>IF($A142="","",IF($F142&lt;-S_Tol,"رصيد مدين للمورد - مراجعة",IF($H142+$I142+$J142+$K142&gt;S_Tol,"يوجد مبالغ متأخرة","")))</f>
        <v/>
      </c>
    </row>
    <row r="143">
      <c r="A143" s="44">
        <f>IF(INDEX(Suppliers!$A:$A,ROW()-6)="","",INDEX(Suppliers!$A:$A,ROW()-6))</f>
        <v/>
      </c>
      <c r="B143" s="32">
        <f>IF($A143="","",INDEX(Suppliers!$B:$B,ROW()-6))</f>
        <v/>
      </c>
      <c r="C143" s="47">
        <f>IF($A143="","",SUMIFS(GL_Journal!$T:$T,GL_Journal!$G:$G,ACC_SUPPLIERS,GL_Journal!$K:$K,$A143,GL_Journal!$D:$D,"&lt;"&amp;SB_From)-SUMIFS(GL_Journal!$S:$S,GL_Journal!$G:$G,ACC_SUPPLIERS,GL_Journal!$K:$K,$A143,GL_Journal!$D:$D,"&lt;"&amp;SB_From))</f>
        <v/>
      </c>
      <c r="D143" s="43">
        <f>IF($A143="","",SUMIFS(GL_Journal!$T:$T,GL_Journal!$G:$G,ACC_SUPPLIERS,GL_Journal!$K:$K,$A143,GL_Journal!$D:$D,"&gt;="&amp;SB_From,GL_Journal!$D:$D,"&lt;="&amp;SB_To))</f>
        <v/>
      </c>
      <c r="E143" s="43">
        <f>IF($A143="","",SUMIFS(GL_Journal!$S:$S,GL_Journal!$G:$G,ACC_SUPPLIERS,GL_Journal!$K:$K,$A143,GL_Journal!$D:$D,"&gt;="&amp;SB_From,GL_Journal!$D:$D,"&lt;="&amp;SB_To))</f>
        <v/>
      </c>
      <c r="F143" s="47">
        <f>IF($A143="","",$C143+$D143-$E143)</f>
        <v/>
      </c>
      <c r="G143" s="43">
        <f>IF($A143="","",MIN(MAX($F143,0),SUMIFS(Supplier_Invoices!$AC:$AC,Supplier_Invoices!$C:$C,$A143,Supplier_Invoices!$AG:$AG,1,Supplier_Invoices!$Y:$Y,"&gt;="&amp;(SB_To-0),Supplier_Invoices!$E:$E,"&lt;="&amp;SB_To)))</f>
        <v/>
      </c>
      <c r="H143" s="43">
        <f>IF($A143="","",MIN(MAX($F143,0),SUMIFS(Supplier_Invoices!$AC:$AC,Supplier_Invoices!$C:$C,$A143,Supplier_Invoices!$AG:$AG,1,Supplier_Invoices!$Y:$Y,"&gt;="&amp;(SB_To-30),Supplier_Invoices!$E:$E,"&lt;="&amp;SB_To))-MIN(MAX($F143,0),SUMIFS(Supplier_Invoices!$AC:$AC,Supplier_Invoices!$C:$C,$A143,Supplier_Invoices!$AG:$AG,1,Supplier_Invoices!$Y:$Y,"&gt;="&amp;(SB_To-0),Supplier_Invoices!$E:$E,"&lt;="&amp;SB_To)))</f>
        <v/>
      </c>
      <c r="I143" s="43">
        <f>IF($A143="","",MIN(MAX($F143,0),SUMIFS(Supplier_Invoices!$AC:$AC,Supplier_Invoices!$C:$C,$A143,Supplier_Invoices!$AG:$AG,1,Supplier_Invoices!$Y:$Y,"&gt;="&amp;(SB_To-60),Supplier_Invoices!$E:$E,"&lt;="&amp;SB_To))-MIN(MAX($F143,0),SUMIFS(Supplier_Invoices!$AC:$AC,Supplier_Invoices!$C:$C,$A143,Supplier_Invoices!$AG:$AG,1,Supplier_Invoices!$Y:$Y,"&gt;="&amp;(SB_To-30),Supplier_Invoices!$E:$E,"&lt;="&amp;SB_To)))</f>
        <v/>
      </c>
      <c r="J143" s="43">
        <f>IF($A143="","",MIN(MAX($F143,0),SUMIFS(Supplier_Invoices!$AC:$AC,Supplier_Invoices!$C:$C,$A143,Supplier_Invoices!$AG:$AG,1,Supplier_Invoices!$Y:$Y,"&gt;="&amp;(SB_To-90),Supplier_Invoices!$E:$E,"&lt;="&amp;SB_To))-MIN(MAX($F143,0),SUMIFS(Supplier_Invoices!$AC:$AC,Supplier_Invoices!$C:$C,$A143,Supplier_Invoices!$AG:$AG,1,Supplier_Invoices!$Y:$Y,"&gt;="&amp;(SB_To-60),Supplier_Invoices!$E:$E,"&lt;="&amp;SB_To)))</f>
        <v/>
      </c>
      <c r="K143" s="43">
        <f>IF($A143="","",MAX($F143,0)-MIN(MAX($F143,0),SUMIFS(Supplier_Invoices!$AC:$AC,Supplier_Invoices!$C:$C,$A143,Supplier_Invoices!$AG:$AG,1,Supplier_Invoices!$Y:$Y,"&gt;="&amp;(SB_To-90),Supplier_Invoices!$E:$E,"&lt;="&amp;SB_To)))</f>
        <v/>
      </c>
      <c r="L143" s="33">
        <f>IF($A143="","",IF(COUNTIFS(Supplier_Payments!$C:$C,$A143,Supplier_Payments!$V:$V,1)=0,"",_xlfn.MAXIFS(Supplier_Payments!$B:$B,Supplier_Payments!$C:$C,$A143,Supplier_Payments!$V:$V,1)))</f>
        <v/>
      </c>
      <c r="M143" s="32">
        <f>IF($A143="","",IF($F143&lt;-S_Tol,"رصيد مدين للمورد - مراجعة",IF($H143+$I143+$J143+$K143&gt;S_Tol,"يوجد مبالغ متأخرة","")))</f>
        <v/>
      </c>
    </row>
    <row r="144">
      <c r="A144" s="44">
        <f>IF(INDEX(Suppliers!$A:$A,ROW()-6)="","",INDEX(Suppliers!$A:$A,ROW()-6))</f>
        <v/>
      </c>
      <c r="B144" s="32">
        <f>IF($A144="","",INDEX(Suppliers!$B:$B,ROW()-6))</f>
        <v/>
      </c>
      <c r="C144" s="47">
        <f>IF($A144="","",SUMIFS(GL_Journal!$T:$T,GL_Journal!$G:$G,ACC_SUPPLIERS,GL_Journal!$K:$K,$A144,GL_Journal!$D:$D,"&lt;"&amp;SB_From)-SUMIFS(GL_Journal!$S:$S,GL_Journal!$G:$G,ACC_SUPPLIERS,GL_Journal!$K:$K,$A144,GL_Journal!$D:$D,"&lt;"&amp;SB_From))</f>
        <v/>
      </c>
      <c r="D144" s="43">
        <f>IF($A144="","",SUMIFS(GL_Journal!$T:$T,GL_Journal!$G:$G,ACC_SUPPLIERS,GL_Journal!$K:$K,$A144,GL_Journal!$D:$D,"&gt;="&amp;SB_From,GL_Journal!$D:$D,"&lt;="&amp;SB_To))</f>
        <v/>
      </c>
      <c r="E144" s="43">
        <f>IF($A144="","",SUMIFS(GL_Journal!$S:$S,GL_Journal!$G:$G,ACC_SUPPLIERS,GL_Journal!$K:$K,$A144,GL_Journal!$D:$D,"&gt;="&amp;SB_From,GL_Journal!$D:$D,"&lt;="&amp;SB_To))</f>
        <v/>
      </c>
      <c r="F144" s="47">
        <f>IF($A144="","",$C144+$D144-$E144)</f>
        <v/>
      </c>
      <c r="G144" s="43">
        <f>IF($A144="","",MIN(MAX($F144,0),SUMIFS(Supplier_Invoices!$AC:$AC,Supplier_Invoices!$C:$C,$A144,Supplier_Invoices!$AG:$AG,1,Supplier_Invoices!$Y:$Y,"&gt;="&amp;(SB_To-0),Supplier_Invoices!$E:$E,"&lt;="&amp;SB_To)))</f>
        <v/>
      </c>
      <c r="H144" s="43">
        <f>IF($A144="","",MIN(MAX($F144,0),SUMIFS(Supplier_Invoices!$AC:$AC,Supplier_Invoices!$C:$C,$A144,Supplier_Invoices!$AG:$AG,1,Supplier_Invoices!$Y:$Y,"&gt;="&amp;(SB_To-30),Supplier_Invoices!$E:$E,"&lt;="&amp;SB_To))-MIN(MAX($F144,0),SUMIFS(Supplier_Invoices!$AC:$AC,Supplier_Invoices!$C:$C,$A144,Supplier_Invoices!$AG:$AG,1,Supplier_Invoices!$Y:$Y,"&gt;="&amp;(SB_To-0),Supplier_Invoices!$E:$E,"&lt;="&amp;SB_To)))</f>
        <v/>
      </c>
      <c r="I144" s="43">
        <f>IF($A144="","",MIN(MAX($F144,0),SUMIFS(Supplier_Invoices!$AC:$AC,Supplier_Invoices!$C:$C,$A144,Supplier_Invoices!$AG:$AG,1,Supplier_Invoices!$Y:$Y,"&gt;="&amp;(SB_To-60),Supplier_Invoices!$E:$E,"&lt;="&amp;SB_To))-MIN(MAX($F144,0),SUMIFS(Supplier_Invoices!$AC:$AC,Supplier_Invoices!$C:$C,$A144,Supplier_Invoices!$AG:$AG,1,Supplier_Invoices!$Y:$Y,"&gt;="&amp;(SB_To-30),Supplier_Invoices!$E:$E,"&lt;="&amp;SB_To)))</f>
        <v/>
      </c>
      <c r="J144" s="43">
        <f>IF($A144="","",MIN(MAX($F144,0),SUMIFS(Supplier_Invoices!$AC:$AC,Supplier_Invoices!$C:$C,$A144,Supplier_Invoices!$AG:$AG,1,Supplier_Invoices!$Y:$Y,"&gt;="&amp;(SB_To-90),Supplier_Invoices!$E:$E,"&lt;="&amp;SB_To))-MIN(MAX($F144,0),SUMIFS(Supplier_Invoices!$AC:$AC,Supplier_Invoices!$C:$C,$A144,Supplier_Invoices!$AG:$AG,1,Supplier_Invoices!$Y:$Y,"&gt;="&amp;(SB_To-60),Supplier_Invoices!$E:$E,"&lt;="&amp;SB_To)))</f>
        <v/>
      </c>
      <c r="K144" s="43">
        <f>IF($A144="","",MAX($F144,0)-MIN(MAX($F144,0),SUMIFS(Supplier_Invoices!$AC:$AC,Supplier_Invoices!$C:$C,$A144,Supplier_Invoices!$AG:$AG,1,Supplier_Invoices!$Y:$Y,"&gt;="&amp;(SB_To-90),Supplier_Invoices!$E:$E,"&lt;="&amp;SB_To)))</f>
        <v/>
      </c>
      <c r="L144" s="33">
        <f>IF($A144="","",IF(COUNTIFS(Supplier_Payments!$C:$C,$A144,Supplier_Payments!$V:$V,1)=0,"",_xlfn.MAXIFS(Supplier_Payments!$B:$B,Supplier_Payments!$C:$C,$A144,Supplier_Payments!$V:$V,1)))</f>
        <v/>
      </c>
      <c r="M144" s="32">
        <f>IF($A144="","",IF($F144&lt;-S_Tol,"رصيد مدين للمورد - مراجعة",IF($H144+$I144+$J144+$K144&gt;S_Tol,"يوجد مبالغ متأخرة","")))</f>
        <v/>
      </c>
    </row>
    <row r="145">
      <c r="A145" s="44">
        <f>IF(INDEX(Suppliers!$A:$A,ROW()-6)="","",INDEX(Suppliers!$A:$A,ROW()-6))</f>
        <v/>
      </c>
      <c r="B145" s="32">
        <f>IF($A145="","",INDEX(Suppliers!$B:$B,ROW()-6))</f>
        <v/>
      </c>
      <c r="C145" s="47">
        <f>IF($A145="","",SUMIFS(GL_Journal!$T:$T,GL_Journal!$G:$G,ACC_SUPPLIERS,GL_Journal!$K:$K,$A145,GL_Journal!$D:$D,"&lt;"&amp;SB_From)-SUMIFS(GL_Journal!$S:$S,GL_Journal!$G:$G,ACC_SUPPLIERS,GL_Journal!$K:$K,$A145,GL_Journal!$D:$D,"&lt;"&amp;SB_From))</f>
        <v/>
      </c>
      <c r="D145" s="43">
        <f>IF($A145="","",SUMIFS(GL_Journal!$T:$T,GL_Journal!$G:$G,ACC_SUPPLIERS,GL_Journal!$K:$K,$A145,GL_Journal!$D:$D,"&gt;="&amp;SB_From,GL_Journal!$D:$D,"&lt;="&amp;SB_To))</f>
        <v/>
      </c>
      <c r="E145" s="43">
        <f>IF($A145="","",SUMIFS(GL_Journal!$S:$S,GL_Journal!$G:$G,ACC_SUPPLIERS,GL_Journal!$K:$K,$A145,GL_Journal!$D:$D,"&gt;="&amp;SB_From,GL_Journal!$D:$D,"&lt;="&amp;SB_To))</f>
        <v/>
      </c>
      <c r="F145" s="47">
        <f>IF($A145="","",$C145+$D145-$E145)</f>
        <v/>
      </c>
      <c r="G145" s="43">
        <f>IF($A145="","",MIN(MAX($F145,0),SUMIFS(Supplier_Invoices!$AC:$AC,Supplier_Invoices!$C:$C,$A145,Supplier_Invoices!$AG:$AG,1,Supplier_Invoices!$Y:$Y,"&gt;="&amp;(SB_To-0),Supplier_Invoices!$E:$E,"&lt;="&amp;SB_To)))</f>
        <v/>
      </c>
      <c r="H145" s="43">
        <f>IF($A145="","",MIN(MAX($F145,0),SUMIFS(Supplier_Invoices!$AC:$AC,Supplier_Invoices!$C:$C,$A145,Supplier_Invoices!$AG:$AG,1,Supplier_Invoices!$Y:$Y,"&gt;="&amp;(SB_To-30),Supplier_Invoices!$E:$E,"&lt;="&amp;SB_To))-MIN(MAX($F145,0),SUMIFS(Supplier_Invoices!$AC:$AC,Supplier_Invoices!$C:$C,$A145,Supplier_Invoices!$AG:$AG,1,Supplier_Invoices!$Y:$Y,"&gt;="&amp;(SB_To-0),Supplier_Invoices!$E:$E,"&lt;="&amp;SB_To)))</f>
        <v/>
      </c>
      <c r="I145" s="43">
        <f>IF($A145="","",MIN(MAX($F145,0),SUMIFS(Supplier_Invoices!$AC:$AC,Supplier_Invoices!$C:$C,$A145,Supplier_Invoices!$AG:$AG,1,Supplier_Invoices!$Y:$Y,"&gt;="&amp;(SB_To-60),Supplier_Invoices!$E:$E,"&lt;="&amp;SB_To))-MIN(MAX($F145,0),SUMIFS(Supplier_Invoices!$AC:$AC,Supplier_Invoices!$C:$C,$A145,Supplier_Invoices!$AG:$AG,1,Supplier_Invoices!$Y:$Y,"&gt;="&amp;(SB_To-30),Supplier_Invoices!$E:$E,"&lt;="&amp;SB_To)))</f>
        <v/>
      </c>
      <c r="J145" s="43">
        <f>IF($A145="","",MIN(MAX($F145,0),SUMIFS(Supplier_Invoices!$AC:$AC,Supplier_Invoices!$C:$C,$A145,Supplier_Invoices!$AG:$AG,1,Supplier_Invoices!$Y:$Y,"&gt;="&amp;(SB_To-90),Supplier_Invoices!$E:$E,"&lt;="&amp;SB_To))-MIN(MAX($F145,0),SUMIFS(Supplier_Invoices!$AC:$AC,Supplier_Invoices!$C:$C,$A145,Supplier_Invoices!$AG:$AG,1,Supplier_Invoices!$Y:$Y,"&gt;="&amp;(SB_To-60),Supplier_Invoices!$E:$E,"&lt;="&amp;SB_To)))</f>
        <v/>
      </c>
      <c r="K145" s="43">
        <f>IF($A145="","",MAX($F145,0)-MIN(MAX($F145,0),SUMIFS(Supplier_Invoices!$AC:$AC,Supplier_Invoices!$C:$C,$A145,Supplier_Invoices!$AG:$AG,1,Supplier_Invoices!$Y:$Y,"&gt;="&amp;(SB_To-90),Supplier_Invoices!$E:$E,"&lt;="&amp;SB_To)))</f>
        <v/>
      </c>
      <c r="L145" s="33">
        <f>IF($A145="","",IF(COUNTIFS(Supplier_Payments!$C:$C,$A145,Supplier_Payments!$V:$V,1)=0,"",_xlfn.MAXIFS(Supplier_Payments!$B:$B,Supplier_Payments!$C:$C,$A145,Supplier_Payments!$V:$V,1)))</f>
        <v/>
      </c>
      <c r="M145" s="32">
        <f>IF($A145="","",IF($F145&lt;-S_Tol,"رصيد مدين للمورد - مراجعة",IF($H145+$I145+$J145+$K145&gt;S_Tol,"يوجد مبالغ متأخرة","")))</f>
        <v/>
      </c>
    </row>
    <row r="146">
      <c r="A146" s="44">
        <f>IF(INDEX(Suppliers!$A:$A,ROW()-6)="","",INDEX(Suppliers!$A:$A,ROW()-6))</f>
        <v/>
      </c>
      <c r="B146" s="32">
        <f>IF($A146="","",INDEX(Suppliers!$B:$B,ROW()-6))</f>
        <v/>
      </c>
      <c r="C146" s="47">
        <f>IF($A146="","",SUMIFS(GL_Journal!$T:$T,GL_Journal!$G:$G,ACC_SUPPLIERS,GL_Journal!$K:$K,$A146,GL_Journal!$D:$D,"&lt;"&amp;SB_From)-SUMIFS(GL_Journal!$S:$S,GL_Journal!$G:$G,ACC_SUPPLIERS,GL_Journal!$K:$K,$A146,GL_Journal!$D:$D,"&lt;"&amp;SB_From))</f>
        <v/>
      </c>
      <c r="D146" s="43">
        <f>IF($A146="","",SUMIFS(GL_Journal!$T:$T,GL_Journal!$G:$G,ACC_SUPPLIERS,GL_Journal!$K:$K,$A146,GL_Journal!$D:$D,"&gt;="&amp;SB_From,GL_Journal!$D:$D,"&lt;="&amp;SB_To))</f>
        <v/>
      </c>
      <c r="E146" s="43">
        <f>IF($A146="","",SUMIFS(GL_Journal!$S:$S,GL_Journal!$G:$G,ACC_SUPPLIERS,GL_Journal!$K:$K,$A146,GL_Journal!$D:$D,"&gt;="&amp;SB_From,GL_Journal!$D:$D,"&lt;="&amp;SB_To))</f>
        <v/>
      </c>
      <c r="F146" s="47">
        <f>IF($A146="","",$C146+$D146-$E146)</f>
        <v/>
      </c>
      <c r="G146" s="43">
        <f>IF($A146="","",MIN(MAX($F146,0),SUMIFS(Supplier_Invoices!$AC:$AC,Supplier_Invoices!$C:$C,$A146,Supplier_Invoices!$AG:$AG,1,Supplier_Invoices!$Y:$Y,"&gt;="&amp;(SB_To-0),Supplier_Invoices!$E:$E,"&lt;="&amp;SB_To)))</f>
        <v/>
      </c>
      <c r="H146" s="43">
        <f>IF($A146="","",MIN(MAX($F146,0),SUMIFS(Supplier_Invoices!$AC:$AC,Supplier_Invoices!$C:$C,$A146,Supplier_Invoices!$AG:$AG,1,Supplier_Invoices!$Y:$Y,"&gt;="&amp;(SB_To-30),Supplier_Invoices!$E:$E,"&lt;="&amp;SB_To))-MIN(MAX($F146,0),SUMIFS(Supplier_Invoices!$AC:$AC,Supplier_Invoices!$C:$C,$A146,Supplier_Invoices!$AG:$AG,1,Supplier_Invoices!$Y:$Y,"&gt;="&amp;(SB_To-0),Supplier_Invoices!$E:$E,"&lt;="&amp;SB_To)))</f>
        <v/>
      </c>
      <c r="I146" s="43">
        <f>IF($A146="","",MIN(MAX($F146,0),SUMIFS(Supplier_Invoices!$AC:$AC,Supplier_Invoices!$C:$C,$A146,Supplier_Invoices!$AG:$AG,1,Supplier_Invoices!$Y:$Y,"&gt;="&amp;(SB_To-60),Supplier_Invoices!$E:$E,"&lt;="&amp;SB_To))-MIN(MAX($F146,0),SUMIFS(Supplier_Invoices!$AC:$AC,Supplier_Invoices!$C:$C,$A146,Supplier_Invoices!$AG:$AG,1,Supplier_Invoices!$Y:$Y,"&gt;="&amp;(SB_To-30),Supplier_Invoices!$E:$E,"&lt;="&amp;SB_To)))</f>
        <v/>
      </c>
      <c r="J146" s="43">
        <f>IF($A146="","",MIN(MAX($F146,0),SUMIFS(Supplier_Invoices!$AC:$AC,Supplier_Invoices!$C:$C,$A146,Supplier_Invoices!$AG:$AG,1,Supplier_Invoices!$Y:$Y,"&gt;="&amp;(SB_To-90),Supplier_Invoices!$E:$E,"&lt;="&amp;SB_To))-MIN(MAX($F146,0),SUMIFS(Supplier_Invoices!$AC:$AC,Supplier_Invoices!$C:$C,$A146,Supplier_Invoices!$AG:$AG,1,Supplier_Invoices!$Y:$Y,"&gt;="&amp;(SB_To-60),Supplier_Invoices!$E:$E,"&lt;="&amp;SB_To)))</f>
        <v/>
      </c>
      <c r="K146" s="43">
        <f>IF($A146="","",MAX($F146,0)-MIN(MAX($F146,0),SUMIFS(Supplier_Invoices!$AC:$AC,Supplier_Invoices!$C:$C,$A146,Supplier_Invoices!$AG:$AG,1,Supplier_Invoices!$Y:$Y,"&gt;="&amp;(SB_To-90),Supplier_Invoices!$E:$E,"&lt;="&amp;SB_To)))</f>
        <v/>
      </c>
      <c r="L146" s="33">
        <f>IF($A146="","",IF(COUNTIFS(Supplier_Payments!$C:$C,$A146,Supplier_Payments!$V:$V,1)=0,"",_xlfn.MAXIFS(Supplier_Payments!$B:$B,Supplier_Payments!$C:$C,$A146,Supplier_Payments!$V:$V,1)))</f>
        <v/>
      </c>
      <c r="M146" s="32">
        <f>IF($A146="","",IF($F146&lt;-S_Tol,"رصيد مدين للمورد - مراجعة",IF($H146+$I146+$J146+$K146&gt;S_Tol,"يوجد مبالغ متأخرة","")))</f>
        <v/>
      </c>
    </row>
    <row r="147">
      <c r="A147" s="44">
        <f>IF(INDEX(Suppliers!$A:$A,ROW()-6)="","",INDEX(Suppliers!$A:$A,ROW()-6))</f>
        <v/>
      </c>
      <c r="B147" s="32">
        <f>IF($A147="","",INDEX(Suppliers!$B:$B,ROW()-6))</f>
        <v/>
      </c>
      <c r="C147" s="47">
        <f>IF($A147="","",SUMIFS(GL_Journal!$T:$T,GL_Journal!$G:$G,ACC_SUPPLIERS,GL_Journal!$K:$K,$A147,GL_Journal!$D:$D,"&lt;"&amp;SB_From)-SUMIFS(GL_Journal!$S:$S,GL_Journal!$G:$G,ACC_SUPPLIERS,GL_Journal!$K:$K,$A147,GL_Journal!$D:$D,"&lt;"&amp;SB_From))</f>
        <v/>
      </c>
      <c r="D147" s="43">
        <f>IF($A147="","",SUMIFS(GL_Journal!$T:$T,GL_Journal!$G:$G,ACC_SUPPLIERS,GL_Journal!$K:$K,$A147,GL_Journal!$D:$D,"&gt;="&amp;SB_From,GL_Journal!$D:$D,"&lt;="&amp;SB_To))</f>
        <v/>
      </c>
      <c r="E147" s="43">
        <f>IF($A147="","",SUMIFS(GL_Journal!$S:$S,GL_Journal!$G:$G,ACC_SUPPLIERS,GL_Journal!$K:$K,$A147,GL_Journal!$D:$D,"&gt;="&amp;SB_From,GL_Journal!$D:$D,"&lt;="&amp;SB_To))</f>
        <v/>
      </c>
      <c r="F147" s="47">
        <f>IF($A147="","",$C147+$D147-$E147)</f>
        <v/>
      </c>
      <c r="G147" s="43">
        <f>IF($A147="","",MIN(MAX($F147,0),SUMIFS(Supplier_Invoices!$AC:$AC,Supplier_Invoices!$C:$C,$A147,Supplier_Invoices!$AG:$AG,1,Supplier_Invoices!$Y:$Y,"&gt;="&amp;(SB_To-0),Supplier_Invoices!$E:$E,"&lt;="&amp;SB_To)))</f>
        <v/>
      </c>
      <c r="H147" s="43">
        <f>IF($A147="","",MIN(MAX($F147,0),SUMIFS(Supplier_Invoices!$AC:$AC,Supplier_Invoices!$C:$C,$A147,Supplier_Invoices!$AG:$AG,1,Supplier_Invoices!$Y:$Y,"&gt;="&amp;(SB_To-30),Supplier_Invoices!$E:$E,"&lt;="&amp;SB_To))-MIN(MAX($F147,0),SUMIFS(Supplier_Invoices!$AC:$AC,Supplier_Invoices!$C:$C,$A147,Supplier_Invoices!$AG:$AG,1,Supplier_Invoices!$Y:$Y,"&gt;="&amp;(SB_To-0),Supplier_Invoices!$E:$E,"&lt;="&amp;SB_To)))</f>
        <v/>
      </c>
      <c r="I147" s="43">
        <f>IF($A147="","",MIN(MAX($F147,0),SUMIFS(Supplier_Invoices!$AC:$AC,Supplier_Invoices!$C:$C,$A147,Supplier_Invoices!$AG:$AG,1,Supplier_Invoices!$Y:$Y,"&gt;="&amp;(SB_To-60),Supplier_Invoices!$E:$E,"&lt;="&amp;SB_To))-MIN(MAX($F147,0),SUMIFS(Supplier_Invoices!$AC:$AC,Supplier_Invoices!$C:$C,$A147,Supplier_Invoices!$AG:$AG,1,Supplier_Invoices!$Y:$Y,"&gt;="&amp;(SB_To-30),Supplier_Invoices!$E:$E,"&lt;="&amp;SB_To)))</f>
        <v/>
      </c>
      <c r="J147" s="43">
        <f>IF($A147="","",MIN(MAX($F147,0),SUMIFS(Supplier_Invoices!$AC:$AC,Supplier_Invoices!$C:$C,$A147,Supplier_Invoices!$AG:$AG,1,Supplier_Invoices!$Y:$Y,"&gt;="&amp;(SB_To-90),Supplier_Invoices!$E:$E,"&lt;="&amp;SB_To))-MIN(MAX($F147,0),SUMIFS(Supplier_Invoices!$AC:$AC,Supplier_Invoices!$C:$C,$A147,Supplier_Invoices!$AG:$AG,1,Supplier_Invoices!$Y:$Y,"&gt;="&amp;(SB_To-60),Supplier_Invoices!$E:$E,"&lt;="&amp;SB_To)))</f>
        <v/>
      </c>
      <c r="K147" s="43">
        <f>IF($A147="","",MAX($F147,0)-MIN(MAX($F147,0),SUMIFS(Supplier_Invoices!$AC:$AC,Supplier_Invoices!$C:$C,$A147,Supplier_Invoices!$AG:$AG,1,Supplier_Invoices!$Y:$Y,"&gt;="&amp;(SB_To-90),Supplier_Invoices!$E:$E,"&lt;="&amp;SB_To)))</f>
        <v/>
      </c>
      <c r="L147" s="33">
        <f>IF($A147="","",IF(COUNTIFS(Supplier_Payments!$C:$C,$A147,Supplier_Payments!$V:$V,1)=0,"",_xlfn.MAXIFS(Supplier_Payments!$B:$B,Supplier_Payments!$C:$C,$A147,Supplier_Payments!$V:$V,1)))</f>
        <v/>
      </c>
      <c r="M147" s="32">
        <f>IF($A147="","",IF($F147&lt;-S_Tol,"رصيد مدين للمورد - مراجعة",IF($H147+$I147+$J147+$K147&gt;S_Tol,"يوجد مبالغ متأخرة","")))</f>
        <v/>
      </c>
    </row>
    <row r="148">
      <c r="A148" s="44">
        <f>IF(INDEX(Suppliers!$A:$A,ROW()-6)="","",INDEX(Suppliers!$A:$A,ROW()-6))</f>
        <v/>
      </c>
      <c r="B148" s="32">
        <f>IF($A148="","",INDEX(Suppliers!$B:$B,ROW()-6))</f>
        <v/>
      </c>
      <c r="C148" s="47">
        <f>IF($A148="","",SUMIFS(GL_Journal!$T:$T,GL_Journal!$G:$G,ACC_SUPPLIERS,GL_Journal!$K:$K,$A148,GL_Journal!$D:$D,"&lt;"&amp;SB_From)-SUMIFS(GL_Journal!$S:$S,GL_Journal!$G:$G,ACC_SUPPLIERS,GL_Journal!$K:$K,$A148,GL_Journal!$D:$D,"&lt;"&amp;SB_From))</f>
        <v/>
      </c>
      <c r="D148" s="43">
        <f>IF($A148="","",SUMIFS(GL_Journal!$T:$T,GL_Journal!$G:$G,ACC_SUPPLIERS,GL_Journal!$K:$K,$A148,GL_Journal!$D:$D,"&gt;="&amp;SB_From,GL_Journal!$D:$D,"&lt;="&amp;SB_To))</f>
        <v/>
      </c>
      <c r="E148" s="43">
        <f>IF($A148="","",SUMIFS(GL_Journal!$S:$S,GL_Journal!$G:$G,ACC_SUPPLIERS,GL_Journal!$K:$K,$A148,GL_Journal!$D:$D,"&gt;="&amp;SB_From,GL_Journal!$D:$D,"&lt;="&amp;SB_To))</f>
        <v/>
      </c>
      <c r="F148" s="47">
        <f>IF($A148="","",$C148+$D148-$E148)</f>
        <v/>
      </c>
      <c r="G148" s="43">
        <f>IF($A148="","",MIN(MAX($F148,0),SUMIFS(Supplier_Invoices!$AC:$AC,Supplier_Invoices!$C:$C,$A148,Supplier_Invoices!$AG:$AG,1,Supplier_Invoices!$Y:$Y,"&gt;="&amp;(SB_To-0),Supplier_Invoices!$E:$E,"&lt;="&amp;SB_To)))</f>
        <v/>
      </c>
      <c r="H148" s="43">
        <f>IF($A148="","",MIN(MAX($F148,0),SUMIFS(Supplier_Invoices!$AC:$AC,Supplier_Invoices!$C:$C,$A148,Supplier_Invoices!$AG:$AG,1,Supplier_Invoices!$Y:$Y,"&gt;="&amp;(SB_To-30),Supplier_Invoices!$E:$E,"&lt;="&amp;SB_To))-MIN(MAX($F148,0),SUMIFS(Supplier_Invoices!$AC:$AC,Supplier_Invoices!$C:$C,$A148,Supplier_Invoices!$AG:$AG,1,Supplier_Invoices!$Y:$Y,"&gt;="&amp;(SB_To-0),Supplier_Invoices!$E:$E,"&lt;="&amp;SB_To)))</f>
        <v/>
      </c>
      <c r="I148" s="43">
        <f>IF($A148="","",MIN(MAX($F148,0),SUMIFS(Supplier_Invoices!$AC:$AC,Supplier_Invoices!$C:$C,$A148,Supplier_Invoices!$AG:$AG,1,Supplier_Invoices!$Y:$Y,"&gt;="&amp;(SB_To-60),Supplier_Invoices!$E:$E,"&lt;="&amp;SB_To))-MIN(MAX($F148,0),SUMIFS(Supplier_Invoices!$AC:$AC,Supplier_Invoices!$C:$C,$A148,Supplier_Invoices!$AG:$AG,1,Supplier_Invoices!$Y:$Y,"&gt;="&amp;(SB_To-30),Supplier_Invoices!$E:$E,"&lt;="&amp;SB_To)))</f>
        <v/>
      </c>
      <c r="J148" s="43">
        <f>IF($A148="","",MIN(MAX($F148,0),SUMIFS(Supplier_Invoices!$AC:$AC,Supplier_Invoices!$C:$C,$A148,Supplier_Invoices!$AG:$AG,1,Supplier_Invoices!$Y:$Y,"&gt;="&amp;(SB_To-90),Supplier_Invoices!$E:$E,"&lt;="&amp;SB_To))-MIN(MAX($F148,0),SUMIFS(Supplier_Invoices!$AC:$AC,Supplier_Invoices!$C:$C,$A148,Supplier_Invoices!$AG:$AG,1,Supplier_Invoices!$Y:$Y,"&gt;="&amp;(SB_To-60),Supplier_Invoices!$E:$E,"&lt;="&amp;SB_To)))</f>
        <v/>
      </c>
      <c r="K148" s="43">
        <f>IF($A148="","",MAX($F148,0)-MIN(MAX($F148,0),SUMIFS(Supplier_Invoices!$AC:$AC,Supplier_Invoices!$C:$C,$A148,Supplier_Invoices!$AG:$AG,1,Supplier_Invoices!$Y:$Y,"&gt;="&amp;(SB_To-90),Supplier_Invoices!$E:$E,"&lt;="&amp;SB_To)))</f>
        <v/>
      </c>
      <c r="L148" s="33">
        <f>IF($A148="","",IF(COUNTIFS(Supplier_Payments!$C:$C,$A148,Supplier_Payments!$V:$V,1)=0,"",_xlfn.MAXIFS(Supplier_Payments!$B:$B,Supplier_Payments!$C:$C,$A148,Supplier_Payments!$V:$V,1)))</f>
        <v/>
      </c>
      <c r="M148" s="32">
        <f>IF($A148="","",IF($F148&lt;-S_Tol,"رصيد مدين للمورد - مراجعة",IF($H148+$I148+$J148+$K148&gt;S_Tol,"يوجد مبالغ متأخرة","")))</f>
        <v/>
      </c>
    </row>
    <row r="149">
      <c r="A149" s="44">
        <f>IF(INDEX(Suppliers!$A:$A,ROW()-6)="","",INDEX(Suppliers!$A:$A,ROW()-6))</f>
        <v/>
      </c>
      <c r="B149" s="32">
        <f>IF($A149="","",INDEX(Suppliers!$B:$B,ROW()-6))</f>
        <v/>
      </c>
      <c r="C149" s="47">
        <f>IF($A149="","",SUMIFS(GL_Journal!$T:$T,GL_Journal!$G:$G,ACC_SUPPLIERS,GL_Journal!$K:$K,$A149,GL_Journal!$D:$D,"&lt;"&amp;SB_From)-SUMIFS(GL_Journal!$S:$S,GL_Journal!$G:$G,ACC_SUPPLIERS,GL_Journal!$K:$K,$A149,GL_Journal!$D:$D,"&lt;"&amp;SB_From))</f>
        <v/>
      </c>
      <c r="D149" s="43">
        <f>IF($A149="","",SUMIFS(GL_Journal!$T:$T,GL_Journal!$G:$G,ACC_SUPPLIERS,GL_Journal!$K:$K,$A149,GL_Journal!$D:$D,"&gt;="&amp;SB_From,GL_Journal!$D:$D,"&lt;="&amp;SB_To))</f>
        <v/>
      </c>
      <c r="E149" s="43">
        <f>IF($A149="","",SUMIFS(GL_Journal!$S:$S,GL_Journal!$G:$G,ACC_SUPPLIERS,GL_Journal!$K:$K,$A149,GL_Journal!$D:$D,"&gt;="&amp;SB_From,GL_Journal!$D:$D,"&lt;="&amp;SB_To))</f>
        <v/>
      </c>
      <c r="F149" s="47">
        <f>IF($A149="","",$C149+$D149-$E149)</f>
        <v/>
      </c>
      <c r="G149" s="43">
        <f>IF($A149="","",MIN(MAX($F149,0),SUMIFS(Supplier_Invoices!$AC:$AC,Supplier_Invoices!$C:$C,$A149,Supplier_Invoices!$AG:$AG,1,Supplier_Invoices!$Y:$Y,"&gt;="&amp;(SB_To-0),Supplier_Invoices!$E:$E,"&lt;="&amp;SB_To)))</f>
        <v/>
      </c>
      <c r="H149" s="43">
        <f>IF($A149="","",MIN(MAX($F149,0),SUMIFS(Supplier_Invoices!$AC:$AC,Supplier_Invoices!$C:$C,$A149,Supplier_Invoices!$AG:$AG,1,Supplier_Invoices!$Y:$Y,"&gt;="&amp;(SB_To-30),Supplier_Invoices!$E:$E,"&lt;="&amp;SB_To))-MIN(MAX($F149,0),SUMIFS(Supplier_Invoices!$AC:$AC,Supplier_Invoices!$C:$C,$A149,Supplier_Invoices!$AG:$AG,1,Supplier_Invoices!$Y:$Y,"&gt;="&amp;(SB_To-0),Supplier_Invoices!$E:$E,"&lt;="&amp;SB_To)))</f>
        <v/>
      </c>
      <c r="I149" s="43">
        <f>IF($A149="","",MIN(MAX($F149,0),SUMIFS(Supplier_Invoices!$AC:$AC,Supplier_Invoices!$C:$C,$A149,Supplier_Invoices!$AG:$AG,1,Supplier_Invoices!$Y:$Y,"&gt;="&amp;(SB_To-60),Supplier_Invoices!$E:$E,"&lt;="&amp;SB_To))-MIN(MAX($F149,0),SUMIFS(Supplier_Invoices!$AC:$AC,Supplier_Invoices!$C:$C,$A149,Supplier_Invoices!$AG:$AG,1,Supplier_Invoices!$Y:$Y,"&gt;="&amp;(SB_To-30),Supplier_Invoices!$E:$E,"&lt;="&amp;SB_To)))</f>
        <v/>
      </c>
      <c r="J149" s="43">
        <f>IF($A149="","",MIN(MAX($F149,0),SUMIFS(Supplier_Invoices!$AC:$AC,Supplier_Invoices!$C:$C,$A149,Supplier_Invoices!$AG:$AG,1,Supplier_Invoices!$Y:$Y,"&gt;="&amp;(SB_To-90),Supplier_Invoices!$E:$E,"&lt;="&amp;SB_To))-MIN(MAX($F149,0),SUMIFS(Supplier_Invoices!$AC:$AC,Supplier_Invoices!$C:$C,$A149,Supplier_Invoices!$AG:$AG,1,Supplier_Invoices!$Y:$Y,"&gt;="&amp;(SB_To-60),Supplier_Invoices!$E:$E,"&lt;="&amp;SB_To)))</f>
        <v/>
      </c>
      <c r="K149" s="43">
        <f>IF($A149="","",MAX($F149,0)-MIN(MAX($F149,0),SUMIFS(Supplier_Invoices!$AC:$AC,Supplier_Invoices!$C:$C,$A149,Supplier_Invoices!$AG:$AG,1,Supplier_Invoices!$Y:$Y,"&gt;="&amp;(SB_To-90),Supplier_Invoices!$E:$E,"&lt;="&amp;SB_To)))</f>
        <v/>
      </c>
      <c r="L149" s="33">
        <f>IF($A149="","",IF(COUNTIFS(Supplier_Payments!$C:$C,$A149,Supplier_Payments!$V:$V,1)=0,"",_xlfn.MAXIFS(Supplier_Payments!$B:$B,Supplier_Payments!$C:$C,$A149,Supplier_Payments!$V:$V,1)))</f>
        <v/>
      </c>
      <c r="M149" s="32">
        <f>IF($A149="","",IF($F149&lt;-S_Tol,"رصيد مدين للمورد - مراجعة",IF($H149+$I149+$J149+$K149&gt;S_Tol,"يوجد مبالغ متأخرة","")))</f>
        <v/>
      </c>
    </row>
    <row r="150">
      <c r="A150" s="44">
        <f>IF(INDEX(Suppliers!$A:$A,ROW()-6)="","",INDEX(Suppliers!$A:$A,ROW()-6))</f>
        <v/>
      </c>
      <c r="B150" s="32">
        <f>IF($A150="","",INDEX(Suppliers!$B:$B,ROW()-6))</f>
        <v/>
      </c>
      <c r="C150" s="47">
        <f>IF($A150="","",SUMIFS(GL_Journal!$T:$T,GL_Journal!$G:$G,ACC_SUPPLIERS,GL_Journal!$K:$K,$A150,GL_Journal!$D:$D,"&lt;"&amp;SB_From)-SUMIFS(GL_Journal!$S:$S,GL_Journal!$G:$G,ACC_SUPPLIERS,GL_Journal!$K:$K,$A150,GL_Journal!$D:$D,"&lt;"&amp;SB_From))</f>
        <v/>
      </c>
      <c r="D150" s="43">
        <f>IF($A150="","",SUMIFS(GL_Journal!$T:$T,GL_Journal!$G:$G,ACC_SUPPLIERS,GL_Journal!$K:$K,$A150,GL_Journal!$D:$D,"&gt;="&amp;SB_From,GL_Journal!$D:$D,"&lt;="&amp;SB_To))</f>
        <v/>
      </c>
      <c r="E150" s="43">
        <f>IF($A150="","",SUMIFS(GL_Journal!$S:$S,GL_Journal!$G:$G,ACC_SUPPLIERS,GL_Journal!$K:$K,$A150,GL_Journal!$D:$D,"&gt;="&amp;SB_From,GL_Journal!$D:$D,"&lt;="&amp;SB_To))</f>
        <v/>
      </c>
      <c r="F150" s="47">
        <f>IF($A150="","",$C150+$D150-$E150)</f>
        <v/>
      </c>
      <c r="G150" s="43">
        <f>IF($A150="","",MIN(MAX($F150,0),SUMIFS(Supplier_Invoices!$AC:$AC,Supplier_Invoices!$C:$C,$A150,Supplier_Invoices!$AG:$AG,1,Supplier_Invoices!$Y:$Y,"&gt;="&amp;(SB_To-0),Supplier_Invoices!$E:$E,"&lt;="&amp;SB_To)))</f>
        <v/>
      </c>
      <c r="H150" s="43">
        <f>IF($A150="","",MIN(MAX($F150,0),SUMIFS(Supplier_Invoices!$AC:$AC,Supplier_Invoices!$C:$C,$A150,Supplier_Invoices!$AG:$AG,1,Supplier_Invoices!$Y:$Y,"&gt;="&amp;(SB_To-30),Supplier_Invoices!$E:$E,"&lt;="&amp;SB_To))-MIN(MAX($F150,0),SUMIFS(Supplier_Invoices!$AC:$AC,Supplier_Invoices!$C:$C,$A150,Supplier_Invoices!$AG:$AG,1,Supplier_Invoices!$Y:$Y,"&gt;="&amp;(SB_To-0),Supplier_Invoices!$E:$E,"&lt;="&amp;SB_To)))</f>
        <v/>
      </c>
      <c r="I150" s="43">
        <f>IF($A150="","",MIN(MAX($F150,0),SUMIFS(Supplier_Invoices!$AC:$AC,Supplier_Invoices!$C:$C,$A150,Supplier_Invoices!$AG:$AG,1,Supplier_Invoices!$Y:$Y,"&gt;="&amp;(SB_To-60),Supplier_Invoices!$E:$E,"&lt;="&amp;SB_To))-MIN(MAX($F150,0),SUMIFS(Supplier_Invoices!$AC:$AC,Supplier_Invoices!$C:$C,$A150,Supplier_Invoices!$AG:$AG,1,Supplier_Invoices!$Y:$Y,"&gt;="&amp;(SB_To-30),Supplier_Invoices!$E:$E,"&lt;="&amp;SB_To)))</f>
        <v/>
      </c>
      <c r="J150" s="43">
        <f>IF($A150="","",MIN(MAX($F150,0),SUMIFS(Supplier_Invoices!$AC:$AC,Supplier_Invoices!$C:$C,$A150,Supplier_Invoices!$AG:$AG,1,Supplier_Invoices!$Y:$Y,"&gt;="&amp;(SB_To-90),Supplier_Invoices!$E:$E,"&lt;="&amp;SB_To))-MIN(MAX($F150,0),SUMIFS(Supplier_Invoices!$AC:$AC,Supplier_Invoices!$C:$C,$A150,Supplier_Invoices!$AG:$AG,1,Supplier_Invoices!$Y:$Y,"&gt;="&amp;(SB_To-60),Supplier_Invoices!$E:$E,"&lt;="&amp;SB_To)))</f>
        <v/>
      </c>
      <c r="K150" s="43">
        <f>IF($A150="","",MAX($F150,0)-MIN(MAX($F150,0),SUMIFS(Supplier_Invoices!$AC:$AC,Supplier_Invoices!$C:$C,$A150,Supplier_Invoices!$AG:$AG,1,Supplier_Invoices!$Y:$Y,"&gt;="&amp;(SB_To-90),Supplier_Invoices!$E:$E,"&lt;="&amp;SB_To)))</f>
        <v/>
      </c>
      <c r="L150" s="33">
        <f>IF($A150="","",IF(COUNTIFS(Supplier_Payments!$C:$C,$A150,Supplier_Payments!$V:$V,1)=0,"",_xlfn.MAXIFS(Supplier_Payments!$B:$B,Supplier_Payments!$C:$C,$A150,Supplier_Payments!$V:$V,1)))</f>
        <v/>
      </c>
      <c r="M150" s="32">
        <f>IF($A150="","",IF($F150&lt;-S_Tol,"رصيد مدين للمورد - مراجعة",IF($H150+$I150+$J150+$K150&gt;S_Tol,"يوجد مبالغ متأخرة","")))</f>
        <v/>
      </c>
    </row>
    <row r="151">
      <c r="A151" s="44">
        <f>IF(INDEX(Suppliers!$A:$A,ROW()-6)="","",INDEX(Suppliers!$A:$A,ROW()-6))</f>
        <v/>
      </c>
      <c r="B151" s="32">
        <f>IF($A151="","",INDEX(Suppliers!$B:$B,ROW()-6))</f>
        <v/>
      </c>
      <c r="C151" s="47">
        <f>IF($A151="","",SUMIFS(GL_Journal!$T:$T,GL_Journal!$G:$G,ACC_SUPPLIERS,GL_Journal!$K:$K,$A151,GL_Journal!$D:$D,"&lt;"&amp;SB_From)-SUMIFS(GL_Journal!$S:$S,GL_Journal!$G:$G,ACC_SUPPLIERS,GL_Journal!$K:$K,$A151,GL_Journal!$D:$D,"&lt;"&amp;SB_From))</f>
        <v/>
      </c>
      <c r="D151" s="43">
        <f>IF($A151="","",SUMIFS(GL_Journal!$T:$T,GL_Journal!$G:$G,ACC_SUPPLIERS,GL_Journal!$K:$K,$A151,GL_Journal!$D:$D,"&gt;="&amp;SB_From,GL_Journal!$D:$D,"&lt;="&amp;SB_To))</f>
        <v/>
      </c>
      <c r="E151" s="43">
        <f>IF($A151="","",SUMIFS(GL_Journal!$S:$S,GL_Journal!$G:$G,ACC_SUPPLIERS,GL_Journal!$K:$K,$A151,GL_Journal!$D:$D,"&gt;="&amp;SB_From,GL_Journal!$D:$D,"&lt;="&amp;SB_To))</f>
        <v/>
      </c>
      <c r="F151" s="47">
        <f>IF($A151="","",$C151+$D151-$E151)</f>
        <v/>
      </c>
      <c r="G151" s="43">
        <f>IF($A151="","",MIN(MAX($F151,0),SUMIFS(Supplier_Invoices!$AC:$AC,Supplier_Invoices!$C:$C,$A151,Supplier_Invoices!$AG:$AG,1,Supplier_Invoices!$Y:$Y,"&gt;="&amp;(SB_To-0),Supplier_Invoices!$E:$E,"&lt;="&amp;SB_To)))</f>
        <v/>
      </c>
      <c r="H151" s="43">
        <f>IF($A151="","",MIN(MAX($F151,0),SUMIFS(Supplier_Invoices!$AC:$AC,Supplier_Invoices!$C:$C,$A151,Supplier_Invoices!$AG:$AG,1,Supplier_Invoices!$Y:$Y,"&gt;="&amp;(SB_To-30),Supplier_Invoices!$E:$E,"&lt;="&amp;SB_To))-MIN(MAX($F151,0),SUMIFS(Supplier_Invoices!$AC:$AC,Supplier_Invoices!$C:$C,$A151,Supplier_Invoices!$AG:$AG,1,Supplier_Invoices!$Y:$Y,"&gt;="&amp;(SB_To-0),Supplier_Invoices!$E:$E,"&lt;="&amp;SB_To)))</f>
        <v/>
      </c>
      <c r="I151" s="43">
        <f>IF($A151="","",MIN(MAX($F151,0),SUMIFS(Supplier_Invoices!$AC:$AC,Supplier_Invoices!$C:$C,$A151,Supplier_Invoices!$AG:$AG,1,Supplier_Invoices!$Y:$Y,"&gt;="&amp;(SB_To-60),Supplier_Invoices!$E:$E,"&lt;="&amp;SB_To))-MIN(MAX($F151,0),SUMIFS(Supplier_Invoices!$AC:$AC,Supplier_Invoices!$C:$C,$A151,Supplier_Invoices!$AG:$AG,1,Supplier_Invoices!$Y:$Y,"&gt;="&amp;(SB_To-30),Supplier_Invoices!$E:$E,"&lt;="&amp;SB_To)))</f>
        <v/>
      </c>
      <c r="J151" s="43">
        <f>IF($A151="","",MIN(MAX($F151,0),SUMIFS(Supplier_Invoices!$AC:$AC,Supplier_Invoices!$C:$C,$A151,Supplier_Invoices!$AG:$AG,1,Supplier_Invoices!$Y:$Y,"&gt;="&amp;(SB_To-90),Supplier_Invoices!$E:$E,"&lt;="&amp;SB_To))-MIN(MAX($F151,0),SUMIFS(Supplier_Invoices!$AC:$AC,Supplier_Invoices!$C:$C,$A151,Supplier_Invoices!$AG:$AG,1,Supplier_Invoices!$Y:$Y,"&gt;="&amp;(SB_To-60),Supplier_Invoices!$E:$E,"&lt;="&amp;SB_To)))</f>
        <v/>
      </c>
      <c r="K151" s="43">
        <f>IF($A151="","",MAX($F151,0)-MIN(MAX($F151,0),SUMIFS(Supplier_Invoices!$AC:$AC,Supplier_Invoices!$C:$C,$A151,Supplier_Invoices!$AG:$AG,1,Supplier_Invoices!$Y:$Y,"&gt;="&amp;(SB_To-90),Supplier_Invoices!$E:$E,"&lt;="&amp;SB_To)))</f>
        <v/>
      </c>
      <c r="L151" s="33">
        <f>IF($A151="","",IF(COUNTIFS(Supplier_Payments!$C:$C,$A151,Supplier_Payments!$V:$V,1)=0,"",_xlfn.MAXIFS(Supplier_Payments!$B:$B,Supplier_Payments!$C:$C,$A151,Supplier_Payments!$V:$V,1)))</f>
        <v/>
      </c>
      <c r="M151" s="32">
        <f>IF($A151="","",IF($F151&lt;-S_Tol,"رصيد مدين للمورد - مراجعة",IF($H151+$I151+$J151+$K151&gt;S_Tol,"يوجد مبالغ متأخرة","")))</f>
        <v/>
      </c>
    </row>
    <row r="152">
      <c r="A152" s="44">
        <f>IF(INDEX(Suppliers!$A:$A,ROW()-6)="","",INDEX(Suppliers!$A:$A,ROW()-6))</f>
        <v/>
      </c>
      <c r="B152" s="32">
        <f>IF($A152="","",INDEX(Suppliers!$B:$B,ROW()-6))</f>
        <v/>
      </c>
      <c r="C152" s="47">
        <f>IF($A152="","",SUMIFS(GL_Journal!$T:$T,GL_Journal!$G:$G,ACC_SUPPLIERS,GL_Journal!$K:$K,$A152,GL_Journal!$D:$D,"&lt;"&amp;SB_From)-SUMIFS(GL_Journal!$S:$S,GL_Journal!$G:$G,ACC_SUPPLIERS,GL_Journal!$K:$K,$A152,GL_Journal!$D:$D,"&lt;"&amp;SB_From))</f>
        <v/>
      </c>
      <c r="D152" s="43">
        <f>IF($A152="","",SUMIFS(GL_Journal!$T:$T,GL_Journal!$G:$G,ACC_SUPPLIERS,GL_Journal!$K:$K,$A152,GL_Journal!$D:$D,"&gt;="&amp;SB_From,GL_Journal!$D:$D,"&lt;="&amp;SB_To))</f>
        <v/>
      </c>
      <c r="E152" s="43">
        <f>IF($A152="","",SUMIFS(GL_Journal!$S:$S,GL_Journal!$G:$G,ACC_SUPPLIERS,GL_Journal!$K:$K,$A152,GL_Journal!$D:$D,"&gt;="&amp;SB_From,GL_Journal!$D:$D,"&lt;="&amp;SB_To))</f>
        <v/>
      </c>
      <c r="F152" s="47">
        <f>IF($A152="","",$C152+$D152-$E152)</f>
        <v/>
      </c>
      <c r="G152" s="43">
        <f>IF($A152="","",MIN(MAX($F152,0),SUMIFS(Supplier_Invoices!$AC:$AC,Supplier_Invoices!$C:$C,$A152,Supplier_Invoices!$AG:$AG,1,Supplier_Invoices!$Y:$Y,"&gt;="&amp;(SB_To-0),Supplier_Invoices!$E:$E,"&lt;="&amp;SB_To)))</f>
        <v/>
      </c>
      <c r="H152" s="43">
        <f>IF($A152="","",MIN(MAX($F152,0),SUMIFS(Supplier_Invoices!$AC:$AC,Supplier_Invoices!$C:$C,$A152,Supplier_Invoices!$AG:$AG,1,Supplier_Invoices!$Y:$Y,"&gt;="&amp;(SB_To-30),Supplier_Invoices!$E:$E,"&lt;="&amp;SB_To))-MIN(MAX($F152,0),SUMIFS(Supplier_Invoices!$AC:$AC,Supplier_Invoices!$C:$C,$A152,Supplier_Invoices!$AG:$AG,1,Supplier_Invoices!$Y:$Y,"&gt;="&amp;(SB_To-0),Supplier_Invoices!$E:$E,"&lt;="&amp;SB_To)))</f>
        <v/>
      </c>
      <c r="I152" s="43">
        <f>IF($A152="","",MIN(MAX($F152,0),SUMIFS(Supplier_Invoices!$AC:$AC,Supplier_Invoices!$C:$C,$A152,Supplier_Invoices!$AG:$AG,1,Supplier_Invoices!$Y:$Y,"&gt;="&amp;(SB_To-60),Supplier_Invoices!$E:$E,"&lt;="&amp;SB_To))-MIN(MAX($F152,0),SUMIFS(Supplier_Invoices!$AC:$AC,Supplier_Invoices!$C:$C,$A152,Supplier_Invoices!$AG:$AG,1,Supplier_Invoices!$Y:$Y,"&gt;="&amp;(SB_To-30),Supplier_Invoices!$E:$E,"&lt;="&amp;SB_To)))</f>
        <v/>
      </c>
      <c r="J152" s="43">
        <f>IF($A152="","",MIN(MAX($F152,0),SUMIFS(Supplier_Invoices!$AC:$AC,Supplier_Invoices!$C:$C,$A152,Supplier_Invoices!$AG:$AG,1,Supplier_Invoices!$Y:$Y,"&gt;="&amp;(SB_To-90),Supplier_Invoices!$E:$E,"&lt;="&amp;SB_To))-MIN(MAX($F152,0),SUMIFS(Supplier_Invoices!$AC:$AC,Supplier_Invoices!$C:$C,$A152,Supplier_Invoices!$AG:$AG,1,Supplier_Invoices!$Y:$Y,"&gt;="&amp;(SB_To-60),Supplier_Invoices!$E:$E,"&lt;="&amp;SB_To)))</f>
        <v/>
      </c>
      <c r="K152" s="43">
        <f>IF($A152="","",MAX($F152,0)-MIN(MAX($F152,0),SUMIFS(Supplier_Invoices!$AC:$AC,Supplier_Invoices!$C:$C,$A152,Supplier_Invoices!$AG:$AG,1,Supplier_Invoices!$Y:$Y,"&gt;="&amp;(SB_To-90),Supplier_Invoices!$E:$E,"&lt;="&amp;SB_To)))</f>
        <v/>
      </c>
      <c r="L152" s="33">
        <f>IF($A152="","",IF(COUNTIFS(Supplier_Payments!$C:$C,$A152,Supplier_Payments!$V:$V,1)=0,"",_xlfn.MAXIFS(Supplier_Payments!$B:$B,Supplier_Payments!$C:$C,$A152,Supplier_Payments!$V:$V,1)))</f>
        <v/>
      </c>
      <c r="M152" s="32">
        <f>IF($A152="","",IF($F152&lt;-S_Tol,"رصيد مدين للمورد - مراجعة",IF($H152+$I152+$J152+$K152&gt;S_Tol,"يوجد مبالغ متأخرة","")))</f>
        <v/>
      </c>
    </row>
    <row r="153">
      <c r="A153" s="44">
        <f>IF(INDEX(Suppliers!$A:$A,ROW()-6)="","",INDEX(Suppliers!$A:$A,ROW()-6))</f>
        <v/>
      </c>
      <c r="B153" s="32">
        <f>IF($A153="","",INDEX(Suppliers!$B:$B,ROW()-6))</f>
        <v/>
      </c>
      <c r="C153" s="47">
        <f>IF($A153="","",SUMIFS(GL_Journal!$T:$T,GL_Journal!$G:$G,ACC_SUPPLIERS,GL_Journal!$K:$K,$A153,GL_Journal!$D:$D,"&lt;"&amp;SB_From)-SUMIFS(GL_Journal!$S:$S,GL_Journal!$G:$G,ACC_SUPPLIERS,GL_Journal!$K:$K,$A153,GL_Journal!$D:$D,"&lt;"&amp;SB_From))</f>
        <v/>
      </c>
      <c r="D153" s="43">
        <f>IF($A153="","",SUMIFS(GL_Journal!$T:$T,GL_Journal!$G:$G,ACC_SUPPLIERS,GL_Journal!$K:$K,$A153,GL_Journal!$D:$D,"&gt;="&amp;SB_From,GL_Journal!$D:$D,"&lt;="&amp;SB_To))</f>
        <v/>
      </c>
      <c r="E153" s="43">
        <f>IF($A153="","",SUMIFS(GL_Journal!$S:$S,GL_Journal!$G:$G,ACC_SUPPLIERS,GL_Journal!$K:$K,$A153,GL_Journal!$D:$D,"&gt;="&amp;SB_From,GL_Journal!$D:$D,"&lt;="&amp;SB_To))</f>
        <v/>
      </c>
      <c r="F153" s="47">
        <f>IF($A153="","",$C153+$D153-$E153)</f>
        <v/>
      </c>
      <c r="G153" s="43">
        <f>IF($A153="","",MIN(MAX($F153,0),SUMIFS(Supplier_Invoices!$AC:$AC,Supplier_Invoices!$C:$C,$A153,Supplier_Invoices!$AG:$AG,1,Supplier_Invoices!$Y:$Y,"&gt;="&amp;(SB_To-0),Supplier_Invoices!$E:$E,"&lt;="&amp;SB_To)))</f>
        <v/>
      </c>
      <c r="H153" s="43">
        <f>IF($A153="","",MIN(MAX($F153,0),SUMIFS(Supplier_Invoices!$AC:$AC,Supplier_Invoices!$C:$C,$A153,Supplier_Invoices!$AG:$AG,1,Supplier_Invoices!$Y:$Y,"&gt;="&amp;(SB_To-30),Supplier_Invoices!$E:$E,"&lt;="&amp;SB_To))-MIN(MAX($F153,0),SUMIFS(Supplier_Invoices!$AC:$AC,Supplier_Invoices!$C:$C,$A153,Supplier_Invoices!$AG:$AG,1,Supplier_Invoices!$Y:$Y,"&gt;="&amp;(SB_To-0),Supplier_Invoices!$E:$E,"&lt;="&amp;SB_To)))</f>
        <v/>
      </c>
      <c r="I153" s="43">
        <f>IF($A153="","",MIN(MAX($F153,0),SUMIFS(Supplier_Invoices!$AC:$AC,Supplier_Invoices!$C:$C,$A153,Supplier_Invoices!$AG:$AG,1,Supplier_Invoices!$Y:$Y,"&gt;="&amp;(SB_To-60),Supplier_Invoices!$E:$E,"&lt;="&amp;SB_To))-MIN(MAX($F153,0),SUMIFS(Supplier_Invoices!$AC:$AC,Supplier_Invoices!$C:$C,$A153,Supplier_Invoices!$AG:$AG,1,Supplier_Invoices!$Y:$Y,"&gt;="&amp;(SB_To-30),Supplier_Invoices!$E:$E,"&lt;="&amp;SB_To)))</f>
        <v/>
      </c>
      <c r="J153" s="43">
        <f>IF($A153="","",MIN(MAX($F153,0),SUMIFS(Supplier_Invoices!$AC:$AC,Supplier_Invoices!$C:$C,$A153,Supplier_Invoices!$AG:$AG,1,Supplier_Invoices!$Y:$Y,"&gt;="&amp;(SB_To-90),Supplier_Invoices!$E:$E,"&lt;="&amp;SB_To))-MIN(MAX($F153,0),SUMIFS(Supplier_Invoices!$AC:$AC,Supplier_Invoices!$C:$C,$A153,Supplier_Invoices!$AG:$AG,1,Supplier_Invoices!$Y:$Y,"&gt;="&amp;(SB_To-60),Supplier_Invoices!$E:$E,"&lt;="&amp;SB_To)))</f>
        <v/>
      </c>
      <c r="K153" s="43">
        <f>IF($A153="","",MAX($F153,0)-MIN(MAX($F153,0),SUMIFS(Supplier_Invoices!$AC:$AC,Supplier_Invoices!$C:$C,$A153,Supplier_Invoices!$AG:$AG,1,Supplier_Invoices!$Y:$Y,"&gt;="&amp;(SB_To-90),Supplier_Invoices!$E:$E,"&lt;="&amp;SB_To)))</f>
        <v/>
      </c>
      <c r="L153" s="33">
        <f>IF($A153="","",IF(COUNTIFS(Supplier_Payments!$C:$C,$A153,Supplier_Payments!$V:$V,1)=0,"",_xlfn.MAXIFS(Supplier_Payments!$B:$B,Supplier_Payments!$C:$C,$A153,Supplier_Payments!$V:$V,1)))</f>
        <v/>
      </c>
      <c r="M153" s="32">
        <f>IF($A153="","",IF($F153&lt;-S_Tol,"رصيد مدين للمورد - مراجعة",IF($H153+$I153+$J153+$K153&gt;S_Tol,"يوجد مبالغ متأخرة","")))</f>
        <v/>
      </c>
    </row>
    <row r="154">
      <c r="A154" s="44">
        <f>IF(INDEX(Suppliers!$A:$A,ROW()-6)="","",INDEX(Suppliers!$A:$A,ROW()-6))</f>
        <v/>
      </c>
      <c r="B154" s="32">
        <f>IF($A154="","",INDEX(Suppliers!$B:$B,ROW()-6))</f>
        <v/>
      </c>
      <c r="C154" s="47">
        <f>IF($A154="","",SUMIFS(GL_Journal!$T:$T,GL_Journal!$G:$G,ACC_SUPPLIERS,GL_Journal!$K:$K,$A154,GL_Journal!$D:$D,"&lt;"&amp;SB_From)-SUMIFS(GL_Journal!$S:$S,GL_Journal!$G:$G,ACC_SUPPLIERS,GL_Journal!$K:$K,$A154,GL_Journal!$D:$D,"&lt;"&amp;SB_From))</f>
        <v/>
      </c>
      <c r="D154" s="43">
        <f>IF($A154="","",SUMIFS(GL_Journal!$T:$T,GL_Journal!$G:$G,ACC_SUPPLIERS,GL_Journal!$K:$K,$A154,GL_Journal!$D:$D,"&gt;="&amp;SB_From,GL_Journal!$D:$D,"&lt;="&amp;SB_To))</f>
        <v/>
      </c>
      <c r="E154" s="43">
        <f>IF($A154="","",SUMIFS(GL_Journal!$S:$S,GL_Journal!$G:$G,ACC_SUPPLIERS,GL_Journal!$K:$K,$A154,GL_Journal!$D:$D,"&gt;="&amp;SB_From,GL_Journal!$D:$D,"&lt;="&amp;SB_To))</f>
        <v/>
      </c>
      <c r="F154" s="47">
        <f>IF($A154="","",$C154+$D154-$E154)</f>
        <v/>
      </c>
      <c r="G154" s="43">
        <f>IF($A154="","",MIN(MAX($F154,0),SUMIFS(Supplier_Invoices!$AC:$AC,Supplier_Invoices!$C:$C,$A154,Supplier_Invoices!$AG:$AG,1,Supplier_Invoices!$Y:$Y,"&gt;="&amp;(SB_To-0),Supplier_Invoices!$E:$E,"&lt;="&amp;SB_To)))</f>
        <v/>
      </c>
      <c r="H154" s="43">
        <f>IF($A154="","",MIN(MAX($F154,0),SUMIFS(Supplier_Invoices!$AC:$AC,Supplier_Invoices!$C:$C,$A154,Supplier_Invoices!$AG:$AG,1,Supplier_Invoices!$Y:$Y,"&gt;="&amp;(SB_To-30),Supplier_Invoices!$E:$E,"&lt;="&amp;SB_To))-MIN(MAX($F154,0),SUMIFS(Supplier_Invoices!$AC:$AC,Supplier_Invoices!$C:$C,$A154,Supplier_Invoices!$AG:$AG,1,Supplier_Invoices!$Y:$Y,"&gt;="&amp;(SB_To-0),Supplier_Invoices!$E:$E,"&lt;="&amp;SB_To)))</f>
        <v/>
      </c>
      <c r="I154" s="43">
        <f>IF($A154="","",MIN(MAX($F154,0),SUMIFS(Supplier_Invoices!$AC:$AC,Supplier_Invoices!$C:$C,$A154,Supplier_Invoices!$AG:$AG,1,Supplier_Invoices!$Y:$Y,"&gt;="&amp;(SB_To-60),Supplier_Invoices!$E:$E,"&lt;="&amp;SB_To))-MIN(MAX($F154,0),SUMIFS(Supplier_Invoices!$AC:$AC,Supplier_Invoices!$C:$C,$A154,Supplier_Invoices!$AG:$AG,1,Supplier_Invoices!$Y:$Y,"&gt;="&amp;(SB_To-30),Supplier_Invoices!$E:$E,"&lt;="&amp;SB_To)))</f>
        <v/>
      </c>
      <c r="J154" s="43">
        <f>IF($A154="","",MIN(MAX($F154,0),SUMIFS(Supplier_Invoices!$AC:$AC,Supplier_Invoices!$C:$C,$A154,Supplier_Invoices!$AG:$AG,1,Supplier_Invoices!$Y:$Y,"&gt;="&amp;(SB_To-90),Supplier_Invoices!$E:$E,"&lt;="&amp;SB_To))-MIN(MAX($F154,0),SUMIFS(Supplier_Invoices!$AC:$AC,Supplier_Invoices!$C:$C,$A154,Supplier_Invoices!$AG:$AG,1,Supplier_Invoices!$Y:$Y,"&gt;="&amp;(SB_To-60),Supplier_Invoices!$E:$E,"&lt;="&amp;SB_To)))</f>
        <v/>
      </c>
      <c r="K154" s="43">
        <f>IF($A154="","",MAX($F154,0)-MIN(MAX($F154,0),SUMIFS(Supplier_Invoices!$AC:$AC,Supplier_Invoices!$C:$C,$A154,Supplier_Invoices!$AG:$AG,1,Supplier_Invoices!$Y:$Y,"&gt;="&amp;(SB_To-90),Supplier_Invoices!$E:$E,"&lt;="&amp;SB_To)))</f>
        <v/>
      </c>
      <c r="L154" s="33">
        <f>IF($A154="","",IF(COUNTIFS(Supplier_Payments!$C:$C,$A154,Supplier_Payments!$V:$V,1)=0,"",_xlfn.MAXIFS(Supplier_Payments!$B:$B,Supplier_Payments!$C:$C,$A154,Supplier_Payments!$V:$V,1)))</f>
        <v/>
      </c>
      <c r="M154" s="32">
        <f>IF($A154="","",IF($F154&lt;-S_Tol,"رصيد مدين للمورد - مراجعة",IF($H154+$I154+$J154+$K154&gt;S_Tol,"يوجد مبالغ متأخرة","")))</f>
        <v/>
      </c>
    </row>
    <row r="155">
      <c r="A155" s="44">
        <f>IF(INDEX(Suppliers!$A:$A,ROW()-6)="","",INDEX(Suppliers!$A:$A,ROW()-6))</f>
        <v/>
      </c>
      <c r="B155" s="32">
        <f>IF($A155="","",INDEX(Suppliers!$B:$B,ROW()-6))</f>
        <v/>
      </c>
      <c r="C155" s="47">
        <f>IF($A155="","",SUMIFS(GL_Journal!$T:$T,GL_Journal!$G:$G,ACC_SUPPLIERS,GL_Journal!$K:$K,$A155,GL_Journal!$D:$D,"&lt;"&amp;SB_From)-SUMIFS(GL_Journal!$S:$S,GL_Journal!$G:$G,ACC_SUPPLIERS,GL_Journal!$K:$K,$A155,GL_Journal!$D:$D,"&lt;"&amp;SB_From))</f>
        <v/>
      </c>
      <c r="D155" s="43">
        <f>IF($A155="","",SUMIFS(GL_Journal!$T:$T,GL_Journal!$G:$G,ACC_SUPPLIERS,GL_Journal!$K:$K,$A155,GL_Journal!$D:$D,"&gt;="&amp;SB_From,GL_Journal!$D:$D,"&lt;="&amp;SB_To))</f>
        <v/>
      </c>
      <c r="E155" s="43">
        <f>IF($A155="","",SUMIFS(GL_Journal!$S:$S,GL_Journal!$G:$G,ACC_SUPPLIERS,GL_Journal!$K:$K,$A155,GL_Journal!$D:$D,"&gt;="&amp;SB_From,GL_Journal!$D:$D,"&lt;="&amp;SB_To))</f>
        <v/>
      </c>
      <c r="F155" s="47">
        <f>IF($A155="","",$C155+$D155-$E155)</f>
        <v/>
      </c>
      <c r="G155" s="43">
        <f>IF($A155="","",MIN(MAX($F155,0),SUMIFS(Supplier_Invoices!$AC:$AC,Supplier_Invoices!$C:$C,$A155,Supplier_Invoices!$AG:$AG,1,Supplier_Invoices!$Y:$Y,"&gt;="&amp;(SB_To-0),Supplier_Invoices!$E:$E,"&lt;="&amp;SB_To)))</f>
        <v/>
      </c>
      <c r="H155" s="43">
        <f>IF($A155="","",MIN(MAX($F155,0),SUMIFS(Supplier_Invoices!$AC:$AC,Supplier_Invoices!$C:$C,$A155,Supplier_Invoices!$AG:$AG,1,Supplier_Invoices!$Y:$Y,"&gt;="&amp;(SB_To-30),Supplier_Invoices!$E:$E,"&lt;="&amp;SB_To))-MIN(MAX($F155,0),SUMIFS(Supplier_Invoices!$AC:$AC,Supplier_Invoices!$C:$C,$A155,Supplier_Invoices!$AG:$AG,1,Supplier_Invoices!$Y:$Y,"&gt;="&amp;(SB_To-0),Supplier_Invoices!$E:$E,"&lt;="&amp;SB_To)))</f>
        <v/>
      </c>
      <c r="I155" s="43">
        <f>IF($A155="","",MIN(MAX($F155,0),SUMIFS(Supplier_Invoices!$AC:$AC,Supplier_Invoices!$C:$C,$A155,Supplier_Invoices!$AG:$AG,1,Supplier_Invoices!$Y:$Y,"&gt;="&amp;(SB_To-60),Supplier_Invoices!$E:$E,"&lt;="&amp;SB_To))-MIN(MAX($F155,0),SUMIFS(Supplier_Invoices!$AC:$AC,Supplier_Invoices!$C:$C,$A155,Supplier_Invoices!$AG:$AG,1,Supplier_Invoices!$Y:$Y,"&gt;="&amp;(SB_To-30),Supplier_Invoices!$E:$E,"&lt;="&amp;SB_To)))</f>
        <v/>
      </c>
      <c r="J155" s="43">
        <f>IF($A155="","",MIN(MAX($F155,0),SUMIFS(Supplier_Invoices!$AC:$AC,Supplier_Invoices!$C:$C,$A155,Supplier_Invoices!$AG:$AG,1,Supplier_Invoices!$Y:$Y,"&gt;="&amp;(SB_To-90),Supplier_Invoices!$E:$E,"&lt;="&amp;SB_To))-MIN(MAX($F155,0),SUMIFS(Supplier_Invoices!$AC:$AC,Supplier_Invoices!$C:$C,$A155,Supplier_Invoices!$AG:$AG,1,Supplier_Invoices!$Y:$Y,"&gt;="&amp;(SB_To-60),Supplier_Invoices!$E:$E,"&lt;="&amp;SB_To)))</f>
        <v/>
      </c>
      <c r="K155" s="43">
        <f>IF($A155="","",MAX($F155,0)-MIN(MAX($F155,0),SUMIFS(Supplier_Invoices!$AC:$AC,Supplier_Invoices!$C:$C,$A155,Supplier_Invoices!$AG:$AG,1,Supplier_Invoices!$Y:$Y,"&gt;="&amp;(SB_To-90),Supplier_Invoices!$E:$E,"&lt;="&amp;SB_To)))</f>
        <v/>
      </c>
      <c r="L155" s="33">
        <f>IF($A155="","",IF(COUNTIFS(Supplier_Payments!$C:$C,$A155,Supplier_Payments!$V:$V,1)=0,"",_xlfn.MAXIFS(Supplier_Payments!$B:$B,Supplier_Payments!$C:$C,$A155,Supplier_Payments!$V:$V,1)))</f>
        <v/>
      </c>
      <c r="M155" s="32">
        <f>IF($A155="","",IF($F155&lt;-S_Tol,"رصيد مدين للمورد - مراجعة",IF($H155+$I155+$J155+$K155&gt;S_Tol,"يوجد مبالغ متأخرة","")))</f>
        <v/>
      </c>
    </row>
    <row r="156">
      <c r="A156" s="44">
        <f>IF(INDEX(Suppliers!$A:$A,ROW()-6)="","",INDEX(Suppliers!$A:$A,ROW()-6))</f>
        <v/>
      </c>
      <c r="B156" s="32">
        <f>IF($A156="","",INDEX(Suppliers!$B:$B,ROW()-6))</f>
        <v/>
      </c>
      <c r="C156" s="47">
        <f>IF($A156="","",SUMIFS(GL_Journal!$T:$T,GL_Journal!$G:$G,ACC_SUPPLIERS,GL_Journal!$K:$K,$A156,GL_Journal!$D:$D,"&lt;"&amp;SB_From)-SUMIFS(GL_Journal!$S:$S,GL_Journal!$G:$G,ACC_SUPPLIERS,GL_Journal!$K:$K,$A156,GL_Journal!$D:$D,"&lt;"&amp;SB_From))</f>
        <v/>
      </c>
      <c r="D156" s="43">
        <f>IF($A156="","",SUMIFS(GL_Journal!$T:$T,GL_Journal!$G:$G,ACC_SUPPLIERS,GL_Journal!$K:$K,$A156,GL_Journal!$D:$D,"&gt;="&amp;SB_From,GL_Journal!$D:$D,"&lt;="&amp;SB_To))</f>
        <v/>
      </c>
      <c r="E156" s="43">
        <f>IF($A156="","",SUMIFS(GL_Journal!$S:$S,GL_Journal!$G:$G,ACC_SUPPLIERS,GL_Journal!$K:$K,$A156,GL_Journal!$D:$D,"&gt;="&amp;SB_From,GL_Journal!$D:$D,"&lt;="&amp;SB_To))</f>
        <v/>
      </c>
      <c r="F156" s="47">
        <f>IF($A156="","",$C156+$D156-$E156)</f>
        <v/>
      </c>
      <c r="G156" s="43">
        <f>IF($A156="","",MIN(MAX($F156,0),SUMIFS(Supplier_Invoices!$AC:$AC,Supplier_Invoices!$C:$C,$A156,Supplier_Invoices!$AG:$AG,1,Supplier_Invoices!$Y:$Y,"&gt;="&amp;(SB_To-0),Supplier_Invoices!$E:$E,"&lt;="&amp;SB_To)))</f>
        <v/>
      </c>
      <c r="H156" s="43">
        <f>IF($A156="","",MIN(MAX($F156,0),SUMIFS(Supplier_Invoices!$AC:$AC,Supplier_Invoices!$C:$C,$A156,Supplier_Invoices!$AG:$AG,1,Supplier_Invoices!$Y:$Y,"&gt;="&amp;(SB_To-30),Supplier_Invoices!$E:$E,"&lt;="&amp;SB_To))-MIN(MAX($F156,0),SUMIFS(Supplier_Invoices!$AC:$AC,Supplier_Invoices!$C:$C,$A156,Supplier_Invoices!$AG:$AG,1,Supplier_Invoices!$Y:$Y,"&gt;="&amp;(SB_To-0),Supplier_Invoices!$E:$E,"&lt;="&amp;SB_To)))</f>
        <v/>
      </c>
      <c r="I156" s="43">
        <f>IF($A156="","",MIN(MAX($F156,0),SUMIFS(Supplier_Invoices!$AC:$AC,Supplier_Invoices!$C:$C,$A156,Supplier_Invoices!$AG:$AG,1,Supplier_Invoices!$Y:$Y,"&gt;="&amp;(SB_To-60),Supplier_Invoices!$E:$E,"&lt;="&amp;SB_To))-MIN(MAX($F156,0),SUMIFS(Supplier_Invoices!$AC:$AC,Supplier_Invoices!$C:$C,$A156,Supplier_Invoices!$AG:$AG,1,Supplier_Invoices!$Y:$Y,"&gt;="&amp;(SB_To-30),Supplier_Invoices!$E:$E,"&lt;="&amp;SB_To)))</f>
        <v/>
      </c>
      <c r="J156" s="43">
        <f>IF($A156="","",MIN(MAX($F156,0),SUMIFS(Supplier_Invoices!$AC:$AC,Supplier_Invoices!$C:$C,$A156,Supplier_Invoices!$AG:$AG,1,Supplier_Invoices!$Y:$Y,"&gt;="&amp;(SB_To-90),Supplier_Invoices!$E:$E,"&lt;="&amp;SB_To))-MIN(MAX($F156,0),SUMIFS(Supplier_Invoices!$AC:$AC,Supplier_Invoices!$C:$C,$A156,Supplier_Invoices!$AG:$AG,1,Supplier_Invoices!$Y:$Y,"&gt;="&amp;(SB_To-60),Supplier_Invoices!$E:$E,"&lt;="&amp;SB_To)))</f>
        <v/>
      </c>
      <c r="K156" s="43">
        <f>IF($A156="","",MAX($F156,0)-MIN(MAX($F156,0),SUMIFS(Supplier_Invoices!$AC:$AC,Supplier_Invoices!$C:$C,$A156,Supplier_Invoices!$AG:$AG,1,Supplier_Invoices!$Y:$Y,"&gt;="&amp;(SB_To-90),Supplier_Invoices!$E:$E,"&lt;="&amp;SB_To)))</f>
        <v/>
      </c>
      <c r="L156" s="33">
        <f>IF($A156="","",IF(COUNTIFS(Supplier_Payments!$C:$C,$A156,Supplier_Payments!$V:$V,1)=0,"",_xlfn.MAXIFS(Supplier_Payments!$B:$B,Supplier_Payments!$C:$C,$A156,Supplier_Payments!$V:$V,1)))</f>
        <v/>
      </c>
      <c r="M156" s="32">
        <f>IF($A156="","",IF($F156&lt;-S_Tol,"رصيد مدين للمورد - مراجعة",IF($H156+$I156+$J156+$K156&gt;S_Tol,"يوجد مبالغ متأخرة","")))</f>
        <v/>
      </c>
    </row>
    <row r="157">
      <c r="A157" s="44">
        <f>IF(INDEX(Suppliers!$A:$A,ROW()-6)="","",INDEX(Suppliers!$A:$A,ROW()-6))</f>
        <v/>
      </c>
      <c r="B157" s="32">
        <f>IF($A157="","",INDEX(Suppliers!$B:$B,ROW()-6))</f>
        <v/>
      </c>
      <c r="C157" s="47">
        <f>IF($A157="","",SUMIFS(GL_Journal!$T:$T,GL_Journal!$G:$G,ACC_SUPPLIERS,GL_Journal!$K:$K,$A157,GL_Journal!$D:$D,"&lt;"&amp;SB_From)-SUMIFS(GL_Journal!$S:$S,GL_Journal!$G:$G,ACC_SUPPLIERS,GL_Journal!$K:$K,$A157,GL_Journal!$D:$D,"&lt;"&amp;SB_From))</f>
        <v/>
      </c>
      <c r="D157" s="43">
        <f>IF($A157="","",SUMIFS(GL_Journal!$T:$T,GL_Journal!$G:$G,ACC_SUPPLIERS,GL_Journal!$K:$K,$A157,GL_Journal!$D:$D,"&gt;="&amp;SB_From,GL_Journal!$D:$D,"&lt;="&amp;SB_To))</f>
        <v/>
      </c>
      <c r="E157" s="43">
        <f>IF($A157="","",SUMIFS(GL_Journal!$S:$S,GL_Journal!$G:$G,ACC_SUPPLIERS,GL_Journal!$K:$K,$A157,GL_Journal!$D:$D,"&gt;="&amp;SB_From,GL_Journal!$D:$D,"&lt;="&amp;SB_To))</f>
        <v/>
      </c>
      <c r="F157" s="47">
        <f>IF($A157="","",$C157+$D157-$E157)</f>
        <v/>
      </c>
      <c r="G157" s="43">
        <f>IF($A157="","",MIN(MAX($F157,0),SUMIFS(Supplier_Invoices!$AC:$AC,Supplier_Invoices!$C:$C,$A157,Supplier_Invoices!$AG:$AG,1,Supplier_Invoices!$Y:$Y,"&gt;="&amp;(SB_To-0),Supplier_Invoices!$E:$E,"&lt;="&amp;SB_To)))</f>
        <v/>
      </c>
      <c r="H157" s="43">
        <f>IF($A157="","",MIN(MAX($F157,0),SUMIFS(Supplier_Invoices!$AC:$AC,Supplier_Invoices!$C:$C,$A157,Supplier_Invoices!$AG:$AG,1,Supplier_Invoices!$Y:$Y,"&gt;="&amp;(SB_To-30),Supplier_Invoices!$E:$E,"&lt;="&amp;SB_To))-MIN(MAX($F157,0),SUMIFS(Supplier_Invoices!$AC:$AC,Supplier_Invoices!$C:$C,$A157,Supplier_Invoices!$AG:$AG,1,Supplier_Invoices!$Y:$Y,"&gt;="&amp;(SB_To-0),Supplier_Invoices!$E:$E,"&lt;="&amp;SB_To)))</f>
        <v/>
      </c>
      <c r="I157" s="43">
        <f>IF($A157="","",MIN(MAX($F157,0),SUMIFS(Supplier_Invoices!$AC:$AC,Supplier_Invoices!$C:$C,$A157,Supplier_Invoices!$AG:$AG,1,Supplier_Invoices!$Y:$Y,"&gt;="&amp;(SB_To-60),Supplier_Invoices!$E:$E,"&lt;="&amp;SB_To))-MIN(MAX($F157,0),SUMIFS(Supplier_Invoices!$AC:$AC,Supplier_Invoices!$C:$C,$A157,Supplier_Invoices!$AG:$AG,1,Supplier_Invoices!$Y:$Y,"&gt;="&amp;(SB_To-30),Supplier_Invoices!$E:$E,"&lt;="&amp;SB_To)))</f>
        <v/>
      </c>
      <c r="J157" s="43">
        <f>IF($A157="","",MIN(MAX($F157,0),SUMIFS(Supplier_Invoices!$AC:$AC,Supplier_Invoices!$C:$C,$A157,Supplier_Invoices!$AG:$AG,1,Supplier_Invoices!$Y:$Y,"&gt;="&amp;(SB_To-90),Supplier_Invoices!$E:$E,"&lt;="&amp;SB_To))-MIN(MAX($F157,0),SUMIFS(Supplier_Invoices!$AC:$AC,Supplier_Invoices!$C:$C,$A157,Supplier_Invoices!$AG:$AG,1,Supplier_Invoices!$Y:$Y,"&gt;="&amp;(SB_To-60),Supplier_Invoices!$E:$E,"&lt;="&amp;SB_To)))</f>
        <v/>
      </c>
      <c r="K157" s="43">
        <f>IF($A157="","",MAX($F157,0)-MIN(MAX($F157,0),SUMIFS(Supplier_Invoices!$AC:$AC,Supplier_Invoices!$C:$C,$A157,Supplier_Invoices!$AG:$AG,1,Supplier_Invoices!$Y:$Y,"&gt;="&amp;(SB_To-90),Supplier_Invoices!$E:$E,"&lt;="&amp;SB_To)))</f>
        <v/>
      </c>
      <c r="L157" s="33">
        <f>IF($A157="","",IF(COUNTIFS(Supplier_Payments!$C:$C,$A157,Supplier_Payments!$V:$V,1)=0,"",_xlfn.MAXIFS(Supplier_Payments!$B:$B,Supplier_Payments!$C:$C,$A157,Supplier_Payments!$V:$V,1)))</f>
        <v/>
      </c>
      <c r="M157" s="32">
        <f>IF($A157="","",IF($F157&lt;-S_Tol,"رصيد مدين للمورد - مراجعة",IF($H157+$I157+$J157+$K157&gt;S_Tol,"يوجد مبالغ متأخرة","")))</f>
        <v/>
      </c>
    </row>
    <row r="158">
      <c r="A158" s="44">
        <f>IF(INDEX(Suppliers!$A:$A,ROW()-6)="","",INDEX(Suppliers!$A:$A,ROW()-6))</f>
        <v/>
      </c>
      <c r="B158" s="32">
        <f>IF($A158="","",INDEX(Suppliers!$B:$B,ROW()-6))</f>
        <v/>
      </c>
      <c r="C158" s="47">
        <f>IF($A158="","",SUMIFS(GL_Journal!$T:$T,GL_Journal!$G:$G,ACC_SUPPLIERS,GL_Journal!$K:$K,$A158,GL_Journal!$D:$D,"&lt;"&amp;SB_From)-SUMIFS(GL_Journal!$S:$S,GL_Journal!$G:$G,ACC_SUPPLIERS,GL_Journal!$K:$K,$A158,GL_Journal!$D:$D,"&lt;"&amp;SB_From))</f>
        <v/>
      </c>
      <c r="D158" s="43">
        <f>IF($A158="","",SUMIFS(GL_Journal!$T:$T,GL_Journal!$G:$G,ACC_SUPPLIERS,GL_Journal!$K:$K,$A158,GL_Journal!$D:$D,"&gt;="&amp;SB_From,GL_Journal!$D:$D,"&lt;="&amp;SB_To))</f>
        <v/>
      </c>
      <c r="E158" s="43">
        <f>IF($A158="","",SUMIFS(GL_Journal!$S:$S,GL_Journal!$G:$G,ACC_SUPPLIERS,GL_Journal!$K:$K,$A158,GL_Journal!$D:$D,"&gt;="&amp;SB_From,GL_Journal!$D:$D,"&lt;="&amp;SB_To))</f>
        <v/>
      </c>
      <c r="F158" s="47">
        <f>IF($A158="","",$C158+$D158-$E158)</f>
        <v/>
      </c>
      <c r="G158" s="43">
        <f>IF($A158="","",MIN(MAX($F158,0),SUMIFS(Supplier_Invoices!$AC:$AC,Supplier_Invoices!$C:$C,$A158,Supplier_Invoices!$AG:$AG,1,Supplier_Invoices!$Y:$Y,"&gt;="&amp;(SB_To-0),Supplier_Invoices!$E:$E,"&lt;="&amp;SB_To)))</f>
        <v/>
      </c>
      <c r="H158" s="43">
        <f>IF($A158="","",MIN(MAX($F158,0),SUMIFS(Supplier_Invoices!$AC:$AC,Supplier_Invoices!$C:$C,$A158,Supplier_Invoices!$AG:$AG,1,Supplier_Invoices!$Y:$Y,"&gt;="&amp;(SB_To-30),Supplier_Invoices!$E:$E,"&lt;="&amp;SB_To))-MIN(MAX($F158,0),SUMIFS(Supplier_Invoices!$AC:$AC,Supplier_Invoices!$C:$C,$A158,Supplier_Invoices!$AG:$AG,1,Supplier_Invoices!$Y:$Y,"&gt;="&amp;(SB_To-0),Supplier_Invoices!$E:$E,"&lt;="&amp;SB_To)))</f>
        <v/>
      </c>
      <c r="I158" s="43">
        <f>IF($A158="","",MIN(MAX($F158,0),SUMIFS(Supplier_Invoices!$AC:$AC,Supplier_Invoices!$C:$C,$A158,Supplier_Invoices!$AG:$AG,1,Supplier_Invoices!$Y:$Y,"&gt;="&amp;(SB_To-60),Supplier_Invoices!$E:$E,"&lt;="&amp;SB_To))-MIN(MAX($F158,0),SUMIFS(Supplier_Invoices!$AC:$AC,Supplier_Invoices!$C:$C,$A158,Supplier_Invoices!$AG:$AG,1,Supplier_Invoices!$Y:$Y,"&gt;="&amp;(SB_To-30),Supplier_Invoices!$E:$E,"&lt;="&amp;SB_To)))</f>
        <v/>
      </c>
      <c r="J158" s="43">
        <f>IF($A158="","",MIN(MAX($F158,0),SUMIFS(Supplier_Invoices!$AC:$AC,Supplier_Invoices!$C:$C,$A158,Supplier_Invoices!$AG:$AG,1,Supplier_Invoices!$Y:$Y,"&gt;="&amp;(SB_To-90),Supplier_Invoices!$E:$E,"&lt;="&amp;SB_To))-MIN(MAX($F158,0),SUMIFS(Supplier_Invoices!$AC:$AC,Supplier_Invoices!$C:$C,$A158,Supplier_Invoices!$AG:$AG,1,Supplier_Invoices!$Y:$Y,"&gt;="&amp;(SB_To-60),Supplier_Invoices!$E:$E,"&lt;="&amp;SB_To)))</f>
        <v/>
      </c>
      <c r="K158" s="43">
        <f>IF($A158="","",MAX($F158,0)-MIN(MAX($F158,0),SUMIFS(Supplier_Invoices!$AC:$AC,Supplier_Invoices!$C:$C,$A158,Supplier_Invoices!$AG:$AG,1,Supplier_Invoices!$Y:$Y,"&gt;="&amp;(SB_To-90),Supplier_Invoices!$E:$E,"&lt;="&amp;SB_To)))</f>
        <v/>
      </c>
      <c r="L158" s="33">
        <f>IF($A158="","",IF(COUNTIFS(Supplier_Payments!$C:$C,$A158,Supplier_Payments!$V:$V,1)=0,"",_xlfn.MAXIFS(Supplier_Payments!$B:$B,Supplier_Payments!$C:$C,$A158,Supplier_Payments!$V:$V,1)))</f>
        <v/>
      </c>
      <c r="M158" s="32">
        <f>IF($A158="","",IF($F158&lt;-S_Tol,"رصيد مدين للمورد - مراجعة",IF($H158+$I158+$J158+$K158&gt;S_Tol,"يوجد مبالغ متأخرة","")))</f>
        <v/>
      </c>
    </row>
    <row r="159">
      <c r="A159" s="44">
        <f>IF(INDEX(Suppliers!$A:$A,ROW()-6)="","",INDEX(Suppliers!$A:$A,ROW()-6))</f>
        <v/>
      </c>
      <c r="B159" s="32">
        <f>IF($A159="","",INDEX(Suppliers!$B:$B,ROW()-6))</f>
        <v/>
      </c>
      <c r="C159" s="47">
        <f>IF($A159="","",SUMIFS(GL_Journal!$T:$T,GL_Journal!$G:$G,ACC_SUPPLIERS,GL_Journal!$K:$K,$A159,GL_Journal!$D:$D,"&lt;"&amp;SB_From)-SUMIFS(GL_Journal!$S:$S,GL_Journal!$G:$G,ACC_SUPPLIERS,GL_Journal!$K:$K,$A159,GL_Journal!$D:$D,"&lt;"&amp;SB_From))</f>
        <v/>
      </c>
      <c r="D159" s="43">
        <f>IF($A159="","",SUMIFS(GL_Journal!$T:$T,GL_Journal!$G:$G,ACC_SUPPLIERS,GL_Journal!$K:$K,$A159,GL_Journal!$D:$D,"&gt;="&amp;SB_From,GL_Journal!$D:$D,"&lt;="&amp;SB_To))</f>
        <v/>
      </c>
      <c r="E159" s="43">
        <f>IF($A159="","",SUMIFS(GL_Journal!$S:$S,GL_Journal!$G:$G,ACC_SUPPLIERS,GL_Journal!$K:$K,$A159,GL_Journal!$D:$D,"&gt;="&amp;SB_From,GL_Journal!$D:$D,"&lt;="&amp;SB_To))</f>
        <v/>
      </c>
      <c r="F159" s="47">
        <f>IF($A159="","",$C159+$D159-$E159)</f>
        <v/>
      </c>
      <c r="G159" s="43">
        <f>IF($A159="","",MIN(MAX($F159,0),SUMIFS(Supplier_Invoices!$AC:$AC,Supplier_Invoices!$C:$C,$A159,Supplier_Invoices!$AG:$AG,1,Supplier_Invoices!$Y:$Y,"&gt;="&amp;(SB_To-0),Supplier_Invoices!$E:$E,"&lt;="&amp;SB_To)))</f>
        <v/>
      </c>
      <c r="H159" s="43">
        <f>IF($A159="","",MIN(MAX($F159,0),SUMIFS(Supplier_Invoices!$AC:$AC,Supplier_Invoices!$C:$C,$A159,Supplier_Invoices!$AG:$AG,1,Supplier_Invoices!$Y:$Y,"&gt;="&amp;(SB_To-30),Supplier_Invoices!$E:$E,"&lt;="&amp;SB_To))-MIN(MAX($F159,0),SUMIFS(Supplier_Invoices!$AC:$AC,Supplier_Invoices!$C:$C,$A159,Supplier_Invoices!$AG:$AG,1,Supplier_Invoices!$Y:$Y,"&gt;="&amp;(SB_To-0),Supplier_Invoices!$E:$E,"&lt;="&amp;SB_To)))</f>
        <v/>
      </c>
      <c r="I159" s="43">
        <f>IF($A159="","",MIN(MAX($F159,0),SUMIFS(Supplier_Invoices!$AC:$AC,Supplier_Invoices!$C:$C,$A159,Supplier_Invoices!$AG:$AG,1,Supplier_Invoices!$Y:$Y,"&gt;="&amp;(SB_To-60),Supplier_Invoices!$E:$E,"&lt;="&amp;SB_To))-MIN(MAX($F159,0),SUMIFS(Supplier_Invoices!$AC:$AC,Supplier_Invoices!$C:$C,$A159,Supplier_Invoices!$AG:$AG,1,Supplier_Invoices!$Y:$Y,"&gt;="&amp;(SB_To-30),Supplier_Invoices!$E:$E,"&lt;="&amp;SB_To)))</f>
        <v/>
      </c>
      <c r="J159" s="43">
        <f>IF($A159="","",MIN(MAX($F159,0),SUMIFS(Supplier_Invoices!$AC:$AC,Supplier_Invoices!$C:$C,$A159,Supplier_Invoices!$AG:$AG,1,Supplier_Invoices!$Y:$Y,"&gt;="&amp;(SB_To-90),Supplier_Invoices!$E:$E,"&lt;="&amp;SB_To))-MIN(MAX($F159,0),SUMIFS(Supplier_Invoices!$AC:$AC,Supplier_Invoices!$C:$C,$A159,Supplier_Invoices!$AG:$AG,1,Supplier_Invoices!$Y:$Y,"&gt;="&amp;(SB_To-60),Supplier_Invoices!$E:$E,"&lt;="&amp;SB_To)))</f>
        <v/>
      </c>
      <c r="K159" s="43">
        <f>IF($A159="","",MAX($F159,0)-MIN(MAX($F159,0),SUMIFS(Supplier_Invoices!$AC:$AC,Supplier_Invoices!$C:$C,$A159,Supplier_Invoices!$AG:$AG,1,Supplier_Invoices!$Y:$Y,"&gt;="&amp;(SB_To-90),Supplier_Invoices!$E:$E,"&lt;="&amp;SB_To)))</f>
        <v/>
      </c>
      <c r="L159" s="33">
        <f>IF($A159="","",IF(COUNTIFS(Supplier_Payments!$C:$C,$A159,Supplier_Payments!$V:$V,1)=0,"",_xlfn.MAXIFS(Supplier_Payments!$B:$B,Supplier_Payments!$C:$C,$A159,Supplier_Payments!$V:$V,1)))</f>
        <v/>
      </c>
      <c r="M159" s="32">
        <f>IF($A159="","",IF($F159&lt;-S_Tol,"رصيد مدين للمورد - مراجعة",IF($H159+$I159+$J159+$K159&gt;S_Tol,"يوجد مبالغ متأخرة","")))</f>
        <v/>
      </c>
    </row>
    <row r="160">
      <c r="A160" s="44">
        <f>IF(INDEX(Suppliers!$A:$A,ROW()-6)="","",INDEX(Suppliers!$A:$A,ROW()-6))</f>
        <v/>
      </c>
      <c r="B160" s="32">
        <f>IF($A160="","",INDEX(Suppliers!$B:$B,ROW()-6))</f>
        <v/>
      </c>
      <c r="C160" s="47">
        <f>IF($A160="","",SUMIFS(GL_Journal!$T:$T,GL_Journal!$G:$G,ACC_SUPPLIERS,GL_Journal!$K:$K,$A160,GL_Journal!$D:$D,"&lt;"&amp;SB_From)-SUMIFS(GL_Journal!$S:$S,GL_Journal!$G:$G,ACC_SUPPLIERS,GL_Journal!$K:$K,$A160,GL_Journal!$D:$D,"&lt;"&amp;SB_From))</f>
        <v/>
      </c>
      <c r="D160" s="43">
        <f>IF($A160="","",SUMIFS(GL_Journal!$T:$T,GL_Journal!$G:$G,ACC_SUPPLIERS,GL_Journal!$K:$K,$A160,GL_Journal!$D:$D,"&gt;="&amp;SB_From,GL_Journal!$D:$D,"&lt;="&amp;SB_To))</f>
        <v/>
      </c>
      <c r="E160" s="43">
        <f>IF($A160="","",SUMIFS(GL_Journal!$S:$S,GL_Journal!$G:$G,ACC_SUPPLIERS,GL_Journal!$K:$K,$A160,GL_Journal!$D:$D,"&gt;="&amp;SB_From,GL_Journal!$D:$D,"&lt;="&amp;SB_To))</f>
        <v/>
      </c>
      <c r="F160" s="47">
        <f>IF($A160="","",$C160+$D160-$E160)</f>
        <v/>
      </c>
      <c r="G160" s="43">
        <f>IF($A160="","",MIN(MAX($F160,0),SUMIFS(Supplier_Invoices!$AC:$AC,Supplier_Invoices!$C:$C,$A160,Supplier_Invoices!$AG:$AG,1,Supplier_Invoices!$Y:$Y,"&gt;="&amp;(SB_To-0),Supplier_Invoices!$E:$E,"&lt;="&amp;SB_To)))</f>
        <v/>
      </c>
      <c r="H160" s="43">
        <f>IF($A160="","",MIN(MAX($F160,0),SUMIFS(Supplier_Invoices!$AC:$AC,Supplier_Invoices!$C:$C,$A160,Supplier_Invoices!$AG:$AG,1,Supplier_Invoices!$Y:$Y,"&gt;="&amp;(SB_To-30),Supplier_Invoices!$E:$E,"&lt;="&amp;SB_To))-MIN(MAX($F160,0),SUMIFS(Supplier_Invoices!$AC:$AC,Supplier_Invoices!$C:$C,$A160,Supplier_Invoices!$AG:$AG,1,Supplier_Invoices!$Y:$Y,"&gt;="&amp;(SB_To-0),Supplier_Invoices!$E:$E,"&lt;="&amp;SB_To)))</f>
        <v/>
      </c>
      <c r="I160" s="43">
        <f>IF($A160="","",MIN(MAX($F160,0),SUMIFS(Supplier_Invoices!$AC:$AC,Supplier_Invoices!$C:$C,$A160,Supplier_Invoices!$AG:$AG,1,Supplier_Invoices!$Y:$Y,"&gt;="&amp;(SB_To-60),Supplier_Invoices!$E:$E,"&lt;="&amp;SB_To))-MIN(MAX($F160,0),SUMIFS(Supplier_Invoices!$AC:$AC,Supplier_Invoices!$C:$C,$A160,Supplier_Invoices!$AG:$AG,1,Supplier_Invoices!$Y:$Y,"&gt;="&amp;(SB_To-30),Supplier_Invoices!$E:$E,"&lt;="&amp;SB_To)))</f>
        <v/>
      </c>
      <c r="J160" s="43">
        <f>IF($A160="","",MIN(MAX($F160,0),SUMIFS(Supplier_Invoices!$AC:$AC,Supplier_Invoices!$C:$C,$A160,Supplier_Invoices!$AG:$AG,1,Supplier_Invoices!$Y:$Y,"&gt;="&amp;(SB_To-90),Supplier_Invoices!$E:$E,"&lt;="&amp;SB_To))-MIN(MAX($F160,0),SUMIFS(Supplier_Invoices!$AC:$AC,Supplier_Invoices!$C:$C,$A160,Supplier_Invoices!$AG:$AG,1,Supplier_Invoices!$Y:$Y,"&gt;="&amp;(SB_To-60),Supplier_Invoices!$E:$E,"&lt;="&amp;SB_To)))</f>
        <v/>
      </c>
      <c r="K160" s="43">
        <f>IF($A160="","",MAX($F160,0)-MIN(MAX($F160,0),SUMIFS(Supplier_Invoices!$AC:$AC,Supplier_Invoices!$C:$C,$A160,Supplier_Invoices!$AG:$AG,1,Supplier_Invoices!$Y:$Y,"&gt;="&amp;(SB_To-90),Supplier_Invoices!$E:$E,"&lt;="&amp;SB_To)))</f>
        <v/>
      </c>
      <c r="L160" s="33">
        <f>IF($A160="","",IF(COUNTIFS(Supplier_Payments!$C:$C,$A160,Supplier_Payments!$V:$V,1)=0,"",_xlfn.MAXIFS(Supplier_Payments!$B:$B,Supplier_Payments!$C:$C,$A160,Supplier_Payments!$V:$V,1)))</f>
        <v/>
      </c>
      <c r="M160" s="32">
        <f>IF($A160="","",IF($F160&lt;-S_Tol,"رصيد مدين للمورد - مراجعة",IF($H160+$I160+$J160+$K160&gt;S_Tol,"يوجد مبالغ متأخرة","")))</f>
        <v/>
      </c>
    </row>
  </sheetData>
  <sheetProtection selectLockedCells="0" selectUnlockedCells="0" sheet="1" objects="0" insertRows="1" insertHyperlinks="1" autoFilter="0" scenarios="0" formatColumns="0" deleteColumns="1" insertColumns="1" pivotTables="1" deleteRows="1" formatCells="0" formatRows="0" sort="1"/>
  <autoFilter ref="A10:M160"/>
  <conditionalFormatting sqref="M11:M160">
    <cfRule type="expression" priority="1" dxfId="3">
      <formula>LEN(M11)&gt;0</formula>
    </cfRule>
  </conditionalFormatting>
  <pageMargins left="0.75" right="0.75" top="1" bottom="1" header="0.5" footer="0.5"/>
  <pageSetup orientation="landscape" fitToHeight="0" fitToWidth="1"/>
</worksheet>
</file>

<file path=xl/worksheets/sheet35.xml><?xml version="1.0" encoding="utf-8"?>
<worksheet xmlns="http://schemas.openxmlformats.org/spreadsheetml/2006/main">
  <sheetPr>
    <tabColor rgb="00548235"/>
    <outlinePr summaryBelow="1" summaryRight="1"/>
    <pageSetUpPr fitToPage="1"/>
  </sheetPr>
  <dimension ref="A1:H108"/>
  <sheetViews>
    <sheetView rightToLeft="1" zoomScale="90" workbookViewId="0">
      <pane xSplit="1" ySplit="8" topLeftCell="B9" activePane="bottomRight" state="frozen"/>
      <selection pane="topRight"/>
      <selection pane="bottomLeft"/>
      <selection pane="bottomRight" activeCell="A1" sqref="A1"/>
    </sheetView>
  </sheetViews>
  <sheetFormatPr baseColWidth="8" defaultRowHeight="15"/>
  <cols>
    <col width="24" customWidth="1" min="1" max="1"/>
    <col width="30" customWidth="1" min="2" max="2"/>
    <col width="13" customWidth="1" min="3" max="3"/>
    <col width="36" customWidth="1" min="4" max="4"/>
    <col width="18" customWidth="1" min="5" max="5"/>
  </cols>
  <sheetData>
    <row r="1" ht="26" customHeight="1">
      <c r="A1" s="22" t="inlineStr">
        <is>
          <t>أرصدة العملاء (Customer Balances)</t>
        </is>
      </c>
      <c r="B1" s="1" t="n"/>
      <c r="C1" s="1" t="n"/>
      <c r="D1" s="1" t="n"/>
      <c r="E1" s="1" t="n"/>
      <c r="F1" s="1" t="n"/>
      <c r="G1" s="1" t="n"/>
      <c r="H1" s="1" t="n"/>
    </row>
    <row r="2">
      <c r="A2" s="35" t="inlineStr">
        <is>
          <t>رصيد العميل = حساب 1301 مع كود العميل (فواتير العملاء الآجلين تسجل بقيد يدوي في المرحلة 1). مبيعات الفروع والمنصات لا تظهر هنا.</t>
        </is>
      </c>
    </row>
    <row r="3">
      <c r="A3" s="36" t="inlineStr">
        <is>
          <t>خلايا الإدخال</t>
        </is>
      </c>
      <c r="B3" s="37" t="inlineStr">
        <is>
          <t>معادلات (لا تعدّل)</t>
        </is>
      </c>
    </row>
    <row r="4">
      <c r="A4" s="53" t="inlineStr">
        <is>
          <t>تاريخ الأرصدة</t>
        </is>
      </c>
      <c r="B4" s="31">
        <f>S_To</f>
        <v/>
      </c>
      <c r="D4" s="53" t="inlineStr">
        <is>
          <t>إجمالي أرصدة العملاء (دفتر فرعي)</t>
        </is>
      </c>
      <c r="E4" s="47">
        <f>SUM(Customer_Balances!$D$9:$D$108)</f>
        <v/>
      </c>
    </row>
    <row r="5">
      <c r="D5" s="53" t="inlineStr">
        <is>
          <t>رصيد حساب العملاء 1301 في الأستاذ</t>
        </is>
      </c>
      <c r="E5" s="47">
        <f>(SUMIFS(GL_Journal!$S:$S,GL_Journal!$G:$G,ACC_CUSTOMERS,GL_Journal!$D:$D,"&lt;="&amp;CB_To)-SUMIFS(GL_Journal!$T:$T,GL_Journal!$G:$G,ACC_CUSTOMERS,GL_Journal!$D:$D,"&lt;="&amp;CB_To))</f>
        <v/>
      </c>
    </row>
    <row r="6">
      <c r="D6" s="53" t="inlineStr">
        <is>
          <t>الفرق</t>
        </is>
      </c>
      <c r="E6" s="47">
        <f>ROUND(E4-E5,2)</f>
        <v/>
      </c>
    </row>
    <row r="8" ht="34" customHeight="1">
      <c r="A8" s="38" t="inlineStr">
        <is>
          <t>كود العميل</t>
        </is>
      </c>
      <c r="B8" s="38" t="inlineStr">
        <is>
          <t>اسم العميل</t>
        </is>
      </c>
      <c r="C8" s="38" t="inlineStr">
        <is>
          <t>حد الائتمان</t>
        </is>
      </c>
      <c r="D8" s="38" t="inlineStr">
        <is>
          <t>الرصيد (مدين+)</t>
        </is>
      </c>
      <c r="E8" s="38" t="inlineStr">
        <is>
          <t>تنبيه</t>
        </is>
      </c>
    </row>
    <row r="9">
      <c r="A9" s="44">
        <f>IF(INDEX(Customers!$A:$A,ROW()-4)="","",INDEX(Customers!$A:$A,ROW()-4))</f>
        <v/>
      </c>
      <c r="B9" s="32">
        <f>IF($A9="","",INDEX(Customers!$B:$B,ROW()-4))</f>
        <v/>
      </c>
      <c r="C9" s="43">
        <f>IF($A9="","",INDEX(Customers!$D:$D,ROW()-4))</f>
        <v/>
      </c>
      <c r="D9" s="47">
        <f>IF($A9="","",(SUMIFS(GL_Journal!$S:$S,GL_Journal!$G:$G,ACC_CUSTOMERS,GL_Journal!$K:$K,$A9,GL_Journal!$D:$D,"&lt;="&amp;CB_To)-SUMIFS(GL_Journal!$T:$T,GL_Journal!$G:$G,ACC_CUSTOMERS,GL_Journal!$K:$K,$A9,GL_Journal!$D:$D,"&lt;="&amp;CB_To)))</f>
        <v/>
      </c>
      <c r="E9" s="32">
        <f>IF($A9="","",IF(AND(ISNUMBER($C9),$C9&gt;0,$D9&gt;$C9),"تجاوز حد الائتمان",IF($D9&lt;-S_Tol,"رصيد دائن للعميل","")))</f>
        <v/>
      </c>
    </row>
    <row r="10">
      <c r="A10" s="44">
        <f>IF(INDEX(Customers!$A:$A,ROW()-4)="","",INDEX(Customers!$A:$A,ROW()-4))</f>
        <v/>
      </c>
      <c r="B10" s="32">
        <f>IF($A10="","",INDEX(Customers!$B:$B,ROW()-4))</f>
        <v/>
      </c>
      <c r="C10" s="43">
        <f>IF($A10="","",INDEX(Customers!$D:$D,ROW()-4))</f>
        <v/>
      </c>
      <c r="D10" s="47">
        <f>IF($A10="","",(SUMIFS(GL_Journal!$S:$S,GL_Journal!$G:$G,ACC_CUSTOMERS,GL_Journal!$K:$K,$A10,GL_Journal!$D:$D,"&lt;="&amp;CB_To)-SUMIFS(GL_Journal!$T:$T,GL_Journal!$G:$G,ACC_CUSTOMERS,GL_Journal!$K:$K,$A10,GL_Journal!$D:$D,"&lt;="&amp;CB_To)))</f>
        <v/>
      </c>
      <c r="E10" s="32">
        <f>IF($A10="","",IF(AND(ISNUMBER($C10),$C10&gt;0,$D10&gt;$C10),"تجاوز حد الائتمان",IF($D10&lt;-S_Tol,"رصيد دائن للعميل","")))</f>
        <v/>
      </c>
    </row>
    <row r="11">
      <c r="A11" s="44">
        <f>IF(INDEX(Customers!$A:$A,ROW()-4)="","",INDEX(Customers!$A:$A,ROW()-4))</f>
        <v/>
      </c>
      <c r="B11" s="32">
        <f>IF($A11="","",INDEX(Customers!$B:$B,ROW()-4))</f>
        <v/>
      </c>
      <c r="C11" s="43">
        <f>IF($A11="","",INDEX(Customers!$D:$D,ROW()-4))</f>
        <v/>
      </c>
      <c r="D11" s="47">
        <f>IF($A11="","",(SUMIFS(GL_Journal!$S:$S,GL_Journal!$G:$G,ACC_CUSTOMERS,GL_Journal!$K:$K,$A11,GL_Journal!$D:$D,"&lt;="&amp;CB_To)-SUMIFS(GL_Journal!$T:$T,GL_Journal!$G:$G,ACC_CUSTOMERS,GL_Journal!$K:$K,$A11,GL_Journal!$D:$D,"&lt;="&amp;CB_To)))</f>
        <v/>
      </c>
      <c r="E11" s="32">
        <f>IF($A11="","",IF(AND(ISNUMBER($C11),$C11&gt;0,$D11&gt;$C11),"تجاوز حد الائتمان",IF($D11&lt;-S_Tol,"رصيد دائن للعميل","")))</f>
        <v/>
      </c>
    </row>
    <row r="12">
      <c r="A12" s="44">
        <f>IF(INDEX(Customers!$A:$A,ROW()-4)="","",INDEX(Customers!$A:$A,ROW()-4))</f>
        <v/>
      </c>
      <c r="B12" s="32">
        <f>IF($A12="","",INDEX(Customers!$B:$B,ROW()-4))</f>
        <v/>
      </c>
      <c r="C12" s="43">
        <f>IF($A12="","",INDEX(Customers!$D:$D,ROW()-4))</f>
        <v/>
      </c>
      <c r="D12" s="47">
        <f>IF($A12="","",(SUMIFS(GL_Journal!$S:$S,GL_Journal!$G:$G,ACC_CUSTOMERS,GL_Journal!$K:$K,$A12,GL_Journal!$D:$D,"&lt;="&amp;CB_To)-SUMIFS(GL_Journal!$T:$T,GL_Journal!$G:$G,ACC_CUSTOMERS,GL_Journal!$K:$K,$A12,GL_Journal!$D:$D,"&lt;="&amp;CB_To)))</f>
        <v/>
      </c>
      <c r="E12" s="32">
        <f>IF($A12="","",IF(AND(ISNUMBER($C12),$C12&gt;0,$D12&gt;$C12),"تجاوز حد الائتمان",IF($D12&lt;-S_Tol,"رصيد دائن للعميل","")))</f>
        <v/>
      </c>
    </row>
    <row r="13">
      <c r="A13" s="44">
        <f>IF(INDEX(Customers!$A:$A,ROW()-4)="","",INDEX(Customers!$A:$A,ROW()-4))</f>
        <v/>
      </c>
      <c r="B13" s="32">
        <f>IF($A13="","",INDEX(Customers!$B:$B,ROW()-4))</f>
        <v/>
      </c>
      <c r="C13" s="43">
        <f>IF($A13="","",INDEX(Customers!$D:$D,ROW()-4))</f>
        <v/>
      </c>
      <c r="D13" s="47">
        <f>IF($A13="","",(SUMIFS(GL_Journal!$S:$S,GL_Journal!$G:$G,ACC_CUSTOMERS,GL_Journal!$K:$K,$A13,GL_Journal!$D:$D,"&lt;="&amp;CB_To)-SUMIFS(GL_Journal!$T:$T,GL_Journal!$G:$G,ACC_CUSTOMERS,GL_Journal!$K:$K,$A13,GL_Journal!$D:$D,"&lt;="&amp;CB_To)))</f>
        <v/>
      </c>
      <c r="E13" s="32">
        <f>IF($A13="","",IF(AND(ISNUMBER($C13),$C13&gt;0,$D13&gt;$C13),"تجاوز حد الائتمان",IF($D13&lt;-S_Tol,"رصيد دائن للعميل","")))</f>
        <v/>
      </c>
    </row>
    <row r="14">
      <c r="A14" s="44">
        <f>IF(INDEX(Customers!$A:$A,ROW()-4)="","",INDEX(Customers!$A:$A,ROW()-4))</f>
        <v/>
      </c>
      <c r="B14" s="32">
        <f>IF($A14="","",INDEX(Customers!$B:$B,ROW()-4))</f>
        <v/>
      </c>
      <c r="C14" s="43">
        <f>IF($A14="","",INDEX(Customers!$D:$D,ROW()-4))</f>
        <v/>
      </c>
      <c r="D14" s="47">
        <f>IF($A14="","",(SUMIFS(GL_Journal!$S:$S,GL_Journal!$G:$G,ACC_CUSTOMERS,GL_Journal!$K:$K,$A14,GL_Journal!$D:$D,"&lt;="&amp;CB_To)-SUMIFS(GL_Journal!$T:$T,GL_Journal!$G:$G,ACC_CUSTOMERS,GL_Journal!$K:$K,$A14,GL_Journal!$D:$D,"&lt;="&amp;CB_To)))</f>
        <v/>
      </c>
      <c r="E14" s="32">
        <f>IF($A14="","",IF(AND(ISNUMBER($C14),$C14&gt;0,$D14&gt;$C14),"تجاوز حد الائتمان",IF($D14&lt;-S_Tol,"رصيد دائن للعميل","")))</f>
        <v/>
      </c>
    </row>
    <row r="15">
      <c r="A15" s="44">
        <f>IF(INDEX(Customers!$A:$A,ROW()-4)="","",INDEX(Customers!$A:$A,ROW()-4))</f>
        <v/>
      </c>
      <c r="B15" s="32">
        <f>IF($A15="","",INDEX(Customers!$B:$B,ROW()-4))</f>
        <v/>
      </c>
      <c r="C15" s="43">
        <f>IF($A15="","",INDEX(Customers!$D:$D,ROW()-4))</f>
        <v/>
      </c>
      <c r="D15" s="47">
        <f>IF($A15="","",(SUMIFS(GL_Journal!$S:$S,GL_Journal!$G:$G,ACC_CUSTOMERS,GL_Journal!$K:$K,$A15,GL_Journal!$D:$D,"&lt;="&amp;CB_To)-SUMIFS(GL_Journal!$T:$T,GL_Journal!$G:$G,ACC_CUSTOMERS,GL_Journal!$K:$K,$A15,GL_Journal!$D:$D,"&lt;="&amp;CB_To)))</f>
        <v/>
      </c>
      <c r="E15" s="32">
        <f>IF($A15="","",IF(AND(ISNUMBER($C15),$C15&gt;0,$D15&gt;$C15),"تجاوز حد الائتمان",IF($D15&lt;-S_Tol,"رصيد دائن للعميل","")))</f>
        <v/>
      </c>
    </row>
    <row r="16">
      <c r="A16" s="44">
        <f>IF(INDEX(Customers!$A:$A,ROW()-4)="","",INDEX(Customers!$A:$A,ROW()-4))</f>
        <v/>
      </c>
      <c r="B16" s="32">
        <f>IF($A16="","",INDEX(Customers!$B:$B,ROW()-4))</f>
        <v/>
      </c>
      <c r="C16" s="43">
        <f>IF($A16="","",INDEX(Customers!$D:$D,ROW()-4))</f>
        <v/>
      </c>
      <c r="D16" s="47">
        <f>IF($A16="","",(SUMIFS(GL_Journal!$S:$S,GL_Journal!$G:$G,ACC_CUSTOMERS,GL_Journal!$K:$K,$A16,GL_Journal!$D:$D,"&lt;="&amp;CB_To)-SUMIFS(GL_Journal!$T:$T,GL_Journal!$G:$G,ACC_CUSTOMERS,GL_Journal!$K:$K,$A16,GL_Journal!$D:$D,"&lt;="&amp;CB_To)))</f>
        <v/>
      </c>
      <c r="E16" s="32">
        <f>IF($A16="","",IF(AND(ISNUMBER($C16),$C16&gt;0,$D16&gt;$C16),"تجاوز حد الائتمان",IF($D16&lt;-S_Tol,"رصيد دائن للعميل","")))</f>
        <v/>
      </c>
    </row>
    <row r="17">
      <c r="A17" s="44">
        <f>IF(INDEX(Customers!$A:$A,ROW()-4)="","",INDEX(Customers!$A:$A,ROW()-4))</f>
        <v/>
      </c>
      <c r="B17" s="32">
        <f>IF($A17="","",INDEX(Customers!$B:$B,ROW()-4))</f>
        <v/>
      </c>
      <c r="C17" s="43">
        <f>IF($A17="","",INDEX(Customers!$D:$D,ROW()-4))</f>
        <v/>
      </c>
      <c r="D17" s="47">
        <f>IF($A17="","",(SUMIFS(GL_Journal!$S:$S,GL_Journal!$G:$G,ACC_CUSTOMERS,GL_Journal!$K:$K,$A17,GL_Journal!$D:$D,"&lt;="&amp;CB_To)-SUMIFS(GL_Journal!$T:$T,GL_Journal!$G:$G,ACC_CUSTOMERS,GL_Journal!$K:$K,$A17,GL_Journal!$D:$D,"&lt;="&amp;CB_To)))</f>
        <v/>
      </c>
      <c r="E17" s="32">
        <f>IF($A17="","",IF(AND(ISNUMBER($C17),$C17&gt;0,$D17&gt;$C17),"تجاوز حد الائتمان",IF($D17&lt;-S_Tol,"رصيد دائن للعميل","")))</f>
        <v/>
      </c>
    </row>
    <row r="18">
      <c r="A18" s="44">
        <f>IF(INDEX(Customers!$A:$A,ROW()-4)="","",INDEX(Customers!$A:$A,ROW()-4))</f>
        <v/>
      </c>
      <c r="B18" s="32">
        <f>IF($A18="","",INDEX(Customers!$B:$B,ROW()-4))</f>
        <v/>
      </c>
      <c r="C18" s="43">
        <f>IF($A18="","",INDEX(Customers!$D:$D,ROW()-4))</f>
        <v/>
      </c>
      <c r="D18" s="47">
        <f>IF($A18="","",(SUMIFS(GL_Journal!$S:$S,GL_Journal!$G:$G,ACC_CUSTOMERS,GL_Journal!$K:$K,$A18,GL_Journal!$D:$D,"&lt;="&amp;CB_To)-SUMIFS(GL_Journal!$T:$T,GL_Journal!$G:$G,ACC_CUSTOMERS,GL_Journal!$K:$K,$A18,GL_Journal!$D:$D,"&lt;="&amp;CB_To)))</f>
        <v/>
      </c>
      <c r="E18" s="32">
        <f>IF($A18="","",IF(AND(ISNUMBER($C18),$C18&gt;0,$D18&gt;$C18),"تجاوز حد الائتمان",IF($D18&lt;-S_Tol,"رصيد دائن للعميل","")))</f>
        <v/>
      </c>
    </row>
    <row r="19">
      <c r="A19" s="44">
        <f>IF(INDEX(Customers!$A:$A,ROW()-4)="","",INDEX(Customers!$A:$A,ROW()-4))</f>
        <v/>
      </c>
      <c r="B19" s="32">
        <f>IF($A19="","",INDEX(Customers!$B:$B,ROW()-4))</f>
        <v/>
      </c>
      <c r="C19" s="43">
        <f>IF($A19="","",INDEX(Customers!$D:$D,ROW()-4))</f>
        <v/>
      </c>
      <c r="D19" s="47">
        <f>IF($A19="","",(SUMIFS(GL_Journal!$S:$S,GL_Journal!$G:$G,ACC_CUSTOMERS,GL_Journal!$K:$K,$A19,GL_Journal!$D:$D,"&lt;="&amp;CB_To)-SUMIFS(GL_Journal!$T:$T,GL_Journal!$G:$G,ACC_CUSTOMERS,GL_Journal!$K:$K,$A19,GL_Journal!$D:$D,"&lt;="&amp;CB_To)))</f>
        <v/>
      </c>
      <c r="E19" s="32">
        <f>IF($A19="","",IF(AND(ISNUMBER($C19),$C19&gt;0,$D19&gt;$C19),"تجاوز حد الائتمان",IF($D19&lt;-S_Tol,"رصيد دائن للعميل","")))</f>
        <v/>
      </c>
    </row>
    <row r="20">
      <c r="A20" s="44">
        <f>IF(INDEX(Customers!$A:$A,ROW()-4)="","",INDEX(Customers!$A:$A,ROW()-4))</f>
        <v/>
      </c>
      <c r="B20" s="32">
        <f>IF($A20="","",INDEX(Customers!$B:$B,ROW()-4))</f>
        <v/>
      </c>
      <c r="C20" s="43">
        <f>IF($A20="","",INDEX(Customers!$D:$D,ROW()-4))</f>
        <v/>
      </c>
      <c r="D20" s="47">
        <f>IF($A20="","",(SUMIFS(GL_Journal!$S:$S,GL_Journal!$G:$G,ACC_CUSTOMERS,GL_Journal!$K:$K,$A20,GL_Journal!$D:$D,"&lt;="&amp;CB_To)-SUMIFS(GL_Journal!$T:$T,GL_Journal!$G:$G,ACC_CUSTOMERS,GL_Journal!$K:$K,$A20,GL_Journal!$D:$D,"&lt;="&amp;CB_To)))</f>
        <v/>
      </c>
      <c r="E20" s="32">
        <f>IF($A20="","",IF(AND(ISNUMBER($C20),$C20&gt;0,$D20&gt;$C20),"تجاوز حد الائتمان",IF($D20&lt;-S_Tol,"رصيد دائن للعميل","")))</f>
        <v/>
      </c>
    </row>
    <row r="21">
      <c r="A21" s="44">
        <f>IF(INDEX(Customers!$A:$A,ROW()-4)="","",INDEX(Customers!$A:$A,ROW()-4))</f>
        <v/>
      </c>
      <c r="B21" s="32">
        <f>IF($A21="","",INDEX(Customers!$B:$B,ROW()-4))</f>
        <v/>
      </c>
      <c r="C21" s="43">
        <f>IF($A21="","",INDEX(Customers!$D:$D,ROW()-4))</f>
        <v/>
      </c>
      <c r="D21" s="47">
        <f>IF($A21="","",(SUMIFS(GL_Journal!$S:$S,GL_Journal!$G:$G,ACC_CUSTOMERS,GL_Journal!$K:$K,$A21,GL_Journal!$D:$D,"&lt;="&amp;CB_To)-SUMIFS(GL_Journal!$T:$T,GL_Journal!$G:$G,ACC_CUSTOMERS,GL_Journal!$K:$K,$A21,GL_Journal!$D:$D,"&lt;="&amp;CB_To)))</f>
        <v/>
      </c>
      <c r="E21" s="32">
        <f>IF($A21="","",IF(AND(ISNUMBER($C21),$C21&gt;0,$D21&gt;$C21),"تجاوز حد الائتمان",IF($D21&lt;-S_Tol,"رصيد دائن للعميل","")))</f>
        <v/>
      </c>
    </row>
    <row r="22">
      <c r="A22" s="44">
        <f>IF(INDEX(Customers!$A:$A,ROW()-4)="","",INDEX(Customers!$A:$A,ROW()-4))</f>
        <v/>
      </c>
      <c r="B22" s="32">
        <f>IF($A22="","",INDEX(Customers!$B:$B,ROW()-4))</f>
        <v/>
      </c>
      <c r="C22" s="43">
        <f>IF($A22="","",INDEX(Customers!$D:$D,ROW()-4))</f>
        <v/>
      </c>
      <c r="D22" s="47">
        <f>IF($A22="","",(SUMIFS(GL_Journal!$S:$S,GL_Journal!$G:$G,ACC_CUSTOMERS,GL_Journal!$K:$K,$A22,GL_Journal!$D:$D,"&lt;="&amp;CB_To)-SUMIFS(GL_Journal!$T:$T,GL_Journal!$G:$G,ACC_CUSTOMERS,GL_Journal!$K:$K,$A22,GL_Journal!$D:$D,"&lt;="&amp;CB_To)))</f>
        <v/>
      </c>
      <c r="E22" s="32">
        <f>IF($A22="","",IF(AND(ISNUMBER($C22),$C22&gt;0,$D22&gt;$C22),"تجاوز حد الائتمان",IF($D22&lt;-S_Tol,"رصيد دائن للعميل","")))</f>
        <v/>
      </c>
    </row>
    <row r="23">
      <c r="A23" s="44">
        <f>IF(INDEX(Customers!$A:$A,ROW()-4)="","",INDEX(Customers!$A:$A,ROW()-4))</f>
        <v/>
      </c>
      <c r="B23" s="32">
        <f>IF($A23="","",INDEX(Customers!$B:$B,ROW()-4))</f>
        <v/>
      </c>
      <c r="C23" s="43">
        <f>IF($A23="","",INDEX(Customers!$D:$D,ROW()-4))</f>
        <v/>
      </c>
      <c r="D23" s="47">
        <f>IF($A23="","",(SUMIFS(GL_Journal!$S:$S,GL_Journal!$G:$G,ACC_CUSTOMERS,GL_Journal!$K:$K,$A23,GL_Journal!$D:$D,"&lt;="&amp;CB_To)-SUMIFS(GL_Journal!$T:$T,GL_Journal!$G:$G,ACC_CUSTOMERS,GL_Journal!$K:$K,$A23,GL_Journal!$D:$D,"&lt;="&amp;CB_To)))</f>
        <v/>
      </c>
      <c r="E23" s="32">
        <f>IF($A23="","",IF(AND(ISNUMBER($C23),$C23&gt;0,$D23&gt;$C23),"تجاوز حد الائتمان",IF($D23&lt;-S_Tol,"رصيد دائن للعميل","")))</f>
        <v/>
      </c>
    </row>
    <row r="24">
      <c r="A24" s="44">
        <f>IF(INDEX(Customers!$A:$A,ROW()-4)="","",INDEX(Customers!$A:$A,ROW()-4))</f>
        <v/>
      </c>
      <c r="B24" s="32">
        <f>IF($A24="","",INDEX(Customers!$B:$B,ROW()-4))</f>
        <v/>
      </c>
      <c r="C24" s="43">
        <f>IF($A24="","",INDEX(Customers!$D:$D,ROW()-4))</f>
        <v/>
      </c>
      <c r="D24" s="47">
        <f>IF($A24="","",(SUMIFS(GL_Journal!$S:$S,GL_Journal!$G:$G,ACC_CUSTOMERS,GL_Journal!$K:$K,$A24,GL_Journal!$D:$D,"&lt;="&amp;CB_To)-SUMIFS(GL_Journal!$T:$T,GL_Journal!$G:$G,ACC_CUSTOMERS,GL_Journal!$K:$K,$A24,GL_Journal!$D:$D,"&lt;="&amp;CB_To)))</f>
        <v/>
      </c>
      <c r="E24" s="32">
        <f>IF($A24="","",IF(AND(ISNUMBER($C24),$C24&gt;0,$D24&gt;$C24),"تجاوز حد الائتمان",IF($D24&lt;-S_Tol,"رصيد دائن للعميل","")))</f>
        <v/>
      </c>
    </row>
    <row r="25">
      <c r="A25" s="44">
        <f>IF(INDEX(Customers!$A:$A,ROW()-4)="","",INDEX(Customers!$A:$A,ROW()-4))</f>
        <v/>
      </c>
      <c r="B25" s="32">
        <f>IF($A25="","",INDEX(Customers!$B:$B,ROW()-4))</f>
        <v/>
      </c>
      <c r="C25" s="43">
        <f>IF($A25="","",INDEX(Customers!$D:$D,ROW()-4))</f>
        <v/>
      </c>
      <c r="D25" s="47">
        <f>IF($A25="","",(SUMIFS(GL_Journal!$S:$S,GL_Journal!$G:$G,ACC_CUSTOMERS,GL_Journal!$K:$K,$A25,GL_Journal!$D:$D,"&lt;="&amp;CB_To)-SUMIFS(GL_Journal!$T:$T,GL_Journal!$G:$G,ACC_CUSTOMERS,GL_Journal!$K:$K,$A25,GL_Journal!$D:$D,"&lt;="&amp;CB_To)))</f>
        <v/>
      </c>
      <c r="E25" s="32">
        <f>IF($A25="","",IF(AND(ISNUMBER($C25),$C25&gt;0,$D25&gt;$C25),"تجاوز حد الائتمان",IF($D25&lt;-S_Tol,"رصيد دائن للعميل","")))</f>
        <v/>
      </c>
    </row>
    <row r="26">
      <c r="A26" s="44">
        <f>IF(INDEX(Customers!$A:$A,ROW()-4)="","",INDEX(Customers!$A:$A,ROW()-4))</f>
        <v/>
      </c>
      <c r="B26" s="32">
        <f>IF($A26="","",INDEX(Customers!$B:$B,ROW()-4))</f>
        <v/>
      </c>
      <c r="C26" s="43">
        <f>IF($A26="","",INDEX(Customers!$D:$D,ROW()-4))</f>
        <v/>
      </c>
      <c r="D26" s="47">
        <f>IF($A26="","",(SUMIFS(GL_Journal!$S:$S,GL_Journal!$G:$G,ACC_CUSTOMERS,GL_Journal!$K:$K,$A26,GL_Journal!$D:$D,"&lt;="&amp;CB_To)-SUMIFS(GL_Journal!$T:$T,GL_Journal!$G:$G,ACC_CUSTOMERS,GL_Journal!$K:$K,$A26,GL_Journal!$D:$D,"&lt;="&amp;CB_To)))</f>
        <v/>
      </c>
      <c r="E26" s="32">
        <f>IF($A26="","",IF(AND(ISNUMBER($C26),$C26&gt;0,$D26&gt;$C26),"تجاوز حد الائتمان",IF($D26&lt;-S_Tol,"رصيد دائن للعميل","")))</f>
        <v/>
      </c>
    </row>
    <row r="27">
      <c r="A27" s="44">
        <f>IF(INDEX(Customers!$A:$A,ROW()-4)="","",INDEX(Customers!$A:$A,ROW()-4))</f>
        <v/>
      </c>
      <c r="B27" s="32">
        <f>IF($A27="","",INDEX(Customers!$B:$B,ROW()-4))</f>
        <v/>
      </c>
      <c r="C27" s="43">
        <f>IF($A27="","",INDEX(Customers!$D:$D,ROW()-4))</f>
        <v/>
      </c>
      <c r="D27" s="47">
        <f>IF($A27="","",(SUMIFS(GL_Journal!$S:$S,GL_Journal!$G:$G,ACC_CUSTOMERS,GL_Journal!$K:$K,$A27,GL_Journal!$D:$D,"&lt;="&amp;CB_To)-SUMIFS(GL_Journal!$T:$T,GL_Journal!$G:$G,ACC_CUSTOMERS,GL_Journal!$K:$K,$A27,GL_Journal!$D:$D,"&lt;="&amp;CB_To)))</f>
        <v/>
      </c>
      <c r="E27" s="32">
        <f>IF($A27="","",IF(AND(ISNUMBER($C27),$C27&gt;0,$D27&gt;$C27),"تجاوز حد الائتمان",IF($D27&lt;-S_Tol,"رصيد دائن للعميل","")))</f>
        <v/>
      </c>
    </row>
    <row r="28">
      <c r="A28" s="44">
        <f>IF(INDEX(Customers!$A:$A,ROW()-4)="","",INDEX(Customers!$A:$A,ROW()-4))</f>
        <v/>
      </c>
      <c r="B28" s="32">
        <f>IF($A28="","",INDEX(Customers!$B:$B,ROW()-4))</f>
        <v/>
      </c>
      <c r="C28" s="43">
        <f>IF($A28="","",INDEX(Customers!$D:$D,ROW()-4))</f>
        <v/>
      </c>
      <c r="D28" s="47">
        <f>IF($A28="","",(SUMIFS(GL_Journal!$S:$S,GL_Journal!$G:$G,ACC_CUSTOMERS,GL_Journal!$K:$K,$A28,GL_Journal!$D:$D,"&lt;="&amp;CB_To)-SUMIFS(GL_Journal!$T:$T,GL_Journal!$G:$G,ACC_CUSTOMERS,GL_Journal!$K:$K,$A28,GL_Journal!$D:$D,"&lt;="&amp;CB_To)))</f>
        <v/>
      </c>
      <c r="E28" s="32">
        <f>IF($A28="","",IF(AND(ISNUMBER($C28),$C28&gt;0,$D28&gt;$C28),"تجاوز حد الائتمان",IF($D28&lt;-S_Tol,"رصيد دائن للعميل","")))</f>
        <v/>
      </c>
    </row>
    <row r="29">
      <c r="A29" s="44">
        <f>IF(INDEX(Customers!$A:$A,ROW()-4)="","",INDEX(Customers!$A:$A,ROW()-4))</f>
        <v/>
      </c>
      <c r="B29" s="32">
        <f>IF($A29="","",INDEX(Customers!$B:$B,ROW()-4))</f>
        <v/>
      </c>
      <c r="C29" s="43">
        <f>IF($A29="","",INDEX(Customers!$D:$D,ROW()-4))</f>
        <v/>
      </c>
      <c r="D29" s="47">
        <f>IF($A29="","",(SUMIFS(GL_Journal!$S:$S,GL_Journal!$G:$G,ACC_CUSTOMERS,GL_Journal!$K:$K,$A29,GL_Journal!$D:$D,"&lt;="&amp;CB_To)-SUMIFS(GL_Journal!$T:$T,GL_Journal!$G:$G,ACC_CUSTOMERS,GL_Journal!$K:$K,$A29,GL_Journal!$D:$D,"&lt;="&amp;CB_To)))</f>
        <v/>
      </c>
      <c r="E29" s="32">
        <f>IF($A29="","",IF(AND(ISNUMBER($C29),$C29&gt;0,$D29&gt;$C29),"تجاوز حد الائتمان",IF($D29&lt;-S_Tol,"رصيد دائن للعميل","")))</f>
        <v/>
      </c>
    </row>
    <row r="30">
      <c r="A30" s="44">
        <f>IF(INDEX(Customers!$A:$A,ROW()-4)="","",INDEX(Customers!$A:$A,ROW()-4))</f>
        <v/>
      </c>
      <c r="B30" s="32">
        <f>IF($A30="","",INDEX(Customers!$B:$B,ROW()-4))</f>
        <v/>
      </c>
      <c r="C30" s="43">
        <f>IF($A30="","",INDEX(Customers!$D:$D,ROW()-4))</f>
        <v/>
      </c>
      <c r="D30" s="47">
        <f>IF($A30="","",(SUMIFS(GL_Journal!$S:$S,GL_Journal!$G:$G,ACC_CUSTOMERS,GL_Journal!$K:$K,$A30,GL_Journal!$D:$D,"&lt;="&amp;CB_To)-SUMIFS(GL_Journal!$T:$T,GL_Journal!$G:$G,ACC_CUSTOMERS,GL_Journal!$K:$K,$A30,GL_Journal!$D:$D,"&lt;="&amp;CB_To)))</f>
        <v/>
      </c>
      <c r="E30" s="32">
        <f>IF($A30="","",IF(AND(ISNUMBER($C30),$C30&gt;0,$D30&gt;$C30),"تجاوز حد الائتمان",IF($D30&lt;-S_Tol,"رصيد دائن للعميل","")))</f>
        <v/>
      </c>
    </row>
    <row r="31">
      <c r="A31" s="44">
        <f>IF(INDEX(Customers!$A:$A,ROW()-4)="","",INDEX(Customers!$A:$A,ROW()-4))</f>
        <v/>
      </c>
      <c r="B31" s="32">
        <f>IF($A31="","",INDEX(Customers!$B:$B,ROW()-4))</f>
        <v/>
      </c>
      <c r="C31" s="43">
        <f>IF($A31="","",INDEX(Customers!$D:$D,ROW()-4))</f>
        <v/>
      </c>
      <c r="D31" s="47">
        <f>IF($A31="","",(SUMIFS(GL_Journal!$S:$S,GL_Journal!$G:$G,ACC_CUSTOMERS,GL_Journal!$K:$K,$A31,GL_Journal!$D:$D,"&lt;="&amp;CB_To)-SUMIFS(GL_Journal!$T:$T,GL_Journal!$G:$G,ACC_CUSTOMERS,GL_Journal!$K:$K,$A31,GL_Journal!$D:$D,"&lt;="&amp;CB_To)))</f>
        <v/>
      </c>
      <c r="E31" s="32">
        <f>IF($A31="","",IF(AND(ISNUMBER($C31),$C31&gt;0,$D31&gt;$C31),"تجاوز حد الائتمان",IF($D31&lt;-S_Tol,"رصيد دائن للعميل","")))</f>
        <v/>
      </c>
    </row>
    <row r="32">
      <c r="A32" s="44">
        <f>IF(INDEX(Customers!$A:$A,ROW()-4)="","",INDEX(Customers!$A:$A,ROW()-4))</f>
        <v/>
      </c>
      <c r="B32" s="32">
        <f>IF($A32="","",INDEX(Customers!$B:$B,ROW()-4))</f>
        <v/>
      </c>
      <c r="C32" s="43">
        <f>IF($A32="","",INDEX(Customers!$D:$D,ROW()-4))</f>
        <v/>
      </c>
      <c r="D32" s="47">
        <f>IF($A32="","",(SUMIFS(GL_Journal!$S:$S,GL_Journal!$G:$G,ACC_CUSTOMERS,GL_Journal!$K:$K,$A32,GL_Journal!$D:$D,"&lt;="&amp;CB_To)-SUMIFS(GL_Journal!$T:$T,GL_Journal!$G:$G,ACC_CUSTOMERS,GL_Journal!$K:$K,$A32,GL_Journal!$D:$D,"&lt;="&amp;CB_To)))</f>
        <v/>
      </c>
      <c r="E32" s="32">
        <f>IF($A32="","",IF(AND(ISNUMBER($C32),$C32&gt;0,$D32&gt;$C32),"تجاوز حد الائتمان",IF($D32&lt;-S_Tol,"رصيد دائن للعميل","")))</f>
        <v/>
      </c>
    </row>
    <row r="33">
      <c r="A33" s="44">
        <f>IF(INDEX(Customers!$A:$A,ROW()-4)="","",INDEX(Customers!$A:$A,ROW()-4))</f>
        <v/>
      </c>
      <c r="B33" s="32">
        <f>IF($A33="","",INDEX(Customers!$B:$B,ROW()-4))</f>
        <v/>
      </c>
      <c r="C33" s="43">
        <f>IF($A33="","",INDEX(Customers!$D:$D,ROW()-4))</f>
        <v/>
      </c>
      <c r="D33" s="47">
        <f>IF($A33="","",(SUMIFS(GL_Journal!$S:$S,GL_Journal!$G:$G,ACC_CUSTOMERS,GL_Journal!$K:$K,$A33,GL_Journal!$D:$D,"&lt;="&amp;CB_To)-SUMIFS(GL_Journal!$T:$T,GL_Journal!$G:$G,ACC_CUSTOMERS,GL_Journal!$K:$K,$A33,GL_Journal!$D:$D,"&lt;="&amp;CB_To)))</f>
        <v/>
      </c>
      <c r="E33" s="32">
        <f>IF($A33="","",IF(AND(ISNUMBER($C33),$C33&gt;0,$D33&gt;$C33),"تجاوز حد الائتمان",IF($D33&lt;-S_Tol,"رصيد دائن للعميل","")))</f>
        <v/>
      </c>
    </row>
    <row r="34">
      <c r="A34" s="44">
        <f>IF(INDEX(Customers!$A:$A,ROW()-4)="","",INDEX(Customers!$A:$A,ROW()-4))</f>
        <v/>
      </c>
      <c r="B34" s="32">
        <f>IF($A34="","",INDEX(Customers!$B:$B,ROW()-4))</f>
        <v/>
      </c>
      <c r="C34" s="43">
        <f>IF($A34="","",INDEX(Customers!$D:$D,ROW()-4))</f>
        <v/>
      </c>
      <c r="D34" s="47">
        <f>IF($A34="","",(SUMIFS(GL_Journal!$S:$S,GL_Journal!$G:$G,ACC_CUSTOMERS,GL_Journal!$K:$K,$A34,GL_Journal!$D:$D,"&lt;="&amp;CB_To)-SUMIFS(GL_Journal!$T:$T,GL_Journal!$G:$G,ACC_CUSTOMERS,GL_Journal!$K:$K,$A34,GL_Journal!$D:$D,"&lt;="&amp;CB_To)))</f>
        <v/>
      </c>
      <c r="E34" s="32">
        <f>IF($A34="","",IF(AND(ISNUMBER($C34),$C34&gt;0,$D34&gt;$C34),"تجاوز حد الائتمان",IF($D34&lt;-S_Tol,"رصيد دائن للعميل","")))</f>
        <v/>
      </c>
    </row>
    <row r="35">
      <c r="A35" s="44">
        <f>IF(INDEX(Customers!$A:$A,ROW()-4)="","",INDEX(Customers!$A:$A,ROW()-4))</f>
        <v/>
      </c>
      <c r="B35" s="32">
        <f>IF($A35="","",INDEX(Customers!$B:$B,ROW()-4))</f>
        <v/>
      </c>
      <c r="C35" s="43">
        <f>IF($A35="","",INDEX(Customers!$D:$D,ROW()-4))</f>
        <v/>
      </c>
      <c r="D35" s="47">
        <f>IF($A35="","",(SUMIFS(GL_Journal!$S:$S,GL_Journal!$G:$G,ACC_CUSTOMERS,GL_Journal!$K:$K,$A35,GL_Journal!$D:$D,"&lt;="&amp;CB_To)-SUMIFS(GL_Journal!$T:$T,GL_Journal!$G:$G,ACC_CUSTOMERS,GL_Journal!$K:$K,$A35,GL_Journal!$D:$D,"&lt;="&amp;CB_To)))</f>
        <v/>
      </c>
      <c r="E35" s="32">
        <f>IF($A35="","",IF(AND(ISNUMBER($C35),$C35&gt;0,$D35&gt;$C35),"تجاوز حد الائتمان",IF($D35&lt;-S_Tol,"رصيد دائن للعميل","")))</f>
        <v/>
      </c>
    </row>
    <row r="36">
      <c r="A36" s="44">
        <f>IF(INDEX(Customers!$A:$A,ROW()-4)="","",INDEX(Customers!$A:$A,ROW()-4))</f>
        <v/>
      </c>
      <c r="B36" s="32">
        <f>IF($A36="","",INDEX(Customers!$B:$B,ROW()-4))</f>
        <v/>
      </c>
      <c r="C36" s="43">
        <f>IF($A36="","",INDEX(Customers!$D:$D,ROW()-4))</f>
        <v/>
      </c>
      <c r="D36" s="47">
        <f>IF($A36="","",(SUMIFS(GL_Journal!$S:$S,GL_Journal!$G:$G,ACC_CUSTOMERS,GL_Journal!$K:$K,$A36,GL_Journal!$D:$D,"&lt;="&amp;CB_To)-SUMIFS(GL_Journal!$T:$T,GL_Journal!$G:$G,ACC_CUSTOMERS,GL_Journal!$K:$K,$A36,GL_Journal!$D:$D,"&lt;="&amp;CB_To)))</f>
        <v/>
      </c>
      <c r="E36" s="32">
        <f>IF($A36="","",IF(AND(ISNUMBER($C36),$C36&gt;0,$D36&gt;$C36),"تجاوز حد الائتمان",IF($D36&lt;-S_Tol,"رصيد دائن للعميل","")))</f>
        <v/>
      </c>
    </row>
    <row r="37">
      <c r="A37" s="44">
        <f>IF(INDEX(Customers!$A:$A,ROW()-4)="","",INDEX(Customers!$A:$A,ROW()-4))</f>
        <v/>
      </c>
      <c r="B37" s="32">
        <f>IF($A37="","",INDEX(Customers!$B:$B,ROW()-4))</f>
        <v/>
      </c>
      <c r="C37" s="43">
        <f>IF($A37="","",INDEX(Customers!$D:$D,ROW()-4))</f>
        <v/>
      </c>
      <c r="D37" s="47">
        <f>IF($A37="","",(SUMIFS(GL_Journal!$S:$S,GL_Journal!$G:$G,ACC_CUSTOMERS,GL_Journal!$K:$K,$A37,GL_Journal!$D:$D,"&lt;="&amp;CB_To)-SUMIFS(GL_Journal!$T:$T,GL_Journal!$G:$G,ACC_CUSTOMERS,GL_Journal!$K:$K,$A37,GL_Journal!$D:$D,"&lt;="&amp;CB_To)))</f>
        <v/>
      </c>
      <c r="E37" s="32">
        <f>IF($A37="","",IF(AND(ISNUMBER($C37),$C37&gt;0,$D37&gt;$C37),"تجاوز حد الائتمان",IF($D37&lt;-S_Tol,"رصيد دائن للعميل","")))</f>
        <v/>
      </c>
    </row>
    <row r="38">
      <c r="A38" s="44">
        <f>IF(INDEX(Customers!$A:$A,ROW()-4)="","",INDEX(Customers!$A:$A,ROW()-4))</f>
        <v/>
      </c>
      <c r="B38" s="32">
        <f>IF($A38="","",INDEX(Customers!$B:$B,ROW()-4))</f>
        <v/>
      </c>
      <c r="C38" s="43">
        <f>IF($A38="","",INDEX(Customers!$D:$D,ROW()-4))</f>
        <v/>
      </c>
      <c r="D38" s="47">
        <f>IF($A38="","",(SUMIFS(GL_Journal!$S:$S,GL_Journal!$G:$G,ACC_CUSTOMERS,GL_Journal!$K:$K,$A38,GL_Journal!$D:$D,"&lt;="&amp;CB_To)-SUMIFS(GL_Journal!$T:$T,GL_Journal!$G:$G,ACC_CUSTOMERS,GL_Journal!$K:$K,$A38,GL_Journal!$D:$D,"&lt;="&amp;CB_To)))</f>
        <v/>
      </c>
      <c r="E38" s="32">
        <f>IF($A38="","",IF(AND(ISNUMBER($C38),$C38&gt;0,$D38&gt;$C38),"تجاوز حد الائتمان",IF($D38&lt;-S_Tol,"رصيد دائن للعميل","")))</f>
        <v/>
      </c>
    </row>
    <row r="39">
      <c r="A39" s="44">
        <f>IF(INDEX(Customers!$A:$A,ROW()-4)="","",INDEX(Customers!$A:$A,ROW()-4))</f>
        <v/>
      </c>
      <c r="B39" s="32">
        <f>IF($A39="","",INDEX(Customers!$B:$B,ROW()-4))</f>
        <v/>
      </c>
      <c r="C39" s="43">
        <f>IF($A39="","",INDEX(Customers!$D:$D,ROW()-4))</f>
        <v/>
      </c>
      <c r="D39" s="47">
        <f>IF($A39="","",(SUMIFS(GL_Journal!$S:$S,GL_Journal!$G:$G,ACC_CUSTOMERS,GL_Journal!$K:$K,$A39,GL_Journal!$D:$D,"&lt;="&amp;CB_To)-SUMIFS(GL_Journal!$T:$T,GL_Journal!$G:$G,ACC_CUSTOMERS,GL_Journal!$K:$K,$A39,GL_Journal!$D:$D,"&lt;="&amp;CB_To)))</f>
        <v/>
      </c>
      <c r="E39" s="32">
        <f>IF($A39="","",IF(AND(ISNUMBER($C39),$C39&gt;0,$D39&gt;$C39),"تجاوز حد الائتمان",IF($D39&lt;-S_Tol,"رصيد دائن للعميل","")))</f>
        <v/>
      </c>
    </row>
    <row r="40">
      <c r="A40" s="44">
        <f>IF(INDEX(Customers!$A:$A,ROW()-4)="","",INDEX(Customers!$A:$A,ROW()-4))</f>
        <v/>
      </c>
      <c r="B40" s="32">
        <f>IF($A40="","",INDEX(Customers!$B:$B,ROW()-4))</f>
        <v/>
      </c>
      <c r="C40" s="43">
        <f>IF($A40="","",INDEX(Customers!$D:$D,ROW()-4))</f>
        <v/>
      </c>
      <c r="D40" s="47">
        <f>IF($A40="","",(SUMIFS(GL_Journal!$S:$S,GL_Journal!$G:$G,ACC_CUSTOMERS,GL_Journal!$K:$K,$A40,GL_Journal!$D:$D,"&lt;="&amp;CB_To)-SUMIFS(GL_Journal!$T:$T,GL_Journal!$G:$G,ACC_CUSTOMERS,GL_Journal!$K:$K,$A40,GL_Journal!$D:$D,"&lt;="&amp;CB_To)))</f>
        <v/>
      </c>
      <c r="E40" s="32">
        <f>IF($A40="","",IF(AND(ISNUMBER($C40),$C40&gt;0,$D40&gt;$C40),"تجاوز حد الائتمان",IF($D40&lt;-S_Tol,"رصيد دائن للعميل","")))</f>
        <v/>
      </c>
    </row>
    <row r="41">
      <c r="A41" s="44">
        <f>IF(INDEX(Customers!$A:$A,ROW()-4)="","",INDEX(Customers!$A:$A,ROW()-4))</f>
        <v/>
      </c>
      <c r="B41" s="32">
        <f>IF($A41="","",INDEX(Customers!$B:$B,ROW()-4))</f>
        <v/>
      </c>
      <c r="C41" s="43">
        <f>IF($A41="","",INDEX(Customers!$D:$D,ROW()-4))</f>
        <v/>
      </c>
      <c r="D41" s="47">
        <f>IF($A41="","",(SUMIFS(GL_Journal!$S:$S,GL_Journal!$G:$G,ACC_CUSTOMERS,GL_Journal!$K:$K,$A41,GL_Journal!$D:$D,"&lt;="&amp;CB_To)-SUMIFS(GL_Journal!$T:$T,GL_Journal!$G:$G,ACC_CUSTOMERS,GL_Journal!$K:$K,$A41,GL_Journal!$D:$D,"&lt;="&amp;CB_To)))</f>
        <v/>
      </c>
      <c r="E41" s="32">
        <f>IF($A41="","",IF(AND(ISNUMBER($C41),$C41&gt;0,$D41&gt;$C41),"تجاوز حد الائتمان",IF($D41&lt;-S_Tol,"رصيد دائن للعميل","")))</f>
        <v/>
      </c>
    </row>
    <row r="42">
      <c r="A42" s="44">
        <f>IF(INDEX(Customers!$A:$A,ROW()-4)="","",INDEX(Customers!$A:$A,ROW()-4))</f>
        <v/>
      </c>
      <c r="B42" s="32">
        <f>IF($A42="","",INDEX(Customers!$B:$B,ROW()-4))</f>
        <v/>
      </c>
      <c r="C42" s="43">
        <f>IF($A42="","",INDEX(Customers!$D:$D,ROW()-4))</f>
        <v/>
      </c>
      <c r="D42" s="47">
        <f>IF($A42="","",(SUMIFS(GL_Journal!$S:$S,GL_Journal!$G:$G,ACC_CUSTOMERS,GL_Journal!$K:$K,$A42,GL_Journal!$D:$D,"&lt;="&amp;CB_To)-SUMIFS(GL_Journal!$T:$T,GL_Journal!$G:$G,ACC_CUSTOMERS,GL_Journal!$K:$K,$A42,GL_Journal!$D:$D,"&lt;="&amp;CB_To)))</f>
        <v/>
      </c>
      <c r="E42" s="32">
        <f>IF($A42="","",IF(AND(ISNUMBER($C42),$C42&gt;0,$D42&gt;$C42),"تجاوز حد الائتمان",IF($D42&lt;-S_Tol,"رصيد دائن للعميل","")))</f>
        <v/>
      </c>
    </row>
    <row r="43">
      <c r="A43" s="44">
        <f>IF(INDEX(Customers!$A:$A,ROW()-4)="","",INDEX(Customers!$A:$A,ROW()-4))</f>
        <v/>
      </c>
      <c r="B43" s="32">
        <f>IF($A43="","",INDEX(Customers!$B:$B,ROW()-4))</f>
        <v/>
      </c>
      <c r="C43" s="43">
        <f>IF($A43="","",INDEX(Customers!$D:$D,ROW()-4))</f>
        <v/>
      </c>
      <c r="D43" s="47">
        <f>IF($A43="","",(SUMIFS(GL_Journal!$S:$S,GL_Journal!$G:$G,ACC_CUSTOMERS,GL_Journal!$K:$K,$A43,GL_Journal!$D:$D,"&lt;="&amp;CB_To)-SUMIFS(GL_Journal!$T:$T,GL_Journal!$G:$G,ACC_CUSTOMERS,GL_Journal!$K:$K,$A43,GL_Journal!$D:$D,"&lt;="&amp;CB_To)))</f>
        <v/>
      </c>
      <c r="E43" s="32">
        <f>IF($A43="","",IF(AND(ISNUMBER($C43),$C43&gt;0,$D43&gt;$C43),"تجاوز حد الائتمان",IF($D43&lt;-S_Tol,"رصيد دائن للعميل","")))</f>
        <v/>
      </c>
    </row>
    <row r="44">
      <c r="A44" s="44">
        <f>IF(INDEX(Customers!$A:$A,ROW()-4)="","",INDEX(Customers!$A:$A,ROW()-4))</f>
        <v/>
      </c>
      <c r="B44" s="32">
        <f>IF($A44="","",INDEX(Customers!$B:$B,ROW()-4))</f>
        <v/>
      </c>
      <c r="C44" s="43">
        <f>IF($A44="","",INDEX(Customers!$D:$D,ROW()-4))</f>
        <v/>
      </c>
      <c r="D44" s="47">
        <f>IF($A44="","",(SUMIFS(GL_Journal!$S:$S,GL_Journal!$G:$G,ACC_CUSTOMERS,GL_Journal!$K:$K,$A44,GL_Journal!$D:$D,"&lt;="&amp;CB_To)-SUMIFS(GL_Journal!$T:$T,GL_Journal!$G:$G,ACC_CUSTOMERS,GL_Journal!$K:$K,$A44,GL_Journal!$D:$D,"&lt;="&amp;CB_To)))</f>
        <v/>
      </c>
      <c r="E44" s="32">
        <f>IF($A44="","",IF(AND(ISNUMBER($C44),$C44&gt;0,$D44&gt;$C44),"تجاوز حد الائتمان",IF($D44&lt;-S_Tol,"رصيد دائن للعميل","")))</f>
        <v/>
      </c>
    </row>
    <row r="45">
      <c r="A45" s="44">
        <f>IF(INDEX(Customers!$A:$A,ROW()-4)="","",INDEX(Customers!$A:$A,ROW()-4))</f>
        <v/>
      </c>
      <c r="B45" s="32">
        <f>IF($A45="","",INDEX(Customers!$B:$B,ROW()-4))</f>
        <v/>
      </c>
      <c r="C45" s="43">
        <f>IF($A45="","",INDEX(Customers!$D:$D,ROW()-4))</f>
        <v/>
      </c>
      <c r="D45" s="47">
        <f>IF($A45="","",(SUMIFS(GL_Journal!$S:$S,GL_Journal!$G:$G,ACC_CUSTOMERS,GL_Journal!$K:$K,$A45,GL_Journal!$D:$D,"&lt;="&amp;CB_To)-SUMIFS(GL_Journal!$T:$T,GL_Journal!$G:$G,ACC_CUSTOMERS,GL_Journal!$K:$K,$A45,GL_Journal!$D:$D,"&lt;="&amp;CB_To)))</f>
        <v/>
      </c>
      <c r="E45" s="32">
        <f>IF($A45="","",IF(AND(ISNUMBER($C45),$C45&gt;0,$D45&gt;$C45),"تجاوز حد الائتمان",IF($D45&lt;-S_Tol,"رصيد دائن للعميل","")))</f>
        <v/>
      </c>
    </row>
    <row r="46">
      <c r="A46" s="44">
        <f>IF(INDEX(Customers!$A:$A,ROW()-4)="","",INDEX(Customers!$A:$A,ROW()-4))</f>
        <v/>
      </c>
      <c r="B46" s="32">
        <f>IF($A46="","",INDEX(Customers!$B:$B,ROW()-4))</f>
        <v/>
      </c>
      <c r="C46" s="43">
        <f>IF($A46="","",INDEX(Customers!$D:$D,ROW()-4))</f>
        <v/>
      </c>
      <c r="D46" s="47">
        <f>IF($A46="","",(SUMIFS(GL_Journal!$S:$S,GL_Journal!$G:$G,ACC_CUSTOMERS,GL_Journal!$K:$K,$A46,GL_Journal!$D:$D,"&lt;="&amp;CB_To)-SUMIFS(GL_Journal!$T:$T,GL_Journal!$G:$G,ACC_CUSTOMERS,GL_Journal!$K:$K,$A46,GL_Journal!$D:$D,"&lt;="&amp;CB_To)))</f>
        <v/>
      </c>
      <c r="E46" s="32">
        <f>IF($A46="","",IF(AND(ISNUMBER($C46),$C46&gt;0,$D46&gt;$C46),"تجاوز حد الائتمان",IF($D46&lt;-S_Tol,"رصيد دائن للعميل","")))</f>
        <v/>
      </c>
    </row>
    <row r="47">
      <c r="A47" s="44">
        <f>IF(INDEX(Customers!$A:$A,ROW()-4)="","",INDEX(Customers!$A:$A,ROW()-4))</f>
        <v/>
      </c>
      <c r="B47" s="32">
        <f>IF($A47="","",INDEX(Customers!$B:$B,ROW()-4))</f>
        <v/>
      </c>
      <c r="C47" s="43">
        <f>IF($A47="","",INDEX(Customers!$D:$D,ROW()-4))</f>
        <v/>
      </c>
      <c r="D47" s="47">
        <f>IF($A47="","",(SUMIFS(GL_Journal!$S:$S,GL_Journal!$G:$G,ACC_CUSTOMERS,GL_Journal!$K:$K,$A47,GL_Journal!$D:$D,"&lt;="&amp;CB_To)-SUMIFS(GL_Journal!$T:$T,GL_Journal!$G:$G,ACC_CUSTOMERS,GL_Journal!$K:$K,$A47,GL_Journal!$D:$D,"&lt;="&amp;CB_To)))</f>
        <v/>
      </c>
      <c r="E47" s="32">
        <f>IF($A47="","",IF(AND(ISNUMBER($C47),$C47&gt;0,$D47&gt;$C47),"تجاوز حد الائتمان",IF($D47&lt;-S_Tol,"رصيد دائن للعميل","")))</f>
        <v/>
      </c>
    </row>
    <row r="48">
      <c r="A48" s="44">
        <f>IF(INDEX(Customers!$A:$A,ROW()-4)="","",INDEX(Customers!$A:$A,ROW()-4))</f>
        <v/>
      </c>
      <c r="B48" s="32">
        <f>IF($A48="","",INDEX(Customers!$B:$B,ROW()-4))</f>
        <v/>
      </c>
      <c r="C48" s="43">
        <f>IF($A48="","",INDEX(Customers!$D:$D,ROW()-4))</f>
        <v/>
      </c>
      <c r="D48" s="47">
        <f>IF($A48="","",(SUMIFS(GL_Journal!$S:$S,GL_Journal!$G:$G,ACC_CUSTOMERS,GL_Journal!$K:$K,$A48,GL_Journal!$D:$D,"&lt;="&amp;CB_To)-SUMIFS(GL_Journal!$T:$T,GL_Journal!$G:$G,ACC_CUSTOMERS,GL_Journal!$K:$K,$A48,GL_Journal!$D:$D,"&lt;="&amp;CB_To)))</f>
        <v/>
      </c>
      <c r="E48" s="32">
        <f>IF($A48="","",IF(AND(ISNUMBER($C48),$C48&gt;0,$D48&gt;$C48),"تجاوز حد الائتمان",IF($D48&lt;-S_Tol,"رصيد دائن للعميل","")))</f>
        <v/>
      </c>
    </row>
    <row r="49">
      <c r="A49" s="44">
        <f>IF(INDEX(Customers!$A:$A,ROW()-4)="","",INDEX(Customers!$A:$A,ROW()-4))</f>
        <v/>
      </c>
      <c r="B49" s="32">
        <f>IF($A49="","",INDEX(Customers!$B:$B,ROW()-4))</f>
        <v/>
      </c>
      <c r="C49" s="43">
        <f>IF($A49="","",INDEX(Customers!$D:$D,ROW()-4))</f>
        <v/>
      </c>
      <c r="D49" s="47">
        <f>IF($A49="","",(SUMIFS(GL_Journal!$S:$S,GL_Journal!$G:$G,ACC_CUSTOMERS,GL_Journal!$K:$K,$A49,GL_Journal!$D:$D,"&lt;="&amp;CB_To)-SUMIFS(GL_Journal!$T:$T,GL_Journal!$G:$G,ACC_CUSTOMERS,GL_Journal!$K:$K,$A49,GL_Journal!$D:$D,"&lt;="&amp;CB_To)))</f>
        <v/>
      </c>
      <c r="E49" s="32">
        <f>IF($A49="","",IF(AND(ISNUMBER($C49),$C49&gt;0,$D49&gt;$C49),"تجاوز حد الائتمان",IF($D49&lt;-S_Tol,"رصيد دائن للعميل","")))</f>
        <v/>
      </c>
    </row>
    <row r="50">
      <c r="A50" s="44">
        <f>IF(INDEX(Customers!$A:$A,ROW()-4)="","",INDEX(Customers!$A:$A,ROW()-4))</f>
        <v/>
      </c>
      <c r="B50" s="32">
        <f>IF($A50="","",INDEX(Customers!$B:$B,ROW()-4))</f>
        <v/>
      </c>
      <c r="C50" s="43">
        <f>IF($A50="","",INDEX(Customers!$D:$D,ROW()-4))</f>
        <v/>
      </c>
      <c r="D50" s="47">
        <f>IF($A50="","",(SUMIFS(GL_Journal!$S:$S,GL_Journal!$G:$G,ACC_CUSTOMERS,GL_Journal!$K:$K,$A50,GL_Journal!$D:$D,"&lt;="&amp;CB_To)-SUMIFS(GL_Journal!$T:$T,GL_Journal!$G:$G,ACC_CUSTOMERS,GL_Journal!$K:$K,$A50,GL_Journal!$D:$D,"&lt;="&amp;CB_To)))</f>
        <v/>
      </c>
      <c r="E50" s="32">
        <f>IF($A50="","",IF(AND(ISNUMBER($C50),$C50&gt;0,$D50&gt;$C50),"تجاوز حد الائتمان",IF($D50&lt;-S_Tol,"رصيد دائن للعميل","")))</f>
        <v/>
      </c>
    </row>
    <row r="51">
      <c r="A51" s="44">
        <f>IF(INDEX(Customers!$A:$A,ROW()-4)="","",INDEX(Customers!$A:$A,ROW()-4))</f>
        <v/>
      </c>
      <c r="B51" s="32">
        <f>IF($A51="","",INDEX(Customers!$B:$B,ROW()-4))</f>
        <v/>
      </c>
      <c r="C51" s="43">
        <f>IF($A51="","",INDEX(Customers!$D:$D,ROW()-4))</f>
        <v/>
      </c>
      <c r="D51" s="47">
        <f>IF($A51="","",(SUMIFS(GL_Journal!$S:$S,GL_Journal!$G:$G,ACC_CUSTOMERS,GL_Journal!$K:$K,$A51,GL_Journal!$D:$D,"&lt;="&amp;CB_To)-SUMIFS(GL_Journal!$T:$T,GL_Journal!$G:$G,ACC_CUSTOMERS,GL_Journal!$K:$K,$A51,GL_Journal!$D:$D,"&lt;="&amp;CB_To)))</f>
        <v/>
      </c>
      <c r="E51" s="32">
        <f>IF($A51="","",IF(AND(ISNUMBER($C51),$C51&gt;0,$D51&gt;$C51),"تجاوز حد الائتمان",IF($D51&lt;-S_Tol,"رصيد دائن للعميل","")))</f>
        <v/>
      </c>
    </row>
    <row r="52">
      <c r="A52" s="44">
        <f>IF(INDEX(Customers!$A:$A,ROW()-4)="","",INDEX(Customers!$A:$A,ROW()-4))</f>
        <v/>
      </c>
      <c r="B52" s="32">
        <f>IF($A52="","",INDEX(Customers!$B:$B,ROW()-4))</f>
        <v/>
      </c>
      <c r="C52" s="43">
        <f>IF($A52="","",INDEX(Customers!$D:$D,ROW()-4))</f>
        <v/>
      </c>
      <c r="D52" s="47">
        <f>IF($A52="","",(SUMIFS(GL_Journal!$S:$S,GL_Journal!$G:$G,ACC_CUSTOMERS,GL_Journal!$K:$K,$A52,GL_Journal!$D:$D,"&lt;="&amp;CB_To)-SUMIFS(GL_Journal!$T:$T,GL_Journal!$G:$G,ACC_CUSTOMERS,GL_Journal!$K:$K,$A52,GL_Journal!$D:$D,"&lt;="&amp;CB_To)))</f>
        <v/>
      </c>
      <c r="E52" s="32">
        <f>IF($A52="","",IF(AND(ISNUMBER($C52),$C52&gt;0,$D52&gt;$C52),"تجاوز حد الائتمان",IF($D52&lt;-S_Tol,"رصيد دائن للعميل","")))</f>
        <v/>
      </c>
    </row>
    <row r="53">
      <c r="A53" s="44">
        <f>IF(INDEX(Customers!$A:$A,ROW()-4)="","",INDEX(Customers!$A:$A,ROW()-4))</f>
        <v/>
      </c>
      <c r="B53" s="32">
        <f>IF($A53="","",INDEX(Customers!$B:$B,ROW()-4))</f>
        <v/>
      </c>
      <c r="C53" s="43">
        <f>IF($A53="","",INDEX(Customers!$D:$D,ROW()-4))</f>
        <v/>
      </c>
      <c r="D53" s="47">
        <f>IF($A53="","",(SUMIFS(GL_Journal!$S:$S,GL_Journal!$G:$G,ACC_CUSTOMERS,GL_Journal!$K:$K,$A53,GL_Journal!$D:$D,"&lt;="&amp;CB_To)-SUMIFS(GL_Journal!$T:$T,GL_Journal!$G:$G,ACC_CUSTOMERS,GL_Journal!$K:$K,$A53,GL_Journal!$D:$D,"&lt;="&amp;CB_To)))</f>
        <v/>
      </c>
      <c r="E53" s="32">
        <f>IF($A53="","",IF(AND(ISNUMBER($C53),$C53&gt;0,$D53&gt;$C53),"تجاوز حد الائتمان",IF($D53&lt;-S_Tol,"رصيد دائن للعميل","")))</f>
        <v/>
      </c>
    </row>
    <row r="54">
      <c r="A54" s="44">
        <f>IF(INDEX(Customers!$A:$A,ROW()-4)="","",INDEX(Customers!$A:$A,ROW()-4))</f>
        <v/>
      </c>
      <c r="B54" s="32">
        <f>IF($A54="","",INDEX(Customers!$B:$B,ROW()-4))</f>
        <v/>
      </c>
      <c r="C54" s="43">
        <f>IF($A54="","",INDEX(Customers!$D:$D,ROW()-4))</f>
        <v/>
      </c>
      <c r="D54" s="47">
        <f>IF($A54="","",(SUMIFS(GL_Journal!$S:$S,GL_Journal!$G:$G,ACC_CUSTOMERS,GL_Journal!$K:$K,$A54,GL_Journal!$D:$D,"&lt;="&amp;CB_To)-SUMIFS(GL_Journal!$T:$T,GL_Journal!$G:$G,ACC_CUSTOMERS,GL_Journal!$K:$K,$A54,GL_Journal!$D:$D,"&lt;="&amp;CB_To)))</f>
        <v/>
      </c>
      <c r="E54" s="32">
        <f>IF($A54="","",IF(AND(ISNUMBER($C54),$C54&gt;0,$D54&gt;$C54),"تجاوز حد الائتمان",IF($D54&lt;-S_Tol,"رصيد دائن للعميل","")))</f>
        <v/>
      </c>
    </row>
    <row r="55">
      <c r="A55" s="44">
        <f>IF(INDEX(Customers!$A:$A,ROW()-4)="","",INDEX(Customers!$A:$A,ROW()-4))</f>
        <v/>
      </c>
      <c r="B55" s="32">
        <f>IF($A55="","",INDEX(Customers!$B:$B,ROW()-4))</f>
        <v/>
      </c>
      <c r="C55" s="43">
        <f>IF($A55="","",INDEX(Customers!$D:$D,ROW()-4))</f>
        <v/>
      </c>
      <c r="D55" s="47">
        <f>IF($A55="","",(SUMIFS(GL_Journal!$S:$S,GL_Journal!$G:$G,ACC_CUSTOMERS,GL_Journal!$K:$K,$A55,GL_Journal!$D:$D,"&lt;="&amp;CB_To)-SUMIFS(GL_Journal!$T:$T,GL_Journal!$G:$G,ACC_CUSTOMERS,GL_Journal!$K:$K,$A55,GL_Journal!$D:$D,"&lt;="&amp;CB_To)))</f>
        <v/>
      </c>
      <c r="E55" s="32">
        <f>IF($A55="","",IF(AND(ISNUMBER($C55),$C55&gt;0,$D55&gt;$C55),"تجاوز حد الائتمان",IF($D55&lt;-S_Tol,"رصيد دائن للعميل","")))</f>
        <v/>
      </c>
    </row>
    <row r="56">
      <c r="A56" s="44">
        <f>IF(INDEX(Customers!$A:$A,ROW()-4)="","",INDEX(Customers!$A:$A,ROW()-4))</f>
        <v/>
      </c>
      <c r="B56" s="32">
        <f>IF($A56="","",INDEX(Customers!$B:$B,ROW()-4))</f>
        <v/>
      </c>
      <c r="C56" s="43">
        <f>IF($A56="","",INDEX(Customers!$D:$D,ROW()-4))</f>
        <v/>
      </c>
      <c r="D56" s="47">
        <f>IF($A56="","",(SUMIFS(GL_Journal!$S:$S,GL_Journal!$G:$G,ACC_CUSTOMERS,GL_Journal!$K:$K,$A56,GL_Journal!$D:$D,"&lt;="&amp;CB_To)-SUMIFS(GL_Journal!$T:$T,GL_Journal!$G:$G,ACC_CUSTOMERS,GL_Journal!$K:$K,$A56,GL_Journal!$D:$D,"&lt;="&amp;CB_To)))</f>
        <v/>
      </c>
      <c r="E56" s="32">
        <f>IF($A56="","",IF(AND(ISNUMBER($C56),$C56&gt;0,$D56&gt;$C56),"تجاوز حد الائتمان",IF($D56&lt;-S_Tol,"رصيد دائن للعميل","")))</f>
        <v/>
      </c>
    </row>
    <row r="57">
      <c r="A57" s="44">
        <f>IF(INDEX(Customers!$A:$A,ROW()-4)="","",INDEX(Customers!$A:$A,ROW()-4))</f>
        <v/>
      </c>
      <c r="B57" s="32">
        <f>IF($A57="","",INDEX(Customers!$B:$B,ROW()-4))</f>
        <v/>
      </c>
      <c r="C57" s="43">
        <f>IF($A57="","",INDEX(Customers!$D:$D,ROW()-4))</f>
        <v/>
      </c>
      <c r="D57" s="47">
        <f>IF($A57="","",(SUMIFS(GL_Journal!$S:$S,GL_Journal!$G:$G,ACC_CUSTOMERS,GL_Journal!$K:$K,$A57,GL_Journal!$D:$D,"&lt;="&amp;CB_To)-SUMIFS(GL_Journal!$T:$T,GL_Journal!$G:$G,ACC_CUSTOMERS,GL_Journal!$K:$K,$A57,GL_Journal!$D:$D,"&lt;="&amp;CB_To)))</f>
        <v/>
      </c>
      <c r="E57" s="32">
        <f>IF($A57="","",IF(AND(ISNUMBER($C57),$C57&gt;0,$D57&gt;$C57),"تجاوز حد الائتمان",IF($D57&lt;-S_Tol,"رصيد دائن للعميل","")))</f>
        <v/>
      </c>
    </row>
    <row r="58">
      <c r="A58" s="44">
        <f>IF(INDEX(Customers!$A:$A,ROW()-4)="","",INDEX(Customers!$A:$A,ROW()-4))</f>
        <v/>
      </c>
      <c r="B58" s="32">
        <f>IF($A58="","",INDEX(Customers!$B:$B,ROW()-4))</f>
        <v/>
      </c>
      <c r="C58" s="43">
        <f>IF($A58="","",INDEX(Customers!$D:$D,ROW()-4))</f>
        <v/>
      </c>
      <c r="D58" s="47">
        <f>IF($A58="","",(SUMIFS(GL_Journal!$S:$S,GL_Journal!$G:$G,ACC_CUSTOMERS,GL_Journal!$K:$K,$A58,GL_Journal!$D:$D,"&lt;="&amp;CB_To)-SUMIFS(GL_Journal!$T:$T,GL_Journal!$G:$G,ACC_CUSTOMERS,GL_Journal!$K:$K,$A58,GL_Journal!$D:$D,"&lt;="&amp;CB_To)))</f>
        <v/>
      </c>
      <c r="E58" s="32">
        <f>IF($A58="","",IF(AND(ISNUMBER($C58),$C58&gt;0,$D58&gt;$C58),"تجاوز حد الائتمان",IF($D58&lt;-S_Tol,"رصيد دائن للعميل","")))</f>
        <v/>
      </c>
    </row>
    <row r="59">
      <c r="A59" s="44">
        <f>IF(INDEX(Customers!$A:$A,ROW()-4)="","",INDEX(Customers!$A:$A,ROW()-4))</f>
        <v/>
      </c>
      <c r="B59" s="32">
        <f>IF($A59="","",INDEX(Customers!$B:$B,ROW()-4))</f>
        <v/>
      </c>
      <c r="C59" s="43">
        <f>IF($A59="","",INDEX(Customers!$D:$D,ROW()-4))</f>
        <v/>
      </c>
      <c r="D59" s="47">
        <f>IF($A59="","",(SUMIFS(GL_Journal!$S:$S,GL_Journal!$G:$G,ACC_CUSTOMERS,GL_Journal!$K:$K,$A59,GL_Journal!$D:$D,"&lt;="&amp;CB_To)-SUMIFS(GL_Journal!$T:$T,GL_Journal!$G:$G,ACC_CUSTOMERS,GL_Journal!$K:$K,$A59,GL_Journal!$D:$D,"&lt;="&amp;CB_To)))</f>
        <v/>
      </c>
      <c r="E59" s="32">
        <f>IF($A59="","",IF(AND(ISNUMBER($C59),$C59&gt;0,$D59&gt;$C59),"تجاوز حد الائتمان",IF($D59&lt;-S_Tol,"رصيد دائن للعميل","")))</f>
        <v/>
      </c>
    </row>
    <row r="60">
      <c r="A60" s="44">
        <f>IF(INDEX(Customers!$A:$A,ROW()-4)="","",INDEX(Customers!$A:$A,ROW()-4))</f>
        <v/>
      </c>
      <c r="B60" s="32">
        <f>IF($A60="","",INDEX(Customers!$B:$B,ROW()-4))</f>
        <v/>
      </c>
      <c r="C60" s="43">
        <f>IF($A60="","",INDEX(Customers!$D:$D,ROW()-4))</f>
        <v/>
      </c>
      <c r="D60" s="47">
        <f>IF($A60="","",(SUMIFS(GL_Journal!$S:$S,GL_Journal!$G:$G,ACC_CUSTOMERS,GL_Journal!$K:$K,$A60,GL_Journal!$D:$D,"&lt;="&amp;CB_To)-SUMIFS(GL_Journal!$T:$T,GL_Journal!$G:$G,ACC_CUSTOMERS,GL_Journal!$K:$K,$A60,GL_Journal!$D:$D,"&lt;="&amp;CB_To)))</f>
        <v/>
      </c>
      <c r="E60" s="32">
        <f>IF($A60="","",IF(AND(ISNUMBER($C60),$C60&gt;0,$D60&gt;$C60),"تجاوز حد الائتمان",IF($D60&lt;-S_Tol,"رصيد دائن للعميل","")))</f>
        <v/>
      </c>
    </row>
    <row r="61">
      <c r="A61" s="44">
        <f>IF(INDEX(Customers!$A:$A,ROW()-4)="","",INDEX(Customers!$A:$A,ROW()-4))</f>
        <v/>
      </c>
      <c r="B61" s="32">
        <f>IF($A61="","",INDEX(Customers!$B:$B,ROW()-4))</f>
        <v/>
      </c>
      <c r="C61" s="43">
        <f>IF($A61="","",INDEX(Customers!$D:$D,ROW()-4))</f>
        <v/>
      </c>
      <c r="D61" s="47">
        <f>IF($A61="","",(SUMIFS(GL_Journal!$S:$S,GL_Journal!$G:$G,ACC_CUSTOMERS,GL_Journal!$K:$K,$A61,GL_Journal!$D:$D,"&lt;="&amp;CB_To)-SUMIFS(GL_Journal!$T:$T,GL_Journal!$G:$G,ACC_CUSTOMERS,GL_Journal!$K:$K,$A61,GL_Journal!$D:$D,"&lt;="&amp;CB_To)))</f>
        <v/>
      </c>
      <c r="E61" s="32">
        <f>IF($A61="","",IF(AND(ISNUMBER($C61),$C61&gt;0,$D61&gt;$C61),"تجاوز حد الائتمان",IF($D61&lt;-S_Tol,"رصيد دائن للعميل","")))</f>
        <v/>
      </c>
    </row>
    <row r="62">
      <c r="A62" s="44">
        <f>IF(INDEX(Customers!$A:$A,ROW()-4)="","",INDEX(Customers!$A:$A,ROW()-4))</f>
        <v/>
      </c>
      <c r="B62" s="32">
        <f>IF($A62="","",INDEX(Customers!$B:$B,ROW()-4))</f>
        <v/>
      </c>
      <c r="C62" s="43">
        <f>IF($A62="","",INDEX(Customers!$D:$D,ROW()-4))</f>
        <v/>
      </c>
      <c r="D62" s="47">
        <f>IF($A62="","",(SUMIFS(GL_Journal!$S:$S,GL_Journal!$G:$G,ACC_CUSTOMERS,GL_Journal!$K:$K,$A62,GL_Journal!$D:$D,"&lt;="&amp;CB_To)-SUMIFS(GL_Journal!$T:$T,GL_Journal!$G:$G,ACC_CUSTOMERS,GL_Journal!$K:$K,$A62,GL_Journal!$D:$D,"&lt;="&amp;CB_To)))</f>
        <v/>
      </c>
      <c r="E62" s="32">
        <f>IF($A62="","",IF(AND(ISNUMBER($C62),$C62&gt;0,$D62&gt;$C62),"تجاوز حد الائتمان",IF($D62&lt;-S_Tol,"رصيد دائن للعميل","")))</f>
        <v/>
      </c>
    </row>
    <row r="63">
      <c r="A63" s="44">
        <f>IF(INDEX(Customers!$A:$A,ROW()-4)="","",INDEX(Customers!$A:$A,ROW()-4))</f>
        <v/>
      </c>
      <c r="B63" s="32">
        <f>IF($A63="","",INDEX(Customers!$B:$B,ROW()-4))</f>
        <v/>
      </c>
      <c r="C63" s="43">
        <f>IF($A63="","",INDEX(Customers!$D:$D,ROW()-4))</f>
        <v/>
      </c>
      <c r="D63" s="47">
        <f>IF($A63="","",(SUMIFS(GL_Journal!$S:$S,GL_Journal!$G:$G,ACC_CUSTOMERS,GL_Journal!$K:$K,$A63,GL_Journal!$D:$D,"&lt;="&amp;CB_To)-SUMIFS(GL_Journal!$T:$T,GL_Journal!$G:$G,ACC_CUSTOMERS,GL_Journal!$K:$K,$A63,GL_Journal!$D:$D,"&lt;="&amp;CB_To)))</f>
        <v/>
      </c>
      <c r="E63" s="32">
        <f>IF($A63="","",IF(AND(ISNUMBER($C63),$C63&gt;0,$D63&gt;$C63),"تجاوز حد الائتمان",IF($D63&lt;-S_Tol,"رصيد دائن للعميل","")))</f>
        <v/>
      </c>
    </row>
    <row r="64">
      <c r="A64" s="44">
        <f>IF(INDEX(Customers!$A:$A,ROW()-4)="","",INDEX(Customers!$A:$A,ROW()-4))</f>
        <v/>
      </c>
      <c r="B64" s="32">
        <f>IF($A64="","",INDEX(Customers!$B:$B,ROW()-4))</f>
        <v/>
      </c>
      <c r="C64" s="43">
        <f>IF($A64="","",INDEX(Customers!$D:$D,ROW()-4))</f>
        <v/>
      </c>
      <c r="D64" s="47">
        <f>IF($A64="","",(SUMIFS(GL_Journal!$S:$S,GL_Journal!$G:$G,ACC_CUSTOMERS,GL_Journal!$K:$K,$A64,GL_Journal!$D:$D,"&lt;="&amp;CB_To)-SUMIFS(GL_Journal!$T:$T,GL_Journal!$G:$G,ACC_CUSTOMERS,GL_Journal!$K:$K,$A64,GL_Journal!$D:$D,"&lt;="&amp;CB_To)))</f>
        <v/>
      </c>
      <c r="E64" s="32">
        <f>IF($A64="","",IF(AND(ISNUMBER($C64),$C64&gt;0,$D64&gt;$C64),"تجاوز حد الائتمان",IF($D64&lt;-S_Tol,"رصيد دائن للعميل","")))</f>
        <v/>
      </c>
    </row>
    <row r="65">
      <c r="A65" s="44">
        <f>IF(INDEX(Customers!$A:$A,ROW()-4)="","",INDEX(Customers!$A:$A,ROW()-4))</f>
        <v/>
      </c>
      <c r="B65" s="32">
        <f>IF($A65="","",INDEX(Customers!$B:$B,ROW()-4))</f>
        <v/>
      </c>
      <c r="C65" s="43">
        <f>IF($A65="","",INDEX(Customers!$D:$D,ROW()-4))</f>
        <v/>
      </c>
      <c r="D65" s="47">
        <f>IF($A65="","",(SUMIFS(GL_Journal!$S:$S,GL_Journal!$G:$G,ACC_CUSTOMERS,GL_Journal!$K:$K,$A65,GL_Journal!$D:$D,"&lt;="&amp;CB_To)-SUMIFS(GL_Journal!$T:$T,GL_Journal!$G:$G,ACC_CUSTOMERS,GL_Journal!$K:$K,$A65,GL_Journal!$D:$D,"&lt;="&amp;CB_To)))</f>
        <v/>
      </c>
      <c r="E65" s="32">
        <f>IF($A65="","",IF(AND(ISNUMBER($C65),$C65&gt;0,$D65&gt;$C65),"تجاوز حد الائتمان",IF($D65&lt;-S_Tol,"رصيد دائن للعميل","")))</f>
        <v/>
      </c>
    </row>
    <row r="66">
      <c r="A66" s="44">
        <f>IF(INDEX(Customers!$A:$A,ROW()-4)="","",INDEX(Customers!$A:$A,ROW()-4))</f>
        <v/>
      </c>
      <c r="B66" s="32">
        <f>IF($A66="","",INDEX(Customers!$B:$B,ROW()-4))</f>
        <v/>
      </c>
      <c r="C66" s="43">
        <f>IF($A66="","",INDEX(Customers!$D:$D,ROW()-4))</f>
        <v/>
      </c>
      <c r="D66" s="47">
        <f>IF($A66="","",(SUMIFS(GL_Journal!$S:$S,GL_Journal!$G:$G,ACC_CUSTOMERS,GL_Journal!$K:$K,$A66,GL_Journal!$D:$D,"&lt;="&amp;CB_To)-SUMIFS(GL_Journal!$T:$T,GL_Journal!$G:$G,ACC_CUSTOMERS,GL_Journal!$K:$K,$A66,GL_Journal!$D:$D,"&lt;="&amp;CB_To)))</f>
        <v/>
      </c>
      <c r="E66" s="32">
        <f>IF($A66="","",IF(AND(ISNUMBER($C66),$C66&gt;0,$D66&gt;$C66),"تجاوز حد الائتمان",IF($D66&lt;-S_Tol,"رصيد دائن للعميل","")))</f>
        <v/>
      </c>
    </row>
    <row r="67">
      <c r="A67" s="44">
        <f>IF(INDEX(Customers!$A:$A,ROW()-4)="","",INDEX(Customers!$A:$A,ROW()-4))</f>
        <v/>
      </c>
      <c r="B67" s="32">
        <f>IF($A67="","",INDEX(Customers!$B:$B,ROW()-4))</f>
        <v/>
      </c>
      <c r="C67" s="43">
        <f>IF($A67="","",INDEX(Customers!$D:$D,ROW()-4))</f>
        <v/>
      </c>
      <c r="D67" s="47">
        <f>IF($A67="","",(SUMIFS(GL_Journal!$S:$S,GL_Journal!$G:$G,ACC_CUSTOMERS,GL_Journal!$K:$K,$A67,GL_Journal!$D:$D,"&lt;="&amp;CB_To)-SUMIFS(GL_Journal!$T:$T,GL_Journal!$G:$G,ACC_CUSTOMERS,GL_Journal!$K:$K,$A67,GL_Journal!$D:$D,"&lt;="&amp;CB_To)))</f>
        <v/>
      </c>
      <c r="E67" s="32">
        <f>IF($A67="","",IF(AND(ISNUMBER($C67),$C67&gt;0,$D67&gt;$C67),"تجاوز حد الائتمان",IF($D67&lt;-S_Tol,"رصيد دائن للعميل","")))</f>
        <v/>
      </c>
    </row>
    <row r="68">
      <c r="A68" s="44">
        <f>IF(INDEX(Customers!$A:$A,ROW()-4)="","",INDEX(Customers!$A:$A,ROW()-4))</f>
        <v/>
      </c>
      <c r="B68" s="32">
        <f>IF($A68="","",INDEX(Customers!$B:$B,ROW()-4))</f>
        <v/>
      </c>
      <c r="C68" s="43">
        <f>IF($A68="","",INDEX(Customers!$D:$D,ROW()-4))</f>
        <v/>
      </c>
      <c r="D68" s="47">
        <f>IF($A68="","",(SUMIFS(GL_Journal!$S:$S,GL_Journal!$G:$G,ACC_CUSTOMERS,GL_Journal!$K:$K,$A68,GL_Journal!$D:$D,"&lt;="&amp;CB_To)-SUMIFS(GL_Journal!$T:$T,GL_Journal!$G:$G,ACC_CUSTOMERS,GL_Journal!$K:$K,$A68,GL_Journal!$D:$D,"&lt;="&amp;CB_To)))</f>
        <v/>
      </c>
      <c r="E68" s="32">
        <f>IF($A68="","",IF(AND(ISNUMBER($C68),$C68&gt;0,$D68&gt;$C68),"تجاوز حد الائتمان",IF($D68&lt;-S_Tol,"رصيد دائن للعميل","")))</f>
        <v/>
      </c>
    </row>
    <row r="69">
      <c r="A69" s="44">
        <f>IF(INDEX(Customers!$A:$A,ROW()-4)="","",INDEX(Customers!$A:$A,ROW()-4))</f>
        <v/>
      </c>
      <c r="B69" s="32">
        <f>IF($A69="","",INDEX(Customers!$B:$B,ROW()-4))</f>
        <v/>
      </c>
      <c r="C69" s="43">
        <f>IF($A69="","",INDEX(Customers!$D:$D,ROW()-4))</f>
        <v/>
      </c>
      <c r="D69" s="47">
        <f>IF($A69="","",(SUMIFS(GL_Journal!$S:$S,GL_Journal!$G:$G,ACC_CUSTOMERS,GL_Journal!$K:$K,$A69,GL_Journal!$D:$D,"&lt;="&amp;CB_To)-SUMIFS(GL_Journal!$T:$T,GL_Journal!$G:$G,ACC_CUSTOMERS,GL_Journal!$K:$K,$A69,GL_Journal!$D:$D,"&lt;="&amp;CB_To)))</f>
        <v/>
      </c>
      <c r="E69" s="32">
        <f>IF($A69="","",IF(AND(ISNUMBER($C69),$C69&gt;0,$D69&gt;$C69),"تجاوز حد الائتمان",IF($D69&lt;-S_Tol,"رصيد دائن للعميل","")))</f>
        <v/>
      </c>
    </row>
    <row r="70">
      <c r="A70" s="44">
        <f>IF(INDEX(Customers!$A:$A,ROW()-4)="","",INDEX(Customers!$A:$A,ROW()-4))</f>
        <v/>
      </c>
      <c r="B70" s="32">
        <f>IF($A70="","",INDEX(Customers!$B:$B,ROW()-4))</f>
        <v/>
      </c>
      <c r="C70" s="43">
        <f>IF($A70="","",INDEX(Customers!$D:$D,ROW()-4))</f>
        <v/>
      </c>
      <c r="D70" s="47">
        <f>IF($A70="","",(SUMIFS(GL_Journal!$S:$S,GL_Journal!$G:$G,ACC_CUSTOMERS,GL_Journal!$K:$K,$A70,GL_Journal!$D:$D,"&lt;="&amp;CB_To)-SUMIFS(GL_Journal!$T:$T,GL_Journal!$G:$G,ACC_CUSTOMERS,GL_Journal!$K:$K,$A70,GL_Journal!$D:$D,"&lt;="&amp;CB_To)))</f>
        <v/>
      </c>
      <c r="E70" s="32">
        <f>IF($A70="","",IF(AND(ISNUMBER($C70),$C70&gt;0,$D70&gt;$C70),"تجاوز حد الائتمان",IF($D70&lt;-S_Tol,"رصيد دائن للعميل","")))</f>
        <v/>
      </c>
    </row>
    <row r="71">
      <c r="A71" s="44">
        <f>IF(INDEX(Customers!$A:$A,ROW()-4)="","",INDEX(Customers!$A:$A,ROW()-4))</f>
        <v/>
      </c>
      <c r="B71" s="32">
        <f>IF($A71="","",INDEX(Customers!$B:$B,ROW()-4))</f>
        <v/>
      </c>
      <c r="C71" s="43">
        <f>IF($A71="","",INDEX(Customers!$D:$D,ROW()-4))</f>
        <v/>
      </c>
      <c r="D71" s="47">
        <f>IF($A71="","",(SUMIFS(GL_Journal!$S:$S,GL_Journal!$G:$G,ACC_CUSTOMERS,GL_Journal!$K:$K,$A71,GL_Journal!$D:$D,"&lt;="&amp;CB_To)-SUMIFS(GL_Journal!$T:$T,GL_Journal!$G:$G,ACC_CUSTOMERS,GL_Journal!$K:$K,$A71,GL_Journal!$D:$D,"&lt;="&amp;CB_To)))</f>
        <v/>
      </c>
      <c r="E71" s="32">
        <f>IF($A71="","",IF(AND(ISNUMBER($C71),$C71&gt;0,$D71&gt;$C71),"تجاوز حد الائتمان",IF($D71&lt;-S_Tol,"رصيد دائن للعميل","")))</f>
        <v/>
      </c>
    </row>
    <row r="72">
      <c r="A72" s="44">
        <f>IF(INDEX(Customers!$A:$A,ROW()-4)="","",INDEX(Customers!$A:$A,ROW()-4))</f>
        <v/>
      </c>
      <c r="B72" s="32">
        <f>IF($A72="","",INDEX(Customers!$B:$B,ROW()-4))</f>
        <v/>
      </c>
      <c r="C72" s="43">
        <f>IF($A72="","",INDEX(Customers!$D:$D,ROW()-4))</f>
        <v/>
      </c>
      <c r="D72" s="47">
        <f>IF($A72="","",(SUMIFS(GL_Journal!$S:$S,GL_Journal!$G:$G,ACC_CUSTOMERS,GL_Journal!$K:$K,$A72,GL_Journal!$D:$D,"&lt;="&amp;CB_To)-SUMIFS(GL_Journal!$T:$T,GL_Journal!$G:$G,ACC_CUSTOMERS,GL_Journal!$K:$K,$A72,GL_Journal!$D:$D,"&lt;="&amp;CB_To)))</f>
        <v/>
      </c>
      <c r="E72" s="32">
        <f>IF($A72="","",IF(AND(ISNUMBER($C72),$C72&gt;0,$D72&gt;$C72),"تجاوز حد الائتمان",IF($D72&lt;-S_Tol,"رصيد دائن للعميل","")))</f>
        <v/>
      </c>
    </row>
    <row r="73">
      <c r="A73" s="44">
        <f>IF(INDEX(Customers!$A:$A,ROW()-4)="","",INDEX(Customers!$A:$A,ROW()-4))</f>
        <v/>
      </c>
      <c r="B73" s="32">
        <f>IF($A73="","",INDEX(Customers!$B:$B,ROW()-4))</f>
        <v/>
      </c>
      <c r="C73" s="43">
        <f>IF($A73="","",INDEX(Customers!$D:$D,ROW()-4))</f>
        <v/>
      </c>
      <c r="D73" s="47">
        <f>IF($A73="","",(SUMIFS(GL_Journal!$S:$S,GL_Journal!$G:$G,ACC_CUSTOMERS,GL_Journal!$K:$K,$A73,GL_Journal!$D:$D,"&lt;="&amp;CB_To)-SUMIFS(GL_Journal!$T:$T,GL_Journal!$G:$G,ACC_CUSTOMERS,GL_Journal!$K:$K,$A73,GL_Journal!$D:$D,"&lt;="&amp;CB_To)))</f>
        <v/>
      </c>
      <c r="E73" s="32">
        <f>IF($A73="","",IF(AND(ISNUMBER($C73),$C73&gt;0,$D73&gt;$C73),"تجاوز حد الائتمان",IF($D73&lt;-S_Tol,"رصيد دائن للعميل","")))</f>
        <v/>
      </c>
    </row>
    <row r="74">
      <c r="A74" s="44">
        <f>IF(INDEX(Customers!$A:$A,ROW()-4)="","",INDEX(Customers!$A:$A,ROW()-4))</f>
        <v/>
      </c>
      <c r="B74" s="32">
        <f>IF($A74="","",INDEX(Customers!$B:$B,ROW()-4))</f>
        <v/>
      </c>
      <c r="C74" s="43">
        <f>IF($A74="","",INDEX(Customers!$D:$D,ROW()-4))</f>
        <v/>
      </c>
      <c r="D74" s="47">
        <f>IF($A74="","",(SUMIFS(GL_Journal!$S:$S,GL_Journal!$G:$G,ACC_CUSTOMERS,GL_Journal!$K:$K,$A74,GL_Journal!$D:$D,"&lt;="&amp;CB_To)-SUMIFS(GL_Journal!$T:$T,GL_Journal!$G:$G,ACC_CUSTOMERS,GL_Journal!$K:$K,$A74,GL_Journal!$D:$D,"&lt;="&amp;CB_To)))</f>
        <v/>
      </c>
      <c r="E74" s="32">
        <f>IF($A74="","",IF(AND(ISNUMBER($C74),$C74&gt;0,$D74&gt;$C74),"تجاوز حد الائتمان",IF($D74&lt;-S_Tol,"رصيد دائن للعميل","")))</f>
        <v/>
      </c>
    </row>
    <row r="75">
      <c r="A75" s="44">
        <f>IF(INDEX(Customers!$A:$A,ROW()-4)="","",INDEX(Customers!$A:$A,ROW()-4))</f>
        <v/>
      </c>
      <c r="B75" s="32">
        <f>IF($A75="","",INDEX(Customers!$B:$B,ROW()-4))</f>
        <v/>
      </c>
      <c r="C75" s="43">
        <f>IF($A75="","",INDEX(Customers!$D:$D,ROW()-4))</f>
        <v/>
      </c>
      <c r="D75" s="47">
        <f>IF($A75="","",(SUMIFS(GL_Journal!$S:$S,GL_Journal!$G:$G,ACC_CUSTOMERS,GL_Journal!$K:$K,$A75,GL_Journal!$D:$D,"&lt;="&amp;CB_To)-SUMIFS(GL_Journal!$T:$T,GL_Journal!$G:$G,ACC_CUSTOMERS,GL_Journal!$K:$K,$A75,GL_Journal!$D:$D,"&lt;="&amp;CB_To)))</f>
        <v/>
      </c>
      <c r="E75" s="32">
        <f>IF($A75="","",IF(AND(ISNUMBER($C75),$C75&gt;0,$D75&gt;$C75),"تجاوز حد الائتمان",IF($D75&lt;-S_Tol,"رصيد دائن للعميل","")))</f>
        <v/>
      </c>
    </row>
    <row r="76">
      <c r="A76" s="44">
        <f>IF(INDEX(Customers!$A:$A,ROW()-4)="","",INDEX(Customers!$A:$A,ROW()-4))</f>
        <v/>
      </c>
      <c r="B76" s="32">
        <f>IF($A76="","",INDEX(Customers!$B:$B,ROW()-4))</f>
        <v/>
      </c>
      <c r="C76" s="43">
        <f>IF($A76="","",INDEX(Customers!$D:$D,ROW()-4))</f>
        <v/>
      </c>
      <c r="D76" s="47">
        <f>IF($A76="","",(SUMIFS(GL_Journal!$S:$S,GL_Journal!$G:$G,ACC_CUSTOMERS,GL_Journal!$K:$K,$A76,GL_Journal!$D:$D,"&lt;="&amp;CB_To)-SUMIFS(GL_Journal!$T:$T,GL_Journal!$G:$G,ACC_CUSTOMERS,GL_Journal!$K:$K,$A76,GL_Journal!$D:$D,"&lt;="&amp;CB_To)))</f>
        <v/>
      </c>
      <c r="E76" s="32">
        <f>IF($A76="","",IF(AND(ISNUMBER($C76),$C76&gt;0,$D76&gt;$C76),"تجاوز حد الائتمان",IF($D76&lt;-S_Tol,"رصيد دائن للعميل","")))</f>
        <v/>
      </c>
    </row>
    <row r="77">
      <c r="A77" s="44">
        <f>IF(INDEX(Customers!$A:$A,ROW()-4)="","",INDEX(Customers!$A:$A,ROW()-4))</f>
        <v/>
      </c>
      <c r="B77" s="32">
        <f>IF($A77="","",INDEX(Customers!$B:$B,ROW()-4))</f>
        <v/>
      </c>
      <c r="C77" s="43">
        <f>IF($A77="","",INDEX(Customers!$D:$D,ROW()-4))</f>
        <v/>
      </c>
      <c r="D77" s="47">
        <f>IF($A77="","",(SUMIFS(GL_Journal!$S:$S,GL_Journal!$G:$G,ACC_CUSTOMERS,GL_Journal!$K:$K,$A77,GL_Journal!$D:$D,"&lt;="&amp;CB_To)-SUMIFS(GL_Journal!$T:$T,GL_Journal!$G:$G,ACC_CUSTOMERS,GL_Journal!$K:$K,$A77,GL_Journal!$D:$D,"&lt;="&amp;CB_To)))</f>
        <v/>
      </c>
      <c r="E77" s="32">
        <f>IF($A77="","",IF(AND(ISNUMBER($C77),$C77&gt;0,$D77&gt;$C77),"تجاوز حد الائتمان",IF($D77&lt;-S_Tol,"رصيد دائن للعميل","")))</f>
        <v/>
      </c>
    </row>
    <row r="78">
      <c r="A78" s="44">
        <f>IF(INDEX(Customers!$A:$A,ROW()-4)="","",INDEX(Customers!$A:$A,ROW()-4))</f>
        <v/>
      </c>
      <c r="B78" s="32">
        <f>IF($A78="","",INDEX(Customers!$B:$B,ROW()-4))</f>
        <v/>
      </c>
      <c r="C78" s="43">
        <f>IF($A78="","",INDEX(Customers!$D:$D,ROW()-4))</f>
        <v/>
      </c>
      <c r="D78" s="47">
        <f>IF($A78="","",(SUMIFS(GL_Journal!$S:$S,GL_Journal!$G:$G,ACC_CUSTOMERS,GL_Journal!$K:$K,$A78,GL_Journal!$D:$D,"&lt;="&amp;CB_To)-SUMIFS(GL_Journal!$T:$T,GL_Journal!$G:$G,ACC_CUSTOMERS,GL_Journal!$K:$K,$A78,GL_Journal!$D:$D,"&lt;="&amp;CB_To)))</f>
        <v/>
      </c>
      <c r="E78" s="32">
        <f>IF($A78="","",IF(AND(ISNUMBER($C78),$C78&gt;0,$D78&gt;$C78),"تجاوز حد الائتمان",IF($D78&lt;-S_Tol,"رصيد دائن للعميل","")))</f>
        <v/>
      </c>
    </row>
    <row r="79">
      <c r="A79" s="44">
        <f>IF(INDEX(Customers!$A:$A,ROW()-4)="","",INDEX(Customers!$A:$A,ROW()-4))</f>
        <v/>
      </c>
      <c r="B79" s="32">
        <f>IF($A79="","",INDEX(Customers!$B:$B,ROW()-4))</f>
        <v/>
      </c>
      <c r="C79" s="43">
        <f>IF($A79="","",INDEX(Customers!$D:$D,ROW()-4))</f>
        <v/>
      </c>
      <c r="D79" s="47">
        <f>IF($A79="","",(SUMIFS(GL_Journal!$S:$S,GL_Journal!$G:$G,ACC_CUSTOMERS,GL_Journal!$K:$K,$A79,GL_Journal!$D:$D,"&lt;="&amp;CB_To)-SUMIFS(GL_Journal!$T:$T,GL_Journal!$G:$G,ACC_CUSTOMERS,GL_Journal!$K:$K,$A79,GL_Journal!$D:$D,"&lt;="&amp;CB_To)))</f>
        <v/>
      </c>
      <c r="E79" s="32">
        <f>IF($A79="","",IF(AND(ISNUMBER($C79),$C79&gt;0,$D79&gt;$C79),"تجاوز حد الائتمان",IF($D79&lt;-S_Tol,"رصيد دائن للعميل","")))</f>
        <v/>
      </c>
    </row>
    <row r="80">
      <c r="A80" s="44">
        <f>IF(INDEX(Customers!$A:$A,ROW()-4)="","",INDEX(Customers!$A:$A,ROW()-4))</f>
        <v/>
      </c>
      <c r="B80" s="32">
        <f>IF($A80="","",INDEX(Customers!$B:$B,ROW()-4))</f>
        <v/>
      </c>
      <c r="C80" s="43">
        <f>IF($A80="","",INDEX(Customers!$D:$D,ROW()-4))</f>
        <v/>
      </c>
      <c r="D80" s="47">
        <f>IF($A80="","",(SUMIFS(GL_Journal!$S:$S,GL_Journal!$G:$G,ACC_CUSTOMERS,GL_Journal!$K:$K,$A80,GL_Journal!$D:$D,"&lt;="&amp;CB_To)-SUMIFS(GL_Journal!$T:$T,GL_Journal!$G:$G,ACC_CUSTOMERS,GL_Journal!$K:$K,$A80,GL_Journal!$D:$D,"&lt;="&amp;CB_To)))</f>
        <v/>
      </c>
      <c r="E80" s="32">
        <f>IF($A80="","",IF(AND(ISNUMBER($C80),$C80&gt;0,$D80&gt;$C80),"تجاوز حد الائتمان",IF($D80&lt;-S_Tol,"رصيد دائن للعميل","")))</f>
        <v/>
      </c>
    </row>
    <row r="81">
      <c r="A81" s="44">
        <f>IF(INDEX(Customers!$A:$A,ROW()-4)="","",INDEX(Customers!$A:$A,ROW()-4))</f>
        <v/>
      </c>
      <c r="B81" s="32">
        <f>IF($A81="","",INDEX(Customers!$B:$B,ROW()-4))</f>
        <v/>
      </c>
      <c r="C81" s="43">
        <f>IF($A81="","",INDEX(Customers!$D:$D,ROW()-4))</f>
        <v/>
      </c>
      <c r="D81" s="47">
        <f>IF($A81="","",(SUMIFS(GL_Journal!$S:$S,GL_Journal!$G:$G,ACC_CUSTOMERS,GL_Journal!$K:$K,$A81,GL_Journal!$D:$D,"&lt;="&amp;CB_To)-SUMIFS(GL_Journal!$T:$T,GL_Journal!$G:$G,ACC_CUSTOMERS,GL_Journal!$K:$K,$A81,GL_Journal!$D:$D,"&lt;="&amp;CB_To)))</f>
        <v/>
      </c>
      <c r="E81" s="32">
        <f>IF($A81="","",IF(AND(ISNUMBER($C81),$C81&gt;0,$D81&gt;$C81),"تجاوز حد الائتمان",IF($D81&lt;-S_Tol,"رصيد دائن للعميل","")))</f>
        <v/>
      </c>
    </row>
    <row r="82">
      <c r="A82" s="44">
        <f>IF(INDEX(Customers!$A:$A,ROW()-4)="","",INDEX(Customers!$A:$A,ROW()-4))</f>
        <v/>
      </c>
      <c r="B82" s="32">
        <f>IF($A82="","",INDEX(Customers!$B:$B,ROW()-4))</f>
        <v/>
      </c>
      <c r="C82" s="43">
        <f>IF($A82="","",INDEX(Customers!$D:$D,ROW()-4))</f>
        <v/>
      </c>
      <c r="D82" s="47">
        <f>IF($A82="","",(SUMIFS(GL_Journal!$S:$S,GL_Journal!$G:$G,ACC_CUSTOMERS,GL_Journal!$K:$K,$A82,GL_Journal!$D:$D,"&lt;="&amp;CB_To)-SUMIFS(GL_Journal!$T:$T,GL_Journal!$G:$G,ACC_CUSTOMERS,GL_Journal!$K:$K,$A82,GL_Journal!$D:$D,"&lt;="&amp;CB_To)))</f>
        <v/>
      </c>
      <c r="E82" s="32">
        <f>IF($A82="","",IF(AND(ISNUMBER($C82),$C82&gt;0,$D82&gt;$C82),"تجاوز حد الائتمان",IF($D82&lt;-S_Tol,"رصيد دائن للعميل","")))</f>
        <v/>
      </c>
    </row>
    <row r="83">
      <c r="A83" s="44">
        <f>IF(INDEX(Customers!$A:$A,ROW()-4)="","",INDEX(Customers!$A:$A,ROW()-4))</f>
        <v/>
      </c>
      <c r="B83" s="32">
        <f>IF($A83="","",INDEX(Customers!$B:$B,ROW()-4))</f>
        <v/>
      </c>
      <c r="C83" s="43">
        <f>IF($A83="","",INDEX(Customers!$D:$D,ROW()-4))</f>
        <v/>
      </c>
      <c r="D83" s="47">
        <f>IF($A83="","",(SUMIFS(GL_Journal!$S:$S,GL_Journal!$G:$G,ACC_CUSTOMERS,GL_Journal!$K:$K,$A83,GL_Journal!$D:$D,"&lt;="&amp;CB_To)-SUMIFS(GL_Journal!$T:$T,GL_Journal!$G:$G,ACC_CUSTOMERS,GL_Journal!$K:$K,$A83,GL_Journal!$D:$D,"&lt;="&amp;CB_To)))</f>
        <v/>
      </c>
      <c r="E83" s="32">
        <f>IF($A83="","",IF(AND(ISNUMBER($C83),$C83&gt;0,$D83&gt;$C83),"تجاوز حد الائتمان",IF($D83&lt;-S_Tol,"رصيد دائن للعميل","")))</f>
        <v/>
      </c>
    </row>
    <row r="84">
      <c r="A84" s="44">
        <f>IF(INDEX(Customers!$A:$A,ROW()-4)="","",INDEX(Customers!$A:$A,ROW()-4))</f>
        <v/>
      </c>
      <c r="B84" s="32">
        <f>IF($A84="","",INDEX(Customers!$B:$B,ROW()-4))</f>
        <v/>
      </c>
      <c r="C84" s="43">
        <f>IF($A84="","",INDEX(Customers!$D:$D,ROW()-4))</f>
        <v/>
      </c>
      <c r="D84" s="47">
        <f>IF($A84="","",(SUMIFS(GL_Journal!$S:$S,GL_Journal!$G:$G,ACC_CUSTOMERS,GL_Journal!$K:$K,$A84,GL_Journal!$D:$D,"&lt;="&amp;CB_To)-SUMIFS(GL_Journal!$T:$T,GL_Journal!$G:$G,ACC_CUSTOMERS,GL_Journal!$K:$K,$A84,GL_Journal!$D:$D,"&lt;="&amp;CB_To)))</f>
        <v/>
      </c>
      <c r="E84" s="32">
        <f>IF($A84="","",IF(AND(ISNUMBER($C84),$C84&gt;0,$D84&gt;$C84),"تجاوز حد الائتمان",IF($D84&lt;-S_Tol,"رصيد دائن للعميل","")))</f>
        <v/>
      </c>
    </row>
    <row r="85">
      <c r="A85" s="44">
        <f>IF(INDEX(Customers!$A:$A,ROW()-4)="","",INDEX(Customers!$A:$A,ROW()-4))</f>
        <v/>
      </c>
      <c r="B85" s="32">
        <f>IF($A85="","",INDEX(Customers!$B:$B,ROW()-4))</f>
        <v/>
      </c>
      <c r="C85" s="43">
        <f>IF($A85="","",INDEX(Customers!$D:$D,ROW()-4))</f>
        <v/>
      </c>
      <c r="D85" s="47">
        <f>IF($A85="","",(SUMIFS(GL_Journal!$S:$S,GL_Journal!$G:$G,ACC_CUSTOMERS,GL_Journal!$K:$K,$A85,GL_Journal!$D:$D,"&lt;="&amp;CB_To)-SUMIFS(GL_Journal!$T:$T,GL_Journal!$G:$G,ACC_CUSTOMERS,GL_Journal!$K:$K,$A85,GL_Journal!$D:$D,"&lt;="&amp;CB_To)))</f>
        <v/>
      </c>
      <c r="E85" s="32">
        <f>IF($A85="","",IF(AND(ISNUMBER($C85),$C85&gt;0,$D85&gt;$C85),"تجاوز حد الائتمان",IF($D85&lt;-S_Tol,"رصيد دائن للعميل","")))</f>
        <v/>
      </c>
    </row>
    <row r="86">
      <c r="A86" s="44">
        <f>IF(INDEX(Customers!$A:$A,ROW()-4)="","",INDEX(Customers!$A:$A,ROW()-4))</f>
        <v/>
      </c>
      <c r="B86" s="32">
        <f>IF($A86="","",INDEX(Customers!$B:$B,ROW()-4))</f>
        <v/>
      </c>
      <c r="C86" s="43">
        <f>IF($A86="","",INDEX(Customers!$D:$D,ROW()-4))</f>
        <v/>
      </c>
      <c r="D86" s="47">
        <f>IF($A86="","",(SUMIFS(GL_Journal!$S:$S,GL_Journal!$G:$G,ACC_CUSTOMERS,GL_Journal!$K:$K,$A86,GL_Journal!$D:$D,"&lt;="&amp;CB_To)-SUMIFS(GL_Journal!$T:$T,GL_Journal!$G:$G,ACC_CUSTOMERS,GL_Journal!$K:$K,$A86,GL_Journal!$D:$D,"&lt;="&amp;CB_To)))</f>
        <v/>
      </c>
      <c r="E86" s="32">
        <f>IF($A86="","",IF(AND(ISNUMBER($C86),$C86&gt;0,$D86&gt;$C86),"تجاوز حد الائتمان",IF($D86&lt;-S_Tol,"رصيد دائن للعميل","")))</f>
        <v/>
      </c>
    </row>
    <row r="87">
      <c r="A87" s="44">
        <f>IF(INDEX(Customers!$A:$A,ROW()-4)="","",INDEX(Customers!$A:$A,ROW()-4))</f>
        <v/>
      </c>
      <c r="B87" s="32">
        <f>IF($A87="","",INDEX(Customers!$B:$B,ROW()-4))</f>
        <v/>
      </c>
      <c r="C87" s="43">
        <f>IF($A87="","",INDEX(Customers!$D:$D,ROW()-4))</f>
        <v/>
      </c>
      <c r="D87" s="47">
        <f>IF($A87="","",(SUMIFS(GL_Journal!$S:$S,GL_Journal!$G:$G,ACC_CUSTOMERS,GL_Journal!$K:$K,$A87,GL_Journal!$D:$D,"&lt;="&amp;CB_To)-SUMIFS(GL_Journal!$T:$T,GL_Journal!$G:$G,ACC_CUSTOMERS,GL_Journal!$K:$K,$A87,GL_Journal!$D:$D,"&lt;="&amp;CB_To)))</f>
        <v/>
      </c>
      <c r="E87" s="32">
        <f>IF($A87="","",IF(AND(ISNUMBER($C87),$C87&gt;0,$D87&gt;$C87),"تجاوز حد الائتمان",IF($D87&lt;-S_Tol,"رصيد دائن للعميل","")))</f>
        <v/>
      </c>
    </row>
    <row r="88">
      <c r="A88" s="44">
        <f>IF(INDEX(Customers!$A:$A,ROW()-4)="","",INDEX(Customers!$A:$A,ROW()-4))</f>
        <v/>
      </c>
      <c r="B88" s="32">
        <f>IF($A88="","",INDEX(Customers!$B:$B,ROW()-4))</f>
        <v/>
      </c>
      <c r="C88" s="43">
        <f>IF($A88="","",INDEX(Customers!$D:$D,ROW()-4))</f>
        <v/>
      </c>
      <c r="D88" s="47">
        <f>IF($A88="","",(SUMIFS(GL_Journal!$S:$S,GL_Journal!$G:$G,ACC_CUSTOMERS,GL_Journal!$K:$K,$A88,GL_Journal!$D:$D,"&lt;="&amp;CB_To)-SUMIFS(GL_Journal!$T:$T,GL_Journal!$G:$G,ACC_CUSTOMERS,GL_Journal!$K:$K,$A88,GL_Journal!$D:$D,"&lt;="&amp;CB_To)))</f>
        <v/>
      </c>
      <c r="E88" s="32">
        <f>IF($A88="","",IF(AND(ISNUMBER($C88),$C88&gt;0,$D88&gt;$C88),"تجاوز حد الائتمان",IF($D88&lt;-S_Tol,"رصيد دائن للعميل","")))</f>
        <v/>
      </c>
    </row>
    <row r="89">
      <c r="A89" s="44">
        <f>IF(INDEX(Customers!$A:$A,ROW()-4)="","",INDEX(Customers!$A:$A,ROW()-4))</f>
        <v/>
      </c>
      <c r="B89" s="32">
        <f>IF($A89="","",INDEX(Customers!$B:$B,ROW()-4))</f>
        <v/>
      </c>
      <c r="C89" s="43">
        <f>IF($A89="","",INDEX(Customers!$D:$D,ROW()-4))</f>
        <v/>
      </c>
      <c r="D89" s="47">
        <f>IF($A89="","",(SUMIFS(GL_Journal!$S:$S,GL_Journal!$G:$G,ACC_CUSTOMERS,GL_Journal!$K:$K,$A89,GL_Journal!$D:$D,"&lt;="&amp;CB_To)-SUMIFS(GL_Journal!$T:$T,GL_Journal!$G:$G,ACC_CUSTOMERS,GL_Journal!$K:$K,$A89,GL_Journal!$D:$D,"&lt;="&amp;CB_To)))</f>
        <v/>
      </c>
      <c r="E89" s="32">
        <f>IF($A89="","",IF(AND(ISNUMBER($C89),$C89&gt;0,$D89&gt;$C89),"تجاوز حد الائتمان",IF($D89&lt;-S_Tol,"رصيد دائن للعميل","")))</f>
        <v/>
      </c>
    </row>
    <row r="90">
      <c r="A90" s="44">
        <f>IF(INDEX(Customers!$A:$A,ROW()-4)="","",INDEX(Customers!$A:$A,ROW()-4))</f>
        <v/>
      </c>
      <c r="B90" s="32">
        <f>IF($A90="","",INDEX(Customers!$B:$B,ROW()-4))</f>
        <v/>
      </c>
      <c r="C90" s="43">
        <f>IF($A90="","",INDEX(Customers!$D:$D,ROW()-4))</f>
        <v/>
      </c>
      <c r="D90" s="47">
        <f>IF($A90="","",(SUMIFS(GL_Journal!$S:$S,GL_Journal!$G:$G,ACC_CUSTOMERS,GL_Journal!$K:$K,$A90,GL_Journal!$D:$D,"&lt;="&amp;CB_To)-SUMIFS(GL_Journal!$T:$T,GL_Journal!$G:$G,ACC_CUSTOMERS,GL_Journal!$K:$K,$A90,GL_Journal!$D:$D,"&lt;="&amp;CB_To)))</f>
        <v/>
      </c>
      <c r="E90" s="32">
        <f>IF($A90="","",IF(AND(ISNUMBER($C90),$C90&gt;0,$D90&gt;$C90),"تجاوز حد الائتمان",IF($D90&lt;-S_Tol,"رصيد دائن للعميل","")))</f>
        <v/>
      </c>
    </row>
    <row r="91">
      <c r="A91" s="44">
        <f>IF(INDEX(Customers!$A:$A,ROW()-4)="","",INDEX(Customers!$A:$A,ROW()-4))</f>
        <v/>
      </c>
      <c r="B91" s="32">
        <f>IF($A91="","",INDEX(Customers!$B:$B,ROW()-4))</f>
        <v/>
      </c>
      <c r="C91" s="43">
        <f>IF($A91="","",INDEX(Customers!$D:$D,ROW()-4))</f>
        <v/>
      </c>
      <c r="D91" s="47">
        <f>IF($A91="","",(SUMIFS(GL_Journal!$S:$S,GL_Journal!$G:$G,ACC_CUSTOMERS,GL_Journal!$K:$K,$A91,GL_Journal!$D:$D,"&lt;="&amp;CB_To)-SUMIFS(GL_Journal!$T:$T,GL_Journal!$G:$G,ACC_CUSTOMERS,GL_Journal!$K:$K,$A91,GL_Journal!$D:$D,"&lt;="&amp;CB_To)))</f>
        <v/>
      </c>
      <c r="E91" s="32">
        <f>IF($A91="","",IF(AND(ISNUMBER($C91),$C91&gt;0,$D91&gt;$C91),"تجاوز حد الائتمان",IF($D91&lt;-S_Tol,"رصيد دائن للعميل","")))</f>
        <v/>
      </c>
    </row>
    <row r="92">
      <c r="A92" s="44">
        <f>IF(INDEX(Customers!$A:$A,ROW()-4)="","",INDEX(Customers!$A:$A,ROW()-4))</f>
        <v/>
      </c>
      <c r="B92" s="32">
        <f>IF($A92="","",INDEX(Customers!$B:$B,ROW()-4))</f>
        <v/>
      </c>
      <c r="C92" s="43">
        <f>IF($A92="","",INDEX(Customers!$D:$D,ROW()-4))</f>
        <v/>
      </c>
      <c r="D92" s="47">
        <f>IF($A92="","",(SUMIFS(GL_Journal!$S:$S,GL_Journal!$G:$G,ACC_CUSTOMERS,GL_Journal!$K:$K,$A92,GL_Journal!$D:$D,"&lt;="&amp;CB_To)-SUMIFS(GL_Journal!$T:$T,GL_Journal!$G:$G,ACC_CUSTOMERS,GL_Journal!$K:$K,$A92,GL_Journal!$D:$D,"&lt;="&amp;CB_To)))</f>
        <v/>
      </c>
      <c r="E92" s="32">
        <f>IF($A92="","",IF(AND(ISNUMBER($C92),$C92&gt;0,$D92&gt;$C92),"تجاوز حد الائتمان",IF($D92&lt;-S_Tol,"رصيد دائن للعميل","")))</f>
        <v/>
      </c>
    </row>
    <row r="93">
      <c r="A93" s="44">
        <f>IF(INDEX(Customers!$A:$A,ROW()-4)="","",INDEX(Customers!$A:$A,ROW()-4))</f>
        <v/>
      </c>
      <c r="B93" s="32">
        <f>IF($A93="","",INDEX(Customers!$B:$B,ROW()-4))</f>
        <v/>
      </c>
      <c r="C93" s="43">
        <f>IF($A93="","",INDEX(Customers!$D:$D,ROW()-4))</f>
        <v/>
      </c>
      <c r="D93" s="47">
        <f>IF($A93="","",(SUMIFS(GL_Journal!$S:$S,GL_Journal!$G:$G,ACC_CUSTOMERS,GL_Journal!$K:$K,$A93,GL_Journal!$D:$D,"&lt;="&amp;CB_To)-SUMIFS(GL_Journal!$T:$T,GL_Journal!$G:$G,ACC_CUSTOMERS,GL_Journal!$K:$K,$A93,GL_Journal!$D:$D,"&lt;="&amp;CB_To)))</f>
        <v/>
      </c>
      <c r="E93" s="32">
        <f>IF($A93="","",IF(AND(ISNUMBER($C93),$C93&gt;0,$D93&gt;$C93),"تجاوز حد الائتمان",IF($D93&lt;-S_Tol,"رصيد دائن للعميل","")))</f>
        <v/>
      </c>
    </row>
    <row r="94">
      <c r="A94" s="44">
        <f>IF(INDEX(Customers!$A:$A,ROW()-4)="","",INDEX(Customers!$A:$A,ROW()-4))</f>
        <v/>
      </c>
      <c r="B94" s="32">
        <f>IF($A94="","",INDEX(Customers!$B:$B,ROW()-4))</f>
        <v/>
      </c>
      <c r="C94" s="43">
        <f>IF($A94="","",INDEX(Customers!$D:$D,ROW()-4))</f>
        <v/>
      </c>
      <c r="D94" s="47">
        <f>IF($A94="","",(SUMIFS(GL_Journal!$S:$S,GL_Journal!$G:$G,ACC_CUSTOMERS,GL_Journal!$K:$K,$A94,GL_Journal!$D:$D,"&lt;="&amp;CB_To)-SUMIFS(GL_Journal!$T:$T,GL_Journal!$G:$G,ACC_CUSTOMERS,GL_Journal!$K:$K,$A94,GL_Journal!$D:$D,"&lt;="&amp;CB_To)))</f>
        <v/>
      </c>
      <c r="E94" s="32">
        <f>IF($A94="","",IF(AND(ISNUMBER($C94),$C94&gt;0,$D94&gt;$C94),"تجاوز حد الائتمان",IF($D94&lt;-S_Tol,"رصيد دائن للعميل","")))</f>
        <v/>
      </c>
    </row>
    <row r="95">
      <c r="A95" s="44">
        <f>IF(INDEX(Customers!$A:$A,ROW()-4)="","",INDEX(Customers!$A:$A,ROW()-4))</f>
        <v/>
      </c>
      <c r="B95" s="32">
        <f>IF($A95="","",INDEX(Customers!$B:$B,ROW()-4))</f>
        <v/>
      </c>
      <c r="C95" s="43">
        <f>IF($A95="","",INDEX(Customers!$D:$D,ROW()-4))</f>
        <v/>
      </c>
      <c r="D95" s="47">
        <f>IF($A95="","",(SUMIFS(GL_Journal!$S:$S,GL_Journal!$G:$G,ACC_CUSTOMERS,GL_Journal!$K:$K,$A95,GL_Journal!$D:$D,"&lt;="&amp;CB_To)-SUMIFS(GL_Journal!$T:$T,GL_Journal!$G:$G,ACC_CUSTOMERS,GL_Journal!$K:$K,$A95,GL_Journal!$D:$D,"&lt;="&amp;CB_To)))</f>
        <v/>
      </c>
      <c r="E95" s="32">
        <f>IF($A95="","",IF(AND(ISNUMBER($C95),$C95&gt;0,$D95&gt;$C95),"تجاوز حد الائتمان",IF($D95&lt;-S_Tol,"رصيد دائن للعميل","")))</f>
        <v/>
      </c>
    </row>
    <row r="96">
      <c r="A96" s="44">
        <f>IF(INDEX(Customers!$A:$A,ROW()-4)="","",INDEX(Customers!$A:$A,ROW()-4))</f>
        <v/>
      </c>
      <c r="B96" s="32">
        <f>IF($A96="","",INDEX(Customers!$B:$B,ROW()-4))</f>
        <v/>
      </c>
      <c r="C96" s="43">
        <f>IF($A96="","",INDEX(Customers!$D:$D,ROW()-4))</f>
        <v/>
      </c>
      <c r="D96" s="47">
        <f>IF($A96="","",(SUMIFS(GL_Journal!$S:$S,GL_Journal!$G:$G,ACC_CUSTOMERS,GL_Journal!$K:$K,$A96,GL_Journal!$D:$D,"&lt;="&amp;CB_To)-SUMIFS(GL_Journal!$T:$T,GL_Journal!$G:$G,ACC_CUSTOMERS,GL_Journal!$K:$K,$A96,GL_Journal!$D:$D,"&lt;="&amp;CB_To)))</f>
        <v/>
      </c>
      <c r="E96" s="32">
        <f>IF($A96="","",IF(AND(ISNUMBER($C96),$C96&gt;0,$D96&gt;$C96),"تجاوز حد الائتمان",IF($D96&lt;-S_Tol,"رصيد دائن للعميل","")))</f>
        <v/>
      </c>
    </row>
    <row r="97">
      <c r="A97" s="44">
        <f>IF(INDEX(Customers!$A:$A,ROW()-4)="","",INDEX(Customers!$A:$A,ROW()-4))</f>
        <v/>
      </c>
      <c r="B97" s="32">
        <f>IF($A97="","",INDEX(Customers!$B:$B,ROW()-4))</f>
        <v/>
      </c>
      <c r="C97" s="43">
        <f>IF($A97="","",INDEX(Customers!$D:$D,ROW()-4))</f>
        <v/>
      </c>
      <c r="D97" s="47">
        <f>IF($A97="","",(SUMIFS(GL_Journal!$S:$S,GL_Journal!$G:$G,ACC_CUSTOMERS,GL_Journal!$K:$K,$A97,GL_Journal!$D:$D,"&lt;="&amp;CB_To)-SUMIFS(GL_Journal!$T:$T,GL_Journal!$G:$G,ACC_CUSTOMERS,GL_Journal!$K:$K,$A97,GL_Journal!$D:$D,"&lt;="&amp;CB_To)))</f>
        <v/>
      </c>
      <c r="E97" s="32">
        <f>IF($A97="","",IF(AND(ISNUMBER($C97),$C97&gt;0,$D97&gt;$C97),"تجاوز حد الائتمان",IF($D97&lt;-S_Tol,"رصيد دائن للعميل","")))</f>
        <v/>
      </c>
    </row>
    <row r="98">
      <c r="A98" s="44">
        <f>IF(INDEX(Customers!$A:$A,ROW()-4)="","",INDEX(Customers!$A:$A,ROW()-4))</f>
        <v/>
      </c>
      <c r="B98" s="32">
        <f>IF($A98="","",INDEX(Customers!$B:$B,ROW()-4))</f>
        <v/>
      </c>
      <c r="C98" s="43">
        <f>IF($A98="","",INDEX(Customers!$D:$D,ROW()-4))</f>
        <v/>
      </c>
      <c r="D98" s="47">
        <f>IF($A98="","",(SUMIFS(GL_Journal!$S:$S,GL_Journal!$G:$G,ACC_CUSTOMERS,GL_Journal!$K:$K,$A98,GL_Journal!$D:$D,"&lt;="&amp;CB_To)-SUMIFS(GL_Journal!$T:$T,GL_Journal!$G:$G,ACC_CUSTOMERS,GL_Journal!$K:$K,$A98,GL_Journal!$D:$D,"&lt;="&amp;CB_To)))</f>
        <v/>
      </c>
      <c r="E98" s="32">
        <f>IF($A98="","",IF(AND(ISNUMBER($C98),$C98&gt;0,$D98&gt;$C98),"تجاوز حد الائتمان",IF($D98&lt;-S_Tol,"رصيد دائن للعميل","")))</f>
        <v/>
      </c>
    </row>
    <row r="99">
      <c r="A99" s="44">
        <f>IF(INDEX(Customers!$A:$A,ROW()-4)="","",INDEX(Customers!$A:$A,ROW()-4))</f>
        <v/>
      </c>
      <c r="B99" s="32">
        <f>IF($A99="","",INDEX(Customers!$B:$B,ROW()-4))</f>
        <v/>
      </c>
      <c r="C99" s="43">
        <f>IF($A99="","",INDEX(Customers!$D:$D,ROW()-4))</f>
        <v/>
      </c>
      <c r="D99" s="47">
        <f>IF($A99="","",(SUMIFS(GL_Journal!$S:$S,GL_Journal!$G:$G,ACC_CUSTOMERS,GL_Journal!$K:$K,$A99,GL_Journal!$D:$D,"&lt;="&amp;CB_To)-SUMIFS(GL_Journal!$T:$T,GL_Journal!$G:$G,ACC_CUSTOMERS,GL_Journal!$K:$K,$A99,GL_Journal!$D:$D,"&lt;="&amp;CB_To)))</f>
        <v/>
      </c>
      <c r="E99" s="32">
        <f>IF($A99="","",IF(AND(ISNUMBER($C99),$C99&gt;0,$D99&gt;$C99),"تجاوز حد الائتمان",IF($D99&lt;-S_Tol,"رصيد دائن للعميل","")))</f>
        <v/>
      </c>
    </row>
    <row r="100">
      <c r="A100" s="44">
        <f>IF(INDEX(Customers!$A:$A,ROW()-4)="","",INDEX(Customers!$A:$A,ROW()-4))</f>
        <v/>
      </c>
      <c r="B100" s="32">
        <f>IF($A100="","",INDEX(Customers!$B:$B,ROW()-4))</f>
        <v/>
      </c>
      <c r="C100" s="43">
        <f>IF($A100="","",INDEX(Customers!$D:$D,ROW()-4))</f>
        <v/>
      </c>
      <c r="D100" s="47">
        <f>IF($A100="","",(SUMIFS(GL_Journal!$S:$S,GL_Journal!$G:$G,ACC_CUSTOMERS,GL_Journal!$K:$K,$A100,GL_Journal!$D:$D,"&lt;="&amp;CB_To)-SUMIFS(GL_Journal!$T:$T,GL_Journal!$G:$G,ACC_CUSTOMERS,GL_Journal!$K:$K,$A100,GL_Journal!$D:$D,"&lt;="&amp;CB_To)))</f>
        <v/>
      </c>
      <c r="E100" s="32">
        <f>IF($A100="","",IF(AND(ISNUMBER($C100),$C100&gt;0,$D100&gt;$C100),"تجاوز حد الائتمان",IF($D100&lt;-S_Tol,"رصيد دائن للعميل","")))</f>
        <v/>
      </c>
    </row>
    <row r="101">
      <c r="A101" s="44">
        <f>IF(INDEX(Customers!$A:$A,ROW()-4)="","",INDEX(Customers!$A:$A,ROW()-4))</f>
        <v/>
      </c>
      <c r="B101" s="32">
        <f>IF($A101="","",INDEX(Customers!$B:$B,ROW()-4))</f>
        <v/>
      </c>
      <c r="C101" s="43">
        <f>IF($A101="","",INDEX(Customers!$D:$D,ROW()-4))</f>
        <v/>
      </c>
      <c r="D101" s="47">
        <f>IF($A101="","",(SUMIFS(GL_Journal!$S:$S,GL_Journal!$G:$G,ACC_CUSTOMERS,GL_Journal!$K:$K,$A101,GL_Journal!$D:$D,"&lt;="&amp;CB_To)-SUMIFS(GL_Journal!$T:$T,GL_Journal!$G:$G,ACC_CUSTOMERS,GL_Journal!$K:$K,$A101,GL_Journal!$D:$D,"&lt;="&amp;CB_To)))</f>
        <v/>
      </c>
      <c r="E101" s="32">
        <f>IF($A101="","",IF(AND(ISNUMBER($C101),$C101&gt;0,$D101&gt;$C101),"تجاوز حد الائتمان",IF($D101&lt;-S_Tol,"رصيد دائن للعميل","")))</f>
        <v/>
      </c>
    </row>
    <row r="102">
      <c r="A102" s="44">
        <f>IF(INDEX(Customers!$A:$A,ROW()-4)="","",INDEX(Customers!$A:$A,ROW()-4))</f>
        <v/>
      </c>
      <c r="B102" s="32">
        <f>IF($A102="","",INDEX(Customers!$B:$B,ROW()-4))</f>
        <v/>
      </c>
      <c r="C102" s="43">
        <f>IF($A102="","",INDEX(Customers!$D:$D,ROW()-4))</f>
        <v/>
      </c>
      <c r="D102" s="47">
        <f>IF($A102="","",(SUMIFS(GL_Journal!$S:$S,GL_Journal!$G:$G,ACC_CUSTOMERS,GL_Journal!$K:$K,$A102,GL_Journal!$D:$D,"&lt;="&amp;CB_To)-SUMIFS(GL_Journal!$T:$T,GL_Journal!$G:$G,ACC_CUSTOMERS,GL_Journal!$K:$K,$A102,GL_Journal!$D:$D,"&lt;="&amp;CB_To)))</f>
        <v/>
      </c>
      <c r="E102" s="32">
        <f>IF($A102="","",IF(AND(ISNUMBER($C102),$C102&gt;0,$D102&gt;$C102),"تجاوز حد الائتمان",IF($D102&lt;-S_Tol,"رصيد دائن للعميل","")))</f>
        <v/>
      </c>
    </row>
    <row r="103">
      <c r="A103" s="44">
        <f>IF(INDEX(Customers!$A:$A,ROW()-4)="","",INDEX(Customers!$A:$A,ROW()-4))</f>
        <v/>
      </c>
      <c r="B103" s="32">
        <f>IF($A103="","",INDEX(Customers!$B:$B,ROW()-4))</f>
        <v/>
      </c>
      <c r="C103" s="43">
        <f>IF($A103="","",INDEX(Customers!$D:$D,ROW()-4))</f>
        <v/>
      </c>
      <c r="D103" s="47">
        <f>IF($A103="","",(SUMIFS(GL_Journal!$S:$S,GL_Journal!$G:$G,ACC_CUSTOMERS,GL_Journal!$K:$K,$A103,GL_Journal!$D:$D,"&lt;="&amp;CB_To)-SUMIFS(GL_Journal!$T:$T,GL_Journal!$G:$G,ACC_CUSTOMERS,GL_Journal!$K:$K,$A103,GL_Journal!$D:$D,"&lt;="&amp;CB_To)))</f>
        <v/>
      </c>
      <c r="E103" s="32">
        <f>IF($A103="","",IF(AND(ISNUMBER($C103),$C103&gt;0,$D103&gt;$C103),"تجاوز حد الائتمان",IF($D103&lt;-S_Tol,"رصيد دائن للعميل","")))</f>
        <v/>
      </c>
    </row>
    <row r="104">
      <c r="A104" s="44">
        <f>IF(INDEX(Customers!$A:$A,ROW()-4)="","",INDEX(Customers!$A:$A,ROW()-4))</f>
        <v/>
      </c>
      <c r="B104" s="32">
        <f>IF($A104="","",INDEX(Customers!$B:$B,ROW()-4))</f>
        <v/>
      </c>
      <c r="C104" s="43">
        <f>IF($A104="","",INDEX(Customers!$D:$D,ROW()-4))</f>
        <v/>
      </c>
      <c r="D104" s="47">
        <f>IF($A104="","",(SUMIFS(GL_Journal!$S:$S,GL_Journal!$G:$G,ACC_CUSTOMERS,GL_Journal!$K:$K,$A104,GL_Journal!$D:$D,"&lt;="&amp;CB_To)-SUMIFS(GL_Journal!$T:$T,GL_Journal!$G:$G,ACC_CUSTOMERS,GL_Journal!$K:$K,$A104,GL_Journal!$D:$D,"&lt;="&amp;CB_To)))</f>
        <v/>
      </c>
      <c r="E104" s="32">
        <f>IF($A104="","",IF(AND(ISNUMBER($C104),$C104&gt;0,$D104&gt;$C104),"تجاوز حد الائتمان",IF($D104&lt;-S_Tol,"رصيد دائن للعميل","")))</f>
        <v/>
      </c>
    </row>
    <row r="105">
      <c r="A105" s="44">
        <f>IF(INDEX(Customers!$A:$A,ROW()-4)="","",INDEX(Customers!$A:$A,ROW()-4))</f>
        <v/>
      </c>
      <c r="B105" s="32">
        <f>IF($A105="","",INDEX(Customers!$B:$B,ROW()-4))</f>
        <v/>
      </c>
      <c r="C105" s="43">
        <f>IF($A105="","",INDEX(Customers!$D:$D,ROW()-4))</f>
        <v/>
      </c>
      <c r="D105" s="47">
        <f>IF($A105="","",(SUMIFS(GL_Journal!$S:$S,GL_Journal!$G:$G,ACC_CUSTOMERS,GL_Journal!$K:$K,$A105,GL_Journal!$D:$D,"&lt;="&amp;CB_To)-SUMIFS(GL_Journal!$T:$T,GL_Journal!$G:$G,ACC_CUSTOMERS,GL_Journal!$K:$K,$A105,GL_Journal!$D:$D,"&lt;="&amp;CB_To)))</f>
        <v/>
      </c>
      <c r="E105" s="32">
        <f>IF($A105="","",IF(AND(ISNUMBER($C105),$C105&gt;0,$D105&gt;$C105),"تجاوز حد الائتمان",IF($D105&lt;-S_Tol,"رصيد دائن للعميل","")))</f>
        <v/>
      </c>
    </row>
    <row r="106">
      <c r="A106" s="44">
        <f>IF(INDEX(Customers!$A:$A,ROW()-4)="","",INDEX(Customers!$A:$A,ROW()-4))</f>
        <v/>
      </c>
      <c r="B106" s="32">
        <f>IF($A106="","",INDEX(Customers!$B:$B,ROW()-4))</f>
        <v/>
      </c>
      <c r="C106" s="43">
        <f>IF($A106="","",INDEX(Customers!$D:$D,ROW()-4))</f>
        <v/>
      </c>
      <c r="D106" s="47">
        <f>IF($A106="","",(SUMIFS(GL_Journal!$S:$S,GL_Journal!$G:$G,ACC_CUSTOMERS,GL_Journal!$K:$K,$A106,GL_Journal!$D:$D,"&lt;="&amp;CB_To)-SUMIFS(GL_Journal!$T:$T,GL_Journal!$G:$G,ACC_CUSTOMERS,GL_Journal!$K:$K,$A106,GL_Journal!$D:$D,"&lt;="&amp;CB_To)))</f>
        <v/>
      </c>
      <c r="E106" s="32">
        <f>IF($A106="","",IF(AND(ISNUMBER($C106),$C106&gt;0,$D106&gt;$C106),"تجاوز حد الائتمان",IF($D106&lt;-S_Tol,"رصيد دائن للعميل","")))</f>
        <v/>
      </c>
    </row>
    <row r="107">
      <c r="A107" s="44">
        <f>IF(INDEX(Customers!$A:$A,ROW()-4)="","",INDEX(Customers!$A:$A,ROW()-4))</f>
        <v/>
      </c>
      <c r="B107" s="32">
        <f>IF($A107="","",INDEX(Customers!$B:$B,ROW()-4))</f>
        <v/>
      </c>
      <c r="C107" s="43">
        <f>IF($A107="","",INDEX(Customers!$D:$D,ROW()-4))</f>
        <v/>
      </c>
      <c r="D107" s="47">
        <f>IF($A107="","",(SUMIFS(GL_Journal!$S:$S,GL_Journal!$G:$G,ACC_CUSTOMERS,GL_Journal!$K:$K,$A107,GL_Journal!$D:$D,"&lt;="&amp;CB_To)-SUMIFS(GL_Journal!$T:$T,GL_Journal!$G:$G,ACC_CUSTOMERS,GL_Journal!$K:$K,$A107,GL_Journal!$D:$D,"&lt;="&amp;CB_To)))</f>
        <v/>
      </c>
      <c r="E107" s="32">
        <f>IF($A107="","",IF(AND(ISNUMBER($C107),$C107&gt;0,$D107&gt;$C107),"تجاوز حد الائتمان",IF($D107&lt;-S_Tol,"رصيد دائن للعميل","")))</f>
        <v/>
      </c>
    </row>
    <row r="108">
      <c r="A108" s="44">
        <f>IF(INDEX(Customers!$A:$A,ROW()-4)="","",INDEX(Customers!$A:$A,ROW()-4))</f>
        <v/>
      </c>
      <c r="B108" s="32">
        <f>IF($A108="","",INDEX(Customers!$B:$B,ROW()-4))</f>
        <v/>
      </c>
      <c r="C108" s="43">
        <f>IF($A108="","",INDEX(Customers!$D:$D,ROW()-4))</f>
        <v/>
      </c>
      <c r="D108" s="47">
        <f>IF($A108="","",(SUMIFS(GL_Journal!$S:$S,GL_Journal!$G:$G,ACC_CUSTOMERS,GL_Journal!$K:$K,$A108,GL_Journal!$D:$D,"&lt;="&amp;CB_To)-SUMIFS(GL_Journal!$T:$T,GL_Journal!$G:$G,ACC_CUSTOMERS,GL_Journal!$K:$K,$A108,GL_Journal!$D:$D,"&lt;="&amp;CB_To)))</f>
        <v/>
      </c>
      <c r="E108" s="32">
        <f>IF($A108="","",IF(AND(ISNUMBER($C108),$C108&gt;0,$D108&gt;$C108),"تجاوز حد الائتمان",IF($D108&lt;-S_Tol,"رصيد دائن للعميل","")))</f>
        <v/>
      </c>
    </row>
  </sheetData>
  <sheetProtection selectLockedCells="0" selectUnlockedCells="0" sheet="1" objects="0" insertRows="1" insertHyperlinks="1" autoFilter="0" scenarios="0" formatColumns="0" deleteColumns="1" insertColumns="1" pivotTables="1" deleteRows="1" formatCells="0" formatRows="0" sort="1"/>
  <autoFilter ref="A8:E108"/>
  <conditionalFormatting sqref="E9:E108">
    <cfRule type="expression" priority="1" dxfId="3">
      <formula>LEN(E9)&gt;0</formula>
    </cfRule>
  </conditionalFormatting>
  <pageMargins left="0.75" right="0.75" top="1" bottom="1" header="0.5" footer="0.5"/>
  <pageSetup orientation="landscape" fitToHeight="0" fitToWidth="1"/>
</worksheet>
</file>

<file path=xl/worksheets/sheet36.xml><?xml version="1.0" encoding="utf-8"?>
<worksheet xmlns="http://schemas.openxmlformats.org/spreadsheetml/2006/main">
  <sheetPr>
    <tabColor rgb="00C55A11"/>
    <outlinePr summaryBelow="1" summaryRight="1"/>
    <pageSetUpPr fitToPage="1"/>
  </sheetPr>
  <dimension ref="A1:AE8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13" customWidth="1" min="2" max="2"/>
    <col width="9" customWidth="1" min="3" max="3"/>
    <col width="9" customWidth="1" min="4" max="4"/>
    <col width="10" customWidth="1" min="5" max="5"/>
    <col width="12" customWidth="1" min="6" max="6"/>
    <col width="11" customWidth="1" min="7" max="7"/>
    <col width="9" customWidth="1" min="8" max="8"/>
    <col width="13" customWidth="1" min="9" max="9"/>
    <col width="22" customWidth="1" min="10" max="10"/>
    <col width="14" customWidth="1" min="11" max="11"/>
    <col width="28" customWidth="1" min="12" max="12"/>
    <col width="11" customWidth="1" min="13" max="13"/>
    <col width="22" customWidth="1" min="14" max="14"/>
    <col width="22" customWidth="1" min="15" max="15"/>
    <col width="22" customWidth="1" min="16" max="16"/>
    <col width="16" customWidth="1" min="17" max="17"/>
    <col width="18" customWidth="1" min="18" max="18"/>
    <col width="24" customWidth="1" min="19" max="19"/>
    <col hidden="1" width="7" customWidth="1" min="20" max="20"/>
    <col hidden="1" width="9" customWidth="1" min="21" max="21"/>
    <col width="10" customWidth="1" min="22" max="22"/>
    <col width="12" customWidth="1" min="23" max="23"/>
    <col width="13" customWidth="1" min="24" max="24"/>
    <col width="12" customWidth="1" min="25" max="25"/>
    <col width="14" customWidth="1" min="26" max="26"/>
    <col width="12" customWidth="1" min="27" max="27"/>
    <col hidden="1" width="7" customWidth="1" min="28" max="28"/>
    <col width="44" customWidth="1" min="29" max="29"/>
    <col hidden="1" width="6" customWidth="1" min="30" max="30"/>
    <col hidden="1" width="7" customWidth="1" min="31" max="31"/>
  </cols>
  <sheetData>
    <row r="1" ht="26" customHeight="1">
      <c r="A1" s="22" t="inlineStr">
        <is>
          <t>سجل المصروفات (Expenses Register)</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row>
    <row r="2">
      <c r="A2" s="35" t="inlineStr">
        <is>
          <t>المصدر: نموذج المصروفات (17). المصروف يثبت بتاريخ الاستحقاق. فوري = يُدفع الآن من الخزينة/البنك؛ آجل = يُثبت التزام (مصروف مستحق) ويُسدد لاحقًا بسند صرف مرتبط برقم هذا المستند. الأصول الثابتة لا تُسجل هنا.</t>
        </is>
      </c>
    </row>
    <row r="3">
      <c r="A3" s="36" t="inlineStr">
        <is>
          <t>خلايا الإدخال</t>
        </is>
      </c>
      <c r="B3" s="37" t="inlineStr">
        <is>
          <t>معادلات (لا تعدّل)</t>
        </is>
      </c>
    </row>
    <row r="4" ht="34" customHeight="1">
      <c r="A4" s="24" t="inlineStr">
        <is>
          <t>رقم المصروف</t>
        </is>
      </c>
      <c r="B4" s="24" t="inlineStr">
        <is>
          <t>تاريخ الإثبات (الاستحقاق)</t>
        </is>
      </c>
      <c r="C4" s="24" t="inlineStr">
        <is>
          <t>الفرع / الإدارة</t>
        </is>
      </c>
      <c r="D4" s="24" t="inlineStr">
        <is>
          <t>مركز التكلفة</t>
        </is>
      </c>
      <c r="E4" s="24" t="inlineStr">
        <is>
          <t>حساب المصروف</t>
        </is>
      </c>
      <c r="F4" s="24" t="inlineStr">
        <is>
          <t>المبلغ</t>
        </is>
      </c>
      <c r="G4" s="24" t="inlineStr">
        <is>
          <t>ضريبة مدخلات (اختياري)</t>
        </is>
      </c>
      <c r="H4" s="24" t="inlineStr">
        <is>
          <t>نمط السداد</t>
        </is>
      </c>
      <c r="I4" s="24" t="inlineStr">
        <is>
          <t>الخزينة/البنك (للفوري)</t>
        </is>
      </c>
      <c r="J4" s="24" t="inlineStr">
        <is>
          <t>المستفيد</t>
        </is>
      </c>
      <c r="K4" s="24" t="inlineStr">
        <is>
          <t>طريقة الدفع</t>
        </is>
      </c>
      <c r="L4" s="24" t="inlineStr">
        <is>
          <t>البيان</t>
        </is>
      </c>
      <c r="M4" s="24" t="inlineStr">
        <is>
          <t>حالة المستند</t>
        </is>
      </c>
      <c r="N4" s="24" t="inlineStr">
        <is>
          <t>المُعِد / مقدم الطلب</t>
        </is>
      </c>
      <c r="O4" s="24" t="inlineStr">
        <is>
          <t>المعتمد</t>
        </is>
      </c>
      <c r="P4" s="24" t="inlineStr">
        <is>
          <t>المحاسب المرحِّل</t>
        </is>
      </c>
      <c r="Q4" s="24" t="inlineStr">
        <is>
          <t>مرفق / مرجع ورقي</t>
        </is>
      </c>
      <c r="R4" s="24" t="inlineStr">
        <is>
          <t>مرجع التصحيح / الإلغاء</t>
        </is>
      </c>
      <c r="S4" s="24" t="inlineStr">
        <is>
          <t>ملاحظات</t>
        </is>
      </c>
      <c r="T4" s="38" t="inlineStr">
        <is>
          <t>رمز النمط</t>
        </is>
      </c>
      <c r="U4" s="38" t="inlineStr">
        <is>
          <t>حساب الخزينة</t>
        </is>
      </c>
      <c r="V4" s="38" t="inlineStr">
        <is>
          <t>حساب الدائن</t>
        </is>
      </c>
      <c r="W4" s="38" t="inlineStr">
        <is>
          <t>الإجمالي</t>
        </is>
      </c>
      <c r="X4" s="38" t="inlineStr">
        <is>
          <t>المسدَّد لاحقًا (سندات مرتبطة)</t>
        </is>
      </c>
      <c r="Y4" s="38" t="inlineStr">
        <is>
          <t>المتبقي</t>
        </is>
      </c>
      <c r="Z4" s="38" t="inlineStr">
        <is>
          <t>حالة السداد</t>
        </is>
      </c>
      <c r="AA4" s="38" t="inlineStr">
        <is>
          <t>تاريخ آخر دفعة</t>
        </is>
      </c>
      <c r="AB4" s="38" t="inlineStr">
        <is>
          <t>مستخدم</t>
        </is>
      </c>
      <c r="AC4" s="38" t="inlineStr">
        <is>
          <t>فحص المستند (أول خطأ)</t>
        </is>
      </c>
      <c r="AD4" s="38" t="inlineStr">
        <is>
          <t>خطأ؟</t>
        </is>
      </c>
      <c r="AE4" s="38" t="inlineStr">
        <is>
          <t>يُرحَّل؟</t>
        </is>
      </c>
    </row>
    <row r="5">
      <c r="A5" s="29" t="n"/>
      <c r="B5" s="31" t="n"/>
      <c r="C5" s="39" t="n"/>
      <c r="D5" s="39" t="n"/>
      <c r="E5" s="39" t="n"/>
      <c r="F5" s="42" t="n"/>
      <c r="G5" s="42" t="n"/>
      <c r="H5" s="39" t="n"/>
      <c r="I5" s="39" t="n"/>
      <c r="J5" s="29" t="n"/>
      <c r="K5" s="29" t="n"/>
      <c r="L5" s="29" t="n"/>
      <c r="M5" s="39" t="n"/>
      <c r="N5" s="29" t="n"/>
      <c r="O5" s="29" t="n"/>
      <c r="P5" s="29" t="n"/>
      <c r="Q5" s="29" t="n"/>
      <c r="R5" s="29" t="n"/>
      <c r="S5" s="29" t="n"/>
      <c r="T5" s="32">
        <f>IF($AB5=1,IFERROR(INDEX(Lists!$O$5:$O$6,MATCH($H5,Lists!$N$5:$N$6,0)),"?"),"")</f>
        <v/>
      </c>
      <c r="U5" s="32">
        <f>IF(AND($AB5=1,$I5&lt;&gt;""),IFERROR(INDEX(Treasuries!$E:$E,MATCH($I5,Treasuries!$A:$A,0)),"؟"),"")</f>
        <v/>
      </c>
      <c r="V5" s="44">
        <f>IF($AB5=1,IF($T5="IMM",$U5,ACC_ACCRUED),"")</f>
        <v/>
      </c>
      <c r="W5" s="43">
        <f>IF($AB5=1,$F5+$G5,"")</f>
        <v/>
      </c>
      <c r="X5" s="43">
        <f>IF($AB5=1,SUMIFS(Cash_Vouchers!$I:$I,Cash_Vouchers!$M:$M,$A5,Cash_Vouchers!$AM:$AM,1,Cash_Vouchers!$U:$U,"PAY"),"")</f>
        <v/>
      </c>
      <c r="Y5" s="43">
        <f>IF($AB5=1,IF($T5="CRD",$W5-$X5,0),"")</f>
        <v/>
      </c>
      <c r="Z5" s="44">
        <f>IF($AB5=1,IF($T5="IMM","مدفوع فورًا",IF($M5&lt;&gt;ST_POST,"غير مرحل",IF($Y5&lt;=S_Tol,"مدفوع بالكامل",IF($X5&gt;0,"مدفوع جزئيًا","غير مدفوع")))),"")</f>
        <v/>
      </c>
      <c r="AA5" s="33">
        <f>IF($AB5=1,IF($X5&gt;0,_xlfn.MAXIFS(Cash_Vouchers!$B:$B,Cash_Vouchers!$M:$M,$A5,Cash_Vouchers!$AM:$AM,1),""),"")</f>
        <v/>
      </c>
      <c r="AB5" s="32">
        <f>IF(COUNTA($A5:$S5)&gt;0,1,0)</f>
        <v/>
      </c>
      <c r="AC5" s="32">
        <f>IF($AB5=0,"",IF($A5="","رقم المستند ناقص",IF(COUNTIF(Doc_Register!$A:$A,$A5)&gt;1,"رقم مستند مكرر في السجل المركزي",IF(LEFT($A5,LEN("EXP")+1)&lt;&gt;"EXP"&amp;"-","بادئة الرقم لا تطابق نوع المستند",IF(NOT(ISNUMBER($B5)),"التاريخ ناقص أو غير صحيح",IF($M5="","حالة المستند ناقصة",IF($N5="","اسم المُعِد ناقص",IF(AND(OR($M5=ST_APPR,$M5=ST_POST),$O5=""),"لا يوجد معتمد",IF(AND($O5&lt;&gt;"",$O5=$N5),"المُعِد والمعتمد نفس الشخص (فصل المهام)",IF(AND($M5=ST_POST,$P5=""),"اسم المحاسب المرحِّل ناقص",IF(AND($M5=ST_POST,$P5&lt;&gt;"",OR($P5=$N5,$P5=$O5)),"المرحِّل يجب أن يختلف عن المُعِد والمعتمد",IF(AND($M5=ST_REV,$R5=""),"مرجع التصحيح/الإلغاء ناقص",IF(AND(ISNUMBER($B5),OR($M5=ST_DRAFT,$M5=ST_APPR),COUNTIFS(Period_Close!$A:$A,YEAR($B5)*100+MONTH($B5),Period_Close!$B:$B,"مقفلة")&gt;0),"الفترة مقفلة: لا يسمح بمستند جديد",IF(NOT(COUNTIF(Locations!$A:$A,$C5)&gt;0),"الفرع/الإدارة غير معرف",IF(NOT(COUNTIF(Cost_Centers!$A:$A,$D5)&gt;0),"مركز التكلفة غير معرف أو ناقص",IF(COUNTIFS(COA!$A:$A,$E5,COA!$J:$J,"نعم",COA!$R:$R,1)&lt;&gt;1,"حساب غير مسموح للمصروفات (الأصول الثابتة والمخزون لهما مسارات خاصة)",IF(NOT(N($F5)&gt;0),"المبلغ يجب أن يكون أكبر من صفر",IF($T5="?","نمط السداد غير معرف",IF(AND($T5="IMM",$I5=""),"الدفع الفوري يحتاج خزينة/بنك",IF(AND($T5="IMM",COUNTIFS(COA!$A:$A,$U5,COA!$R:$R,1)&lt;&gt;1),"الخزينة/البنك غير صالح",IF(AND($T5="IMM",$K5=""),"طريقة الدفع ناقصة",IF(AND(N($G5)&gt;0,S_VATOn&lt;&gt;"نعم"),"ضريبة المدخلات غير مفعلة في Tax_Settings",IF($J5="","المستفيد ناقص",IF(AND($T5="CRD",$X5&gt;$W5+S_Tol),"المسدَّد أكبر من المستحق",""))))))))))))))))))))))))</f>
        <v/>
      </c>
      <c r="AD5" s="32">
        <f>IF($AB5=1,IF($AC5&lt;&gt;"",1,0),0)</f>
        <v/>
      </c>
      <c r="AE5" s="32">
        <f>IF(AND($AB5=1,$AD5=0,$M5=ST_POST),1,0)</f>
        <v/>
      </c>
    </row>
    <row r="6">
      <c r="A6" s="29" t="n"/>
      <c r="B6" s="31" t="n"/>
      <c r="C6" s="39" t="n"/>
      <c r="D6" s="39" t="n"/>
      <c r="E6" s="39" t="n"/>
      <c r="F6" s="42" t="n"/>
      <c r="G6" s="42" t="n"/>
      <c r="H6" s="39" t="n"/>
      <c r="I6" s="39" t="n"/>
      <c r="J6" s="29" t="n"/>
      <c r="K6" s="29" t="n"/>
      <c r="L6" s="29" t="n"/>
      <c r="M6" s="39" t="n"/>
      <c r="N6" s="29" t="n"/>
      <c r="O6" s="29" t="n"/>
      <c r="P6" s="29" t="n"/>
      <c r="Q6" s="29" t="n"/>
      <c r="R6" s="29" t="n"/>
      <c r="S6" s="29" t="n"/>
      <c r="T6" s="32">
        <f>IF($AB6=1,IFERROR(INDEX(Lists!$O$5:$O$6,MATCH($H6,Lists!$N$5:$N$6,0)),"?"),"")</f>
        <v/>
      </c>
      <c r="U6" s="32">
        <f>IF(AND($AB6=1,$I6&lt;&gt;""),IFERROR(INDEX(Treasuries!$E:$E,MATCH($I6,Treasuries!$A:$A,0)),"؟"),"")</f>
        <v/>
      </c>
      <c r="V6" s="44">
        <f>IF($AB6=1,IF($T6="IMM",$U6,ACC_ACCRUED),"")</f>
        <v/>
      </c>
      <c r="W6" s="43">
        <f>IF($AB6=1,$F6+$G6,"")</f>
        <v/>
      </c>
      <c r="X6" s="43">
        <f>IF($AB6=1,SUMIFS(Cash_Vouchers!$I:$I,Cash_Vouchers!$M:$M,$A6,Cash_Vouchers!$AM:$AM,1,Cash_Vouchers!$U:$U,"PAY"),"")</f>
        <v/>
      </c>
      <c r="Y6" s="43">
        <f>IF($AB6=1,IF($T6="CRD",$W6-$X6,0),"")</f>
        <v/>
      </c>
      <c r="Z6" s="44">
        <f>IF($AB6=1,IF($T6="IMM","مدفوع فورًا",IF($M6&lt;&gt;ST_POST,"غير مرحل",IF($Y6&lt;=S_Tol,"مدفوع بالكامل",IF($X6&gt;0,"مدفوع جزئيًا","غير مدفوع")))),"")</f>
        <v/>
      </c>
      <c r="AA6" s="33">
        <f>IF($AB6=1,IF($X6&gt;0,_xlfn.MAXIFS(Cash_Vouchers!$B:$B,Cash_Vouchers!$M:$M,$A6,Cash_Vouchers!$AM:$AM,1),""),"")</f>
        <v/>
      </c>
      <c r="AB6" s="32">
        <f>IF(COUNTA($A6:$S6)&gt;0,1,0)</f>
        <v/>
      </c>
      <c r="AC6" s="32">
        <f>IF($AB6=0,"",IF($A6="","رقم المستند ناقص",IF(COUNTIF(Doc_Register!$A:$A,$A6)&gt;1,"رقم مستند مكرر في السجل المركزي",IF(LEFT($A6,LEN("EXP")+1)&lt;&gt;"EXP"&amp;"-","بادئة الرقم لا تطابق نوع المستند",IF(NOT(ISNUMBER($B6)),"التاريخ ناقص أو غير صحيح",IF($M6="","حالة المستند ناقصة",IF($N6="","اسم المُعِد ناقص",IF(AND(OR($M6=ST_APPR,$M6=ST_POST),$O6=""),"لا يوجد معتمد",IF(AND($O6&lt;&gt;"",$O6=$N6),"المُعِد والمعتمد نفس الشخص (فصل المهام)",IF(AND($M6=ST_POST,$P6=""),"اسم المحاسب المرحِّل ناقص",IF(AND($M6=ST_POST,$P6&lt;&gt;"",OR($P6=$N6,$P6=$O6)),"المرحِّل يجب أن يختلف عن المُعِد والمعتمد",IF(AND($M6=ST_REV,$R6=""),"مرجع التصحيح/الإلغاء ناقص",IF(AND(ISNUMBER($B6),OR($M6=ST_DRAFT,$M6=ST_APPR),COUNTIFS(Period_Close!$A:$A,YEAR($B6)*100+MONTH($B6),Period_Close!$B:$B,"مقفلة")&gt;0),"الفترة مقفلة: لا يسمح بمستند جديد",IF(NOT(COUNTIF(Locations!$A:$A,$C6)&gt;0),"الفرع/الإدارة غير معرف",IF(NOT(COUNTIF(Cost_Centers!$A:$A,$D6)&gt;0),"مركز التكلفة غير معرف أو ناقص",IF(COUNTIFS(COA!$A:$A,$E6,COA!$J:$J,"نعم",COA!$R:$R,1)&lt;&gt;1,"حساب غير مسموح للمصروفات (الأصول الثابتة والمخزون لهما مسارات خاصة)",IF(NOT(N($F6)&gt;0),"المبلغ يجب أن يكون أكبر من صفر",IF($T6="?","نمط السداد غير معرف",IF(AND($T6="IMM",$I6=""),"الدفع الفوري يحتاج خزينة/بنك",IF(AND($T6="IMM",COUNTIFS(COA!$A:$A,$U6,COA!$R:$R,1)&lt;&gt;1),"الخزينة/البنك غير صالح",IF(AND($T6="IMM",$K6=""),"طريقة الدفع ناقصة",IF(AND(N($G6)&gt;0,S_VATOn&lt;&gt;"نعم"),"ضريبة المدخلات غير مفعلة في Tax_Settings",IF($J6="","المستفيد ناقص",IF(AND($T6="CRD",$X6&gt;$W6+S_Tol),"المسدَّد أكبر من المستحق",""))))))))))))))))))))))))</f>
        <v/>
      </c>
      <c r="AD6" s="32">
        <f>IF($AB6=1,IF($AC6&lt;&gt;"",1,0),0)</f>
        <v/>
      </c>
      <c r="AE6" s="32">
        <f>IF(AND($AB6=1,$AD6=0,$M6=ST_POST),1,0)</f>
        <v/>
      </c>
    </row>
    <row r="7">
      <c r="A7" s="29" t="n"/>
      <c r="B7" s="31" t="n"/>
      <c r="C7" s="39" t="n"/>
      <c r="D7" s="39" t="n"/>
      <c r="E7" s="39" t="n"/>
      <c r="F7" s="42" t="n"/>
      <c r="G7" s="42" t="n"/>
      <c r="H7" s="39" t="n"/>
      <c r="I7" s="39" t="n"/>
      <c r="J7" s="29" t="n"/>
      <c r="K7" s="29" t="n"/>
      <c r="L7" s="29" t="n"/>
      <c r="M7" s="39" t="n"/>
      <c r="N7" s="29" t="n"/>
      <c r="O7" s="29" t="n"/>
      <c r="P7" s="29" t="n"/>
      <c r="Q7" s="29" t="n"/>
      <c r="R7" s="29" t="n"/>
      <c r="S7" s="29" t="n"/>
      <c r="T7" s="32">
        <f>IF($AB7=1,IFERROR(INDEX(Lists!$O$5:$O$6,MATCH($H7,Lists!$N$5:$N$6,0)),"?"),"")</f>
        <v/>
      </c>
      <c r="U7" s="32">
        <f>IF(AND($AB7=1,$I7&lt;&gt;""),IFERROR(INDEX(Treasuries!$E:$E,MATCH($I7,Treasuries!$A:$A,0)),"؟"),"")</f>
        <v/>
      </c>
      <c r="V7" s="44">
        <f>IF($AB7=1,IF($T7="IMM",$U7,ACC_ACCRUED),"")</f>
        <v/>
      </c>
      <c r="W7" s="43">
        <f>IF($AB7=1,$F7+$G7,"")</f>
        <v/>
      </c>
      <c r="X7" s="43">
        <f>IF($AB7=1,SUMIFS(Cash_Vouchers!$I:$I,Cash_Vouchers!$M:$M,$A7,Cash_Vouchers!$AM:$AM,1,Cash_Vouchers!$U:$U,"PAY"),"")</f>
        <v/>
      </c>
      <c r="Y7" s="43">
        <f>IF($AB7=1,IF($T7="CRD",$W7-$X7,0),"")</f>
        <v/>
      </c>
      <c r="Z7" s="44">
        <f>IF($AB7=1,IF($T7="IMM","مدفوع فورًا",IF($M7&lt;&gt;ST_POST,"غير مرحل",IF($Y7&lt;=S_Tol,"مدفوع بالكامل",IF($X7&gt;0,"مدفوع جزئيًا","غير مدفوع")))),"")</f>
        <v/>
      </c>
      <c r="AA7" s="33">
        <f>IF($AB7=1,IF($X7&gt;0,_xlfn.MAXIFS(Cash_Vouchers!$B:$B,Cash_Vouchers!$M:$M,$A7,Cash_Vouchers!$AM:$AM,1),""),"")</f>
        <v/>
      </c>
      <c r="AB7" s="32">
        <f>IF(COUNTA($A7:$S7)&gt;0,1,0)</f>
        <v/>
      </c>
      <c r="AC7" s="32">
        <f>IF($AB7=0,"",IF($A7="","رقم المستند ناقص",IF(COUNTIF(Doc_Register!$A:$A,$A7)&gt;1,"رقم مستند مكرر في السجل المركزي",IF(LEFT($A7,LEN("EXP")+1)&lt;&gt;"EXP"&amp;"-","بادئة الرقم لا تطابق نوع المستند",IF(NOT(ISNUMBER($B7)),"التاريخ ناقص أو غير صحيح",IF($M7="","حالة المستند ناقصة",IF($N7="","اسم المُعِد ناقص",IF(AND(OR($M7=ST_APPR,$M7=ST_POST),$O7=""),"لا يوجد معتمد",IF(AND($O7&lt;&gt;"",$O7=$N7),"المُعِد والمعتمد نفس الشخص (فصل المهام)",IF(AND($M7=ST_POST,$P7=""),"اسم المحاسب المرحِّل ناقص",IF(AND($M7=ST_POST,$P7&lt;&gt;"",OR($P7=$N7,$P7=$O7)),"المرحِّل يجب أن يختلف عن المُعِد والمعتمد",IF(AND($M7=ST_REV,$R7=""),"مرجع التصحيح/الإلغاء ناقص",IF(AND(ISNUMBER($B7),OR($M7=ST_DRAFT,$M7=ST_APPR),COUNTIFS(Period_Close!$A:$A,YEAR($B7)*100+MONTH($B7),Period_Close!$B:$B,"مقفلة")&gt;0),"الفترة مقفلة: لا يسمح بمستند جديد",IF(NOT(COUNTIF(Locations!$A:$A,$C7)&gt;0),"الفرع/الإدارة غير معرف",IF(NOT(COUNTIF(Cost_Centers!$A:$A,$D7)&gt;0),"مركز التكلفة غير معرف أو ناقص",IF(COUNTIFS(COA!$A:$A,$E7,COA!$J:$J,"نعم",COA!$R:$R,1)&lt;&gt;1,"حساب غير مسموح للمصروفات (الأصول الثابتة والمخزون لهما مسارات خاصة)",IF(NOT(N($F7)&gt;0),"المبلغ يجب أن يكون أكبر من صفر",IF($T7="?","نمط السداد غير معرف",IF(AND($T7="IMM",$I7=""),"الدفع الفوري يحتاج خزينة/بنك",IF(AND($T7="IMM",COUNTIFS(COA!$A:$A,$U7,COA!$R:$R,1)&lt;&gt;1),"الخزينة/البنك غير صالح",IF(AND($T7="IMM",$K7=""),"طريقة الدفع ناقصة",IF(AND(N($G7)&gt;0,S_VATOn&lt;&gt;"نعم"),"ضريبة المدخلات غير مفعلة في Tax_Settings",IF($J7="","المستفيد ناقص",IF(AND($T7="CRD",$X7&gt;$W7+S_Tol),"المسدَّد أكبر من المستحق",""))))))))))))))))))))))))</f>
        <v/>
      </c>
      <c r="AD7" s="32">
        <f>IF($AB7=1,IF($AC7&lt;&gt;"",1,0),0)</f>
        <v/>
      </c>
      <c r="AE7" s="32">
        <f>IF(AND($AB7=1,$AD7=0,$M7=ST_POST),1,0)</f>
        <v/>
      </c>
    </row>
    <row r="8">
      <c r="A8" s="29" t="n"/>
      <c r="B8" s="31" t="n"/>
      <c r="C8" s="39" t="n"/>
      <c r="D8" s="39" t="n"/>
      <c r="E8" s="39" t="n"/>
      <c r="F8" s="42" t="n"/>
      <c r="G8" s="42" t="n"/>
      <c r="H8" s="39" t="n"/>
      <c r="I8" s="39" t="n"/>
      <c r="J8" s="29" t="n"/>
      <c r="K8" s="29" t="n"/>
      <c r="L8" s="29" t="n"/>
      <c r="M8" s="39" t="n"/>
      <c r="N8" s="29" t="n"/>
      <c r="O8" s="29" t="n"/>
      <c r="P8" s="29" t="n"/>
      <c r="Q8" s="29" t="n"/>
      <c r="R8" s="29" t="n"/>
      <c r="S8" s="29" t="n"/>
      <c r="T8" s="32">
        <f>IF($AB8=1,IFERROR(INDEX(Lists!$O$5:$O$6,MATCH($H8,Lists!$N$5:$N$6,0)),"?"),"")</f>
        <v/>
      </c>
      <c r="U8" s="32">
        <f>IF(AND($AB8=1,$I8&lt;&gt;""),IFERROR(INDEX(Treasuries!$E:$E,MATCH($I8,Treasuries!$A:$A,0)),"؟"),"")</f>
        <v/>
      </c>
      <c r="V8" s="44">
        <f>IF($AB8=1,IF($T8="IMM",$U8,ACC_ACCRUED),"")</f>
        <v/>
      </c>
      <c r="W8" s="43">
        <f>IF($AB8=1,$F8+$G8,"")</f>
        <v/>
      </c>
      <c r="X8" s="43">
        <f>IF($AB8=1,SUMIFS(Cash_Vouchers!$I:$I,Cash_Vouchers!$M:$M,$A8,Cash_Vouchers!$AM:$AM,1,Cash_Vouchers!$U:$U,"PAY"),"")</f>
        <v/>
      </c>
      <c r="Y8" s="43">
        <f>IF($AB8=1,IF($T8="CRD",$W8-$X8,0),"")</f>
        <v/>
      </c>
      <c r="Z8" s="44">
        <f>IF($AB8=1,IF($T8="IMM","مدفوع فورًا",IF($M8&lt;&gt;ST_POST,"غير مرحل",IF($Y8&lt;=S_Tol,"مدفوع بالكامل",IF($X8&gt;0,"مدفوع جزئيًا","غير مدفوع")))),"")</f>
        <v/>
      </c>
      <c r="AA8" s="33">
        <f>IF($AB8=1,IF($X8&gt;0,_xlfn.MAXIFS(Cash_Vouchers!$B:$B,Cash_Vouchers!$M:$M,$A8,Cash_Vouchers!$AM:$AM,1),""),"")</f>
        <v/>
      </c>
      <c r="AB8" s="32">
        <f>IF(COUNTA($A8:$S8)&gt;0,1,0)</f>
        <v/>
      </c>
      <c r="AC8" s="32">
        <f>IF($AB8=0,"",IF($A8="","رقم المستند ناقص",IF(COUNTIF(Doc_Register!$A:$A,$A8)&gt;1,"رقم مستند مكرر في السجل المركزي",IF(LEFT($A8,LEN("EXP")+1)&lt;&gt;"EXP"&amp;"-","بادئة الرقم لا تطابق نوع المستند",IF(NOT(ISNUMBER($B8)),"التاريخ ناقص أو غير صحيح",IF($M8="","حالة المستند ناقصة",IF($N8="","اسم المُعِد ناقص",IF(AND(OR($M8=ST_APPR,$M8=ST_POST),$O8=""),"لا يوجد معتمد",IF(AND($O8&lt;&gt;"",$O8=$N8),"المُعِد والمعتمد نفس الشخص (فصل المهام)",IF(AND($M8=ST_POST,$P8=""),"اسم المحاسب المرحِّل ناقص",IF(AND($M8=ST_POST,$P8&lt;&gt;"",OR($P8=$N8,$P8=$O8)),"المرحِّل يجب أن يختلف عن المُعِد والمعتمد",IF(AND($M8=ST_REV,$R8=""),"مرجع التصحيح/الإلغاء ناقص",IF(AND(ISNUMBER($B8),OR($M8=ST_DRAFT,$M8=ST_APPR),COUNTIFS(Period_Close!$A:$A,YEAR($B8)*100+MONTH($B8),Period_Close!$B:$B,"مقفلة")&gt;0),"الفترة مقفلة: لا يسمح بمستند جديد",IF(NOT(COUNTIF(Locations!$A:$A,$C8)&gt;0),"الفرع/الإدارة غير معرف",IF(NOT(COUNTIF(Cost_Centers!$A:$A,$D8)&gt;0),"مركز التكلفة غير معرف أو ناقص",IF(COUNTIFS(COA!$A:$A,$E8,COA!$J:$J,"نعم",COA!$R:$R,1)&lt;&gt;1,"حساب غير مسموح للمصروفات (الأصول الثابتة والمخزون لهما مسارات خاصة)",IF(NOT(N($F8)&gt;0),"المبلغ يجب أن يكون أكبر من صفر",IF($T8="?","نمط السداد غير معرف",IF(AND($T8="IMM",$I8=""),"الدفع الفوري يحتاج خزينة/بنك",IF(AND($T8="IMM",COUNTIFS(COA!$A:$A,$U8,COA!$R:$R,1)&lt;&gt;1),"الخزينة/البنك غير صالح",IF(AND($T8="IMM",$K8=""),"طريقة الدفع ناقصة",IF(AND(N($G8)&gt;0,S_VATOn&lt;&gt;"نعم"),"ضريبة المدخلات غير مفعلة في Tax_Settings",IF($J8="","المستفيد ناقص",IF(AND($T8="CRD",$X8&gt;$W8+S_Tol),"المسدَّد أكبر من المستحق",""))))))))))))))))))))))))</f>
        <v/>
      </c>
      <c r="AD8" s="32">
        <f>IF($AB8=1,IF($AC8&lt;&gt;"",1,0),0)</f>
        <v/>
      </c>
      <c r="AE8" s="32">
        <f>IF(AND($AB8=1,$AD8=0,$M8=ST_POST),1,0)</f>
        <v/>
      </c>
    </row>
    <row r="9">
      <c r="A9" s="29" t="n"/>
      <c r="B9" s="31" t="n"/>
      <c r="C9" s="39" t="n"/>
      <c r="D9" s="39" t="n"/>
      <c r="E9" s="39" t="n"/>
      <c r="F9" s="42" t="n"/>
      <c r="G9" s="42" t="n"/>
      <c r="H9" s="39" t="n"/>
      <c r="I9" s="39" t="n"/>
      <c r="J9" s="29" t="n"/>
      <c r="K9" s="29" t="n"/>
      <c r="L9" s="29" t="n"/>
      <c r="M9" s="39" t="n"/>
      <c r="N9" s="29" t="n"/>
      <c r="O9" s="29" t="n"/>
      <c r="P9" s="29" t="n"/>
      <c r="Q9" s="29" t="n"/>
      <c r="R9" s="29" t="n"/>
      <c r="S9" s="29" t="n"/>
      <c r="T9" s="32">
        <f>IF($AB9=1,IFERROR(INDEX(Lists!$O$5:$O$6,MATCH($H9,Lists!$N$5:$N$6,0)),"?"),"")</f>
        <v/>
      </c>
      <c r="U9" s="32">
        <f>IF(AND($AB9=1,$I9&lt;&gt;""),IFERROR(INDEX(Treasuries!$E:$E,MATCH($I9,Treasuries!$A:$A,0)),"؟"),"")</f>
        <v/>
      </c>
      <c r="V9" s="44">
        <f>IF($AB9=1,IF($T9="IMM",$U9,ACC_ACCRUED),"")</f>
        <v/>
      </c>
      <c r="W9" s="43">
        <f>IF($AB9=1,$F9+$G9,"")</f>
        <v/>
      </c>
      <c r="X9" s="43">
        <f>IF($AB9=1,SUMIFS(Cash_Vouchers!$I:$I,Cash_Vouchers!$M:$M,$A9,Cash_Vouchers!$AM:$AM,1,Cash_Vouchers!$U:$U,"PAY"),"")</f>
        <v/>
      </c>
      <c r="Y9" s="43">
        <f>IF($AB9=1,IF($T9="CRD",$W9-$X9,0),"")</f>
        <v/>
      </c>
      <c r="Z9" s="44">
        <f>IF($AB9=1,IF($T9="IMM","مدفوع فورًا",IF($M9&lt;&gt;ST_POST,"غير مرحل",IF($Y9&lt;=S_Tol,"مدفوع بالكامل",IF($X9&gt;0,"مدفوع جزئيًا","غير مدفوع")))),"")</f>
        <v/>
      </c>
      <c r="AA9" s="33">
        <f>IF($AB9=1,IF($X9&gt;0,_xlfn.MAXIFS(Cash_Vouchers!$B:$B,Cash_Vouchers!$M:$M,$A9,Cash_Vouchers!$AM:$AM,1),""),"")</f>
        <v/>
      </c>
      <c r="AB9" s="32">
        <f>IF(COUNTA($A9:$S9)&gt;0,1,0)</f>
        <v/>
      </c>
      <c r="AC9" s="32">
        <f>IF($AB9=0,"",IF($A9="","رقم المستند ناقص",IF(COUNTIF(Doc_Register!$A:$A,$A9)&gt;1,"رقم مستند مكرر في السجل المركزي",IF(LEFT($A9,LEN("EXP")+1)&lt;&gt;"EXP"&amp;"-","بادئة الرقم لا تطابق نوع المستند",IF(NOT(ISNUMBER($B9)),"التاريخ ناقص أو غير صحيح",IF($M9="","حالة المستند ناقصة",IF($N9="","اسم المُعِد ناقص",IF(AND(OR($M9=ST_APPR,$M9=ST_POST),$O9=""),"لا يوجد معتمد",IF(AND($O9&lt;&gt;"",$O9=$N9),"المُعِد والمعتمد نفس الشخص (فصل المهام)",IF(AND($M9=ST_POST,$P9=""),"اسم المحاسب المرحِّل ناقص",IF(AND($M9=ST_POST,$P9&lt;&gt;"",OR($P9=$N9,$P9=$O9)),"المرحِّل يجب أن يختلف عن المُعِد والمعتمد",IF(AND($M9=ST_REV,$R9=""),"مرجع التصحيح/الإلغاء ناقص",IF(AND(ISNUMBER($B9),OR($M9=ST_DRAFT,$M9=ST_APPR),COUNTIFS(Period_Close!$A:$A,YEAR($B9)*100+MONTH($B9),Period_Close!$B:$B,"مقفلة")&gt;0),"الفترة مقفلة: لا يسمح بمستند جديد",IF(NOT(COUNTIF(Locations!$A:$A,$C9)&gt;0),"الفرع/الإدارة غير معرف",IF(NOT(COUNTIF(Cost_Centers!$A:$A,$D9)&gt;0),"مركز التكلفة غير معرف أو ناقص",IF(COUNTIFS(COA!$A:$A,$E9,COA!$J:$J,"نعم",COA!$R:$R,1)&lt;&gt;1,"حساب غير مسموح للمصروفات (الأصول الثابتة والمخزون لهما مسارات خاصة)",IF(NOT(N($F9)&gt;0),"المبلغ يجب أن يكون أكبر من صفر",IF($T9="?","نمط السداد غير معرف",IF(AND($T9="IMM",$I9=""),"الدفع الفوري يحتاج خزينة/بنك",IF(AND($T9="IMM",COUNTIFS(COA!$A:$A,$U9,COA!$R:$R,1)&lt;&gt;1),"الخزينة/البنك غير صالح",IF(AND($T9="IMM",$K9=""),"طريقة الدفع ناقصة",IF(AND(N($G9)&gt;0,S_VATOn&lt;&gt;"نعم"),"ضريبة المدخلات غير مفعلة في Tax_Settings",IF($J9="","المستفيد ناقص",IF(AND($T9="CRD",$X9&gt;$W9+S_Tol),"المسدَّد أكبر من المستحق",""))))))))))))))))))))))))</f>
        <v/>
      </c>
      <c r="AD9" s="32">
        <f>IF($AB9=1,IF($AC9&lt;&gt;"",1,0),0)</f>
        <v/>
      </c>
      <c r="AE9" s="32">
        <f>IF(AND($AB9=1,$AD9=0,$M9=ST_POST),1,0)</f>
        <v/>
      </c>
    </row>
    <row r="10">
      <c r="A10" s="29" t="n"/>
      <c r="B10" s="31" t="n"/>
      <c r="C10" s="39" t="n"/>
      <c r="D10" s="39" t="n"/>
      <c r="E10" s="39" t="n"/>
      <c r="F10" s="42" t="n"/>
      <c r="G10" s="42" t="n"/>
      <c r="H10" s="39" t="n"/>
      <c r="I10" s="39" t="n"/>
      <c r="J10" s="29" t="n"/>
      <c r="K10" s="29" t="n"/>
      <c r="L10" s="29" t="n"/>
      <c r="M10" s="39" t="n"/>
      <c r="N10" s="29" t="n"/>
      <c r="O10" s="29" t="n"/>
      <c r="P10" s="29" t="n"/>
      <c r="Q10" s="29" t="n"/>
      <c r="R10" s="29" t="n"/>
      <c r="S10" s="29" t="n"/>
      <c r="T10" s="32">
        <f>IF($AB10=1,IFERROR(INDEX(Lists!$O$5:$O$6,MATCH($H10,Lists!$N$5:$N$6,0)),"?"),"")</f>
        <v/>
      </c>
      <c r="U10" s="32">
        <f>IF(AND($AB10=1,$I10&lt;&gt;""),IFERROR(INDEX(Treasuries!$E:$E,MATCH($I10,Treasuries!$A:$A,0)),"؟"),"")</f>
        <v/>
      </c>
      <c r="V10" s="44">
        <f>IF($AB10=1,IF($T10="IMM",$U10,ACC_ACCRUED),"")</f>
        <v/>
      </c>
      <c r="W10" s="43">
        <f>IF($AB10=1,$F10+$G10,"")</f>
        <v/>
      </c>
      <c r="X10" s="43">
        <f>IF($AB10=1,SUMIFS(Cash_Vouchers!$I:$I,Cash_Vouchers!$M:$M,$A10,Cash_Vouchers!$AM:$AM,1,Cash_Vouchers!$U:$U,"PAY"),"")</f>
        <v/>
      </c>
      <c r="Y10" s="43">
        <f>IF($AB10=1,IF($T10="CRD",$W10-$X10,0),"")</f>
        <v/>
      </c>
      <c r="Z10" s="44">
        <f>IF($AB10=1,IF($T10="IMM","مدفوع فورًا",IF($M10&lt;&gt;ST_POST,"غير مرحل",IF($Y10&lt;=S_Tol,"مدفوع بالكامل",IF($X10&gt;0,"مدفوع جزئيًا","غير مدفوع")))),"")</f>
        <v/>
      </c>
      <c r="AA10" s="33">
        <f>IF($AB10=1,IF($X10&gt;0,_xlfn.MAXIFS(Cash_Vouchers!$B:$B,Cash_Vouchers!$M:$M,$A10,Cash_Vouchers!$AM:$AM,1),""),"")</f>
        <v/>
      </c>
      <c r="AB10" s="32">
        <f>IF(COUNTA($A10:$S10)&gt;0,1,0)</f>
        <v/>
      </c>
      <c r="AC10" s="32">
        <f>IF($AB10=0,"",IF($A10="","رقم المستند ناقص",IF(COUNTIF(Doc_Register!$A:$A,$A10)&gt;1,"رقم مستند مكرر في السجل المركزي",IF(LEFT($A10,LEN("EXP")+1)&lt;&gt;"EXP"&amp;"-","بادئة الرقم لا تطابق نوع المستند",IF(NOT(ISNUMBER($B10)),"التاريخ ناقص أو غير صحيح",IF($M10="","حالة المستند ناقصة",IF($N10="","اسم المُعِد ناقص",IF(AND(OR($M10=ST_APPR,$M10=ST_POST),$O10=""),"لا يوجد معتمد",IF(AND($O10&lt;&gt;"",$O10=$N10),"المُعِد والمعتمد نفس الشخص (فصل المهام)",IF(AND($M10=ST_POST,$P10=""),"اسم المحاسب المرحِّل ناقص",IF(AND($M10=ST_POST,$P10&lt;&gt;"",OR($P10=$N10,$P10=$O10)),"المرحِّل يجب أن يختلف عن المُعِد والمعتمد",IF(AND($M10=ST_REV,$R10=""),"مرجع التصحيح/الإلغاء ناقص",IF(AND(ISNUMBER($B10),OR($M10=ST_DRAFT,$M10=ST_APPR),COUNTIFS(Period_Close!$A:$A,YEAR($B10)*100+MONTH($B10),Period_Close!$B:$B,"مقفلة")&gt;0),"الفترة مقفلة: لا يسمح بمستند جديد",IF(NOT(COUNTIF(Locations!$A:$A,$C10)&gt;0),"الفرع/الإدارة غير معرف",IF(NOT(COUNTIF(Cost_Centers!$A:$A,$D10)&gt;0),"مركز التكلفة غير معرف أو ناقص",IF(COUNTIFS(COA!$A:$A,$E10,COA!$J:$J,"نعم",COA!$R:$R,1)&lt;&gt;1,"حساب غير مسموح للمصروفات (الأصول الثابتة والمخزون لهما مسارات خاصة)",IF(NOT(N($F10)&gt;0),"المبلغ يجب أن يكون أكبر من صفر",IF($T10="?","نمط السداد غير معرف",IF(AND($T10="IMM",$I10=""),"الدفع الفوري يحتاج خزينة/بنك",IF(AND($T10="IMM",COUNTIFS(COA!$A:$A,$U10,COA!$R:$R,1)&lt;&gt;1),"الخزينة/البنك غير صالح",IF(AND($T10="IMM",$K10=""),"طريقة الدفع ناقصة",IF(AND(N($G10)&gt;0,S_VATOn&lt;&gt;"نعم"),"ضريبة المدخلات غير مفعلة في Tax_Settings",IF($J10="","المستفيد ناقص",IF(AND($T10="CRD",$X10&gt;$W10+S_Tol),"المسدَّد أكبر من المستحق",""))))))))))))))))))))))))</f>
        <v/>
      </c>
      <c r="AD10" s="32">
        <f>IF($AB10=1,IF($AC10&lt;&gt;"",1,0),0)</f>
        <v/>
      </c>
      <c r="AE10" s="32">
        <f>IF(AND($AB10=1,$AD10=0,$M10=ST_POST),1,0)</f>
        <v/>
      </c>
    </row>
    <row r="11">
      <c r="A11" s="29" t="n"/>
      <c r="B11" s="31" t="n"/>
      <c r="C11" s="39" t="n"/>
      <c r="D11" s="39" t="n"/>
      <c r="E11" s="39" t="n"/>
      <c r="F11" s="42" t="n"/>
      <c r="G11" s="42" t="n"/>
      <c r="H11" s="39" t="n"/>
      <c r="I11" s="39" t="n"/>
      <c r="J11" s="29" t="n"/>
      <c r="K11" s="29" t="n"/>
      <c r="L11" s="29" t="n"/>
      <c r="M11" s="39" t="n"/>
      <c r="N11" s="29" t="n"/>
      <c r="O11" s="29" t="n"/>
      <c r="P11" s="29" t="n"/>
      <c r="Q11" s="29" t="n"/>
      <c r="R11" s="29" t="n"/>
      <c r="S11" s="29" t="n"/>
      <c r="T11" s="32">
        <f>IF($AB11=1,IFERROR(INDEX(Lists!$O$5:$O$6,MATCH($H11,Lists!$N$5:$N$6,0)),"?"),"")</f>
        <v/>
      </c>
      <c r="U11" s="32">
        <f>IF(AND($AB11=1,$I11&lt;&gt;""),IFERROR(INDEX(Treasuries!$E:$E,MATCH($I11,Treasuries!$A:$A,0)),"؟"),"")</f>
        <v/>
      </c>
      <c r="V11" s="44">
        <f>IF($AB11=1,IF($T11="IMM",$U11,ACC_ACCRUED),"")</f>
        <v/>
      </c>
      <c r="W11" s="43">
        <f>IF($AB11=1,$F11+$G11,"")</f>
        <v/>
      </c>
      <c r="X11" s="43">
        <f>IF($AB11=1,SUMIFS(Cash_Vouchers!$I:$I,Cash_Vouchers!$M:$M,$A11,Cash_Vouchers!$AM:$AM,1,Cash_Vouchers!$U:$U,"PAY"),"")</f>
        <v/>
      </c>
      <c r="Y11" s="43">
        <f>IF($AB11=1,IF($T11="CRD",$W11-$X11,0),"")</f>
        <v/>
      </c>
      <c r="Z11" s="44">
        <f>IF($AB11=1,IF($T11="IMM","مدفوع فورًا",IF($M11&lt;&gt;ST_POST,"غير مرحل",IF($Y11&lt;=S_Tol,"مدفوع بالكامل",IF($X11&gt;0,"مدفوع جزئيًا","غير مدفوع")))),"")</f>
        <v/>
      </c>
      <c r="AA11" s="33">
        <f>IF($AB11=1,IF($X11&gt;0,_xlfn.MAXIFS(Cash_Vouchers!$B:$B,Cash_Vouchers!$M:$M,$A11,Cash_Vouchers!$AM:$AM,1),""),"")</f>
        <v/>
      </c>
      <c r="AB11" s="32">
        <f>IF(COUNTA($A11:$S11)&gt;0,1,0)</f>
        <v/>
      </c>
      <c r="AC11" s="32">
        <f>IF($AB11=0,"",IF($A11="","رقم المستند ناقص",IF(COUNTIF(Doc_Register!$A:$A,$A11)&gt;1,"رقم مستند مكرر في السجل المركزي",IF(LEFT($A11,LEN("EXP")+1)&lt;&gt;"EXP"&amp;"-","بادئة الرقم لا تطابق نوع المستند",IF(NOT(ISNUMBER($B11)),"التاريخ ناقص أو غير صحيح",IF($M11="","حالة المستند ناقصة",IF($N11="","اسم المُعِد ناقص",IF(AND(OR($M11=ST_APPR,$M11=ST_POST),$O11=""),"لا يوجد معتمد",IF(AND($O11&lt;&gt;"",$O11=$N11),"المُعِد والمعتمد نفس الشخص (فصل المهام)",IF(AND($M11=ST_POST,$P11=""),"اسم المحاسب المرحِّل ناقص",IF(AND($M11=ST_POST,$P11&lt;&gt;"",OR($P11=$N11,$P11=$O11)),"المرحِّل يجب أن يختلف عن المُعِد والمعتمد",IF(AND($M11=ST_REV,$R11=""),"مرجع التصحيح/الإلغاء ناقص",IF(AND(ISNUMBER($B11),OR($M11=ST_DRAFT,$M11=ST_APPR),COUNTIFS(Period_Close!$A:$A,YEAR($B11)*100+MONTH($B11),Period_Close!$B:$B,"مقفلة")&gt;0),"الفترة مقفلة: لا يسمح بمستند جديد",IF(NOT(COUNTIF(Locations!$A:$A,$C11)&gt;0),"الفرع/الإدارة غير معرف",IF(NOT(COUNTIF(Cost_Centers!$A:$A,$D11)&gt;0),"مركز التكلفة غير معرف أو ناقص",IF(COUNTIFS(COA!$A:$A,$E11,COA!$J:$J,"نعم",COA!$R:$R,1)&lt;&gt;1,"حساب غير مسموح للمصروفات (الأصول الثابتة والمخزون لهما مسارات خاصة)",IF(NOT(N($F11)&gt;0),"المبلغ يجب أن يكون أكبر من صفر",IF($T11="?","نمط السداد غير معرف",IF(AND($T11="IMM",$I11=""),"الدفع الفوري يحتاج خزينة/بنك",IF(AND($T11="IMM",COUNTIFS(COA!$A:$A,$U11,COA!$R:$R,1)&lt;&gt;1),"الخزينة/البنك غير صالح",IF(AND($T11="IMM",$K11=""),"طريقة الدفع ناقصة",IF(AND(N($G11)&gt;0,S_VATOn&lt;&gt;"نعم"),"ضريبة المدخلات غير مفعلة في Tax_Settings",IF($J11="","المستفيد ناقص",IF(AND($T11="CRD",$X11&gt;$W11+S_Tol),"المسدَّد أكبر من المستحق",""))))))))))))))))))))))))</f>
        <v/>
      </c>
      <c r="AD11" s="32">
        <f>IF($AB11=1,IF($AC11&lt;&gt;"",1,0),0)</f>
        <v/>
      </c>
      <c r="AE11" s="32">
        <f>IF(AND($AB11=1,$AD11=0,$M11=ST_POST),1,0)</f>
        <v/>
      </c>
    </row>
    <row r="12">
      <c r="A12" s="29" t="n"/>
      <c r="B12" s="31" t="n"/>
      <c r="C12" s="39" t="n"/>
      <c r="D12" s="39" t="n"/>
      <c r="E12" s="39" t="n"/>
      <c r="F12" s="42" t="n"/>
      <c r="G12" s="42" t="n"/>
      <c r="H12" s="39" t="n"/>
      <c r="I12" s="39" t="n"/>
      <c r="J12" s="29" t="n"/>
      <c r="K12" s="29" t="n"/>
      <c r="L12" s="29" t="n"/>
      <c r="M12" s="39" t="n"/>
      <c r="N12" s="29" t="n"/>
      <c r="O12" s="29" t="n"/>
      <c r="P12" s="29" t="n"/>
      <c r="Q12" s="29" t="n"/>
      <c r="R12" s="29" t="n"/>
      <c r="S12" s="29" t="n"/>
      <c r="T12" s="32">
        <f>IF($AB12=1,IFERROR(INDEX(Lists!$O$5:$O$6,MATCH($H12,Lists!$N$5:$N$6,0)),"?"),"")</f>
        <v/>
      </c>
      <c r="U12" s="32">
        <f>IF(AND($AB12=1,$I12&lt;&gt;""),IFERROR(INDEX(Treasuries!$E:$E,MATCH($I12,Treasuries!$A:$A,0)),"؟"),"")</f>
        <v/>
      </c>
      <c r="V12" s="44">
        <f>IF($AB12=1,IF($T12="IMM",$U12,ACC_ACCRUED),"")</f>
        <v/>
      </c>
      <c r="W12" s="43">
        <f>IF($AB12=1,$F12+$G12,"")</f>
        <v/>
      </c>
      <c r="X12" s="43">
        <f>IF($AB12=1,SUMIFS(Cash_Vouchers!$I:$I,Cash_Vouchers!$M:$M,$A12,Cash_Vouchers!$AM:$AM,1,Cash_Vouchers!$U:$U,"PAY"),"")</f>
        <v/>
      </c>
      <c r="Y12" s="43">
        <f>IF($AB12=1,IF($T12="CRD",$W12-$X12,0),"")</f>
        <v/>
      </c>
      <c r="Z12" s="44">
        <f>IF($AB12=1,IF($T12="IMM","مدفوع فورًا",IF($M12&lt;&gt;ST_POST,"غير مرحل",IF($Y12&lt;=S_Tol,"مدفوع بالكامل",IF($X12&gt;0,"مدفوع جزئيًا","غير مدفوع")))),"")</f>
        <v/>
      </c>
      <c r="AA12" s="33">
        <f>IF($AB12=1,IF($X12&gt;0,_xlfn.MAXIFS(Cash_Vouchers!$B:$B,Cash_Vouchers!$M:$M,$A12,Cash_Vouchers!$AM:$AM,1),""),"")</f>
        <v/>
      </c>
      <c r="AB12" s="32">
        <f>IF(COUNTA($A12:$S12)&gt;0,1,0)</f>
        <v/>
      </c>
      <c r="AC12" s="32">
        <f>IF($AB12=0,"",IF($A12="","رقم المستند ناقص",IF(COUNTIF(Doc_Register!$A:$A,$A12)&gt;1,"رقم مستند مكرر في السجل المركزي",IF(LEFT($A12,LEN("EXP")+1)&lt;&gt;"EXP"&amp;"-","بادئة الرقم لا تطابق نوع المستند",IF(NOT(ISNUMBER($B12)),"التاريخ ناقص أو غير صحيح",IF($M12="","حالة المستند ناقصة",IF($N12="","اسم المُعِد ناقص",IF(AND(OR($M12=ST_APPR,$M12=ST_POST),$O12=""),"لا يوجد معتمد",IF(AND($O12&lt;&gt;"",$O12=$N12),"المُعِد والمعتمد نفس الشخص (فصل المهام)",IF(AND($M12=ST_POST,$P12=""),"اسم المحاسب المرحِّل ناقص",IF(AND($M12=ST_POST,$P12&lt;&gt;"",OR($P12=$N12,$P12=$O12)),"المرحِّل يجب أن يختلف عن المُعِد والمعتمد",IF(AND($M12=ST_REV,$R12=""),"مرجع التصحيح/الإلغاء ناقص",IF(AND(ISNUMBER($B12),OR($M12=ST_DRAFT,$M12=ST_APPR),COUNTIFS(Period_Close!$A:$A,YEAR($B12)*100+MONTH($B12),Period_Close!$B:$B,"مقفلة")&gt;0),"الفترة مقفلة: لا يسمح بمستند جديد",IF(NOT(COUNTIF(Locations!$A:$A,$C12)&gt;0),"الفرع/الإدارة غير معرف",IF(NOT(COUNTIF(Cost_Centers!$A:$A,$D12)&gt;0),"مركز التكلفة غير معرف أو ناقص",IF(COUNTIFS(COA!$A:$A,$E12,COA!$J:$J,"نعم",COA!$R:$R,1)&lt;&gt;1,"حساب غير مسموح للمصروفات (الأصول الثابتة والمخزون لهما مسارات خاصة)",IF(NOT(N($F12)&gt;0),"المبلغ يجب أن يكون أكبر من صفر",IF($T12="?","نمط السداد غير معرف",IF(AND($T12="IMM",$I12=""),"الدفع الفوري يحتاج خزينة/بنك",IF(AND($T12="IMM",COUNTIFS(COA!$A:$A,$U12,COA!$R:$R,1)&lt;&gt;1),"الخزينة/البنك غير صالح",IF(AND($T12="IMM",$K12=""),"طريقة الدفع ناقصة",IF(AND(N($G12)&gt;0,S_VATOn&lt;&gt;"نعم"),"ضريبة المدخلات غير مفعلة في Tax_Settings",IF($J12="","المستفيد ناقص",IF(AND($T12="CRD",$X12&gt;$W12+S_Tol),"المسدَّد أكبر من المستحق",""))))))))))))))))))))))))</f>
        <v/>
      </c>
      <c r="AD12" s="32">
        <f>IF($AB12=1,IF($AC12&lt;&gt;"",1,0),0)</f>
        <v/>
      </c>
      <c r="AE12" s="32">
        <f>IF(AND($AB12=1,$AD12=0,$M12=ST_POST),1,0)</f>
        <v/>
      </c>
    </row>
    <row r="13">
      <c r="A13" s="29" t="n"/>
      <c r="B13" s="31" t="n"/>
      <c r="C13" s="39" t="n"/>
      <c r="D13" s="39" t="n"/>
      <c r="E13" s="39" t="n"/>
      <c r="F13" s="42" t="n"/>
      <c r="G13" s="42" t="n"/>
      <c r="H13" s="39" t="n"/>
      <c r="I13" s="39" t="n"/>
      <c r="J13" s="29" t="n"/>
      <c r="K13" s="29" t="n"/>
      <c r="L13" s="29" t="n"/>
      <c r="M13" s="39" t="n"/>
      <c r="N13" s="29" t="n"/>
      <c r="O13" s="29" t="n"/>
      <c r="P13" s="29" t="n"/>
      <c r="Q13" s="29" t="n"/>
      <c r="R13" s="29" t="n"/>
      <c r="S13" s="29" t="n"/>
      <c r="T13" s="32">
        <f>IF($AB13=1,IFERROR(INDEX(Lists!$O$5:$O$6,MATCH($H13,Lists!$N$5:$N$6,0)),"?"),"")</f>
        <v/>
      </c>
      <c r="U13" s="32">
        <f>IF(AND($AB13=1,$I13&lt;&gt;""),IFERROR(INDEX(Treasuries!$E:$E,MATCH($I13,Treasuries!$A:$A,0)),"؟"),"")</f>
        <v/>
      </c>
      <c r="V13" s="44">
        <f>IF($AB13=1,IF($T13="IMM",$U13,ACC_ACCRUED),"")</f>
        <v/>
      </c>
      <c r="W13" s="43">
        <f>IF($AB13=1,$F13+$G13,"")</f>
        <v/>
      </c>
      <c r="X13" s="43">
        <f>IF($AB13=1,SUMIFS(Cash_Vouchers!$I:$I,Cash_Vouchers!$M:$M,$A13,Cash_Vouchers!$AM:$AM,1,Cash_Vouchers!$U:$U,"PAY"),"")</f>
        <v/>
      </c>
      <c r="Y13" s="43">
        <f>IF($AB13=1,IF($T13="CRD",$W13-$X13,0),"")</f>
        <v/>
      </c>
      <c r="Z13" s="44">
        <f>IF($AB13=1,IF($T13="IMM","مدفوع فورًا",IF($M13&lt;&gt;ST_POST,"غير مرحل",IF($Y13&lt;=S_Tol,"مدفوع بالكامل",IF($X13&gt;0,"مدفوع جزئيًا","غير مدفوع")))),"")</f>
        <v/>
      </c>
      <c r="AA13" s="33">
        <f>IF($AB13=1,IF($X13&gt;0,_xlfn.MAXIFS(Cash_Vouchers!$B:$B,Cash_Vouchers!$M:$M,$A13,Cash_Vouchers!$AM:$AM,1),""),"")</f>
        <v/>
      </c>
      <c r="AB13" s="32">
        <f>IF(COUNTA($A13:$S13)&gt;0,1,0)</f>
        <v/>
      </c>
      <c r="AC13" s="32">
        <f>IF($AB13=0,"",IF($A13="","رقم المستند ناقص",IF(COUNTIF(Doc_Register!$A:$A,$A13)&gt;1,"رقم مستند مكرر في السجل المركزي",IF(LEFT($A13,LEN("EXP")+1)&lt;&gt;"EXP"&amp;"-","بادئة الرقم لا تطابق نوع المستند",IF(NOT(ISNUMBER($B13)),"التاريخ ناقص أو غير صحيح",IF($M13="","حالة المستند ناقصة",IF($N13="","اسم المُعِد ناقص",IF(AND(OR($M13=ST_APPR,$M13=ST_POST),$O13=""),"لا يوجد معتمد",IF(AND($O13&lt;&gt;"",$O13=$N13),"المُعِد والمعتمد نفس الشخص (فصل المهام)",IF(AND($M13=ST_POST,$P13=""),"اسم المحاسب المرحِّل ناقص",IF(AND($M13=ST_POST,$P13&lt;&gt;"",OR($P13=$N13,$P13=$O13)),"المرحِّل يجب أن يختلف عن المُعِد والمعتمد",IF(AND($M13=ST_REV,$R13=""),"مرجع التصحيح/الإلغاء ناقص",IF(AND(ISNUMBER($B13),OR($M13=ST_DRAFT,$M13=ST_APPR),COUNTIFS(Period_Close!$A:$A,YEAR($B13)*100+MONTH($B13),Period_Close!$B:$B,"مقفلة")&gt;0),"الفترة مقفلة: لا يسمح بمستند جديد",IF(NOT(COUNTIF(Locations!$A:$A,$C13)&gt;0),"الفرع/الإدارة غير معرف",IF(NOT(COUNTIF(Cost_Centers!$A:$A,$D13)&gt;0),"مركز التكلفة غير معرف أو ناقص",IF(COUNTIFS(COA!$A:$A,$E13,COA!$J:$J,"نعم",COA!$R:$R,1)&lt;&gt;1,"حساب غير مسموح للمصروفات (الأصول الثابتة والمخزون لهما مسارات خاصة)",IF(NOT(N($F13)&gt;0),"المبلغ يجب أن يكون أكبر من صفر",IF($T13="?","نمط السداد غير معرف",IF(AND($T13="IMM",$I13=""),"الدفع الفوري يحتاج خزينة/بنك",IF(AND($T13="IMM",COUNTIFS(COA!$A:$A,$U13,COA!$R:$R,1)&lt;&gt;1),"الخزينة/البنك غير صالح",IF(AND($T13="IMM",$K13=""),"طريقة الدفع ناقصة",IF(AND(N($G13)&gt;0,S_VATOn&lt;&gt;"نعم"),"ضريبة المدخلات غير مفعلة في Tax_Settings",IF($J13="","المستفيد ناقص",IF(AND($T13="CRD",$X13&gt;$W13+S_Tol),"المسدَّد أكبر من المستحق",""))))))))))))))))))))))))</f>
        <v/>
      </c>
      <c r="AD13" s="32">
        <f>IF($AB13=1,IF($AC13&lt;&gt;"",1,0),0)</f>
        <v/>
      </c>
      <c r="AE13" s="32">
        <f>IF(AND($AB13=1,$AD13=0,$M13=ST_POST),1,0)</f>
        <v/>
      </c>
    </row>
    <row r="14">
      <c r="A14" s="29" t="n"/>
      <c r="B14" s="31" t="n"/>
      <c r="C14" s="39" t="n"/>
      <c r="D14" s="39" t="n"/>
      <c r="E14" s="39" t="n"/>
      <c r="F14" s="42" t="n"/>
      <c r="G14" s="42" t="n"/>
      <c r="H14" s="39" t="n"/>
      <c r="I14" s="39" t="n"/>
      <c r="J14" s="29" t="n"/>
      <c r="K14" s="29" t="n"/>
      <c r="L14" s="29" t="n"/>
      <c r="M14" s="39" t="n"/>
      <c r="N14" s="29" t="n"/>
      <c r="O14" s="29" t="n"/>
      <c r="P14" s="29" t="n"/>
      <c r="Q14" s="29" t="n"/>
      <c r="R14" s="29" t="n"/>
      <c r="S14" s="29" t="n"/>
      <c r="T14" s="32">
        <f>IF($AB14=1,IFERROR(INDEX(Lists!$O$5:$O$6,MATCH($H14,Lists!$N$5:$N$6,0)),"?"),"")</f>
        <v/>
      </c>
      <c r="U14" s="32">
        <f>IF(AND($AB14=1,$I14&lt;&gt;""),IFERROR(INDEX(Treasuries!$E:$E,MATCH($I14,Treasuries!$A:$A,0)),"؟"),"")</f>
        <v/>
      </c>
      <c r="V14" s="44">
        <f>IF($AB14=1,IF($T14="IMM",$U14,ACC_ACCRUED),"")</f>
        <v/>
      </c>
      <c r="W14" s="43">
        <f>IF($AB14=1,$F14+$G14,"")</f>
        <v/>
      </c>
      <c r="X14" s="43">
        <f>IF($AB14=1,SUMIFS(Cash_Vouchers!$I:$I,Cash_Vouchers!$M:$M,$A14,Cash_Vouchers!$AM:$AM,1,Cash_Vouchers!$U:$U,"PAY"),"")</f>
        <v/>
      </c>
      <c r="Y14" s="43">
        <f>IF($AB14=1,IF($T14="CRD",$W14-$X14,0),"")</f>
        <v/>
      </c>
      <c r="Z14" s="44">
        <f>IF($AB14=1,IF($T14="IMM","مدفوع فورًا",IF($M14&lt;&gt;ST_POST,"غير مرحل",IF($Y14&lt;=S_Tol,"مدفوع بالكامل",IF($X14&gt;0,"مدفوع جزئيًا","غير مدفوع")))),"")</f>
        <v/>
      </c>
      <c r="AA14" s="33">
        <f>IF($AB14=1,IF($X14&gt;0,_xlfn.MAXIFS(Cash_Vouchers!$B:$B,Cash_Vouchers!$M:$M,$A14,Cash_Vouchers!$AM:$AM,1),""),"")</f>
        <v/>
      </c>
      <c r="AB14" s="32">
        <f>IF(COUNTA($A14:$S14)&gt;0,1,0)</f>
        <v/>
      </c>
      <c r="AC14" s="32">
        <f>IF($AB14=0,"",IF($A14="","رقم المستند ناقص",IF(COUNTIF(Doc_Register!$A:$A,$A14)&gt;1,"رقم مستند مكرر في السجل المركزي",IF(LEFT($A14,LEN("EXP")+1)&lt;&gt;"EXP"&amp;"-","بادئة الرقم لا تطابق نوع المستند",IF(NOT(ISNUMBER($B14)),"التاريخ ناقص أو غير صحيح",IF($M14="","حالة المستند ناقصة",IF($N14="","اسم المُعِد ناقص",IF(AND(OR($M14=ST_APPR,$M14=ST_POST),$O14=""),"لا يوجد معتمد",IF(AND($O14&lt;&gt;"",$O14=$N14),"المُعِد والمعتمد نفس الشخص (فصل المهام)",IF(AND($M14=ST_POST,$P14=""),"اسم المحاسب المرحِّل ناقص",IF(AND($M14=ST_POST,$P14&lt;&gt;"",OR($P14=$N14,$P14=$O14)),"المرحِّل يجب أن يختلف عن المُعِد والمعتمد",IF(AND($M14=ST_REV,$R14=""),"مرجع التصحيح/الإلغاء ناقص",IF(AND(ISNUMBER($B14),OR($M14=ST_DRAFT,$M14=ST_APPR),COUNTIFS(Period_Close!$A:$A,YEAR($B14)*100+MONTH($B14),Period_Close!$B:$B,"مقفلة")&gt;0),"الفترة مقفلة: لا يسمح بمستند جديد",IF(NOT(COUNTIF(Locations!$A:$A,$C14)&gt;0),"الفرع/الإدارة غير معرف",IF(NOT(COUNTIF(Cost_Centers!$A:$A,$D14)&gt;0),"مركز التكلفة غير معرف أو ناقص",IF(COUNTIFS(COA!$A:$A,$E14,COA!$J:$J,"نعم",COA!$R:$R,1)&lt;&gt;1,"حساب غير مسموح للمصروفات (الأصول الثابتة والمخزون لهما مسارات خاصة)",IF(NOT(N($F14)&gt;0),"المبلغ يجب أن يكون أكبر من صفر",IF($T14="?","نمط السداد غير معرف",IF(AND($T14="IMM",$I14=""),"الدفع الفوري يحتاج خزينة/بنك",IF(AND($T14="IMM",COUNTIFS(COA!$A:$A,$U14,COA!$R:$R,1)&lt;&gt;1),"الخزينة/البنك غير صالح",IF(AND($T14="IMM",$K14=""),"طريقة الدفع ناقصة",IF(AND(N($G14)&gt;0,S_VATOn&lt;&gt;"نعم"),"ضريبة المدخلات غير مفعلة في Tax_Settings",IF($J14="","المستفيد ناقص",IF(AND($T14="CRD",$X14&gt;$W14+S_Tol),"المسدَّد أكبر من المستحق",""))))))))))))))))))))))))</f>
        <v/>
      </c>
      <c r="AD14" s="32">
        <f>IF($AB14=1,IF($AC14&lt;&gt;"",1,0),0)</f>
        <v/>
      </c>
      <c r="AE14" s="32">
        <f>IF(AND($AB14=1,$AD14=0,$M14=ST_POST),1,0)</f>
        <v/>
      </c>
    </row>
    <row r="15">
      <c r="A15" s="29" t="n"/>
      <c r="B15" s="31" t="n"/>
      <c r="C15" s="39" t="n"/>
      <c r="D15" s="39" t="n"/>
      <c r="E15" s="39" t="n"/>
      <c r="F15" s="42" t="n"/>
      <c r="G15" s="42" t="n"/>
      <c r="H15" s="39" t="n"/>
      <c r="I15" s="39" t="n"/>
      <c r="J15" s="29" t="n"/>
      <c r="K15" s="29" t="n"/>
      <c r="L15" s="29" t="n"/>
      <c r="M15" s="39" t="n"/>
      <c r="N15" s="29" t="n"/>
      <c r="O15" s="29" t="n"/>
      <c r="P15" s="29" t="n"/>
      <c r="Q15" s="29" t="n"/>
      <c r="R15" s="29" t="n"/>
      <c r="S15" s="29" t="n"/>
      <c r="T15" s="32">
        <f>IF($AB15=1,IFERROR(INDEX(Lists!$O$5:$O$6,MATCH($H15,Lists!$N$5:$N$6,0)),"?"),"")</f>
        <v/>
      </c>
      <c r="U15" s="32">
        <f>IF(AND($AB15=1,$I15&lt;&gt;""),IFERROR(INDEX(Treasuries!$E:$E,MATCH($I15,Treasuries!$A:$A,0)),"؟"),"")</f>
        <v/>
      </c>
      <c r="V15" s="44">
        <f>IF($AB15=1,IF($T15="IMM",$U15,ACC_ACCRUED),"")</f>
        <v/>
      </c>
      <c r="W15" s="43">
        <f>IF($AB15=1,$F15+$G15,"")</f>
        <v/>
      </c>
      <c r="X15" s="43">
        <f>IF($AB15=1,SUMIFS(Cash_Vouchers!$I:$I,Cash_Vouchers!$M:$M,$A15,Cash_Vouchers!$AM:$AM,1,Cash_Vouchers!$U:$U,"PAY"),"")</f>
        <v/>
      </c>
      <c r="Y15" s="43">
        <f>IF($AB15=1,IF($T15="CRD",$W15-$X15,0),"")</f>
        <v/>
      </c>
      <c r="Z15" s="44">
        <f>IF($AB15=1,IF($T15="IMM","مدفوع فورًا",IF($M15&lt;&gt;ST_POST,"غير مرحل",IF($Y15&lt;=S_Tol,"مدفوع بالكامل",IF($X15&gt;0,"مدفوع جزئيًا","غير مدفوع")))),"")</f>
        <v/>
      </c>
      <c r="AA15" s="33">
        <f>IF($AB15=1,IF($X15&gt;0,_xlfn.MAXIFS(Cash_Vouchers!$B:$B,Cash_Vouchers!$M:$M,$A15,Cash_Vouchers!$AM:$AM,1),""),"")</f>
        <v/>
      </c>
      <c r="AB15" s="32">
        <f>IF(COUNTA($A15:$S15)&gt;0,1,0)</f>
        <v/>
      </c>
      <c r="AC15" s="32">
        <f>IF($AB15=0,"",IF($A15="","رقم المستند ناقص",IF(COUNTIF(Doc_Register!$A:$A,$A15)&gt;1,"رقم مستند مكرر في السجل المركزي",IF(LEFT($A15,LEN("EXP")+1)&lt;&gt;"EXP"&amp;"-","بادئة الرقم لا تطابق نوع المستند",IF(NOT(ISNUMBER($B15)),"التاريخ ناقص أو غير صحيح",IF($M15="","حالة المستند ناقصة",IF($N15="","اسم المُعِد ناقص",IF(AND(OR($M15=ST_APPR,$M15=ST_POST),$O15=""),"لا يوجد معتمد",IF(AND($O15&lt;&gt;"",$O15=$N15),"المُعِد والمعتمد نفس الشخص (فصل المهام)",IF(AND($M15=ST_POST,$P15=""),"اسم المحاسب المرحِّل ناقص",IF(AND($M15=ST_POST,$P15&lt;&gt;"",OR($P15=$N15,$P15=$O15)),"المرحِّل يجب أن يختلف عن المُعِد والمعتمد",IF(AND($M15=ST_REV,$R15=""),"مرجع التصحيح/الإلغاء ناقص",IF(AND(ISNUMBER($B15),OR($M15=ST_DRAFT,$M15=ST_APPR),COUNTIFS(Period_Close!$A:$A,YEAR($B15)*100+MONTH($B15),Period_Close!$B:$B,"مقفلة")&gt;0),"الفترة مقفلة: لا يسمح بمستند جديد",IF(NOT(COUNTIF(Locations!$A:$A,$C15)&gt;0),"الفرع/الإدارة غير معرف",IF(NOT(COUNTIF(Cost_Centers!$A:$A,$D15)&gt;0),"مركز التكلفة غير معرف أو ناقص",IF(COUNTIFS(COA!$A:$A,$E15,COA!$J:$J,"نعم",COA!$R:$R,1)&lt;&gt;1,"حساب غير مسموح للمصروفات (الأصول الثابتة والمخزون لهما مسارات خاصة)",IF(NOT(N($F15)&gt;0),"المبلغ يجب أن يكون أكبر من صفر",IF($T15="?","نمط السداد غير معرف",IF(AND($T15="IMM",$I15=""),"الدفع الفوري يحتاج خزينة/بنك",IF(AND($T15="IMM",COUNTIFS(COA!$A:$A,$U15,COA!$R:$R,1)&lt;&gt;1),"الخزينة/البنك غير صالح",IF(AND($T15="IMM",$K15=""),"طريقة الدفع ناقصة",IF(AND(N($G15)&gt;0,S_VATOn&lt;&gt;"نعم"),"ضريبة المدخلات غير مفعلة في Tax_Settings",IF($J15="","المستفيد ناقص",IF(AND($T15="CRD",$X15&gt;$W15+S_Tol),"المسدَّد أكبر من المستحق",""))))))))))))))))))))))))</f>
        <v/>
      </c>
      <c r="AD15" s="32">
        <f>IF($AB15=1,IF($AC15&lt;&gt;"",1,0),0)</f>
        <v/>
      </c>
      <c r="AE15" s="32">
        <f>IF(AND($AB15=1,$AD15=0,$M15=ST_POST),1,0)</f>
        <v/>
      </c>
    </row>
    <row r="16">
      <c r="A16" s="29" t="n"/>
      <c r="B16" s="31" t="n"/>
      <c r="C16" s="39" t="n"/>
      <c r="D16" s="39" t="n"/>
      <c r="E16" s="39" t="n"/>
      <c r="F16" s="42" t="n"/>
      <c r="G16" s="42" t="n"/>
      <c r="H16" s="39" t="n"/>
      <c r="I16" s="39" t="n"/>
      <c r="J16" s="29" t="n"/>
      <c r="K16" s="29" t="n"/>
      <c r="L16" s="29" t="n"/>
      <c r="M16" s="39" t="n"/>
      <c r="N16" s="29" t="n"/>
      <c r="O16" s="29" t="n"/>
      <c r="P16" s="29" t="n"/>
      <c r="Q16" s="29" t="n"/>
      <c r="R16" s="29" t="n"/>
      <c r="S16" s="29" t="n"/>
      <c r="T16" s="32">
        <f>IF($AB16=1,IFERROR(INDEX(Lists!$O$5:$O$6,MATCH($H16,Lists!$N$5:$N$6,0)),"?"),"")</f>
        <v/>
      </c>
      <c r="U16" s="32">
        <f>IF(AND($AB16=1,$I16&lt;&gt;""),IFERROR(INDEX(Treasuries!$E:$E,MATCH($I16,Treasuries!$A:$A,0)),"؟"),"")</f>
        <v/>
      </c>
      <c r="V16" s="44">
        <f>IF($AB16=1,IF($T16="IMM",$U16,ACC_ACCRUED),"")</f>
        <v/>
      </c>
      <c r="W16" s="43">
        <f>IF($AB16=1,$F16+$G16,"")</f>
        <v/>
      </c>
      <c r="X16" s="43">
        <f>IF($AB16=1,SUMIFS(Cash_Vouchers!$I:$I,Cash_Vouchers!$M:$M,$A16,Cash_Vouchers!$AM:$AM,1,Cash_Vouchers!$U:$U,"PAY"),"")</f>
        <v/>
      </c>
      <c r="Y16" s="43">
        <f>IF($AB16=1,IF($T16="CRD",$W16-$X16,0),"")</f>
        <v/>
      </c>
      <c r="Z16" s="44">
        <f>IF($AB16=1,IF($T16="IMM","مدفوع فورًا",IF($M16&lt;&gt;ST_POST,"غير مرحل",IF($Y16&lt;=S_Tol,"مدفوع بالكامل",IF($X16&gt;0,"مدفوع جزئيًا","غير مدفوع")))),"")</f>
        <v/>
      </c>
      <c r="AA16" s="33">
        <f>IF($AB16=1,IF($X16&gt;0,_xlfn.MAXIFS(Cash_Vouchers!$B:$B,Cash_Vouchers!$M:$M,$A16,Cash_Vouchers!$AM:$AM,1),""),"")</f>
        <v/>
      </c>
      <c r="AB16" s="32">
        <f>IF(COUNTA($A16:$S16)&gt;0,1,0)</f>
        <v/>
      </c>
      <c r="AC16" s="32">
        <f>IF($AB16=0,"",IF($A16="","رقم المستند ناقص",IF(COUNTIF(Doc_Register!$A:$A,$A16)&gt;1,"رقم مستند مكرر في السجل المركزي",IF(LEFT($A16,LEN("EXP")+1)&lt;&gt;"EXP"&amp;"-","بادئة الرقم لا تطابق نوع المستند",IF(NOT(ISNUMBER($B16)),"التاريخ ناقص أو غير صحيح",IF($M16="","حالة المستند ناقصة",IF($N16="","اسم المُعِد ناقص",IF(AND(OR($M16=ST_APPR,$M16=ST_POST),$O16=""),"لا يوجد معتمد",IF(AND($O16&lt;&gt;"",$O16=$N16),"المُعِد والمعتمد نفس الشخص (فصل المهام)",IF(AND($M16=ST_POST,$P16=""),"اسم المحاسب المرحِّل ناقص",IF(AND($M16=ST_POST,$P16&lt;&gt;"",OR($P16=$N16,$P16=$O16)),"المرحِّل يجب أن يختلف عن المُعِد والمعتمد",IF(AND($M16=ST_REV,$R16=""),"مرجع التصحيح/الإلغاء ناقص",IF(AND(ISNUMBER($B16),OR($M16=ST_DRAFT,$M16=ST_APPR),COUNTIFS(Period_Close!$A:$A,YEAR($B16)*100+MONTH($B16),Period_Close!$B:$B,"مقفلة")&gt;0),"الفترة مقفلة: لا يسمح بمستند جديد",IF(NOT(COUNTIF(Locations!$A:$A,$C16)&gt;0),"الفرع/الإدارة غير معرف",IF(NOT(COUNTIF(Cost_Centers!$A:$A,$D16)&gt;0),"مركز التكلفة غير معرف أو ناقص",IF(COUNTIFS(COA!$A:$A,$E16,COA!$J:$J,"نعم",COA!$R:$R,1)&lt;&gt;1,"حساب غير مسموح للمصروفات (الأصول الثابتة والمخزون لهما مسارات خاصة)",IF(NOT(N($F16)&gt;0),"المبلغ يجب أن يكون أكبر من صفر",IF($T16="?","نمط السداد غير معرف",IF(AND($T16="IMM",$I16=""),"الدفع الفوري يحتاج خزينة/بنك",IF(AND($T16="IMM",COUNTIFS(COA!$A:$A,$U16,COA!$R:$R,1)&lt;&gt;1),"الخزينة/البنك غير صالح",IF(AND($T16="IMM",$K16=""),"طريقة الدفع ناقصة",IF(AND(N($G16)&gt;0,S_VATOn&lt;&gt;"نعم"),"ضريبة المدخلات غير مفعلة في Tax_Settings",IF($J16="","المستفيد ناقص",IF(AND($T16="CRD",$X16&gt;$W16+S_Tol),"المسدَّد أكبر من المستحق",""))))))))))))))))))))))))</f>
        <v/>
      </c>
      <c r="AD16" s="32">
        <f>IF($AB16=1,IF($AC16&lt;&gt;"",1,0),0)</f>
        <v/>
      </c>
      <c r="AE16" s="32">
        <f>IF(AND($AB16=1,$AD16=0,$M16=ST_POST),1,0)</f>
        <v/>
      </c>
    </row>
    <row r="17">
      <c r="A17" s="29" t="n"/>
      <c r="B17" s="31" t="n"/>
      <c r="C17" s="39" t="n"/>
      <c r="D17" s="39" t="n"/>
      <c r="E17" s="39" t="n"/>
      <c r="F17" s="42" t="n"/>
      <c r="G17" s="42" t="n"/>
      <c r="H17" s="39" t="n"/>
      <c r="I17" s="39" t="n"/>
      <c r="J17" s="29" t="n"/>
      <c r="K17" s="29" t="n"/>
      <c r="L17" s="29" t="n"/>
      <c r="M17" s="39" t="n"/>
      <c r="N17" s="29" t="n"/>
      <c r="O17" s="29" t="n"/>
      <c r="P17" s="29" t="n"/>
      <c r="Q17" s="29" t="n"/>
      <c r="R17" s="29" t="n"/>
      <c r="S17" s="29" t="n"/>
      <c r="T17" s="32">
        <f>IF($AB17=1,IFERROR(INDEX(Lists!$O$5:$O$6,MATCH($H17,Lists!$N$5:$N$6,0)),"?"),"")</f>
        <v/>
      </c>
      <c r="U17" s="32">
        <f>IF(AND($AB17=1,$I17&lt;&gt;""),IFERROR(INDEX(Treasuries!$E:$E,MATCH($I17,Treasuries!$A:$A,0)),"؟"),"")</f>
        <v/>
      </c>
      <c r="V17" s="44">
        <f>IF($AB17=1,IF($T17="IMM",$U17,ACC_ACCRUED),"")</f>
        <v/>
      </c>
      <c r="W17" s="43">
        <f>IF($AB17=1,$F17+$G17,"")</f>
        <v/>
      </c>
      <c r="X17" s="43">
        <f>IF($AB17=1,SUMIFS(Cash_Vouchers!$I:$I,Cash_Vouchers!$M:$M,$A17,Cash_Vouchers!$AM:$AM,1,Cash_Vouchers!$U:$U,"PAY"),"")</f>
        <v/>
      </c>
      <c r="Y17" s="43">
        <f>IF($AB17=1,IF($T17="CRD",$W17-$X17,0),"")</f>
        <v/>
      </c>
      <c r="Z17" s="44">
        <f>IF($AB17=1,IF($T17="IMM","مدفوع فورًا",IF($M17&lt;&gt;ST_POST,"غير مرحل",IF($Y17&lt;=S_Tol,"مدفوع بالكامل",IF($X17&gt;0,"مدفوع جزئيًا","غير مدفوع")))),"")</f>
        <v/>
      </c>
      <c r="AA17" s="33">
        <f>IF($AB17=1,IF($X17&gt;0,_xlfn.MAXIFS(Cash_Vouchers!$B:$B,Cash_Vouchers!$M:$M,$A17,Cash_Vouchers!$AM:$AM,1),""),"")</f>
        <v/>
      </c>
      <c r="AB17" s="32">
        <f>IF(COUNTA($A17:$S17)&gt;0,1,0)</f>
        <v/>
      </c>
      <c r="AC17" s="32">
        <f>IF($AB17=0,"",IF($A17="","رقم المستند ناقص",IF(COUNTIF(Doc_Register!$A:$A,$A17)&gt;1,"رقم مستند مكرر في السجل المركزي",IF(LEFT($A17,LEN("EXP")+1)&lt;&gt;"EXP"&amp;"-","بادئة الرقم لا تطابق نوع المستند",IF(NOT(ISNUMBER($B17)),"التاريخ ناقص أو غير صحيح",IF($M17="","حالة المستند ناقصة",IF($N17="","اسم المُعِد ناقص",IF(AND(OR($M17=ST_APPR,$M17=ST_POST),$O17=""),"لا يوجد معتمد",IF(AND($O17&lt;&gt;"",$O17=$N17),"المُعِد والمعتمد نفس الشخص (فصل المهام)",IF(AND($M17=ST_POST,$P17=""),"اسم المحاسب المرحِّل ناقص",IF(AND($M17=ST_POST,$P17&lt;&gt;"",OR($P17=$N17,$P17=$O17)),"المرحِّل يجب أن يختلف عن المُعِد والمعتمد",IF(AND($M17=ST_REV,$R17=""),"مرجع التصحيح/الإلغاء ناقص",IF(AND(ISNUMBER($B17),OR($M17=ST_DRAFT,$M17=ST_APPR),COUNTIFS(Period_Close!$A:$A,YEAR($B17)*100+MONTH($B17),Period_Close!$B:$B,"مقفلة")&gt;0),"الفترة مقفلة: لا يسمح بمستند جديد",IF(NOT(COUNTIF(Locations!$A:$A,$C17)&gt;0),"الفرع/الإدارة غير معرف",IF(NOT(COUNTIF(Cost_Centers!$A:$A,$D17)&gt;0),"مركز التكلفة غير معرف أو ناقص",IF(COUNTIFS(COA!$A:$A,$E17,COA!$J:$J,"نعم",COA!$R:$R,1)&lt;&gt;1,"حساب غير مسموح للمصروفات (الأصول الثابتة والمخزون لهما مسارات خاصة)",IF(NOT(N($F17)&gt;0),"المبلغ يجب أن يكون أكبر من صفر",IF($T17="?","نمط السداد غير معرف",IF(AND($T17="IMM",$I17=""),"الدفع الفوري يحتاج خزينة/بنك",IF(AND($T17="IMM",COUNTIFS(COA!$A:$A,$U17,COA!$R:$R,1)&lt;&gt;1),"الخزينة/البنك غير صالح",IF(AND($T17="IMM",$K17=""),"طريقة الدفع ناقصة",IF(AND(N($G17)&gt;0,S_VATOn&lt;&gt;"نعم"),"ضريبة المدخلات غير مفعلة في Tax_Settings",IF($J17="","المستفيد ناقص",IF(AND($T17="CRD",$X17&gt;$W17+S_Tol),"المسدَّد أكبر من المستحق",""))))))))))))))))))))))))</f>
        <v/>
      </c>
      <c r="AD17" s="32">
        <f>IF($AB17=1,IF($AC17&lt;&gt;"",1,0),0)</f>
        <v/>
      </c>
      <c r="AE17" s="32">
        <f>IF(AND($AB17=1,$AD17=0,$M17=ST_POST),1,0)</f>
        <v/>
      </c>
    </row>
    <row r="18">
      <c r="A18" s="29" t="n"/>
      <c r="B18" s="31" t="n"/>
      <c r="C18" s="39" t="n"/>
      <c r="D18" s="39" t="n"/>
      <c r="E18" s="39" t="n"/>
      <c r="F18" s="42" t="n"/>
      <c r="G18" s="42" t="n"/>
      <c r="H18" s="39" t="n"/>
      <c r="I18" s="39" t="n"/>
      <c r="J18" s="29" t="n"/>
      <c r="K18" s="29" t="n"/>
      <c r="L18" s="29" t="n"/>
      <c r="M18" s="39" t="n"/>
      <c r="N18" s="29" t="n"/>
      <c r="O18" s="29" t="n"/>
      <c r="P18" s="29" t="n"/>
      <c r="Q18" s="29" t="n"/>
      <c r="R18" s="29" t="n"/>
      <c r="S18" s="29" t="n"/>
      <c r="T18" s="32">
        <f>IF($AB18=1,IFERROR(INDEX(Lists!$O$5:$O$6,MATCH($H18,Lists!$N$5:$N$6,0)),"?"),"")</f>
        <v/>
      </c>
      <c r="U18" s="32">
        <f>IF(AND($AB18=1,$I18&lt;&gt;""),IFERROR(INDEX(Treasuries!$E:$E,MATCH($I18,Treasuries!$A:$A,0)),"؟"),"")</f>
        <v/>
      </c>
      <c r="V18" s="44">
        <f>IF($AB18=1,IF($T18="IMM",$U18,ACC_ACCRUED),"")</f>
        <v/>
      </c>
      <c r="W18" s="43">
        <f>IF($AB18=1,$F18+$G18,"")</f>
        <v/>
      </c>
      <c r="X18" s="43">
        <f>IF($AB18=1,SUMIFS(Cash_Vouchers!$I:$I,Cash_Vouchers!$M:$M,$A18,Cash_Vouchers!$AM:$AM,1,Cash_Vouchers!$U:$U,"PAY"),"")</f>
        <v/>
      </c>
      <c r="Y18" s="43">
        <f>IF($AB18=1,IF($T18="CRD",$W18-$X18,0),"")</f>
        <v/>
      </c>
      <c r="Z18" s="44">
        <f>IF($AB18=1,IF($T18="IMM","مدفوع فورًا",IF($M18&lt;&gt;ST_POST,"غير مرحل",IF($Y18&lt;=S_Tol,"مدفوع بالكامل",IF($X18&gt;0,"مدفوع جزئيًا","غير مدفوع")))),"")</f>
        <v/>
      </c>
      <c r="AA18" s="33">
        <f>IF($AB18=1,IF($X18&gt;0,_xlfn.MAXIFS(Cash_Vouchers!$B:$B,Cash_Vouchers!$M:$M,$A18,Cash_Vouchers!$AM:$AM,1),""),"")</f>
        <v/>
      </c>
      <c r="AB18" s="32">
        <f>IF(COUNTA($A18:$S18)&gt;0,1,0)</f>
        <v/>
      </c>
      <c r="AC18" s="32">
        <f>IF($AB18=0,"",IF($A18="","رقم المستند ناقص",IF(COUNTIF(Doc_Register!$A:$A,$A18)&gt;1,"رقم مستند مكرر في السجل المركزي",IF(LEFT($A18,LEN("EXP")+1)&lt;&gt;"EXP"&amp;"-","بادئة الرقم لا تطابق نوع المستند",IF(NOT(ISNUMBER($B18)),"التاريخ ناقص أو غير صحيح",IF($M18="","حالة المستند ناقصة",IF($N18="","اسم المُعِد ناقص",IF(AND(OR($M18=ST_APPR,$M18=ST_POST),$O18=""),"لا يوجد معتمد",IF(AND($O18&lt;&gt;"",$O18=$N18),"المُعِد والمعتمد نفس الشخص (فصل المهام)",IF(AND($M18=ST_POST,$P18=""),"اسم المحاسب المرحِّل ناقص",IF(AND($M18=ST_POST,$P18&lt;&gt;"",OR($P18=$N18,$P18=$O18)),"المرحِّل يجب أن يختلف عن المُعِد والمعتمد",IF(AND($M18=ST_REV,$R18=""),"مرجع التصحيح/الإلغاء ناقص",IF(AND(ISNUMBER($B18),OR($M18=ST_DRAFT,$M18=ST_APPR),COUNTIFS(Period_Close!$A:$A,YEAR($B18)*100+MONTH($B18),Period_Close!$B:$B,"مقفلة")&gt;0),"الفترة مقفلة: لا يسمح بمستند جديد",IF(NOT(COUNTIF(Locations!$A:$A,$C18)&gt;0),"الفرع/الإدارة غير معرف",IF(NOT(COUNTIF(Cost_Centers!$A:$A,$D18)&gt;0),"مركز التكلفة غير معرف أو ناقص",IF(COUNTIFS(COA!$A:$A,$E18,COA!$J:$J,"نعم",COA!$R:$R,1)&lt;&gt;1,"حساب غير مسموح للمصروفات (الأصول الثابتة والمخزون لهما مسارات خاصة)",IF(NOT(N($F18)&gt;0),"المبلغ يجب أن يكون أكبر من صفر",IF($T18="?","نمط السداد غير معرف",IF(AND($T18="IMM",$I18=""),"الدفع الفوري يحتاج خزينة/بنك",IF(AND($T18="IMM",COUNTIFS(COA!$A:$A,$U18,COA!$R:$R,1)&lt;&gt;1),"الخزينة/البنك غير صالح",IF(AND($T18="IMM",$K18=""),"طريقة الدفع ناقصة",IF(AND(N($G18)&gt;0,S_VATOn&lt;&gt;"نعم"),"ضريبة المدخلات غير مفعلة في Tax_Settings",IF($J18="","المستفيد ناقص",IF(AND($T18="CRD",$X18&gt;$W18+S_Tol),"المسدَّد أكبر من المستحق",""))))))))))))))))))))))))</f>
        <v/>
      </c>
      <c r="AD18" s="32">
        <f>IF($AB18=1,IF($AC18&lt;&gt;"",1,0),0)</f>
        <v/>
      </c>
      <c r="AE18" s="32">
        <f>IF(AND($AB18=1,$AD18=0,$M18=ST_POST),1,0)</f>
        <v/>
      </c>
    </row>
    <row r="19">
      <c r="A19" s="29" t="n"/>
      <c r="B19" s="31" t="n"/>
      <c r="C19" s="39" t="n"/>
      <c r="D19" s="39" t="n"/>
      <c r="E19" s="39" t="n"/>
      <c r="F19" s="42" t="n"/>
      <c r="G19" s="42" t="n"/>
      <c r="H19" s="39" t="n"/>
      <c r="I19" s="39" t="n"/>
      <c r="J19" s="29" t="n"/>
      <c r="K19" s="29" t="n"/>
      <c r="L19" s="29" t="n"/>
      <c r="M19" s="39" t="n"/>
      <c r="N19" s="29" t="n"/>
      <c r="O19" s="29" t="n"/>
      <c r="P19" s="29" t="n"/>
      <c r="Q19" s="29" t="n"/>
      <c r="R19" s="29" t="n"/>
      <c r="S19" s="29" t="n"/>
      <c r="T19" s="32">
        <f>IF($AB19=1,IFERROR(INDEX(Lists!$O$5:$O$6,MATCH($H19,Lists!$N$5:$N$6,0)),"?"),"")</f>
        <v/>
      </c>
      <c r="U19" s="32">
        <f>IF(AND($AB19=1,$I19&lt;&gt;""),IFERROR(INDEX(Treasuries!$E:$E,MATCH($I19,Treasuries!$A:$A,0)),"؟"),"")</f>
        <v/>
      </c>
      <c r="V19" s="44">
        <f>IF($AB19=1,IF($T19="IMM",$U19,ACC_ACCRUED),"")</f>
        <v/>
      </c>
      <c r="W19" s="43">
        <f>IF($AB19=1,$F19+$G19,"")</f>
        <v/>
      </c>
      <c r="X19" s="43">
        <f>IF($AB19=1,SUMIFS(Cash_Vouchers!$I:$I,Cash_Vouchers!$M:$M,$A19,Cash_Vouchers!$AM:$AM,1,Cash_Vouchers!$U:$U,"PAY"),"")</f>
        <v/>
      </c>
      <c r="Y19" s="43">
        <f>IF($AB19=1,IF($T19="CRD",$W19-$X19,0),"")</f>
        <v/>
      </c>
      <c r="Z19" s="44">
        <f>IF($AB19=1,IF($T19="IMM","مدفوع فورًا",IF($M19&lt;&gt;ST_POST,"غير مرحل",IF($Y19&lt;=S_Tol,"مدفوع بالكامل",IF($X19&gt;0,"مدفوع جزئيًا","غير مدفوع")))),"")</f>
        <v/>
      </c>
      <c r="AA19" s="33">
        <f>IF($AB19=1,IF($X19&gt;0,_xlfn.MAXIFS(Cash_Vouchers!$B:$B,Cash_Vouchers!$M:$M,$A19,Cash_Vouchers!$AM:$AM,1),""),"")</f>
        <v/>
      </c>
      <c r="AB19" s="32">
        <f>IF(COUNTA($A19:$S19)&gt;0,1,0)</f>
        <v/>
      </c>
      <c r="AC19" s="32">
        <f>IF($AB19=0,"",IF($A19="","رقم المستند ناقص",IF(COUNTIF(Doc_Register!$A:$A,$A19)&gt;1,"رقم مستند مكرر في السجل المركزي",IF(LEFT($A19,LEN("EXP")+1)&lt;&gt;"EXP"&amp;"-","بادئة الرقم لا تطابق نوع المستند",IF(NOT(ISNUMBER($B19)),"التاريخ ناقص أو غير صحيح",IF($M19="","حالة المستند ناقصة",IF($N19="","اسم المُعِد ناقص",IF(AND(OR($M19=ST_APPR,$M19=ST_POST),$O19=""),"لا يوجد معتمد",IF(AND($O19&lt;&gt;"",$O19=$N19),"المُعِد والمعتمد نفس الشخص (فصل المهام)",IF(AND($M19=ST_POST,$P19=""),"اسم المحاسب المرحِّل ناقص",IF(AND($M19=ST_POST,$P19&lt;&gt;"",OR($P19=$N19,$P19=$O19)),"المرحِّل يجب أن يختلف عن المُعِد والمعتمد",IF(AND($M19=ST_REV,$R19=""),"مرجع التصحيح/الإلغاء ناقص",IF(AND(ISNUMBER($B19),OR($M19=ST_DRAFT,$M19=ST_APPR),COUNTIFS(Period_Close!$A:$A,YEAR($B19)*100+MONTH($B19),Period_Close!$B:$B,"مقفلة")&gt;0),"الفترة مقفلة: لا يسمح بمستند جديد",IF(NOT(COUNTIF(Locations!$A:$A,$C19)&gt;0),"الفرع/الإدارة غير معرف",IF(NOT(COUNTIF(Cost_Centers!$A:$A,$D19)&gt;0),"مركز التكلفة غير معرف أو ناقص",IF(COUNTIFS(COA!$A:$A,$E19,COA!$J:$J,"نعم",COA!$R:$R,1)&lt;&gt;1,"حساب غير مسموح للمصروفات (الأصول الثابتة والمخزون لهما مسارات خاصة)",IF(NOT(N($F19)&gt;0),"المبلغ يجب أن يكون أكبر من صفر",IF($T19="?","نمط السداد غير معرف",IF(AND($T19="IMM",$I19=""),"الدفع الفوري يحتاج خزينة/بنك",IF(AND($T19="IMM",COUNTIFS(COA!$A:$A,$U19,COA!$R:$R,1)&lt;&gt;1),"الخزينة/البنك غير صالح",IF(AND($T19="IMM",$K19=""),"طريقة الدفع ناقصة",IF(AND(N($G19)&gt;0,S_VATOn&lt;&gt;"نعم"),"ضريبة المدخلات غير مفعلة في Tax_Settings",IF($J19="","المستفيد ناقص",IF(AND($T19="CRD",$X19&gt;$W19+S_Tol),"المسدَّد أكبر من المستحق",""))))))))))))))))))))))))</f>
        <v/>
      </c>
      <c r="AD19" s="32">
        <f>IF($AB19=1,IF($AC19&lt;&gt;"",1,0),0)</f>
        <v/>
      </c>
      <c r="AE19" s="32">
        <f>IF(AND($AB19=1,$AD19=0,$M19=ST_POST),1,0)</f>
        <v/>
      </c>
    </row>
    <row r="20">
      <c r="A20" s="29" t="n"/>
      <c r="B20" s="31" t="n"/>
      <c r="C20" s="39" t="n"/>
      <c r="D20" s="39" t="n"/>
      <c r="E20" s="39" t="n"/>
      <c r="F20" s="42" t="n"/>
      <c r="G20" s="42" t="n"/>
      <c r="H20" s="39" t="n"/>
      <c r="I20" s="39" t="n"/>
      <c r="J20" s="29" t="n"/>
      <c r="K20" s="29" t="n"/>
      <c r="L20" s="29" t="n"/>
      <c r="M20" s="39" t="n"/>
      <c r="N20" s="29" t="n"/>
      <c r="O20" s="29" t="n"/>
      <c r="P20" s="29" t="n"/>
      <c r="Q20" s="29" t="n"/>
      <c r="R20" s="29" t="n"/>
      <c r="S20" s="29" t="n"/>
      <c r="T20" s="32">
        <f>IF($AB20=1,IFERROR(INDEX(Lists!$O$5:$O$6,MATCH($H20,Lists!$N$5:$N$6,0)),"?"),"")</f>
        <v/>
      </c>
      <c r="U20" s="32">
        <f>IF(AND($AB20=1,$I20&lt;&gt;""),IFERROR(INDEX(Treasuries!$E:$E,MATCH($I20,Treasuries!$A:$A,0)),"؟"),"")</f>
        <v/>
      </c>
      <c r="V20" s="44">
        <f>IF($AB20=1,IF($T20="IMM",$U20,ACC_ACCRUED),"")</f>
        <v/>
      </c>
      <c r="W20" s="43">
        <f>IF($AB20=1,$F20+$G20,"")</f>
        <v/>
      </c>
      <c r="X20" s="43">
        <f>IF($AB20=1,SUMIFS(Cash_Vouchers!$I:$I,Cash_Vouchers!$M:$M,$A20,Cash_Vouchers!$AM:$AM,1,Cash_Vouchers!$U:$U,"PAY"),"")</f>
        <v/>
      </c>
      <c r="Y20" s="43">
        <f>IF($AB20=1,IF($T20="CRD",$W20-$X20,0),"")</f>
        <v/>
      </c>
      <c r="Z20" s="44">
        <f>IF($AB20=1,IF($T20="IMM","مدفوع فورًا",IF($M20&lt;&gt;ST_POST,"غير مرحل",IF($Y20&lt;=S_Tol,"مدفوع بالكامل",IF($X20&gt;0,"مدفوع جزئيًا","غير مدفوع")))),"")</f>
        <v/>
      </c>
      <c r="AA20" s="33">
        <f>IF($AB20=1,IF($X20&gt;0,_xlfn.MAXIFS(Cash_Vouchers!$B:$B,Cash_Vouchers!$M:$M,$A20,Cash_Vouchers!$AM:$AM,1),""),"")</f>
        <v/>
      </c>
      <c r="AB20" s="32">
        <f>IF(COUNTA($A20:$S20)&gt;0,1,0)</f>
        <v/>
      </c>
      <c r="AC20" s="32">
        <f>IF($AB20=0,"",IF($A20="","رقم المستند ناقص",IF(COUNTIF(Doc_Register!$A:$A,$A20)&gt;1,"رقم مستند مكرر في السجل المركزي",IF(LEFT($A20,LEN("EXP")+1)&lt;&gt;"EXP"&amp;"-","بادئة الرقم لا تطابق نوع المستند",IF(NOT(ISNUMBER($B20)),"التاريخ ناقص أو غير صحيح",IF($M20="","حالة المستند ناقصة",IF($N20="","اسم المُعِد ناقص",IF(AND(OR($M20=ST_APPR,$M20=ST_POST),$O20=""),"لا يوجد معتمد",IF(AND($O20&lt;&gt;"",$O20=$N20),"المُعِد والمعتمد نفس الشخص (فصل المهام)",IF(AND($M20=ST_POST,$P20=""),"اسم المحاسب المرحِّل ناقص",IF(AND($M20=ST_POST,$P20&lt;&gt;"",OR($P20=$N20,$P20=$O20)),"المرحِّل يجب أن يختلف عن المُعِد والمعتمد",IF(AND($M20=ST_REV,$R20=""),"مرجع التصحيح/الإلغاء ناقص",IF(AND(ISNUMBER($B20),OR($M20=ST_DRAFT,$M20=ST_APPR),COUNTIFS(Period_Close!$A:$A,YEAR($B20)*100+MONTH($B20),Period_Close!$B:$B,"مقفلة")&gt;0),"الفترة مقفلة: لا يسمح بمستند جديد",IF(NOT(COUNTIF(Locations!$A:$A,$C20)&gt;0),"الفرع/الإدارة غير معرف",IF(NOT(COUNTIF(Cost_Centers!$A:$A,$D20)&gt;0),"مركز التكلفة غير معرف أو ناقص",IF(COUNTIFS(COA!$A:$A,$E20,COA!$J:$J,"نعم",COA!$R:$R,1)&lt;&gt;1,"حساب غير مسموح للمصروفات (الأصول الثابتة والمخزون لهما مسارات خاصة)",IF(NOT(N($F20)&gt;0),"المبلغ يجب أن يكون أكبر من صفر",IF($T20="?","نمط السداد غير معرف",IF(AND($T20="IMM",$I20=""),"الدفع الفوري يحتاج خزينة/بنك",IF(AND($T20="IMM",COUNTIFS(COA!$A:$A,$U20,COA!$R:$R,1)&lt;&gt;1),"الخزينة/البنك غير صالح",IF(AND($T20="IMM",$K20=""),"طريقة الدفع ناقصة",IF(AND(N($G20)&gt;0,S_VATOn&lt;&gt;"نعم"),"ضريبة المدخلات غير مفعلة في Tax_Settings",IF($J20="","المستفيد ناقص",IF(AND($T20="CRD",$X20&gt;$W20+S_Tol),"المسدَّد أكبر من المستحق",""))))))))))))))))))))))))</f>
        <v/>
      </c>
      <c r="AD20" s="32">
        <f>IF($AB20=1,IF($AC20&lt;&gt;"",1,0),0)</f>
        <v/>
      </c>
      <c r="AE20" s="32">
        <f>IF(AND($AB20=1,$AD20=0,$M20=ST_POST),1,0)</f>
        <v/>
      </c>
    </row>
    <row r="21">
      <c r="A21" s="29" t="n"/>
      <c r="B21" s="31" t="n"/>
      <c r="C21" s="39" t="n"/>
      <c r="D21" s="39" t="n"/>
      <c r="E21" s="39" t="n"/>
      <c r="F21" s="42" t="n"/>
      <c r="G21" s="42" t="n"/>
      <c r="H21" s="39" t="n"/>
      <c r="I21" s="39" t="n"/>
      <c r="J21" s="29" t="n"/>
      <c r="K21" s="29" t="n"/>
      <c r="L21" s="29" t="n"/>
      <c r="M21" s="39" t="n"/>
      <c r="N21" s="29" t="n"/>
      <c r="O21" s="29" t="n"/>
      <c r="P21" s="29" t="n"/>
      <c r="Q21" s="29" t="n"/>
      <c r="R21" s="29" t="n"/>
      <c r="S21" s="29" t="n"/>
      <c r="T21" s="32">
        <f>IF($AB21=1,IFERROR(INDEX(Lists!$O$5:$O$6,MATCH($H21,Lists!$N$5:$N$6,0)),"?"),"")</f>
        <v/>
      </c>
      <c r="U21" s="32">
        <f>IF(AND($AB21=1,$I21&lt;&gt;""),IFERROR(INDEX(Treasuries!$E:$E,MATCH($I21,Treasuries!$A:$A,0)),"؟"),"")</f>
        <v/>
      </c>
      <c r="V21" s="44">
        <f>IF($AB21=1,IF($T21="IMM",$U21,ACC_ACCRUED),"")</f>
        <v/>
      </c>
      <c r="W21" s="43">
        <f>IF($AB21=1,$F21+$G21,"")</f>
        <v/>
      </c>
      <c r="X21" s="43">
        <f>IF($AB21=1,SUMIFS(Cash_Vouchers!$I:$I,Cash_Vouchers!$M:$M,$A21,Cash_Vouchers!$AM:$AM,1,Cash_Vouchers!$U:$U,"PAY"),"")</f>
        <v/>
      </c>
      <c r="Y21" s="43">
        <f>IF($AB21=1,IF($T21="CRD",$W21-$X21,0),"")</f>
        <v/>
      </c>
      <c r="Z21" s="44">
        <f>IF($AB21=1,IF($T21="IMM","مدفوع فورًا",IF($M21&lt;&gt;ST_POST,"غير مرحل",IF($Y21&lt;=S_Tol,"مدفوع بالكامل",IF($X21&gt;0,"مدفوع جزئيًا","غير مدفوع")))),"")</f>
        <v/>
      </c>
      <c r="AA21" s="33">
        <f>IF($AB21=1,IF($X21&gt;0,_xlfn.MAXIFS(Cash_Vouchers!$B:$B,Cash_Vouchers!$M:$M,$A21,Cash_Vouchers!$AM:$AM,1),""),"")</f>
        <v/>
      </c>
      <c r="AB21" s="32">
        <f>IF(COUNTA($A21:$S21)&gt;0,1,0)</f>
        <v/>
      </c>
      <c r="AC21" s="32">
        <f>IF($AB21=0,"",IF($A21="","رقم المستند ناقص",IF(COUNTIF(Doc_Register!$A:$A,$A21)&gt;1,"رقم مستند مكرر في السجل المركزي",IF(LEFT($A21,LEN("EXP")+1)&lt;&gt;"EXP"&amp;"-","بادئة الرقم لا تطابق نوع المستند",IF(NOT(ISNUMBER($B21)),"التاريخ ناقص أو غير صحيح",IF($M21="","حالة المستند ناقصة",IF($N21="","اسم المُعِد ناقص",IF(AND(OR($M21=ST_APPR,$M21=ST_POST),$O21=""),"لا يوجد معتمد",IF(AND($O21&lt;&gt;"",$O21=$N21),"المُعِد والمعتمد نفس الشخص (فصل المهام)",IF(AND($M21=ST_POST,$P21=""),"اسم المحاسب المرحِّل ناقص",IF(AND($M21=ST_POST,$P21&lt;&gt;"",OR($P21=$N21,$P21=$O21)),"المرحِّل يجب أن يختلف عن المُعِد والمعتمد",IF(AND($M21=ST_REV,$R21=""),"مرجع التصحيح/الإلغاء ناقص",IF(AND(ISNUMBER($B21),OR($M21=ST_DRAFT,$M21=ST_APPR),COUNTIFS(Period_Close!$A:$A,YEAR($B21)*100+MONTH($B21),Period_Close!$B:$B,"مقفلة")&gt;0),"الفترة مقفلة: لا يسمح بمستند جديد",IF(NOT(COUNTIF(Locations!$A:$A,$C21)&gt;0),"الفرع/الإدارة غير معرف",IF(NOT(COUNTIF(Cost_Centers!$A:$A,$D21)&gt;0),"مركز التكلفة غير معرف أو ناقص",IF(COUNTIFS(COA!$A:$A,$E21,COA!$J:$J,"نعم",COA!$R:$R,1)&lt;&gt;1,"حساب غير مسموح للمصروفات (الأصول الثابتة والمخزون لهما مسارات خاصة)",IF(NOT(N($F21)&gt;0),"المبلغ يجب أن يكون أكبر من صفر",IF($T21="?","نمط السداد غير معرف",IF(AND($T21="IMM",$I21=""),"الدفع الفوري يحتاج خزينة/بنك",IF(AND($T21="IMM",COUNTIFS(COA!$A:$A,$U21,COA!$R:$R,1)&lt;&gt;1),"الخزينة/البنك غير صالح",IF(AND($T21="IMM",$K21=""),"طريقة الدفع ناقصة",IF(AND(N($G21)&gt;0,S_VATOn&lt;&gt;"نعم"),"ضريبة المدخلات غير مفعلة في Tax_Settings",IF($J21="","المستفيد ناقص",IF(AND($T21="CRD",$X21&gt;$W21+S_Tol),"المسدَّد أكبر من المستحق",""))))))))))))))))))))))))</f>
        <v/>
      </c>
      <c r="AD21" s="32">
        <f>IF($AB21=1,IF($AC21&lt;&gt;"",1,0),0)</f>
        <v/>
      </c>
      <c r="AE21" s="32">
        <f>IF(AND($AB21=1,$AD21=0,$M21=ST_POST),1,0)</f>
        <v/>
      </c>
    </row>
    <row r="22">
      <c r="A22" s="29" t="n"/>
      <c r="B22" s="31" t="n"/>
      <c r="C22" s="39" t="n"/>
      <c r="D22" s="39" t="n"/>
      <c r="E22" s="39" t="n"/>
      <c r="F22" s="42" t="n"/>
      <c r="G22" s="42" t="n"/>
      <c r="H22" s="39" t="n"/>
      <c r="I22" s="39" t="n"/>
      <c r="J22" s="29" t="n"/>
      <c r="K22" s="29" t="n"/>
      <c r="L22" s="29" t="n"/>
      <c r="M22" s="39" t="n"/>
      <c r="N22" s="29" t="n"/>
      <c r="O22" s="29" t="n"/>
      <c r="P22" s="29" t="n"/>
      <c r="Q22" s="29" t="n"/>
      <c r="R22" s="29" t="n"/>
      <c r="S22" s="29" t="n"/>
      <c r="T22" s="32">
        <f>IF($AB22=1,IFERROR(INDEX(Lists!$O$5:$O$6,MATCH($H22,Lists!$N$5:$N$6,0)),"?"),"")</f>
        <v/>
      </c>
      <c r="U22" s="32">
        <f>IF(AND($AB22=1,$I22&lt;&gt;""),IFERROR(INDEX(Treasuries!$E:$E,MATCH($I22,Treasuries!$A:$A,0)),"؟"),"")</f>
        <v/>
      </c>
      <c r="V22" s="44">
        <f>IF($AB22=1,IF($T22="IMM",$U22,ACC_ACCRUED),"")</f>
        <v/>
      </c>
      <c r="W22" s="43">
        <f>IF($AB22=1,$F22+$G22,"")</f>
        <v/>
      </c>
      <c r="X22" s="43">
        <f>IF($AB22=1,SUMIFS(Cash_Vouchers!$I:$I,Cash_Vouchers!$M:$M,$A22,Cash_Vouchers!$AM:$AM,1,Cash_Vouchers!$U:$U,"PAY"),"")</f>
        <v/>
      </c>
      <c r="Y22" s="43">
        <f>IF($AB22=1,IF($T22="CRD",$W22-$X22,0),"")</f>
        <v/>
      </c>
      <c r="Z22" s="44">
        <f>IF($AB22=1,IF($T22="IMM","مدفوع فورًا",IF($M22&lt;&gt;ST_POST,"غير مرحل",IF($Y22&lt;=S_Tol,"مدفوع بالكامل",IF($X22&gt;0,"مدفوع جزئيًا","غير مدفوع")))),"")</f>
        <v/>
      </c>
      <c r="AA22" s="33">
        <f>IF($AB22=1,IF($X22&gt;0,_xlfn.MAXIFS(Cash_Vouchers!$B:$B,Cash_Vouchers!$M:$M,$A22,Cash_Vouchers!$AM:$AM,1),""),"")</f>
        <v/>
      </c>
      <c r="AB22" s="32">
        <f>IF(COUNTA($A22:$S22)&gt;0,1,0)</f>
        <v/>
      </c>
      <c r="AC22" s="32">
        <f>IF($AB22=0,"",IF($A22="","رقم المستند ناقص",IF(COUNTIF(Doc_Register!$A:$A,$A22)&gt;1,"رقم مستند مكرر في السجل المركزي",IF(LEFT($A22,LEN("EXP")+1)&lt;&gt;"EXP"&amp;"-","بادئة الرقم لا تطابق نوع المستند",IF(NOT(ISNUMBER($B22)),"التاريخ ناقص أو غير صحيح",IF($M22="","حالة المستند ناقصة",IF($N22="","اسم المُعِد ناقص",IF(AND(OR($M22=ST_APPR,$M22=ST_POST),$O22=""),"لا يوجد معتمد",IF(AND($O22&lt;&gt;"",$O22=$N22),"المُعِد والمعتمد نفس الشخص (فصل المهام)",IF(AND($M22=ST_POST,$P22=""),"اسم المحاسب المرحِّل ناقص",IF(AND($M22=ST_POST,$P22&lt;&gt;"",OR($P22=$N22,$P22=$O22)),"المرحِّل يجب أن يختلف عن المُعِد والمعتمد",IF(AND($M22=ST_REV,$R22=""),"مرجع التصحيح/الإلغاء ناقص",IF(AND(ISNUMBER($B22),OR($M22=ST_DRAFT,$M22=ST_APPR),COUNTIFS(Period_Close!$A:$A,YEAR($B22)*100+MONTH($B22),Period_Close!$B:$B,"مقفلة")&gt;0),"الفترة مقفلة: لا يسمح بمستند جديد",IF(NOT(COUNTIF(Locations!$A:$A,$C22)&gt;0),"الفرع/الإدارة غير معرف",IF(NOT(COUNTIF(Cost_Centers!$A:$A,$D22)&gt;0),"مركز التكلفة غير معرف أو ناقص",IF(COUNTIFS(COA!$A:$A,$E22,COA!$J:$J,"نعم",COA!$R:$R,1)&lt;&gt;1,"حساب غير مسموح للمصروفات (الأصول الثابتة والمخزون لهما مسارات خاصة)",IF(NOT(N($F22)&gt;0),"المبلغ يجب أن يكون أكبر من صفر",IF($T22="?","نمط السداد غير معرف",IF(AND($T22="IMM",$I22=""),"الدفع الفوري يحتاج خزينة/بنك",IF(AND($T22="IMM",COUNTIFS(COA!$A:$A,$U22,COA!$R:$R,1)&lt;&gt;1),"الخزينة/البنك غير صالح",IF(AND($T22="IMM",$K22=""),"طريقة الدفع ناقصة",IF(AND(N($G22)&gt;0,S_VATOn&lt;&gt;"نعم"),"ضريبة المدخلات غير مفعلة في Tax_Settings",IF($J22="","المستفيد ناقص",IF(AND($T22="CRD",$X22&gt;$W22+S_Tol),"المسدَّد أكبر من المستحق",""))))))))))))))))))))))))</f>
        <v/>
      </c>
      <c r="AD22" s="32">
        <f>IF($AB22=1,IF($AC22&lt;&gt;"",1,0),0)</f>
        <v/>
      </c>
      <c r="AE22" s="32">
        <f>IF(AND($AB22=1,$AD22=0,$M22=ST_POST),1,0)</f>
        <v/>
      </c>
    </row>
    <row r="23">
      <c r="A23" s="29" t="n"/>
      <c r="B23" s="31" t="n"/>
      <c r="C23" s="39" t="n"/>
      <c r="D23" s="39" t="n"/>
      <c r="E23" s="39" t="n"/>
      <c r="F23" s="42" t="n"/>
      <c r="G23" s="42" t="n"/>
      <c r="H23" s="39" t="n"/>
      <c r="I23" s="39" t="n"/>
      <c r="J23" s="29" t="n"/>
      <c r="K23" s="29" t="n"/>
      <c r="L23" s="29" t="n"/>
      <c r="M23" s="39" t="n"/>
      <c r="N23" s="29" t="n"/>
      <c r="O23" s="29" t="n"/>
      <c r="P23" s="29" t="n"/>
      <c r="Q23" s="29" t="n"/>
      <c r="R23" s="29" t="n"/>
      <c r="S23" s="29" t="n"/>
      <c r="T23" s="32">
        <f>IF($AB23=1,IFERROR(INDEX(Lists!$O$5:$O$6,MATCH($H23,Lists!$N$5:$N$6,0)),"?"),"")</f>
        <v/>
      </c>
      <c r="U23" s="32">
        <f>IF(AND($AB23=1,$I23&lt;&gt;""),IFERROR(INDEX(Treasuries!$E:$E,MATCH($I23,Treasuries!$A:$A,0)),"؟"),"")</f>
        <v/>
      </c>
      <c r="V23" s="44">
        <f>IF($AB23=1,IF($T23="IMM",$U23,ACC_ACCRUED),"")</f>
        <v/>
      </c>
      <c r="W23" s="43">
        <f>IF($AB23=1,$F23+$G23,"")</f>
        <v/>
      </c>
      <c r="X23" s="43">
        <f>IF($AB23=1,SUMIFS(Cash_Vouchers!$I:$I,Cash_Vouchers!$M:$M,$A23,Cash_Vouchers!$AM:$AM,1,Cash_Vouchers!$U:$U,"PAY"),"")</f>
        <v/>
      </c>
      <c r="Y23" s="43">
        <f>IF($AB23=1,IF($T23="CRD",$W23-$X23,0),"")</f>
        <v/>
      </c>
      <c r="Z23" s="44">
        <f>IF($AB23=1,IF($T23="IMM","مدفوع فورًا",IF($M23&lt;&gt;ST_POST,"غير مرحل",IF($Y23&lt;=S_Tol,"مدفوع بالكامل",IF($X23&gt;0,"مدفوع جزئيًا","غير مدفوع")))),"")</f>
        <v/>
      </c>
      <c r="AA23" s="33">
        <f>IF($AB23=1,IF($X23&gt;0,_xlfn.MAXIFS(Cash_Vouchers!$B:$B,Cash_Vouchers!$M:$M,$A23,Cash_Vouchers!$AM:$AM,1),""),"")</f>
        <v/>
      </c>
      <c r="AB23" s="32">
        <f>IF(COUNTA($A23:$S23)&gt;0,1,0)</f>
        <v/>
      </c>
      <c r="AC23" s="32">
        <f>IF($AB23=0,"",IF($A23="","رقم المستند ناقص",IF(COUNTIF(Doc_Register!$A:$A,$A23)&gt;1,"رقم مستند مكرر في السجل المركزي",IF(LEFT($A23,LEN("EXP")+1)&lt;&gt;"EXP"&amp;"-","بادئة الرقم لا تطابق نوع المستند",IF(NOT(ISNUMBER($B23)),"التاريخ ناقص أو غير صحيح",IF($M23="","حالة المستند ناقصة",IF($N23="","اسم المُعِد ناقص",IF(AND(OR($M23=ST_APPR,$M23=ST_POST),$O23=""),"لا يوجد معتمد",IF(AND($O23&lt;&gt;"",$O23=$N23),"المُعِد والمعتمد نفس الشخص (فصل المهام)",IF(AND($M23=ST_POST,$P23=""),"اسم المحاسب المرحِّل ناقص",IF(AND($M23=ST_POST,$P23&lt;&gt;"",OR($P23=$N23,$P23=$O23)),"المرحِّل يجب أن يختلف عن المُعِد والمعتمد",IF(AND($M23=ST_REV,$R23=""),"مرجع التصحيح/الإلغاء ناقص",IF(AND(ISNUMBER($B23),OR($M23=ST_DRAFT,$M23=ST_APPR),COUNTIFS(Period_Close!$A:$A,YEAR($B23)*100+MONTH($B23),Period_Close!$B:$B,"مقفلة")&gt;0),"الفترة مقفلة: لا يسمح بمستند جديد",IF(NOT(COUNTIF(Locations!$A:$A,$C23)&gt;0),"الفرع/الإدارة غير معرف",IF(NOT(COUNTIF(Cost_Centers!$A:$A,$D23)&gt;0),"مركز التكلفة غير معرف أو ناقص",IF(COUNTIFS(COA!$A:$A,$E23,COA!$J:$J,"نعم",COA!$R:$R,1)&lt;&gt;1,"حساب غير مسموح للمصروفات (الأصول الثابتة والمخزون لهما مسارات خاصة)",IF(NOT(N($F23)&gt;0),"المبلغ يجب أن يكون أكبر من صفر",IF($T23="?","نمط السداد غير معرف",IF(AND($T23="IMM",$I23=""),"الدفع الفوري يحتاج خزينة/بنك",IF(AND($T23="IMM",COUNTIFS(COA!$A:$A,$U23,COA!$R:$R,1)&lt;&gt;1),"الخزينة/البنك غير صالح",IF(AND($T23="IMM",$K23=""),"طريقة الدفع ناقصة",IF(AND(N($G23)&gt;0,S_VATOn&lt;&gt;"نعم"),"ضريبة المدخلات غير مفعلة في Tax_Settings",IF($J23="","المستفيد ناقص",IF(AND($T23="CRD",$X23&gt;$W23+S_Tol),"المسدَّد أكبر من المستحق",""))))))))))))))))))))))))</f>
        <v/>
      </c>
      <c r="AD23" s="32">
        <f>IF($AB23=1,IF($AC23&lt;&gt;"",1,0),0)</f>
        <v/>
      </c>
      <c r="AE23" s="32">
        <f>IF(AND($AB23=1,$AD23=0,$M23=ST_POST),1,0)</f>
        <v/>
      </c>
    </row>
    <row r="24">
      <c r="A24" s="29" t="n"/>
      <c r="B24" s="31" t="n"/>
      <c r="C24" s="39" t="n"/>
      <c r="D24" s="39" t="n"/>
      <c r="E24" s="39" t="n"/>
      <c r="F24" s="42" t="n"/>
      <c r="G24" s="42" t="n"/>
      <c r="H24" s="39" t="n"/>
      <c r="I24" s="39" t="n"/>
      <c r="J24" s="29" t="n"/>
      <c r="K24" s="29" t="n"/>
      <c r="L24" s="29" t="n"/>
      <c r="M24" s="39" t="n"/>
      <c r="N24" s="29" t="n"/>
      <c r="O24" s="29" t="n"/>
      <c r="P24" s="29" t="n"/>
      <c r="Q24" s="29" t="n"/>
      <c r="R24" s="29" t="n"/>
      <c r="S24" s="29" t="n"/>
      <c r="T24" s="32">
        <f>IF($AB24=1,IFERROR(INDEX(Lists!$O$5:$O$6,MATCH($H24,Lists!$N$5:$N$6,0)),"?"),"")</f>
        <v/>
      </c>
      <c r="U24" s="32">
        <f>IF(AND($AB24=1,$I24&lt;&gt;""),IFERROR(INDEX(Treasuries!$E:$E,MATCH($I24,Treasuries!$A:$A,0)),"؟"),"")</f>
        <v/>
      </c>
      <c r="V24" s="44">
        <f>IF($AB24=1,IF($T24="IMM",$U24,ACC_ACCRUED),"")</f>
        <v/>
      </c>
      <c r="W24" s="43">
        <f>IF($AB24=1,$F24+$G24,"")</f>
        <v/>
      </c>
      <c r="X24" s="43">
        <f>IF($AB24=1,SUMIFS(Cash_Vouchers!$I:$I,Cash_Vouchers!$M:$M,$A24,Cash_Vouchers!$AM:$AM,1,Cash_Vouchers!$U:$U,"PAY"),"")</f>
        <v/>
      </c>
      <c r="Y24" s="43">
        <f>IF($AB24=1,IF($T24="CRD",$W24-$X24,0),"")</f>
        <v/>
      </c>
      <c r="Z24" s="44">
        <f>IF($AB24=1,IF($T24="IMM","مدفوع فورًا",IF($M24&lt;&gt;ST_POST,"غير مرحل",IF($Y24&lt;=S_Tol,"مدفوع بالكامل",IF($X24&gt;0,"مدفوع جزئيًا","غير مدفوع")))),"")</f>
        <v/>
      </c>
      <c r="AA24" s="33">
        <f>IF($AB24=1,IF($X24&gt;0,_xlfn.MAXIFS(Cash_Vouchers!$B:$B,Cash_Vouchers!$M:$M,$A24,Cash_Vouchers!$AM:$AM,1),""),"")</f>
        <v/>
      </c>
      <c r="AB24" s="32">
        <f>IF(COUNTA($A24:$S24)&gt;0,1,0)</f>
        <v/>
      </c>
      <c r="AC24" s="32">
        <f>IF($AB24=0,"",IF($A24="","رقم المستند ناقص",IF(COUNTIF(Doc_Register!$A:$A,$A24)&gt;1,"رقم مستند مكرر في السجل المركزي",IF(LEFT($A24,LEN("EXP")+1)&lt;&gt;"EXP"&amp;"-","بادئة الرقم لا تطابق نوع المستند",IF(NOT(ISNUMBER($B24)),"التاريخ ناقص أو غير صحيح",IF($M24="","حالة المستند ناقصة",IF($N24="","اسم المُعِد ناقص",IF(AND(OR($M24=ST_APPR,$M24=ST_POST),$O24=""),"لا يوجد معتمد",IF(AND($O24&lt;&gt;"",$O24=$N24),"المُعِد والمعتمد نفس الشخص (فصل المهام)",IF(AND($M24=ST_POST,$P24=""),"اسم المحاسب المرحِّل ناقص",IF(AND($M24=ST_POST,$P24&lt;&gt;"",OR($P24=$N24,$P24=$O24)),"المرحِّل يجب أن يختلف عن المُعِد والمعتمد",IF(AND($M24=ST_REV,$R24=""),"مرجع التصحيح/الإلغاء ناقص",IF(AND(ISNUMBER($B24),OR($M24=ST_DRAFT,$M24=ST_APPR),COUNTIFS(Period_Close!$A:$A,YEAR($B24)*100+MONTH($B24),Period_Close!$B:$B,"مقفلة")&gt;0),"الفترة مقفلة: لا يسمح بمستند جديد",IF(NOT(COUNTIF(Locations!$A:$A,$C24)&gt;0),"الفرع/الإدارة غير معرف",IF(NOT(COUNTIF(Cost_Centers!$A:$A,$D24)&gt;0),"مركز التكلفة غير معرف أو ناقص",IF(COUNTIFS(COA!$A:$A,$E24,COA!$J:$J,"نعم",COA!$R:$R,1)&lt;&gt;1,"حساب غير مسموح للمصروفات (الأصول الثابتة والمخزون لهما مسارات خاصة)",IF(NOT(N($F24)&gt;0),"المبلغ يجب أن يكون أكبر من صفر",IF($T24="?","نمط السداد غير معرف",IF(AND($T24="IMM",$I24=""),"الدفع الفوري يحتاج خزينة/بنك",IF(AND($T24="IMM",COUNTIFS(COA!$A:$A,$U24,COA!$R:$R,1)&lt;&gt;1),"الخزينة/البنك غير صالح",IF(AND($T24="IMM",$K24=""),"طريقة الدفع ناقصة",IF(AND(N($G24)&gt;0,S_VATOn&lt;&gt;"نعم"),"ضريبة المدخلات غير مفعلة في Tax_Settings",IF($J24="","المستفيد ناقص",IF(AND($T24="CRD",$X24&gt;$W24+S_Tol),"المسدَّد أكبر من المستحق",""))))))))))))))))))))))))</f>
        <v/>
      </c>
      <c r="AD24" s="32">
        <f>IF($AB24=1,IF($AC24&lt;&gt;"",1,0),0)</f>
        <v/>
      </c>
      <c r="AE24" s="32">
        <f>IF(AND($AB24=1,$AD24=0,$M24=ST_POST),1,0)</f>
        <v/>
      </c>
    </row>
    <row r="25">
      <c r="A25" s="29" t="n"/>
      <c r="B25" s="31" t="n"/>
      <c r="C25" s="39" t="n"/>
      <c r="D25" s="39" t="n"/>
      <c r="E25" s="39" t="n"/>
      <c r="F25" s="42" t="n"/>
      <c r="G25" s="42" t="n"/>
      <c r="H25" s="39" t="n"/>
      <c r="I25" s="39" t="n"/>
      <c r="J25" s="29" t="n"/>
      <c r="K25" s="29" t="n"/>
      <c r="L25" s="29" t="n"/>
      <c r="M25" s="39" t="n"/>
      <c r="N25" s="29" t="n"/>
      <c r="O25" s="29" t="n"/>
      <c r="P25" s="29" t="n"/>
      <c r="Q25" s="29" t="n"/>
      <c r="R25" s="29" t="n"/>
      <c r="S25" s="29" t="n"/>
      <c r="T25" s="32">
        <f>IF($AB25=1,IFERROR(INDEX(Lists!$O$5:$O$6,MATCH($H25,Lists!$N$5:$N$6,0)),"?"),"")</f>
        <v/>
      </c>
      <c r="U25" s="32">
        <f>IF(AND($AB25=1,$I25&lt;&gt;""),IFERROR(INDEX(Treasuries!$E:$E,MATCH($I25,Treasuries!$A:$A,0)),"؟"),"")</f>
        <v/>
      </c>
      <c r="V25" s="44">
        <f>IF($AB25=1,IF($T25="IMM",$U25,ACC_ACCRUED),"")</f>
        <v/>
      </c>
      <c r="W25" s="43">
        <f>IF($AB25=1,$F25+$G25,"")</f>
        <v/>
      </c>
      <c r="X25" s="43">
        <f>IF($AB25=1,SUMIFS(Cash_Vouchers!$I:$I,Cash_Vouchers!$M:$M,$A25,Cash_Vouchers!$AM:$AM,1,Cash_Vouchers!$U:$U,"PAY"),"")</f>
        <v/>
      </c>
      <c r="Y25" s="43">
        <f>IF($AB25=1,IF($T25="CRD",$W25-$X25,0),"")</f>
        <v/>
      </c>
      <c r="Z25" s="44">
        <f>IF($AB25=1,IF($T25="IMM","مدفوع فورًا",IF($M25&lt;&gt;ST_POST,"غير مرحل",IF($Y25&lt;=S_Tol,"مدفوع بالكامل",IF($X25&gt;0,"مدفوع جزئيًا","غير مدفوع")))),"")</f>
        <v/>
      </c>
      <c r="AA25" s="33">
        <f>IF($AB25=1,IF($X25&gt;0,_xlfn.MAXIFS(Cash_Vouchers!$B:$B,Cash_Vouchers!$M:$M,$A25,Cash_Vouchers!$AM:$AM,1),""),"")</f>
        <v/>
      </c>
      <c r="AB25" s="32">
        <f>IF(COUNTA($A25:$S25)&gt;0,1,0)</f>
        <v/>
      </c>
      <c r="AC25" s="32">
        <f>IF($AB25=0,"",IF($A25="","رقم المستند ناقص",IF(COUNTIF(Doc_Register!$A:$A,$A25)&gt;1,"رقم مستند مكرر في السجل المركزي",IF(LEFT($A25,LEN("EXP")+1)&lt;&gt;"EXP"&amp;"-","بادئة الرقم لا تطابق نوع المستند",IF(NOT(ISNUMBER($B25)),"التاريخ ناقص أو غير صحيح",IF($M25="","حالة المستند ناقصة",IF($N25="","اسم المُعِد ناقص",IF(AND(OR($M25=ST_APPR,$M25=ST_POST),$O25=""),"لا يوجد معتمد",IF(AND($O25&lt;&gt;"",$O25=$N25),"المُعِد والمعتمد نفس الشخص (فصل المهام)",IF(AND($M25=ST_POST,$P25=""),"اسم المحاسب المرحِّل ناقص",IF(AND($M25=ST_POST,$P25&lt;&gt;"",OR($P25=$N25,$P25=$O25)),"المرحِّل يجب أن يختلف عن المُعِد والمعتمد",IF(AND($M25=ST_REV,$R25=""),"مرجع التصحيح/الإلغاء ناقص",IF(AND(ISNUMBER($B25),OR($M25=ST_DRAFT,$M25=ST_APPR),COUNTIFS(Period_Close!$A:$A,YEAR($B25)*100+MONTH($B25),Period_Close!$B:$B,"مقفلة")&gt;0),"الفترة مقفلة: لا يسمح بمستند جديد",IF(NOT(COUNTIF(Locations!$A:$A,$C25)&gt;0),"الفرع/الإدارة غير معرف",IF(NOT(COUNTIF(Cost_Centers!$A:$A,$D25)&gt;0),"مركز التكلفة غير معرف أو ناقص",IF(COUNTIFS(COA!$A:$A,$E25,COA!$J:$J,"نعم",COA!$R:$R,1)&lt;&gt;1,"حساب غير مسموح للمصروفات (الأصول الثابتة والمخزون لهما مسارات خاصة)",IF(NOT(N($F25)&gt;0),"المبلغ يجب أن يكون أكبر من صفر",IF($T25="?","نمط السداد غير معرف",IF(AND($T25="IMM",$I25=""),"الدفع الفوري يحتاج خزينة/بنك",IF(AND($T25="IMM",COUNTIFS(COA!$A:$A,$U25,COA!$R:$R,1)&lt;&gt;1),"الخزينة/البنك غير صالح",IF(AND($T25="IMM",$K25=""),"طريقة الدفع ناقصة",IF(AND(N($G25)&gt;0,S_VATOn&lt;&gt;"نعم"),"ضريبة المدخلات غير مفعلة في Tax_Settings",IF($J25="","المستفيد ناقص",IF(AND($T25="CRD",$X25&gt;$W25+S_Tol),"المسدَّد أكبر من المستحق",""))))))))))))))))))))))))</f>
        <v/>
      </c>
      <c r="AD25" s="32">
        <f>IF($AB25=1,IF($AC25&lt;&gt;"",1,0),0)</f>
        <v/>
      </c>
      <c r="AE25" s="32">
        <f>IF(AND($AB25=1,$AD25=0,$M25=ST_POST),1,0)</f>
        <v/>
      </c>
    </row>
    <row r="26">
      <c r="A26" s="29" t="n"/>
      <c r="B26" s="31" t="n"/>
      <c r="C26" s="39" t="n"/>
      <c r="D26" s="39" t="n"/>
      <c r="E26" s="39" t="n"/>
      <c r="F26" s="42" t="n"/>
      <c r="G26" s="42" t="n"/>
      <c r="H26" s="39" t="n"/>
      <c r="I26" s="39" t="n"/>
      <c r="J26" s="29" t="n"/>
      <c r="K26" s="29" t="n"/>
      <c r="L26" s="29" t="n"/>
      <c r="M26" s="39" t="n"/>
      <c r="N26" s="29" t="n"/>
      <c r="O26" s="29" t="n"/>
      <c r="P26" s="29" t="n"/>
      <c r="Q26" s="29" t="n"/>
      <c r="R26" s="29" t="n"/>
      <c r="S26" s="29" t="n"/>
      <c r="T26" s="32">
        <f>IF($AB26=1,IFERROR(INDEX(Lists!$O$5:$O$6,MATCH($H26,Lists!$N$5:$N$6,0)),"?"),"")</f>
        <v/>
      </c>
      <c r="U26" s="32">
        <f>IF(AND($AB26=1,$I26&lt;&gt;""),IFERROR(INDEX(Treasuries!$E:$E,MATCH($I26,Treasuries!$A:$A,0)),"؟"),"")</f>
        <v/>
      </c>
      <c r="V26" s="44">
        <f>IF($AB26=1,IF($T26="IMM",$U26,ACC_ACCRUED),"")</f>
        <v/>
      </c>
      <c r="W26" s="43">
        <f>IF($AB26=1,$F26+$G26,"")</f>
        <v/>
      </c>
      <c r="X26" s="43">
        <f>IF($AB26=1,SUMIFS(Cash_Vouchers!$I:$I,Cash_Vouchers!$M:$M,$A26,Cash_Vouchers!$AM:$AM,1,Cash_Vouchers!$U:$U,"PAY"),"")</f>
        <v/>
      </c>
      <c r="Y26" s="43">
        <f>IF($AB26=1,IF($T26="CRD",$W26-$X26,0),"")</f>
        <v/>
      </c>
      <c r="Z26" s="44">
        <f>IF($AB26=1,IF($T26="IMM","مدفوع فورًا",IF($M26&lt;&gt;ST_POST,"غير مرحل",IF($Y26&lt;=S_Tol,"مدفوع بالكامل",IF($X26&gt;0,"مدفوع جزئيًا","غير مدفوع")))),"")</f>
        <v/>
      </c>
      <c r="AA26" s="33">
        <f>IF($AB26=1,IF($X26&gt;0,_xlfn.MAXIFS(Cash_Vouchers!$B:$B,Cash_Vouchers!$M:$M,$A26,Cash_Vouchers!$AM:$AM,1),""),"")</f>
        <v/>
      </c>
      <c r="AB26" s="32">
        <f>IF(COUNTA($A26:$S26)&gt;0,1,0)</f>
        <v/>
      </c>
      <c r="AC26" s="32">
        <f>IF($AB26=0,"",IF($A26="","رقم المستند ناقص",IF(COUNTIF(Doc_Register!$A:$A,$A26)&gt;1,"رقم مستند مكرر في السجل المركزي",IF(LEFT($A26,LEN("EXP")+1)&lt;&gt;"EXP"&amp;"-","بادئة الرقم لا تطابق نوع المستند",IF(NOT(ISNUMBER($B26)),"التاريخ ناقص أو غير صحيح",IF($M26="","حالة المستند ناقصة",IF($N26="","اسم المُعِد ناقص",IF(AND(OR($M26=ST_APPR,$M26=ST_POST),$O26=""),"لا يوجد معتمد",IF(AND($O26&lt;&gt;"",$O26=$N26),"المُعِد والمعتمد نفس الشخص (فصل المهام)",IF(AND($M26=ST_POST,$P26=""),"اسم المحاسب المرحِّل ناقص",IF(AND($M26=ST_POST,$P26&lt;&gt;"",OR($P26=$N26,$P26=$O26)),"المرحِّل يجب أن يختلف عن المُعِد والمعتمد",IF(AND($M26=ST_REV,$R26=""),"مرجع التصحيح/الإلغاء ناقص",IF(AND(ISNUMBER($B26),OR($M26=ST_DRAFT,$M26=ST_APPR),COUNTIFS(Period_Close!$A:$A,YEAR($B26)*100+MONTH($B26),Period_Close!$B:$B,"مقفلة")&gt;0),"الفترة مقفلة: لا يسمح بمستند جديد",IF(NOT(COUNTIF(Locations!$A:$A,$C26)&gt;0),"الفرع/الإدارة غير معرف",IF(NOT(COUNTIF(Cost_Centers!$A:$A,$D26)&gt;0),"مركز التكلفة غير معرف أو ناقص",IF(COUNTIFS(COA!$A:$A,$E26,COA!$J:$J,"نعم",COA!$R:$R,1)&lt;&gt;1,"حساب غير مسموح للمصروفات (الأصول الثابتة والمخزون لهما مسارات خاصة)",IF(NOT(N($F26)&gt;0),"المبلغ يجب أن يكون أكبر من صفر",IF($T26="?","نمط السداد غير معرف",IF(AND($T26="IMM",$I26=""),"الدفع الفوري يحتاج خزينة/بنك",IF(AND($T26="IMM",COUNTIFS(COA!$A:$A,$U26,COA!$R:$R,1)&lt;&gt;1),"الخزينة/البنك غير صالح",IF(AND($T26="IMM",$K26=""),"طريقة الدفع ناقصة",IF(AND(N($G26)&gt;0,S_VATOn&lt;&gt;"نعم"),"ضريبة المدخلات غير مفعلة في Tax_Settings",IF($J26="","المستفيد ناقص",IF(AND($T26="CRD",$X26&gt;$W26+S_Tol),"المسدَّد أكبر من المستحق",""))))))))))))))))))))))))</f>
        <v/>
      </c>
      <c r="AD26" s="32">
        <f>IF($AB26=1,IF($AC26&lt;&gt;"",1,0),0)</f>
        <v/>
      </c>
      <c r="AE26" s="32">
        <f>IF(AND($AB26=1,$AD26=0,$M26=ST_POST),1,0)</f>
        <v/>
      </c>
    </row>
    <row r="27">
      <c r="A27" s="29" t="n"/>
      <c r="B27" s="31" t="n"/>
      <c r="C27" s="39" t="n"/>
      <c r="D27" s="39" t="n"/>
      <c r="E27" s="39" t="n"/>
      <c r="F27" s="42" t="n"/>
      <c r="G27" s="42" t="n"/>
      <c r="H27" s="39" t="n"/>
      <c r="I27" s="39" t="n"/>
      <c r="J27" s="29" t="n"/>
      <c r="K27" s="29" t="n"/>
      <c r="L27" s="29" t="n"/>
      <c r="M27" s="39" t="n"/>
      <c r="N27" s="29" t="n"/>
      <c r="O27" s="29" t="n"/>
      <c r="P27" s="29" t="n"/>
      <c r="Q27" s="29" t="n"/>
      <c r="R27" s="29" t="n"/>
      <c r="S27" s="29" t="n"/>
      <c r="T27" s="32">
        <f>IF($AB27=1,IFERROR(INDEX(Lists!$O$5:$O$6,MATCH($H27,Lists!$N$5:$N$6,0)),"?"),"")</f>
        <v/>
      </c>
      <c r="U27" s="32">
        <f>IF(AND($AB27=1,$I27&lt;&gt;""),IFERROR(INDEX(Treasuries!$E:$E,MATCH($I27,Treasuries!$A:$A,0)),"؟"),"")</f>
        <v/>
      </c>
      <c r="V27" s="44">
        <f>IF($AB27=1,IF($T27="IMM",$U27,ACC_ACCRUED),"")</f>
        <v/>
      </c>
      <c r="W27" s="43">
        <f>IF($AB27=1,$F27+$G27,"")</f>
        <v/>
      </c>
      <c r="X27" s="43">
        <f>IF($AB27=1,SUMIFS(Cash_Vouchers!$I:$I,Cash_Vouchers!$M:$M,$A27,Cash_Vouchers!$AM:$AM,1,Cash_Vouchers!$U:$U,"PAY"),"")</f>
        <v/>
      </c>
      <c r="Y27" s="43">
        <f>IF($AB27=1,IF($T27="CRD",$W27-$X27,0),"")</f>
        <v/>
      </c>
      <c r="Z27" s="44">
        <f>IF($AB27=1,IF($T27="IMM","مدفوع فورًا",IF($M27&lt;&gt;ST_POST,"غير مرحل",IF($Y27&lt;=S_Tol,"مدفوع بالكامل",IF($X27&gt;0,"مدفوع جزئيًا","غير مدفوع")))),"")</f>
        <v/>
      </c>
      <c r="AA27" s="33">
        <f>IF($AB27=1,IF($X27&gt;0,_xlfn.MAXIFS(Cash_Vouchers!$B:$B,Cash_Vouchers!$M:$M,$A27,Cash_Vouchers!$AM:$AM,1),""),"")</f>
        <v/>
      </c>
      <c r="AB27" s="32">
        <f>IF(COUNTA($A27:$S27)&gt;0,1,0)</f>
        <v/>
      </c>
      <c r="AC27" s="32">
        <f>IF($AB27=0,"",IF($A27="","رقم المستند ناقص",IF(COUNTIF(Doc_Register!$A:$A,$A27)&gt;1,"رقم مستند مكرر في السجل المركزي",IF(LEFT($A27,LEN("EXP")+1)&lt;&gt;"EXP"&amp;"-","بادئة الرقم لا تطابق نوع المستند",IF(NOT(ISNUMBER($B27)),"التاريخ ناقص أو غير صحيح",IF($M27="","حالة المستند ناقصة",IF($N27="","اسم المُعِد ناقص",IF(AND(OR($M27=ST_APPR,$M27=ST_POST),$O27=""),"لا يوجد معتمد",IF(AND($O27&lt;&gt;"",$O27=$N27),"المُعِد والمعتمد نفس الشخص (فصل المهام)",IF(AND($M27=ST_POST,$P27=""),"اسم المحاسب المرحِّل ناقص",IF(AND($M27=ST_POST,$P27&lt;&gt;"",OR($P27=$N27,$P27=$O27)),"المرحِّل يجب أن يختلف عن المُعِد والمعتمد",IF(AND($M27=ST_REV,$R27=""),"مرجع التصحيح/الإلغاء ناقص",IF(AND(ISNUMBER($B27),OR($M27=ST_DRAFT,$M27=ST_APPR),COUNTIFS(Period_Close!$A:$A,YEAR($B27)*100+MONTH($B27),Period_Close!$B:$B,"مقفلة")&gt;0),"الفترة مقفلة: لا يسمح بمستند جديد",IF(NOT(COUNTIF(Locations!$A:$A,$C27)&gt;0),"الفرع/الإدارة غير معرف",IF(NOT(COUNTIF(Cost_Centers!$A:$A,$D27)&gt;0),"مركز التكلفة غير معرف أو ناقص",IF(COUNTIFS(COA!$A:$A,$E27,COA!$J:$J,"نعم",COA!$R:$R,1)&lt;&gt;1,"حساب غير مسموح للمصروفات (الأصول الثابتة والمخزون لهما مسارات خاصة)",IF(NOT(N($F27)&gt;0),"المبلغ يجب أن يكون أكبر من صفر",IF($T27="?","نمط السداد غير معرف",IF(AND($T27="IMM",$I27=""),"الدفع الفوري يحتاج خزينة/بنك",IF(AND($T27="IMM",COUNTIFS(COA!$A:$A,$U27,COA!$R:$R,1)&lt;&gt;1),"الخزينة/البنك غير صالح",IF(AND($T27="IMM",$K27=""),"طريقة الدفع ناقصة",IF(AND(N($G27)&gt;0,S_VATOn&lt;&gt;"نعم"),"ضريبة المدخلات غير مفعلة في Tax_Settings",IF($J27="","المستفيد ناقص",IF(AND($T27="CRD",$X27&gt;$W27+S_Tol),"المسدَّد أكبر من المستحق",""))))))))))))))))))))))))</f>
        <v/>
      </c>
      <c r="AD27" s="32">
        <f>IF($AB27=1,IF($AC27&lt;&gt;"",1,0),0)</f>
        <v/>
      </c>
      <c r="AE27" s="32">
        <f>IF(AND($AB27=1,$AD27=0,$M27=ST_POST),1,0)</f>
        <v/>
      </c>
    </row>
    <row r="28">
      <c r="A28" s="29" t="n"/>
      <c r="B28" s="31" t="n"/>
      <c r="C28" s="39" t="n"/>
      <c r="D28" s="39" t="n"/>
      <c r="E28" s="39" t="n"/>
      <c r="F28" s="42" t="n"/>
      <c r="G28" s="42" t="n"/>
      <c r="H28" s="39" t="n"/>
      <c r="I28" s="39" t="n"/>
      <c r="J28" s="29" t="n"/>
      <c r="K28" s="29" t="n"/>
      <c r="L28" s="29" t="n"/>
      <c r="M28" s="39" t="n"/>
      <c r="N28" s="29" t="n"/>
      <c r="O28" s="29" t="n"/>
      <c r="P28" s="29" t="n"/>
      <c r="Q28" s="29" t="n"/>
      <c r="R28" s="29" t="n"/>
      <c r="S28" s="29" t="n"/>
      <c r="T28" s="32">
        <f>IF($AB28=1,IFERROR(INDEX(Lists!$O$5:$O$6,MATCH($H28,Lists!$N$5:$N$6,0)),"?"),"")</f>
        <v/>
      </c>
      <c r="U28" s="32">
        <f>IF(AND($AB28=1,$I28&lt;&gt;""),IFERROR(INDEX(Treasuries!$E:$E,MATCH($I28,Treasuries!$A:$A,0)),"؟"),"")</f>
        <v/>
      </c>
      <c r="V28" s="44">
        <f>IF($AB28=1,IF($T28="IMM",$U28,ACC_ACCRUED),"")</f>
        <v/>
      </c>
      <c r="W28" s="43">
        <f>IF($AB28=1,$F28+$G28,"")</f>
        <v/>
      </c>
      <c r="X28" s="43">
        <f>IF($AB28=1,SUMIFS(Cash_Vouchers!$I:$I,Cash_Vouchers!$M:$M,$A28,Cash_Vouchers!$AM:$AM,1,Cash_Vouchers!$U:$U,"PAY"),"")</f>
        <v/>
      </c>
      <c r="Y28" s="43">
        <f>IF($AB28=1,IF($T28="CRD",$W28-$X28,0),"")</f>
        <v/>
      </c>
      <c r="Z28" s="44">
        <f>IF($AB28=1,IF($T28="IMM","مدفوع فورًا",IF($M28&lt;&gt;ST_POST,"غير مرحل",IF($Y28&lt;=S_Tol,"مدفوع بالكامل",IF($X28&gt;0,"مدفوع جزئيًا","غير مدفوع")))),"")</f>
        <v/>
      </c>
      <c r="AA28" s="33">
        <f>IF($AB28=1,IF($X28&gt;0,_xlfn.MAXIFS(Cash_Vouchers!$B:$B,Cash_Vouchers!$M:$M,$A28,Cash_Vouchers!$AM:$AM,1),""),"")</f>
        <v/>
      </c>
      <c r="AB28" s="32">
        <f>IF(COUNTA($A28:$S28)&gt;0,1,0)</f>
        <v/>
      </c>
      <c r="AC28" s="32">
        <f>IF($AB28=0,"",IF($A28="","رقم المستند ناقص",IF(COUNTIF(Doc_Register!$A:$A,$A28)&gt;1,"رقم مستند مكرر في السجل المركزي",IF(LEFT($A28,LEN("EXP")+1)&lt;&gt;"EXP"&amp;"-","بادئة الرقم لا تطابق نوع المستند",IF(NOT(ISNUMBER($B28)),"التاريخ ناقص أو غير صحيح",IF($M28="","حالة المستند ناقصة",IF($N28="","اسم المُعِد ناقص",IF(AND(OR($M28=ST_APPR,$M28=ST_POST),$O28=""),"لا يوجد معتمد",IF(AND($O28&lt;&gt;"",$O28=$N28),"المُعِد والمعتمد نفس الشخص (فصل المهام)",IF(AND($M28=ST_POST,$P28=""),"اسم المحاسب المرحِّل ناقص",IF(AND($M28=ST_POST,$P28&lt;&gt;"",OR($P28=$N28,$P28=$O28)),"المرحِّل يجب أن يختلف عن المُعِد والمعتمد",IF(AND($M28=ST_REV,$R28=""),"مرجع التصحيح/الإلغاء ناقص",IF(AND(ISNUMBER($B28),OR($M28=ST_DRAFT,$M28=ST_APPR),COUNTIFS(Period_Close!$A:$A,YEAR($B28)*100+MONTH($B28),Period_Close!$B:$B,"مقفلة")&gt;0),"الفترة مقفلة: لا يسمح بمستند جديد",IF(NOT(COUNTIF(Locations!$A:$A,$C28)&gt;0),"الفرع/الإدارة غير معرف",IF(NOT(COUNTIF(Cost_Centers!$A:$A,$D28)&gt;0),"مركز التكلفة غير معرف أو ناقص",IF(COUNTIFS(COA!$A:$A,$E28,COA!$J:$J,"نعم",COA!$R:$R,1)&lt;&gt;1,"حساب غير مسموح للمصروفات (الأصول الثابتة والمخزون لهما مسارات خاصة)",IF(NOT(N($F28)&gt;0),"المبلغ يجب أن يكون أكبر من صفر",IF($T28="?","نمط السداد غير معرف",IF(AND($T28="IMM",$I28=""),"الدفع الفوري يحتاج خزينة/بنك",IF(AND($T28="IMM",COUNTIFS(COA!$A:$A,$U28,COA!$R:$R,1)&lt;&gt;1),"الخزينة/البنك غير صالح",IF(AND($T28="IMM",$K28=""),"طريقة الدفع ناقصة",IF(AND(N($G28)&gt;0,S_VATOn&lt;&gt;"نعم"),"ضريبة المدخلات غير مفعلة في Tax_Settings",IF($J28="","المستفيد ناقص",IF(AND($T28="CRD",$X28&gt;$W28+S_Tol),"المسدَّد أكبر من المستحق",""))))))))))))))))))))))))</f>
        <v/>
      </c>
      <c r="AD28" s="32">
        <f>IF($AB28=1,IF($AC28&lt;&gt;"",1,0),0)</f>
        <v/>
      </c>
      <c r="AE28" s="32">
        <f>IF(AND($AB28=1,$AD28=0,$M28=ST_POST),1,0)</f>
        <v/>
      </c>
    </row>
    <row r="29">
      <c r="A29" s="29" t="n"/>
      <c r="B29" s="31" t="n"/>
      <c r="C29" s="39" t="n"/>
      <c r="D29" s="39" t="n"/>
      <c r="E29" s="39" t="n"/>
      <c r="F29" s="42" t="n"/>
      <c r="G29" s="42" t="n"/>
      <c r="H29" s="39" t="n"/>
      <c r="I29" s="39" t="n"/>
      <c r="J29" s="29" t="n"/>
      <c r="K29" s="29" t="n"/>
      <c r="L29" s="29" t="n"/>
      <c r="M29" s="39" t="n"/>
      <c r="N29" s="29" t="n"/>
      <c r="O29" s="29" t="n"/>
      <c r="P29" s="29" t="n"/>
      <c r="Q29" s="29" t="n"/>
      <c r="R29" s="29" t="n"/>
      <c r="S29" s="29" t="n"/>
      <c r="T29" s="32">
        <f>IF($AB29=1,IFERROR(INDEX(Lists!$O$5:$O$6,MATCH($H29,Lists!$N$5:$N$6,0)),"?"),"")</f>
        <v/>
      </c>
      <c r="U29" s="32">
        <f>IF(AND($AB29=1,$I29&lt;&gt;""),IFERROR(INDEX(Treasuries!$E:$E,MATCH($I29,Treasuries!$A:$A,0)),"؟"),"")</f>
        <v/>
      </c>
      <c r="V29" s="44">
        <f>IF($AB29=1,IF($T29="IMM",$U29,ACC_ACCRUED),"")</f>
        <v/>
      </c>
      <c r="W29" s="43">
        <f>IF($AB29=1,$F29+$G29,"")</f>
        <v/>
      </c>
      <c r="X29" s="43">
        <f>IF($AB29=1,SUMIFS(Cash_Vouchers!$I:$I,Cash_Vouchers!$M:$M,$A29,Cash_Vouchers!$AM:$AM,1,Cash_Vouchers!$U:$U,"PAY"),"")</f>
        <v/>
      </c>
      <c r="Y29" s="43">
        <f>IF($AB29=1,IF($T29="CRD",$W29-$X29,0),"")</f>
        <v/>
      </c>
      <c r="Z29" s="44">
        <f>IF($AB29=1,IF($T29="IMM","مدفوع فورًا",IF($M29&lt;&gt;ST_POST,"غير مرحل",IF($Y29&lt;=S_Tol,"مدفوع بالكامل",IF($X29&gt;0,"مدفوع جزئيًا","غير مدفوع")))),"")</f>
        <v/>
      </c>
      <c r="AA29" s="33">
        <f>IF($AB29=1,IF($X29&gt;0,_xlfn.MAXIFS(Cash_Vouchers!$B:$B,Cash_Vouchers!$M:$M,$A29,Cash_Vouchers!$AM:$AM,1),""),"")</f>
        <v/>
      </c>
      <c r="AB29" s="32">
        <f>IF(COUNTA($A29:$S29)&gt;0,1,0)</f>
        <v/>
      </c>
      <c r="AC29" s="32">
        <f>IF($AB29=0,"",IF($A29="","رقم المستند ناقص",IF(COUNTIF(Doc_Register!$A:$A,$A29)&gt;1,"رقم مستند مكرر في السجل المركزي",IF(LEFT($A29,LEN("EXP")+1)&lt;&gt;"EXP"&amp;"-","بادئة الرقم لا تطابق نوع المستند",IF(NOT(ISNUMBER($B29)),"التاريخ ناقص أو غير صحيح",IF($M29="","حالة المستند ناقصة",IF($N29="","اسم المُعِد ناقص",IF(AND(OR($M29=ST_APPR,$M29=ST_POST),$O29=""),"لا يوجد معتمد",IF(AND($O29&lt;&gt;"",$O29=$N29),"المُعِد والمعتمد نفس الشخص (فصل المهام)",IF(AND($M29=ST_POST,$P29=""),"اسم المحاسب المرحِّل ناقص",IF(AND($M29=ST_POST,$P29&lt;&gt;"",OR($P29=$N29,$P29=$O29)),"المرحِّل يجب أن يختلف عن المُعِد والمعتمد",IF(AND($M29=ST_REV,$R29=""),"مرجع التصحيح/الإلغاء ناقص",IF(AND(ISNUMBER($B29),OR($M29=ST_DRAFT,$M29=ST_APPR),COUNTIFS(Period_Close!$A:$A,YEAR($B29)*100+MONTH($B29),Period_Close!$B:$B,"مقفلة")&gt;0),"الفترة مقفلة: لا يسمح بمستند جديد",IF(NOT(COUNTIF(Locations!$A:$A,$C29)&gt;0),"الفرع/الإدارة غير معرف",IF(NOT(COUNTIF(Cost_Centers!$A:$A,$D29)&gt;0),"مركز التكلفة غير معرف أو ناقص",IF(COUNTIFS(COA!$A:$A,$E29,COA!$J:$J,"نعم",COA!$R:$R,1)&lt;&gt;1,"حساب غير مسموح للمصروفات (الأصول الثابتة والمخزون لهما مسارات خاصة)",IF(NOT(N($F29)&gt;0),"المبلغ يجب أن يكون أكبر من صفر",IF($T29="?","نمط السداد غير معرف",IF(AND($T29="IMM",$I29=""),"الدفع الفوري يحتاج خزينة/بنك",IF(AND($T29="IMM",COUNTIFS(COA!$A:$A,$U29,COA!$R:$R,1)&lt;&gt;1),"الخزينة/البنك غير صالح",IF(AND($T29="IMM",$K29=""),"طريقة الدفع ناقصة",IF(AND(N($G29)&gt;0,S_VATOn&lt;&gt;"نعم"),"ضريبة المدخلات غير مفعلة في Tax_Settings",IF($J29="","المستفيد ناقص",IF(AND($T29="CRD",$X29&gt;$W29+S_Tol),"المسدَّد أكبر من المستحق",""))))))))))))))))))))))))</f>
        <v/>
      </c>
      <c r="AD29" s="32">
        <f>IF($AB29=1,IF($AC29&lt;&gt;"",1,0),0)</f>
        <v/>
      </c>
      <c r="AE29" s="32">
        <f>IF(AND($AB29=1,$AD29=0,$M29=ST_POST),1,0)</f>
        <v/>
      </c>
    </row>
    <row r="30">
      <c r="A30" s="29" t="n"/>
      <c r="B30" s="31" t="n"/>
      <c r="C30" s="39" t="n"/>
      <c r="D30" s="39" t="n"/>
      <c r="E30" s="39" t="n"/>
      <c r="F30" s="42" t="n"/>
      <c r="G30" s="42" t="n"/>
      <c r="H30" s="39" t="n"/>
      <c r="I30" s="39" t="n"/>
      <c r="J30" s="29" t="n"/>
      <c r="K30" s="29" t="n"/>
      <c r="L30" s="29" t="n"/>
      <c r="M30" s="39" t="n"/>
      <c r="N30" s="29" t="n"/>
      <c r="O30" s="29" t="n"/>
      <c r="P30" s="29" t="n"/>
      <c r="Q30" s="29" t="n"/>
      <c r="R30" s="29" t="n"/>
      <c r="S30" s="29" t="n"/>
      <c r="T30" s="32">
        <f>IF($AB30=1,IFERROR(INDEX(Lists!$O$5:$O$6,MATCH($H30,Lists!$N$5:$N$6,0)),"?"),"")</f>
        <v/>
      </c>
      <c r="U30" s="32">
        <f>IF(AND($AB30=1,$I30&lt;&gt;""),IFERROR(INDEX(Treasuries!$E:$E,MATCH($I30,Treasuries!$A:$A,0)),"؟"),"")</f>
        <v/>
      </c>
      <c r="V30" s="44">
        <f>IF($AB30=1,IF($T30="IMM",$U30,ACC_ACCRUED),"")</f>
        <v/>
      </c>
      <c r="W30" s="43">
        <f>IF($AB30=1,$F30+$G30,"")</f>
        <v/>
      </c>
      <c r="X30" s="43">
        <f>IF($AB30=1,SUMIFS(Cash_Vouchers!$I:$I,Cash_Vouchers!$M:$M,$A30,Cash_Vouchers!$AM:$AM,1,Cash_Vouchers!$U:$U,"PAY"),"")</f>
        <v/>
      </c>
      <c r="Y30" s="43">
        <f>IF($AB30=1,IF($T30="CRD",$W30-$X30,0),"")</f>
        <v/>
      </c>
      <c r="Z30" s="44">
        <f>IF($AB30=1,IF($T30="IMM","مدفوع فورًا",IF($M30&lt;&gt;ST_POST,"غير مرحل",IF($Y30&lt;=S_Tol,"مدفوع بالكامل",IF($X30&gt;0,"مدفوع جزئيًا","غير مدفوع")))),"")</f>
        <v/>
      </c>
      <c r="AA30" s="33">
        <f>IF($AB30=1,IF($X30&gt;0,_xlfn.MAXIFS(Cash_Vouchers!$B:$B,Cash_Vouchers!$M:$M,$A30,Cash_Vouchers!$AM:$AM,1),""),"")</f>
        <v/>
      </c>
      <c r="AB30" s="32">
        <f>IF(COUNTA($A30:$S30)&gt;0,1,0)</f>
        <v/>
      </c>
      <c r="AC30" s="32">
        <f>IF($AB30=0,"",IF($A30="","رقم المستند ناقص",IF(COUNTIF(Doc_Register!$A:$A,$A30)&gt;1,"رقم مستند مكرر في السجل المركزي",IF(LEFT($A30,LEN("EXP")+1)&lt;&gt;"EXP"&amp;"-","بادئة الرقم لا تطابق نوع المستند",IF(NOT(ISNUMBER($B30)),"التاريخ ناقص أو غير صحيح",IF($M30="","حالة المستند ناقصة",IF($N30="","اسم المُعِد ناقص",IF(AND(OR($M30=ST_APPR,$M30=ST_POST),$O30=""),"لا يوجد معتمد",IF(AND($O30&lt;&gt;"",$O30=$N30),"المُعِد والمعتمد نفس الشخص (فصل المهام)",IF(AND($M30=ST_POST,$P30=""),"اسم المحاسب المرحِّل ناقص",IF(AND($M30=ST_POST,$P30&lt;&gt;"",OR($P30=$N30,$P30=$O30)),"المرحِّل يجب أن يختلف عن المُعِد والمعتمد",IF(AND($M30=ST_REV,$R30=""),"مرجع التصحيح/الإلغاء ناقص",IF(AND(ISNUMBER($B30),OR($M30=ST_DRAFT,$M30=ST_APPR),COUNTIFS(Period_Close!$A:$A,YEAR($B30)*100+MONTH($B30),Period_Close!$B:$B,"مقفلة")&gt;0),"الفترة مقفلة: لا يسمح بمستند جديد",IF(NOT(COUNTIF(Locations!$A:$A,$C30)&gt;0),"الفرع/الإدارة غير معرف",IF(NOT(COUNTIF(Cost_Centers!$A:$A,$D30)&gt;0),"مركز التكلفة غير معرف أو ناقص",IF(COUNTIFS(COA!$A:$A,$E30,COA!$J:$J,"نعم",COA!$R:$R,1)&lt;&gt;1,"حساب غير مسموح للمصروفات (الأصول الثابتة والمخزون لهما مسارات خاصة)",IF(NOT(N($F30)&gt;0),"المبلغ يجب أن يكون أكبر من صفر",IF($T30="?","نمط السداد غير معرف",IF(AND($T30="IMM",$I30=""),"الدفع الفوري يحتاج خزينة/بنك",IF(AND($T30="IMM",COUNTIFS(COA!$A:$A,$U30,COA!$R:$R,1)&lt;&gt;1),"الخزينة/البنك غير صالح",IF(AND($T30="IMM",$K30=""),"طريقة الدفع ناقصة",IF(AND(N($G30)&gt;0,S_VATOn&lt;&gt;"نعم"),"ضريبة المدخلات غير مفعلة في Tax_Settings",IF($J30="","المستفيد ناقص",IF(AND($T30="CRD",$X30&gt;$W30+S_Tol),"المسدَّد أكبر من المستحق",""))))))))))))))))))))))))</f>
        <v/>
      </c>
      <c r="AD30" s="32">
        <f>IF($AB30=1,IF($AC30&lt;&gt;"",1,0),0)</f>
        <v/>
      </c>
      <c r="AE30" s="32">
        <f>IF(AND($AB30=1,$AD30=0,$M30=ST_POST),1,0)</f>
        <v/>
      </c>
    </row>
    <row r="31">
      <c r="A31" s="29" t="n"/>
      <c r="B31" s="31" t="n"/>
      <c r="C31" s="39" t="n"/>
      <c r="D31" s="39" t="n"/>
      <c r="E31" s="39" t="n"/>
      <c r="F31" s="42" t="n"/>
      <c r="G31" s="42" t="n"/>
      <c r="H31" s="39" t="n"/>
      <c r="I31" s="39" t="n"/>
      <c r="J31" s="29" t="n"/>
      <c r="K31" s="29" t="n"/>
      <c r="L31" s="29" t="n"/>
      <c r="M31" s="39" t="n"/>
      <c r="N31" s="29" t="n"/>
      <c r="O31" s="29" t="n"/>
      <c r="P31" s="29" t="n"/>
      <c r="Q31" s="29" t="n"/>
      <c r="R31" s="29" t="n"/>
      <c r="S31" s="29" t="n"/>
      <c r="T31" s="32">
        <f>IF($AB31=1,IFERROR(INDEX(Lists!$O$5:$O$6,MATCH($H31,Lists!$N$5:$N$6,0)),"?"),"")</f>
        <v/>
      </c>
      <c r="U31" s="32">
        <f>IF(AND($AB31=1,$I31&lt;&gt;""),IFERROR(INDEX(Treasuries!$E:$E,MATCH($I31,Treasuries!$A:$A,0)),"؟"),"")</f>
        <v/>
      </c>
      <c r="V31" s="44">
        <f>IF($AB31=1,IF($T31="IMM",$U31,ACC_ACCRUED),"")</f>
        <v/>
      </c>
      <c r="W31" s="43">
        <f>IF($AB31=1,$F31+$G31,"")</f>
        <v/>
      </c>
      <c r="X31" s="43">
        <f>IF($AB31=1,SUMIFS(Cash_Vouchers!$I:$I,Cash_Vouchers!$M:$M,$A31,Cash_Vouchers!$AM:$AM,1,Cash_Vouchers!$U:$U,"PAY"),"")</f>
        <v/>
      </c>
      <c r="Y31" s="43">
        <f>IF($AB31=1,IF($T31="CRD",$W31-$X31,0),"")</f>
        <v/>
      </c>
      <c r="Z31" s="44">
        <f>IF($AB31=1,IF($T31="IMM","مدفوع فورًا",IF($M31&lt;&gt;ST_POST,"غير مرحل",IF($Y31&lt;=S_Tol,"مدفوع بالكامل",IF($X31&gt;0,"مدفوع جزئيًا","غير مدفوع")))),"")</f>
        <v/>
      </c>
      <c r="AA31" s="33">
        <f>IF($AB31=1,IF($X31&gt;0,_xlfn.MAXIFS(Cash_Vouchers!$B:$B,Cash_Vouchers!$M:$M,$A31,Cash_Vouchers!$AM:$AM,1),""),"")</f>
        <v/>
      </c>
      <c r="AB31" s="32">
        <f>IF(COUNTA($A31:$S31)&gt;0,1,0)</f>
        <v/>
      </c>
      <c r="AC31" s="32">
        <f>IF($AB31=0,"",IF($A31="","رقم المستند ناقص",IF(COUNTIF(Doc_Register!$A:$A,$A31)&gt;1,"رقم مستند مكرر في السجل المركزي",IF(LEFT($A31,LEN("EXP")+1)&lt;&gt;"EXP"&amp;"-","بادئة الرقم لا تطابق نوع المستند",IF(NOT(ISNUMBER($B31)),"التاريخ ناقص أو غير صحيح",IF($M31="","حالة المستند ناقصة",IF($N31="","اسم المُعِد ناقص",IF(AND(OR($M31=ST_APPR,$M31=ST_POST),$O31=""),"لا يوجد معتمد",IF(AND($O31&lt;&gt;"",$O31=$N31),"المُعِد والمعتمد نفس الشخص (فصل المهام)",IF(AND($M31=ST_POST,$P31=""),"اسم المحاسب المرحِّل ناقص",IF(AND($M31=ST_POST,$P31&lt;&gt;"",OR($P31=$N31,$P31=$O31)),"المرحِّل يجب أن يختلف عن المُعِد والمعتمد",IF(AND($M31=ST_REV,$R31=""),"مرجع التصحيح/الإلغاء ناقص",IF(AND(ISNUMBER($B31),OR($M31=ST_DRAFT,$M31=ST_APPR),COUNTIFS(Period_Close!$A:$A,YEAR($B31)*100+MONTH($B31),Period_Close!$B:$B,"مقفلة")&gt;0),"الفترة مقفلة: لا يسمح بمستند جديد",IF(NOT(COUNTIF(Locations!$A:$A,$C31)&gt;0),"الفرع/الإدارة غير معرف",IF(NOT(COUNTIF(Cost_Centers!$A:$A,$D31)&gt;0),"مركز التكلفة غير معرف أو ناقص",IF(COUNTIFS(COA!$A:$A,$E31,COA!$J:$J,"نعم",COA!$R:$R,1)&lt;&gt;1,"حساب غير مسموح للمصروفات (الأصول الثابتة والمخزون لهما مسارات خاصة)",IF(NOT(N($F31)&gt;0),"المبلغ يجب أن يكون أكبر من صفر",IF($T31="?","نمط السداد غير معرف",IF(AND($T31="IMM",$I31=""),"الدفع الفوري يحتاج خزينة/بنك",IF(AND($T31="IMM",COUNTIFS(COA!$A:$A,$U31,COA!$R:$R,1)&lt;&gt;1),"الخزينة/البنك غير صالح",IF(AND($T31="IMM",$K31=""),"طريقة الدفع ناقصة",IF(AND(N($G31)&gt;0,S_VATOn&lt;&gt;"نعم"),"ضريبة المدخلات غير مفعلة في Tax_Settings",IF($J31="","المستفيد ناقص",IF(AND($T31="CRD",$X31&gt;$W31+S_Tol),"المسدَّد أكبر من المستحق",""))))))))))))))))))))))))</f>
        <v/>
      </c>
      <c r="AD31" s="32">
        <f>IF($AB31=1,IF($AC31&lt;&gt;"",1,0),0)</f>
        <v/>
      </c>
      <c r="AE31" s="32">
        <f>IF(AND($AB31=1,$AD31=0,$M31=ST_POST),1,0)</f>
        <v/>
      </c>
    </row>
    <row r="32">
      <c r="A32" s="29" t="n"/>
      <c r="B32" s="31" t="n"/>
      <c r="C32" s="39" t="n"/>
      <c r="D32" s="39" t="n"/>
      <c r="E32" s="39" t="n"/>
      <c r="F32" s="42" t="n"/>
      <c r="G32" s="42" t="n"/>
      <c r="H32" s="39" t="n"/>
      <c r="I32" s="39" t="n"/>
      <c r="J32" s="29" t="n"/>
      <c r="K32" s="29" t="n"/>
      <c r="L32" s="29" t="n"/>
      <c r="M32" s="39" t="n"/>
      <c r="N32" s="29" t="n"/>
      <c r="O32" s="29" t="n"/>
      <c r="P32" s="29" t="n"/>
      <c r="Q32" s="29" t="n"/>
      <c r="R32" s="29" t="n"/>
      <c r="S32" s="29" t="n"/>
      <c r="T32" s="32">
        <f>IF($AB32=1,IFERROR(INDEX(Lists!$O$5:$O$6,MATCH($H32,Lists!$N$5:$N$6,0)),"?"),"")</f>
        <v/>
      </c>
      <c r="U32" s="32">
        <f>IF(AND($AB32=1,$I32&lt;&gt;""),IFERROR(INDEX(Treasuries!$E:$E,MATCH($I32,Treasuries!$A:$A,0)),"؟"),"")</f>
        <v/>
      </c>
      <c r="V32" s="44">
        <f>IF($AB32=1,IF($T32="IMM",$U32,ACC_ACCRUED),"")</f>
        <v/>
      </c>
      <c r="W32" s="43">
        <f>IF($AB32=1,$F32+$G32,"")</f>
        <v/>
      </c>
      <c r="X32" s="43">
        <f>IF($AB32=1,SUMIFS(Cash_Vouchers!$I:$I,Cash_Vouchers!$M:$M,$A32,Cash_Vouchers!$AM:$AM,1,Cash_Vouchers!$U:$U,"PAY"),"")</f>
        <v/>
      </c>
      <c r="Y32" s="43">
        <f>IF($AB32=1,IF($T32="CRD",$W32-$X32,0),"")</f>
        <v/>
      </c>
      <c r="Z32" s="44">
        <f>IF($AB32=1,IF($T32="IMM","مدفوع فورًا",IF($M32&lt;&gt;ST_POST,"غير مرحل",IF($Y32&lt;=S_Tol,"مدفوع بالكامل",IF($X32&gt;0,"مدفوع جزئيًا","غير مدفوع")))),"")</f>
        <v/>
      </c>
      <c r="AA32" s="33">
        <f>IF($AB32=1,IF($X32&gt;0,_xlfn.MAXIFS(Cash_Vouchers!$B:$B,Cash_Vouchers!$M:$M,$A32,Cash_Vouchers!$AM:$AM,1),""),"")</f>
        <v/>
      </c>
      <c r="AB32" s="32">
        <f>IF(COUNTA($A32:$S32)&gt;0,1,0)</f>
        <v/>
      </c>
      <c r="AC32" s="32">
        <f>IF($AB32=0,"",IF($A32="","رقم المستند ناقص",IF(COUNTIF(Doc_Register!$A:$A,$A32)&gt;1,"رقم مستند مكرر في السجل المركزي",IF(LEFT($A32,LEN("EXP")+1)&lt;&gt;"EXP"&amp;"-","بادئة الرقم لا تطابق نوع المستند",IF(NOT(ISNUMBER($B32)),"التاريخ ناقص أو غير صحيح",IF($M32="","حالة المستند ناقصة",IF($N32="","اسم المُعِد ناقص",IF(AND(OR($M32=ST_APPR,$M32=ST_POST),$O32=""),"لا يوجد معتمد",IF(AND($O32&lt;&gt;"",$O32=$N32),"المُعِد والمعتمد نفس الشخص (فصل المهام)",IF(AND($M32=ST_POST,$P32=""),"اسم المحاسب المرحِّل ناقص",IF(AND($M32=ST_POST,$P32&lt;&gt;"",OR($P32=$N32,$P32=$O32)),"المرحِّل يجب أن يختلف عن المُعِد والمعتمد",IF(AND($M32=ST_REV,$R32=""),"مرجع التصحيح/الإلغاء ناقص",IF(AND(ISNUMBER($B32),OR($M32=ST_DRAFT,$M32=ST_APPR),COUNTIFS(Period_Close!$A:$A,YEAR($B32)*100+MONTH($B32),Period_Close!$B:$B,"مقفلة")&gt;0),"الفترة مقفلة: لا يسمح بمستند جديد",IF(NOT(COUNTIF(Locations!$A:$A,$C32)&gt;0),"الفرع/الإدارة غير معرف",IF(NOT(COUNTIF(Cost_Centers!$A:$A,$D32)&gt;0),"مركز التكلفة غير معرف أو ناقص",IF(COUNTIFS(COA!$A:$A,$E32,COA!$J:$J,"نعم",COA!$R:$R,1)&lt;&gt;1,"حساب غير مسموح للمصروفات (الأصول الثابتة والمخزون لهما مسارات خاصة)",IF(NOT(N($F32)&gt;0),"المبلغ يجب أن يكون أكبر من صفر",IF($T32="?","نمط السداد غير معرف",IF(AND($T32="IMM",$I32=""),"الدفع الفوري يحتاج خزينة/بنك",IF(AND($T32="IMM",COUNTIFS(COA!$A:$A,$U32,COA!$R:$R,1)&lt;&gt;1),"الخزينة/البنك غير صالح",IF(AND($T32="IMM",$K32=""),"طريقة الدفع ناقصة",IF(AND(N($G32)&gt;0,S_VATOn&lt;&gt;"نعم"),"ضريبة المدخلات غير مفعلة في Tax_Settings",IF($J32="","المستفيد ناقص",IF(AND($T32="CRD",$X32&gt;$W32+S_Tol),"المسدَّد أكبر من المستحق",""))))))))))))))))))))))))</f>
        <v/>
      </c>
      <c r="AD32" s="32">
        <f>IF($AB32=1,IF($AC32&lt;&gt;"",1,0),0)</f>
        <v/>
      </c>
      <c r="AE32" s="32">
        <f>IF(AND($AB32=1,$AD32=0,$M32=ST_POST),1,0)</f>
        <v/>
      </c>
    </row>
    <row r="33">
      <c r="A33" s="29" t="n"/>
      <c r="B33" s="31" t="n"/>
      <c r="C33" s="39" t="n"/>
      <c r="D33" s="39" t="n"/>
      <c r="E33" s="39" t="n"/>
      <c r="F33" s="42" t="n"/>
      <c r="G33" s="42" t="n"/>
      <c r="H33" s="39" t="n"/>
      <c r="I33" s="39" t="n"/>
      <c r="J33" s="29" t="n"/>
      <c r="K33" s="29" t="n"/>
      <c r="L33" s="29" t="n"/>
      <c r="M33" s="39" t="n"/>
      <c r="N33" s="29" t="n"/>
      <c r="O33" s="29" t="n"/>
      <c r="P33" s="29" t="n"/>
      <c r="Q33" s="29" t="n"/>
      <c r="R33" s="29" t="n"/>
      <c r="S33" s="29" t="n"/>
      <c r="T33" s="32">
        <f>IF($AB33=1,IFERROR(INDEX(Lists!$O$5:$O$6,MATCH($H33,Lists!$N$5:$N$6,0)),"?"),"")</f>
        <v/>
      </c>
      <c r="U33" s="32">
        <f>IF(AND($AB33=1,$I33&lt;&gt;""),IFERROR(INDEX(Treasuries!$E:$E,MATCH($I33,Treasuries!$A:$A,0)),"؟"),"")</f>
        <v/>
      </c>
      <c r="V33" s="44">
        <f>IF($AB33=1,IF($T33="IMM",$U33,ACC_ACCRUED),"")</f>
        <v/>
      </c>
      <c r="W33" s="43">
        <f>IF($AB33=1,$F33+$G33,"")</f>
        <v/>
      </c>
      <c r="X33" s="43">
        <f>IF($AB33=1,SUMIFS(Cash_Vouchers!$I:$I,Cash_Vouchers!$M:$M,$A33,Cash_Vouchers!$AM:$AM,1,Cash_Vouchers!$U:$U,"PAY"),"")</f>
        <v/>
      </c>
      <c r="Y33" s="43">
        <f>IF($AB33=1,IF($T33="CRD",$W33-$X33,0),"")</f>
        <v/>
      </c>
      <c r="Z33" s="44">
        <f>IF($AB33=1,IF($T33="IMM","مدفوع فورًا",IF($M33&lt;&gt;ST_POST,"غير مرحل",IF($Y33&lt;=S_Tol,"مدفوع بالكامل",IF($X33&gt;0,"مدفوع جزئيًا","غير مدفوع")))),"")</f>
        <v/>
      </c>
      <c r="AA33" s="33">
        <f>IF($AB33=1,IF($X33&gt;0,_xlfn.MAXIFS(Cash_Vouchers!$B:$B,Cash_Vouchers!$M:$M,$A33,Cash_Vouchers!$AM:$AM,1),""),"")</f>
        <v/>
      </c>
      <c r="AB33" s="32">
        <f>IF(COUNTA($A33:$S33)&gt;0,1,0)</f>
        <v/>
      </c>
      <c r="AC33" s="32">
        <f>IF($AB33=0,"",IF($A33="","رقم المستند ناقص",IF(COUNTIF(Doc_Register!$A:$A,$A33)&gt;1,"رقم مستند مكرر في السجل المركزي",IF(LEFT($A33,LEN("EXP")+1)&lt;&gt;"EXP"&amp;"-","بادئة الرقم لا تطابق نوع المستند",IF(NOT(ISNUMBER($B33)),"التاريخ ناقص أو غير صحيح",IF($M33="","حالة المستند ناقصة",IF($N33="","اسم المُعِد ناقص",IF(AND(OR($M33=ST_APPR,$M33=ST_POST),$O33=""),"لا يوجد معتمد",IF(AND($O33&lt;&gt;"",$O33=$N33),"المُعِد والمعتمد نفس الشخص (فصل المهام)",IF(AND($M33=ST_POST,$P33=""),"اسم المحاسب المرحِّل ناقص",IF(AND($M33=ST_POST,$P33&lt;&gt;"",OR($P33=$N33,$P33=$O33)),"المرحِّل يجب أن يختلف عن المُعِد والمعتمد",IF(AND($M33=ST_REV,$R33=""),"مرجع التصحيح/الإلغاء ناقص",IF(AND(ISNUMBER($B33),OR($M33=ST_DRAFT,$M33=ST_APPR),COUNTIFS(Period_Close!$A:$A,YEAR($B33)*100+MONTH($B33),Period_Close!$B:$B,"مقفلة")&gt;0),"الفترة مقفلة: لا يسمح بمستند جديد",IF(NOT(COUNTIF(Locations!$A:$A,$C33)&gt;0),"الفرع/الإدارة غير معرف",IF(NOT(COUNTIF(Cost_Centers!$A:$A,$D33)&gt;0),"مركز التكلفة غير معرف أو ناقص",IF(COUNTIFS(COA!$A:$A,$E33,COA!$J:$J,"نعم",COA!$R:$R,1)&lt;&gt;1,"حساب غير مسموح للمصروفات (الأصول الثابتة والمخزون لهما مسارات خاصة)",IF(NOT(N($F33)&gt;0),"المبلغ يجب أن يكون أكبر من صفر",IF($T33="?","نمط السداد غير معرف",IF(AND($T33="IMM",$I33=""),"الدفع الفوري يحتاج خزينة/بنك",IF(AND($T33="IMM",COUNTIFS(COA!$A:$A,$U33,COA!$R:$R,1)&lt;&gt;1),"الخزينة/البنك غير صالح",IF(AND($T33="IMM",$K33=""),"طريقة الدفع ناقصة",IF(AND(N($G33)&gt;0,S_VATOn&lt;&gt;"نعم"),"ضريبة المدخلات غير مفعلة في Tax_Settings",IF($J33="","المستفيد ناقص",IF(AND($T33="CRD",$X33&gt;$W33+S_Tol),"المسدَّد أكبر من المستحق",""))))))))))))))))))))))))</f>
        <v/>
      </c>
      <c r="AD33" s="32">
        <f>IF($AB33=1,IF($AC33&lt;&gt;"",1,0),0)</f>
        <v/>
      </c>
      <c r="AE33" s="32">
        <f>IF(AND($AB33=1,$AD33=0,$M33=ST_POST),1,0)</f>
        <v/>
      </c>
    </row>
    <row r="34">
      <c r="A34" s="29" t="n"/>
      <c r="B34" s="31" t="n"/>
      <c r="C34" s="39" t="n"/>
      <c r="D34" s="39" t="n"/>
      <c r="E34" s="39" t="n"/>
      <c r="F34" s="42" t="n"/>
      <c r="G34" s="42" t="n"/>
      <c r="H34" s="39" t="n"/>
      <c r="I34" s="39" t="n"/>
      <c r="J34" s="29" t="n"/>
      <c r="K34" s="29" t="n"/>
      <c r="L34" s="29" t="n"/>
      <c r="M34" s="39" t="n"/>
      <c r="N34" s="29" t="n"/>
      <c r="O34" s="29" t="n"/>
      <c r="P34" s="29" t="n"/>
      <c r="Q34" s="29" t="n"/>
      <c r="R34" s="29" t="n"/>
      <c r="S34" s="29" t="n"/>
      <c r="T34" s="32">
        <f>IF($AB34=1,IFERROR(INDEX(Lists!$O$5:$O$6,MATCH($H34,Lists!$N$5:$N$6,0)),"?"),"")</f>
        <v/>
      </c>
      <c r="U34" s="32">
        <f>IF(AND($AB34=1,$I34&lt;&gt;""),IFERROR(INDEX(Treasuries!$E:$E,MATCH($I34,Treasuries!$A:$A,0)),"؟"),"")</f>
        <v/>
      </c>
      <c r="V34" s="44">
        <f>IF($AB34=1,IF($T34="IMM",$U34,ACC_ACCRUED),"")</f>
        <v/>
      </c>
      <c r="W34" s="43">
        <f>IF($AB34=1,$F34+$G34,"")</f>
        <v/>
      </c>
      <c r="X34" s="43">
        <f>IF($AB34=1,SUMIFS(Cash_Vouchers!$I:$I,Cash_Vouchers!$M:$M,$A34,Cash_Vouchers!$AM:$AM,1,Cash_Vouchers!$U:$U,"PAY"),"")</f>
        <v/>
      </c>
      <c r="Y34" s="43">
        <f>IF($AB34=1,IF($T34="CRD",$W34-$X34,0),"")</f>
        <v/>
      </c>
      <c r="Z34" s="44">
        <f>IF($AB34=1,IF($T34="IMM","مدفوع فورًا",IF($M34&lt;&gt;ST_POST,"غير مرحل",IF($Y34&lt;=S_Tol,"مدفوع بالكامل",IF($X34&gt;0,"مدفوع جزئيًا","غير مدفوع")))),"")</f>
        <v/>
      </c>
      <c r="AA34" s="33">
        <f>IF($AB34=1,IF($X34&gt;0,_xlfn.MAXIFS(Cash_Vouchers!$B:$B,Cash_Vouchers!$M:$M,$A34,Cash_Vouchers!$AM:$AM,1),""),"")</f>
        <v/>
      </c>
      <c r="AB34" s="32">
        <f>IF(COUNTA($A34:$S34)&gt;0,1,0)</f>
        <v/>
      </c>
      <c r="AC34" s="32">
        <f>IF($AB34=0,"",IF($A34="","رقم المستند ناقص",IF(COUNTIF(Doc_Register!$A:$A,$A34)&gt;1,"رقم مستند مكرر في السجل المركزي",IF(LEFT($A34,LEN("EXP")+1)&lt;&gt;"EXP"&amp;"-","بادئة الرقم لا تطابق نوع المستند",IF(NOT(ISNUMBER($B34)),"التاريخ ناقص أو غير صحيح",IF($M34="","حالة المستند ناقصة",IF($N34="","اسم المُعِد ناقص",IF(AND(OR($M34=ST_APPR,$M34=ST_POST),$O34=""),"لا يوجد معتمد",IF(AND($O34&lt;&gt;"",$O34=$N34),"المُعِد والمعتمد نفس الشخص (فصل المهام)",IF(AND($M34=ST_POST,$P34=""),"اسم المحاسب المرحِّل ناقص",IF(AND($M34=ST_POST,$P34&lt;&gt;"",OR($P34=$N34,$P34=$O34)),"المرحِّل يجب أن يختلف عن المُعِد والمعتمد",IF(AND($M34=ST_REV,$R34=""),"مرجع التصحيح/الإلغاء ناقص",IF(AND(ISNUMBER($B34),OR($M34=ST_DRAFT,$M34=ST_APPR),COUNTIFS(Period_Close!$A:$A,YEAR($B34)*100+MONTH($B34),Period_Close!$B:$B,"مقفلة")&gt;0),"الفترة مقفلة: لا يسمح بمستند جديد",IF(NOT(COUNTIF(Locations!$A:$A,$C34)&gt;0),"الفرع/الإدارة غير معرف",IF(NOT(COUNTIF(Cost_Centers!$A:$A,$D34)&gt;0),"مركز التكلفة غير معرف أو ناقص",IF(COUNTIFS(COA!$A:$A,$E34,COA!$J:$J,"نعم",COA!$R:$R,1)&lt;&gt;1,"حساب غير مسموح للمصروفات (الأصول الثابتة والمخزون لهما مسارات خاصة)",IF(NOT(N($F34)&gt;0),"المبلغ يجب أن يكون أكبر من صفر",IF($T34="?","نمط السداد غير معرف",IF(AND($T34="IMM",$I34=""),"الدفع الفوري يحتاج خزينة/بنك",IF(AND($T34="IMM",COUNTIFS(COA!$A:$A,$U34,COA!$R:$R,1)&lt;&gt;1),"الخزينة/البنك غير صالح",IF(AND($T34="IMM",$K34=""),"طريقة الدفع ناقصة",IF(AND(N($G34)&gt;0,S_VATOn&lt;&gt;"نعم"),"ضريبة المدخلات غير مفعلة في Tax_Settings",IF($J34="","المستفيد ناقص",IF(AND($T34="CRD",$X34&gt;$W34+S_Tol),"المسدَّد أكبر من المستحق",""))))))))))))))))))))))))</f>
        <v/>
      </c>
      <c r="AD34" s="32">
        <f>IF($AB34=1,IF($AC34&lt;&gt;"",1,0),0)</f>
        <v/>
      </c>
      <c r="AE34" s="32">
        <f>IF(AND($AB34=1,$AD34=0,$M34=ST_POST),1,0)</f>
        <v/>
      </c>
    </row>
    <row r="35">
      <c r="A35" s="29" t="n"/>
      <c r="B35" s="31" t="n"/>
      <c r="C35" s="39" t="n"/>
      <c r="D35" s="39" t="n"/>
      <c r="E35" s="39" t="n"/>
      <c r="F35" s="42" t="n"/>
      <c r="G35" s="42" t="n"/>
      <c r="H35" s="39" t="n"/>
      <c r="I35" s="39" t="n"/>
      <c r="J35" s="29" t="n"/>
      <c r="K35" s="29" t="n"/>
      <c r="L35" s="29" t="n"/>
      <c r="M35" s="39" t="n"/>
      <c r="N35" s="29" t="n"/>
      <c r="O35" s="29" t="n"/>
      <c r="P35" s="29" t="n"/>
      <c r="Q35" s="29" t="n"/>
      <c r="R35" s="29" t="n"/>
      <c r="S35" s="29" t="n"/>
      <c r="T35" s="32">
        <f>IF($AB35=1,IFERROR(INDEX(Lists!$O$5:$O$6,MATCH($H35,Lists!$N$5:$N$6,0)),"?"),"")</f>
        <v/>
      </c>
      <c r="U35" s="32">
        <f>IF(AND($AB35=1,$I35&lt;&gt;""),IFERROR(INDEX(Treasuries!$E:$E,MATCH($I35,Treasuries!$A:$A,0)),"؟"),"")</f>
        <v/>
      </c>
      <c r="V35" s="44">
        <f>IF($AB35=1,IF($T35="IMM",$U35,ACC_ACCRUED),"")</f>
        <v/>
      </c>
      <c r="W35" s="43">
        <f>IF($AB35=1,$F35+$G35,"")</f>
        <v/>
      </c>
      <c r="X35" s="43">
        <f>IF($AB35=1,SUMIFS(Cash_Vouchers!$I:$I,Cash_Vouchers!$M:$M,$A35,Cash_Vouchers!$AM:$AM,1,Cash_Vouchers!$U:$U,"PAY"),"")</f>
        <v/>
      </c>
      <c r="Y35" s="43">
        <f>IF($AB35=1,IF($T35="CRD",$W35-$X35,0),"")</f>
        <v/>
      </c>
      <c r="Z35" s="44">
        <f>IF($AB35=1,IF($T35="IMM","مدفوع فورًا",IF($M35&lt;&gt;ST_POST,"غير مرحل",IF($Y35&lt;=S_Tol,"مدفوع بالكامل",IF($X35&gt;0,"مدفوع جزئيًا","غير مدفوع")))),"")</f>
        <v/>
      </c>
      <c r="AA35" s="33">
        <f>IF($AB35=1,IF($X35&gt;0,_xlfn.MAXIFS(Cash_Vouchers!$B:$B,Cash_Vouchers!$M:$M,$A35,Cash_Vouchers!$AM:$AM,1),""),"")</f>
        <v/>
      </c>
      <c r="AB35" s="32">
        <f>IF(COUNTA($A35:$S35)&gt;0,1,0)</f>
        <v/>
      </c>
      <c r="AC35" s="32">
        <f>IF($AB35=0,"",IF($A35="","رقم المستند ناقص",IF(COUNTIF(Doc_Register!$A:$A,$A35)&gt;1,"رقم مستند مكرر في السجل المركزي",IF(LEFT($A35,LEN("EXP")+1)&lt;&gt;"EXP"&amp;"-","بادئة الرقم لا تطابق نوع المستند",IF(NOT(ISNUMBER($B35)),"التاريخ ناقص أو غير صحيح",IF($M35="","حالة المستند ناقصة",IF($N35="","اسم المُعِد ناقص",IF(AND(OR($M35=ST_APPR,$M35=ST_POST),$O35=""),"لا يوجد معتمد",IF(AND($O35&lt;&gt;"",$O35=$N35),"المُعِد والمعتمد نفس الشخص (فصل المهام)",IF(AND($M35=ST_POST,$P35=""),"اسم المحاسب المرحِّل ناقص",IF(AND($M35=ST_POST,$P35&lt;&gt;"",OR($P35=$N35,$P35=$O35)),"المرحِّل يجب أن يختلف عن المُعِد والمعتمد",IF(AND($M35=ST_REV,$R35=""),"مرجع التصحيح/الإلغاء ناقص",IF(AND(ISNUMBER($B35),OR($M35=ST_DRAFT,$M35=ST_APPR),COUNTIFS(Period_Close!$A:$A,YEAR($B35)*100+MONTH($B35),Period_Close!$B:$B,"مقفلة")&gt;0),"الفترة مقفلة: لا يسمح بمستند جديد",IF(NOT(COUNTIF(Locations!$A:$A,$C35)&gt;0),"الفرع/الإدارة غير معرف",IF(NOT(COUNTIF(Cost_Centers!$A:$A,$D35)&gt;0),"مركز التكلفة غير معرف أو ناقص",IF(COUNTIFS(COA!$A:$A,$E35,COA!$J:$J,"نعم",COA!$R:$R,1)&lt;&gt;1,"حساب غير مسموح للمصروفات (الأصول الثابتة والمخزون لهما مسارات خاصة)",IF(NOT(N($F35)&gt;0),"المبلغ يجب أن يكون أكبر من صفر",IF($T35="?","نمط السداد غير معرف",IF(AND($T35="IMM",$I35=""),"الدفع الفوري يحتاج خزينة/بنك",IF(AND($T35="IMM",COUNTIFS(COA!$A:$A,$U35,COA!$R:$R,1)&lt;&gt;1),"الخزينة/البنك غير صالح",IF(AND($T35="IMM",$K35=""),"طريقة الدفع ناقصة",IF(AND(N($G35)&gt;0,S_VATOn&lt;&gt;"نعم"),"ضريبة المدخلات غير مفعلة في Tax_Settings",IF($J35="","المستفيد ناقص",IF(AND($T35="CRD",$X35&gt;$W35+S_Tol),"المسدَّد أكبر من المستحق",""))))))))))))))))))))))))</f>
        <v/>
      </c>
      <c r="AD35" s="32">
        <f>IF($AB35=1,IF($AC35&lt;&gt;"",1,0),0)</f>
        <v/>
      </c>
      <c r="AE35" s="32">
        <f>IF(AND($AB35=1,$AD35=0,$M35=ST_POST),1,0)</f>
        <v/>
      </c>
    </row>
    <row r="36">
      <c r="A36" s="29" t="n"/>
      <c r="B36" s="31" t="n"/>
      <c r="C36" s="39" t="n"/>
      <c r="D36" s="39" t="n"/>
      <c r="E36" s="39" t="n"/>
      <c r="F36" s="42" t="n"/>
      <c r="G36" s="42" t="n"/>
      <c r="H36" s="39" t="n"/>
      <c r="I36" s="39" t="n"/>
      <c r="J36" s="29" t="n"/>
      <c r="K36" s="29" t="n"/>
      <c r="L36" s="29" t="n"/>
      <c r="M36" s="39" t="n"/>
      <c r="N36" s="29" t="n"/>
      <c r="O36" s="29" t="n"/>
      <c r="P36" s="29" t="n"/>
      <c r="Q36" s="29" t="n"/>
      <c r="R36" s="29" t="n"/>
      <c r="S36" s="29" t="n"/>
      <c r="T36" s="32">
        <f>IF($AB36=1,IFERROR(INDEX(Lists!$O$5:$O$6,MATCH($H36,Lists!$N$5:$N$6,0)),"?"),"")</f>
        <v/>
      </c>
      <c r="U36" s="32">
        <f>IF(AND($AB36=1,$I36&lt;&gt;""),IFERROR(INDEX(Treasuries!$E:$E,MATCH($I36,Treasuries!$A:$A,0)),"؟"),"")</f>
        <v/>
      </c>
      <c r="V36" s="44">
        <f>IF($AB36=1,IF($T36="IMM",$U36,ACC_ACCRUED),"")</f>
        <v/>
      </c>
      <c r="W36" s="43">
        <f>IF($AB36=1,$F36+$G36,"")</f>
        <v/>
      </c>
      <c r="X36" s="43">
        <f>IF($AB36=1,SUMIFS(Cash_Vouchers!$I:$I,Cash_Vouchers!$M:$M,$A36,Cash_Vouchers!$AM:$AM,1,Cash_Vouchers!$U:$U,"PAY"),"")</f>
        <v/>
      </c>
      <c r="Y36" s="43">
        <f>IF($AB36=1,IF($T36="CRD",$W36-$X36,0),"")</f>
        <v/>
      </c>
      <c r="Z36" s="44">
        <f>IF($AB36=1,IF($T36="IMM","مدفوع فورًا",IF($M36&lt;&gt;ST_POST,"غير مرحل",IF($Y36&lt;=S_Tol,"مدفوع بالكامل",IF($X36&gt;0,"مدفوع جزئيًا","غير مدفوع")))),"")</f>
        <v/>
      </c>
      <c r="AA36" s="33">
        <f>IF($AB36=1,IF($X36&gt;0,_xlfn.MAXIFS(Cash_Vouchers!$B:$B,Cash_Vouchers!$M:$M,$A36,Cash_Vouchers!$AM:$AM,1),""),"")</f>
        <v/>
      </c>
      <c r="AB36" s="32">
        <f>IF(COUNTA($A36:$S36)&gt;0,1,0)</f>
        <v/>
      </c>
      <c r="AC36" s="32">
        <f>IF($AB36=0,"",IF($A36="","رقم المستند ناقص",IF(COUNTIF(Doc_Register!$A:$A,$A36)&gt;1,"رقم مستند مكرر في السجل المركزي",IF(LEFT($A36,LEN("EXP")+1)&lt;&gt;"EXP"&amp;"-","بادئة الرقم لا تطابق نوع المستند",IF(NOT(ISNUMBER($B36)),"التاريخ ناقص أو غير صحيح",IF($M36="","حالة المستند ناقصة",IF($N36="","اسم المُعِد ناقص",IF(AND(OR($M36=ST_APPR,$M36=ST_POST),$O36=""),"لا يوجد معتمد",IF(AND($O36&lt;&gt;"",$O36=$N36),"المُعِد والمعتمد نفس الشخص (فصل المهام)",IF(AND($M36=ST_POST,$P36=""),"اسم المحاسب المرحِّل ناقص",IF(AND($M36=ST_POST,$P36&lt;&gt;"",OR($P36=$N36,$P36=$O36)),"المرحِّل يجب أن يختلف عن المُعِد والمعتمد",IF(AND($M36=ST_REV,$R36=""),"مرجع التصحيح/الإلغاء ناقص",IF(AND(ISNUMBER($B36),OR($M36=ST_DRAFT,$M36=ST_APPR),COUNTIFS(Period_Close!$A:$A,YEAR($B36)*100+MONTH($B36),Period_Close!$B:$B,"مقفلة")&gt;0),"الفترة مقفلة: لا يسمح بمستند جديد",IF(NOT(COUNTIF(Locations!$A:$A,$C36)&gt;0),"الفرع/الإدارة غير معرف",IF(NOT(COUNTIF(Cost_Centers!$A:$A,$D36)&gt;0),"مركز التكلفة غير معرف أو ناقص",IF(COUNTIFS(COA!$A:$A,$E36,COA!$J:$J,"نعم",COA!$R:$R,1)&lt;&gt;1,"حساب غير مسموح للمصروفات (الأصول الثابتة والمخزون لهما مسارات خاصة)",IF(NOT(N($F36)&gt;0),"المبلغ يجب أن يكون أكبر من صفر",IF($T36="?","نمط السداد غير معرف",IF(AND($T36="IMM",$I36=""),"الدفع الفوري يحتاج خزينة/بنك",IF(AND($T36="IMM",COUNTIFS(COA!$A:$A,$U36,COA!$R:$R,1)&lt;&gt;1),"الخزينة/البنك غير صالح",IF(AND($T36="IMM",$K36=""),"طريقة الدفع ناقصة",IF(AND(N($G36)&gt;0,S_VATOn&lt;&gt;"نعم"),"ضريبة المدخلات غير مفعلة في Tax_Settings",IF($J36="","المستفيد ناقص",IF(AND($T36="CRD",$X36&gt;$W36+S_Tol),"المسدَّد أكبر من المستحق",""))))))))))))))))))))))))</f>
        <v/>
      </c>
      <c r="AD36" s="32">
        <f>IF($AB36=1,IF($AC36&lt;&gt;"",1,0),0)</f>
        <v/>
      </c>
      <c r="AE36" s="32">
        <f>IF(AND($AB36=1,$AD36=0,$M36=ST_POST),1,0)</f>
        <v/>
      </c>
    </row>
    <row r="37">
      <c r="A37" s="29" t="n"/>
      <c r="B37" s="31" t="n"/>
      <c r="C37" s="39" t="n"/>
      <c r="D37" s="39" t="n"/>
      <c r="E37" s="39" t="n"/>
      <c r="F37" s="42" t="n"/>
      <c r="G37" s="42" t="n"/>
      <c r="H37" s="39" t="n"/>
      <c r="I37" s="39" t="n"/>
      <c r="J37" s="29" t="n"/>
      <c r="K37" s="29" t="n"/>
      <c r="L37" s="29" t="n"/>
      <c r="M37" s="39" t="n"/>
      <c r="N37" s="29" t="n"/>
      <c r="O37" s="29" t="n"/>
      <c r="P37" s="29" t="n"/>
      <c r="Q37" s="29" t="n"/>
      <c r="R37" s="29" t="n"/>
      <c r="S37" s="29" t="n"/>
      <c r="T37" s="32">
        <f>IF($AB37=1,IFERROR(INDEX(Lists!$O$5:$O$6,MATCH($H37,Lists!$N$5:$N$6,0)),"?"),"")</f>
        <v/>
      </c>
      <c r="U37" s="32">
        <f>IF(AND($AB37=1,$I37&lt;&gt;""),IFERROR(INDEX(Treasuries!$E:$E,MATCH($I37,Treasuries!$A:$A,0)),"؟"),"")</f>
        <v/>
      </c>
      <c r="V37" s="44">
        <f>IF($AB37=1,IF($T37="IMM",$U37,ACC_ACCRUED),"")</f>
        <v/>
      </c>
      <c r="W37" s="43">
        <f>IF($AB37=1,$F37+$G37,"")</f>
        <v/>
      </c>
      <c r="X37" s="43">
        <f>IF($AB37=1,SUMIFS(Cash_Vouchers!$I:$I,Cash_Vouchers!$M:$M,$A37,Cash_Vouchers!$AM:$AM,1,Cash_Vouchers!$U:$U,"PAY"),"")</f>
        <v/>
      </c>
      <c r="Y37" s="43">
        <f>IF($AB37=1,IF($T37="CRD",$W37-$X37,0),"")</f>
        <v/>
      </c>
      <c r="Z37" s="44">
        <f>IF($AB37=1,IF($T37="IMM","مدفوع فورًا",IF($M37&lt;&gt;ST_POST,"غير مرحل",IF($Y37&lt;=S_Tol,"مدفوع بالكامل",IF($X37&gt;0,"مدفوع جزئيًا","غير مدفوع")))),"")</f>
        <v/>
      </c>
      <c r="AA37" s="33">
        <f>IF($AB37=1,IF($X37&gt;0,_xlfn.MAXIFS(Cash_Vouchers!$B:$B,Cash_Vouchers!$M:$M,$A37,Cash_Vouchers!$AM:$AM,1),""),"")</f>
        <v/>
      </c>
      <c r="AB37" s="32">
        <f>IF(COUNTA($A37:$S37)&gt;0,1,0)</f>
        <v/>
      </c>
      <c r="AC37" s="32">
        <f>IF($AB37=0,"",IF($A37="","رقم المستند ناقص",IF(COUNTIF(Doc_Register!$A:$A,$A37)&gt;1,"رقم مستند مكرر في السجل المركزي",IF(LEFT($A37,LEN("EXP")+1)&lt;&gt;"EXP"&amp;"-","بادئة الرقم لا تطابق نوع المستند",IF(NOT(ISNUMBER($B37)),"التاريخ ناقص أو غير صحيح",IF($M37="","حالة المستند ناقصة",IF($N37="","اسم المُعِد ناقص",IF(AND(OR($M37=ST_APPR,$M37=ST_POST),$O37=""),"لا يوجد معتمد",IF(AND($O37&lt;&gt;"",$O37=$N37),"المُعِد والمعتمد نفس الشخص (فصل المهام)",IF(AND($M37=ST_POST,$P37=""),"اسم المحاسب المرحِّل ناقص",IF(AND($M37=ST_POST,$P37&lt;&gt;"",OR($P37=$N37,$P37=$O37)),"المرحِّل يجب أن يختلف عن المُعِد والمعتمد",IF(AND($M37=ST_REV,$R37=""),"مرجع التصحيح/الإلغاء ناقص",IF(AND(ISNUMBER($B37),OR($M37=ST_DRAFT,$M37=ST_APPR),COUNTIFS(Period_Close!$A:$A,YEAR($B37)*100+MONTH($B37),Period_Close!$B:$B,"مقفلة")&gt;0),"الفترة مقفلة: لا يسمح بمستند جديد",IF(NOT(COUNTIF(Locations!$A:$A,$C37)&gt;0),"الفرع/الإدارة غير معرف",IF(NOT(COUNTIF(Cost_Centers!$A:$A,$D37)&gt;0),"مركز التكلفة غير معرف أو ناقص",IF(COUNTIFS(COA!$A:$A,$E37,COA!$J:$J,"نعم",COA!$R:$R,1)&lt;&gt;1,"حساب غير مسموح للمصروفات (الأصول الثابتة والمخزون لهما مسارات خاصة)",IF(NOT(N($F37)&gt;0),"المبلغ يجب أن يكون أكبر من صفر",IF($T37="?","نمط السداد غير معرف",IF(AND($T37="IMM",$I37=""),"الدفع الفوري يحتاج خزينة/بنك",IF(AND($T37="IMM",COUNTIFS(COA!$A:$A,$U37,COA!$R:$R,1)&lt;&gt;1),"الخزينة/البنك غير صالح",IF(AND($T37="IMM",$K37=""),"طريقة الدفع ناقصة",IF(AND(N($G37)&gt;0,S_VATOn&lt;&gt;"نعم"),"ضريبة المدخلات غير مفعلة في Tax_Settings",IF($J37="","المستفيد ناقص",IF(AND($T37="CRD",$X37&gt;$W37+S_Tol),"المسدَّد أكبر من المستحق",""))))))))))))))))))))))))</f>
        <v/>
      </c>
      <c r="AD37" s="32">
        <f>IF($AB37=1,IF($AC37&lt;&gt;"",1,0),0)</f>
        <v/>
      </c>
      <c r="AE37" s="32">
        <f>IF(AND($AB37=1,$AD37=0,$M37=ST_POST),1,0)</f>
        <v/>
      </c>
    </row>
    <row r="38">
      <c r="A38" s="29" t="n"/>
      <c r="B38" s="31" t="n"/>
      <c r="C38" s="39" t="n"/>
      <c r="D38" s="39" t="n"/>
      <c r="E38" s="39" t="n"/>
      <c r="F38" s="42" t="n"/>
      <c r="G38" s="42" t="n"/>
      <c r="H38" s="39" t="n"/>
      <c r="I38" s="39" t="n"/>
      <c r="J38" s="29" t="n"/>
      <c r="K38" s="29" t="n"/>
      <c r="L38" s="29" t="n"/>
      <c r="M38" s="39" t="n"/>
      <c r="N38" s="29" t="n"/>
      <c r="O38" s="29" t="n"/>
      <c r="P38" s="29" t="n"/>
      <c r="Q38" s="29" t="n"/>
      <c r="R38" s="29" t="n"/>
      <c r="S38" s="29" t="n"/>
      <c r="T38" s="32">
        <f>IF($AB38=1,IFERROR(INDEX(Lists!$O$5:$O$6,MATCH($H38,Lists!$N$5:$N$6,0)),"?"),"")</f>
        <v/>
      </c>
      <c r="U38" s="32">
        <f>IF(AND($AB38=1,$I38&lt;&gt;""),IFERROR(INDEX(Treasuries!$E:$E,MATCH($I38,Treasuries!$A:$A,0)),"؟"),"")</f>
        <v/>
      </c>
      <c r="V38" s="44">
        <f>IF($AB38=1,IF($T38="IMM",$U38,ACC_ACCRUED),"")</f>
        <v/>
      </c>
      <c r="W38" s="43">
        <f>IF($AB38=1,$F38+$G38,"")</f>
        <v/>
      </c>
      <c r="X38" s="43">
        <f>IF($AB38=1,SUMIFS(Cash_Vouchers!$I:$I,Cash_Vouchers!$M:$M,$A38,Cash_Vouchers!$AM:$AM,1,Cash_Vouchers!$U:$U,"PAY"),"")</f>
        <v/>
      </c>
      <c r="Y38" s="43">
        <f>IF($AB38=1,IF($T38="CRD",$W38-$X38,0),"")</f>
        <v/>
      </c>
      <c r="Z38" s="44">
        <f>IF($AB38=1,IF($T38="IMM","مدفوع فورًا",IF($M38&lt;&gt;ST_POST,"غير مرحل",IF($Y38&lt;=S_Tol,"مدفوع بالكامل",IF($X38&gt;0,"مدفوع جزئيًا","غير مدفوع")))),"")</f>
        <v/>
      </c>
      <c r="AA38" s="33">
        <f>IF($AB38=1,IF($X38&gt;0,_xlfn.MAXIFS(Cash_Vouchers!$B:$B,Cash_Vouchers!$M:$M,$A38,Cash_Vouchers!$AM:$AM,1),""),"")</f>
        <v/>
      </c>
      <c r="AB38" s="32">
        <f>IF(COUNTA($A38:$S38)&gt;0,1,0)</f>
        <v/>
      </c>
      <c r="AC38" s="32">
        <f>IF($AB38=0,"",IF($A38="","رقم المستند ناقص",IF(COUNTIF(Doc_Register!$A:$A,$A38)&gt;1,"رقم مستند مكرر في السجل المركزي",IF(LEFT($A38,LEN("EXP")+1)&lt;&gt;"EXP"&amp;"-","بادئة الرقم لا تطابق نوع المستند",IF(NOT(ISNUMBER($B38)),"التاريخ ناقص أو غير صحيح",IF($M38="","حالة المستند ناقصة",IF($N38="","اسم المُعِد ناقص",IF(AND(OR($M38=ST_APPR,$M38=ST_POST),$O38=""),"لا يوجد معتمد",IF(AND($O38&lt;&gt;"",$O38=$N38),"المُعِد والمعتمد نفس الشخص (فصل المهام)",IF(AND($M38=ST_POST,$P38=""),"اسم المحاسب المرحِّل ناقص",IF(AND($M38=ST_POST,$P38&lt;&gt;"",OR($P38=$N38,$P38=$O38)),"المرحِّل يجب أن يختلف عن المُعِد والمعتمد",IF(AND($M38=ST_REV,$R38=""),"مرجع التصحيح/الإلغاء ناقص",IF(AND(ISNUMBER($B38),OR($M38=ST_DRAFT,$M38=ST_APPR),COUNTIFS(Period_Close!$A:$A,YEAR($B38)*100+MONTH($B38),Period_Close!$B:$B,"مقفلة")&gt;0),"الفترة مقفلة: لا يسمح بمستند جديد",IF(NOT(COUNTIF(Locations!$A:$A,$C38)&gt;0),"الفرع/الإدارة غير معرف",IF(NOT(COUNTIF(Cost_Centers!$A:$A,$D38)&gt;0),"مركز التكلفة غير معرف أو ناقص",IF(COUNTIFS(COA!$A:$A,$E38,COA!$J:$J,"نعم",COA!$R:$R,1)&lt;&gt;1,"حساب غير مسموح للمصروفات (الأصول الثابتة والمخزون لهما مسارات خاصة)",IF(NOT(N($F38)&gt;0),"المبلغ يجب أن يكون أكبر من صفر",IF($T38="?","نمط السداد غير معرف",IF(AND($T38="IMM",$I38=""),"الدفع الفوري يحتاج خزينة/بنك",IF(AND($T38="IMM",COUNTIFS(COA!$A:$A,$U38,COA!$R:$R,1)&lt;&gt;1),"الخزينة/البنك غير صالح",IF(AND($T38="IMM",$K38=""),"طريقة الدفع ناقصة",IF(AND(N($G38)&gt;0,S_VATOn&lt;&gt;"نعم"),"ضريبة المدخلات غير مفعلة في Tax_Settings",IF($J38="","المستفيد ناقص",IF(AND($T38="CRD",$X38&gt;$W38+S_Tol),"المسدَّد أكبر من المستحق",""))))))))))))))))))))))))</f>
        <v/>
      </c>
      <c r="AD38" s="32">
        <f>IF($AB38=1,IF($AC38&lt;&gt;"",1,0),0)</f>
        <v/>
      </c>
      <c r="AE38" s="32">
        <f>IF(AND($AB38=1,$AD38=0,$M38=ST_POST),1,0)</f>
        <v/>
      </c>
    </row>
    <row r="39">
      <c r="A39" s="29" t="n"/>
      <c r="B39" s="31" t="n"/>
      <c r="C39" s="39" t="n"/>
      <c r="D39" s="39" t="n"/>
      <c r="E39" s="39" t="n"/>
      <c r="F39" s="42" t="n"/>
      <c r="G39" s="42" t="n"/>
      <c r="H39" s="39" t="n"/>
      <c r="I39" s="39" t="n"/>
      <c r="J39" s="29" t="n"/>
      <c r="K39" s="29" t="n"/>
      <c r="L39" s="29" t="n"/>
      <c r="M39" s="39" t="n"/>
      <c r="N39" s="29" t="n"/>
      <c r="O39" s="29" t="n"/>
      <c r="P39" s="29" t="n"/>
      <c r="Q39" s="29" t="n"/>
      <c r="R39" s="29" t="n"/>
      <c r="S39" s="29" t="n"/>
      <c r="T39" s="32">
        <f>IF($AB39=1,IFERROR(INDEX(Lists!$O$5:$O$6,MATCH($H39,Lists!$N$5:$N$6,0)),"?"),"")</f>
        <v/>
      </c>
      <c r="U39" s="32">
        <f>IF(AND($AB39=1,$I39&lt;&gt;""),IFERROR(INDEX(Treasuries!$E:$E,MATCH($I39,Treasuries!$A:$A,0)),"؟"),"")</f>
        <v/>
      </c>
      <c r="V39" s="44">
        <f>IF($AB39=1,IF($T39="IMM",$U39,ACC_ACCRUED),"")</f>
        <v/>
      </c>
      <c r="W39" s="43">
        <f>IF($AB39=1,$F39+$G39,"")</f>
        <v/>
      </c>
      <c r="X39" s="43">
        <f>IF($AB39=1,SUMIFS(Cash_Vouchers!$I:$I,Cash_Vouchers!$M:$M,$A39,Cash_Vouchers!$AM:$AM,1,Cash_Vouchers!$U:$U,"PAY"),"")</f>
        <v/>
      </c>
      <c r="Y39" s="43">
        <f>IF($AB39=1,IF($T39="CRD",$W39-$X39,0),"")</f>
        <v/>
      </c>
      <c r="Z39" s="44">
        <f>IF($AB39=1,IF($T39="IMM","مدفوع فورًا",IF($M39&lt;&gt;ST_POST,"غير مرحل",IF($Y39&lt;=S_Tol,"مدفوع بالكامل",IF($X39&gt;0,"مدفوع جزئيًا","غير مدفوع")))),"")</f>
        <v/>
      </c>
      <c r="AA39" s="33">
        <f>IF($AB39=1,IF($X39&gt;0,_xlfn.MAXIFS(Cash_Vouchers!$B:$B,Cash_Vouchers!$M:$M,$A39,Cash_Vouchers!$AM:$AM,1),""),"")</f>
        <v/>
      </c>
      <c r="AB39" s="32">
        <f>IF(COUNTA($A39:$S39)&gt;0,1,0)</f>
        <v/>
      </c>
      <c r="AC39" s="32">
        <f>IF($AB39=0,"",IF($A39="","رقم المستند ناقص",IF(COUNTIF(Doc_Register!$A:$A,$A39)&gt;1,"رقم مستند مكرر في السجل المركزي",IF(LEFT($A39,LEN("EXP")+1)&lt;&gt;"EXP"&amp;"-","بادئة الرقم لا تطابق نوع المستند",IF(NOT(ISNUMBER($B39)),"التاريخ ناقص أو غير صحيح",IF($M39="","حالة المستند ناقصة",IF($N39="","اسم المُعِد ناقص",IF(AND(OR($M39=ST_APPR,$M39=ST_POST),$O39=""),"لا يوجد معتمد",IF(AND($O39&lt;&gt;"",$O39=$N39),"المُعِد والمعتمد نفس الشخص (فصل المهام)",IF(AND($M39=ST_POST,$P39=""),"اسم المحاسب المرحِّل ناقص",IF(AND($M39=ST_POST,$P39&lt;&gt;"",OR($P39=$N39,$P39=$O39)),"المرحِّل يجب أن يختلف عن المُعِد والمعتمد",IF(AND($M39=ST_REV,$R39=""),"مرجع التصحيح/الإلغاء ناقص",IF(AND(ISNUMBER($B39),OR($M39=ST_DRAFT,$M39=ST_APPR),COUNTIFS(Period_Close!$A:$A,YEAR($B39)*100+MONTH($B39),Period_Close!$B:$B,"مقفلة")&gt;0),"الفترة مقفلة: لا يسمح بمستند جديد",IF(NOT(COUNTIF(Locations!$A:$A,$C39)&gt;0),"الفرع/الإدارة غير معرف",IF(NOT(COUNTIF(Cost_Centers!$A:$A,$D39)&gt;0),"مركز التكلفة غير معرف أو ناقص",IF(COUNTIFS(COA!$A:$A,$E39,COA!$J:$J,"نعم",COA!$R:$R,1)&lt;&gt;1,"حساب غير مسموح للمصروفات (الأصول الثابتة والمخزون لهما مسارات خاصة)",IF(NOT(N($F39)&gt;0),"المبلغ يجب أن يكون أكبر من صفر",IF($T39="?","نمط السداد غير معرف",IF(AND($T39="IMM",$I39=""),"الدفع الفوري يحتاج خزينة/بنك",IF(AND($T39="IMM",COUNTIFS(COA!$A:$A,$U39,COA!$R:$R,1)&lt;&gt;1),"الخزينة/البنك غير صالح",IF(AND($T39="IMM",$K39=""),"طريقة الدفع ناقصة",IF(AND(N($G39)&gt;0,S_VATOn&lt;&gt;"نعم"),"ضريبة المدخلات غير مفعلة في Tax_Settings",IF($J39="","المستفيد ناقص",IF(AND($T39="CRD",$X39&gt;$W39+S_Tol),"المسدَّد أكبر من المستحق",""))))))))))))))))))))))))</f>
        <v/>
      </c>
      <c r="AD39" s="32">
        <f>IF($AB39=1,IF($AC39&lt;&gt;"",1,0),0)</f>
        <v/>
      </c>
      <c r="AE39" s="32">
        <f>IF(AND($AB39=1,$AD39=0,$M39=ST_POST),1,0)</f>
        <v/>
      </c>
    </row>
    <row r="40">
      <c r="A40" s="29" t="n"/>
      <c r="B40" s="31" t="n"/>
      <c r="C40" s="39" t="n"/>
      <c r="D40" s="39" t="n"/>
      <c r="E40" s="39" t="n"/>
      <c r="F40" s="42" t="n"/>
      <c r="G40" s="42" t="n"/>
      <c r="H40" s="39" t="n"/>
      <c r="I40" s="39" t="n"/>
      <c r="J40" s="29" t="n"/>
      <c r="K40" s="29" t="n"/>
      <c r="L40" s="29" t="n"/>
      <c r="M40" s="39" t="n"/>
      <c r="N40" s="29" t="n"/>
      <c r="O40" s="29" t="n"/>
      <c r="P40" s="29" t="n"/>
      <c r="Q40" s="29" t="n"/>
      <c r="R40" s="29" t="n"/>
      <c r="S40" s="29" t="n"/>
      <c r="T40" s="32">
        <f>IF($AB40=1,IFERROR(INDEX(Lists!$O$5:$O$6,MATCH($H40,Lists!$N$5:$N$6,0)),"?"),"")</f>
        <v/>
      </c>
      <c r="U40" s="32">
        <f>IF(AND($AB40=1,$I40&lt;&gt;""),IFERROR(INDEX(Treasuries!$E:$E,MATCH($I40,Treasuries!$A:$A,0)),"؟"),"")</f>
        <v/>
      </c>
      <c r="V40" s="44">
        <f>IF($AB40=1,IF($T40="IMM",$U40,ACC_ACCRUED),"")</f>
        <v/>
      </c>
      <c r="W40" s="43">
        <f>IF($AB40=1,$F40+$G40,"")</f>
        <v/>
      </c>
      <c r="X40" s="43">
        <f>IF($AB40=1,SUMIFS(Cash_Vouchers!$I:$I,Cash_Vouchers!$M:$M,$A40,Cash_Vouchers!$AM:$AM,1,Cash_Vouchers!$U:$U,"PAY"),"")</f>
        <v/>
      </c>
      <c r="Y40" s="43">
        <f>IF($AB40=1,IF($T40="CRD",$W40-$X40,0),"")</f>
        <v/>
      </c>
      <c r="Z40" s="44">
        <f>IF($AB40=1,IF($T40="IMM","مدفوع فورًا",IF($M40&lt;&gt;ST_POST,"غير مرحل",IF($Y40&lt;=S_Tol,"مدفوع بالكامل",IF($X40&gt;0,"مدفوع جزئيًا","غير مدفوع")))),"")</f>
        <v/>
      </c>
      <c r="AA40" s="33">
        <f>IF($AB40=1,IF($X40&gt;0,_xlfn.MAXIFS(Cash_Vouchers!$B:$B,Cash_Vouchers!$M:$M,$A40,Cash_Vouchers!$AM:$AM,1),""),"")</f>
        <v/>
      </c>
      <c r="AB40" s="32">
        <f>IF(COUNTA($A40:$S40)&gt;0,1,0)</f>
        <v/>
      </c>
      <c r="AC40" s="32">
        <f>IF($AB40=0,"",IF($A40="","رقم المستند ناقص",IF(COUNTIF(Doc_Register!$A:$A,$A40)&gt;1,"رقم مستند مكرر في السجل المركزي",IF(LEFT($A40,LEN("EXP")+1)&lt;&gt;"EXP"&amp;"-","بادئة الرقم لا تطابق نوع المستند",IF(NOT(ISNUMBER($B40)),"التاريخ ناقص أو غير صحيح",IF($M40="","حالة المستند ناقصة",IF($N40="","اسم المُعِد ناقص",IF(AND(OR($M40=ST_APPR,$M40=ST_POST),$O40=""),"لا يوجد معتمد",IF(AND($O40&lt;&gt;"",$O40=$N40),"المُعِد والمعتمد نفس الشخص (فصل المهام)",IF(AND($M40=ST_POST,$P40=""),"اسم المحاسب المرحِّل ناقص",IF(AND($M40=ST_POST,$P40&lt;&gt;"",OR($P40=$N40,$P40=$O40)),"المرحِّل يجب أن يختلف عن المُعِد والمعتمد",IF(AND($M40=ST_REV,$R40=""),"مرجع التصحيح/الإلغاء ناقص",IF(AND(ISNUMBER($B40),OR($M40=ST_DRAFT,$M40=ST_APPR),COUNTIFS(Period_Close!$A:$A,YEAR($B40)*100+MONTH($B40),Period_Close!$B:$B,"مقفلة")&gt;0),"الفترة مقفلة: لا يسمح بمستند جديد",IF(NOT(COUNTIF(Locations!$A:$A,$C40)&gt;0),"الفرع/الإدارة غير معرف",IF(NOT(COUNTIF(Cost_Centers!$A:$A,$D40)&gt;0),"مركز التكلفة غير معرف أو ناقص",IF(COUNTIFS(COA!$A:$A,$E40,COA!$J:$J,"نعم",COA!$R:$R,1)&lt;&gt;1,"حساب غير مسموح للمصروفات (الأصول الثابتة والمخزون لهما مسارات خاصة)",IF(NOT(N($F40)&gt;0),"المبلغ يجب أن يكون أكبر من صفر",IF($T40="?","نمط السداد غير معرف",IF(AND($T40="IMM",$I40=""),"الدفع الفوري يحتاج خزينة/بنك",IF(AND($T40="IMM",COUNTIFS(COA!$A:$A,$U40,COA!$R:$R,1)&lt;&gt;1),"الخزينة/البنك غير صالح",IF(AND($T40="IMM",$K40=""),"طريقة الدفع ناقصة",IF(AND(N($G40)&gt;0,S_VATOn&lt;&gt;"نعم"),"ضريبة المدخلات غير مفعلة في Tax_Settings",IF($J40="","المستفيد ناقص",IF(AND($T40="CRD",$X40&gt;$W40+S_Tol),"المسدَّد أكبر من المستحق",""))))))))))))))))))))))))</f>
        <v/>
      </c>
      <c r="AD40" s="32">
        <f>IF($AB40=1,IF($AC40&lt;&gt;"",1,0),0)</f>
        <v/>
      </c>
      <c r="AE40" s="32">
        <f>IF(AND($AB40=1,$AD40=0,$M40=ST_POST),1,0)</f>
        <v/>
      </c>
    </row>
    <row r="41">
      <c r="A41" s="29" t="n"/>
      <c r="B41" s="31" t="n"/>
      <c r="C41" s="39" t="n"/>
      <c r="D41" s="39" t="n"/>
      <c r="E41" s="39" t="n"/>
      <c r="F41" s="42" t="n"/>
      <c r="G41" s="42" t="n"/>
      <c r="H41" s="39" t="n"/>
      <c r="I41" s="39" t="n"/>
      <c r="J41" s="29" t="n"/>
      <c r="K41" s="29" t="n"/>
      <c r="L41" s="29" t="n"/>
      <c r="M41" s="39" t="n"/>
      <c r="N41" s="29" t="n"/>
      <c r="O41" s="29" t="n"/>
      <c r="P41" s="29" t="n"/>
      <c r="Q41" s="29" t="n"/>
      <c r="R41" s="29" t="n"/>
      <c r="S41" s="29" t="n"/>
      <c r="T41" s="32">
        <f>IF($AB41=1,IFERROR(INDEX(Lists!$O$5:$O$6,MATCH($H41,Lists!$N$5:$N$6,0)),"?"),"")</f>
        <v/>
      </c>
      <c r="U41" s="32">
        <f>IF(AND($AB41=1,$I41&lt;&gt;""),IFERROR(INDEX(Treasuries!$E:$E,MATCH($I41,Treasuries!$A:$A,0)),"؟"),"")</f>
        <v/>
      </c>
      <c r="V41" s="44">
        <f>IF($AB41=1,IF($T41="IMM",$U41,ACC_ACCRUED),"")</f>
        <v/>
      </c>
      <c r="W41" s="43">
        <f>IF($AB41=1,$F41+$G41,"")</f>
        <v/>
      </c>
      <c r="X41" s="43">
        <f>IF($AB41=1,SUMIFS(Cash_Vouchers!$I:$I,Cash_Vouchers!$M:$M,$A41,Cash_Vouchers!$AM:$AM,1,Cash_Vouchers!$U:$U,"PAY"),"")</f>
        <v/>
      </c>
      <c r="Y41" s="43">
        <f>IF($AB41=1,IF($T41="CRD",$W41-$X41,0),"")</f>
        <v/>
      </c>
      <c r="Z41" s="44">
        <f>IF($AB41=1,IF($T41="IMM","مدفوع فورًا",IF($M41&lt;&gt;ST_POST,"غير مرحل",IF($Y41&lt;=S_Tol,"مدفوع بالكامل",IF($X41&gt;0,"مدفوع جزئيًا","غير مدفوع")))),"")</f>
        <v/>
      </c>
      <c r="AA41" s="33">
        <f>IF($AB41=1,IF($X41&gt;0,_xlfn.MAXIFS(Cash_Vouchers!$B:$B,Cash_Vouchers!$M:$M,$A41,Cash_Vouchers!$AM:$AM,1),""),"")</f>
        <v/>
      </c>
      <c r="AB41" s="32">
        <f>IF(COUNTA($A41:$S41)&gt;0,1,0)</f>
        <v/>
      </c>
      <c r="AC41" s="32">
        <f>IF($AB41=0,"",IF($A41="","رقم المستند ناقص",IF(COUNTIF(Doc_Register!$A:$A,$A41)&gt;1,"رقم مستند مكرر في السجل المركزي",IF(LEFT($A41,LEN("EXP")+1)&lt;&gt;"EXP"&amp;"-","بادئة الرقم لا تطابق نوع المستند",IF(NOT(ISNUMBER($B41)),"التاريخ ناقص أو غير صحيح",IF($M41="","حالة المستند ناقصة",IF($N41="","اسم المُعِد ناقص",IF(AND(OR($M41=ST_APPR,$M41=ST_POST),$O41=""),"لا يوجد معتمد",IF(AND($O41&lt;&gt;"",$O41=$N41),"المُعِد والمعتمد نفس الشخص (فصل المهام)",IF(AND($M41=ST_POST,$P41=""),"اسم المحاسب المرحِّل ناقص",IF(AND($M41=ST_POST,$P41&lt;&gt;"",OR($P41=$N41,$P41=$O41)),"المرحِّل يجب أن يختلف عن المُعِد والمعتمد",IF(AND($M41=ST_REV,$R41=""),"مرجع التصحيح/الإلغاء ناقص",IF(AND(ISNUMBER($B41),OR($M41=ST_DRAFT,$M41=ST_APPR),COUNTIFS(Period_Close!$A:$A,YEAR($B41)*100+MONTH($B41),Period_Close!$B:$B,"مقفلة")&gt;0),"الفترة مقفلة: لا يسمح بمستند جديد",IF(NOT(COUNTIF(Locations!$A:$A,$C41)&gt;0),"الفرع/الإدارة غير معرف",IF(NOT(COUNTIF(Cost_Centers!$A:$A,$D41)&gt;0),"مركز التكلفة غير معرف أو ناقص",IF(COUNTIFS(COA!$A:$A,$E41,COA!$J:$J,"نعم",COA!$R:$R,1)&lt;&gt;1,"حساب غير مسموح للمصروفات (الأصول الثابتة والمخزون لهما مسارات خاصة)",IF(NOT(N($F41)&gt;0),"المبلغ يجب أن يكون أكبر من صفر",IF($T41="?","نمط السداد غير معرف",IF(AND($T41="IMM",$I41=""),"الدفع الفوري يحتاج خزينة/بنك",IF(AND($T41="IMM",COUNTIFS(COA!$A:$A,$U41,COA!$R:$R,1)&lt;&gt;1),"الخزينة/البنك غير صالح",IF(AND($T41="IMM",$K41=""),"طريقة الدفع ناقصة",IF(AND(N($G41)&gt;0,S_VATOn&lt;&gt;"نعم"),"ضريبة المدخلات غير مفعلة في Tax_Settings",IF($J41="","المستفيد ناقص",IF(AND($T41="CRD",$X41&gt;$W41+S_Tol),"المسدَّد أكبر من المستحق",""))))))))))))))))))))))))</f>
        <v/>
      </c>
      <c r="AD41" s="32">
        <f>IF($AB41=1,IF($AC41&lt;&gt;"",1,0),0)</f>
        <v/>
      </c>
      <c r="AE41" s="32">
        <f>IF(AND($AB41=1,$AD41=0,$M41=ST_POST),1,0)</f>
        <v/>
      </c>
    </row>
    <row r="42">
      <c r="A42" s="29" t="n"/>
      <c r="B42" s="31" t="n"/>
      <c r="C42" s="39" t="n"/>
      <c r="D42" s="39" t="n"/>
      <c r="E42" s="39" t="n"/>
      <c r="F42" s="42" t="n"/>
      <c r="G42" s="42" t="n"/>
      <c r="H42" s="39" t="n"/>
      <c r="I42" s="39" t="n"/>
      <c r="J42" s="29" t="n"/>
      <c r="K42" s="29" t="n"/>
      <c r="L42" s="29" t="n"/>
      <c r="M42" s="39" t="n"/>
      <c r="N42" s="29" t="n"/>
      <c r="O42" s="29" t="n"/>
      <c r="P42" s="29" t="n"/>
      <c r="Q42" s="29" t="n"/>
      <c r="R42" s="29" t="n"/>
      <c r="S42" s="29" t="n"/>
      <c r="T42" s="32">
        <f>IF($AB42=1,IFERROR(INDEX(Lists!$O$5:$O$6,MATCH($H42,Lists!$N$5:$N$6,0)),"?"),"")</f>
        <v/>
      </c>
      <c r="U42" s="32">
        <f>IF(AND($AB42=1,$I42&lt;&gt;""),IFERROR(INDEX(Treasuries!$E:$E,MATCH($I42,Treasuries!$A:$A,0)),"؟"),"")</f>
        <v/>
      </c>
      <c r="V42" s="44">
        <f>IF($AB42=1,IF($T42="IMM",$U42,ACC_ACCRUED),"")</f>
        <v/>
      </c>
      <c r="W42" s="43">
        <f>IF($AB42=1,$F42+$G42,"")</f>
        <v/>
      </c>
      <c r="X42" s="43">
        <f>IF($AB42=1,SUMIFS(Cash_Vouchers!$I:$I,Cash_Vouchers!$M:$M,$A42,Cash_Vouchers!$AM:$AM,1,Cash_Vouchers!$U:$U,"PAY"),"")</f>
        <v/>
      </c>
      <c r="Y42" s="43">
        <f>IF($AB42=1,IF($T42="CRD",$W42-$X42,0),"")</f>
        <v/>
      </c>
      <c r="Z42" s="44">
        <f>IF($AB42=1,IF($T42="IMM","مدفوع فورًا",IF($M42&lt;&gt;ST_POST,"غير مرحل",IF($Y42&lt;=S_Tol,"مدفوع بالكامل",IF($X42&gt;0,"مدفوع جزئيًا","غير مدفوع")))),"")</f>
        <v/>
      </c>
      <c r="AA42" s="33">
        <f>IF($AB42=1,IF($X42&gt;0,_xlfn.MAXIFS(Cash_Vouchers!$B:$B,Cash_Vouchers!$M:$M,$A42,Cash_Vouchers!$AM:$AM,1),""),"")</f>
        <v/>
      </c>
      <c r="AB42" s="32">
        <f>IF(COUNTA($A42:$S42)&gt;0,1,0)</f>
        <v/>
      </c>
      <c r="AC42" s="32">
        <f>IF($AB42=0,"",IF($A42="","رقم المستند ناقص",IF(COUNTIF(Doc_Register!$A:$A,$A42)&gt;1,"رقم مستند مكرر في السجل المركزي",IF(LEFT($A42,LEN("EXP")+1)&lt;&gt;"EXP"&amp;"-","بادئة الرقم لا تطابق نوع المستند",IF(NOT(ISNUMBER($B42)),"التاريخ ناقص أو غير صحيح",IF($M42="","حالة المستند ناقصة",IF($N42="","اسم المُعِد ناقص",IF(AND(OR($M42=ST_APPR,$M42=ST_POST),$O42=""),"لا يوجد معتمد",IF(AND($O42&lt;&gt;"",$O42=$N42),"المُعِد والمعتمد نفس الشخص (فصل المهام)",IF(AND($M42=ST_POST,$P42=""),"اسم المحاسب المرحِّل ناقص",IF(AND($M42=ST_POST,$P42&lt;&gt;"",OR($P42=$N42,$P42=$O42)),"المرحِّل يجب أن يختلف عن المُعِد والمعتمد",IF(AND($M42=ST_REV,$R42=""),"مرجع التصحيح/الإلغاء ناقص",IF(AND(ISNUMBER($B42),OR($M42=ST_DRAFT,$M42=ST_APPR),COUNTIFS(Period_Close!$A:$A,YEAR($B42)*100+MONTH($B42),Period_Close!$B:$B,"مقفلة")&gt;0),"الفترة مقفلة: لا يسمح بمستند جديد",IF(NOT(COUNTIF(Locations!$A:$A,$C42)&gt;0),"الفرع/الإدارة غير معرف",IF(NOT(COUNTIF(Cost_Centers!$A:$A,$D42)&gt;0),"مركز التكلفة غير معرف أو ناقص",IF(COUNTIFS(COA!$A:$A,$E42,COA!$J:$J,"نعم",COA!$R:$R,1)&lt;&gt;1,"حساب غير مسموح للمصروفات (الأصول الثابتة والمخزون لهما مسارات خاصة)",IF(NOT(N($F42)&gt;0),"المبلغ يجب أن يكون أكبر من صفر",IF($T42="?","نمط السداد غير معرف",IF(AND($T42="IMM",$I42=""),"الدفع الفوري يحتاج خزينة/بنك",IF(AND($T42="IMM",COUNTIFS(COA!$A:$A,$U42,COA!$R:$R,1)&lt;&gt;1),"الخزينة/البنك غير صالح",IF(AND($T42="IMM",$K42=""),"طريقة الدفع ناقصة",IF(AND(N($G42)&gt;0,S_VATOn&lt;&gt;"نعم"),"ضريبة المدخلات غير مفعلة في Tax_Settings",IF($J42="","المستفيد ناقص",IF(AND($T42="CRD",$X42&gt;$W42+S_Tol),"المسدَّد أكبر من المستحق",""))))))))))))))))))))))))</f>
        <v/>
      </c>
      <c r="AD42" s="32">
        <f>IF($AB42=1,IF($AC42&lt;&gt;"",1,0),0)</f>
        <v/>
      </c>
      <c r="AE42" s="32">
        <f>IF(AND($AB42=1,$AD42=0,$M42=ST_POST),1,0)</f>
        <v/>
      </c>
    </row>
    <row r="43">
      <c r="A43" s="29" t="n"/>
      <c r="B43" s="31" t="n"/>
      <c r="C43" s="39" t="n"/>
      <c r="D43" s="39" t="n"/>
      <c r="E43" s="39" t="n"/>
      <c r="F43" s="42" t="n"/>
      <c r="G43" s="42" t="n"/>
      <c r="H43" s="39" t="n"/>
      <c r="I43" s="39" t="n"/>
      <c r="J43" s="29" t="n"/>
      <c r="K43" s="29" t="n"/>
      <c r="L43" s="29" t="n"/>
      <c r="M43" s="39" t="n"/>
      <c r="N43" s="29" t="n"/>
      <c r="O43" s="29" t="n"/>
      <c r="P43" s="29" t="n"/>
      <c r="Q43" s="29" t="n"/>
      <c r="R43" s="29" t="n"/>
      <c r="S43" s="29" t="n"/>
      <c r="T43" s="32">
        <f>IF($AB43=1,IFERROR(INDEX(Lists!$O$5:$O$6,MATCH($H43,Lists!$N$5:$N$6,0)),"?"),"")</f>
        <v/>
      </c>
      <c r="U43" s="32">
        <f>IF(AND($AB43=1,$I43&lt;&gt;""),IFERROR(INDEX(Treasuries!$E:$E,MATCH($I43,Treasuries!$A:$A,0)),"؟"),"")</f>
        <v/>
      </c>
      <c r="V43" s="44">
        <f>IF($AB43=1,IF($T43="IMM",$U43,ACC_ACCRUED),"")</f>
        <v/>
      </c>
      <c r="W43" s="43">
        <f>IF($AB43=1,$F43+$G43,"")</f>
        <v/>
      </c>
      <c r="X43" s="43">
        <f>IF($AB43=1,SUMIFS(Cash_Vouchers!$I:$I,Cash_Vouchers!$M:$M,$A43,Cash_Vouchers!$AM:$AM,1,Cash_Vouchers!$U:$U,"PAY"),"")</f>
        <v/>
      </c>
      <c r="Y43" s="43">
        <f>IF($AB43=1,IF($T43="CRD",$W43-$X43,0),"")</f>
        <v/>
      </c>
      <c r="Z43" s="44">
        <f>IF($AB43=1,IF($T43="IMM","مدفوع فورًا",IF($M43&lt;&gt;ST_POST,"غير مرحل",IF($Y43&lt;=S_Tol,"مدفوع بالكامل",IF($X43&gt;0,"مدفوع جزئيًا","غير مدفوع")))),"")</f>
        <v/>
      </c>
      <c r="AA43" s="33">
        <f>IF($AB43=1,IF($X43&gt;0,_xlfn.MAXIFS(Cash_Vouchers!$B:$B,Cash_Vouchers!$M:$M,$A43,Cash_Vouchers!$AM:$AM,1),""),"")</f>
        <v/>
      </c>
      <c r="AB43" s="32">
        <f>IF(COUNTA($A43:$S43)&gt;0,1,0)</f>
        <v/>
      </c>
      <c r="AC43" s="32">
        <f>IF($AB43=0,"",IF($A43="","رقم المستند ناقص",IF(COUNTIF(Doc_Register!$A:$A,$A43)&gt;1,"رقم مستند مكرر في السجل المركزي",IF(LEFT($A43,LEN("EXP")+1)&lt;&gt;"EXP"&amp;"-","بادئة الرقم لا تطابق نوع المستند",IF(NOT(ISNUMBER($B43)),"التاريخ ناقص أو غير صحيح",IF($M43="","حالة المستند ناقصة",IF($N43="","اسم المُعِد ناقص",IF(AND(OR($M43=ST_APPR,$M43=ST_POST),$O43=""),"لا يوجد معتمد",IF(AND($O43&lt;&gt;"",$O43=$N43),"المُعِد والمعتمد نفس الشخص (فصل المهام)",IF(AND($M43=ST_POST,$P43=""),"اسم المحاسب المرحِّل ناقص",IF(AND($M43=ST_POST,$P43&lt;&gt;"",OR($P43=$N43,$P43=$O43)),"المرحِّل يجب أن يختلف عن المُعِد والمعتمد",IF(AND($M43=ST_REV,$R43=""),"مرجع التصحيح/الإلغاء ناقص",IF(AND(ISNUMBER($B43),OR($M43=ST_DRAFT,$M43=ST_APPR),COUNTIFS(Period_Close!$A:$A,YEAR($B43)*100+MONTH($B43),Period_Close!$B:$B,"مقفلة")&gt;0),"الفترة مقفلة: لا يسمح بمستند جديد",IF(NOT(COUNTIF(Locations!$A:$A,$C43)&gt;0),"الفرع/الإدارة غير معرف",IF(NOT(COUNTIF(Cost_Centers!$A:$A,$D43)&gt;0),"مركز التكلفة غير معرف أو ناقص",IF(COUNTIFS(COA!$A:$A,$E43,COA!$J:$J,"نعم",COA!$R:$R,1)&lt;&gt;1,"حساب غير مسموح للمصروفات (الأصول الثابتة والمخزون لهما مسارات خاصة)",IF(NOT(N($F43)&gt;0),"المبلغ يجب أن يكون أكبر من صفر",IF($T43="?","نمط السداد غير معرف",IF(AND($T43="IMM",$I43=""),"الدفع الفوري يحتاج خزينة/بنك",IF(AND($T43="IMM",COUNTIFS(COA!$A:$A,$U43,COA!$R:$R,1)&lt;&gt;1),"الخزينة/البنك غير صالح",IF(AND($T43="IMM",$K43=""),"طريقة الدفع ناقصة",IF(AND(N($G43)&gt;0,S_VATOn&lt;&gt;"نعم"),"ضريبة المدخلات غير مفعلة في Tax_Settings",IF($J43="","المستفيد ناقص",IF(AND($T43="CRD",$X43&gt;$W43+S_Tol),"المسدَّد أكبر من المستحق",""))))))))))))))))))))))))</f>
        <v/>
      </c>
      <c r="AD43" s="32">
        <f>IF($AB43=1,IF($AC43&lt;&gt;"",1,0),0)</f>
        <v/>
      </c>
      <c r="AE43" s="32">
        <f>IF(AND($AB43=1,$AD43=0,$M43=ST_POST),1,0)</f>
        <v/>
      </c>
    </row>
    <row r="44">
      <c r="A44" s="29" t="n"/>
      <c r="B44" s="31" t="n"/>
      <c r="C44" s="39" t="n"/>
      <c r="D44" s="39" t="n"/>
      <c r="E44" s="39" t="n"/>
      <c r="F44" s="42" t="n"/>
      <c r="G44" s="42" t="n"/>
      <c r="H44" s="39" t="n"/>
      <c r="I44" s="39" t="n"/>
      <c r="J44" s="29" t="n"/>
      <c r="K44" s="29" t="n"/>
      <c r="L44" s="29" t="n"/>
      <c r="M44" s="39" t="n"/>
      <c r="N44" s="29" t="n"/>
      <c r="O44" s="29" t="n"/>
      <c r="P44" s="29" t="n"/>
      <c r="Q44" s="29" t="n"/>
      <c r="R44" s="29" t="n"/>
      <c r="S44" s="29" t="n"/>
      <c r="T44" s="32">
        <f>IF($AB44=1,IFERROR(INDEX(Lists!$O$5:$O$6,MATCH($H44,Lists!$N$5:$N$6,0)),"?"),"")</f>
        <v/>
      </c>
      <c r="U44" s="32">
        <f>IF(AND($AB44=1,$I44&lt;&gt;""),IFERROR(INDEX(Treasuries!$E:$E,MATCH($I44,Treasuries!$A:$A,0)),"؟"),"")</f>
        <v/>
      </c>
      <c r="V44" s="44">
        <f>IF($AB44=1,IF($T44="IMM",$U44,ACC_ACCRUED),"")</f>
        <v/>
      </c>
      <c r="W44" s="43">
        <f>IF($AB44=1,$F44+$G44,"")</f>
        <v/>
      </c>
      <c r="X44" s="43">
        <f>IF($AB44=1,SUMIFS(Cash_Vouchers!$I:$I,Cash_Vouchers!$M:$M,$A44,Cash_Vouchers!$AM:$AM,1,Cash_Vouchers!$U:$U,"PAY"),"")</f>
        <v/>
      </c>
      <c r="Y44" s="43">
        <f>IF($AB44=1,IF($T44="CRD",$W44-$X44,0),"")</f>
        <v/>
      </c>
      <c r="Z44" s="44">
        <f>IF($AB44=1,IF($T44="IMM","مدفوع فورًا",IF($M44&lt;&gt;ST_POST,"غير مرحل",IF($Y44&lt;=S_Tol,"مدفوع بالكامل",IF($X44&gt;0,"مدفوع جزئيًا","غير مدفوع")))),"")</f>
        <v/>
      </c>
      <c r="AA44" s="33">
        <f>IF($AB44=1,IF($X44&gt;0,_xlfn.MAXIFS(Cash_Vouchers!$B:$B,Cash_Vouchers!$M:$M,$A44,Cash_Vouchers!$AM:$AM,1),""),"")</f>
        <v/>
      </c>
      <c r="AB44" s="32">
        <f>IF(COUNTA($A44:$S44)&gt;0,1,0)</f>
        <v/>
      </c>
      <c r="AC44" s="32">
        <f>IF($AB44=0,"",IF($A44="","رقم المستند ناقص",IF(COUNTIF(Doc_Register!$A:$A,$A44)&gt;1,"رقم مستند مكرر في السجل المركزي",IF(LEFT($A44,LEN("EXP")+1)&lt;&gt;"EXP"&amp;"-","بادئة الرقم لا تطابق نوع المستند",IF(NOT(ISNUMBER($B44)),"التاريخ ناقص أو غير صحيح",IF($M44="","حالة المستند ناقصة",IF($N44="","اسم المُعِد ناقص",IF(AND(OR($M44=ST_APPR,$M44=ST_POST),$O44=""),"لا يوجد معتمد",IF(AND($O44&lt;&gt;"",$O44=$N44),"المُعِد والمعتمد نفس الشخص (فصل المهام)",IF(AND($M44=ST_POST,$P44=""),"اسم المحاسب المرحِّل ناقص",IF(AND($M44=ST_POST,$P44&lt;&gt;"",OR($P44=$N44,$P44=$O44)),"المرحِّل يجب أن يختلف عن المُعِد والمعتمد",IF(AND($M44=ST_REV,$R44=""),"مرجع التصحيح/الإلغاء ناقص",IF(AND(ISNUMBER($B44),OR($M44=ST_DRAFT,$M44=ST_APPR),COUNTIFS(Period_Close!$A:$A,YEAR($B44)*100+MONTH($B44),Period_Close!$B:$B,"مقفلة")&gt;0),"الفترة مقفلة: لا يسمح بمستند جديد",IF(NOT(COUNTIF(Locations!$A:$A,$C44)&gt;0),"الفرع/الإدارة غير معرف",IF(NOT(COUNTIF(Cost_Centers!$A:$A,$D44)&gt;0),"مركز التكلفة غير معرف أو ناقص",IF(COUNTIFS(COA!$A:$A,$E44,COA!$J:$J,"نعم",COA!$R:$R,1)&lt;&gt;1,"حساب غير مسموح للمصروفات (الأصول الثابتة والمخزون لهما مسارات خاصة)",IF(NOT(N($F44)&gt;0),"المبلغ يجب أن يكون أكبر من صفر",IF($T44="?","نمط السداد غير معرف",IF(AND($T44="IMM",$I44=""),"الدفع الفوري يحتاج خزينة/بنك",IF(AND($T44="IMM",COUNTIFS(COA!$A:$A,$U44,COA!$R:$R,1)&lt;&gt;1),"الخزينة/البنك غير صالح",IF(AND($T44="IMM",$K44=""),"طريقة الدفع ناقصة",IF(AND(N($G44)&gt;0,S_VATOn&lt;&gt;"نعم"),"ضريبة المدخلات غير مفعلة في Tax_Settings",IF($J44="","المستفيد ناقص",IF(AND($T44="CRD",$X44&gt;$W44+S_Tol),"المسدَّد أكبر من المستحق",""))))))))))))))))))))))))</f>
        <v/>
      </c>
      <c r="AD44" s="32">
        <f>IF($AB44=1,IF($AC44&lt;&gt;"",1,0),0)</f>
        <v/>
      </c>
      <c r="AE44" s="32">
        <f>IF(AND($AB44=1,$AD44=0,$M44=ST_POST),1,0)</f>
        <v/>
      </c>
    </row>
    <row r="45">
      <c r="A45" s="29" t="n"/>
      <c r="B45" s="31" t="n"/>
      <c r="C45" s="39" t="n"/>
      <c r="D45" s="39" t="n"/>
      <c r="E45" s="39" t="n"/>
      <c r="F45" s="42" t="n"/>
      <c r="G45" s="42" t="n"/>
      <c r="H45" s="39" t="n"/>
      <c r="I45" s="39" t="n"/>
      <c r="J45" s="29" t="n"/>
      <c r="K45" s="29" t="n"/>
      <c r="L45" s="29" t="n"/>
      <c r="M45" s="39" t="n"/>
      <c r="N45" s="29" t="n"/>
      <c r="O45" s="29" t="n"/>
      <c r="P45" s="29" t="n"/>
      <c r="Q45" s="29" t="n"/>
      <c r="R45" s="29" t="n"/>
      <c r="S45" s="29" t="n"/>
      <c r="T45" s="32">
        <f>IF($AB45=1,IFERROR(INDEX(Lists!$O$5:$O$6,MATCH($H45,Lists!$N$5:$N$6,0)),"?"),"")</f>
        <v/>
      </c>
      <c r="U45" s="32">
        <f>IF(AND($AB45=1,$I45&lt;&gt;""),IFERROR(INDEX(Treasuries!$E:$E,MATCH($I45,Treasuries!$A:$A,0)),"؟"),"")</f>
        <v/>
      </c>
      <c r="V45" s="44">
        <f>IF($AB45=1,IF($T45="IMM",$U45,ACC_ACCRUED),"")</f>
        <v/>
      </c>
      <c r="W45" s="43">
        <f>IF($AB45=1,$F45+$G45,"")</f>
        <v/>
      </c>
      <c r="X45" s="43">
        <f>IF($AB45=1,SUMIFS(Cash_Vouchers!$I:$I,Cash_Vouchers!$M:$M,$A45,Cash_Vouchers!$AM:$AM,1,Cash_Vouchers!$U:$U,"PAY"),"")</f>
        <v/>
      </c>
      <c r="Y45" s="43">
        <f>IF($AB45=1,IF($T45="CRD",$W45-$X45,0),"")</f>
        <v/>
      </c>
      <c r="Z45" s="44">
        <f>IF($AB45=1,IF($T45="IMM","مدفوع فورًا",IF($M45&lt;&gt;ST_POST,"غير مرحل",IF($Y45&lt;=S_Tol,"مدفوع بالكامل",IF($X45&gt;0,"مدفوع جزئيًا","غير مدفوع")))),"")</f>
        <v/>
      </c>
      <c r="AA45" s="33">
        <f>IF($AB45=1,IF($X45&gt;0,_xlfn.MAXIFS(Cash_Vouchers!$B:$B,Cash_Vouchers!$M:$M,$A45,Cash_Vouchers!$AM:$AM,1),""),"")</f>
        <v/>
      </c>
      <c r="AB45" s="32">
        <f>IF(COUNTA($A45:$S45)&gt;0,1,0)</f>
        <v/>
      </c>
      <c r="AC45" s="32">
        <f>IF($AB45=0,"",IF($A45="","رقم المستند ناقص",IF(COUNTIF(Doc_Register!$A:$A,$A45)&gt;1,"رقم مستند مكرر في السجل المركزي",IF(LEFT($A45,LEN("EXP")+1)&lt;&gt;"EXP"&amp;"-","بادئة الرقم لا تطابق نوع المستند",IF(NOT(ISNUMBER($B45)),"التاريخ ناقص أو غير صحيح",IF($M45="","حالة المستند ناقصة",IF($N45="","اسم المُعِد ناقص",IF(AND(OR($M45=ST_APPR,$M45=ST_POST),$O45=""),"لا يوجد معتمد",IF(AND($O45&lt;&gt;"",$O45=$N45),"المُعِد والمعتمد نفس الشخص (فصل المهام)",IF(AND($M45=ST_POST,$P45=""),"اسم المحاسب المرحِّل ناقص",IF(AND($M45=ST_POST,$P45&lt;&gt;"",OR($P45=$N45,$P45=$O45)),"المرحِّل يجب أن يختلف عن المُعِد والمعتمد",IF(AND($M45=ST_REV,$R45=""),"مرجع التصحيح/الإلغاء ناقص",IF(AND(ISNUMBER($B45),OR($M45=ST_DRAFT,$M45=ST_APPR),COUNTIFS(Period_Close!$A:$A,YEAR($B45)*100+MONTH($B45),Period_Close!$B:$B,"مقفلة")&gt;0),"الفترة مقفلة: لا يسمح بمستند جديد",IF(NOT(COUNTIF(Locations!$A:$A,$C45)&gt;0),"الفرع/الإدارة غير معرف",IF(NOT(COUNTIF(Cost_Centers!$A:$A,$D45)&gt;0),"مركز التكلفة غير معرف أو ناقص",IF(COUNTIFS(COA!$A:$A,$E45,COA!$J:$J,"نعم",COA!$R:$R,1)&lt;&gt;1,"حساب غير مسموح للمصروفات (الأصول الثابتة والمخزون لهما مسارات خاصة)",IF(NOT(N($F45)&gt;0),"المبلغ يجب أن يكون أكبر من صفر",IF($T45="?","نمط السداد غير معرف",IF(AND($T45="IMM",$I45=""),"الدفع الفوري يحتاج خزينة/بنك",IF(AND($T45="IMM",COUNTIFS(COA!$A:$A,$U45,COA!$R:$R,1)&lt;&gt;1),"الخزينة/البنك غير صالح",IF(AND($T45="IMM",$K45=""),"طريقة الدفع ناقصة",IF(AND(N($G45)&gt;0,S_VATOn&lt;&gt;"نعم"),"ضريبة المدخلات غير مفعلة في Tax_Settings",IF($J45="","المستفيد ناقص",IF(AND($T45="CRD",$X45&gt;$W45+S_Tol),"المسدَّد أكبر من المستحق",""))))))))))))))))))))))))</f>
        <v/>
      </c>
      <c r="AD45" s="32">
        <f>IF($AB45=1,IF($AC45&lt;&gt;"",1,0),0)</f>
        <v/>
      </c>
      <c r="AE45" s="32">
        <f>IF(AND($AB45=1,$AD45=0,$M45=ST_POST),1,0)</f>
        <v/>
      </c>
    </row>
    <row r="46">
      <c r="A46" s="29" t="n"/>
      <c r="B46" s="31" t="n"/>
      <c r="C46" s="39" t="n"/>
      <c r="D46" s="39" t="n"/>
      <c r="E46" s="39" t="n"/>
      <c r="F46" s="42" t="n"/>
      <c r="G46" s="42" t="n"/>
      <c r="H46" s="39" t="n"/>
      <c r="I46" s="39" t="n"/>
      <c r="J46" s="29" t="n"/>
      <c r="K46" s="29" t="n"/>
      <c r="L46" s="29" t="n"/>
      <c r="M46" s="39" t="n"/>
      <c r="N46" s="29" t="n"/>
      <c r="O46" s="29" t="n"/>
      <c r="P46" s="29" t="n"/>
      <c r="Q46" s="29" t="n"/>
      <c r="R46" s="29" t="n"/>
      <c r="S46" s="29" t="n"/>
      <c r="T46" s="32">
        <f>IF($AB46=1,IFERROR(INDEX(Lists!$O$5:$O$6,MATCH($H46,Lists!$N$5:$N$6,0)),"?"),"")</f>
        <v/>
      </c>
      <c r="U46" s="32">
        <f>IF(AND($AB46=1,$I46&lt;&gt;""),IFERROR(INDEX(Treasuries!$E:$E,MATCH($I46,Treasuries!$A:$A,0)),"؟"),"")</f>
        <v/>
      </c>
      <c r="V46" s="44">
        <f>IF($AB46=1,IF($T46="IMM",$U46,ACC_ACCRUED),"")</f>
        <v/>
      </c>
      <c r="W46" s="43">
        <f>IF($AB46=1,$F46+$G46,"")</f>
        <v/>
      </c>
      <c r="X46" s="43">
        <f>IF($AB46=1,SUMIFS(Cash_Vouchers!$I:$I,Cash_Vouchers!$M:$M,$A46,Cash_Vouchers!$AM:$AM,1,Cash_Vouchers!$U:$U,"PAY"),"")</f>
        <v/>
      </c>
      <c r="Y46" s="43">
        <f>IF($AB46=1,IF($T46="CRD",$W46-$X46,0),"")</f>
        <v/>
      </c>
      <c r="Z46" s="44">
        <f>IF($AB46=1,IF($T46="IMM","مدفوع فورًا",IF($M46&lt;&gt;ST_POST,"غير مرحل",IF($Y46&lt;=S_Tol,"مدفوع بالكامل",IF($X46&gt;0,"مدفوع جزئيًا","غير مدفوع")))),"")</f>
        <v/>
      </c>
      <c r="AA46" s="33">
        <f>IF($AB46=1,IF($X46&gt;0,_xlfn.MAXIFS(Cash_Vouchers!$B:$B,Cash_Vouchers!$M:$M,$A46,Cash_Vouchers!$AM:$AM,1),""),"")</f>
        <v/>
      </c>
      <c r="AB46" s="32">
        <f>IF(COUNTA($A46:$S46)&gt;0,1,0)</f>
        <v/>
      </c>
      <c r="AC46" s="32">
        <f>IF($AB46=0,"",IF($A46="","رقم المستند ناقص",IF(COUNTIF(Doc_Register!$A:$A,$A46)&gt;1,"رقم مستند مكرر في السجل المركزي",IF(LEFT($A46,LEN("EXP")+1)&lt;&gt;"EXP"&amp;"-","بادئة الرقم لا تطابق نوع المستند",IF(NOT(ISNUMBER($B46)),"التاريخ ناقص أو غير صحيح",IF($M46="","حالة المستند ناقصة",IF($N46="","اسم المُعِد ناقص",IF(AND(OR($M46=ST_APPR,$M46=ST_POST),$O46=""),"لا يوجد معتمد",IF(AND($O46&lt;&gt;"",$O46=$N46),"المُعِد والمعتمد نفس الشخص (فصل المهام)",IF(AND($M46=ST_POST,$P46=""),"اسم المحاسب المرحِّل ناقص",IF(AND($M46=ST_POST,$P46&lt;&gt;"",OR($P46=$N46,$P46=$O46)),"المرحِّل يجب أن يختلف عن المُعِد والمعتمد",IF(AND($M46=ST_REV,$R46=""),"مرجع التصحيح/الإلغاء ناقص",IF(AND(ISNUMBER($B46),OR($M46=ST_DRAFT,$M46=ST_APPR),COUNTIFS(Period_Close!$A:$A,YEAR($B46)*100+MONTH($B46),Period_Close!$B:$B,"مقفلة")&gt;0),"الفترة مقفلة: لا يسمح بمستند جديد",IF(NOT(COUNTIF(Locations!$A:$A,$C46)&gt;0),"الفرع/الإدارة غير معرف",IF(NOT(COUNTIF(Cost_Centers!$A:$A,$D46)&gt;0),"مركز التكلفة غير معرف أو ناقص",IF(COUNTIFS(COA!$A:$A,$E46,COA!$J:$J,"نعم",COA!$R:$R,1)&lt;&gt;1,"حساب غير مسموح للمصروفات (الأصول الثابتة والمخزون لهما مسارات خاصة)",IF(NOT(N($F46)&gt;0),"المبلغ يجب أن يكون أكبر من صفر",IF($T46="?","نمط السداد غير معرف",IF(AND($T46="IMM",$I46=""),"الدفع الفوري يحتاج خزينة/بنك",IF(AND($T46="IMM",COUNTIFS(COA!$A:$A,$U46,COA!$R:$R,1)&lt;&gt;1),"الخزينة/البنك غير صالح",IF(AND($T46="IMM",$K46=""),"طريقة الدفع ناقصة",IF(AND(N($G46)&gt;0,S_VATOn&lt;&gt;"نعم"),"ضريبة المدخلات غير مفعلة في Tax_Settings",IF($J46="","المستفيد ناقص",IF(AND($T46="CRD",$X46&gt;$W46+S_Tol),"المسدَّد أكبر من المستحق",""))))))))))))))))))))))))</f>
        <v/>
      </c>
      <c r="AD46" s="32">
        <f>IF($AB46=1,IF($AC46&lt;&gt;"",1,0),0)</f>
        <v/>
      </c>
      <c r="AE46" s="32">
        <f>IF(AND($AB46=1,$AD46=0,$M46=ST_POST),1,0)</f>
        <v/>
      </c>
    </row>
    <row r="47">
      <c r="A47" s="29" t="n"/>
      <c r="B47" s="31" t="n"/>
      <c r="C47" s="39" t="n"/>
      <c r="D47" s="39" t="n"/>
      <c r="E47" s="39" t="n"/>
      <c r="F47" s="42" t="n"/>
      <c r="G47" s="42" t="n"/>
      <c r="H47" s="39" t="n"/>
      <c r="I47" s="39" t="n"/>
      <c r="J47" s="29" t="n"/>
      <c r="K47" s="29" t="n"/>
      <c r="L47" s="29" t="n"/>
      <c r="M47" s="39" t="n"/>
      <c r="N47" s="29" t="n"/>
      <c r="O47" s="29" t="n"/>
      <c r="P47" s="29" t="n"/>
      <c r="Q47" s="29" t="n"/>
      <c r="R47" s="29" t="n"/>
      <c r="S47" s="29" t="n"/>
      <c r="T47" s="32">
        <f>IF($AB47=1,IFERROR(INDEX(Lists!$O$5:$O$6,MATCH($H47,Lists!$N$5:$N$6,0)),"?"),"")</f>
        <v/>
      </c>
      <c r="U47" s="32">
        <f>IF(AND($AB47=1,$I47&lt;&gt;""),IFERROR(INDEX(Treasuries!$E:$E,MATCH($I47,Treasuries!$A:$A,0)),"؟"),"")</f>
        <v/>
      </c>
      <c r="V47" s="44">
        <f>IF($AB47=1,IF($T47="IMM",$U47,ACC_ACCRUED),"")</f>
        <v/>
      </c>
      <c r="W47" s="43">
        <f>IF($AB47=1,$F47+$G47,"")</f>
        <v/>
      </c>
      <c r="X47" s="43">
        <f>IF($AB47=1,SUMIFS(Cash_Vouchers!$I:$I,Cash_Vouchers!$M:$M,$A47,Cash_Vouchers!$AM:$AM,1,Cash_Vouchers!$U:$U,"PAY"),"")</f>
        <v/>
      </c>
      <c r="Y47" s="43">
        <f>IF($AB47=1,IF($T47="CRD",$W47-$X47,0),"")</f>
        <v/>
      </c>
      <c r="Z47" s="44">
        <f>IF($AB47=1,IF($T47="IMM","مدفوع فورًا",IF($M47&lt;&gt;ST_POST,"غير مرحل",IF($Y47&lt;=S_Tol,"مدفوع بالكامل",IF($X47&gt;0,"مدفوع جزئيًا","غير مدفوع")))),"")</f>
        <v/>
      </c>
      <c r="AA47" s="33">
        <f>IF($AB47=1,IF($X47&gt;0,_xlfn.MAXIFS(Cash_Vouchers!$B:$B,Cash_Vouchers!$M:$M,$A47,Cash_Vouchers!$AM:$AM,1),""),"")</f>
        <v/>
      </c>
      <c r="AB47" s="32">
        <f>IF(COUNTA($A47:$S47)&gt;0,1,0)</f>
        <v/>
      </c>
      <c r="AC47" s="32">
        <f>IF($AB47=0,"",IF($A47="","رقم المستند ناقص",IF(COUNTIF(Doc_Register!$A:$A,$A47)&gt;1,"رقم مستند مكرر في السجل المركزي",IF(LEFT($A47,LEN("EXP")+1)&lt;&gt;"EXP"&amp;"-","بادئة الرقم لا تطابق نوع المستند",IF(NOT(ISNUMBER($B47)),"التاريخ ناقص أو غير صحيح",IF($M47="","حالة المستند ناقصة",IF($N47="","اسم المُعِد ناقص",IF(AND(OR($M47=ST_APPR,$M47=ST_POST),$O47=""),"لا يوجد معتمد",IF(AND($O47&lt;&gt;"",$O47=$N47),"المُعِد والمعتمد نفس الشخص (فصل المهام)",IF(AND($M47=ST_POST,$P47=""),"اسم المحاسب المرحِّل ناقص",IF(AND($M47=ST_POST,$P47&lt;&gt;"",OR($P47=$N47,$P47=$O47)),"المرحِّل يجب أن يختلف عن المُعِد والمعتمد",IF(AND($M47=ST_REV,$R47=""),"مرجع التصحيح/الإلغاء ناقص",IF(AND(ISNUMBER($B47),OR($M47=ST_DRAFT,$M47=ST_APPR),COUNTIFS(Period_Close!$A:$A,YEAR($B47)*100+MONTH($B47),Period_Close!$B:$B,"مقفلة")&gt;0),"الفترة مقفلة: لا يسمح بمستند جديد",IF(NOT(COUNTIF(Locations!$A:$A,$C47)&gt;0),"الفرع/الإدارة غير معرف",IF(NOT(COUNTIF(Cost_Centers!$A:$A,$D47)&gt;0),"مركز التكلفة غير معرف أو ناقص",IF(COUNTIFS(COA!$A:$A,$E47,COA!$J:$J,"نعم",COA!$R:$R,1)&lt;&gt;1,"حساب غير مسموح للمصروفات (الأصول الثابتة والمخزون لهما مسارات خاصة)",IF(NOT(N($F47)&gt;0),"المبلغ يجب أن يكون أكبر من صفر",IF($T47="?","نمط السداد غير معرف",IF(AND($T47="IMM",$I47=""),"الدفع الفوري يحتاج خزينة/بنك",IF(AND($T47="IMM",COUNTIFS(COA!$A:$A,$U47,COA!$R:$R,1)&lt;&gt;1),"الخزينة/البنك غير صالح",IF(AND($T47="IMM",$K47=""),"طريقة الدفع ناقصة",IF(AND(N($G47)&gt;0,S_VATOn&lt;&gt;"نعم"),"ضريبة المدخلات غير مفعلة في Tax_Settings",IF($J47="","المستفيد ناقص",IF(AND($T47="CRD",$X47&gt;$W47+S_Tol),"المسدَّد أكبر من المستحق",""))))))))))))))))))))))))</f>
        <v/>
      </c>
      <c r="AD47" s="32">
        <f>IF($AB47=1,IF($AC47&lt;&gt;"",1,0),0)</f>
        <v/>
      </c>
      <c r="AE47" s="32">
        <f>IF(AND($AB47=1,$AD47=0,$M47=ST_POST),1,0)</f>
        <v/>
      </c>
    </row>
    <row r="48">
      <c r="A48" s="29" t="n"/>
      <c r="B48" s="31" t="n"/>
      <c r="C48" s="39" t="n"/>
      <c r="D48" s="39" t="n"/>
      <c r="E48" s="39" t="n"/>
      <c r="F48" s="42" t="n"/>
      <c r="G48" s="42" t="n"/>
      <c r="H48" s="39" t="n"/>
      <c r="I48" s="39" t="n"/>
      <c r="J48" s="29" t="n"/>
      <c r="K48" s="29" t="n"/>
      <c r="L48" s="29" t="n"/>
      <c r="M48" s="39" t="n"/>
      <c r="N48" s="29" t="n"/>
      <c r="O48" s="29" t="n"/>
      <c r="P48" s="29" t="n"/>
      <c r="Q48" s="29" t="n"/>
      <c r="R48" s="29" t="n"/>
      <c r="S48" s="29" t="n"/>
      <c r="T48" s="32">
        <f>IF($AB48=1,IFERROR(INDEX(Lists!$O$5:$O$6,MATCH($H48,Lists!$N$5:$N$6,0)),"?"),"")</f>
        <v/>
      </c>
      <c r="U48" s="32">
        <f>IF(AND($AB48=1,$I48&lt;&gt;""),IFERROR(INDEX(Treasuries!$E:$E,MATCH($I48,Treasuries!$A:$A,0)),"؟"),"")</f>
        <v/>
      </c>
      <c r="V48" s="44">
        <f>IF($AB48=1,IF($T48="IMM",$U48,ACC_ACCRUED),"")</f>
        <v/>
      </c>
      <c r="W48" s="43">
        <f>IF($AB48=1,$F48+$G48,"")</f>
        <v/>
      </c>
      <c r="X48" s="43">
        <f>IF($AB48=1,SUMIFS(Cash_Vouchers!$I:$I,Cash_Vouchers!$M:$M,$A48,Cash_Vouchers!$AM:$AM,1,Cash_Vouchers!$U:$U,"PAY"),"")</f>
        <v/>
      </c>
      <c r="Y48" s="43">
        <f>IF($AB48=1,IF($T48="CRD",$W48-$X48,0),"")</f>
        <v/>
      </c>
      <c r="Z48" s="44">
        <f>IF($AB48=1,IF($T48="IMM","مدفوع فورًا",IF($M48&lt;&gt;ST_POST,"غير مرحل",IF($Y48&lt;=S_Tol,"مدفوع بالكامل",IF($X48&gt;0,"مدفوع جزئيًا","غير مدفوع")))),"")</f>
        <v/>
      </c>
      <c r="AA48" s="33">
        <f>IF($AB48=1,IF($X48&gt;0,_xlfn.MAXIFS(Cash_Vouchers!$B:$B,Cash_Vouchers!$M:$M,$A48,Cash_Vouchers!$AM:$AM,1),""),"")</f>
        <v/>
      </c>
      <c r="AB48" s="32">
        <f>IF(COUNTA($A48:$S48)&gt;0,1,0)</f>
        <v/>
      </c>
      <c r="AC48" s="32">
        <f>IF($AB48=0,"",IF($A48="","رقم المستند ناقص",IF(COUNTIF(Doc_Register!$A:$A,$A48)&gt;1,"رقم مستند مكرر في السجل المركزي",IF(LEFT($A48,LEN("EXP")+1)&lt;&gt;"EXP"&amp;"-","بادئة الرقم لا تطابق نوع المستند",IF(NOT(ISNUMBER($B48)),"التاريخ ناقص أو غير صحيح",IF($M48="","حالة المستند ناقصة",IF($N48="","اسم المُعِد ناقص",IF(AND(OR($M48=ST_APPR,$M48=ST_POST),$O48=""),"لا يوجد معتمد",IF(AND($O48&lt;&gt;"",$O48=$N48),"المُعِد والمعتمد نفس الشخص (فصل المهام)",IF(AND($M48=ST_POST,$P48=""),"اسم المحاسب المرحِّل ناقص",IF(AND($M48=ST_POST,$P48&lt;&gt;"",OR($P48=$N48,$P48=$O48)),"المرحِّل يجب أن يختلف عن المُعِد والمعتمد",IF(AND($M48=ST_REV,$R48=""),"مرجع التصحيح/الإلغاء ناقص",IF(AND(ISNUMBER($B48),OR($M48=ST_DRAFT,$M48=ST_APPR),COUNTIFS(Period_Close!$A:$A,YEAR($B48)*100+MONTH($B48),Period_Close!$B:$B,"مقفلة")&gt;0),"الفترة مقفلة: لا يسمح بمستند جديد",IF(NOT(COUNTIF(Locations!$A:$A,$C48)&gt;0),"الفرع/الإدارة غير معرف",IF(NOT(COUNTIF(Cost_Centers!$A:$A,$D48)&gt;0),"مركز التكلفة غير معرف أو ناقص",IF(COUNTIFS(COA!$A:$A,$E48,COA!$J:$J,"نعم",COA!$R:$R,1)&lt;&gt;1,"حساب غير مسموح للمصروفات (الأصول الثابتة والمخزون لهما مسارات خاصة)",IF(NOT(N($F48)&gt;0),"المبلغ يجب أن يكون أكبر من صفر",IF($T48="?","نمط السداد غير معرف",IF(AND($T48="IMM",$I48=""),"الدفع الفوري يحتاج خزينة/بنك",IF(AND($T48="IMM",COUNTIFS(COA!$A:$A,$U48,COA!$R:$R,1)&lt;&gt;1),"الخزينة/البنك غير صالح",IF(AND($T48="IMM",$K48=""),"طريقة الدفع ناقصة",IF(AND(N($G48)&gt;0,S_VATOn&lt;&gt;"نعم"),"ضريبة المدخلات غير مفعلة في Tax_Settings",IF($J48="","المستفيد ناقص",IF(AND($T48="CRD",$X48&gt;$W48+S_Tol),"المسدَّد أكبر من المستحق",""))))))))))))))))))))))))</f>
        <v/>
      </c>
      <c r="AD48" s="32">
        <f>IF($AB48=1,IF($AC48&lt;&gt;"",1,0),0)</f>
        <v/>
      </c>
      <c r="AE48" s="32">
        <f>IF(AND($AB48=1,$AD48=0,$M48=ST_POST),1,0)</f>
        <v/>
      </c>
    </row>
    <row r="49">
      <c r="A49" s="29" t="n"/>
      <c r="B49" s="31" t="n"/>
      <c r="C49" s="39" t="n"/>
      <c r="D49" s="39" t="n"/>
      <c r="E49" s="39" t="n"/>
      <c r="F49" s="42" t="n"/>
      <c r="G49" s="42" t="n"/>
      <c r="H49" s="39" t="n"/>
      <c r="I49" s="39" t="n"/>
      <c r="J49" s="29" t="n"/>
      <c r="K49" s="29" t="n"/>
      <c r="L49" s="29" t="n"/>
      <c r="M49" s="39" t="n"/>
      <c r="N49" s="29" t="n"/>
      <c r="O49" s="29" t="n"/>
      <c r="P49" s="29" t="n"/>
      <c r="Q49" s="29" t="n"/>
      <c r="R49" s="29" t="n"/>
      <c r="S49" s="29" t="n"/>
      <c r="T49" s="32">
        <f>IF($AB49=1,IFERROR(INDEX(Lists!$O$5:$O$6,MATCH($H49,Lists!$N$5:$N$6,0)),"?"),"")</f>
        <v/>
      </c>
      <c r="U49" s="32">
        <f>IF(AND($AB49=1,$I49&lt;&gt;""),IFERROR(INDEX(Treasuries!$E:$E,MATCH($I49,Treasuries!$A:$A,0)),"؟"),"")</f>
        <v/>
      </c>
      <c r="V49" s="44">
        <f>IF($AB49=1,IF($T49="IMM",$U49,ACC_ACCRUED),"")</f>
        <v/>
      </c>
      <c r="W49" s="43">
        <f>IF($AB49=1,$F49+$G49,"")</f>
        <v/>
      </c>
      <c r="X49" s="43">
        <f>IF($AB49=1,SUMIFS(Cash_Vouchers!$I:$I,Cash_Vouchers!$M:$M,$A49,Cash_Vouchers!$AM:$AM,1,Cash_Vouchers!$U:$U,"PAY"),"")</f>
        <v/>
      </c>
      <c r="Y49" s="43">
        <f>IF($AB49=1,IF($T49="CRD",$W49-$X49,0),"")</f>
        <v/>
      </c>
      <c r="Z49" s="44">
        <f>IF($AB49=1,IF($T49="IMM","مدفوع فورًا",IF($M49&lt;&gt;ST_POST,"غير مرحل",IF($Y49&lt;=S_Tol,"مدفوع بالكامل",IF($X49&gt;0,"مدفوع جزئيًا","غير مدفوع")))),"")</f>
        <v/>
      </c>
      <c r="AA49" s="33">
        <f>IF($AB49=1,IF($X49&gt;0,_xlfn.MAXIFS(Cash_Vouchers!$B:$B,Cash_Vouchers!$M:$M,$A49,Cash_Vouchers!$AM:$AM,1),""),"")</f>
        <v/>
      </c>
      <c r="AB49" s="32">
        <f>IF(COUNTA($A49:$S49)&gt;0,1,0)</f>
        <v/>
      </c>
      <c r="AC49" s="32">
        <f>IF($AB49=0,"",IF($A49="","رقم المستند ناقص",IF(COUNTIF(Doc_Register!$A:$A,$A49)&gt;1,"رقم مستند مكرر في السجل المركزي",IF(LEFT($A49,LEN("EXP")+1)&lt;&gt;"EXP"&amp;"-","بادئة الرقم لا تطابق نوع المستند",IF(NOT(ISNUMBER($B49)),"التاريخ ناقص أو غير صحيح",IF($M49="","حالة المستند ناقصة",IF($N49="","اسم المُعِد ناقص",IF(AND(OR($M49=ST_APPR,$M49=ST_POST),$O49=""),"لا يوجد معتمد",IF(AND($O49&lt;&gt;"",$O49=$N49),"المُعِد والمعتمد نفس الشخص (فصل المهام)",IF(AND($M49=ST_POST,$P49=""),"اسم المحاسب المرحِّل ناقص",IF(AND($M49=ST_POST,$P49&lt;&gt;"",OR($P49=$N49,$P49=$O49)),"المرحِّل يجب أن يختلف عن المُعِد والمعتمد",IF(AND($M49=ST_REV,$R49=""),"مرجع التصحيح/الإلغاء ناقص",IF(AND(ISNUMBER($B49),OR($M49=ST_DRAFT,$M49=ST_APPR),COUNTIFS(Period_Close!$A:$A,YEAR($B49)*100+MONTH($B49),Period_Close!$B:$B,"مقفلة")&gt;0),"الفترة مقفلة: لا يسمح بمستند جديد",IF(NOT(COUNTIF(Locations!$A:$A,$C49)&gt;0),"الفرع/الإدارة غير معرف",IF(NOT(COUNTIF(Cost_Centers!$A:$A,$D49)&gt;0),"مركز التكلفة غير معرف أو ناقص",IF(COUNTIFS(COA!$A:$A,$E49,COA!$J:$J,"نعم",COA!$R:$R,1)&lt;&gt;1,"حساب غير مسموح للمصروفات (الأصول الثابتة والمخزون لهما مسارات خاصة)",IF(NOT(N($F49)&gt;0),"المبلغ يجب أن يكون أكبر من صفر",IF($T49="?","نمط السداد غير معرف",IF(AND($T49="IMM",$I49=""),"الدفع الفوري يحتاج خزينة/بنك",IF(AND($T49="IMM",COUNTIFS(COA!$A:$A,$U49,COA!$R:$R,1)&lt;&gt;1),"الخزينة/البنك غير صالح",IF(AND($T49="IMM",$K49=""),"طريقة الدفع ناقصة",IF(AND(N($G49)&gt;0,S_VATOn&lt;&gt;"نعم"),"ضريبة المدخلات غير مفعلة في Tax_Settings",IF($J49="","المستفيد ناقص",IF(AND($T49="CRD",$X49&gt;$W49+S_Tol),"المسدَّد أكبر من المستحق",""))))))))))))))))))))))))</f>
        <v/>
      </c>
      <c r="AD49" s="32">
        <f>IF($AB49=1,IF($AC49&lt;&gt;"",1,0),0)</f>
        <v/>
      </c>
      <c r="AE49" s="32">
        <f>IF(AND($AB49=1,$AD49=0,$M49=ST_POST),1,0)</f>
        <v/>
      </c>
    </row>
    <row r="50">
      <c r="A50" s="29" t="n"/>
      <c r="B50" s="31" t="n"/>
      <c r="C50" s="39" t="n"/>
      <c r="D50" s="39" t="n"/>
      <c r="E50" s="39" t="n"/>
      <c r="F50" s="42" t="n"/>
      <c r="G50" s="42" t="n"/>
      <c r="H50" s="39" t="n"/>
      <c r="I50" s="39" t="n"/>
      <c r="J50" s="29" t="n"/>
      <c r="K50" s="29" t="n"/>
      <c r="L50" s="29" t="n"/>
      <c r="M50" s="39" t="n"/>
      <c r="N50" s="29" t="n"/>
      <c r="O50" s="29" t="n"/>
      <c r="P50" s="29" t="n"/>
      <c r="Q50" s="29" t="n"/>
      <c r="R50" s="29" t="n"/>
      <c r="S50" s="29" t="n"/>
      <c r="T50" s="32">
        <f>IF($AB50=1,IFERROR(INDEX(Lists!$O$5:$O$6,MATCH($H50,Lists!$N$5:$N$6,0)),"?"),"")</f>
        <v/>
      </c>
      <c r="U50" s="32">
        <f>IF(AND($AB50=1,$I50&lt;&gt;""),IFERROR(INDEX(Treasuries!$E:$E,MATCH($I50,Treasuries!$A:$A,0)),"؟"),"")</f>
        <v/>
      </c>
      <c r="V50" s="44">
        <f>IF($AB50=1,IF($T50="IMM",$U50,ACC_ACCRUED),"")</f>
        <v/>
      </c>
      <c r="W50" s="43">
        <f>IF($AB50=1,$F50+$G50,"")</f>
        <v/>
      </c>
      <c r="X50" s="43">
        <f>IF($AB50=1,SUMIFS(Cash_Vouchers!$I:$I,Cash_Vouchers!$M:$M,$A50,Cash_Vouchers!$AM:$AM,1,Cash_Vouchers!$U:$U,"PAY"),"")</f>
        <v/>
      </c>
      <c r="Y50" s="43">
        <f>IF($AB50=1,IF($T50="CRD",$W50-$X50,0),"")</f>
        <v/>
      </c>
      <c r="Z50" s="44">
        <f>IF($AB50=1,IF($T50="IMM","مدفوع فورًا",IF($M50&lt;&gt;ST_POST,"غير مرحل",IF($Y50&lt;=S_Tol,"مدفوع بالكامل",IF($X50&gt;0,"مدفوع جزئيًا","غير مدفوع")))),"")</f>
        <v/>
      </c>
      <c r="AA50" s="33">
        <f>IF($AB50=1,IF($X50&gt;0,_xlfn.MAXIFS(Cash_Vouchers!$B:$B,Cash_Vouchers!$M:$M,$A50,Cash_Vouchers!$AM:$AM,1),""),"")</f>
        <v/>
      </c>
      <c r="AB50" s="32">
        <f>IF(COUNTA($A50:$S50)&gt;0,1,0)</f>
        <v/>
      </c>
      <c r="AC50" s="32">
        <f>IF($AB50=0,"",IF($A50="","رقم المستند ناقص",IF(COUNTIF(Doc_Register!$A:$A,$A50)&gt;1,"رقم مستند مكرر في السجل المركزي",IF(LEFT($A50,LEN("EXP")+1)&lt;&gt;"EXP"&amp;"-","بادئة الرقم لا تطابق نوع المستند",IF(NOT(ISNUMBER($B50)),"التاريخ ناقص أو غير صحيح",IF($M50="","حالة المستند ناقصة",IF($N50="","اسم المُعِد ناقص",IF(AND(OR($M50=ST_APPR,$M50=ST_POST),$O50=""),"لا يوجد معتمد",IF(AND($O50&lt;&gt;"",$O50=$N50),"المُعِد والمعتمد نفس الشخص (فصل المهام)",IF(AND($M50=ST_POST,$P50=""),"اسم المحاسب المرحِّل ناقص",IF(AND($M50=ST_POST,$P50&lt;&gt;"",OR($P50=$N50,$P50=$O50)),"المرحِّل يجب أن يختلف عن المُعِد والمعتمد",IF(AND($M50=ST_REV,$R50=""),"مرجع التصحيح/الإلغاء ناقص",IF(AND(ISNUMBER($B50),OR($M50=ST_DRAFT,$M50=ST_APPR),COUNTIFS(Period_Close!$A:$A,YEAR($B50)*100+MONTH($B50),Period_Close!$B:$B,"مقفلة")&gt;0),"الفترة مقفلة: لا يسمح بمستند جديد",IF(NOT(COUNTIF(Locations!$A:$A,$C50)&gt;0),"الفرع/الإدارة غير معرف",IF(NOT(COUNTIF(Cost_Centers!$A:$A,$D50)&gt;0),"مركز التكلفة غير معرف أو ناقص",IF(COUNTIFS(COA!$A:$A,$E50,COA!$J:$J,"نعم",COA!$R:$R,1)&lt;&gt;1,"حساب غير مسموح للمصروفات (الأصول الثابتة والمخزون لهما مسارات خاصة)",IF(NOT(N($F50)&gt;0),"المبلغ يجب أن يكون أكبر من صفر",IF($T50="?","نمط السداد غير معرف",IF(AND($T50="IMM",$I50=""),"الدفع الفوري يحتاج خزينة/بنك",IF(AND($T50="IMM",COUNTIFS(COA!$A:$A,$U50,COA!$R:$R,1)&lt;&gt;1),"الخزينة/البنك غير صالح",IF(AND($T50="IMM",$K50=""),"طريقة الدفع ناقصة",IF(AND(N($G50)&gt;0,S_VATOn&lt;&gt;"نعم"),"ضريبة المدخلات غير مفعلة في Tax_Settings",IF($J50="","المستفيد ناقص",IF(AND($T50="CRD",$X50&gt;$W50+S_Tol),"المسدَّد أكبر من المستحق",""))))))))))))))))))))))))</f>
        <v/>
      </c>
      <c r="AD50" s="32">
        <f>IF($AB50=1,IF($AC50&lt;&gt;"",1,0),0)</f>
        <v/>
      </c>
      <c r="AE50" s="32">
        <f>IF(AND($AB50=1,$AD50=0,$M50=ST_POST),1,0)</f>
        <v/>
      </c>
    </row>
    <row r="51">
      <c r="A51" s="29" t="n"/>
      <c r="B51" s="31" t="n"/>
      <c r="C51" s="39" t="n"/>
      <c r="D51" s="39" t="n"/>
      <c r="E51" s="39" t="n"/>
      <c r="F51" s="42" t="n"/>
      <c r="G51" s="42" t="n"/>
      <c r="H51" s="39" t="n"/>
      <c r="I51" s="39" t="n"/>
      <c r="J51" s="29" t="n"/>
      <c r="K51" s="29" t="n"/>
      <c r="L51" s="29" t="n"/>
      <c r="M51" s="39" t="n"/>
      <c r="N51" s="29" t="n"/>
      <c r="O51" s="29" t="n"/>
      <c r="P51" s="29" t="n"/>
      <c r="Q51" s="29" t="n"/>
      <c r="R51" s="29" t="n"/>
      <c r="S51" s="29" t="n"/>
      <c r="T51" s="32">
        <f>IF($AB51=1,IFERROR(INDEX(Lists!$O$5:$O$6,MATCH($H51,Lists!$N$5:$N$6,0)),"?"),"")</f>
        <v/>
      </c>
      <c r="U51" s="32">
        <f>IF(AND($AB51=1,$I51&lt;&gt;""),IFERROR(INDEX(Treasuries!$E:$E,MATCH($I51,Treasuries!$A:$A,0)),"؟"),"")</f>
        <v/>
      </c>
      <c r="V51" s="44">
        <f>IF($AB51=1,IF($T51="IMM",$U51,ACC_ACCRUED),"")</f>
        <v/>
      </c>
      <c r="W51" s="43">
        <f>IF($AB51=1,$F51+$G51,"")</f>
        <v/>
      </c>
      <c r="X51" s="43">
        <f>IF($AB51=1,SUMIFS(Cash_Vouchers!$I:$I,Cash_Vouchers!$M:$M,$A51,Cash_Vouchers!$AM:$AM,1,Cash_Vouchers!$U:$U,"PAY"),"")</f>
        <v/>
      </c>
      <c r="Y51" s="43">
        <f>IF($AB51=1,IF($T51="CRD",$W51-$X51,0),"")</f>
        <v/>
      </c>
      <c r="Z51" s="44">
        <f>IF($AB51=1,IF($T51="IMM","مدفوع فورًا",IF($M51&lt;&gt;ST_POST,"غير مرحل",IF($Y51&lt;=S_Tol,"مدفوع بالكامل",IF($X51&gt;0,"مدفوع جزئيًا","غير مدفوع")))),"")</f>
        <v/>
      </c>
      <c r="AA51" s="33">
        <f>IF($AB51=1,IF($X51&gt;0,_xlfn.MAXIFS(Cash_Vouchers!$B:$B,Cash_Vouchers!$M:$M,$A51,Cash_Vouchers!$AM:$AM,1),""),"")</f>
        <v/>
      </c>
      <c r="AB51" s="32">
        <f>IF(COUNTA($A51:$S51)&gt;0,1,0)</f>
        <v/>
      </c>
      <c r="AC51" s="32">
        <f>IF($AB51=0,"",IF($A51="","رقم المستند ناقص",IF(COUNTIF(Doc_Register!$A:$A,$A51)&gt;1,"رقم مستند مكرر في السجل المركزي",IF(LEFT($A51,LEN("EXP")+1)&lt;&gt;"EXP"&amp;"-","بادئة الرقم لا تطابق نوع المستند",IF(NOT(ISNUMBER($B51)),"التاريخ ناقص أو غير صحيح",IF($M51="","حالة المستند ناقصة",IF($N51="","اسم المُعِد ناقص",IF(AND(OR($M51=ST_APPR,$M51=ST_POST),$O51=""),"لا يوجد معتمد",IF(AND($O51&lt;&gt;"",$O51=$N51),"المُعِد والمعتمد نفس الشخص (فصل المهام)",IF(AND($M51=ST_POST,$P51=""),"اسم المحاسب المرحِّل ناقص",IF(AND($M51=ST_POST,$P51&lt;&gt;"",OR($P51=$N51,$P51=$O51)),"المرحِّل يجب أن يختلف عن المُعِد والمعتمد",IF(AND($M51=ST_REV,$R51=""),"مرجع التصحيح/الإلغاء ناقص",IF(AND(ISNUMBER($B51),OR($M51=ST_DRAFT,$M51=ST_APPR),COUNTIFS(Period_Close!$A:$A,YEAR($B51)*100+MONTH($B51),Period_Close!$B:$B,"مقفلة")&gt;0),"الفترة مقفلة: لا يسمح بمستند جديد",IF(NOT(COUNTIF(Locations!$A:$A,$C51)&gt;0),"الفرع/الإدارة غير معرف",IF(NOT(COUNTIF(Cost_Centers!$A:$A,$D51)&gt;0),"مركز التكلفة غير معرف أو ناقص",IF(COUNTIFS(COA!$A:$A,$E51,COA!$J:$J,"نعم",COA!$R:$R,1)&lt;&gt;1,"حساب غير مسموح للمصروفات (الأصول الثابتة والمخزون لهما مسارات خاصة)",IF(NOT(N($F51)&gt;0),"المبلغ يجب أن يكون أكبر من صفر",IF($T51="?","نمط السداد غير معرف",IF(AND($T51="IMM",$I51=""),"الدفع الفوري يحتاج خزينة/بنك",IF(AND($T51="IMM",COUNTIFS(COA!$A:$A,$U51,COA!$R:$R,1)&lt;&gt;1),"الخزينة/البنك غير صالح",IF(AND($T51="IMM",$K51=""),"طريقة الدفع ناقصة",IF(AND(N($G51)&gt;0,S_VATOn&lt;&gt;"نعم"),"ضريبة المدخلات غير مفعلة في Tax_Settings",IF($J51="","المستفيد ناقص",IF(AND($T51="CRD",$X51&gt;$W51+S_Tol),"المسدَّد أكبر من المستحق",""))))))))))))))))))))))))</f>
        <v/>
      </c>
      <c r="AD51" s="32">
        <f>IF($AB51=1,IF($AC51&lt;&gt;"",1,0),0)</f>
        <v/>
      </c>
      <c r="AE51" s="32">
        <f>IF(AND($AB51=1,$AD51=0,$M51=ST_POST),1,0)</f>
        <v/>
      </c>
    </row>
    <row r="52">
      <c r="A52" s="29" t="n"/>
      <c r="B52" s="31" t="n"/>
      <c r="C52" s="39" t="n"/>
      <c r="D52" s="39" t="n"/>
      <c r="E52" s="39" t="n"/>
      <c r="F52" s="42" t="n"/>
      <c r="G52" s="42" t="n"/>
      <c r="H52" s="39" t="n"/>
      <c r="I52" s="39" t="n"/>
      <c r="J52" s="29" t="n"/>
      <c r="K52" s="29" t="n"/>
      <c r="L52" s="29" t="n"/>
      <c r="M52" s="39" t="n"/>
      <c r="N52" s="29" t="n"/>
      <c r="O52" s="29" t="n"/>
      <c r="P52" s="29" t="n"/>
      <c r="Q52" s="29" t="n"/>
      <c r="R52" s="29" t="n"/>
      <c r="S52" s="29" t="n"/>
      <c r="T52" s="32">
        <f>IF($AB52=1,IFERROR(INDEX(Lists!$O$5:$O$6,MATCH($H52,Lists!$N$5:$N$6,0)),"?"),"")</f>
        <v/>
      </c>
      <c r="U52" s="32">
        <f>IF(AND($AB52=1,$I52&lt;&gt;""),IFERROR(INDEX(Treasuries!$E:$E,MATCH($I52,Treasuries!$A:$A,0)),"؟"),"")</f>
        <v/>
      </c>
      <c r="V52" s="44">
        <f>IF($AB52=1,IF($T52="IMM",$U52,ACC_ACCRUED),"")</f>
        <v/>
      </c>
      <c r="W52" s="43">
        <f>IF($AB52=1,$F52+$G52,"")</f>
        <v/>
      </c>
      <c r="X52" s="43">
        <f>IF($AB52=1,SUMIFS(Cash_Vouchers!$I:$I,Cash_Vouchers!$M:$M,$A52,Cash_Vouchers!$AM:$AM,1,Cash_Vouchers!$U:$U,"PAY"),"")</f>
        <v/>
      </c>
      <c r="Y52" s="43">
        <f>IF($AB52=1,IF($T52="CRD",$W52-$X52,0),"")</f>
        <v/>
      </c>
      <c r="Z52" s="44">
        <f>IF($AB52=1,IF($T52="IMM","مدفوع فورًا",IF($M52&lt;&gt;ST_POST,"غير مرحل",IF($Y52&lt;=S_Tol,"مدفوع بالكامل",IF($X52&gt;0,"مدفوع جزئيًا","غير مدفوع")))),"")</f>
        <v/>
      </c>
      <c r="AA52" s="33">
        <f>IF($AB52=1,IF($X52&gt;0,_xlfn.MAXIFS(Cash_Vouchers!$B:$B,Cash_Vouchers!$M:$M,$A52,Cash_Vouchers!$AM:$AM,1),""),"")</f>
        <v/>
      </c>
      <c r="AB52" s="32">
        <f>IF(COUNTA($A52:$S52)&gt;0,1,0)</f>
        <v/>
      </c>
      <c r="AC52" s="32">
        <f>IF($AB52=0,"",IF($A52="","رقم المستند ناقص",IF(COUNTIF(Doc_Register!$A:$A,$A52)&gt;1,"رقم مستند مكرر في السجل المركزي",IF(LEFT($A52,LEN("EXP")+1)&lt;&gt;"EXP"&amp;"-","بادئة الرقم لا تطابق نوع المستند",IF(NOT(ISNUMBER($B52)),"التاريخ ناقص أو غير صحيح",IF($M52="","حالة المستند ناقصة",IF($N52="","اسم المُعِد ناقص",IF(AND(OR($M52=ST_APPR,$M52=ST_POST),$O52=""),"لا يوجد معتمد",IF(AND($O52&lt;&gt;"",$O52=$N52),"المُعِد والمعتمد نفس الشخص (فصل المهام)",IF(AND($M52=ST_POST,$P52=""),"اسم المحاسب المرحِّل ناقص",IF(AND($M52=ST_POST,$P52&lt;&gt;"",OR($P52=$N52,$P52=$O52)),"المرحِّل يجب أن يختلف عن المُعِد والمعتمد",IF(AND($M52=ST_REV,$R52=""),"مرجع التصحيح/الإلغاء ناقص",IF(AND(ISNUMBER($B52),OR($M52=ST_DRAFT,$M52=ST_APPR),COUNTIFS(Period_Close!$A:$A,YEAR($B52)*100+MONTH($B52),Period_Close!$B:$B,"مقفلة")&gt;0),"الفترة مقفلة: لا يسمح بمستند جديد",IF(NOT(COUNTIF(Locations!$A:$A,$C52)&gt;0),"الفرع/الإدارة غير معرف",IF(NOT(COUNTIF(Cost_Centers!$A:$A,$D52)&gt;0),"مركز التكلفة غير معرف أو ناقص",IF(COUNTIFS(COA!$A:$A,$E52,COA!$J:$J,"نعم",COA!$R:$R,1)&lt;&gt;1,"حساب غير مسموح للمصروفات (الأصول الثابتة والمخزون لهما مسارات خاصة)",IF(NOT(N($F52)&gt;0),"المبلغ يجب أن يكون أكبر من صفر",IF($T52="?","نمط السداد غير معرف",IF(AND($T52="IMM",$I52=""),"الدفع الفوري يحتاج خزينة/بنك",IF(AND($T52="IMM",COUNTIFS(COA!$A:$A,$U52,COA!$R:$R,1)&lt;&gt;1),"الخزينة/البنك غير صالح",IF(AND($T52="IMM",$K52=""),"طريقة الدفع ناقصة",IF(AND(N($G52)&gt;0,S_VATOn&lt;&gt;"نعم"),"ضريبة المدخلات غير مفعلة في Tax_Settings",IF($J52="","المستفيد ناقص",IF(AND($T52="CRD",$X52&gt;$W52+S_Tol),"المسدَّد أكبر من المستحق",""))))))))))))))))))))))))</f>
        <v/>
      </c>
      <c r="AD52" s="32">
        <f>IF($AB52=1,IF($AC52&lt;&gt;"",1,0),0)</f>
        <v/>
      </c>
      <c r="AE52" s="32">
        <f>IF(AND($AB52=1,$AD52=0,$M52=ST_POST),1,0)</f>
        <v/>
      </c>
    </row>
    <row r="53">
      <c r="A53" s="29" t="n"/>
      <c r="B53" s="31" t="n"/>
      <c r="C53" s="39" t="n"/>
      <c r="D53" s="39" t="n"/>
      <c r="E53" s="39" t="n"/>
      <c r="F53" s="42" t="n"/>
      <c r="G53" s="42" t="n"/>
      <c r="H53" s="39" t="n"/>
      <c r="I53" s="39" t="n"/>
      <c r="J53" s="29" t="n"/>
      <c r="K53" s="29" t="n"/>
      <c r="L53" s="29" t="n"/>
      <c r="M53" s="39" t="n"/>
      <c r="N53" s="29" t="n"/>
      <c r="O53" s="29" t="n"/>
      <c r="P53" s="29" t="n"/>
      <c r="Q53" s="29" t="n"/>
      <c r="R53" s="29" t="n"/>
      <c r="S53" s="29" t="n"/>
      <c r="T53" s="32">
        <f>IF($AB53=1,IFERROR(INDEX(Lists!$O$5:$O$6,MATCH($H53,Lists!$N$5:$N$6,0)),"?"),"")</f>
        <v/>
      </c>
      <c r="U53" s="32">
        <f>IF(AND($AB53=1,$I53&lt;&gt;""),IFERROR(INDEX(Treasuries!$E:$E,MATCH($I53,Treasuries!$A:$A,0)),"؟"),"")</f>
        <v/>
      </c>
      <c r="V53" s="44">
        <f>IF($AB53=1,IF($T53="IMM",$U53,ACC_ACCRUED),"")</f>
        <v/>
      </c>
      <c r="W53" s="43">
        <f>IF($AB53=1,$F53+$G53,"")</f>
        <v/>
      </c>
      <c r="X53" s="43">
        <f>IF($AB53=1,SUMIFS(Cash_Vouchers!$I:$I,Cash_Vouchers!$M:$M,$A53,Cash_Vouchers!$AM:$AM,1,Cash_Vouchers!$U:$U,"PAY"),"")</f>
        <v/>
      </c>
      <c r="Y53" s="43">
        <f>IF($AB53=1,IF($T53="CRD",$W53-$X53,0),"")</f>
        <v/>
      </c>
      <c r="Z53" s="44">
        <f>IF($AB53=1,IF($T53="IMM","مدفوع فورًا",IF($M53&lt;&gt;ST_POST,"غير مرحل",IF($Y53&lt;=S_Tol,"مدفوع بالكامل",IF($X53&gt;0,"مدفوع جزئيًا","غير مدفوع")))),"")</f>
        <v/>
      </c>
      <c r="AA53" s="33">
        <f>IF($AB53=1,IF($X53&gt;0,_xlfn.MAXIFS(Cash_Vouchers!$B:$B,Cash_Vouchers!$M:$M,$A53,Cash_Vouchers!$AM:$AM,1),""),"")</f>
        <v/>
      </c>
      <c r="AB53" s="32">
        <f>IF(COUNTA($A53:$S53)&gt;0,1,0)</f>
        <v/>
      </c>
      <c r="AC53" s="32">
        <f>IF($AB53=0,"",IF($A53="","رقم المستند ناقص",IF(COUNTIF(Doc_Register!$A:$A,$A53)&gt;1,"رقم مستند مكرر في السجل المركزي",IF(LEFT($A53,LEN("EXP")+1)&lt;&gt;"EXP"&amp;"-","بادئة الرقم لا تطابق نوع المستند",IF(NOT(ISNUMBER($B53)),"التاريخ ناقص أو غير صحيح",IF($M53="","حالة المستند ناقصة",IF($N53="","اسم المُعِد ناقص",IF(AND(OR($M53=ST_APPR,$M53=ST_POST),$O53=""),"لا يوجد معتمد",IF(AND($O53&lt;&gt;"",$O53=$N53),"المُعِد والمعتمد نفس الشخص (فصل المهام)",IF(AND($M53=ST_POST,$P53=""),"اسم المحاسب المرحِّل ناقص",IF(AND($M53=ST_POST,$P53&lt;&gt;"",OR($P53=$N53,$P53=$O53)),"المرحِّل يجب أن يختلف عن المُعِد والمعتمد",IF(AND($M53=ST_REV,$R53=""),"مرجع التصحيح/الإلغاء ناقص",IF(AND(ISNUMBER($B53),OR($M53=ST_DRAFT,$M53=ST_APPR),COUNTIFS(Period_Close!$A:$A,YEAR($B53)*100+MONTH($B53),Period_Close!$B:$B,"مقفلة")&gt;0),"الفترة مقفلة: لا يسمح بمستند جديد",IF(NOT(COUNTIF(Locations!$A:$A,$C53)&gt;0),"الفرع/الإدارة غير معرف",IF(NOT(COUNTIF(Cost_Centers!$A:$A,$D53)&gt;0),"مركز التكلفة غير معرف أو ناقص",IF(COUNTIFS(COA!$A:$A,$E53,COA!$J:$J,"نعم",COA!$R:$R,1)&lt;&gt;1,"حساب غير مسموح للمصروفات (الأصول الثابتة والمخزون لهما مسارات خاصة)",IF(NOT(N($F53)&gt;0),"المبلغ يجب أن يكون أكبر من صفر",IF($T53="?","نمط السداد غير معرف",IF(AND($T53="IMM",$I53=""),"الدفع الفوري يحتاج خزينة/بنك",IF(AND($T53="IMM",COUNTIFS(COA!$A:$A,$U53,COA!$R:$R,1)&lt;&gt;1),"الخزينة/البنك غير صالح",IF(AND($T53="IMM",$K53=""),"طريقة الدفع ناقصة",IF(AND(N($G53)&gt;0,S_VATOn&lt;&gt;"نعم"),"ضريبة المدخلات غير مفعلة في Tax_Settings",IF($J53="","المستفيد ناقص",IF(AND($T53="CRD",$X53&gt;$W53+S_Tol),"المسدَّد أكبر من المستحق",""))))))))))))))))))))))))</f>
        <v/>
      </c>
      <c r="AD53" s="32">
        <f>IF($AB53=1,IF($AC53&lt;&gt;"",1,0),0)</f>
        <v/>
      </c>
      <c r="AE53" s="32">
        <f>IF(AND($AB53=1,$AD53=0,$M53=ST_POST),1,0)</f>
        <v/>
      </c>
    </row>
    <row r="54">
      <c r="A54" s="29" t="n"/>
      <c r="B54" s="31" t="n"/>
      <c r="C54" s="39" t="n"/>
      <c r="D54" s="39" t="n"/>
      <c r="E54" s="39" t="n"/>
      <c r="F54" s="42" t="n"/>
      <c r="G54" s="42" t="n"/>
      <c r="H54" s="39" t="n"/>
      <c r="I54" s="39" t="n"/>
      <c r="J54" s="29" t="n"/>
      <c r="K54" s="29" t="n"/>
      <c r="L54" s="29" t="n"/>
      <c r="M54" s="39" t="n"/>
      <c r="N54" s="29" t="n"/>
      <c r="O54" s="29" t="n"/>
      <c r="P54" s="29" t="n"/>
      <c r="Q54" s="29" t="n"/>
      <c r="R54" s="29" t="n"/>
      <c r="S54" s="29" t="n"/>
      <c r="T54" s="32">
        <f>IF($AB54=1,IFERROR(INDEX(Lists!$O$5:$O$6,MATCH($H54,Lists!$N$5:$N$6,0)),"?"),"")</f>
        <v/>
      </c>
      <c r="U54" s="32">
        <f>IF(AND($AB54=1,$I54&lt;&gt;""),IFERROR(INDEX(Treasuries!$E:$E,MATCH($I54,Treasuries!$A:$A,0)),"؟"),"")</f>
        <v/>
      </c>
      <c r="V54" s="44">
        <f>IF($AB54=1,IF($T54="IMM",$U54,ACC_ACCRUED),"")</f>
        <v/>
      </c>
      <c r="W54" s="43">
        <f>IF($AB54=1,$F54+$G54,"")</f>
        <v/>
      </c>
      <c r="X54" s="43">
        <f>IF($AB54=1,SUMIFS(Cash_Vouchers!$I:$I,Cash_Vouchers!$M:$M,$A54,Cash_Vouchers!$AM:$AM,1,Cash_Vouchers!$U:$U,"PAY"),"")</f>
        <v/>
      </c>
      <c r="Y54" s="43">
        <f>IF($AB54=1,IF($T54="CRD",$W54-$X54,0),"")</f>
        <v/>
      </c>
      <c r="Z54" s="44">
        <f>IF($AB54=1,IF($T54="IMM","مدفوع فورًا",IF($M54&lt;&gt;ST_POST,"غير مرحل",IF($Y54&lt;=S_Tol,"مدفوع بالكامل",IF($X54&gt;0,"مدفوع جزئيًا","غير مدفوع")))),"")</f>
        <v/>
      </c>
      <c r="AA54" s="33">
        <f>IF($AB54=1,IF($X54&gt;0,_xlfn.MAXIFS(Cash_Vouchers!$B:$B,Cash_Vouchers!$M:$M,$A54,Cash_Vouchers!$AM:$AM,1),""),"")</f>
        <v/>
      </c>
      <c r="AB54" s="32">
        <f>IF(COUNTA($A54:$S54)&gt;0,1,0)</f>
        <v/>
      </c>
      <c r="AC54" s="32">
        <f>IF($AB54=0,"",IF($A54="","رقم المستند ناقص",IF(COUNTIF(Doc_Register!$A:$A,$A54)&gt;1,"رقم مستند مكرر في السجل المركزي",IF(LEFT($A54,LEN("EXP")+1)&lt;&gt;"EXP"&amp;"-","بادئة الرقم لا تطابق نوع المستند",IF(NOT(ISNUMBER($B54)),"التاريخ ناقص أو غير صحيح",IF($M54="","حالة المستند ناقصة",IF($N54="","اسم المُعِد ناقص",IF(AND(OR($M54=ST_APPR,$M54=ST_POST),$O54=""),"لا يوجد معتمد",IF(AND($O54&lt;&gt;"",$O54=$N54),"المُعِد والمعتمد نفس الشخص (فصل المهام)",IF(AND($M54=ST_POST,$P54=""),"اسم المحاسب المرحِّل ناقص",IF(AND($M54=ST_POST,$P54&lt;&gt;"",OR($P54=$N54,$P54=$O54)),"المرحِّل يجب أن يختلف عن المُعِد والمعتمد",IF(AND($M54=ST_REV,$R54=""),"مرجع التصحيح/الإلغاء ناقص",IF(AND(ISNUMBER($B54),OR($M54=ST_DRAFT,$M54=ST_APPR),COUNTIFS(Period_Close!$A:$A,YEAR($B54)*100+MONTH($B54),Period_Close!$B:$B,"مقفلة")&gt;0),"الفترة مقفلة: لا يسمح بمستند جديد",IF(NOT(COUNTIF(Locations!$A:$A,$C54)&gt;0),"الفرع/الإدارة غير معرف",IF(NOT(COUNTIF(Cost_Centers!$A:$A,$D54)&gt;0),"مركز التكلفة غير معرف أو ناقص",IF(COUNTIFS(COA!$A:$A,$E54,COA!$J:$J,"نعم",COA!$R:$R,1)&lt;&gt;1,"حساب غير مسموح للمصروفات (الأصول الثابتة والمخزون لهما مسارات خاصة)",IF(NOT(N($F54)&gt;0),"المبلغ يجب أن يكون أكبر من صفر",IF($T54="?","نمط السداد غير معرف",IF(AND($T54="IMM",$I54=""),"الدفع الفوري يحتاج خزينة/بنك",IF(AND($T54="IMM",COUNTIFS(COA!$A:$A,$U54,COA!$R:$R,1)&lt;&gt;1),"الخزينة/البنك غير صالح",IF(AND($T54="IMM",$K54=""),"طريقة الدفع ناقصة",IF(AND(N($G54)&gt;0,S_VATOn&lt;&gt;"نعم"),"ضريبة المدخلات غير مفعلة في Tax_Settings",IF($J54="","المستفيد ناقص",IF(AND($T54="CRD",$X54&gt;$W54+S_Tol),"المسدَّد أكبر من المستحق",""))))))))))))))))))))))))</f>
        <v/>
      </c>
      <c r="AD54" s="32">
        <f>IF($AB54=1,IF($AC54&lt;&gt;"",1,0),0)</f>
        <v/>
      </c>
      <c r="AE54" s="32">
        <f>IF(AND($AB54=1,$AD54=0,$M54=ST_POST),1,0)</f>
        <v/>
      </c>
    </row>
    <row r="55">
      <c r="A55" s="29" t="n"/>
      <c r="B55" s="31" t="n"/>
      <c r="C55" s="39" t="n"/>
      <c r="D55" s="39" t="n"/>
      <c r="E55" s="39" t="n"/>
      <c r="F55" s="42" t="n"/>
      <c r="G55" s="42" t="n"/>
      <c r="H55" s="39" t="n"/>
      <c r="I55" s="39" t="n"/>
      <c r="J55" s="29" t="n"/>
      <c r="K55" s="29" t="n"/>
      <c r="L55" s="29" t="n"/>
      <c r="M55" s="39" t="n"/>
      <c r="N55" s="29" t="n"/>
      <c r="O55" s="29" t="n"/>
      <c r="P55" s="29" t="n"/>
      <c r="Q55" s="29" t="n"/>
      <c r="R55" s="29" t="n"/>
      <c r="S55" s="29" t="n"/>
      <c r="T55" s="32">
        <f>IF($AB55=1,IFERROR(INDEX(Lists!$O$5:$O$6,MATCH($H55,Lists!$N$5:$N$6,0)),"?"),"")</f>
        <v/>
      </c>
      <c r="U55" s="32">
        <f>IF(AND($AB55=1,$I55&lt;&gt;""),IFERROR(INDEX(Treasuries!$E:$E,MATCH($I55,Treasuries!$A:$A,0)),"؟"),"")</f>
        <v/>
      </c>
      <c r="V55" s="44">
        <f>IF($AB55=1,IF($T55="IMM",$U55,ACC_ACCRUED),"")</f>
        <v/>
      </c>
      <c r="W55" s="43">
        <f>IF($AB55=1,$F55+$G55,"")</f>
        <v/>
      </c>
      <c r="X55" s="43">
        <f>IF($AB55=1,SUMIFS(Cash_Vouchers!$I:$I,Cash_Vouchers!$M:$M,$A55,Cash_Vouchers!$AM:$AM,1,Cash_Vouchers!$U:$U,"PAY"),"")</f>
        <v/>
      </c>
      <c r="Y55" s="43">
        <f>IF($AB55=1,IF($T55="CRD",$W55-$X55,0),"")</f>
        <v/>
      </c>
      <c r="Z55" s="44">
        <f>IF($AB55=1,IF($T55="IMM","مدفوع فورًا",IF($M55&lt;&gt;ST_POST,"غير مرحل",IF($Y55&lt;=S_Tol,"مدفوع بالكامل",IF($X55&gt;0,"مدفوع جزئيًا","غير مدفوع")))),"")</f>
        <v/>
      </c>
      <c r="AA55" s="33">
        <f>IF($AB55=1,IF($X55&gt;0,_xlfn.MAXIFS(Cash_Vouchers!$B:$B,Cash_Vouchers!$M:$M,$A55,Cash_Vouchers!$AM:$AM,1),""),"")</f>
        <v/>
      </c>
      <c r="AB55" s="32">
        <f>IF(COUNTA($A55:$S55)&gt;0,1,0)</f>
        <v/>
      </c>
      <c r="AC55" s="32">
        <f>IF($AB55=0,"",IF($A55="","رقم المستند ناقص",IF(COUNTIF(Doc_Register!$A:$A,$A55)&gt;1,"رقم مستند مكرر في السجل المركزي",IF(LEFT($A55,LEN("EXP")+1)&lt;&gt;"EXP"&amp;"-","بادئة الرقم لا تطابق نوع المستند",IF(NOT(ISNUMBER($B55)),"التاريخ ناقص أو غير صحيح",IF($M55="","حالة المستند ناقصة",IF($N55="","اسم المُعِد ناقص",IF(AND(OR($M55=ST_APPR,$M55=ST_POST),$O55=""),"لا يوجد معتمد",IF(AND($O55&lt;&gt;"",$O55=$N55),"المُعِد والمعتمد نفس الشخص (فصل المهام)",IF(AND($M55=ST_POST,$P55=""),"اسم المحاسب المرحِّل ناقص",IF(AND($M55=ST_POST,$P55&lt;&gt;"",OR($P55=$N55,$P55=$O55)),"المرحِّل يجب أن يختلف عن المُعِد والمعتمد",IF(AND($M55=ST_REV,$R55=""),"مرجع التصحيح/الإلغاء ناقص",IF(AND(ISNUMBER($B55),OR($M55=ST_DRAFT,$M55=ST_APPR),COUNTIFS(Period_Close!$A:$A,YEAR($B55)*100+MONTH($B55),Period_Close!$B:$B,"مقفلة")&gt;0),"الفترة مقفلة: لا يسمح بمستند جديد",IF(NOT(COUNTIF(Locations!$A:$A,$C55)&gt;0),"الفرع/الإدارة غير معرف",IF(NOT(COUNTIF(Cost_Centers!$A:$A,$D55)&gt;0),"مركز التكلفة غير معرف أو ناقص",IF(COUNTIFS(COA!$A:$A,$E55,COA!$J:$J,"نعم",COA!$R:$R,1)&lt;&gt;1,"حساب غير مسموح للمصروفات (الأصول الثابتة والمخزون لهما مسارات خاصة)",IF(NOT(N($F55)&gt;0),"المبلغ يجب أن يكون أكبر من صفر",IF($T55="?","نمط السداد غير معرف",IF(AND($T55="IMM",$I55=""),"الدفع الفوري يحتاج خزينة/بنك",IF(AND($T55="IMM",COUNTIFS(COA!$A:$A,$U55,COA!$R:$R,1)&lt;&gt;1),"الخزينة/البنك غير صالح",IF(AND($T55="IMM",$K55=""),"طريقة الدفع ناقصة",IF(AND(N($G55)&gt;0,S_VATOn&lt;&gt;"نعم"),"ضريبة المدخلات غير مفعلة في Tax_Settings",IF($J55="","المستفيد ناقص",IF(AND($T55="CRD",$X55&gt;$W55+S_Tol),"المسدَّد أكبر من المستحق",""))))))))))))))))))))))))</f>
        <v/>
      </c>
      <c r="AD55" s="32">
        <f>IF($AB55=1,IF($AC55&lt;&gt;"",1,0),0)</f>
        <v/>
      </c>
      <c r="AE55" s="32">
        <f>IF(AND($AB55=1,$AD55=0,$M55=ST_POST),1,0)</f>
        <v/>
      </c>
    </row>
    <row r="56">
      <c r="A56" s="29" t="n"/>
      <c r="B56" s="31" t="n"/>
      <c r="C56" s="39" t="n"/>
      <c r="D56" s="39" t="n"/>
      <c r="E56" s="39" t="n"/>
      <c r="F56" s="42" t="n"/>
      <c r="G56" s="42" t="n"/>
      <c r="H56" s="39" t="n"/>
      <c r="I56" s="39" t="n"/>
      <c r="J56" s="29" t="n"/>
      <c r="K56" s="29" t="n"/>
      <c r="L56" s="29" t="n"/>
      <c r="M56" s="39" t="n"/>
      <c r="N56" s="29" t="n"/>
      <c r="O56" s="29" t="n"/>
      <c r="P56" s="29" t="n"/>
      <c r="Q56" s="29" t="n"/>
      <c r="R56" s="29" t="n"/>
      <c r="S56" s="29" t="n"/>
      <c r="T56" s="32">
        <f>IF($AB56=1,IFERROR(INDEX(Lists!$O$5:$O$6,MATCH($H56,Lists!$N$5:$N$6,0)),"?"),"")</f>
        <v/>
      </c>
      <c r="U56" s="32">
        <f>IF(AND($AB56=1,$I56&lt;&gt;""),IFERROR(INDEX(Treasuries!$E:$E,MATCH($I56,Treasuries!$A:$A,0)),"؟"),"")</f>
        <v/>
      </c>
      <c r="V56" s="44">
        <f>IF($AB56=1,IF($T56="IMM",$U56,ACC_ACCRUED),"")</f>
        <v/>
      </c>
      <c r="W56" s="43">
        <f>IF($AB56=1,$F56+$G56,"")</f>
        <v/>
      </c>
      <c r="X56" s="43">
        <f>IF($AB56=1,SUMIFS(Cash_Vouchers!$I:$I,Cash_Vouchers!$M:$M,$A56,Cash_Vouchers!$AM:$AM,1,Cash_Vouchers!$U:$U,"PAY"),"")</f>
        <v/>
      </c>
      <c r="Y56" s="43">
        <f>IF($AB56=1,IF($T56="CRD",$W56-$X56,0),"")</f>
        <v/>
      </c>
      <c r="Z56" s="44">
        <f>IF($AB56=1,IF($T56="IMM","مدفوع فورًا",IF($M56&lt;&gt;ST_POST,"غير مرحل",IF($Y56&lt;=S_Tol,"مدفوع بالكامل",IF($X56&gt;0,"مدفوع جزئيًا","غير مدفوع")))),"")</f>
        <v/>
      </c>
      <c r="AA56" s="33">
        <f>IF($AB56=1,IF($X56&gt;0,_xlfn.MAXIFS(Cash_Vouchers!$B:$B,Cash_Vouchers!$M:$M,$A56,Cash_Vouchers!$AM:$AM,1),""),"")</f>
        <v/>
      </c>
      <c r="AB56" s="32">
        <f>IF(COUNTA($A56:$S56)&gt;0,1,0)</f>
        <v/>
      </c>
      <c r="AC56" s="32">
        <f>IF($AB56=0,"",IF($A56="","رقم المستند ناقص",IF(COUNTIF(Doc_Register!$A:$A,$A56)&gt;1,"رقم مستند مكرر في السجل المركزي",IF(LEFT($A56,LEN("EXP")+1)&lt;&gt;"EXP"&amp;"-","بادئة الرقم لا تطابق نوع المستند",IF(NOT(ISNUMBER($B56)),"التاريخ ناقص أو غير صحيح",IF($M56="","حالة المستند ناقصة",IF($N56="","اسم المُعِد ناقص",IF(AND(OR($M56=ST_APPR,$M56=ST_POST),$O56=""),"لا يوجد معتمد",IF(AND($O56&lt;&gt;"",$O56=$N56),"المُعِد والمعتمد نفس الشخص (فصل المهام)",IF(AND($M56=ST_POST,$P56=""),"اسم المحاسب المرحِّل ناقص",IF(AND($M56=ST_POST,$P56&lt;&gt;"",OR($P56=$N56,$P56=$O56)),"المرحِّل يجب أن يختلف عن المُعِد والمعتمد",IF(AND($M56=ST_REV,$R56=""),"مرجع التصحيح/الإلغاء ناقص",IF(AND(ISNUMBER($B56),OR($M56=ST_DRAFT,$M56=ST_APPR),COUNTIFS(Period_Close!$A:$A,YEAR($B56)*100+MONTH($B56),Period_Close!$B:$B,"مقفلة")&gt;0),"الفترة مقفلة: لا يسمح بمستند جديد",IF(NOT(COUNTIF(Locations!$A:$A,$C56)&gt;0),"الفرع/الإدارة غير معرف",IF(NOT(COUNTIF(Cost_Centers!$A:$A,$D56)&gt;0),"مركز التكلفة غير معرف أو ناقص",IF(COUNTIFS(COA!$A:$A,$E56,COA!$J:$J,"نعم",COA!$R:$R,1)&lt;&gt;1,"حساب غير مسموح للمصروفات (الأصول الثابتة والمخزون لهما مسارات خاصة)",IF(NOT(N($F56)&gt;0),"المبلغ يجب أن يكون أكبر من صفر",IF($T56="?","نمط السداد غير معرف",IF(AND($T56="IMM",$I56=""),"الدفع الفوري يحتاج خزينة/بنك",IF(AND($T56="IMM",COUNTIFS(COA!$A:$A,$U56,COA!$R:$R,1)&lt;&gt;1),"الخزينة/البنك غير صالح",IF(AND($T56="IMM",$K56=""),"طريقة الدفع ناقصة",IF(AND(N($G56)&gt;0,S_VATOn&lt;&gt;"نعم"),"ضريبة المدخلات غير مفعلة في Tax_Settings",IF($J56="","المستفيد ناقص",IF(AND($T56="CRD",$X56&gt;$W56+S_Tol),"المسدَّد أكبر من المستحق",""))))))))))))))))))))))))</f>
        <v/>
      </c>
      <c r="AD56" s="32">
        <f>IF($AB56=1,IF($AC56&lt;&gt;"",1,0),0)</f>
        <v/>
      </c>
      <c r="AE56" s="32">
        <f>IF(AND($AB56=1,$AD56=0,$M56=ST_POST),1,0)</f>
        <v/>
      </c>
    </row>
    <row r="57">
      <c r="A57" s="29" t="n"/>
      <c r="B57" s="31" t="n"/>
      <c r="C57" s="39" t="n"/>
      <c r="D57" s="39" t="n"/>
      <c r="E57" s="39" t="n"/>
      <c r="F57" s="42" t="n"/>
      <c r="G57" s="42" t="n"/>
      <c r="H57" s="39" t="n"/>
      <c r="I57" s="39" t="n"/>
      <c r="J57" s="29" t="n"/>
      <c r="K57" s="29" t="n"/>
      <c r="L57" s="29" t="n"/>
      <c r="M57" s="39" t="n"/>
      <c r="N57" s="29" t="n"/>
      <c r="O57" s="29" t="n"/>
      <c r="P57" s="29" t="n"/>
      <c r="Q57" s="29" t="n"/>
      <c r="R57" s="29" t="n"/>
      <c r="S57" s="29" t="n"/>
      <c r="T57" s="32">
        <f>IF($AB57=1,IFERROR(INDEX(Lists!$O$5:$O$6,MATCH($H57,Lists!$N$5:$N$6,0)),"?"),"")</f>
        <v/>
      </c>
      <c r="U57" s="32">
        <f>IF(AND($AB57=1,$I57&lt;&gt;""),IFERROR(INDEX(Treasuries!$E:$E,MATCH($I57,Treasuries!$A:$A,0)),"؟"),"")</f>
        <v/>
      </c>
      <c r="V57" s="44">
        <f>IF($AB57=1,IF($T57="IMM",$U57,ACC_ACCRUED),"")</f>
        <v/>
      </c>
      <c r="W57" s="43">
        <f>IF($AB57=1,$F57+$G57,"")</f>
        <v/>
      </c>
      <c r="X57" s="43">
        <f>IF($AB57=1,SUMIFS(Cash_Vouchers!$I:$I,Cash_Vouchers!$M:$M,$A57,Cash_Vouchers!$AM:$AM,1,Cash_Vouchers!$U:$U,"PAY"),"")</f>
        <v/>
      </c>
      <c r="Y57" s="43">
        <f>IF($AB57=1,IF($T57="CRD",$W57-$X57,0),"")</f>
        <v/>
      </c>
      <c r="Z57" s="44">
        <f>IF($AB57=1,IF($T57="IMM","مدفوع فورًا",IF($M57&lt;&gt;ST_POST,"غير مرحل",IF($Y57&lt;=S_Tol,"مدفوع بالكامل",IF($X57&gt;0,"مدفوع جزئيًا","غير مدفوع")))),"")</f>
        <v/>
      </c>
      <c r="AA57" s="33">
        <f>IF($AB57=1,IF($X57&gt;0,_xlfn.MAXIFS(Cash_Vouchers!$B:$B,Cash_Vouchers!$M:$M,$A57,Cash_Vouchers!$AM:$AM,1),""),"")</f>
        <v/>
      </c>
      <c r="AB57" s="32">
        <f>IF(COUNTA($A57:$S57)&gt;0,1,0)</f>
        <v/>
      </c>
      <c r="AC57" s="32">
        <f>IF($AB57=0,"",IF($A57="","رقم المستند ناقص",IF(COUNTIF(Doc_Register!$A:$A,$A57)&gt;1,"رقم مستند مكرر في السجل المركزي",IF(LEFT($A57,LEN("EXP")+1)&lt;&gt;"EXP"&amp;"-","بادئة الرقم لا تطابق نوع المستند",IF(NOT(ISNUMBER($B57)),"التاريخ ناقص أو غير صحيح",IF($M57="","حالة المستند ناقصة",IF($N57="","اسم المُعِد ناقص",IF(AND(OR($M57=ST_APPR,$M57=ST_POST),$O57=""),"لا يوجد معتمد",IF(AND($O57&lt;&gt;"",$O57=$N57),"المُعِد والمعتمد نفس الشخص (فصل المهام)",IF(AND($M57=ST_POST,$P57=""),"اسم المحاسب المرحِّل ناقص",IF(AND($M57=ST_POST,$P57&lt;&gt;"",OR($P57=$N57,$P57=$O57)),"المرحِّل يجب أن يختلف عن المُعِد والمعتمد",IF(AND($M57=ST_REV,$R57=""),"مرجع التصحيح/الإلغاء ناقص",IF(AND(ISNUMBER($B57),OR($M57=ST_DRAFT,$M57=ST_APPR),COUNTIFS(Period_Close!$A:$A,YEAR($B57)*100+MONTH($B57),Period_Close!$B:$B,"مقفلة")&gt;0),"الفترة مقفلة: لا يسمح بمستند جديد",IF(NOT(COUNTIF(Locations!$A:$A,$C57)&gt;0),"الفرع/الإدارة غير معرف",IF(NOT(COUNTIF(Cost_Centers!$A:$A,$D57)&gt;0),"مركز التكلفة غير معرف أو ناقص",IF(COUNTIFS(COA!$A:$A,$E57,COA!$J:$J,"نعم",COA!$R:$R,1)&lt;&gt;1,"حساب غير مسموح للمصروفات (الأصول الثابتة والمخزون لهما مسارات خاصة)",IF(NOT(N($F57)&gt;0),"المبلغ يجب أن يكون أكبر من صفر",IF($T57="?","نمط السداد غير معرف",IF(AND($T57="IMM",$I57=""),"الدفع الفوري يحتاج خزينة/بنك",IF(AND($T57="IMM",COUNTIFS(COA!$A:$A,$U57,COA!$R:$R,1)&lt;&gt;1),"الخزينة/البنك غير صالح",IF(AND($T57="IMM",$K57=""),"طريقة الدفع ناقصة",IF(AND(N($G57)&gt;0,S_VATOn&lt;&gt;"نعم"),"ضريبة المدخلات غير مفعلة في Tax_Settings",IF($J57="","المستفيد ناقص",IF(AND($T57="CRD",$X57&gt;$W57+S_Tol),"المسدَّد أكبر من المستحق",""))))))))))))))))))))))))</f>
        <v/>
      </c>
      <c r="AD57" s="32">
        <f>IF($AB57=1,IF($AC57&lt;&gt;"",1,0),0)</f>
        <v/>
      </c>
      <c r="AE57" s="32">
        <f>IF(AND($AB57=1,$AD57=0,$M57=ST_POST),1,0)</f>
        <v/>
      </c>
    </row>
    <row r="58">
      <c r="A58" s="29" t="n"/>
      <c r="B58" s="31" t="n"/>
      <c r="C58" s="39" t="n"/>
      <c r="D58" s="39" t="n"/>
      <c r="E58" s="39" t="n"/>
      <c r="F58" s="42" t="n"/>
      <c r="G58" s="42" t="n"/>
      <c r="H58" s="39" t="n"/>
      <c r="I58" s="39" t="n"/>
      <c r="J58" s="29" t="n"/>
      <c r="K58" s="29" t="n"/>
      <c r="L58" s="29" t="n"/>
      <c r="M58" s="39" t="n"/>
      <c r="N58" s="29" t="n"/>
      <c r="O58" s="29" t="n"/>
      <c r="P58" s="29" t="n"/>
      <c r="Q58" s="29" t="n"/>
      <c r="R58" s="29" t="n"/>
      <c r="S58" s="29" t="n"/>
      <c r="T58" s="32">
        <f>IF($AB58=1,IFERROR(INDEX(Lists!$O$5:$O$6,MATCH($H58,Lists!$N$5:$N$6,0)),"?"),"")</f>
        <v/>
      </c>
      <c r="U58" s="32">
        <f>IF(AND($AB58=1,$I58&lt;&gt;""),IFERROR(INDEX(Treasuries!$E:$E,MATCH($I58,Treasuries!$A:$A,0)),"؟"),"")</f>
        <v/>
      </c>
      <c r="V58" s="44">
        <f>IF($AB58=1,IF($T58="IMM",$U58,ACC_ACCRUED),"")</f>
        <v/>
      </c>
      <c r="W58" s="43">
        <f>IF($AB58=1,$F58+$G58,"")</f>
        <v/>
      </c>
      <c r="X58" s="43">
        <f>IF($AB58=1,SUMIFS(Cash_Vouchers!$I:$I,Cash_Vouchers!$M:$M,$A58,Cash_Vouchers!$AM:$AM,1,Cash_Vouchers!$U:$U,"PAY"),"")</f>
        <v/>
      </c>
      <c r="Y58" s="43">
        <f>IF($AB58=1,IF($T58="CRD",$W58-$X58,0),"")</f>
        <v/>
      </c>
      <c r="Z58" s="44">
        <f>IF($AB58=1,IF($T58="IMM","مدفوع فورًا",IF($M58&lt;&gt;ST_POST,"غير مرحل",IF($Y58&lt;=S_Tol,"مدفوع بالكامل",IF($X58&gt;0,"مدفوع جزئيًا","غير مدفوع")))),"")</f>
        <v/>
      </c>
      <c r="AA58" s="33">
        <f>IF($AB58=1,IF($X58&gt;0,_xlfn.MAXIFS(Cash_Vouchers!$B:$B,Cash_Vouchers!$M:$M,$A58,Cash_Vouchers!$AM:$AM,1),""),"")</f>
        <v/>
      </c>
      <c r="AB58" s="32">
        <f>IF(COUNTA($A58:$S58)&gt;0,1,0)</f>
        <v/>
      </c>
      <c r="AC58" s="32">
        <f>IF($AB58=0,"",IF($A58="","رقم المستند ناقص",IF(COUNTIF(Doc_Register!$A:$A,$A58)&gt;1,"رقم مستند مكرر في السجل المركزي",IF(LEFT($A58,LEN("EXP")+1)&lt;&gt;"EXP"&amp;"-","بادئة الرقم لا تطابق نوع المستند",IF(NOT(ISNUMBER($B58)),"التاريخ ناقص أو غير صحيح",IF($M58="","حالة المستند ناقصة",IF($N58="","اسم المُعِد ناقص",IF(AND(OR($M58=ST_APPR,$M58=ST_POST),$O58=""),"لا يوجد معتمد",IF(AND($O58&lt;&gt;"",$O58=$N58),"المُعِد والمعتمد نفس الشخص (فصل المهام)",IF(AND($M58=ST_POST,$P58=""),"اسم المحاسب المرحِّل ناقص",IF(AND($M58=ST_POST,$P58&lt;&gt;"",OR($P58=$N58,$P58=$O58)),"المرحِّل يجب أن يختلف عن المُعِد والمعتمد",IF(AND($M58=ST_REV,$R58=""),"مرجع التصحيح/الإلغاء ناقص",IF(AND(ISNUMBER($B58),OR($M58=ST_DRAFT,$M58=ST_APPR),COUNTIFS(Period_Close!$A:$A,YEAR($B58)*100+MONTH($B58),Period_Close!$B:$B,"مقفلة")&gt;0),"الفترة مقفلة: لا يسمح بمستند جديد",IF(NOT(COUNTIF(Locations!$A:$A,$C58)&gt;0),"الفرع/الإدارة غير معرف",IF(NOT(COUNTIF(Cost_Centers!$A:$A,$D58)&gt;0),"مركز التكلفة غير معرف أو ناقص",IF(COUNTIFS(COA!$A:$A,$E58,COA!$J:$J,"نعم",COA!$R:$R,1)&lt;&gt;1,"حساب غير مسموح للمصروفات (الأصول الثابتة والمخزون لهما مسارات خاصة)",IF(NOT(N($F58)&gt;0),"المبلغ يجب أن يكون أكبر من صفر",IF($T58="?","نمط السداد غير معرف",IF(AND($T58="IMM",$I58=""),"الدفع الفوري يحتاج خزينة/بنك",IF(AND($T58="IMM",COUNTIFS(COA!$A:$A,$U58,COA!$R:$R,1)&lt;&gt;1),"الخزينة/البنك غير صالح",IF(AND($T58="IMM",$K58=""),"طريقة الدفع ناقصة",IF(AND(N($G58)&gt;0,S_VATOn&lt;&gt;"نعم"),"ضريبة المدخلات غير مفعلة في Tax_Settings",IF($J58="","المستفيد ناقص",IF(AND($T58="CRD",$X58&gt;$W58+S_Tol),"المسدَّد أكبر من المستحق",""))))))))))))))))))))))))</f>
        <v/>
      </c>
      <c r="AD58" s="32">
        <f>IF($AB58=1,IF($AC58&lt;&gt;"",1,0),0)</f>
        <v/>
      </c>
      <c r="AE58" s="32">
        <f>IF(AND($AB58=1,$AD58=0,$M58=ST_POST),1,0)</f>
        <v/>
      </c>
    </row>
    <row r="59">
      <c r="A59" s="29" t="n"/>
      <c r="B59" s="31" t="n"/>
      <c r="C59" s="39" t="n"/>
      <c r="D59" s="39" t="n"/>
      <c r="E59" s="39" t="n"/>
      <c r="F59" s="42" t="n"/>
      <c r="G59" s="42" t="n"/>
      <c r="H59" s="39" t="n"/>
      <c r="I59" s="39" t="n"/>
      <c r="J59" s="29" t="n"/>
      <c r="K59" s="29" t="n"/>
      <c r="L59" s="29" t="n"/>
      <c r="M59" s="39" t="n"/>
      <c r="N59" s="29" t="n"/>
      <c r="O59" s="29" t="n"/>
      <c r="P59" s="29" t="n"/>
      <c r="Q59" s="29" t="n"/>
      <c r="R59" s="29" t="n"/>
      <c r="S59" s="29" t="n"/>
      <c r="T59" s="32">
        <f>IF($AB59=1,IFERROR(INDEX(Lists!$O$5:$O$6,MATCH($H59,Lists!$N$5:$N$6,0)),"?"),"")</f>
        <v/>
      </c>
      <c r="U59" s="32">
        <f>IF(AND($AB59=1,$I59&lt;&gt;""),IFERROR(INDEX(Treasuries!$E:$E,MATCH($I59,Treasuries!$A:$A,0)),"؟"),"")</f>
        <v/>
      </c>
      <c r="V59" s="44">
        <f>IF($AB59=1,IF($T59="IMM",$U59,ACC_ACCRUED),"")</f>
        <v/>
      </c>
      <c r="W59" s="43">
        <f>IF($AB59=1,$F59+$G59,"")</f>
        <v/>
      </c>
      <c r="X59" s="43">
        <f>IF($AB59=1,SUMIFS(Cash_Vouchers!$I:$I,Cash_Vouchers!$M:$M,$A59,Cash_Vouchers!$AM:$AM,1,Cash_Vouchers!$U:$U,"PAY"),"")</f>
        <v/>
      </c>
      <c r="Y59" s="43">
        <f>IF($AB59=1,IF($T59="CRD",$W59-$X59,0),"")</f>
        <v/>
      </c>
      <c r="Z59" s="44">
        <f>IF($AB59=1,IF($T59="IMM","مدفوع فورًا",IF($M59&lt;&gt;ST_POST,"غير مرحل",IF($Y59&lt;=S_Tol,"مدفوع بالكامل",IF($X59&gt;0,"مدفوع جزئيًا","غير مدفوع")))),"")</f>
        <v/>
      </c>
      <c r="AA59" s="33">
        <f>IF($AB59=1,IF($X59&gt;0,_xlfn.MAXIFS(Cash_Vouchers!$B:$B,Cash_Vouchers!$M:$M,$A59,Cash_Vouchers!$AM:$AM,1),""),"")</f>
        <v/>
      </c>
      <c r="AB59" s="32">
        <f>IF(COUNTA($A59:$S59)&gt;0,1,0)</f>
        <v/>
      </c>
      <c r="AC59" s="32">
        <f>IF($AB59=0,"",IF($A59="","رقم المستند ناقص",IF(COUNTIF(Doc_Register!$A:$A,$A59)&gt;1,"رقم مستند مكرر في السجل المركزي",IF(LEFT($A59,LEN("EXP")+1)&lt;&gt;"EXP"&amp;"-","بادئة الرقم لا تطابق نوع المستند",IF(NOT(ISNUMBER($B59)),"التاريخ ناقص أو غير صحيح",IF($M59="","حالة المستند ناقصة",IF($N59="","اسم المُعِد ناقص",IF(AND(OR($M59=ST_APPR,$M59=ST_POST),$O59=""),"لا يوجد معتمد",IF(AND($O59&lt;&gt;"",$O59=$N59),"المُعِد والمعتمد نفس الشخص (فصل المهام)",IF(AND($M59=ST_POST,$P59=""),"اسم المحاسب المرحِّل ناقص",IF(AND($M59=ST_POST,$P59&lt;&gt;"",OR($P59=$N59,$P59=$O59)),"المرحِّل يجب أن يختلف عن المُعِد والمعتمد",IF(AND($M59=ST_REV,$R59=""),"مرجع التصحيح/الإلغاء ناقص",IF(AND(ISNUMBER($B59),OR($M59=ST_DRAFT,$M59=ST_APPR),COUNTIFS(Period_Close!$A:$A,YEAR($B59)*100+MONTH($B59),Period_Close!$B:$B,"مقفلة")&gt;0),"الفترة مقفلة: لا يسمح بمستند جديد",IF(NOT(COUNTIF(Locations!$A:$A,$C59)&gt;0),"الفرع/الإدارة غير معرف",IF(NOT(COUNTIF(Cost_Centers!$A:$A,$D59)&gt;0),"مركز التكلفة غير معرف أو ناقص",IF(COUNTIFS(COA!$A:$A,$E59,COA!$J:$J,"نعم",COA!$R:$R,1)&lt;&gt;1,"حساب غير مسموح للمصروفات (الأصول الثابتة والمخزون لهما مسارات خاصة)",IF(NOT(N($F59)&gt;0),"المبلغ يجب أن يكون أكبر من صفر",IF($T59="?","نمط السداد غير معرف",IF(AND($T59="IMM",$I59=""),"الدفع الفوري يحتاج خزينة/بنك",IF(AND($T59="IMM",COUNTIFS(COA!$A:$A,$U59,COA!$R:$R,1)&lt;&gt;1),"الخزينة/البنك غير صالح",IF(AND($T59="IMM",$K59=""),"طريقة الدفع ناقصة",IF(AND(N($G59)&gt;0,S_VATOn&lt;&gt;"نعم"),"ضريبة المدخلات غير مفعلة في Tax_Settings",IF($J59="","المستفيد ناقص",IF(AND($T59="CRD",$X59&gt;$W59+S_Tol),"المسدَّد أكبر من المستحق",""))))))))))))))))))))))))</f>
        <v/>
      </c>
      <c r="AD59" s="32">
        <f>IF($AB59=1,IF($AC59&lt;&gt;"",1,0),0)</f>
        <v/>
      </c>
      <c r="AE59" s="32">
        <f>IF(AND($AB59=1,$AD59=0,$M59=ST_POST),1,0)</f>
        <v/>
      </c>
    </row>
    <row r="60">
      <c r="A60" s="29" t="n"/>
      <c r="B60" s="31" t="n"/>
      <c r="C60" s="39" t="n"/>
      <c r="D60" s="39" t="n"/>
      <c r="E60" s="39" t="n"/>
      <c r="F60" s="42" t="n"/>
      <c r="G60" s="42" t="n"/>
      <c r="H60" s="39" t="n"/>
      <c r="I60" s="39" t="n"/>
      <c r="J60" s="29" t="n"/>
      <c r="K60" s="29" t="n"/>
      <c r="L60" s="29" t="n"/>
      <c r="M60" s="39" t="n"/>
      <c r="N60" s="29" t="n"/>
      <c r="O60" s="29" t="n"/>
      <c r="P60" s="29" t="n"/>
      <c r="Q60" s="29" t="n"/>
      <c r="R60" s="29" t="n"/>
      <c r="S60" s="29" t="n"/>
      <c r="T60" s="32">
        <f>IF($AB60=1,IFERROR(INDEX(Lists!$O$5:$O$6,MATCH($H60,Lists!$N$5:$N$6,0)),"?"),"")</f>
        <v/>
      </c>
      <c r="U60" s="32">
        <f>IF(AND($AB60=1,$I60&lt;&gt;""),IFERROR(INDEX(Treasuries!$E:$E,MATCH($I60,Treasuries!$A:$A,0)),"؟"),"")</f>
        <v/>
      </c>
      <c r="V60" s="44">
        <f>IF($AB60=1,IF($T60="IMM",$U60,ACC_ACCRUED),"")</f>
        <v/>
      </c>
      <c r="W60" s="43">
        <f>IF($AB60=1,$F60+$G60,"")</f>
        <v/>
      </c>
      <c r="X60" s="43">
        <f>IF($AB60=1,SUMIFS(Cash_Vouchers!$I:$I,Cash_Vouchers!$M:$M,$A60,Cash_Vouchers!$AM:$AM,1,Cash_Vouchers!$U:$U,"PAY"),"")</f>
        <v/>
      </c>
      <c r="Y60" s="43">
        <f>IF($AB60=1,IF($T60="CRD",$W60-$X60,0),"")</f>
        <v/>
      </c>
      <c r="Z60" s="44">
        <f>IF($AB60=1,IF($T60="IMM","مدفوع فورًا",IF($M60&lt;&gt;ST_POST,"غير مرحل",IF($Y60&lt;=S_Tol,"مدفوع بالكامل",IF($X60&gt;0,"مدفوع جزئيًا","غير مدفوع")))),"")</f>
        <v/>
      </c>
      <c r="AA60" s="33">
        <f>IF($AB60=1,IF($X60&gt;0,_xlfn.MAXIFS(Cash_Vouchers!$B:$B,Cash_Vouchers!$M:$M,$A60,Cash_Vouchers!$AM:$AM,1),""),"")</f>
        <v/>
      </c>
      <c r="AB60" s="32">
        <f>IF(COUNTA($A60:$S60)&gt;0,1,0)</f>
        <v/>
      </c>
      <c r="AC60" s="32">
        <f>IF($AB60=0,"",IF($A60="","رقم المستند ناقص",IF(COUNTIF(Doc_Register!$A:$A,$A60)&gt;1,"رقم مستند مكرر في السجل المركزي",IF(LEFT($A60,LEN("EXP")+1)&lt;&gt;"EXP"&amp;"-","بادئة الرقم لا تطابق نوع المستند",IF(NOT(ISNUMBER($B60)),"التاريخ ناقص أو غير صحيح",IF($M60="","حالة المستند ناقصة",IF($N60="","اسم المُعِد ناقص",IF(AND(OR($M60=ST_APPR,$M60=ST_POST),$O60=""),"لا يوجد معتمد",IF(AND($O60&lt;&gt;"",$O60=$N60),"المُعِد والمعتمد نفس الشخص (فصل المهام)",IF(AND($M60=ST_POST,$P60=""),"اسم المحاسب المرحِّل ناقص",IF(AND($M60=ST_POST,$P60&lt;&gt;"",OR($P60=$N60,$P60=$O60)),"المرحِّل يجب أن يختلف عن المُعِد والمعتمد",IF(AND($M60=ST_REV,$R60=""),"مرجع التصحيح/الإلغاء ناقص",IF(AND(ISNUMBER($B60),OR($M60=ST_DRAFT,$M60=ST_APPR),COUNTIFS(Period_Close!$A:$A,YEAR($B60)*100+MONTH($B60),Period_Close!$B:$B,"مقفلة")&gt;0),"الفترة مقفلة: لا يسمح بمستند جديد",IF(NOT(COUNTIF(Locations!$A:$A,$C60)&gt;0),"الفرع/الإدارة غير معرف",IF(NOT(COUNTIF(Cost_Centers!$A:$A,$D60)&gt;0),"مركز التكلفة غير معرف أو ناقص",IF(COUNTIFS(COA!$A:$A,$E60,COA!$J:$J,"نعم",COA!$R:$R,1)&lt;&gt;1,"حساب غير مسموح للمصروفات (الأصول الثابتة والمخزون لهما مسارات خاصة)",IF(NOT(N($F60)&gt;0),"المبلغ يجب أن يكون أكبر من صفر",IF($T60="?","نمط السداد غير معرف",IF(AND($T60="IMM",$I60=""),"الدفع الفوري يحتاج خزينة/بنك",IF(AND($T60="IMM",COUNTIFS(COA!$A:$A,$U60,COA!$R:$R,1)&lt;&gt;1),"الخزينة/البنك غير صالح",IF(AND($T60="IMM",$K60=""),"طريقة الدفع ناقصة",IF(AND(N($G60)&gt;0,S_VATOn&lt;&gt;"نعم"),"ضريبة المدخلات غير مفعلة في Tax_Settings",IF($J60="","المستفيد ناقص",IF(AND($T60="CRD",$X60&gt;$W60+S_Tol),"المسدَّد أكبر من المستحق",""))))))))))))))))))))))))</f>
        <v/>
      </c>
      <c r="AD60" s="32">
        <f>IF($AB60=1,IF($AC60&lt;&gt;"",1,0),0)</f>
        <v/>
      </c>
      <c r="AE60" s="32">
        <f>IF(AND($AB60=1,$AD60=0,$M60=ST_POST),1,0)</f>
        <v/>
      </c>
    </row>
    <row r="61">
      <c r="A61" s="29" t="n"/>
      <c r="B61" s="31" t="n"/>
      <c r="C61" s="39" t="n"/>
      <c r="D61" s="39" t="n"/>
      <c r="E61" s="39" t="n"/>
      <c r="F61" s="42" t="n"/>
      <c r="G61" s="42" t="n"/>
      <c r="H61" s="39" t="n"/>
      <c r="I61" s="39" t="n"/>
      <c r="J61" s="29" t="n"/>
      <c r="K61" s="29" t="n"/>
      <c r="L61" s="29" t="n"/>
      <c r="M61" s="39" t="n"/>
      <c r="N61" s="29" t="n"/>
      <c r="O61" s="29" t="n"/>
      <c r="P61" s="29" t="n"/>
      <c r="Q61" s="29" t="n"/>
      <c r="R61" s="29" t="n"/>
      <c r="S61" s="29" t="n"/>
      <c r="T61" s="32">
        <f>IF($AB61=1,IFERROR(INDEX(Lists!$O$5:$O$6,MATCH($H61,Lists!$N$5:$N$6,0)),"?"),"")</f>
        <v/>
      </c>
      <c r="U61" s="32">
        <f>IF(AND($AB61=1,$I61&lt;&gt;""),IFERROR(INDEX(Treasuries!$E:$E,MATCH($I61,Treasuries!$A:$A,0)),"؟"),"")</f>
        <v/>
      </c>
      <c r="V61" s="44">
        <f>IF($AB61=1,IF($T61="IMM",$U61,ACC_ACCRUED),"")</f>
        <v/>
      </c>
      <c r="W61" s="43">
        <f>IF($AB61=1,$F61+$G61,"")</f>
        <v/>
      </c>
      <c r="X61" s="43">
        <f>IF($AB61=1,SUMIFS(Cash_Vouchers!$I:$I,Cash_Vouchers!$M:$M,$A61,Cash_Vouchers!$AM:$AM,1,Cash_Vouchers!$U:$U,"PAY"),"")</f>
        <v/>
      </c>
      <c r="Y61" s="43">
        <f>IF($AB61=1,IF($T61="CRD",$W61-$X61,0),"")</f>
        <v/>
      </c>
      <c r="Z61" s="44">
        <f>IF($AB61=1,IF($T61="IMM","مدفوع فورًا",IF($M61&lt;&gt;ST_POST,"غير مرحل",IF($Y61&lt;=S_Tol,"مدفوع بالكامل",IF($X61&gt;0,"مدفوع جزئيًا","غير مدفوع")))),"")</f>
        <v/>
      </c>
      <c r="AA61" s="33">
        <f>IF($AB61=1,IF($X61&gt;0,_xlfn.MAXIFS(Cash_Vouchers!$B:$B,Cash_Vouchers!$M:$M,$A61,Cash_Vouchers!$AM:$AM,1),""),"")</f>
        <v/>
      </c>
      <c r="AB61" s="32">
        <f>IF(COUNTA($A61:$S61)&gt;0,1,0)</f>
        <v/>
      </c>
      <c r="AC61" s="32">
        <f>IF($AB61=0,"",IF($A61="","رقم المستند ناقص",IF(COUNTIF(Doc_Register!$A:$A,$A61)&gt;1,"رقم مستند مكرر في السجل المركزي",IF(LEFT($A61,LEN("EXP")+1)&lt;&gt;"EXP"&amp;"-","بادئة الرقم لا تطابق نوع المستند",IF(NOT(ISNUMBER($B61)),"التاريخ ناقص أو غير صحيح",IF($M61="","حالة المستند ناقصة",IF($N61="","اسم المُعِد ناقص",IF(AND(OR($M61=ST_APPR,$M61=ST_POST),$O61=""),"لا يوجد معتمد",IF(AND($O61&lt;&gt;"",$O61=$N61),"المُعِد والمعتمد نفس الشخص (فصل المهام)",IF(AND($M61=ST_POST,$P61=""),"اسم المحاسب المرحِّل ناقص",IF(AND($M61=ST_POST,$P61&lt;&gt;"",OR($P61=$N61,$P61=$O61)),"المرحِّل يجب أن يختلف عن المُعِد والمعتمد",IF(AND($M61=ST_REV,$R61=""),"مرجع التصحيح/الإلغاء ناقص",IF(AND(ISNUMBER($B61),OR($M61=ST_DRAFT,$M61=ST_APPR),COUNTIFS(Period_Close!$A:$A,YEAR($B61)*100+MONTH($B61),Period_Close!$B:$B,"مقفلة")&gt;0),"الفترة مقفلة: لا يسمح بمستند جديد",IF(NOT(COUNTIF(Locations!$A:$A,$C61)&gt;0),"الفرع/الإدارة غير معرف",IF(NOT(COUNTIF(Cost_Centers!$A:$A,$D61)&gt;0),"مركز التكلفة غير معرف أو ناقص",IF(COUNTIFS(COA!$A:$A,$E61,COA!$J:$J,"نعم",COA!$R:$R,1)&lt;&gt;1,"حساب غير مسموح للمصروفات (الأصول الثابتة والمخزون لهما مسارات خاصة)",IF(NOT(N($F61)&gt;0),"المبلغ يجب أن يكون أكبر من صفر",IF($T61="?","نمط السداد غير معرف",IF(AND($T61="IMM",$I61=""),"الدفع الفوري يحتاج خزينة/بنك",IF(AND($T61="IMM",COUNTIFS(COA!$A:$A,$U61,COA!$R:$R,1)&lt;&gt;1),"الخزينة/البنك غير صالح",IF(AND($T61="IMM",$K61=""),"طريقة الدفع ناقصة",IF(AND(N($G61)&gt;0,S_VATOn&lt;&gt;"نعم"),"ضريبة المدخلات غير مفعلة في Tax_Settings",IF($J61="","المستفيد ناقص",IF(AND($T61="CRD",$X61&gt;$W61+S_Tol),"المسدَّد أكبر من المستحق",""))))))))))))))))))))))))</f>
        <v/>
      </c>
      <c r="AD61" s="32">
        <f>IF($AB61=1,IF($AC61&lt;&gt;"",1,0),0)</f>
        <v/>
      </c>
      <c r="AE61" s="32">
        <f>IF(AND($AB61=1,$AD61=0,$M61=ST_POST),1,0)</f>
        <v/>
      </c>
    </row>
    <row r="62">
      <c r="A62" s="29" t="n"/>
      <c r="B62" s="31" t="n"/>
      <c r="C62" s="39" t="n"/>
      <c r="D62" s="39" t="n"/>
      <c r="E62" s="39" t="n"/>
      <c r="F62" s="42" t="n"/>
      <c r="G62" s="42" t="n"/>
      <c r="H62" s="39" t="n"/>
      <c r="I62" s="39" t="n"/>
      <c r="J62" s="29" t="n"/>
      <c r="K62" s="29" t="n"/>
      <c r="L62" s="29" t="n"/>
      <c r="M62" s="39" t="n"/>
      <c r="N62" s="29" t="n"/>
      <c r="O62" s="29" t="n"/>
      <c r="P62" s="29" t="n"/>
      <c r="Q62" s="29" t="n"/>
      <c r="R62" s="29" t="n"/>
      <c r="S62" s="29" t="n"/>
      <c r="T62" s="32">
        <f>IF($AB62=1,IFERROR(INDEX(Lists!$O$5:$O$6,MATCH($H62,Lists!$N$5:$N$6,0)),"?"),"")</f>
        <v/>
      </c>
      <c r="U62" s="32">
        <f>IF(AND($AB62=1,$I62&lt;&gt;""),IFERROR(INDEX(Treasuries!$E:$E,MATCH($I62,Treasuries!$A:$A,0)),"؟"),"")</f>
        <v/>
      </c>
      <c r="V62" s="44">
        <f>IF($AB62=1,IF($T62="IMM",$U62,ACC_ACCRUED),"")</f>
        <v/>
      </c>
      <c r="W62" s="43">
        <f>IF($AB62=1,$F62+$G62,"")</f>
        <v/>
      </c>
      <c r="X62" s="43">
        <f>IF($AB62=1,SUMIFS(Cash_Vouchers!$I:$I,Cash_Vouchers!$M:$M,$A62,Cash_Vouchers!$AM:$AM,1,Cash_Vouchers!$U:$U,"PAY"),"")</f>
        <v/>
      </c>
      <c r="Y62" s="43">
        <f>IF($AB62=1,IF($T62="CRD",$W62-$X62,0),"")</f>
        <v/>
      </c>
      <c r="Z62" s="44">
        <f>IF($AB62=1,IF($T62="IMM","مدفوع فورًا",IF($M62&lt;&gt;ST_POST,"غير مرحل",IF($Y62&lt;=S_Tol,"مدفوع بالكامل",IF($X62&gt;0,"مدفوع جزئيًا","غير مدفوع")))),"")</f>
        <v/>
      </c>
      <c r="AA62" s="33">
        <f>IF($AB62=1,IF($X62&gt;0,_xlfn.MAXIFS(Cash_Vouchers!$B:$B,Cash_Vouchers!$M:$M,$A62,Cash_Vouchers!$AM:$AM,1),""),"")</f>
        <v/>
      </c>
      <c r="AB62" s="32">
        <f>IF(COUNTA($A62:$S62)&gt;0,1,0)</f>
        <v/>
      </c>
      <c r="AC62" s="32">
        <f>IF($AB62=0,"",IF($A62="","رقم المستند ناقص",IF(COUNTIF(Doc_Register!$A:$A,$A62)&gt;1,"رقم مستند مكرر في السجل المركزي",IF(LEFT($A62,LEN("EXP")+1)&lt;&gt;"EXP"&amp;"-","بادئة الرقم لا تطابق نوع المستند",IF(NOT(ISNUMBER($B62)),"التاريخ ناقص أو غير صحيح",IF($M62="","حالة المستند ناقصة",IF($N62="","اسم المُعِد ناقص",IF(AND(OR($M62=ST_APPR,$M62=ST_POST),$O62=""),"لا يوجد معتمد",IF(AND($O62&lt;&gt;"",$O62=$N62),"المُعِد والمعتمد نفس الشخص (فصل المهام)",IF(AND($M62=ST_POST,$P62=""),"اسم المحاسب المرحِّل ناقص",IF(AND($M62=ST_POST,$P62&lt;&gt;"",OR($P62=$N62,$P62=$O62)),"المرحِّل يجب أن يختلف عن المُعِد والمعتمد",IF(AND($M62=ST_REV,$R62=""),"مرجع التصحيح/الإلغاء ناقص",IF(AND(ISNUMBER($B62),OR($M62=ST_DRAFT,$M62=ST_APPR),COUNTIFS(Period_Close!$A:$A,YEAR($B62)*100+MONTH($B62),Period_Close!$B:$B,"مقفلة")&gt;0),"الفترة مقفلة: لا يسمح بمستند جديد",IF(NOT(COUNTIF(Locations!$A:$A,$C62)&gt;0),"الفرع/الإدارة غير معرف",IF(NOT(COUNTIF(Cost_Centers!$A:$A,$D62)&gt;0),"مركز التكلفة غير معرف أو ناقص",IF(COUNTIFS(COA!$A:$A,$E62,COA!$J:$J,"نعم",COA!$R:$R,1)&lt;&gt;1,"حساب غير مسموح للمصروفات (الأصول الثابتة والمخزون لهما مسارات خاصة)",IF(NOT(N($F62)&gt;0),"المبلغ يجب أن يكون أكبر من صفر",IF($T62="?","نمط السداد غير معرف",IF(AND($T62="IMM",$I62=""),"الدفع الفوري يحتاج خزينة/بنك",IF(AND($T62="IMM",COUNTIFS(COA!$A:$A,$U62,COA!$R:$R,1)&lt;&gt;1),"الخزينة/البنك غير صالح",IF(AND($T62="IMM",$K62=""),"طريقة الدفع ناقصة",IF(AND(N($G62)&gt;0,S_VATOn&lt;&gt;"نعم"),"ضريبة المدخلات غير مفعلة في Tax_Settings",IF($J62="","المستفيد ناقص",IF(AND($T62="CRD",$X62&gt;$W62+S_Tol),"المسدَّد أكبر من المستحق",""))))))))))))))))))))))))</f>
        <v/>
      </c>
      <c r="AD62" s="32">
        <f>IF($AB62=1,IF($AC62&lt;&gt;"",1,0),0)</f>
        <v/>
      </c>
      <c r="AE62" s="32">
        <f>IF(AND($AB62=1,$AD62=0,$M62=ST_POST),1,0)</f>
        <v/>
      </c>
    </row>
    <row r="63">
      <c r="A63" s="29" t="n"/>
      <c r="B63" s="31" t="n"/>
      <c r="C63" s="39" t="n"/>
      <c r="D63" s="39" t="n"/>
      <c r="E63" s="39" t="n"/>
      <c r="F63" s="42" t="n"/>
      <c r="G63" s="42" t="n"/>
      <c r="H63" s="39" t="n"/>
      <c r="I63" s="39" t="n"/>
      <c r="J63" s="29" t="n"/>
      <c r="K63" s="29" t="n"/>
      <c r="L63" s="29" t="n"/>
      <c r="M63" s="39" t="n"/>
      <c r="N63" s="29" t="n"/>
      <c r="O63" s="29" t="n"/>
      <c r="P63" s="29" t="n"/>
      <c r="Q63" s="29" t="n"/>
      <c r="R63" s="29" t="n"/>
      <c r="S63" s="29" t="n"/>
      <c r="T63" s="32">
        <f>IF($AB63=1,IFERROR(INDEX(Lists!$O$5:$O$6,MATCH($H63,Lists!$N$5:$N$6,0)),"?"),"")</f>
        <v/>
      </c>
      <c r="U63" s="32">
        <f>IF(AND($AB63=1,$I63&lt;&gt;""),IFERROR(INDEX(Treasuries!$E:$E,MATCH($I63,Treasuries!$A:$A,0)),"؟"),"")</f>
        <v/>
      </c>
      <c r="V63" s="44">
        <f>IF($AB63=1,IF($T63="IMM",$U63,ACC_ACCRUED),"")</f>
        <v/>
      </c>
      <c r="W63" s="43">
        <f>IF($AB63=1,$F63+$G63,"")</f>
        <v/>
      </c>
      <c r="X63" s="43">
        <f>IF($AB63=1,SUMIFS(Cash_Vouchers!$I:$I,Cash_Vouchers!$M:$M,$A63,Cash_Vouchers!$AM:$AM,1,Cash_Vouchers!$U:$U,"PAY"),"")</f>
        <v/>
      </c>
      <c r="Y63" s="43">
        <f>IF($AB63=1,IF($T63="CRD",$W63-$X63,0),"")</f>
        <v/>
      </c>
      <c r="Z63" s="44">
        <f>IF($AB63=1,IF($T63="IMM","مدفوع فورًا",IF($M63&lt;&gt;ST_POST,"غير مرحل",IF($Y63&lt;=S_Tol,"مدفوع بالكامل",IF($X63&gt;0,"مدفوع جزئيًا","غير مدفوع")))),"")</f>
        <v/>
      </c>
      <c r="AA63" s="33">
        <f>IF($AB63=1,IF($X63&gt;0,_xlfn.MAXIFS(Cash_Vouchers!$B:$B,Cash_Vouchers!$M:$M,$A63,Cash_Vouchers!$AM:$AM,1),""),"")</f>
        <v/>
      </c>
      <c r="AB63" s="32">
        <f>IF(COUNTA($A63:$S63)&gt;0,1,0)</f>
        <v/>
      </c>
      <c r="AC63" s="32">
        <f>IF($AB63=0,"",IF($A63="","رقم المستند ناقص",IF(COUNTIF(Doc_Register!$A:$A,$A63)&gt;1,"رقم مستند مكرر في السجل المركزي",IF(LEFT($A63,LEN("EXP")+1)&lt;&gt;"EXP"&amp;"-","بادئة الرقم لا تطابق نوع المستند",IF(NOT(ISNUMBER($B63)),"التاريخ ناقص أو غير صحيح",IF($M63="","حالة المستند ناقصة",IF($N63="","اسم المُعِد ناقص",IF(AND(OR($M63=ST_APPR,$M63=ST_POST),$O63=""),"لا يوجد معتمد",IF(AND($O63&lt;&gt;"",$O63=$N63),"المُعِد والمعتمد نفس الشخص (فصل المهام)",IF(AND($M63=ST_POST,$P63=""),"اسم المحاسب المرحِّل ناقص",IF(AND($M63=ST_POST,$P63&lt;&gt;"",OR($P63=$N63,$P63=$O63)),"المرحِّل يجب أن يختلف عن المُعِد والمعتمد",IF(AND($M63=ST_REV,$R63=""),"مرجع التصحيح/الإلغاء ناقص",IF(AND(ISNUMBER($B63),OR($M63=ST_DRAFT,$M63=ST_APPR),COUNTIFS(Period_Close!$A:$A,YEAR($B63)*100+MONTH($B63),Period_Close!$B:$B,"مقفلة")&gt;0),"الفترة مقفلة: لا يسمح بمستند جديد",IF(NOT(COUNTIF(Locations!$A:$A,$C63)&gt;0),"الفرع/الإدارة غير معرف",IF(NOT(COUNTIF(Cost_Centers!$A:$A,$D63)&gt;0),"مركز التكلفة غير معرف أو ناقص",IF(COUNTIFS(COA!$A:$A,$E63,COA!$J:$J,"نعم",COA!$R:$R,1)&lt;&gt;1,"حساب غير مسموح للمصروفات (الأصول الثابتة والمخزون لهما مسارات خاصة)",IF(NOT(N($F63)&gt;0),"المبلغ يجب أن يكون أكبر من صفر",IF($T63="?","نمط السداد غير معرف",IF(AND($T63="IMM",$I63=""),"الدفع الفوري يحتاج خزينة/بنك",IF(AND($T63="IMM",COUNTIFS(COA!$A:$A,$U63,COA!$R:$R,1)&lt;&gt;1),"الخزينة/البنك غير صالح",IF(AND($T63="IMM",$K63=""),"طريقة الدفع ناقصة",IF(AND(N($G63)&gt;0,S_VATOn&lt;&gt;"نعم"),"ضريبة المدخلات غير مفعلة في Tax_Settings",IF($J63="","المستفيد ناقص",IF(AND($T63="CRD",$X63&gt;$W63+S_Tol),"المسدَّد أكبر من المستحق",""))))))))))))))))))))))))</f>
        <v/>
      </c>
      <c r="AD63" s="32">
        <f>IF($AB63=1,IF($AC63&lt;&gt;"",1,0),0)</f>
        <v/>
      </c>
      <c r="AE63" s="32">
        <f>IF(AND($AB63=1,$AD63=0,$M63=ST_POST),1,0)</f>
        <v/>
      </c>
    </row>
    <row r="64">
      <c r="A64" s="29" t="n"/>
      <c r="B64" s="31" t="n"/>
      <c r="C64" s="39" t="n"/>
      <c r="D64" s="39" t="n"/>
      <c r="E64" s="39" t="n"/>
      <c r="F64" s="42" t="n"/>
      <c r="G64" s="42" t="n"/>
      <c r="H64" s="39" t="n"/>
      <c r="I64" s="39" t="n"/>
      <c r="J64" s="29" t="n"/>
      <c r="K64" s="29" t="n"/>
      <c r="L64" s="29" t="n"/>
      <c r="M64" s="39" t="n"/>
      <c r="N64" s="29" t="n"/>
      <c r="O64" s="29" t="n"/>
      <c r="P64" s="29" t="n"/>
      <c r="Q64" s="29" t="n"/>
      <c r="R64" s="29" t="n"/>
      <c r="S64" s="29" t="n"/>
      <c r="T64" s="32">
        <f>IF($AB64=1,IFERROR(INDEX(Lists!$O$5:$O$6,MATCH($H64,Lists!$N$5:$N$6,0)),"?"),"")</f>
        <v/>
      </c>
      <c r="U64" s="32">
        <f>IF(AND($AB64=1,$I64&lt;&gt;""),IFERROR(INDEX(Treasuries!$E:$E,MATCH($I64,Treasuries!$A:$A,0)),"؟"),"")</f>
        <v/>
      </c>
      <c r="V64" s="44">
        <f>IF($AB64=1,IF($T64="IMM",$U64,ACC_ACCRUED),"")</f>
        <v/>
      </c>
      <c r="W64" s="43">
        <f>IF($AB64=1,$F64+$G64,"")</f>
        <v/>
      </c>
      <c r="X64" s="43">
        <f>IF($AB64=1,SUMIFS(Cash_Vouchers!$I:$I,Cash_Vouchers!$M:$M,$A64,Cash_Vouchers!$AM:$AM,1,Cash_Vouchers!$U:$U,"PAY"),"")</f>
        <v/>
      </c>
      <c r="Y64" s="43">
        <f>IF($AB64=1,IF($T64="CRD",$W64-$X64,0),"")</f>
        <v/>
      </c>
      <c r="Z64" s="44">
        <f>IF($AB64=1,IF($T64="IMM","مدفوع فورًا",IF($M64&lt;&gt;ST_POST,"غير مرحل",IF($Y64&lt;=S_Tol,"مدفوع بالكامل",IF($X64&gt;0,"مدفوع جزئيًا","غير مدفوع")))),"")</f>
        <v/>
      </c>
      <c r="AA64" s="33">
        <f>IF($AB64=1,IF($X64&gt;0,_xlfn.MAXIFS(Cash_Vouchers!$B:$B,Cash_Vouchers!$M:$M,$A64,Cash_Vouchers!$AM:$AM,1),""),"")</f>
        <v/>
      </c>
      <c r="AB64" s="32">
        <f>IF(COUNTA($A64:$S64)&gt;0,1,0)</f>
        <v/>
      </c>
      <c r="AC64" s="32">
        <f>IF($AB64=0,"",IF($A64="","رقم المستند ناقص",IF(COUNTIF(Doc_Register!$A:$A,$A64)&gt;1,"رقم مستند مكرر في السجل المركزي",IF(LEFT($A64,LEN("EXP")+1)&lt;&gt;"EXP"&amp;"-","بادئة الرقم لا تطابق نوع المستند",IF(NOT(ISNUMBER($B64)),"التاريخ ناقص أو غير صحيح",IF($M64="","حالة المستند ناقصة",IF($N64="","اسم المُعِد ناقص",IF(AND(OR($M64=ST_APPR,$M64=ST_POST),$O64=""),"لا يوجد معتمد",IF(AND($O64&lt;&gt;"",$O64=$N64),"المُعِد والمعتمد نفس الشخص (فصل المهام)",IF(AND($M64=ST_POST,$P64=""),"اسم المحاسب المرحِّل ناقص",IF(AND($M64=ST_POST,$P64&lt;&gt;"",OR($P64=$N64,$P64=$O64)),"المرحِّل يجب أن يختلف عن المُعِد والمعتمد",IF(AND($M64=ST_REV,$R64=""),"مرجع التصحيح/الإلغاء ناقص",IF(AND(ISNUMBER($B64),OR($M64=ST_DRAFT,$M64=ST_APPR),COUNTIFS(Period_Close!$A:$A,YEAR($B64)*100+MONTH($B64),Period_Close!$B:$B,"مقفلة")&gt;0),"الفترة مقفلة: لا يسمح بمستند جديد",IF(NOT(COUNTIF(Locations!$A:$A,$C64)&gt;0),"الفرع/الإدارة غير معرف",IF(NOT(COUNTIF(Cost_Centers!$A:$A,$D64)&gt;0),"مركز التكلفة غير معرف أو ناقص",IF(COUNTIFS(COA!$A:$A,$E64,COA!$J:$J,"نعم",COA!$R:$R,1)&lt;&gt;1,"حساب غير مسموح للمصروفات (الأصول الثابتة والمخزون لهما مسارات خاصة)",IF(NOT(N($F64)&gt;0),"المبلغ يجب أن يكون أكبر من صفر",IF($T64="?","نمط السداد غير معرف",IF(AND($T64="IMM",$I64=""),"الدفع الفوري يحتاج خزينة/بنك",IF(AND($T64="IMM",COUNTIFS(COA!$A:$A,$U64,COA!$R:$R,1)&lt;&gt;1),"الخزينة/البنك غير صالح",IF(AND($T64="IMM",$K64=""),"طريقة الدفع ناقصة",IF(AND(N($G64)&gt;0,S_VATOn&lt;&gt;"نعم"),"ضريبة المدخلات غير مفعلة في Tax_Settings",IF($J64="","المستفيد ناقص",IF(AND($T64="CRD",$X64&gt;$W64+S_Tol),"المسدَّد أكبر من المستحق",""))))))))))))))))))))))))</f>
        <v/>
      </c>
      <c r="AD64" s="32">
        <f>IF($AB64=1,IF($AC64&lt;&gt;"",1,0),0)</f>
        <v/>
      </c>
      <c r="AE64" s="32">
        <f>IF(AND($AB64=1,$AD64=0,$M64=ST_POST),1,0)</f>
        <v/>
      </c>
    </row>
    <row r="65">
      <c r="A65" s="29" t="n"/>
      <c r="B65" s="31" t="n"/>
      <c r="C65" s="39" t="n"/>
      <c r="D65" s="39" t="n"/>
      <c r="E65" s="39" t="n"/>
      <c r="F65" s="42" t="n"/>
      <c r="G65" s="42" t="n"/>
      <c r="H65" s="39" t="n"/>
      <c r="I65" s="39" t="n"/>
      <c r="J65" s="29" t="n"/>
      <c r="K65" s="29" t="n"/>
      <c r="L65" s="29" t="n"/>
      <c r="M65" s="39" t="n"/>
      <c r="N65" s="29" t="n"/>
      <c r="O65" s="29" t="n"/>
      <c r="P65" s="29" t="n"/>
      <c r="Q65" s="29" t="n"/>
      <c r="R65" s="29" t="n"/>
      <c r="S65" s="29" t="n"/>
      <c r="T65" s="32">
        <f>IF($AB65=1,IFERROR(INDEX(Lists!$O$5:$O$6,MATCH($H65,Lists!$N$5:$N$6,0)),"?"),"")</f>
        <v/>
      </c>
      <c r="U65" s="32">
        <f>IF(AND($AB65=1,$I65&lt;&gt;""),IFERROR(INDEX(Treasuries!$E:$E,MATCH($I65,Treasuries!$A:$A,0)),"؟"),"")</f>
        <v/>
      </c>
      <c r="V65" s="44">
        <f>IF($AB65=1,IF($T65="IMM",$U65,ACC_ACCRUED),"")</f>
        <v/>
      </c>
      <c r="W65" s="43">
        <f>IF($AB65=1,$F65+$G65,"")</f>
        <v/>
      </c>
      <c r="X65" s="43">
        <f>IF($AB65=1,SUMIFS(Cash_Vouchers!$I:$I,Cash_Vouchers!$M:$M,$A65,Cash_Vouchers!$AM:$AM,1,Cash_Vouchers!$U:$U,"PAY"),"")</f>
        <v/>
      </c>
      <c r="Y65" s="43">
        <f>IF($AB65=1,IF($T65="CRD",$W65-$X65,0),"")</f>
        <v/>
      </c>
      <c r="Z65" s="44">
        <f>IF($AB65=1,IF($T65="IMM","مدفوع فورًا",IF($M65&lt;&gt;ST_POST,"غير مرحل",IF($Y65&lt;=S_Tol,"مدفوع بالكامل",IF($X65&gt;0,"مدفوع جزئيًا","غير مدفوع")))),"")</f>
        <v/>
      </c>
      <c r="AA65" s="33">
        <f>IF($AB65=1,IF($X65&gt;0,_xlfn.MAXIFS(Cash_Vouchers!$B:$B,Cash_Vouchers!$M:$M,$A65,Cash_Vouchers!$AM:$AM,1),""),"")</f>
        <v/>
      </c>
      <c r="AB65" s="32">
        <f>IF(COUNTA($A65:$S65)&gt;0,1,0)</f>
        <v/>
      </c>
      <c r="AC65" s="32">
        <f>IF($AB65=0,"",IF($A65="","رقم المستند ناقص",IF(COUNTIF(Doc_Register!$A:$A,$A65)&gt;1,"رقم مستند مكرر في السجل المركزي",IF(LEFT($A65,LEN("EXP")+1)&lt;&gt;"EXP"&amp;"-","بادئة الرقم لا تطابق نوع المستند",IF(NOT(ISNUMBER($B65)),"التاريخ ناقص أو غير صحيح",IF($M65="","حالة المستند ناقصة",IF($N65="","اسم المُعِد ناقص",IF(AND(OR($M65=ST_APPR,$M65=ST_POST),$O65=""),"لا يوجد معتمد",IF(AND($O65&lt;&gt;"",$O65=$N65),"المُعِد والمعتمد نفس الشخص (فصل المهام)",IF(AND($M65=ST_POST,$P65=""),"اسم المحاسب المرحِّل ناقص",IF(AND($M65=ST_POST,$P65&lt;&gt;"",OR($P65=$N65,$P65=$O65)),"المرحِّل يجب أن يختلف عن المُعِد والمعتمد",IF(AND($M65=ST_REV,$R65=""),"مرجع التصحيح/الإلغاء ناقص",IF(AND(ISNUMBER($B65),OR($M65=ST_DRAFT,$M65=ST_APPR),COUNTIFS(Period_Close!$A:$A,YEAR($B65)*100+MONTH($B65),Period_Close!$B:$B,"مقفلة")&gt;0),"الفترة مقفلة: لا يسمح بمستند جديد",IF(NOT(COUNTIF(Locations!$A:$A,$C65)&gt;0),"الفرع/الإدارة غير معرف",IF(NOT(COUNTIF(Cost_Centers!$A:$A,$D65)&gt;0),"مركز التكلفة غير معرف أو ناقص",IF(COUNTIFS(COA!$A:$A,$E65,COA!$J:$J,"نعم",COA!$R:$R,1)&lt;&gt;1,"حساب غير مسموح للمصروفات (الأصول الثابتة والمخزون لهما مسارات خاصة)",IF(NOT(N($F65)&gt;0),"المبلغ يجب أن يكون أكبر من صفر",IF($T65="?","نمط السداد غير معرف",IF(AND($T65="IMM",$I65=""),"الدفع الفوري يحتاج خزينة/بنك",IF(AND($T65="IMM",COUNTIFS(COA!$A:$A,$U65,COA!$R:$R,1)&lt;&gt;1),"الخزينة/البنك غير صالح",IF(AND($T65="IMM",$K65=""),"طريقة الدفع ناقصة",IF(AND(N($G65)&gt;0,S_VATOn&lt;&gt;"نعم"),"ضريبة المدخلات غير مفعلة في Tax_Settings",IF($J65="","المستفيد ناقص",IF(AND($T65="CRD",$X65&gt;$W65+S_Tol),"المسدَّد أكبر من المستحق",""))))))))))))))))))))))))</f>
        <v/>
      </c>
      <c r="AD65" s="32">
        <f>IF($AB65=1,IF($AC65&lt;&gt;"",1,0),0)</f>
        <v/>
      </c>
      <c r="AE65" s="32">
        <f>IF(AND($AB65=1,$AD65=0,$M65=ST_POST),1,0)</f>
        <v/>
      </c>
    </row>
    <row r="66">
      <c r="A66" s="29" t="n"/>
      <c r="B66" s="31" t="n"/>
      <c r="C66" s="39" t="n"/>
      <c r="D66" s="39" t="n"/>
      <c r="E66" s="39" t="n"/>
      <c r="F66" s="42" t="n"/>
      <c r="G66" s="42" t="n"/>
      <c r="H66" s="39" t="n"/>
      <c r="I66" s="39" t="n"/>
      <c r="J66" s="29" t="n"/>
      <c r="K66" s="29" t="n"/>
      <c r="L66" s="29" t="n"/>
      <c r="M66" s="39" t="n"/>
      <c r="N66" s="29" t="n"/>
      <c r="O66" s="29" t="n"/>
      <c r="P66" s="29" t="n"/>
      <c r="Q66" s="29" t="n"/>
      <c r="R66" s="29" t="n"/>
      <c r="S66" s="29" t="n"/>
      <c r="T66" s="32">
        <f>IF($AB66=1,IFERROR(INDEX(Lists!$O$5:$O$6,MATCH($H66,Lists!$N$5:$N$6,0)),"?"),"")</f>
        <v/>
      </c>
      <c r="U66" s="32">
        <f>IF(AND($AB66=1,$I66&lt;&gt;""),IFERROR(INDEX(Treasuries!$E:$E,MATCH($I66,Treasuries!$A:$A,0)),"؟"),"")</f>
        <v/>
      </c>
      <c r="V66" s="44">
        <f>IF($AB66=1,IF($T66="IMM",$U66,ACC_ACCRUED),"")</f>
        <v/>
      </c>
      <c r="W66" s="43">
        <f>IF($AB66=1,$F66+$G66,"")</f>
        <v/>
      </c>
      <c r="X66" s="43">
        <f>IF($AB66=1,SUMIFS(Cash_Vouchers!$I:$I,Cash_Vouchers!$M:$M,$A66,Cash_Vouchers!$AM:$AM,1,Cash_Vouchers!$U:$U,"PAY"),"")</f>
        <v/>
      </c>
      <c r="Y66" s="43">
        <f>IF($AB66=1,IF($T66="CRD",$W66-$X66,0),"")</f>
        <v/>
      </c>
      <c r="Z66" s="44">
        <f>IF($AB66=1,IF($T66="IMM","مدفوع فورًا",IF($M66&lt;&gt;ST_POST,"غير مرحل",IF($Y66&lt;=S_Tol,"مدفوع بالكامل",IF($X66&gt;0,"مدفوع جزئيًا","غير مدفوع")))),"")</f>
        <v/>
      </c>
      <c r="AA66" s="33">
        <f>IF($AB66=1,IF($X66&gt;0,_xlfn.MAXIFS(Cash_Vouchers!$B:$B,Cash_Vouchers!$M:$M,$A66,Cash_Vouchers!$AM:$AM,1),""),"")</f>
        <v/>
      </c>
      <c r="AB66" s="32">
        <f>IF(COUNTA($A66:$S66)&gt;0,1,0)</f>
        <v/>
      </c>
      <c r="AC66" s="32">
        <f>IF($AB66=0,"",IF($A66="","رقم المستند ناقص",IF(COUNTIF(Doc_Register!$A:$A,$A66)&gt;1,"رقم مستند مكرر في السجل المركزي",IF(LEFT($A66,LEN("EXP")+1)&lt;&gt;"EXP"&amp;"-","بادئة الرقم لا تطابق نوع المستند",IF(NOT(ISNUMBER($B66)),"التاريخ ناقص أو غير صحيح",IF($M66="","حالة المستند ناقصة",IF($N66="","اسم المُعِد ناقص",IF(AND(OR($M66=ST_APPR,$M66=ST_POST),$O66=""),"لا يوجد معتمد",IF(AND($O66&lt;&gt;"",$O66=$N66),"المُعِد والمعتمد نفس الشخص (فصل المهام)",IF(AND($M66=ST_POST,$P66=""),"اسم المحاسب المرحِّل ناقص",IF(AND($M66=ST_POST,$P66&lt;&gt;"",OR($P66=$N66,$P66=$O66)),"المرحِّل يجب أن يختلف عن المُعِد والمعتمد",IF(AND($M66=ST_REV,$R66=""),"مرجع التصحيح/الإلغاء ناقص",IF(AND(ISNUMBER($B66),OR($M66=ST_DRAFT,$M66=ST_APPR),COUNTIFS(Period_Close!$A:$A,YEAR($B66)*100+MONTH($B66),Period_Close!$B:$B,"مقفلة")&gt;0),"الفترة مقفلة: لا يسمح بمستند جديد",IF(NOT(COUNTIF(Locations!$A:$A,$C66)&gt;0),"الفرع/الإدارة غير معرف",IF(NOT(COUNTIF(Cost_Centers!$A:$A,$D66)&gt;0),"مركز التكلفة غير معرف أو ناقص",IF(COUNTIFS(COA!$A:$A,$E66,COA!$J:$J,"نعم",COA!$R:$R,1)&lt;&gt;1,"حساب غير مسموح للمصروفات (الأصول الثابتة والمخزون لهما مسارات خاصة)",IF(NOT(N($F66)&gt;0),"المبلغ يجب أن يكون أكبر من صفر",IF($T66="?","نمط السداد غير معرف",IF(AND($T66="IMM",$I66=""),"الدفع الفوري يحتاج خزينة/بنك",IF(AND($T66="IMM",COUNTIFS(COA!$A:$A,$U66,COA!$R:$R,1)&lt;&gt;1),"الخزينة/البنك غير صالح",IF(AND($T66="IMM",$K66=""),"طريقة الدفع ناقصة",IF(AND(N($G66)&gt;0,S_VATOn&lt;&gt;"نعم"),"ضريبة المدخلات غير مفعلة في Tax_Settings",IF($J66="","المستفيد ناقص",IF(AND($T66="CRD",$X66&gt;$W66+S_Tol),"المسدَّد أكبر من المستحق",""))))))))))))))))))))))))</f>
        <v/>
      </c>
      <c r="AD66" s="32">
        <f>IF($AB66=1,IF($AC66&lt;&gt;"",1,0),0)</f>
        <v/>
      </c>
      <c r="AE66" s="32">
        <f>IF(AND($AB66=1,$AD66=0,$M66=ST_POST),1,0)</f>
        <v/>
      </c>
    </row>
    <row r="67">
      <c r="A67" s="29" t="n"/>
      <c r="B67" s="31" t="n"/>
      <c r="C67" s="39" t="n"/>
      <c r="D67" s="39" t="n"/>
      <c r="E67" s="39" t="n"/>
      <c r="F67" s="42" t="n"/>
      <c r="G67" s="42" t="n"/>
      <c r="H67" s="39" t="n"/>
      <c r="I67" s="39" t="n"/>
      <c r="J67" s="29" t="n"/>
      <c r="K67" s="29" t="n"/>
      <c r="L67" s="29" t="n"/>
      <c r="M67" s="39" t="n"/>
      <c r="N67" s="29" t="n"/>
      <c r="O67" s="29" t="n"/>
      <c r="P67" s="29" t="n"/>
      <c r="Q67" s="29" t="n"/>
      <c r="R67" s="29" t="n"/>
      <c r="S67" s="29" t="n"/>
      <c r="T67" s="32">
        <f>IF($AB67=1,IFERROR(INDEX(Lists!$O$5:$O$6,MATCH($H67,Lists!$N$5:$N$6,0)),"?"),"")</f>
        <v/>
      </c>
      <c r="U67" s="32">
        <f>IF(AND($AB67=1,$I67&lt;&gt;""),IFERROR(INDEX(Treasuries!$E:$E,MATCH($I67,Treasuries!$A:$A,0)),"؟"),"")</f>
        <v/>
      </c>
      <c r="V67" s="44">
        <f>IF($AB67=1,IF($T67="IMM",$U67,ACC_ACCRUED),"")</f>
        <v/>
      </c>
      <c r="W67" s="43">
        <f>IF($AB67=1,$F67+$G67,"")</f>
        <v/>
      </c>
      <c r="X67" s="43">
        <f>IF($AB67=1,SUMIFS(Cash_Vouchers!$I:$I,Cash_Vouchers!$M:$M,$A67,Cash_Vouchers!$AM:$AM,1,Cash_Vouchers!$U:$U,"PAY"),"")</f>
        <v/>
      </c>
      <c r="Y67" s="43">
        <f>IF($AB67=1,IF($T67="CRD",$W67-$X67,0),"")</f>
        <v/>
      </c>
      <c r="Z67" s="44">
        <f>IF($AB67=1,IF($T67="IMM","مدفوع فورًا",IF($M67&lt;&gt;ST_POST,"غير مرحل",IF($Y67&lt;=S_Tol,"مدفوع بالكامل",IF($X67&gt;0,"مدفوع جزئيًا","غير مدفوع")))),"")</f>
        <v/>
      </c>
      <c r="AA67" s="33">
        <f>IF($AB67=1,IF($X67&gt;0,_xlfn.MAXIFS(Cash_Vouchers!$B:$B,Cash_Vouchers!$M:$M,$A67,Cash_Vouchers!$AM:$AM,1),""),"")</f>
        <v/>
      </c>
      <c r="AB67" s="32">
        <f>IF(COUNTA($A67:$S67)&gt;0,1,0)</f>
        <v/>
      </c>
      <c r="AC67" s="32">
        <f>IF($AB67=0,"",IF($A67="","رقم المستند ناقص",IF(COUNTIF(Doc_Register!$A:$A,$A67)&gt;1,"رقم مستند مكرر في السجل المركزي",IF(LEFT($A67,LEN("EXP")+1)&lt;&gt;"EXP"&amp;"-","بادئة الرقم لا تطابق نوع المستند",IF(NOT(ISNUMBER($B67)),"التاريخ ناقص أو غير صحيح",IF($M67="","حالة المستند ناقصة",IF($N67="","اسم المُعِد ناقص",IF(AND(OR($M67=ST_APPR,$M67=ST_POST),$O67=""),"لا يوجد معتمد",IF(AND($O67&lt;&gt;"",$O67=$N67),"المُعِد والمعتمد نفس الشخص (فصل المهام)",IF(AND($M67=ST_POST,$P67=""),"اسم المحاسب المرحِّل ناقص",IF(AND($M67=ST_POST,$P67&lt;&gt;"",OR($P67=$N67,$P67=$O67)),"المرحِّل يجب أن يختلف عن المُعِد والمعتمد",IF(AND($M67=ST_REV,$R67=""),"مرجع التصحيح/الإلغاء ناقص",IF(AND(ISNUMBER($B67),OR($M67=ST_DRAFT,$M67=ST_APPR),COUNTIFS(Period_Close!$A:$A,YEAR($B67)*100+MONTH($B67),Period_Close!$B:$B,"مقفلة")&gt;0),"الفترة مقفلة: لا يسمح بمستند جديد",IF(NOT(COUNTIF(Locations!$A:$A,$C67)&gt;0),"الفرع/الإدارة غير معرف",IF(NOT(COUNTIF(Cost_Centers!$A:$A,$D67)&gt;0),"مركز التكلفة غير معرف أو ناقص",IF(COUNTIFS(COA!$A:$A,$E67,COA!$J:$J,"نعم",COA!$R:$R,1)&lt;&gt;1,"حساب غير مسموح للمصروفات (الأصول الثابتة والمخزون لهما مسارات خاصة)",IF(NOT(N($F67)&gt;0),"المبلغ يجب أن يكون أكبر من صفر",IF($T67="?","نمط السداد غير معرف",IF(AND($T67="IMM",$I67=""),"الدفع الفوري يحتاج خزينة/بنك",IF(AND($T67="IMM",COUNTIFS(COA!$A:$A,$U67,COA!$R:$R,1)&lt;&gt;1),"الخزينة/البنك غير صالح",IF(AND($T67="IMM",$K67=""),"طريقة الدفع ناقصة",IF(AND(N($G67)&gt;0,S_VATOn&lt;&gt;"نعم"),"ضريبة المدخلات غير مفعلة في Tax_Settings",IF($J67="","المستفيد ناقص",IF(AND($T67="CRD",$X67&gt;$W67+S_Tol),"المسدَّد أكبر من المستحق",""))))))))))))))))))))))))</f>
        <v/>
      </c>
      <c r="AD67" s="32">
        <f>IF($AB67=1,IF($AC67&lt;&gt;"",1,0),0)</f>
        <v/>
      </c>
      <c r="AE67" s="32">
        <f>IF(AND($AB67=1,$AD67=0,$M67=ST_POST),1,0)</f>
        <v/>
      </c>
    </row>
    <row r="68">
      <c r="A68" s="29" t="n"/>
      <c r="B68" s="31" t="n"/>
      <c r="C68" s="39" t="n"/>
      <c r="D68" s="39" t="n"/>
      <c r="E68" s="39" t="n"/>
      <c r="F68" s="42" t="n"/>
      <c r="G68" s="42" t="n"/>
      <c r="H68" s="39" t="n"/>
      <c r="I68" s="39" t="n"/>
      <c r="J68" s="29" t="n"/>
      <c r="K68" s="29" t="n"/>
      <c r="L68" s="29" t="n"/>
      <c r="M68" s="39" t="n"/>
      <c r="N68" s="29" t="n"/>
      <c r="O68" s="29" t="n"/>
      <c r="P68" s="29" t="n"/>
      <c r="Q68" s="29" t="n"/>
      <c r="R68" s="29" t="n"/>
      <c r="S68" s="29" t="n"/>
      <c r="T68" s="32">
        <f>IF($AB68=1,IFERROR(INDEX(Lists!$O$5:$O$6,MATCH($H68,Lists!$N$5:$N$6,0)),"?"),"")</f>
        <v/>
      </c>
      <c r="U68" s="32">
        <f>IF(AND($AB68=1,$I68&lt;&gt;""),IFERROR(INDEX(Treasuries!$E:$E,MATCH($I68,Treasuries!$A:$A,0)),"؟"),"")</f>
        <v/>
      </c>
      <c r="V68" s="44">
        <f>IF($AB68=1,IF($T68="IMM",$U68,ACC_ACCRUED),"")</f>
        <v/>
      </c>
      <c r="W68" s="43">
        <f>IF($AB68=1,$F68+$G68,"")</f>
        <v/>
      </c>
      <c r="X68" s="43">
        <f>IF($AB68=1,SUMIFS(Cash_Vouchers!$I:$I,Cash_Vouchers!$M:$M,$A68,Cash_Vouchers!$AM:$AM,1,Cash_Vouchers!$U:$U,"PAY"),"")</f>
        <v/>
      </c>
      <c r="Y68" s="43">
        <f>IF($AB68=1,IF($T68="CRD",$W68-$X68,0),"")</f>
        <v/>
      </c>
      <c r="Z68" s="44">
        <f>IF($AB68=1,IF($T68="IMM","مدفوع فورًا",IF($M68&lt;&gt;ST_POST,"غير مرحل",IF($Y68&lt;=S_Tol,"مدفوع بالكامل",IF($X68&gt;0,"مدفوع جزئيًا","غير مدفوع")))),"")</f>
        <v/>
      </c>
      <c r="AA68" s="33">
        <f>IF($AB68=1,IF($X68&gt;0,_xlfn.MAXIFS(Cash_Vouchers!$B:$B,Cash_Vouchers!$M:$M,$A68,Cash_Vouchers!$AM:$AM,1),""),"")</f>
        <v/>
      </c>
      <c r="AB68" s="32">
        <f>IF(COUNTA($A68:$S68)&gt;0,1,0)</f>
        <v/>
      </c>
      <c r="AC68" s="32">
        <f>IF($AB68=0,"",IF($A68="","رقم المستند ناقص",IF(COUNTIF(Doc_Register!$A:$A,$A68)&gt;1,"رقم مستند مكرر في السجل المركزي",IF(LEFT($A68,LEN("EXP")+1)&lt;&gt;"EXP"&amp;"-","بادئة الرقم لا تطابق نوع المستند",IF(NOT(ISNUMBER($B68)),"التاريخ ناقص أو غير صحيح",IF($M68="","حالة المستند ناقصة",IF($N68="","اسم المُعِد ناقص",IF(AND(OR($M68=ST_APPR,$M68=ST_POST),$O68=""),"لا يوجد معتمد",IF(AND($O68&lt;&gt;"",$O68=$N68),"المُعِد والمعتمد نفس الشخص (فصل المهام)",IF(AND($M68=ST_POST,$P68=""),"اسم المحاسب المرحِّل ناقص",IF(AND($M68=ST_POST,$P68&lt;&gt;"",OR($P68=$N68,$P68=$O68)),"المرحِّل يجب أن يختلف عن المُعِد والمعتمد",IF(AND($M68=ST_REV,$R68=""),"مرجع التصحيح/الإلغاء ناقص",IF(AND(ISNUMBER($B68),OR($M68=ST_DRAFT,$M68=ST_APPR),COUNTIFS(Period_Close!$A:$A,YEAR($B68)*100+MONTH($B68),Period_Close!$B:$B,"مقفلة")&gt;0),"الفترة مقفلة: لا يسمح بمستند جديد",IF(NOT(COUNTIF(Locations!$A:$A,$C68)&gt;0),"الفرع/الإدارة غير معرف",IF(NOT(COUNTIF(Cost_Centers!$A:$A,$D68)&gt;0),"مركز التكلفة غير معرف أو ناقص",IF(COUNTIFS(COA!$A:$A,$E68,COA!$J:$J,"نعم",COA!$R:$R,1)&lt;&gt;1,"حساب غير مسموح للمصروفات (الأصول الثابتة والمخزون لهما مسارات خاصة)",IF(NOT(N($F68)&gt;0),"المبلغ يجب أن يكون أكبر من صفر",IF($T68="?","نمط السداد غير معرف",IF(AND($T68="IMM",$I68=""),"الدفع الفوري يحتاج خزينة/بنك",IF(AND($T68="IMM",COUNTIFS(COA!$A:$A,$U68,COA!$R:$R,1)&lt;&gt;1),"الخزينة/البنك غير صالح",IF(AND($T68="IMM",$K68=""),"طريقة الدفع ناقصة",IF(AND(N($G68)&gt;0,S_VATOn&lt;&gt;"نعم"),"ضريبة المدخلات غير مفعلة في Tax_Settings",IF($J68="","المستفيد ناقص",IF(AND($T68="CRD",$X68&gt;$W68+S_Tol),"المسدَّد أكبر من المستحق",""))))))))))))))))))))))))</f>
        <v/>
      </c>
      <c r="AD68" s="32">
        <f>IF($AB68=1,IF($AC68&lt;&gt;"",1,0),0)</f>
        <v/>
      </c>
      <c r="AE68" s="32">
        <f>IF(AND($AB68=1,$AD68=0,$M68=ST_POST),1,0)</f>
        <v/>
      </c>
    </row>
    <row r="69">
      <c r="A69" s="29" t="n"/>
      <c r="B69" s="31" t="n"/>
      <c r="C69" s="39" t="n"/>
      <c r="D69" s="39" t="n"/>
      <c r="E69" s="39" t="n"/>
      <c r="F69" s="42" t="n"/>
      <c r="G69" s="42" t="n"/>
      <c r="H69" s="39" t="n"/>
      <c r="I69" s="39" t="n"/>
      <c r="J69" s="29" t="n"/>
      <c r="K69" s="29" t="n"/>
      <c r="L69" s="29" t="n"/>
      <c r="M69" s="39" t="n"/>
      <c r="N69" s="29" t="n"/>
      <c r="O69" s="29" t="n"/>
      <c r="P69" s="29" t="n"/>
      <c r="Q69" s="29" t="n"/>
      <c r="R69" s="29" t="n"/>
      <c r="S69" s="29" t="n"/>
      <c r="T69" s="32">
        <f>IF($AB69=1,IFERROR(INDEX(Lists!$O$5:$O$6,MATCH($H69,Lists!$N$5:$N$6,0)),"?"),"")</f>
        <v/>
      </c>
      <c r="U69" s="32">
        <f>IF(AND($AB69=1,$I69&lt;&gt;""),IFERROR(INDEX(Treasuries!$E:$E,MATCH($I69,Treasuries!$A:$A,0)),"؟"),"")</f>
        <v/>
      </c>
      <c r="V69" s="44">
        <f>IF($AB69=1,IF($T69="IMM",$U69,ACC_ACCRUED),"")</f>
        <v/>
      </c>
      <c r="W69" s="43">
        <f>IF($AB69=1,$F69+$G69,"")</f>
        <v/>
      </c>
      <c r="X69" s="43">
        <f>IF($AB69=1,SUMIFS(Cash_Vouchers!$I:$I,Cash_Vouchers!$M:$M,$A69,Cash_Vouchers!$AM:$AM,1,Cash_Vouchers!$U:$U,"PAY"),"")</f>
        <v/>
      </c>
      <c r="Y69" s="43">
        <f>IF($AB69=1,IF($T69="CRD",$W69-$X69,0),"")</f>
        <v/>
      </c>
      <c r="Z69" s="44">
        <f>IF($AB69=1,IF($T69="IMM","مدفوع فورًا",IF($M69&lt;&gt;ST_POST,"غير مرحل",IF($Y69&lt;=S_Tol,"مدفوع بالكامل",IF($X69&gt;0,"مدفوع جزئيًا","غير مدفوع")))),"")</f>
        <v/>
      </c>
      <c r="AA69" s="33">
        <f>IF($AB69=1,IF($X69&gt;0,_xlfn.MAXIFS(Cash_Vouchers!$B:$B,Cash_Vouchers!$M:$M,$A69,Cash_Vouchers!$AM:$AM,1),""),"")</f>
        <v/>
      </c>
      <c r="AB69" s="32">
        <f>IF(COUNTA($A69:$S69)&gt;0,1,0)</f>
        <v/>
      </c>
      <c r="AC69" s="32">
        <f>IF($AB69=0,"",IF($A69="","رقم المستند ناقص",IF(COUNTIF(Doc_Register!$A:$A,$A69)&gt;1,"رقم مستند مكرر في السجل المركزي",IF(LEFT($A69,LEN("EXP")+1)&lt;&gt;"EXP"&amp;"-","بادئة الرقم لا تطابق نوع المستند",IF(NOT(ISNUMBER($B69)),"التاريخ ناقص أو غير صحيح",IF($M69="","حالة المستند ناقصة",IF($N69="","اسم المُعِد ناقص",IF(AND(OR($M69=ST_APPR,$M69=ST_POST),$O69=""),"لا يوجد معتمد",IF(AND($O69&lt;&gt;"",$O69=$N69),"المُعِد والمعتمد نفس الشخص (فصل المهام)",IF(AND($M69=ST_POST,$P69=""),"اسم المحاسب المرحِّل ناقص",IF(AND($M69=ST_POST,$P69&lt;&gt;"",OR($P69=$N69,$P69=$O69)),"المرحِّل يجب أن يختلف عن المُعِد والمعتمد",IF(AND($M69=ST_REV,$R69=""),"مرجع التصحيح/الإلغاء ناقص",IF(AND(ISNUMBER($B69),OR($M69=ST_DRAFT,$M69=ST_APPR),COUNTIFS(Period_Close!$A:$A,YEAR($B69)*100+MONTH($B69),Period_Close!$B:$B,"مقفلة")&gt;0),"الفترة مقفلة: لا يسمح بمستند جديد",IF(NOT(COUNTIF(Locations!$A:$A,$C69)&gt;0),"الفرع/الإدارة غير معرف",IF(NOT(COUNTIF(Cost_Centers!$A:$A,$D69)&gt;0),"مركز التكلفة غير معرف أو ناقص",IF(COUNTIFS(COA!$A:$A,$E69,COA!$J:$J,"نعم",COA!$R:$R,1)&lt;&gt;1,"حساب غير مسموح للمصروفات (الأصول الثابتة والمخزون لهما مسارات خاصة)",IF(NOT(N($F69)&gt;0),"المبلغ يجب أن يكون أكبر من صفر",IF($T69="?","نمط السداد غير معرف",IF(AND($T69="IMM",$I69=""),"الدفع الفوري يحتاج خزينة/بنك",IF(AND($T69="IMM",COUNTIFS(COA!$A:$A,$U69,COA!$R:$R,1)&lt;&gt;1),"الخزينة/البنك غير صالح",IF(AND($T69="IMM",$K69=""),"طريقة الدفع ناقصة",IF(AND(N($G69)&gt;0,S_VATOn&lt;&gt;"نعم"),"ضريبة المدخلات غير مفعلة في Tax_Settings",IF($J69="","المستفيد ناقص",IF(AND($T69="CRD",$X69&gt;$W69+S_Tol),"المسدَّد أكبر من المستحق",""))))))))))))))))))))))))</f>
        <v/>
      </c>
      <c r="AD69" s="32">
        <f>IF($AB69=1,IF($AC69&lt;&gt;"",1,0),0)</f>
        <v/>
      </c>
      <c r="AE69" s="32">
        <f>IF(AND($AB69=1,$AD69=0,$M69=ST_POST),1,0)</f>
        <v/>
      </c>
    </row>
    <row r="70">
      <c r="A70" s="29" t="n"/>
      <c r="B70" s="31" t="n"/>
      <c r="C70" s="39" t="n"/>
      <c r="D70" s="39" t="n"/>
      <c r="E70" s="39" t="n"/>
      <c r="F70" s="42" t="n"/>
      <c r="G70" s="42" t="n"/>
      <c r="H70" s="39" t="n"/>
      <c r="I70" s="39" t="n"/>
      <c r="J70" s="29" t="n"/>
      <c r="K70" s="29" t="n"/>
      <c r="L70" s="29" t="n"/>
      <c r="M70" s="39" t="n"/>
      <c r="N70" s="29" t="n"/>
      <c r="O70" s="29" t="n"/>
      <c r="P70" s="29" t="n"/>
      <c r="Q70" s="29" t="n"/>
      <c r="R70" s="29" t="n"/>
      <c r="S70" s="29" t="n"/>
      <c r="T70" s="32">
        <f>IF($AB70=1,IFERROR(INDEX(Lists!$O$5:$O$6,MATCH($H70,Lists!$N$5:$N$6,0)),"?"),"")</f>
        <v/>
      </c>
      <c r="U70" s="32">
        <f>IF(AND($AB70=1,$I70&lt;&gt;""),IFERROR(INDEX(Treasuries!$E:$E,MATCH($I70,Treasuries!$A:$A,0)),"؟"),"")</f>
        <v/>
      </c>
      <c r="V70" s="44">
        <f>IF($AB70=1,IF($T70="IMM",$U70,ACC_ACCRUED),"")</f>
        <v/>
      </c>
      <c r="W70" s="43">
        <f>IF($AB70=1,$F70+$G70,"")</f>
        <v/>
      </c>
      <c r="X70" s="43">
        <f>IF($AB70=1,SUMIFS(Cash_Vouchers!$I:$I,Cash_Vouchers!$M:$M,$A70,Cash_Vouchers!$AM:$AM,1,Cash_Vouchers!$U:$U,"PAY"),"")</f>
        <v/>
      </c>
      <c r="Y70" s="43">
        <f>IF($AB70=1,IF($T70="CRD",$W70-$X70,0),"")</f>
        <v/>
      </c>
      <c r="Z70" s="44">
        <f>IF($AB70=1,IF($T70="IMM","مدفوع فورًا",IF($M70&lt;&gt;ST_POST,"غير مرحل",IF($Y70&lt;=S_Tol,"مدفوع بالكامل",IF($X70&gt;0,"مدفوع جزئيًا","غير مدفوع")))),"")</f>
        <v/>
      </c>
      <c r="AA70" s="33">
        <f>IF($AB70=1,IF($X70&gt;0,_xlfn.MAXIFS(Cash_Vouchers!$B:$B,Cash_Vouchers!$M:$M,$A70,Cash_Vouchers!$AM:$AM,1),""),"")</f>
        <v/>
      </c>
      <c r="AB70" s="32">
        <f>IF(COUNTA($A70:$S70)&gt;0,1,0)</f>
        <v/>
      </c>
      <c r="AC70" s="32">
        <f>IF($AB70=0,"",IF($A70="","رقم المستند ناقص",IF(COUNTIF(Doc_Register!$A:$A,$A70)&gt;1,"رقم مستند مكرر في السجل المركزي",IF(LEFT($A70,LEN("EXP")+1)&lt;&gt;"EXP"&amp;"-","بادئة الرقم لا تطابق نوع المستند",IF(NOT(ISNUMBER($B70)),"التاريخ ناقص أو غير صحيح",IF($M70="","حالة المستند ناقصة",IF($N70="","اسم المُعِد ناقص",IF(AND(OR($M70=ST_APPR,$M70=ST_POST),$O70=""),"لا يوجد معتمد",IF(AND($O70&lt;&gt;"",$O70=$N70),"المُعِد والمعتمد نفس الشخص (فصل المهام)",IF(AND($M70=ST_POST,$P70=""),"اسم المحاسب المرحِّل ناقص",IF(AND($M70=ST_POST,$P70&lt;&gt;"",OR($P70=$N70,$P70=$O70)),"المرحِّل يجب أن يختلف عن المُعِد والمعتمد",IF(AND($M70=ST_REV,$R70=""),"مرجع التصحيح/الإلغاء ناقص",IF(AND(ISNUMBER($B70),OR($M70=ST_DRAFT,$M70=ST_APPR),COUNTIFS(Period_Close!$A:$A,YEAR($B70)*100+MONTH($B70),Period_Close!$B:$B,"مقفلة")&gt;0),"الفترة مقفلة: لا يسمح بمستند جديد",IF(NOT(COUNTIF(Locations!$A:$A,$C70)&gt;0),"الفرع/الإدارة غير معرف",IF(NOT(COUNTIF(Cost_Centers!$A:$A,$D70)&gt;0),"مركز التكلفة غير معرف أو ناقص",IF(COUNTIFS(COA!$A:$A,$E70,COA!$J:$J,"نعم",COA!$R:$R,1)&lt;&gt;1,"حساب غير مسموح للمصروفات (الأصول الثابتة والمخزون لهما مسارات خاصة)",IF(NOT(N($F70)&gt;0),"المبلغ يجب أن يكون أكبر من صفر",IF($T70="?","نمط السداد غير معرف",IF(AND($T70="IMM",$I70=""),"الدفع الفوري يحتاج خزينة/بنك",IF(AND($T70="IMM",COUNTIFS(COA!$A:$A,$U70,COA!$R:$R,1)&lt;&gt;1),"الخزينة/البنك غير صالح",IF(AND($T70="IMM",$K70=""),"طريقة الدفع ناقصة",IF(AND(N($G70)&gt;0,S_VATOn&lt;&gt;"نعم"),"ضريبة المدخلات غير مفعلة في Tax_Settings",IF($J70="","المستفيد ناقص",IF(AND($T70="CRD",$X70&gt;$W70+S_Tol),"المسدَّد أكبر من المستحق",""))))))))))))))))))))))))</f>
        <v/>
      </c>
      <c r="AD70" s="32">
        <f>IF($AB70=1,IF($AC70&lt;&gt;"",1,0),0)</f>
        <v/>
      </c>
      <c r="AE70" s="32">
        <f>IF(AND($AB70=1,$AD70=0,$M70=ST_POST),1,0)</f>
        <v/>
      </c>
    </row>
    <row r="71">
      <c r="A71" s="29" t="n"/>
      <c r="B71" s="31" t="n"/>
      <c r="C71" s="39" t="n"/>
      <c r="D71" s="39" t="n"/>
      <c r="E71" s="39" t="n"/>
      <c r="F71" s="42" t="n"/>
      <c r="G71" s="42" t="n"/>
      <c r="H71" s="39" t="n"/>
      <c r="I71" s="39" t="n"/>
      <c r="J71" s="29" t="n"/>
      <c r="K71" s="29" t="n"/>
      <c r="L71" s="29" t="n"/>
      <c r="M71" s="39" t="n"/>
      <c r="N71" s="29" t="n"/>
      <c r="O71" s="29" t="n"/>
      <c r="P71" s="29" t="n"/>
      <c r="Q71" s="29" t="n"/>
      <c r="R71" s="29" t="n"/>
      <c r="S71" s="29" t="n"/>
      <c r="T71" s="32">
        <f>IF($AB71=1,IFERROR(INDEX(Lists!$O$5:$O$6,MATCH($H71,Lists!$N$5:$N$6,0)),"?"),"")</f>
        <v/>
      </c>
      <c r="U71" s="32">
        <f>IF(AND($AB71=1,$I71&lt;&gt;""),IFERROR(INDEX(Treasuries!$E:$E,MATCH($I71,Treasuries!$A:$A,0)),"؟"),"")</f>
        <v/>
      </c>
      <c r="V71" s="44">
        <f>IF($AB71=1,IF($T71="IMM",$U71,ACC_ACCRUED),"")</f>
        <v/>
      </c>
      <c r="W71" s="43">
        <f>IF($AB71=1,$F71+$G71,"")</f>
        <v/>
      </c>
      <c r="X71" s="43">
        <f>IF($AB71=1,SUMIFS(Cash_Vouchers!$I:$I,Cash_Vouchers!$M:$M,$A71,Cash_Vouchers!$AM:$AM,1,Cash_Vouchers!$U:$U,"PAY"),"")</f>
        <v/>
      </c>
      <c r="Y71" s="43">
        <f>IF($AB71=1,IF($T71="CRD",$W71-$X71,0),"")</f>
        <v/>
      </c>
      <c r="Z71" s="44">
        <f>IF($AB71=1,IF($T71="IMM","مدفوع فورًا",IF($M71&lt;&gt;ST_POST,"غير مرحل",IF($Y71&lt;=S_Tol,"مدفوع بالكامل",IF($X71&gt;0,"مدفوع جزئيًا","غير مدفوع")))),"")</f>
        <v/>
      </c>
      <c r="AA71" s="33">
        <f>IF($AB71=1,IF($X71&gt;0,_xlfn.MAXIFS(Cash_Vouchers!$B:$B,Cash_Vouchers!$M:$M,$A71,Cash_Vouchers!$AM:$AM,1),""),"")</f>
        <v/>
      </c>
      <c r="AB71" s="32">
        <f>IF(COUNTA($A71:$S71)&gt;0,1,0)</f>
        <v/>
      </c>
      <c r="AC71" s="32">
        <f>IF($AB71=0,"",IF($A71="","رقم المستند ناقص",IF(COUNTIF(Doc_Register!$A:$A,$A71)&gt;1,"رقم مستند مكرر في السجل المركزي",IF(LEFT($A71,LEN("EXP")+1)&lt;&gt;"EXP"&amp;"-","بادئة الرقم لا تطابق نوع المستند",IF(NOT(ISNUMBER($B71)),"التاريخ ناقص أو غير صحيح",IF($M71="","حالة المستند ناقصة",IF($N71="","اسم المُعِد ناقص",IF(AND(OR($M71=ST_APPR,$M71=ST_POST),$O71=""),"لا يوجد معتمد",IF(AND($O71&lt;&gt;"",$O71=$N71),"المُعِد والمعتمد نفس الشخص (فصل المهام)",IF(AND($M71=ST_POST,$P71=""),"اسم المحاسب المرحِّل ناقص",IF(AND($M71=ST_POST,$P71&lt;&gt;"",OR($P71=$N71,$P71=$O71)),"المرحِّل يجب أن يختلف عن المُعِد والمعتمد",IF(AND($M71=ST_REV,$R71=""),"مرجع التصحيح/الإلغاء ناقص",IF(AND(ISNUMBER($B71),OR($M71=ST_DRAFT,$M71=ST_APPR),COUNTIFS(Period_Close!$A:$A,YEAR($B71)*100+MONTH($B71),Period_Close!$B:$B,"مقفلة")&gt;0),"الفترة مقفلة: لا يسمح بمستند جديد",IF(NOT(COUNTIF(Locations!$A:$A,$C71)&gt;0),"الفرع/الإدارة غير معرف",IF(NOT(COUNTIF(Cost_Centers!$A:$A,$D71)&gt;0),"مركز التكلفة غير معرف أو ناقص",IF(COUNTIFS(COA!$A:$A,$E71,COA!$J:$J,"نعم",COA!$R:$R,1)&lt;&gt;1,"حساب غير مسموح للمصروفات (الأصول الثابتة والمخزون لهما مسارات خاصة)",IF(NOT(N($F71)&gt;0),"المبلغ يجب أن يكون أكبر من صفر",IF($T71="?","نمط السداد غير معرف",IF(AND($T71="IMM",$I71=""),"الدفع الفوري يحتاج خزينة/بنك",IF(AND($T71="IMM",COUNTIFS(COA!$A:$A,$U71,COA!$R:$R,1)&lt;&gt;1),"الخزينة/البنك غير صالح",IF(AND($T71="IMM",$K71=""),"طريقة الدفع ناقصة",IF(AND(N($G71)&gt;0,S_VATOn&lt;&gt;"نعم"),"ضريبة المدخلات غير مفعلة في Tax_Settings",IF($J71="","المستفيد ناقص",IF(AND($T71="CRD",$X71&gt;$W71+S_Tol),"المسدَّد أكبر من المستحق",""))))))))))))))))))))))))</f>
        <v/>
      </c>
      <c r="AD71" s="32">
        <f>IF($AB71=1,IF($AC71&lt;&gt;"",1,0),0)</f>
        <v/>
      </c>
      <c r="AE71" s="32">
        <f>IF(AND($AB71=1,$AD71=0,$M71=ST_POST),1,0)</f>
        <v/>
      </c>
    </row>
    <row r="72">
      <c r="A72" s="29" t="n"/>
      <c r="B72" s="31" t="n"/>
      <c r="C72" s="39" t="n"/>
      <c r="D72" s="39" t="n"/>
      <c r="E72" s="39" t="n"/>
      <c r="F72" s="42" t="n"/>
      <c r="G72" s="42" t="n"/>
      <c r="H72" s="39" t="n"/>
      <c r="I72" s="39" t="n"/>
      <c r="J72" s="29" t="n"/>
      <c r="K72" s="29" t="n"/>
      <c r="L72" s="29" t="n"/>
      <c r="M72" s="39" t="n"/>
      <c r="N72" s="29" t="n"/>
      <c r="O72" s="29" t="n"/>
      <c r="P72" s="29" t="n"/>
      <c r="Q72" s="29" t="n"/>
      <c r="R72" s="29" t="n"/>
      <c r="S72" s="29" t="n"/>
      <c r="T72" s="32">
        <f>IF($AB72=1,IFERROR(INDEX(Lists!$O$5:$O$6,MATCH($H72,Lists!$N$5:$N$6,0)),"?"),"")</f>
        <v/>
      </c>
      <c r="U72" s="32">
        <f>IF(AND($AB72=1,$I72&lt;&gt;""),IFERROR(INDEX(Treasuries!$E:$E,MATCH($I72,Treasuries!$A:$A,0)),"؟"),"")</f>
        <v/>
      </c>
      <c r="V72" s="44">
        <f>IF($AB72=1,IF($T72="IMM",$U72,ACC_ACCRUED),"")</f>
        <v/>
      </c>
      <c r="W72" s="43">
        <f>IF($AB72=1,$F72+$G72,"")</f>
        <v/>
      </c>
      <c r="X72" s="43">
        <f>IF($AB72=1,SUMIFS(Cash_Vouchers!$I:$I,Cash_Vouchers!$M:$M,$A72,Cash_Vouchers!$AM:$AM,1,Cash_Vouchers!$U:$U,"PAY"),"")</f>
        <v/>
      </c>
      <c r="Y72" s="43">
        <f>IF($AB72=1,IF($T72="CRD",$W72-$X72,0),"")</f>
        <v/>
      </c>
      <c r="Z72" s="44">
        <f>IF($AB72=1,IF($T72="IMM","مدفوع فورًا",IF($M72&lt;&gt;ST_POST,"غير مرحل",IF($Y72&lt;=S_Tol,"مدفوع بالكامل",IF($X72&gt;0,"مدفوع جزئيًا","غير مدفوع")))),"")</f>
        <v/>
      </c>
      <c r="AA72" s="33">
        <f>IF($AB72=1,IF($X72&gt;0,_xlfn.MAXIFS(Cash_Vouchers!$B:$B,Cash_Vouchers!$M:$M,$A72,Cash_Vouchers!$AM:$AM,1),""),"")</f>
        <v/>
      </c>
      <c r="AB72" s="32">
        <f>IF(COUNTA($A72:$S72)&gt;0,1,0)</f>
        <v/>
      </c>
      <c r="AC72" s="32">
        <f>IF($AB72=0,"",IF($A72="","رقم المستند ناقص",IF(COUNTIF(Doc_Register!$A:$A,$A72)&gt;1,"رقم مستند مكرر في السجل المركزي",IF(LEFT($A72,LEN("EXP")+1)&lt;&gt;"EXP"&amp;"-","بادئة الرقم لا تطابق نوع المستند",IF(NOT(ISNUMBER($B72)),"التاريخ ناقص أو غير صحيح",IF($M72="","حالة المستند ناقصة",IF($N72="","اسم المُعِد ناقص",IF(AND(OR($M72=ST_APPR,$M72=ST_POST),$O72=""),"لا يوجد معتمد",IF(AND($O72&lt;&gt;"",$O72=$N72),"المُعِد والمعتمد نفس الشخص (فصل المهام)",IF(AND($M72=ST_POST,$P72=""),"اسم المحاسب المرحِّل ناقص",IF(AND($M72=ST_POST,$P72&lt;&gt;"",OR($P72=$N72,$P72=$O72)),"المرحِّل يجب أن يختلف عن المُعِد والمعتمد",IF(AND($M72=ST_REV,$R72=""),"مرجع التصحيح/الإلغاء ناقص",IF(AND(ISNUMBER($B72),OR($M72=ST_DRAFT,$M72=ST_APPR),COUNTIFS(Period_Close!$A:$A,YEAR($B72)*100+MONTH($B72),Period_Close!$B:$B,"مقفلة")&gt;0),"الفترة مقفلة: لا يسمح بمستند جديد",IF(NOT(COUNTIF(Locations!$A:$A,$C72)&gt;0),"الفرع/الإدارة غير معرف",IF(NOT(COUNTIF(Cost_Centers!$A:$A,$D72)&gt;0),"مركز التكلفة غير معرف أو ناقص",IF(COUNTIFS(COA!$A:$A,$E72,COA!$J:$J,"نعم",COA!$R:$R,1)&lt;&gt;1,"حساب غير مسموح للمصروفات (الأصول الثابتة والمخزون لهما مسارات خاصة)",IF(NOT(N($F72)&gt;0),"المبلغ يجب أن يكون أكبر من صفر",IF($T72="?","نمط السداد غير معرف",IF(AND($T72="IMM",$I72=""),"الدفع الفوري يحتاج خزينة/بنك",IF(AND($T72="IMM",COUNTIFS(COA!$A:$A,$U72,COA!$R:$R,1)&lt;&gt;1),"الخزينة/البنك غير صالح",IF(AND($T72="IMM",$K72=""),"طريقة الدفع ناقصة",IF(AND(N($G72)&gt;0,S_VATOn&lt;&gt;"نعم"),"ضريبة المدخلات غير مفعلة في Tax_Settings",IF($J72="","المستفيد ناقص",IF(AND($T72="CRD",$X72&gt;$W72+S_Tol),"المسدَّد أكبر من المستحق",""))))))))))))))))))))))))</f>
        <v/>
      </c>
      <c r="AD72" s="32">
        <f>IF($AB72=1,IF($AC72&lt;&gt;"",1,0),0)</f>
        <v/>
      </c>
      <c r="AE72" s="32">
        <f>IF(AND($AB72=1,$AD72=0,$M72=ST_POST),1,0)</f>
        <v/>
      </c>
    </row>
    <row r="73">
      <c r="A73" s="29" t="n"/>
      <c r="B73" s="31" t="n"/>
      <c r="C73" s="39" t="n"/>
      <c r="D73" s="39" t="n"/>
      <c r="E73" s="39" t="n"/>
      <c r="F73" s="42" t="n"/>
      <c r="G73" s="42" t="n"/>
      <c r="H73" s="39" t="n"/>
      <c r="I73" s="39" t="n"/>
      <c r="J73" s="29" t="n"/>
      <c r="K73" s="29" t="n"/>
      <c r="L73" s="29" t="n"/>
      <c r="M73" s="39" t="n"/>
      <c r="N73" s="29" t="n"/>
      <c r="O73" s="29" t="n"/>
      <c r="P73" s="29" t="n"/>
      <c r="Q73" s="29" t="n"/>
      <c r="R73" s="29" t="n"/>
      <c r="S73" s="29" t="n"/>
      <c r="T73" s="32">
        <f>IF($AB73=1,IFERROR(INDEX(Lists!$O$5:$O$6,MATCH($H73,Lists!$N$5:$N$6,0)),"?"),"")</f>
        <v/>
      </c>
      <c r="U73" s="32">
        <f>IF(AND($AB73=1,$I73&lt;&gt;""),IFERROR(INDEX(Treasuries!$E:$E,MATCH($I73,Treasuries!$A:$A,0)),"؟"),"")</f>
        <v/>
      </c>
      <c r="V73" s="44">
        <f>IF($AB73=1,IF($T73="IMM",$U73,ACC_ACCRUED),"")</f>
        <v/>
      </c>
      <c r="W73" s="43">
        <f>IF($AB73=1,$F73+$G73,"")</f>
        <v/>
      </c>
      <c r="X73" s="43">
        <f>IF($AB73=1,SUMIFS(Cash_Vouchers!$I:$I,Cash_Vouchers!$M:$M,$A73,Cash_Vouchers!$AM:$AM,1,Cash_Vouchers!$U:$U,"PAY"),"")</f>
        <v/>
      </c>
      <c r="Y73" s="43">
        <f>IF($AB73=1,IF($T73="CRD",$W73-$X73,0),"")</f>
        <v/>
      </c>
      <c r="Z73" s="44">
        <f>IF($AB73=1,IF($T73="IMM","مدفوع فورًا",IF($M73&lt;&gt;ST_POST,"غير مرحل",IF($Y73&lt;=S_Tol,"مدفوع بالكامل",IF($X73&gt;0,"مدفوع جزئيًا","غير مدفوع")))),"")</f>
        <v/>
      </c>
      <c r="AA73" s="33">
        <f>IF($AB73=1,IF($X73&gt;0,_xlfn.MAXIFS(Cash_Vouchers!$B:$B,Cash_Vouchers!$M:$M,$A73,Cash_Vouchers!$AM:$AM,1),""),"")</f>
        <v/>
      </c>
      <c r="AB73" s="32">
        <f>IF(COUNTA($A73:$S73)&gt;0,1,0)</f>
        <v/>
      </c>
      <c r="AC73" s="32">
        <f>IF($AB73=0,"",IF($A73="","رقم المستند ناقص",IF(COUNTIF(Doc_Register!$A:$A,$A73)&gt;1,"رقم مستند مكرر في السجل المركزي",IF(LEFT($A73,LEN("EXP")+1)&lt;&gt;"EXP"&amp;"-","بادئة الرقم لا تطابق نوع المستند",IF(NOT(ISNUMBER($B73)),"التاريخ ناقص أو غير صحيح",IF($M73="","حالة المستند ناقصة",IF($N73="","اسم المُعِد ناقص",IF(AND(OR($M73=ST_APPR,$M73=ST_POST),$O73=""),"لا يوجد معتمد",IF(AND($O73&lt;&gt;"",$O73=$N73),"المُعِد والمعتمد نفس الشخص (فصل المهام)",IF(AND($M73=ST_POST,$P73=""),"اسم المحاسب المرحِّل ناقص",IF(AND($M73=ST_POST,$P73&lt;&gt;"",OR($P73=$N73,$P73=$O73)),"المرحِّل يجب أن يختلف عن المُعِد والمعتمد",IF(AND($M73=ST_REV,$R73=""),"مرجع التصحيح/الإلغاء ناقص",IF(AND(ISNUMBER($B73),OR($M73=ST_DRAFT,$M73=ST_APPR),COUNTIFS(Period_Close!$A:$A,YEAR($B73)*100+MONTH($B73),Period_Close!$B:$B,"مقفلة")&gt;0),"الفترة مقفلة: لا يسمح بمستند جديد",IF(NOT(COUNTIF(Locations!$A:$A,$C73)&gt;0),"الفرع/الإدارة غير معرف",IF(NOT(COUNTIF(Cost_Centers!$A:$A,$D73)&gt;0),"مركز التكلفة غير معرف أو ناقص",IF(COUNTIFS(COA!$A:$A,$E73,COA!$J:$J,"نعم",COA!$R:$R,1)&lt;&gt;1,"حساب غير مسموح للمصروفات (الأصول الثابتة والمخزون لهما مسارات خاصة)",IF(NOT(N($F73)&gt;0),"المبلغ يجب أن يكون أكبر من صفر",IF($T73="?","نمط السداد غير معرف",IF(AND($T73="IMM",$I73=""),"الدفع الفوري يحتاج خزينة/بنك",IF(AND($T73="IMM",COUNTIFS(COA!$A:$A,$U73,COA!$R:$R,1)&lt;&gt;1),"الخزينة/البنك غير صالح",IF(AND($T73="IMM",$K73=""),"طريقة الدفع ناقصة",IF(AND(N($G73)&gt;0,S_VATOn&lt;&gt;"نعم"),"ضريبة المدخلات غير مفعلة في Tax_Settings",IF($J73="","المستفيد ناقص",IF(AND($T73="CRD",$X73&gt;$W73+S_Tol),"المسدَّد أكبر من المستحق",""))))))))))))))))))))))))</f>
        <v/>
      </c>
      <c r="AD73" s="32">
        <f>IF($AB73=1,IF($AC73&lt;&gt;"",1,0),0)</f>
        <v/>
      </c>
      <c r="AE73" s="32">
        <f>IF(AND($AB73=1,$AD73=0,$M73=ST_POST),1,0)</f>
        <v/>
      </c>
    </row>
    <row r="74">
      <c r="A74" s="29" t="n"/>
      <c r="B74" s="31" t="n"/>
      <c r="C74" s="39" t="n"/>
      <c r="D74" s="39" t="n"/>
      <c r="E74" s="39" t="n"/>
      <c r="F74" s="42" t="n"/>
      <c r="G74" s="42" t="n"/>
      <c r="H74" s="39" t="n"/>
      <c r="I74" s="39" t="n"/>
      <c r="J74" s="29" t="n"/>
      <c r="K74" s="29" t="n"/>
      <c r="L74" s="29" t="n"/>
      <c r="M74" s="39" t="n"/>
      <c r="N74" s="29" t="n"/>
      <c r="O74" s="29" t="n"/>
      <c r="P74" s="29" t="n"/>
      <c r="Q74" s="29" t="n"/>
      <c r="R74" s="29" t="n"/>
      <c r="S74" s="29" t="n"/>
      <c r="T74" s="32">
        <f>IF($AB74=1,IFERROR(INDEX(Lists!$O$5:$O$6,MATCH($H74,Lists!$N$5:$N$6,0)),"?"),"")</f>
        <v/>
      </c>
      <c r="U74" s="32">
        <f>IF(AND($AB74=1,$I74&lt;&gt;""),IFERROR(INDEX(Treasuries!$E:$E,MATCH($I74,Treasuries!$A:$A,0)),"؟"),"")</f>
        <v/>
      </c>
      <c r="V74" s="44">
        <f>IF($AB74=1,IF($T74="IMM",$U74,ACC_ACCRUED),"")</f>
        <v/>
      </c>
      <c r="W74" s="43">
        <f>IF($AB74=1,$F74+$G74,"")</f>
        <v/>
      </c>
      <c r="X74" s="43">
        <f>IF($AB74=1,SUMIFS(Cash_Vouchers!$I:$I,Cash_Vouchers!$M:$M,$A74,Cash_Vouchers!$AM:$AM,1,Cash_Vouchers!$U:$U,"PAY"),"")</f>
        <v/>
      </c>
      <c r="Y74" s="43">
        <f>IF($AB74=1,IF($T74="CRD",$W74-$X74,0),"")</f>
        <v/>
      </c>
      <c r="Z74" s="44">
        <f>IF($AB74=1,IF($T74="IMM","مدفوع فورًا",IF($M74&lt;&gt;ST_POST,"غير مرحل",IF($Y74&lt;=S_Tol,"مدفوع بالكامل",IF($X74&gt;0,"مدفوع جزئيًا","غير مدفوع")))),"")</f>
        <v/>
      </c>
      <c r="AA74" s="33">
        <f>IF($AB74=1,IF($X74&gt;0,_xlfn.MAXIFS(Cash_Vouchers!$B:$B,Cash_Vouchers!$M:$M,$A74,Cash_Vouchers!$AM:$AM,1),""),"")</f>
        <v/>
      </c>
      <c r="AB74" s="32">
        <f>IF(COUNTA($A74:$S74)&gt;0,1,0)</f>
        <v/>
      </c>
      <c r="AC74" s="32">
        <f>IF($AB74=0,"",IF($A74="","رقم المستند ناقص",IF(COUNTIF(Doc_Register!$A:$A,$A74)&gt;1,"رقم مستند مكرر في السجل المركزي",IF(LEFT($A74,LEN("EXP")+1)&lt;&gt;"EXP"&amp;"-","بادئة الرقم لا تطابق نوع المستند",IF(NOT(ISNUMBER($B74)),"التاريخ ناقص أو غير صحيح",IF($M74="","حالة المستند ناقصة",IF($N74="","اسم المُعِد ناقص",IF(AND(OR($M74=ST_APPR,$M74=ST_POST),$O74=""),"لا يوجد معتمد",IF(AND($O74&lt;&gt;"",$O74=$N74),"المُعِد والمعتمد نفس الشخص (فصل المهام)",IF(AND($M74=ST_POST,$P74=""),"اسم المحاسب المرحِّل ناقص",IF(AND($M74=ST_POST,$P74&lt;&gt;"",OR($P74=$N74,$P74=$O74)),"المرحِّل يجب أن يختلف عن المُعِد والمعتمد",IF(AND($M74=ST_REV,$R74=""),"مرجع التصحيح/الإلغاء ناقص",IF(AND(ISNUMBER($B74),OR($M74=ST_DRAFT,$M74=ST_APPR),COUNTIFS(Period_Close!$A:$A,YEAR($B74)*100+MONTH($B74),Period_Close!$B:$B,"مقفلة")&gt;0),"الفترة مقفلة: لا يسمح بمستند جديد",IF(NOT(COUNTIF(Locations!$A:$A,$C74)&gt;0),"الفرع/الإدارة غير معرف",IF(NOT(COUNTIF(Cost_Centers!$A:$A,$D74)&gt;0),"مركز التكلفة غير معرف أو ناقص",IF(COUNTIFS(COA!$A:$A,$E74,COA!$J:$J,"نعم",COA!$R:$R,1)&lt;&gt;1,"حساب غير مسموح للمصروفات (الأصول الثابتة والمخزون لهما مسارات خاصة)",IF(NOT(N($F74)&gt;0),"المبلغ يجب أن يكون أكبر من صفر",IF($T74="?","نمط السداد غير معرف",IF(AND($T74="IMM",$I74=""),"الدفع الفوري يحتاج خزينة/بنك",IF(AND($T74="IMM",COUNTIFS(COA!$A:$A,$U74,COA!$R:$R,1)&lt;&gt;1),"الخزينة/البنك غير صالح",IF(AND($T74="IMM",$K74=""),"طريقة الدفع ناقصة",IF(AND(N($G74)&gt;0,S_VATOn&lt;&gt;"نعم"),"ضريبة المدخلات غير مفعلة في Tax_Settings",IF($J74="","المستفيد ناقص",IF(AND($T74="CRD",$X74&gt;$W74+S_Tol),"المسدَّد أكبر من المستحق",""))))))))))))))))))))))))</f>
        <v/>
      </c>
      <c r="AD74" s="32">
        <f>IF($AB74=1,IF($AC74&lt;&gt;"",1,0),0)</f>
        <v/>
      </c>
      <c r="AE74" s="32">
        <f>IF(AND($AB74=1,$AD74=0,$M74=ST_POST),1,0)</f>
        <v/>
      </c>
    </row>
    <row r="75">
      <c r="A75" s="29" t="n"/>
      <c r="B75" s="31" t="n"/>
      <c r="C75" s="39" t="n"/>
      <c r="D75" s="39" t="n"/>
      <c r="E75" s="39" t="n"/>
      <c r="F75" s="42" t="n"/>
      <c r="G75" s="42" t="n"/>
      <c r="H75" s="39" t="n"/>
      <c r="I75" s="39" t="n"/>
      <c r="J75" s="29" t="n"/>
      <c r="K75" s="29" t="n"/>
      <c r="L75" s="29" t="n"/>
      <c r="M75" s="39" t="n"/>
      <c r="N75" s="29" t="n"/>
      <c r="O75" s="29" t="n"/>
      <c r="P75" s="29" t="n"/>
      <c r="Q75" s="29" t="n"/>
      <c r="R75" s="29" t="n"/>
      <c r="S75" s="29" t="n"/>
      <c r="T75" s="32">
        <f>IF($AB75=1,IFERROR(INDEX(Lists!$O$5:$O$6,MATCH($H75,Lists!$N$5:$N$6,0)),"?"),"")</f>
        <v/>
      </c>
      <c r="U75" s="32">
        <f>IF(AND($AB75=1,$I75&lt;&gt;""),IFERROR(INDEX(Treasuries!$E:$E,MATCH($I75,Treasuries!$A:$A,0)),"؟"),"")</f>
        <v/>
      </c>
      <c r="V75" s="44">
        <f>IF($AB75=1,IF($T75="IMM",$U75,ACC_ACCRUED),"")</f>
        <v/>
      </c>
      <c r="W75" s="43">
        <f>IF($AB75=1,$F75+$G75,"")</f>
        <v/>
      </c>
      <c r="X75" s="43">
        <f>IF($AB75=1,SUMIFS(Cash_Vouchers!$I:$I,Cash_Vouchers!$M:$M,$A75,Cash_Vouchers!$AM:$AM,1,Cash_Vouchers!$U:$U,"PAY"),"")</f>
        <v/>
      </c>
      <c r="Y75" s="43">
        <f>IF($AB75=1,IF($T75="CRD",$W75-$X75,0),"")</f>
        <v/>
      </c>
      <c r="Z75" s="44">
        <f>IF($AB75=1,IF($T75="IMM","مدفوع فورًا",IF($M75&lt;&gt;ST_POST,"غير مرحل",IF($Y75&lt;=S_Tol,"مدفوع بالكامل",IF($X75&gt;0,"مدفوع جزئيًا","غير مدفوع")))),"")</f>
        <v/>
      </c>
      <c r="AA75" s="33">
        <f>IF($AB75=1,IF($X75&gt;0,_xlfn.MAXIFS(Cash_Vouchers!$B:$B,Cash_Vouchers!$M:$M,$A75,Cash_Vouchers!$AM:$AM,1),""),"")</f>
        <v/>
      </c>
      <c r="AB75" s="32">
        <f>IF(COUNTA($A75:$S75)&gt;0,1,0)</f>
        <v/>
      </c>
      <c r="AC75" s="32">
        <f>IF($AB75=0,"",IF($A75="","رقم المستند ناقص",IF(COUNTIF(Doc_Register!$A:$A,$A75)&gt;1,"رقم مستند مكرر في السجل المركزي",IF(LEFT($A75,LEN("EXP")+1)&lt;&gt;"EXP"&amp;"-","بادئة الرقم لا تطابق نوع المستند",IF(NOT(ISNUMBER($B75)),"التاريخ ناقص أو غير صحيح",IF($M75="","حالة المستند ناقصة",IF($N75="","اسم المُعِد ناقص",IF(AND(OR($M75=ST_APPR,$M75=ST_POST),$O75=""),"لا يوجد معتمد",IF(AND($O75&lt;&gt;"",$O75=$N75),"المُعِد والمعتمد نفس الشخص (فصل المهام)",IF(AND($M75=ST_POST,$P75=""),"اسم المحاسب المرحِّل ناقص",IF(AND($M75=ST_POST,$P75&lt;&gt;"",OR($P75=$N75,$P75=$O75)),"المرحِّل يجب أن يختلف عن المُعِد والمعتمد",IF(AND($M75=ST_REV,$R75=""),"مرجع التصحيح/الإلغاء ناقص",IF(AND(ISNUMBER($B75),OR($M75=ST_DRAFT,$M75=ST_APPR),COUNTIFS(Period_Close!$A:$A,YEAR($B75)*100+MONTH($B75),Period_Close!$B:$B,"مقفلة")&gt;0),"الفترة مقفلة: لا يسمح بمستند جديد",IF(NOT(COUNTIF(Locations!$A:$A,$C75)&gt;0),"الفرع/الإدارة غير معرف",IF(NOT(COUNTIF(Cost_Centers!$A:$A,$D75)&gt;0),"مركز التكلفة غير معرف أو ناقص",IF(COUNTIFS(COA!$A:$A,$E75,COA!$J:$J,"نعم",COA!$R:$R,1)&lt;&gt;1,"حساب غير مسموح للمصروفات (الأصول الثابتة والمخزون لهما مسارات خاصة)",IF(NOT(N($F75)&gt;0),"المبلغ يجب أن يكون أكبر من صفر",IF($T75="?","نمط السداد غير معرف",IF(AND($T75="IMM",$I75=""),"الدفع الفوري يحتاج خزينة/بنك",IF(AND($T75="IMM",COUNTIFS(COA!$A:$A,$U75,COA!$R:$R,1)&lt;&gt;1),"الخزينة/البنك غير صالح",IF(AND($T75="IMM",$K75=""),"طريقة الدفع ناقصة",IF(AND(N($G75)&gt;0,S_VATOn&lt;&gt;"نعم"),"ضريبة المدخلات غير مفعلة في Tax_Settings",IF($J75="","المستفيد ناقص",IF(AND($T75="CRD",$X75&gt;$W75+S_Tol),"المسدَّد أكبر من المستحق",""))))))))))))))))))))))))</f>
        <v/>
      </c>
      <c r="AD75" s="32">
        <f>IF($AB75=1,IF($AC75&lt;&gt;"",1,0),0)</f>
        <v/>
      </c>
      <c r="AE75" s="32">
        <f>IF(AND($AB75=1,$AD75=0,$M75=ST_POST),1,0)</f>
        <v/>
      </c>
    </row>
    <row r="76">
      <c r="A76" s="29" t="n"/>
      <c r="B76" s="31" t="n"/>
      <c r="C76" s="39" t="n"/>
      <c r="D76" s="39" t="n"/>
      <c r="E76" s="39" t="n"/>
      <c r="F76" s="42" t="n"/>
      <c r="G76" s="42" t="n"/>
      <c r="H76" s="39" t="n"/>
      <c r="I76" s="39" t="n"/>
      <c r="J76" s="29" t="n"/>
      <c r="K76" s="29" t="n"/>
      <c r="L76" s="29" t="n"/>
      <c r="M76" s="39" t="n"/>
      <c r="N76" s="29" t="n"/>
      <c r="O76" s="29" t="n"/>
      <c r="P76" s="29" t="n"/>
      <c r="Q76" s="29" t="n"/>
      <c r="R76" s="29" t="n"/>
      <c r="S76" s="29" t="n"/>
      <c r="T76" s="32">
        <f>IF($AB76=1,IFERROR(INDEX(Lists!$O$5:$O$6,MATCH($H76,Lists!$N$5:$N$6,0)),"?"),"")</f>
        <v/>
      </c>
      <c r="U76" s="32">
        <f>IF(AND($AB76=1,$I76&lt;&gt;""),IFERROR(INDEX(Treasuries!$E:$E,MATCH($I76,Treasuries!$A:$A,0)),"؟"),"")</f>
        <v/>
      </c>
      <c r="V76" s="44">
        <f>IF($AB76=1,IF($T76="IMM",$U76,ACC_ACCRUED),"")</f>
        <v/>
      </c>
      <c r="W76" s="43">
        <f>IF($AB76=1,$F76+$G76,"")</f>
        <v/>
      </c>
      <c r="X76" s="43">
        <f>IF($AB76=1,SUMIFS(Cash_Vouchers!$I:$I,Cash_Vouchers!$M:$M,$A76,Cash_Vouchers!$AM:$AM,1,Cash_Vouchers!$U:$U,"PAY"),"")</f>
        <v/>
      </c>
      <c r="Y76" s="43">
        <f>IF($AB76=1,IF($T76="CRD",$W76-$X76,0),"")</f>
        <v/>
      </c>
      <c r="Z76" s="44">
        <f>IF($AB76=1,IF($T76="IMM","مدفوع فورًا",IF($M76&lt;&gt;ST_POST,"غير مرحل",IF($Y76&lt;=S_Tol,"مدفوع بالكامل",IF($X76&gt;0,"مدفوع جزئيًا","غير مدفوع")))),"")</f>
        <v/>
      </c>
      <c r="AA76" s="33">
        <f>IF($AB76=1,IF($X76&gt;0,_xlfn.MAXIFS(Cash_Vouchers!$B:$B,Cash_Vouchers!$M:$M,$A76,Cash_Vouchers!$AM:$AM,1),""),"")</f>
        <v/>
      </c>
      <c r="AB76" s="32">
        <f>IF(COUNTA($A76:$S76)&gt;0,1,0)</f>
        <v/>
      </c>
      <c r="AC76" s="32">
        <f>IF($AB76=0,"",IF($A76="","رقم المستند ناقص",IF(COUNTIF(Doc_Register!$A:$A,$A76)&gt;1,"رقم مستند مكرر في السجل المركزي",IF(LEFT($A76,LEN("EXP")+1)&lt;&gt;"EXP"&amp;"-","بادئة الرقم لا تطابق نوع المستند",IF(NOT(ISNUMBER($B76)),"التاريخ ناقص أو غير صحيح",IF($M76="","حالة المستند ناقصة",IF($N76="","اسم المُعِد ناقص",IF(AND(OR($M76=ST_APPR,$M76=ST_POST),$O76=""),"لا يوجد معتمد",IF(AND($O76&lt;&gt;"",$O76=$N76),"المُعِد والمعتمد نفس الشخص (فصل المهام)",IF(AND($M76=ST_POST,$P76=""),"اسم المحاسب المرحِّل ناقص",IF(AND($M76=ST_POST,$P76&lt;&gt;"",OR($P76=$N76,$P76=$O76)),"المرحِّل يجب أن يختلف عن المُعِد والمعتمد",IF(AND($M76=ST_REV,$R76=""),"مرجع التصحيح/الإلغاء ناقص",IF(AND(ISNUMBER($B76),OR($M76=ST_DRAFT,$M76=ST_APPR),COUNTIFS(Period_Close!$A:$A,YEAR($B76)*100+MONTH($B76),Period_Close!$B:$B,"مقفلة")&gt;0),"الفترة مقفلة: لا يسمح بمستند جديد",IF(NOT(COUNTIF(Locations!$A:$A,$C76)&gt;0),"الفرع/الإدارة غير معرف",IF(NOT(COUNTIF(Cost_Centers!$A:$A,$D76)&gt;0),"مركز التكلفة غير معرف أو ناقص",IF(COUNTIFS(COA!$A:$A,$E76,COA!$J:$J,"نعم",COA!$R:$R,1)&lt;&gt;1,"حساب غير مسموح للمصروفات (الأصول الثابتة والمخزون لهما مسارات خاصة)",IF(NOT(N($F76)&gt;0),"المبلغ يجب أن يكون أكبر من صفر",IF($T76="?","نمط السداد غير معرف",IF(AND($T76="IMM",$I76=""),"الدفع الفوري يحتاج خزينة/بنك",IF(AND($T76="IMM",COUNTIFS(COA!$A:$A,$U76,COA!$R:$R,1)&lt;&gt;1),"الخزينة/البنك غير صالح",IF(AND($T76="IMM",$K76=""),"طريقة الدفع ناقصة",IF(AND(N($G76)&gt;0,S_VATOn&lt;&gt;"نعم"),"ضريبة المدخلات غير مفعلة في Tax_Settings",IF($J76="","المستفيد ناقص",IF(AND($T76="CRD",$X76&gt;$W76+S_Tol),"المسدَّد أكبر من المستحق",""))))))))))))))))))))))))</f>
        <v/>
      </c>
      <c r="AD76" s="32">
        <f>IF($AB76=1,IF($AC76&lt;&gt;"",1,0),0)</f>
        <v/>
      </c>
      <c r="AE76" s="32">
        <f>IF(AND($AB76=1,$AD76=0,$M76=ST_POST),1,0)</f>
        <v/>
      </c>
    </row>
    <row r="77">
      <c r="A77" s="29" t="n"/>
      <c r="B77" s="31" t="n"/>
      <c r="C77" s="39" t="n"/>
      <c r="D77" s="39" t="n"/>
      <c r="E77" s="39" t="n"/>
      <c r="F77" s="42" t="n"/>
      <c r="G77" s="42" t="n"/>
      <c r="H77" s="39" t="n"/>
      <c r="I77" s="39" t="n"/>
      <c r="J77" s="29" t="n"/>
      <c r="K77" s="29" t="n"/>
      <c r="L77" s="29" t="n"/>
      <c r="M77" s="39" t="n"/>
      <c r="N77" s="29" t="n"/>
      <c r="O77" s="29" t="n"/>
      <c r="P77" s="29" t="n"/>
      <c r="Q77" s="29" t="n"/>
      <c r="R77" s="29" t="n"/>
      <c r="S77" s="29" t="n"/>
      <c r="T77" s="32">
        <f>IF($AB77=1,IFERROR(INDEX(Lists!$O$5:$O$6,MATCH($H77,Lists!$N$5:$N$6,0)),"?"),"")</f>
        <v/>
      </c>
      <c r="U77" s="32">
        <f>IF(AND($AB77=1,$I77&lt;&gt;""),IFERROR(INDEX(Treasuries!$E:$E,MATCH($I77,Treasuries!$A:$A,0)),"؟"),"")</f>
        <v/>
      </c>
      <c r="V77" s="44">
        <f>IF($AB77=1,IF($T77="IMM",$U77,ACC_ACCRUED),"")</f>
        <v/>
      </c>
      <c r="W77" s="43">
        <f>IF($AB77=1,$F77+$G77,"")</f>
        <v/>
      </c>
      <c r="X77" s="43">
        <f>IF($AB77=1,SUMIFS(Cash_Vouchers!$I:$I,Cash_Vouchers!$M:$M,$A77,Cash_Vouchers!$AM:$AM,1,Cash_Vouchers!$U:$U,"PAY"),"")</f>
        <v/>
      </c>
      <c r="Y77" s="43">
        <f>IF($AB77=1,IF($T77="CRD",$W77-$X77,0),"")</f>
        <v/>
      </c>
      <c r="Z77" s="44">
        <f>IF($AB77=1,IF($T77="IMM","مدفوع فورًا",IF($M77&lt;&gt;ST_POST,"غير مرحل",IF($Y77&lt;=S_Tol,"مدفوع بالكامل",IF($X77&gt;0,"مدفوع جزئيًا","غير مدفوع")))),"")</f>
        <v/>
      </c>
      <c r="AA77" s="33">
        <f>IF($AB77=1,IF($X77&gt;0,_xlfn.MAXIFS(Cash_Vouchers!$B:$B,Cash_Vouchers!$M:$M,$A77,Cash_Vouchers!$AM:$AM,1),""),"")</f>
        <v/>
      </c>
      <c r="AB77" s="32">
        <f>IF(COUNTA($A77:$S77)&gt;0,1,0)</f>
        <v/>
      </c>
      <c r="AC77" s="32">
        <f>IF($AB77=0,"",IF($A77="","رقم المستند ناقص",IF(COUNTIF(Doc_Register!$A:$A,$A77)&gt;1,"رقم مستند مكرر في السجل المركزي",IF(LEFT($A77,LEN("EXP")+1)&lt;&gt;"EXP"&amp;"-","بادئة الرقم لا تطابق نوع المستند",IF(NOT(ISNUMBER($B77)),"التاريخ ناقص أو غير صحيح",IF($M77="","حالة المستند ناقصة",IF($N77="","اسم المُعِد ناقص",IF(AND(OR($M77=ST_APPR,$M77=ST_POST),$O77=""),"لا يوجد معتمد",IF(AND($O77&lt;&gt;"",$O77=$N77),"المُعِد والمعتمد نفس الشخص (فصل المهام)",IF(AND($M77=ST_POST,$P77=""),"اسم المحاسب المرحِّل ناقص",IF(AND($M77=ST_POST,$P77&lt;&gt;"",OR($P77=$N77,$P77=$O77)),"المرحِّل يجب أن يختلف عن المُعِد والمعتمد",IF(AND($M77=ST_REV,$R77=""),"مرجع التصحيح/الإلغاء ناقص",IF(AND(ISNUMBER($B77),OR($M77=ST_DRAFT,$M77=ST_APPR),COUNTIFS(Period_Close!$A:$A,YEAR($B77)*100+MONTH($B77),Period_Close!$B:$B,"مقفلة")&gt;0),"الفترة مقفلة: لا يسمح بمستند جديد",IF(NOT(COUNTIF(Locations!$A:$A,$C77)&gt;0),"الفرع/الإدارة غير معرف",IF(NOT(COUNTIF(Cost_Centers!$A:$A,$D77)&gt;0),"مركز التكلفة غير معرف أو ناقص",IF(COUNTIFS(COA!$A:$A,$E77,COA!$J:$J,"نعم",COA!$R:$R,1)&lt;&gt;1,"حساب غير مسموح للمصروفات (الأصول الثابتة والمخزون لهما مسارات خاصة)",IF(NOT(N($F77)&gt;0),"المبلغ يجب أن يكون أكبر من صفر",IF($T77="?","نمط السداد غير معرف",IF(AND($T77="IMM",$I77=""),"الدفع الفوري يحتاج خزينة/بنك",IF(AND($T77="IMM",COUNTIFS(COA!$A:$A,$U77,COA!$R:$R,1)&lt;&gt;1),"الخزينة/البنك غير صالح",IF(AND($T77="IMM",$K77=""),"طريقة الدفع ناقصة",IF(AND(N($G77)&gt;0,S_VATOn&lt;&gt;"نعم"),"ضريبة المدخلات غير مفعلة في Tax_Settings",IF($J77="","المستفيد ناقص",IF(AND($T77="CRD",$X77&gt;$W77+S_Tol),"المسدَّد أكبر من المستحق",""))))))))))))))))))))))))</f>
        <v/>
      </c>
      <c r="AD77" s="32">
        <f>IF($AB77=1,IF($AC77&lt;&gt;"",1,0),0)</f>
        <v/>
      </c>
      <c r="AE77" s="32">
        <f>IF(AND($AB77=1,$AD77=0,$M77=ST_POST),1,0)</f>
        <v/>
      </c>
    </row>
    <row r="78">
      <c r="A78" s="29" t="n"/>
      <c r="B78" s="31" t="n"/>
      <c r="C78" s="39" t="n"/>
      <c r="D78" s="39" t="n"/>
      <c r="E78" s="39" t="n"/>
      <c r="F78" s="42" t="n"/>
      <c r="G78" s="42" t="n"/>
      <c r="H78" s="39" t="n"/>
      <c r="I78" s="39" t="n"/>
      <c r="J78" s="29" t="n"/>
      <c r="K78" s="29" t="n"/>
      <c r="L78" s="29" t="n"/>
      <c r="M78" s="39" t="n"/>
      <c r="N78" s="29" t="n"/>
      <c r="O78" s="29" t="n"/>
      <c r="P78" s="29" t="n"/>
      <c r="Q78" s="29" t="n"/>
      <c r="R78" s="29" t="n"/>
      <c r="S78" s="29" t="n"/>
      <c r="T78" s="32">
        <f>IF($AB78=1,IFERROR(INDEX(Lists!$O$5:$O$6,MATCH($H78,Lists!$N$5:$N$6,0)),"?"),"")</f>
        <v/>
      </c>
      <c r="U78" s="32">
        <f>IF(AND($AB78=1,$I78&lt;&gt;""),IFERROR(INDEX(Treasuries!$E:$E,MATCH($I78,Treasuries!$A:$A,0)),"؟"),"")</f>
        <v/>
      </c>
      <c r="V78" s="44">
        <f>IF($AB78=1,IF($T78="IMM",$U78,ACC_ACCRUED),"")</f>
        <v/>
      </c>
      <c r="W78" s="43">
        <f>IF($AB78=1,$F78+$G78,"")</f>
        <v/>
      </c>
      <c r="X78" s="43">
        <f>IF($AB78=1,SUMIFS(Cash_Vouchers!$I:$I,Cash_Vouchers!$M:$M,$A78,Cash_Vouchers!$AM:$AM,1,Cash_Vouchers!$U:$U,"PAY"),"")</f>
        <v/>
      </c>
      <c r="Y78" s="43">
        <f>IF($AB78=1,IF($T78="CRD",$W78-$X78,0),"")</f>
        <v/>
      </c>
      <c r="Z78" s="44">
        <f>IF($AB78=1,IF($T78="IMM","مدفوع فورًا",IF($M78&lt;&gt;ST_POST,"غير مرحل",IF($Y78&lt;=S_Tol,"مدفوع بالكامل",IF($X78&gt;0,"مدفوع جزئيًا","غير مدفوع")))),"")</f>
        <v/>
      </c>
      <c r="AA78" s="33">
        <f>IF($AB78=1,IF($X78&gt;0,_xlfn.MAXIFS(Cash_Vouchers!$B:$B,Cash_Vouchers!$M:$M,$A78,Cash_Vouchers!$AM:$AM,1),""),"")</f>
        <v/>
      </c>
      <c r="AB78" s="32">
        <f>IF(COUNTA($A78:$S78)&gt;0,1,0)</f>
        <v/>
      </c>
      <c r="AC78" s="32">
        <f>IF($AB78=0,"",IF($A78="","رقم المستند ناقص",IF(COUNTIF(Doc_Register!$A:$A,$A78)&gt;1,"رقم مستند مكرر في السجل المركزي",IF(LEFT($A78,LEN("EXP")+1)&lt;&gt;"EXP"&amp;"-","بادئة الرقم لا تطابق نوع المستند",IF(NOT(ISNUMBER($B78)),"التاريخ ناقص أو غير صحيح",IF($M78="","حالة المستند ناقصة",IF($N78="","اسم المُعِد ناقص",IF(AND(OR($M78=ST_APPR,$M78=ST_POST),$O78=""),"لا يوجد معتمد",IF(AND($O78&lt;&gt;"",$O78=$N78),"المُعِد والمعتمد نفس الشخص (فصل المهام)",IF(AND($M78=ST_POST,$P78=""),"اسم المحاسب المرحِّل ناقص",IF(AND($M78=ST_POST,$P78&lt;&gt;"",OR($P78=$N78,$P78=$O78)),"المرحِّل يجب أن يختلف عن المُعِد والمعتمد",IF(AND($M78=ST_REV,$R78=""),"مرجع التصحيح/الإلغاء ناقص",IF(AND(ISNUMBER($B78),OR($M78=ST_DRAFT,$M78=ST_APPR),COUNTIFS(Period_Close!$A:$A,YEAR($B78)*100+MONTH($B78),Period_Close!$B:$B,"مقفلة")&gt;0),"الفترة مقفلة: لا يسمح بمستند جديد",IF(NOT(COUNTIF(Locations!$A:$A,$C78)&gt;0),"الفرع/الإدارة غير معرف",IF(NOT(COUNTIF(Cost_Centers!$A:$A,$D78)&gt;0),"مركز التكلفة غير معرف أو ناقص",IF(COUNTIFS(COA!$A:$A,$E78,COA!$J:$J,"نعم",COA!$R:$R,1)&lt;&gt;1,"حساب غير مسموح للمصروفات (الأصول الثابتة والمخزون لهما مسارات خاصة)",IF(NOT(N($F78)&gt;0),"المبلغ يجب أن يكون أكبر من صفر",IF($T78="?","نمط السداد غير معرف",IF(AND($T78="IMM",$I78=""),"الدفع الفوري يحتاج خزينة/بنك",IF(AND($T78="IMM",COUNTIFS(COA!$A:$A,$U78,COA!$R:$R,1)&lt;&gt;1),"الخزينة/البنك غير صالح",IF(AND($T78="IMM",$K78=""),"طريقة الدفع ناقصة",IF(AND(N($G78)&gt;0,S_VATOn&lt;&gt;"نعم"),"ضريبة المدخلات غير مفعلة في Tax_Settings",IF($J78="","المستفيد ناقص",IF(AND($T78="CRD",$X78&gt;$W78+S_Tol),"المسدَّد أكبر من المستحق",""))))))))))))))))))))))))</f>
        <v/>
      </c>
      <c r="AD78" s="32">
        <f>IF($AB78=1,IF($AC78&lt;&gt;"",1,0),0)</f>
        <v/>
      </c>
      <c r="AE78" s="32">
        <f>IF(AND($AB78=1,$AD78=0,$M78=ST_POST),1,0)</f>
        <v/>
      </c>
    </row>
    <row r="79">
      <c r="A79" s="29" t="n"/>
      <c r="B79" s="31" t="n"/>
      <c r="C79" s="39" t="n"/>
      <c r="D79" s="39" t="n"/>
      <c r="E79" s="39" t="n"/>
      <c r="F79" s="42" t="n"/>
      <c r="G79" s="42" t="n"/>
      <c r="H79" s="39" t="n"/>
      <c r="I79" s="39" t="n"/>
      <c r="J79" s="29" t="n"/>
      <c r="K79" s="29" t="n"/>
      <c r="L79" s="29" t="n"/>
      <c r="M79" s="39" t="n"/>
      <c r="N79" s="29" t="n"/>
      <c r="O79" s="29" t="n"/>
      <c r="P79" s="29" t="n"/>
      <c r="Q79" s="29" t="n"/>
      <c r="R79" s="29" t="n"/>
      <c r="S79" s="29" t="n"/>
      <c r="T79" s="32">
        <f>IF($AB79=1,IFERROR(INDEX(Lists!$O$5:$O$6,MATCH($H79,Lists!$N$5:$N$6,0)),"?"),"")</f>
        <v/>
      </c>
      <c r="U79" s="32">
        <f>IF(AND($AB79=1,$I79&lt;&gt;""),IFERROR(INDEX(Treasuries!$E:$E,MATCH($I79,Treasuries!$A:$A,0)),"؟"),"")</f>
        <v/>
      </c>
      <c r="V79" s="44">
        <f>IF($AB79=1,IF($T79="IMM",$U79,ACC_ACCRUED),"")</f>
        <v/>
      </c>
      <c r="W79" s="43">
        <f>IF($AB79=1,$F79+$G79,"")</f>
        <v/>
      </c>
      <c r="X79" s="43">
        <f>IF($AB79=1,SUMIFS(Cash_Vouchers!$I:$I,Cash_Vouchers!$M:$M,$A79,Cash_Vouchers!$AM:$AM,1,Cash_Vouchers!$U:$U,"PAY"),"")</f>
        <v/>
      </c>
      <c r="Y79" s="43">
        <f>IF($AB79=1,IF($T79="CRD",$W79-$X79,0),"")</f>
        <v/>
      </c>
      <c r="Z79" s="44">
        <f>IF($AB79=1,IF($T79="IMM","مدفوع فورًا",IF($M79&lt;&gt;ST_POST,"غير مرحل",IF($Y79&lt;=S_Tol,"مدفوع بالكامل",IF($X79&gt;0,"مدفوع جزئيًا","غير مدفوع")))),"")</f>
        <v/>
      </c>
      <c r="AA79" s="33">
        <f>IF($AB79=1,IF($X79&gt;0,_xlfn.MAXIFS(Cash_Vouchers!$B:$B,Cash_Vouchers!$M:$M,$A79,Cash_Vouchers!$AM:$AM,1),""),"")</f>
        <v/>
      </c>
      <c r="AB79" s="32">
        <f>IF(COUNTA($A79:$S79)&gt;0,1,0)</f>
        <v/>
      </c>
      <c r="AC79" s="32">
        <f>IF($AB79=0,"",IF($A79="","رقم المستند ناقص",IF(COUNTIF(Doc_Register!$A:$A,$A79)&gt;1,"رقم مستند مكرر في السجل المركزي",IF(LEFT($A79,LEN("EXP")+1)&lt;&gt;"EXP"&amp;"-","بادئة الرقم لا تطابق نوع المستند",IF(NOT(ISNUMBER($B79)),"التاريخ ناقص أو غير صحيح",IF($M79="","حالة المستند ناقصة",IF($N79="","اسم المُعِد ناقص",IF(AND(OR($M79=ST_APPR,$M79=ST_POST),$O79=""),"لا يوجد معتمد",IF(AND($O79&lt;&gt;"",$O79=$N79),"المُعِد والمعتمد نفس الشخص (فصل المهام)",IF(AND($M79=ST_POST,$P79=""),"اسم المحاسب المرحِّل ناقص",IF(AND($M79=ST_POST,$P79&lt;&gt;"",OR($P79=$N79,$P79=$O79)),"المرحِّل يجب أن يختلف عن المُعِد والمعتمد",IF(AND($M79=ST_REV,$R79=""),"مرجع التصحيح/الإلغاء ناقص",IF(AND(ISNUMBER($B79),OR($M79=ST_DRAFT,$M79=ST_APPR),COUNTIFS(Period_Close!$A:$A,YEAR($B79)*100+MONTH($B79),Period_Close!$B:$B,"مقفلة")&gt;0),"الفترة مقفلة: لا يسمح بمستند جديد",IF(NOT(COUNTIF(Locations!$A:$A,$C79)&gt;0),"الفرع/الإدارة غير معرف",IF(NOT(COUNTIF(Cost_Centers!$A:$A,$D79)&gt;0),"مركز التكلفة غير معرف أو ناقص",IF(COUNTIFS(COA!$A:$A,$E79,COA!$J:$J,"نعم",COA!$R:$R,1)&lt;&gt;1,"حساب غير مسموح للمصروفات (الأصول الثابتة والمخزون لهما مسارات خاصة)",IF(NOT(N($F79)&gt;0),"المبلغ يجب أن يكون أكبر من صفر",IF($T79="?","نمط السداد غير معرف",IF(AND($T79="IMM",$I79=""),"الدفع الفوري يحتاج خزينة/بنك",IF(AND($T79="IMM",COUNTIFS(COA!$A:$A,$U79,COA!$R:$R,1)&lt;&gt;1),"الخزينة/البنك غير صالح",IF(AND($T79="IMM",$K79=""),"طريقة الدفع ناقصة",IF(AND(N($G79)&gt;0,S_VATOn&lt;&gt;"نعم"),"ضريبة المدخلات غير مفعلة في Tax_Settings",IF($J79="","المستفيد ناقص",IF(AND($T79="CRD",$X79&gt;$W79+S_Tol),"المسدَّد أكبر من المستحق",""))))))))))))))))))))))))</f>
        <v/>
      </c>
      <c r="AD79" s="32">
        <f>IF($AB79=1,IF($AC79&lt;&gt;"",1,0),0)</f>
        <v/>
      </c>
      <c r="AE79" s="32">
        <f>IF(AND($AB79=1,$AD79=0,$M79=ST_POST),1,0)</f>
        <v/>
      </c>
    </row>
    <row r="80">
      <c r="A80" s="29" t="n"/>
      <c r="B80" s="31" t="n"/>
      <c r="C80" s="39" t="n"/>
      <c r="D80" s="39" t="n"/>
      <c r="E80" s="39" t="n"/>
      <c r="F80" s="42" t="n"/>
      <c r="G80" s="42" t="n"/>
      <c r="H80" s="39" t="n"/>
      <c r="I80" s="39" t="n"/>
      <c r="J80" s="29" t="n"/>
      <c r="K80" s="29" t="n"/>
      <c r="L80" s="29" t="n"/>
      <c r="M80" s="39" t="n"/>
      <c r="N80" s="29" t="n"/>
      <c r="O80" s="29" t="n"/>
      <c r="P80" s="29" t="n"/>
      <c r="Q80" s="29" t="n"/>
      <c r="R80" s="29" t="n"/>
      <c r="S80" s="29" t="n"/>
      <c r="T80" s="32">
        <f>IF($AB80=1,IFERROR(INDEX(Lists!$O$5:$O$6,MATCH($H80,Lists!$N$5:$N$6,0)),"?"),"")</f>
        <v/>
      </c>
      <c r="U80" s="32">
        <f>IF(AND($AB80=1,$I80&lt;&gt;""),IFERROR(INDEX(Treasuries!$E:$E,MATCH($I80,Treasuries!$A:$A,0)),"؟"),"")</f>
        <v/>
      </c>
      <c r="V80" s="44">
        <f>IF($AB80=1,IF($T80="IMM",$U80,ACC_ACCRUED),"")</f>
        <v/>
      </c>
      <c r="W80" s="43">
        <f>IF($AB80=1,$F80+$G80,"")</f>
        <v/>
      </c>
      <c r="X80" s="43">
        <f>IF($AB80=1,SUMIFS(Cash_Vouchers!$I:$I,Cash_Vouchers!$M:$M,$A80,Cash_Vouchers!$AM:$AM,1,Cash_Vouchers!$U:$U,"PAY"),"")</f>
        <v/>
      </c>
      <c r="Y80" s="43">
        <f>IF($AB80=1,IF($T80="CRD",$W80-$X80,0),"")</f>
        <v/>
      </c>
      <c r="Z80" s="44">
        <f>IF($AB80=1,IF($T80="IMM","مدفوع فورًا",IF($M80&lt;&gt;ST_POST,"غير مرحل",IF($Y80&lt;=S_Tol,"مدفوع بالكامل",IF($X80&gt;0,"مدفوع جزئيًا","غير مدفوع")))),"")</f>
        <v/>
      </c>
      <c r="AA80" s="33">
        <f>IF($AB80=1,IF($X80&gt;0,_xlfn.MAXIFS(Cash_Vouchers!$B:$B,Cash_Vouchers!$M:$M,$A80,Cash_Vouchers!$AM:$AM,1),""),"")</f>
        <v/>
      </c>
      <c r="AB80" s="32">
        <f>IF(COUNTA($A80:$S80)&gt;0,1,0)</f>
        <v/>
      </c>
      <c r="AC80" s="32">
        <f>IF($AB80=0,"",IF($A80="","رقم المستند ناقص",IF(COUNTIF(Doc_Register!$A:$A,$A80)&gt;1,"رقم مستند مكرر في السجل المركزي",IF(LEFT($A80,LEN("EXP")+1)&lt;&gt;"EXP"&amp;"-","بادئة الرقم لا تطابق نوع المستند",IF(NOT(ISNUMBER($B80)),"التاريخ ناقص أو غير صحيح",IF($M80="","حالة المستند ناقصة",IF($N80="","اسم المُعِد ناقص",IF(AND(OR($M80=ST_APPR,$M80=ST_POST),$O80=""),"لا يوجد معتمد",IF(AND($O80&lt;&gt;"",$O80=$N80),"المُعِد والمعتمد نفس الشخص (فصل المهام)",IF(AND($M80=ST_POST,$P80=""),"اسم المحاسب المرحِّل ناقص",IF(AND($M80=ST_POST,$P80&lt;&gt;"",OR($P80=$N80,$P80=$O80)),"المرحِّل يجب أن يختلف عن المُعِد والمعتمد",IF(AND($M80=ST_REV,$R80=""),"مرجع التصحيح/الإلغاء ناقص",IF(AND(ISNUMBER($B80),OR($M80=ST_DRAFT,$M80=ST_APPR),COUNTIFS(Period_Close!$A:$A,YEAR($B80)*100+MONTH($B80),Period_Close!$B:$B,"مقفلة")&gt;0),"الفترة مقفلة: لا يسمح بمستند جديد",IF(NOT(COUNTIF(Locations!$A:$A,$C80)&gt;0),"الفرع/الإدارة غير معرف",IF(NOT(COUNTIF(Cost_Centers!$A:$A,$D80)&gt;0),"مركز التكلفة غير معرف أو ناقص",IF(COUNTIFS(COA!$A:$A,$E80,COA!$J:$J,"نعم",COA!$R:$R,1)&lt;&gt;1,"حساب غير مسموح للمصروفات (الأصول الثابتة والمخزون لهما مسارات خاصة)",IF(NOT(N($F80)&gt;0),"المبلغ يجب أن يكون أكبر من صفر",IF($T80="?","نمط السداد غير معرف",IF(AND($T80="IMM",$I80=""),"الدفع الفوري يحتاج خزينة/بنك",IF(AND($T80="IMM",COUNTIFS(COA!$A:$A,$U80,COA!$R:$R,1)&lt;&gt;1),"الخزينة/البنك غير صالح",IF(AND($T80="IMM",$K80=""),"طريقة الدفع ناقصة",IF(AND(N($G80)&gt;0,S_VATOn&lt;&gt;"نعم"),"ضريبة المدخلات غير مفعلة في Tax_Settings",IF($J80="","المستفيد ناقص",IF(AND($T80="CRD",$X80&gt;$W80+S_Tol),"المسدَّد أكبر من المستحق",""))))))))))))))))))))))))</f>
        <v/>
      </c>
      <c r="AD80" s="32">
        <f>IF($AB80=1,IF($AC80&lt;&gt;"",1,0),0)</f>
        <v/>
      </c>
      <c r="AE80" s="32">
        <f>IF(AND($AB80=1,$AD80=0,$M80=ST_POST),1,0)</f>
        <v/>
      </c>
    </row>
    <row r="81">
      <c r="A81" s="29" t="n"/>
      <c r="B81" s="31" t="n"/>
      <c r="C81" s="39" t="n"/>
      <c r="D81" s="39" t="n"/>
      <c r="E81" s="39" t="n"/>
      <c r="F81" s="42" t="n"/>
      <c r="G81" s="42" t="n"/>
      <c r="H81" s="39" t="n"/>
      <c r="I81" s="39" t="n"/>
      <c r="J81" s="29" t="n"/>
      <c r="K81" s="29" t="n"/>
      <c r="L81" s="29" t="n"/>
      <c r="M81" s="39" t="n"/>
      <c r="N81" s="29" t="n"/>
      <c r="O81" s="29" t="n"/>
      <c r="P81" s="29" t="n"/>
      <c r="Q81" s="29" t="n"/>
      <c r="R81" s="29" t="n"/>
      <c r="S81" s="29" t="n"/>
      <c r="T81" s="32">
        <f>IF($AB81=1,IFERROR(INDEX(Lists!$O$5:$O$6,MATCH($H81,Lists!$N$5:$N$6,0)),"?"),"")</f>
        <v/>
      </c>
      <c r="U81" s="32">
        <f>IF(AND($AB81=1,$I81&lt;&gt;""),IFERROR(INDEX(Treasuries!$E:$E,MATCH($I81,Treasuries!$A:$A,0)),"؟"),"")</f>
        <v/>
      </c>
      <c r="V81" s="44">
        <f>IF($AB81=1,IF($T81="IMM",$U81,ACC_ACCRUED),"")</f>
        <v/>
      </c>
      <c r="W81" s="43">
        <f>IF($AB81=1,$F81+$G81,"")</f>
        <v/>
      </c>
      <c r="X81" s="43">
        <f>IF($AB81=1,SUMIFS(Cash_Vouchers!$I:$I,Cash_Vouchers!$M:$M,$A81,Cash_Vouchers!$AM:$AM,1,Cash_Vouchers!$U:$U,"PAY"),"")</f>
        <v/>
      </c>
      <c r="Y81" s="43">
        <f>IF($AB81=1,IF($T81="CRD",$W81-$X81,0),"")</f>
        <v/>
      </c>
      <c r="Z81" s="44">
        <f>IF($AB81=1,IF($T81="IMM","مدفوع فورًا",IF($M81&lt;&gt;ST_POST,"غير مرحل",IF($Y81&lt;=S_Tol,"مدفوع بالكامل",IF($X81&gt;0,"مدفوع جزئيًا","غير مدفوع")))),"")</f>
        <v/>
      </c>
      <c r="AA81" s="33">
        <f>IF($AB81=1,IF($X81&gt;0,_xlfn.MAXIFS(Cash_Vouchers!$B:$B,Cash_Vouchers!$M:$M,$A81,Cash_Vouchers!$AM:$AM,1),""),"")</f>
        <v/>
      </c>
      <c r="AB81" s="32">
        <f>IF(COUNTA($A81:$S81)&gt;0,1,0)</f>
        <v/>
      </c>
      <c r="AC81" s="32">
        <f>IF($AB81=0,"",IF($A81="","رقم المستند ناقص",IF(COUNTIF(Doc_Register!$A:$A,$A81)&gt;1,"رقم مستند مكرر في السجل المركزي",IF(LEFT($A81,LEN("EXP")+1)&lt;&gt;"EXP"&amp;"-","بادئة الرقم لا تطابق نوع المستند",IF(NOT(ISNUMBER($B81)),"التاريخ ناقص أو غير صحيح",IF($M81="","حالة المستند ناقصة",IF($N81="","اسم المُعِد ناقص",IF(AND(OR($M81=ST_APPR,$M81=ST_POST),$O81=""),"لا يوجد معتمد",IF(AND($O81&lt;&gt;"",$O81=$N81),"المُعِد والمعتمد نفس الشخص (فصل المهام)",IF(AND($M81=ST_POST,$P81=""),"اسم المحاسب المرحِّل ناقص",IF(AND($M81=ST_POST,$P81&lt;&gt;"",OR($P81=$N81,$P81=$O81)),"المرحِّل يجب أن يختلف عن المُعِد والمعتمد",IF(AND($M81=ST_REV,$R81=""),"مرجع التصحيح/الإلغاء ناقص",IF(AND(ISNUMBER($B81),OR($M81=ST_DRAFT,$M81=ST_APPR),COUNTIFS(Period_Close!$A:$A,YEAR($B81)*100+MONTH($B81),Period_Close!$B:$B,"مقفلة")&gt;0),"الفترة مقفلة: لا يسمح بمستند جديد",IF(NOT(COUNTIF(Locations!$A:$A,$C81)&gt;0),"الفرع/الإدارة غير معرف",IF(NOT(COUNTIF(Cost_Centers!$A:$A,$D81)&gt;0),"مركز التكلفة غير معرف أو ناقص",IF(COUNTIFS(COA!$A:$A,$E81,COA!$J:$J,"نعم",COA!$R:$R,1)&lt;&gt;1,"حساب غير مسموح للمصروفات (الأصول الثابتة والمخزون لهما مسارات خاصة)",IF(NOT(N($F81)&gt;0),"المبلغ يجب أن يكون أكبر من صفر",IF($T81="?","نمط السداد غير معرف",IF(AND($T81="IMM",$I81=""),"الدفع الفوري يحتاج خزينة/بنك",IF(AND($T81="IMM",COUNTIFS(COA!$A:$A,$U81,COA!$R:$R,1)&lt;&gt;1),"الخزينة/البنك غير صالح",IF(AND($T81="IMM",$K81=""),"طريقة الدفع ناقصة",IF(AND(N($G81)&gt;0,S_VATOn&lt;&gt;"نعم"),"ضريبة المدخلات غير مفعلة في Tax_Settings",IF($J81="","المستفيد ناقص",IF(AND($T81="CRD",$X81&gt;$W81+S_Tol),"المسدَّد أكبر من المستحق",""))))))))))))))))))))))))</f>
        <v/>
      </c>
      <c r="AD81" s="32">
        <f>IF($AB81=1,IF($AC81&lt;&gt;"",1,0),0)</f>
        <v/>
      </c>
      <c r="AE81" s="32">
        <f>IF(AND($AB81=1,$AD81=0,$M81=ST_POST),1,0)</f>
        <v/>
      </c>
    </row>
    <row r="82">
      <c r="A82" s="29" t="n"/>
      <c r="B82" s="31" t="n"/>
      <c r="C82" s="39" t="n"/>
      <c r="D82" s="39" t="n"/>
      <c r="E82" s="39" t="n"/>
      <c r="F82" s="42" t="n"/>
      <c r="G82" s="42" t="n"/>
      <c r="H82" s="39" t="n"/>
      <c r="I82" s="39" t="n"/>
      <c r="J82" s="29" t="n"/>
      <c r="K82" s="29" t="n"/>
      <c r="L82" s="29" t="n"/>
      <c r="M82" s="39" t="n"/>
      <c r="N82" s="29" t="n"/>
      <c r="O82" s="29" t="n"/>
      <c r="P82" s="29" t="n"/>
      <c r="Q82" s="29" t="n"/>
      <c r="R82" s="29" t="n"/>
      <c r="S82" s="29" t="n"/>
      <c r="T82" s="32">
        <f>IF($AB82=1,IFERROR(INDEX(Lists!$O$5:$O$6,MATCH($H82,Lists!$N$5:$N$6,0)),"?"),"")</f>
        <v/>
      </c>
      <c r="U82" s="32">
        <f>IF(AND($AB82=1,$I82&lt;&gt;""),IFERROR(INDEX(Treasuries!$E:$E,MATCH($I82,Treasuries!$A:$A,0)),"؟"),"")</f>
        <v/>
      </c>
      <c r="V82" s="44">
        <f>IF($AB82=1,IF($T82="IMM",$U82,ACC_ACCRUED),"")</f>
        <v/>
      </c>
      <c r="W82" s="43">
        <f>IF($AB82=1,$F82+$G82,"")</f>
        <v/>
      </c>
      <c r="X82" s="43">
        <f>IF($AB82=1,SUMIFS(Cash_Vouchers!$I:$I,Cash_Vouchers!$M:$M,$A82,Cash_Vouchers!$AM:$AM,1,Cash_Vouchers!$U:$U,"PAY"),"")</f>
        <v/>
      </c>
      <c r="Y82" s="43">
        <f>IF($AB82=1,IF($T82="CRD",$W82-$X82,0),"")</f>
        <v/>
      </c>
      <c r="Z82" s="44">
        <f>IF($AB82=1,IF($T82="IMM","مدفوع فورًا",IF($M82&lt;&gt;ST_POST,"غير مرحل",IF($Y82&lt;=S_Tol,"مدفوع بالكامل",IF($X82&gt;0,"مدفوع جزئيًا","غير مدفوع")))),"")</f>
        <v/>
      </c>
      <c r="AA82" s="33">
        <f>IF($AB82=1,IF($X82&gt;0,_xlfn.MAXIFS(Cash_Vouchers!$B:$B,Cash_Vouchers!$M:$M,$A82,Cash_Vouchers!$AM:$AM,1),""),"")</f>
        <v/>
      </c>
      <c r="AB82" s="32">
        <f>IF(COUNTA($A82:$S82)&gt;0,1,0)</f>
        <v/>
      </c>
      <c r="AC82" s="32">
        <f>IF($AB82=0,"",IF($A82="","رقم المستند ناقص",IF(COUNTIF(Doc_Register!$A:$A,$A82)&gt;1,"رقم مستند مكرر في السجل المركزي",IF(LEFT($A82,LEN("EXP")+1)&lt;&gt;"EXP"&amp;"-","بادئة الرقم لا تطابق نوع المستند",IF(NOT(ISNUMBER($B82)),"التاريخ ناقص أو غير صحيح",IF($M82="","حالة المستند ناقصة",IF($N82="","اسم المُعِد ناقص",IF(AND(OR($M82=ST_APPR,$M82=ST_POST),$O82=""),"لا يوجد معتمد",IF(AND($O82&lt;&gt;"",$O82=$N82),"المُعِد والمعتمد نفس الشخص (فصل المهام)",IF(AND($M82=ST_POST,$P82=""),"اسم المحاسب المرحِّل ناقص",IF(AND($M82=ST_POST,$P82&lt;&gt;"",OR($P82=$N82,$P82=$O82)),"المرحِّل يجب أن يختلف عن المُعِد والمعتمد",IF(AND($M82=ST_REV,$R82=""),"مرجع التصحيح/الإلغاء ناقص",IF(AND(ISNUMBER($B82),OR($M82=ST_DRAFT,$M82=ST_APPR),COUNTIFS(Period_Close!$A:$A,YEAR($B82)*100+MONTH($B82),Period_Close!$B:$B,"مقفلة")&gt;0),"الفترة مقفلة: لا يسمح بمستند جديد",IF(NOT(COUNTIF(Locations!$A:$A,$C82)&gt;0),"الفرع/الإدارة غير معرف",IF(NOT(COUNTIF(Cost_Centers!$A:$A,$D82)&gt;0),"مركز التكلفة غير معرف أو ناقص",IF(COUNTIFS(COA!$A:$A,$E82,COA!$J:$J,"نعم",COA!$R:$R,1)&lt;&gt;1,"حساب غير مسموح للمصروفات (الأصول الثابتة والمخزون لهما مسارات خاصة)",IF(NOT(N($F82)&gt;0),"المبلغ يجب أن يكون أكبر من صفر",IF($T82="?","نمط السداد غير معرف",IF(AND($T82="IMM",$I82=""),"الدفع الفوري يحتاج خزينة/بنك",IF(AND($T82="IMM",COUNTIFS(COA!$A:$A,$U82,COA!$R:$R,1)&lt;&gt;1),"الخزينة/البنك غير صالح",IF(AND($T82="IMM",$K82=""),"طريقة الدفع ناقصة",IF(AND(N($G82)&gt;0,S_VATOn&lt;&gt;"نعم"),"ضريبة المدخلات غير مفعلة في Tax_Settings",IF($J82="","المستفيد ناقص",IF(AND($T82="CRD",$X82&gt;$W82+S_Tol),"المسدَّد أكبر من المستحق",""))))))))))))))))))))))))</f>
        <v/>
      </c>
      <c r="AD82" s="32">
        <f>IF($AB82=1,IF($AC82&lt;&gt;"",1,0),0)</f>
        <v/>
      </c>
      <c r="AE82" s="32">
        <f>IF(AND($AB82=1,$AD82=0,$M82=ST_POST),1,0)</f>
        <v/>
      </c>
    </row>
    <row r="83">
      <c r="A83" s="29" t="n"/>
      <c r="B83" s="31" t="n"/>
      <c r="C83" s="39" t="n"/>
      <c r="D83" s="39" t="n"/>
      <c r="E83" s="39" t="n"/>
      <c r="F83" s="42" t="n"/>
      <c r="G83" s="42" t="n"/>
      <c r="H83" s="39" t="n"/>
      <c r="I83" s="39" t="n"/>
      <c r="J83" s="29" t="n"/>
      <c r="K83" s="29" t="n"/>
      <c r="L83" s="29" t="n"/>
      <c r="M83" s="39" t="n"/>
      <c r="N83" s="29" t="n"/>
      <c r="O83" s="29" t="n"/>
      <c r="P83" s="29" t="n"/>
      <c r="Q83" s="29" t="n"/>
      <c r="R83" s="29" t="n"/>
      <c r="S83" s="29" t="n"/>
      <c r="T83" s="32">
        <f>IF($AB83=1,IFERROR(INDEX(Lists!$O$5:$O$6,MATCH($H83,Lists!$N$5:$N$6,0)),"?"),"")</f>
        <v/>
      </c>
      <c r="U83" s="32">
        <f>IF(AND($AB83=1,$I83&lt;&gt;""),IFERROR(INDEX(Treasuries!$E:$E,MATCH($I83,Treasuries!$A:$A,0)),"؟"),"")</f>
        <v/>
      </c>
      <c r="V83" s="44">
        <f>IF($AB83=1,IF($T83="IMM",$U83,ACC_ACCRUED),"")</f>
        <v/>
      </c>
      <c r="W83" s="43">
        <f>IF($AB83=1,$F83+$G83,"")</f>
        <v/>
      </c>
      <c r="X83" s="43">
        <f>IF($AB83=1,SUMIFS(Cash_Vouchers!$I:$I,Cash_Vouchers!$M:$M,$A83,Cash_Vouchers!$AM:$AM,1,Cash_Vouchers!$U:$U,"PAY"),"")</f>
        <v/>
      </c>
      <c r="Y83" s="43">
        <f>IF($AB83=1,IF($T83="CRD",$W83-$X83,0),"")</f>
        <v/>
      </c>
      <c r="Z83" s="44">
        <f>IF($AB83=1,IF($T83="IMM","مدفوع فورًا",IF($M83&lt;&gt;ST_POST,"غير مرحل",IF($Y83&lt;=S_Tol,"مدفوع بالكامل",IF($X83&gt;0,"مدفوع جزئيًا","غير مدفوع")))),"")</f>
        <v/>
      </c>
      <c r="AA83" s="33">
        <f>IF($AB83=1,IF($X83&gt;0,_xlfn.MAXIFS(Cash_Vouchers!$B:$B,Cash_Vouchers!$M:$M,$A83,Cash_Vouchers!$AM:$AM,1),""),"")</f>
        <v/>
      </c>
      <c r="AB83" s="32">
        <f>IF(COUNTA($A83:$S83)&gt;0,1,0)</f>
        <v/>
      </c>
      <c r="AC83" s="32">
        <f>IF($AB83=0,"",IF($A83="","رقم المستند ناقص",IF(COUNTIF(Doc_Register!$A:$A,$A83)&gt;1,"رقم مستند مكرر في السجل المركزي",IF(LEFT($A83,LEN("EXP")+1)&lt;&gt;"EXP"&amp;"-","بادئة الرقم لا تطابق نوع المستند",IF(NOT(ISNUMBER($B83)),"التاريخ ناقص أو غير صحيح",IF($M83="","حالة المستند ناقصة",IF($N83="","اسم المُعِد ناقص",IF(AND(OR($M83=ST_APPR,$M83=ST_POST),$O83=""),"لا يوجد معتمد",IF(AND($O83&lt;&gt;"",$O83=$N83),"المُعِد والمعتمد نفس الشخص (فصل المهام)",IF(AND($M83=ST_POST,$P83=""),"اسم المحاسب المرحِّل ناقص",IF(AND($M83=ST_POST,$P83&lt;&gt;"",OR($P83=$N83,$P83=$O83)),"المرحِّل يجب أن يختلف عن المُعِد والمعتمد",IF(AND($M83=ST_REV,$R83=""),"مرجع التصحيح/الإلغاء ناقص",IF(AND(ISNUMBER($B83),OR($M83=ST_DRAFT,$M83=ST_APPR),COUNTIFS(Period_Close!$A:$A,YEAR($B83)*100+MONTH($B83),Period_Close!$B:$B,"مقفلة")&gt;0),"الفترة مقفلة: لا يسمح بمستند جديد",IF(NOT(COUNTIF(Locations!$A:$A,$C83)&gt;0),"الفرع/الإدارة غير معرف",IF(NOT(COUNTIF(Cost_Centers!$A:$A,$D83)&gt;0),"مركز التكلفة غير معرف أو ناقص",IF(COUNTIFS(COA!$A:$A,$E83,COA!$J:$J,"نعم",COA!$R:$R,1)&lt;&gt;1,"حساب غير مسموح للمصروفات (الأصول الثابتة والمخزون لهما مسارات خاصة)",IF(NOT(N($F83)&gt;0),"المبلغ يجب أن يكون أكبر من صفر",IF($T83="?","نمط السداد غير معرف",IF(AND($T83="IMM",$I83=""),"الدفع الفوري يحتاج خزينة/بنك",IF(AND($T83="IMM",COUNTIFS(COA!$A:$A,$U83,COA!$R:$R,1)&lt;&gt;1),"الخزينة/البنك غير صالح",IF(AND($T83="IMM",$K83=""),"طريقة الدفع ناقصة",IF(AND(N($G83)&gt;0,S_VATOn&lt;&gt;"نعم"),"ضريبة المدخلات غير مفعلة في Tax_Settings",IF($J83="","المستفيد ناقص",IF(AND($T83="CRD",$X83&gt;$W83+S_Tol),"المسدَّد أكبر من المستحق",""))))))))))))))))))))))))</f>
        <v/>
      </c>
      <c r="AD83" s="32">
        <f>IF($AB83=1,IF($AC83&lt;&gt;"",1,0),0)</f>
        <v/>
      </c>
      <c r="AE83" s="32">
        <f>IF(AND($AB83=1,$AD83=0,$M83=ST_POST),1,0)</f>
        <v/>
      </c>
    </row>
    <row r="84">
      <c r="A84" s="29" t="n"/>
      <c r="B84" s="31" t="n"/>
      <c r="C84" s="39" t="n"/>
      <c r="D84" s="39" t="n"/>
      <c r="E84" s="39" t="n"/>
      <c r="F84" s="42" t="n"/>
      <c r="G84" s="42" t="n"/>
      <c r="H84" s="39" t="n"/>
      <c r="I84" s="39" t="n"/>
      <c r="J84" s="29" t="n"/>
      <c r="K84" s="29" t="n"/>
      <c r="L84" s="29" t="n"/>
      <c r="M84" s="39" t="n"/>
      <c r="N84" s="29" t="n"/>
      <c r="O84" s="29" t="n"/>
      <c r="P84" s="29" t="n"/>
      <c r="Q84" s="29" t="n"/>
      <c r="R84" s="29" t="n"/>
      <c r="S84" s="29" t="n"/>
      <c r="T84" s="32">
        <f>IF($AB84=1,IFERROR(INDEX(Lists!$O$5:$O$6,MATCH($H84,Lists!$N$5:$N$6,0)),"?"),"")</f>
        <v/>
      </c>
      <c r="U84" s="32">
        <f>IF(AND($AB84=1,$I84&lt;&gt;""),IFERROR(INDEX(Treasuries!$E:$E,MATCH($I84,Treasuries!$A:$A,0)),"؟"),"")</f>
        <v/>
      </c>
      <c r="V84" s="44">
        <f>IF($AB84=1,IF($T84="IMM",$U84,ACC_ACCRUED),"")</f>
        <v/>
      </c>
      <c r="W84" s="43">
        <f>IF($AB84=1,$F84+$G84,"")</f>
        <v/>
      </c>
      <c r="X84" s="43">
        <f>IF($AB84=1,SUMIFS(Cash_Vouchers!$I:$I,Cash_Vouchers!$M:$M,$A84,Cash_Vouchers!$AM:$AM,1,Cash_Vouchers!$U:$U,"PAY"),"")</f>
        <v/>
      </c>
      <c r="Y84" s="43">
        <f>IF($AB84=1,IF($T84="CRD",$W84-$X84,0),"")</f>
        <v/>
      </c>
      <c r="Z84" s="44">
        <f>IF($AB84=1,IF($T84="IMM","مدفوع فورًا",IF($M84&lt;&gt;ST_POST,"غير مرحل",IF($Y84&lt;=S_Tol,"مدفوع بالكامل",IF($X84&gt;0,"مدفوع جزئيًا","غير مدفوع")))),"")</f>
        <v/>
      </c>
      <c r="AA84" s="33">
        <f>IF($AB84=1,IF($X84&gt;0,_xlfn.MAXIFS(Cash_Vouchers!$B:$B,Cash_Vouchers!$M:$M,$A84,Cash_Vouchers!$AM:$AM,1),""),"")</f>
        <v/>
      </c>
      <c r="AB84" s="32">
        <f>IF(COUNTA($A84:$S84)&gt;0,1,0)</f>
        <v/>
      </c>
      <c r="AC84" s="32">
        <f>IF($AB84=0,"",IF($A84="","رقم المستند ناقص",IF(COUNTIF(Doc_Register!$A:$A,$A84)&gt;1,"رقم مستند مكرر في السجل المركزي",IF(LEFT($A84,LEN("EXP")+1)&lt;&gt;"EXP"&amp;"-","بادئة الرقم لا تطابق نوع المستند",IF(NOT(ISNUMBER($B84)),"التاريخ ناقص أو غير صحيح",IF($M84="","حالة المستند ناقصة",IF($N84="","اسم المُعِد ناقص",IF(AND(OR($M84=ST_APPR,$M84=ST_POST),$O84=""),"لا يوجد معتمد",IF(AND($O84&lt;&gt;"",$O84=$N84),"المُعِد والمعتمد نفس الشخص (فصل المهام)",IF(AND($M84=ST_POST,$P84=""),"اسم المحاسب المرحِّل ناقص",IF(AND($M84=ST_POST,$P84&lt;&gt;"",OR($P84=$N84,$P84=$O84)),"المرحِّل يجب أن يختلف عن المُعِد والمعتمد",IF(AND($M84=ST_REV,$R84=""),"مرجع التصحيح/الإلغاء ناقص",IF(AND(ISNUMBER($B84),OR($M84=ST_DRAFT,$M84=ST_APPR),COUNTIFS(Period_Close!$A:$A,YEAR($B84)*100+MONTH($B84),Period_Close!$B:$B,"مقفلة")&gt;0),"الفترة مقفلة: لا يسمح بمستند جديد",IF(NOT(COUNTIF(Locations!$A:$A,$C84)&gt;0),"الفرع/الإدارة غير معرف",IF(NOT(COUNTIF(Cost_Centers!$A:$A,$D84)&gt;0),"مركز التكلفة غير معرف أو ناقص",IF(COUNTIFS(COA!$A:$A,$E84,COA!$J:$J,"نعم",COA!$R:$R,1)&lt;&gt;1,"حساب غير مسموح للمصروفات (الأصول الثابتة والمخزون لهما مسارات خاصة)",IF(NOT(N($F84)&gt;0),"المبلغ يجب أن يكون أكبر من صفر",IF($T84="?","نمط السداد غير معرف",IF(AND($T84="IMM",$I84=""),"الدفع الفوري يحتاج خزينة/بنك",IF(AND($T84="IMM",COUNTIFS(COA!$A:$A,$U84,COA!$R:$R,1)&lt;&gt;1),"الخزينة/البنك غير صالح",IF(AND($T84="IMM",$K84=""),"طريقة الدفع ناقصة",IF(AND(N($G84)&gt;0,S_VATOn&lt;&gt;"نعم"),"ضريبة المدخلات غير مفعلة في Tax_Settings",IF($J84="","المستفيد ناقص",IF(AND($T84="CRD",$X84&gt;$W84+S_Tol),"المسدَّد أكبر من المستحق",""))))))))))))))))))))))))</f>
        <v/>
      </c>
      <c r="AD84" s="32">
        <f>IF($AB84=1,IF($AC84&lt;&gt;"",1,0),0)</f>
        <v/>
      </c>
      <c r="AE84" s="32">
        <f>IF(AND($AB84=1,$AD84=0,$M84=ST_POST),1,0)</f>
        <v/>
      </c>
    </row>
  </sheetData>
  <sheetProtection selectLockedCells="0" selectUnlockedCells="0" sheet="1" objects="0" insertRows="1" insertHyperlinks="1" autoFilter="0" scenarios="0" formatColumns="0" deleteColumns="1" insertColumns="1" pivotTables="1" deleteRows="1" formatCells="0" formatRows="0" sort="1"/>
  <autoFilter ref="A4:AE84"/>
  <conditionalFormatting sqref="M5:M84">
    <cfRule type="expression" priority="1" dxfId="1">
      <formula>M5="مرحل"</formula>
    </cfRule>
    <cfRule type="expression" priority="2" dxfId="0">
      <formula>M5="معكوس"</formula>
    </cfRule>
  </conditionalFormatting>
  <conditionalFormatting sqref="AC5:AC84">
    <cfRule type="expression" priority="3" dxfId="3">
      <formula>LEN(AC5)&gt;0</formula>
    </cfRule>
  </conditionalFormatting>
  <dataValidations count="13">
    <dataValidation sqref="B5:B84" showDropDown="0" showInputMessage="0" showErrorMessage="1" allowBlank="1" errorTitle="تاريخ غير صحيح" error="أدخل تاريخًا صحيحًا." type="date" operator="greaterThan">
      <formula1>36526</formula1>
    </dataValidation>
    <dataValidation sqref="C5:C84" showDropDown="0" showInputMessage="0" showErrorMessage="1" allowBlank="1" errorTitle="قيمة غير مسموحة" error="اختر قيمة من القائمة المنسدلة." type="list">
      <formula1>=Locations!$A$5:$A$34</formula1>
    </dataValidation>
    <dataValidation sqref="D5:D84" showDropDown="0" showInputMessage="0" showErrorMessage="1" allowBlank="1" errorTitle="قيمة غير مسموحة" error="اختر قيمة من القائمة المنسدلة." type="list">
      <formula1>=Cost_Centers!$A$5:$A$34</formula1>
    </dataValidation>
    <dataValidation sqref="E5:E84" showDropDown="0" showInputMessage="0" showErrorMessage="1" allowBlank="1" errorTitle="قيمة غير مسموحة" error="اختر قيمة من القائمة المنسدلة." type="list">
      <formula1>=COA!$A$5:$A$254</formula1>
    </dataValidation>
    <dataValidation sqref="F5:F8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G5:G8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H5:H84" showDropDown="0" showInputMessage="0" showErrorMessage="1" allowBlank="1" errorTitle="قيمة غير مسموحة" error="اختر قيمة من القائمة المنسدلة." type="list">
      <formula1>=Lists!$N$5:$N$6</formula1>
    </dataValidation>
    <dataValidation sqref="I5:I84" showDropDown="0" showInputMessage="0" showErrorMessage="1" allowBlank="1" errorTitle="قيمة غير مسموحة" error="اختر قيمة من القائمة المنسدلة." type="list">
      <formula1>=Treasuries!$A$5:$A$34</formula1>
    </dataValidation>
    <dataValidation sqref="K5:K84" showDropDown="0" showInputMessage="0" showErrorMessage="1" allowBlank="1" errorTitle="قيمة غير مسموحة" error="اختر قيمة من القائمة المنسدلة." type="list">
      <formula1>"نقدًا,تحويل بنكي,شيك,محفظة إلكترونية,بطاقة"</formula1>
    </dataValidation>
    <dataValidation sqref="M5:M84" showDropDown="0" showInputMessage="0" showErrorMessage="1" allowBlank="1" errorTitle="قيمة غير مسموحة" error="اختر قيمة من القائمة المنسدلة." type="list">
      <formula1>=Lists!$A$5:$A$9</formula1>
    </dataValidation>
    <dataValidation sqref="N5:N84" showDropDown="0" showInputMessage="0" showErrorMessage="1" allowBlank="1" errorTitle="قيمة غير مسموحة" error="اختر قيمة من القائمة المنسدلة." type="list">
      <formula1>=Users!$B$5:$B$44</formula1>
    </dataValidation>
    <dataValidation sqref="O5:O84" showDropDown="0" showInputMessage="0" showErrorMessage="1" allowBlank="1" errorTitle="قيمة غير مسموحة" error="اختر قيمة من القائمة المنسدلة." type="list">
      <formula1>=Users!$B$5:$B$44</formula1>
    </dataValidation>
    <dataValidation sqref="P5:P84" showDropDown="0" showInputMessage="0" showErrorMessage="1" allowBlank="1" errorTitle="قيمة غير مسموحة" error="اختر قيمة من القائمة المنسدلة." type="list">
      <formula1>=Users!$B$5:$B$44</formula1>
    </dataValidation>
  </dataValidations>
  <pageMargins left="0.75" right="0.75" top="1" bottom="1" header="0.5" footer="0.5"/>
  <pageSetup orientation="landscape" fitToHeight="0" fitToWidth="1"/>
</worksheet>
</file>

<file path=xl/worksheets/sheet37.xml><?xml version="1.0" encoding="utf-8"?>
<worksheet xmlns="http://schemas.openxmlformats.org/spreadsheetml/2006/main">
  <sheetPr>
    <tabColor rgb="00C00000"/>
    <outlinePr summaryBelow="1" summaryRight="1"/>
    <pageSetUpPr fitToPage="1"/>
  </sheetPr>
  <dimension ref="A1:AG6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6" customWidth="1" min="3" max="3"/>
    <col width="18" customWidth="1" min="4" max="4"/>
    <col width="10" customWidth="1" min="5" max="5"/>
    <col width="9" customWidth="1" min="6" max="6"/>
    <col width="9" customWidth="1" min="7" max="7"/>
    <col width="12" customWidth="1" min="8" max="8"/>
    <col width="34" customWidth="1" min="9" max="9"/>
    <col width="13" customWidth="1" min="10" max="10"/>
    <col width="13" customWidth="1" min="11" max="11"/>
    <col width="14" customWidth="1" min="12" max="12"/>
    <col width="11" customWidth="1" min="13" max="13"/>
    <col width="22" customWidth="1" min="14" max="14"/>
    <col width="22" customWidth="1" min="15" max="15"/>
    <col width="22" customWidth="1" min="16" max="16"/>
    <col width="16" customWidth="1" min="17" max="17"/>
    <col width="18" customWidth="1" min="18" max="18"/>
    <col width="24" customWidth="1" min="19" max="19"/>
    <col width="30" customWidth="1" min="20" max="20"/>
    <col hidden="1" width="6" customWidth="1" min="21" max="21"/>
    <col hidden="1" width="7" customWidth="1" min="22" max="22"/>
    <col width="13" customWidth="1" min="23" max="23"/>
    <col width="13" customWidth="1" min="24" max="24"/>
    <col width="11" customWidth="1" min="25" max="25"/>
    <col hidden="1" width="8" customWidth="1" min="26" max="26"/>
    <col hidden="1" width="40" customWidth="1" min="27" max="27"/>
    <col hidden="1" width="6" customWidth="1" min="28" max="28"/>
    <col hidden="1" width="6" customWidth="1" min="29" max="29"/>
    <col hidden="1" width="6" customWidth="1" min="30" max="30"/>
    <col width="44" customWidth="1" min="31" max="31"/>
    <col hidden="1" width="6" customWidth="1" min="32" max="32"/>
    <col hidden="1" width="7" customWidth="1" min="33" max="33"/>
  </cols>
  <sheetData>
    <row r="1" ht="26" customHeight="1">
      <c r="A1" s="22" t="inlineStr">
        <is>
          <t>القيود اليدوية والتسويات (Manual Journal Entries)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row>
    <row r="2">
      <c r="A2" s="35" t="inlineStr">
        <is>
          <t>قيود الافتتاح والتسويات والإهلاك وتسوية تكلفة المبيعات والتصحيح والإقفال. كل القيد = أسطر بنفس رقم القيد، وإجمالي المدين يساوي الدائن. القيد غير المتوازن لا يُرحَّل ويظهر خطؤه في كل أسطره.</t>
        </is>
      </c>
    </row>
    <row r="3">
      <c r="A3" s="36" t="inlineStr">
        <is>
          <t>خلايا الإدخال</t>
        </is>
      </c>
      <c r="B3" s="37" t="inlineStr">
        <is>
          <t>معادلات (لا تعدّل)</t>
        </is>
      </c>
    </row>
    <row r="4" ht="34" customHeight="1">
      <c r="A4" s="24" t="inlineStr">
        <is>
          <t>رقم القيد</t>
        </is>
      </c>
      <c r="B4" s="24" t="inlineStr">
        <is>
          <t>تاريخ القيد</t>
        </is>
      </c>
      <c r="C4" s="24" t="inlineStr">
        <is>
          <t>رقم المستند الأصلي</t>
        </is>
      </c>
      <c r="D4" s="24" t="inlineStr">
        <is>
          <t>نوع القيد</t>
        </is>
      </c>
      <c r="E4" s="24" t="inlineStr">
        <is>
          <t>رقم الحساب</t>
        </is>
      </c>
      <c r="F4" s="24" t="inlineStr">
        <is>
          <t>الفرع/الموقع</t>
        </is>
      </c>
      <c r="G4" s="24" t="inlineStr">
        <is>
          <t>مركز التكلفة</t>
        </is>
      </c>
      <c r="H4" s="24" t="inlineStr">
        <is>
          <t>كود الجهة (مورد/عميل/موظف)</t>
        </is>
      </c>
      <c r="I4" s="24" t="inlineStr">
        <is>
          <t>البيان</t>
        </is>
      </c>
      <c r="J4" s="24" t="inlineStr">
        <is>
          <t>مدين</t>
        </is>
      </c>
      <c r="K4" s="24" t="inlineStr">
        <is>
          <t>دائن</t>
        </is>
      </c>
      <c r="L4" s="24" t="inlineStr">
        <is>
          <t>تصنيف التدفق (للأسطر النقدية)</t>
        </is>
      </c>
      <c r="M4" s="24" t="inlineStr">
        <is>
          <t>حالة المستند</t>
        </is>
      </c>
      <c r="N4" s="24" t="inlineStr">
        <is>
          <t>المُعِد / مقدم الطلب</t>
        </is>
      </c>
      <c r="O4" s="24" t="inlineStr">
        <is>
          <t>المعتمد</t>
        </is>
      </c>
      <c r="P4" s="24" t="inlineStr">
        <is>
          <t>المحاسب المرحِّل</t>
        </is>
      </c>
      <c r="Q4" s="24" t="inlineStr">
        <is>
          <t>مرفق / مرجع ورقي</t>
        </is>
      </c>
      <c r="R4" s="24" t="inlineStr">
        <is>
          <t>مرجع التصحيح / الإلغاء</t>
        </is>
      </c>
      <c r="S4" s="24" t="inlineStr">
        <is>
          <t>ملاحظات</t>
        </is>
      </c>
      <c r="T4" s="38" t="inlineStr">
        <is>
          <t>اسم الحساب</t>
        </is>
      </c>
      <c r="U4" s="38" t="inlineStr">
        <is>
          <t>مستخدم</t>
        </is>
      </c>
      <c r="V4" s="38" t="inlineStr">
        <is>
          <t>أول سطر؟</t>
        </is>
      </c>
      <c r="W4" s="38" t="inlineStr">
        <is>
          <t>إجمالي مدين القيد</t>
        </is>
      </c>
      <c r="X4" s="38" t="inlineStr">
        <is>
          <t>إجمالي دائن القيد</t>
        </is>
      </c>
      <c r="Y4" s="38" t="inlineStr">
        <is>
          <t>فرق القيد</t>
        </is>
      </c>
      <c r="Z4" s="38" t="inlineStr">
        <is>
          <t>قيد غير متوازن (أول سطر)</t>
        </is>
      </c>
      <c r="AA4" s="38" t="inlineStr">
        <is>
          <t>فحص السطر</t>
        </is>
      </c>
      <c r="AB4" s="38" t="inlineStr">
        <is>
          <t>خطأ بالسطر</t>
        </is>
      </c>
      <c r="AC4" s="38" t="inlineStr">
        <is>
          <t>أخطاء أسطر القيد</t>
        </is>
      </c>
      <c r="AD4" s="38" t="inlineStr">
        <is>
          <t>حالات متباينة</t>
        </is>
      </c>
      <c r="AE4" s="38" t="inlineStr">
        <is>
          <t>فحص القيد (أول خطأ)</t>
        </is>
      </c>
      <c r="AF4" s="38" t="inlineStr">
        <is>
          <t>خطأ؟</t>
        </is>
      </c>
      <c r="AG4" s="38" t="inlineStr">
        <is>
          <t>يُرحَّل؟</t>
        </is>
      </c>
    </row>
    <row r="5">
      <c r="A5" s="29" t="n"/>
      <c r="B5" s="31" t="n"/>
      <c r="C5" s="29" t="n"/>
      <c r="D5" s="29" t="n"/>
      <c r="E5" s="39" t="n"/>
      <c r="F5" s="39" t="n"/>
      <c r="G5" s="39" t="n"/>
      <c r="H5" s="29" t="n"/>
      <c r="I5" s="29" t="n"/>
      <c r="J5" s="42" t="n"/>
      <c r="K5" s="42" t="n"/>
      <c r="L5" s="29" t="n"/>
      <c r="M5" s="39" t="n"/>
      <c r="N5" s="29" t="n"/>
      <c r="O5" s="29" t="n"/>
      <c r="P5" s="29" t="n"/>
      <c r="Q5" s="29" t="n"/>
      <c r="R5" s="29" t="n"/>
      <c r="S5" s="29" t="n"/>
      <c r="T5" s="32">
        <f>IF($E5="","",IFERROR(INDEX(COA!$B:$B,MATCH($E5,COA!$A:$A,0)),"حساب غير موجود"))</f>
        <v/>
      </c>
      <c r="U5" s="32">
        <f>IF(COUNTA($A5:$S5)&gt;0,1,0)</f>
        <v/>
      </c>
      <c r="V5" s="32">
        <f>IF($A5="",0,IF(COUNTIF($A$5:$A5,$A5)=1,1,0))</f>
        <v/>
      </c>
      <c r="W5" s="43">
        <f>IF($A5="","",SUMIFS($J:$J,$A:$A,$A5))</f>
        <v/>
      </c>
      <c r="X5" s="43">
        <f>IF($A5="","",SUMIFS($K:$K,$A:$A,$A5))</f>
        <v/>
      </c>
      <c r="Y5" s="47">
        <f>IF($A5="","",ROUND($W5-$X5,2))</f>
        <v/>
      </c>
      <c r="Z5" s="32">
        <f>IF(AND($V5=1,ABS(N($Y5))&gt;S_Tol),1,0)</f>
        <v/>
      </c>
      <c r="AA5" s="32">
        <f>IF($U5=0,"",IF($A5="","رقم المستند ناقص",IF(COUNTIF(Doc_Register!$A:$A,$A5)&gt;1,"رقم مستند مكرر في السجل المركزي",IF(LEFT($A5,LEN("MJE")+1)&lt;&gt;"MJE"&amp;"-","بادئة الرقم لا تطابق نوع المستند",IF(NOT(ISNUMBER($B5)),"التاريخ ناقص أو غير صحيح",IF($M5="","حالة المستند ناقصة",IF($N5="","اسم المُعِد ناقص",IF(AND(OR($M5=ST_APPR,$M5=ST_POST),$O5=""),"لا يوجد معتمد",IF(AND($O5&lt;&gt;"",$O5=$N5),"المُعِد والمعتمد نفس الشخص (فصل المهام)",IF(AND($M5=ST_POST,$P5=""),"اسم المحاسب المرحِّل ناقص",IF(AND($M5=ST_POST,$P5&lt;&gt;"",OR($P5=$N5,$P5=$O5)),"المرحِّل يجب أن يختلف عن المُعِد والمعتمد",IF(AND($M5=ST_REV,$R5=""),"مرجع التصحيح/الإلغاء ناقص",IF(AND(ISNUMBER($B5),OR($M5=ST_DRAFT,$M5=ST_APPR),COUNTIFS(Period_Close!$A:$A,YEAR($B5)*100+MONTH($B5),Period_Close!$B:$B,"مقفلة")&gt;0),"الفترة مقفلة: لا يسمح بمستند جديد",IF($E5="","رقم الحساب ناقص",IF(COUNTIFS(COA!$A:$A,$E5,COA!$R:$R,1)&lt;&gt;1,"حساب غير صالح أو رئيسي أو غير نشط",IF(NOT(COUNTIF(Locations!$A:$A,$F5)&gt;0),"الموقع غير معرف",IF(NOT(COUNTIF(Cost_Centers!$A:$A,$G5)&gt;0),"مركز التكلفة غير معرف أو ناقص",IF(OR(N($J5)&lt;0,N($K5)&lt;0),"مبلغ سالب",IF(AND(N($J5)&gt;0,N($K5)&gt;0),"السطر يحتوي مدين ودائن معًا",IF(AND(N($J5)=0,N($K5)=0),"السطر بدون مبلغ",IF(AND(OR($E5=ACC_SUPPLIERS,$E5=ACC_CUSTOMERS,$E5=1501,$E5=1502),$H5=""),"كود الجهة إلزامي لحسابات الموردين/العملاء/السلف/العهد",IF(AND($E5=ACC_SUPPLIERS,$H5&lt;&gt;"",COUNTIF(Suppliers!$A:$A,$H5)=0),"كود المورد غير معرف",IF(AND($E5=ACC_CUSTOMERS,$H5&lt;&gt;"",COUNTIF(Customers!$A:$A,$H5)=0),"كود العميل غير معرف",IF(AND(OR($E5=1501,$E5=1502),$H5&lt;&gt;"",COUNTIF(Employees!$A:$A,$H5)=0),"كود الموظف غير معرف",IF(AND(IFERROR(INDEX(COA!$H:$H,MATCH($E5,COA!$A:$A,0)),0)=1,$L5=""),"تصنيف التدفق ناقص لسطر نقدي",IF($D5="","نوع القيد ناقص",IF(AND($D5="عكس",$R5=""),"قيد العكس يحتاج مرجع القيد المعكوس","")))))))))))))))))))))))))))</f>
        <v/>
      </c>
      <c r="AB5" s="32">
        <f>IF($U5=1,IF($AA5&lt;&gt;"",1,0),0)</f>
        <v/>
      </c>
      <c r="AC5" s="32">
        <f>IF($A5="",0,SUMIFS($AB:$AB,$A:$A,$A5))</f>
        <v/>
      </c>
      <c r="AD5" s="32">
        <f>IF($A5="",0,IF(COUNTIFS($A:$A,$A5,$M:$M,"&lt;&gt;"&amp;$M5)&gt;0,1,0))</f>
        <v/>
      </c>
      <c r="AE5" s="32">
        <f>IF($U5=0,"",IF($AA5&lt;&gt;"",$AA5,IF(ABS(N($Y5))&gt;S_Tol,"القيد غير متوازن (مدين ≠ دائن) - لن يُرحَّل",IF($AD5=1,"حالات أسطر القيد غير متسقة",IF($AC5&gt;0,"يوجد خطأ في سطر آخر من نفس القيد","")))))</f>
        <v/>
      </c>
      <c r="AF5" s="32">
        <f>IF($U5=1,IF($AE5&lt;&gt;"",1,0),0)</f>
        <v/>
      </c>
      <c r="AG5" s="32">
        <f>IF(AND($U5=1,$AF5=0,$M5=ST_POST),1,0)</f>
        <v/>
      </c>
    </row>
    <row r="6">
      <c r="A6" s="29" t="n"/>
      <c r="B6" s="31" t="n"/>
      <c r="C6" s="29" t="n"/>
      <c r="D6" s="29" t="n"/>
      <c r="E6" s="39" t="n"/>
      <c r="F6" s="39" t="n"/>
      <c r="G6" s="39" t="n"/>
      <c r="H6" s="29" t="n"/>
      <c r="I6" s="29" t="n"/>
      <c r="J6" s="42" t="n"/>
      <c r="K6" s="42" t="n"/>
      <c r="L6" s="29" t="n"/>
      <c r="M6" s="39" t="n"/>
      <c r="N6" s="29" t="n"/>
      <c r="O6" s="29" t="n"/>
      <c r="P6" s="29" t="n"/>
      <c r="Q6" s="29" t="n"/>
      <c r="R6" s="29" t="n"/>
      <c r="S6" s="29" t="n"/>
      <c r="T6" s="32">
        <f>IF($E6="","",IFERROR(INDEX(COA!$B:$B,MATCH($E6,COA!$A:$A,0)),"حساب غير موجود"))</f>
        <v/>
      </c>
      <c r="U6" s="32">
        <f>IF(COUNTA($A6:$S6)&gt;0,1,0)</f>
        <v/>
      </c>
      <c r="V6" s="32">
        <f>IF($A6="",0,IF(COUNTIF($A$5:$A6,$A6)=1,1,0))</f>
        <v/>
      </c>
      <c r="W6" s="43">
        <f>IF($A6="","",SUMIFS($J:$J,$A:$A,$A6))</f>
        <v/>
      </c>
      <c r="X6" s="43">
        <f>IF($A6="","",SUMIFS($K:$K,$A:$A,$A6))</f>
        <v/>
      </c>
      <c r="Y6" s="47">
        <f>IF($A6="","",ROUND($W6-$X6,2))</f>
        <v/>
      </c>
      <c r="Z6" s="32">
        <f>IF(AND($V6=1,ABS(N($Y6))&gt;S_Tol),1,0)</f>
        <v/>
      </c>
      <c r="AA6" s="32">
        <f>IF($U6=0,"",IF($A6="","رقم المستند ناقص",IF(COUNTIF(Doc_Register!$A:$A,$A6)&gt;1,"رقم مستند مكرر في السجل المركزي",IF(LEFT($A6,LEN("MJE")+1)&lt;&gt;"MJE"&amp;"-","بادئة الرقم لا تطابق نوع المستند",IF(NOT(ISNUMBER($B6)),"التاريخ ناقص أو غير صحيح",IF($M6="","حالة المستند ناقصة",IF($N6="","اسم المُعِد ناقص",IF(AND(OR($M6=ST_APPR,$M6=ST_POST),$O6=""),"لا يوجد معتمد",IF(AND($O6&lt;&gt;"",$O6=$N6),"المُعِد والمعتمد نفس الشخص (فصل المهام)",IF(AND($M6=ST_POST,$P6=""),"اسم المحاسب المرحِّل ناقص",IF(AND($M6=ST_POST,$P6&lt;&gt;"",OR($P6=$N6,$P6=$O6)),"المرحِّل يجب أن يختلف عن المُعِد والمعتمد",IF(AND($M6=ST_REV,$R6=""),"مرجع التصحيح/الإلغاء ناقص",IF(AND(ISNUMBER($B6),OR($M6=ST_DRAFT,$M6=ST_APPR),COUNTIFS(Period_Close!$A:$A,YEAR($B6)*100+MONTH($B6),Period_Close!$B:$B,"مقفلة")&gt;0),"الفترة مقفلة: لا يسمح بمستند جديد",IF($E6="","رقم الحساب ناقص",IF(COUNTIFS(COA!$A:$A,$E6,COA!$R:$R,1)&lt;&gt;1,"حساب غير صالح أو رئيسي أو غير نشط",IF(NOT(COUNTIF(Locations!$A:$A,$F6)&gt;0),"الموقع غير معرف",IF(NOT(COUNTIF(Cost_Centers!$A:$A,$G6)&gt;0),"مركز التكلفة غير معرف أو ناقص",IF(OR(N($J6)&lt;0,N($K6)&lt;0),"مبلغ سالب",IF(AND(N($J6)&gt;0,N($K6)&gt;0),"السطر يحتوي مدين ودائن معًا",IF(AND(N($J6)=0,N($K6)=0),"السطر بدون مبلغ",IF(AND(OR($E6=ACC_SUPPLIERS,$E6=ACC_CUSTOMERS,$E6=1501,$E6=1502),$H6=""),"كود الجهة إلزامي لحسابات الموردين/العملاء/السلف/العهد",IF(AND($E6=ACC_SUPPLIERS,$H6&lt;&gt;"",COUNTIF(Suppliers!$A:$A,$H6)=0),"كود المورد غير معرف",IF(AND($E6=ACC_CUSTOMERS,$H6&lt;&gt;"",COUNTIF(Customers!$A:$A,$H6)=0),"كود العميل غير معرف",IF(AND(OR($E6=1501,$E6=1502),$H6&lt;&gt;"",COUNTIF(Employees!$A:$A,$H6)=0),"كود الموظف غير معرف",IF(AND(IFERROR(INDEX(COA!$H:$H,MATCH($E6,COA!$A:$A,0)),0)=1,$L6=""),"تصنيف التدفق ناقص لسطر نقدي",IF($D6="","نوع القيد ناقص",IF(AND($D6="عكس",$R6=""),"قيد العكس يحتاج مرجع القيد المعكوس","")))))))))))))))))))))))))))</f>
        <v/>
      </c>
      <c r="AB6" s="32">
        <f>IF($U6=1,IF($AA6&lt;&gt;"",1,0),0)</f>
        <v/>
      </c>
      <c r="AC6" s="32">
        <f>IF($A6="",0,SUMIFS($AB:$AB,$A:$A,$A6))</f>
        <v/>
      </c>
      <c r="AD6" s="32">
        <f>IF($A6="",0,IF(COUNTIFS($A:$A,$A6,$M:$M,"&lt;&gt;"&amp;$M6)&gt;0,1,0))</f>
        <v/>
      </c>
      <c r="AE6" s="32">
        <f>IF($U6=0,"",IF($AA6&lt;&gt;"",$AA6,IF(ABS(N($Y6))&gt;S_Tol,"القيد غير متوازن (مدين ≠ دائن) - لن يُرحَّل",IF($AD6=1,"حالات أسطر القيد غير متسقة",IF($AC6&gt;0,"يوجد خطأ في سطر آخر من نفس القيد","")))))</f>
        <v/>
      </c>
      <c r="AF6" s="32">
        <f>IF($U6=1,IF($AE6&lt;&gt;"",1,0),0)</f>
        <v/>
      </c>
      <c r="AG6" s="32">
        <f>IF(AND($U6=1,$AF6=0,$M6=ST_POST),1,0)</f>
        <v/>
      </c>
    </row>
    <row r="7">
      <c r="A7" s="29" t="n"/>
      <c r="B7" s="31" t="n"/>
      <c r="C7" s="29" t="n"/>
      <c r="D7" s="29" t="n"/>
      <c r="E7" s="39" t="n"/>
      <c r="F7" s="39" t="n"/>
      <c r="G7" s="39" t="n"/>
      <c r="H7" s="29" t="n"/>
      <c r="I7" s="29" t="n"/>
      <c r="J7" s="42" t="n"/>
      <c r="K7" s="42" t="n"/>
      <c r="L7" s="29" t="n"/>
      <c r="M7" s="39" t="n"/>
      <c r="N7" s="29" t="n"/>
      <c r="O7" s="29" t="n"/>
      <c r="P7" s="29" t="n"/>
      <c r="Q7" s="29" t="n"/>
      <c r="R7" s="29" t="n"/>
      <c r="S7" s="29" t="n"/>
      <c r="T7" s="32">
        <f>IF($E7="","",IFERROR(INDEX(COA!$B:$B,MATCH($E7,COA!$A:$A,0)),"حساب غير موجود"))</f>
        <v/>
      </c>
      <c r="U7" s="32">
        <f>IF(COUNTA($A7:$S7)&gt;0,1,0)</f>
        <v/>
      </c>
      <c r="V7" s="32">
        <f>IF($A7="",0,IF(COUNTIF($A$5:$A7,$A7)=1,1,0))</f>
        <v/>
      </c>
      <c r="W7" s="43">
        <f>IF($A7="","",SUMIFS($J:$J,$A:$A,$A7))</f>
        <v/>
      </c>
      <c r="X7" s="43">
        <f>IF($A7="","",SUMIFS($K:$K,$A:$A,$A7))</f>
        <v/>
      </c>
      <c r="Y7" s="47">
        <f>IF($A7="","",ROUND($W7-$X7,2))</f>
        <v/>
      </c>
      <c r="Z7" s="32">
        <f>IF(AND($V7=1,ABS(N($Y7))&gt;S_Tol),1,0)</f>
        <v/>
      </c>
      <c r="AA7" s="32">
        <f>IF($U7=0,"",IF($A7="","رقم المستند ناقص",IF(COUNTIF(Doc_Register!$A:$A,$A7)&gt;1,"رقم مستند مكرر في السجل المركزي",IF(LEFT($A7,LEN("MJE")+1)&lt;&gt;"MJE"&amp;"-","بادئة الرقم لا تطابق نوع المستند",IF(NOT(ISNUMBER($B7)),"التاريخ ناقص أو غير صحيح",IF($M7="","حالة المستند ناقصة",IF($N7="","اسم المُعِد ناقص",IF(AND(OR($M7=ST_APPR,$M7=ST_POST),$O7=""),"لا يوجد معتمد",IF(AND($O7&lt;&gt;"",$O7=$N7),"المُعِد والمعتمد نفس الشخص (فصل المهام)",IF(AND($M7=ST_POST,$P7=""),"اسم المحاسب المرحِّل ناقص",IF(AND($M7=ST_POST,$P7&lt;&gt;"",OR($P7=$N7,$P7=$O7)),"المرحِّل يجب أن يختلف عن المُعِد والمعتمد",IF(AND($M7=ST_REV,$R7=""),"مرجع التصحيح/الإلغاء ناقص",IF(AND(ISNUMBER($B7),OR($M7=ST_DRAFT,$M7=ST_APPR),COUNTIFS(Period_Close!$A:$A,YEAR($B7)*100+MONTH($B7),Period_Close!$B:$B,"مقفلة")&gt;0),"الفترة مقفلة: لا يسمح بمستند جديد",IF($E7="","رقم الحساب ناقص",IF(COUNTIFS(COA!$A:$A,$E7,COA!$R:$R,1)&lt;&gt;1,"حساب غير صالح أو رئيسي أو غير نشط",IF(NOT(COUNTIF(Locations!$A:$A,$F7)&gt;0),"الموقع غير معرف",IF(NOT(COUNTIF(Cost_Centers!$A:$A,$G7)&gt;0),"مركز التكلفة غير معرف أو ناقص",IF(OR(N($J7)&lt;0,N($K7)&lt;0),"مبلغ سالب",IF(AND(N($J7)&gt;0,N($K7)&gt;0),"السطر يحتوي مدين ودائن معًا",IF(AND(N($J7)=0,N($K7)=0),"السطر بدون مبلغ",IF(AND(OR($E7=ACC_SUPPLIERS,$E7=ACC_CUSTOMERS,$E7=1501,$E7=1502),$H7=""),"كود الجهة إلزامي لحسابات الموردين/العملاء/السلف/العهد",IF(AND($E7=ACC_SUPPLIERS,$H7&lt;&gt;"",COUNTIF(Suppliers!$A:$A,$H7)=0),"كود المورد غير معرف",IF(AND($E7=ACC_CUSTOMERS,$H7&lt;&gt;"",COUNTIF(Customers!$A:$A,$H7)=0),"كود العميل غير معرف",IF(AND(OR($E7=1501,$E7=1502),$H7&lt;&gt;"",COUNTIF(Employees!$A:$A,$H7)=0),"كود الموظف غير معرف",IF(AND(IFERROR(INDEX(COA!$H:$H,MATCH($E7,COA!$A:$A,0)),0)=1,$L7=""),"تصنيف التدفق ناقص لسطر نقدي",IF($D7="","نوع القيد ناقص",IF(AND($D7="عكس",$R7=""),"قيد العكس يحتاج مرجع القيد المعكوس","")))))))))))))))))))))))))))</f>
        <v/>
      </c>
      <c r="AB7" s="32">
        <f>IF($U7=1,IF($AA7&lt;&gt;"",1,0),0)</f>
        <v/>
      </c>
      <c r="AC7" s="32">
        <f>IF($A7="",0,SUMIFS($AB:$AB,$A:$A,$A7))</f>
        <v/>
      </c>
      <c r="AD7" s="32">
        <f>IF($A7="",0,IF(COUNTIFS($A:$A,$A7,$M:$M,"&lt;&gt;"&amp;$M7)&gt;0,1,0))</f>
        <v/>
      </c>
      <c r="AE7" s="32">
        <f>IF($U7=0,"",IF($AA7&lt;&gt;"",$AA7,IF(ABS(N($Y7))&gt;S_Tol,"القيد غير متوازن (مدين ≠ دائن) - لن يُرحَّل",IF($AD7=1,"حالات أسطر القيد غير متسقة",IF($AC7&gt;0,"يوجد خطأ في سطر آخر من نفس القيد","")))))</f>
        <v/>
      </c>
      <c r="AF7" s="32">
        <f>IF($U7=1,IF($AE7&lt;&gt;"",1,0),0)</f>
        <v/>
      </c>
      <c r="AG7" s="32">
        <f>IF(AND($U7=1,$AF7=0,$M7=ST_POST),1,0)</f>
        <v/>
      </c>
    </row>
    <row r="8">
      <c r="A8" s="29" t="n"/>
      <c r="B8" s="31" t="n"/>
      <c r="C8" s="29" t="n"/>
      <c r="D8" s="29" t="n"/>
      <c r="E8" s="39" t="n"/>
      <c r="F8" s="39" t="n"/>
      <c r="G8" s="39" t="n"/>
      <c r="H8" s="29" t="n"/>
      <c r="I8" s="29" t="n"/>
      <c r="J8" s="42" t="n"/>
      <c r="K8" s="42" t="n"/>
      <c r="L8" s="29" t="n"/>
      <c r="M8" s="39" t="n"/>
      <c r="N8" s="29" t="n"/>
      <c r="O8" s="29" t="n"/>
      <c r="P8" s="29" t="n"/>
      <c r="Q8" s="29" t="n"/>
      <c r="R8" s="29" t="n"/>
      <c r="S8" s="29" t="n"/>
      <c r="T8" s="32">
        <f>IF($E8="","",IFERROR(INDEX(COA!$B:$B,MATCH($E8,COA!$A:$A,0)),"حساب غير موجود"))</f>
        <v/>
      </c>
      <c r="U8" s="32">
        <f>IF(COUNTA($A8:$S8)&gt;0,1,0)</f>
        <v/>
      </c>
      <c r="V8" s="32">
        <f>IF($A8="",0,IF(COUNTIF($A$5:$A8,$A8)=1,1,0))</f>
        <v/>
      </c>
      <c r="W8" s="43">
        <f>IF($A8="","",SUMIFS($J:$J,$A:$A,$A8))</f>
        <v/>
      </c>
      <c r="X8" s="43">
        <f>IF($A8="","",SUMIFS($K:$K,$A:$A,$A8))</f>
        <v/>
      </c>
      <c r="Y8" s="47">
        <f>IF($A8="","",ROUND($W8-$X8,2))</f>
        <v/>
      </c>
      <c r="Z8" s="32">
        <f>IF(AND($V8=1,ABS(N($Y8))&gt;S_Tol),1,0)</f>
        <v/>
      </c>
      <c r="AA8" s="32">
        <f>IF($U8=0,"",IF($A8="","رقم المستند ناقص",IF(COUNTIF(Doc_Register!$A:$A,$A8)&gt;1,"رقم مستند مكرر في السجل المركزي",IF(LEFT($A8,LEN("MJE")+1)&lt;&gt;"MJE"&amp;"-","بادئة الرقم لا تطابق نوع المستند",IF(NOT(ISNUMBER($B8)),"التاريخ ناقص أو غير صحيح",IF($M8="","حالة المستند ناقصة",IF($N8="","اسم المُعِد ناقص",IF(AND(OR($M8=ST_APPR,$M8=ST_POST),$O8=""),"لا يوجد معتمد",IF(AND($O8&lt;&gt;"",$O8=$N8),"المُعِد والمعتمد نفس الشخص (فصل المهام)",IF(AND($M8=ST_POST,$P8=""),"اسم المحاسب المرحِّل ناقص",IF(AND($M8=ST_POST,$P8&lt;&gt;"",OR($P8=$N8,$P8=$O8)),"المرحِّل يجب أن يختلف عن المُعِد والمعتمد",IF(AND($M8=ST_REV,$R8=""),"مرجع التصحيح/الإلغاء ناقص",IF(AND(ISNUMBER($B8),OR($M8=ST_DRAFT,$M8=ST_APPR),COUNTIFS(Period_Close!$A:$A,YEAR($B8)*100+MONTH($B8),Period_Close!$B:$B,"مقفلة")&gt;0),"الفترة مقفلة: لا يسمح بمستند جديد",IF($E8="","رقم الحساب ناقص",IF(COUNTIFS(COA!$A:$A,$E8,COA!$R:$R,1)&lt;&gt;1,"حساب غير صالح أو رئيسي أو غير نشط",IF(NOT(COUNTIF(Locations!$A:$A,$F8)&gt;0),"الموقع غير معرف",IF(NOT(COUNTIF(Cost_Centers!$A:$A,$G8)&gt;0),"مركز التكلفة غير معرف أو ناقص",IF(OR(N($J8)&lt;0,N($K8)&lt;0),"مبلغ سالب",IF(AND(N($J8)&gt;0,N($K8)&gt;0),"السطر يحتوي مدين ودائن معًا",IF(AND(N($J8)=0,N($K8)=0),"السطر بدون مبلغ",IF(AND(OR($E8=ACC_SUPPLIERS,$E8=ACC_CUSTOMERS,$E8=1501,$E8=1502),$H8=""),"كود الجهة إلزامي لحسابات الموردين/العملاء/السلف/العهد",IF(AND($E8=ACC_SUPPLIERS,$H8&lt;&gt;"",COUNTIF(Suppliers!$A:$A,$H8)=0),"كود المورد غير معرف",IF(AND($E8=ACC_CUSTOMERS,$H8&lt;&gt;"",COUNTIF(Customers!$A:$A,$H8)=0),"كود العميل غير معرف",IF(AND(OR($E8=1501,$E8=1502),$H8&lt;&gt;"",COUNTIF(Employees!$A:$A,$H8)=0),"كود الموظف غير معرف",IF(AND(IFERROR(INDEX(COA!$H:$H,MATCH($E8,COA!$A:$A,0)),0)=1,$L8=""),"تصنيف التدفق ناقص لسطر نقدي",IF($D8="","نوع القيد ناقص",IF(AND($D8="عكس",$R8=""),"قيد العكس يحتاج مرجع القيد المعكوس","")))))))))))))))))))))))))))</f>
        <v/>
      </c>
      <c r="AB8" s="32">
        <f>IF($U8=1,IF($AA8&lt;&gt;"",1,0),0)</f>
        <v/>
      </c>
      <c r="AC8" s="32">
        <f>IF($A8="",0,SUMIFS($AB:$AB,$A:$A,$A8))</f>
        <v/>
      </c>
      <c r="AD8" s="32">
        <f>IF($A8="",0,IF(COUNTIFS($A:$A,$A8,$M:$M,"&lt;&gt;"&amp;$M8)&gt;0,1,0))</f>
        <v/>
      </c>
      <c r="AE8" s="32">
        <f>IF($U8=0,"",IF($AA8&lt;&gt;"",$AA8,IF(ABS(N($Y8))&gt;S_Tol,"القيد غير متوازن (مدين ≠ دائن) - لن يُرحَّل",IF($AD8=1,"حالات أسطر القيد غير متسقة",IF($AC8&gt;0,"يوجد خطأ في سطر آخر من نفس القيد","")))))</f>
        <v/>
      </c>
      <c r="AF8" s="32">
        <f>IF($U8=1,IF($AE8&lt;&gt;"",1,0),0)</f>
        <v/>
      </c>
      <c r="AG8" s="32">
        <f>IF(AND($U8=1,$AF8=0,$M8=ST_POST),1,0)</f>
        <v/>
      </c>
    </row>
    <row r="9">
      <c r="A9" s="29" t="n"/>
      <c r="B9" s="31" t="n"/>
      <c r="C9" s="29" t="n"/>
      <c r="D9" s="29" t="n"/>
      <c r="E9" s="39" t="n"/>
      <c r="F9" s="39" t="n"/>
      <c r="G9" s="39" t="n"/>
      <c r="H9" s="29" t="n"/>
      <c r="I9" s="29" t="n"/>
      <c r="J9" s="42" t="n"/>
      <c r="K9" s="42" t="n"/>
      <c r="L9" s="29" t="n"/>
      <c r="M9" s="39" t="n"/>
      <c r="N9" s="29" t="n"/>
      <c r="O9" s="29" t="n"/>
      <c r="P9" s="29" t="n"/>
      <c r="Q9" s="29" t="n"/>
      <c r="R9" s="29" t="n"/>
      <c r="S9" s="29" t="n"/>
      <c r="T9" s="32">
        <f>IF($E9="","",IFERROR(INDEX(COA!$B:$B,MATCH($E9,COA!$A:$A,0)),"حساب غير موجود"))</f>
        <v/>
      </c>
      <c r="U9" s="32">
        <f>IF(COUNTA($A9:$S9)&gt;0,1,0)</f>
        <v/>
      </c>
      <c r="V9" s="32">
        <f>IF($A9="",0,IF(COUNTIF($A$5:$A9,$A9)=1,1,0))</f>
        <v/>
      </c>
      <c r="W9" s="43">
        <f>IF($A9="","",SUMIFS($J:$J,$A:$A,$A9))</f>
        <v/>
      </c>
      <c r="X9" s="43">
        <f>IF($A9="","",SUMIFS($K:$K,$A:$A,$A9))</f>
        <v/>
      </c>
      <c r="Y9" s="47">
        <f>IF($A9="","",ROUND($W9-$X9,2))</f>
        <v/>
      </c>
      <c r="Z9" s="32">
        <f>IF(AND($V9=1,ABS(N($Y9))&gt;S_Tol),1,0)</f>
        <v/>
      </c>
      <c r="AA9" s="32">
        <f>IF($U9=0,"",IF($A9="","رقم المستند ناقص",IF(COUNTIF(Doc_Register!$A:$A,$A9)&gt;1,"رقم مستند مكرر في السجل المركزي",IF(LEFT($A9,LEN("MJE")+1)&lt;&gt;"MJE"&amp;"-","بادئة الرقم لا تطابق نوع المستند",IF(NOT(ISNUMBER($B9)),"التاريخ ناقص أو غير صحيح",IF($M9="","حالة المستند ناقصة",IF($N9="","اسم المُعِد ناقص",IF(AND(OR($M9=ST_APPR,$M9=ST_POST),$O9=""),"لا يوجد معتمد",IF(AND($O9&lt;&gt;"",$O9=$N9),"المُعِد والمعتمد نفس الشخص (فصل المهام)",IF(AND($M9=ST_POST,$P9=""),"اسم المحاسب المرحِّل ناقص",IF(AND($M9=ST_POST,$P9&lt;&gt;"",OR($P9=$N9,$P9=$O9)),"المرحِّل يجب أن يختلف عن المُعِد والمعتمد",IF(AND($M9=ST_REV,$R9=""),"مرجع التصحيح/الإلغاء ناقص",IF(AND(ISNUMBER($B9),OR($M9=ST_DRAFT,$M9=ST_APPR),COUNTIFS(Period_Close!$A:$A,YEAR($B9)*100+MONTH($B9),Period_Close!$B:$B,"مقفلة")&gt;0),"الفترة مقفلة: لا يسمح بمستند جديد",IF($E9="","رقم الحساب ناقص",IF(COUNTIFS(COA!$A:$A,$E9,COA!$R:$R,1)&lt;&gt;1,"حساب غير صالح أو رئيسي أو غير نشط",IF(NOT(COUNTIF(Locations!$A:$A,$F9)&gt;0),"الموقع غير معرف",IF(NOT(COUNTIF(Cost_Centers!$A:$A,$G9)&gt;0),"مركز التكلفة غير معرف أو ناقص",IF(OR(N($J9)&lt;0,N($K9)&lt;0),"مبلغ سالب",IF(AND(N($J9)&gt;0,N($K9)&gt;0),"السطر يحتوي مدين ودائن معًا",IF(AND(N($J9)=0,N($K9)=0),"السطر بدون مبلغ",IF(AND(OR($E9=ACC_SUPPLIERS,$E9=ACC_CUSTOMERS,$E9=1501,$E9=1502),$H9=""),"كود الجهة إلزامي لحسابات الموردين/العملاء/السلف/العهد",IF(AND($E9=ACC_SUPPLIERS,$H9&lt;&gt;"",COUNTIF(Suppliers!$A:$A,$H9)=0),"كود المورد غير معرف",IF(AND($E9=ACC_CUSTOMERS,$H9&lt;&gt;"",COUNTIF(Customers!$A:$A,$H9)=0),"كود العميل غير معرف",IF(AND(OR($E9=1501,$E9=1502),$H9&lt;&gt;"",COUNTIF(Employees!$A:$A,$H9)=0),"كود الموظف غير معرف",IF(AND(IFERROR(INDEX(COA!$H:$H,MATCH($E9,COA!$A:$A,0)),0)=1,$L9=""),"تصنيف التدفق ناقص لسطر نقدي",IF($D9="","نوع القيد ناقص",IF(AND($D9="عكس",$R9=""),"قيد العكس يحتاج مرجع القيد المعكوس","")))))))))))))))))))))))))))</f>
        <v/>
      </c>
      <c r="AB9" s="32">
        <f>IF($U9=1,IF($AA9&lt;&gt;"",1,0),0)</f>
        <v/>
      </c>
      <c r="AC9" s="32">
        <f>IF($A9="",0,SUMIFS($AB:$AB,$A:$A,$A9))</f>
        <v/>
      </c>
      <c r="AD9" s="32">
        <f>IF($A9="",0,IF(COUNTIFS($A:$A,$A9,$M:$M,"&lt;&gt;"&amp;$M9)&gt;0,1,0))</f>
        <v/>
      </c>
      <c r="AE9" s="32">
        <f>IF($U9=0,"",IF($AA9&lt;&gt;"",$AA9,IF(ABS(N($Y9))&gt;S_Tol,"القيد غير متوازن (مدين ≠ دائن) - لن يُرحَّل",IF($AD9=1,"حالات أسطر القيد غير متسقة",IF($AC9&gt;0,"يوجد خطأ في سطر آخر من نفس القيد","")))))</f>
        <v/>
      </c>
      <c r="AF9" s="32">
        <f>IF($U9=1,IF($AE9&lt;&gt;"",1,0),0)</f>
        <v/>
      </c>
      <c r="AG9" s="32">
        <f>IF(AND($U9=1,$AF9=0,$M9=ST_POST),1,0)</f>
        <v/>
      </c>
    </row>
    <row r="10">
      <c r="A10" s="29" t="n"/>
      <c r="B10" s="31" t="n"/>
      <c r="C10" s="29" t="n"/>
      <c r="D10" s="29" t="n"/>
      <c r="E10" s="39" t="n"/>
      <c r="F10" s="39" t="n"/>
      <c r="G10" s="39" t="n"/>
      <c r="H10" s="29" t="n"/>
      <c r="I10" s="29" t="n"/>
      <c r="J10" s="42" t="n"/>
      <c r="K10" s="42" t="n"/>
      <c r="L10" s="29" t="n"/>
      <c r="M10" s="39" t="n"/>
      <c r="N10" s="29" t="n"/>
      <c r="O10" s="29" t="n"/>
      <c r="P10" s="29" t="n"/>
      <c r="Q10" s="29" t="n"/>
      <c r="R10" s="29" t="n"/>
      <c r="S10" s="29" t="n"/>
      <c r="T10" s="32">
        <f>IF($E10="","",IFERROR(INDEX(COA!$B:$B,MATCH($E10,COA!$A:$A,0)),"حساب غير موجود"))</f>
        <v/>
      </c>
      <c r="U10" s="32">
        <f>IF(COUNTA($A10:$S10)&gt;0,1,0)</f>
        <v/>
      </c>
      <c r="V10" s="32">
        <f>IF($A10="",0,IF(COUNTIF($A$5:$A10,$A10)=1,1,0))</f>
        <v/>
      </c>
      <c r="W10" s="43">
        <f>IF($A10="","",SUMIFS($J:$J,$A:$A,$A10))</f>
        <v/>
      </c>
      <c r="X10" s="43">
        <f>IF($A10="","",SUMIFS($K:$K,$A:$A,$A10))</f>
        <v/>
      </c>
      <c r="Y10" s="47">
        <f>IF($A10="","",ROUND($W10-$X10,2))</f>
        <v/>
      </c>
      <c r="Z10" s="32">
        <f>IF(AND($V10=1,ABS(N($Y10))&gt;S_Tol),1,0)</f>
        <v/>
      </c>
      <c r="AA10" s="32">
        <f>IF($U10=0,"",IF($A10="","رقم المستند ناقص",IF(COUNTIF(Doc_Register!$A:$A,$A10)&gt;1,"رقم مستند مكرر في السجل المركزي",IF(LEFT($A10,LEN("MJE")+1)&lt;&gt;"MJE"&amp;"-","بادئة الرقم لا تطابق نوع المستند",IF(NOT(ISNUMBER($B10)),"التاريخ ناقص أو غير صحيح",IF($M10="","حالة المستند ناقصة",IF($N10="","اسم المُعِد ناقص",IF(AND(OR($M10=ST_APPR,$M10=ST_POST),$O10=""),"لا يوجد معتمد",IF(AND($O10&lt;&gt;"",$O10=$N10),"المُعِد والمعتمد نفس الشخص (فصل المهام)",IF(AND($M10=ST_POST,$P10=""),"اسم المحاسب المرحِّل ناقص",IF(AND($M10=ST_POST,$P10&lt;&gt;"",OR($P10=$N10,$P10=$O10)),"المرحِّل يجب أن يختلف عن المُعِد والمعتمد",IF(AND($M10=ST_REV,$R10=""),"مرجع التصحيح/الإلغاء ناقص",IF(AND(ISNUMBER($B10),OR($M10=ST_DRAFT,$M10=ST_APPR),COUNTIFS(Period_Close!$A:$A,YEAR($B10)*100+MONTH($B10),Period_Close!$B:$B,"مقفلة")&gt;0),"الفترة مقفلة: لا يسمح بمستند جديد",IF($E10="","رقم الحساب ناقص",IF(COUNTIFS(COA!$A:$A,$E10,COA!$R:$R,1)&lt;&gt;1,"حساب غير صالح أو رئيسي أو غير نشط",IF(NOT(COUNTIF(Locations!$A:$A,$F10)&gt;0),"الموقع غير معرف",IF(NOT(COUNTIF(Cost_Centers!$A:$A,$G10)&gt;0),"مركز التكلفة غير معرف أو ناقص",IF(OR(N($J10)&lt;0,N($K10)&lt;0),"مبلغ سالب",IF(AND(N($J10)&gt;0,N($K10)&gt;0),"السطر يحتوي مدين ودائن معًا",IF(AND(N($J10)=0,N($K10)=0),"السطر بدون مبلغ",IF(AND(OR($E10=ACC_SUPPLIERS,$E10=ACC_CUSTOMERS,$E10=1501,$E10=1502),$H10=""),"كود الجهة إلزامي لحسابات الموردين/العملاء/السلف/العهد",IF(AND($E10=ACC_SUPPLIERS,$H10&lt;&gt;"",COUNTIF(Suppliers!$A:$A,$H10)=0),"كود المورد غير معرف",IF(AND($E10=ACC_CUSTOMERS,$H10&lt;&gt;"",COUNTIF(Customers!$A:$A,$H10)=0),"كود العميل غير معرف",IF(AND(OR($E10=1501,$E10=1502),$H10&lt;&gt;"",COUNTIF(Employees!$A:$A,$H10)=0),"كود الموظف غير معرف",IF(AND(IFERROR(INDEX(COA!$H:$H,MATCH($E10,COA!$A:$A,0)),0)=1,$L10=""),"تصنيف التدفق ناقص لسطر نقدي",IF($D10="","نوع القيد ناقص",IF(AND($D10="عكس",$R10=""),"قيد العكس يحتاج مرجع القيد المعكوس","")))))))))))))))))))))))))))</f>
        <v/>
      </c>
      <c r="AB10" s="32">
        <f>IF($U10=1,IF($AA10&lt;&gt;"",1,0),0)</f>
        <v/>
      </c>
      <c r="AC10" s="32">
        <f>IF($A10="",0,SUMIFS($AB:$AB,$A:$A,$A10))</f>
        <v/>
      </c>
      <c r="AD10" s="32">
        <f>IF($A10="",0,IF(COUNTIFS($A:$A,$A10,$M:$M,"&lt;&gt;"&amp;$M10)&gt;0,1,0))</f>
        <v/>
      </c>
      <c r="AE10" s="32">
        <f>IF($U10=0,"",IF($AA10&lt;&gt;"",$AA10,IF(ABS(N($Y10))&gt;S_Tol,"القيد غير متوازن (مدين ≠ دائن) - لن يُرحَّل",IF($AD10=1,"حالات أسطر القيد غير متسقة",IF($AC10&gt;0,"يوجد خطأ في سطر آخر من نفس القيد","")))))</f>
        <v/>
      </c>
      <c r="AF10" s="32">
        <f>IF($U10=1,IF($AE10&lt;&gt;"",1,0),0)</f>
        <v/>
      </c>
      <c r="AG10" s="32">
        <f>IF(AND($U10=1,$AF10=0,$M10=ST_POST),1,0)</f>
        <v/>
      </c>
    </row>
    <row r="11">
      <c r="A11" s="29" t="n"/>
      <c r="B11" s="31" t="n"/>
      <c r="C11" s="29" t="n"/>
      <c r="D11" s="29" t="n"/>
      <c r="E11" s="39" t="n"/>
      <c r="F11" s="39" t="n"/>
      <c r="G11" s="39" t="n"/>
      <c r="H11" s="29" t="n"/>
      <c r="I11" s="29" t="n"/>
      <c r="J11" s="42" t="n"/>
      <c r="K11" s="42" t="n"/>
      <c r="L11" s="29" t="n"/>
      <c r="M11" s="39" t="n"/>
      <c r="N11" s="29" t="n"/>
      <c r="O11" s="29" t="n"/>
      <c r="P11" s="29" t="n"/>
      <c r="Q11" s="29" t="n"/>
      <c r="R11" s="29" t="n"/>
      <c r="S11" s="29" t="n"/>
      <c r="T11" s="32">
        <f>IF($E11="","",IFERROR(INDEX(COA!$B:$B,MATCH($E11,COA!$A:$A,0)),"حساب غير موجود"))</f>
        <v/>
      </c>
      <c r="U11" s="32">
        <f>IF(COUNTA($A11:$S11)&gt;0,1,0)</f>
        <v/>
      </c>
      <c r="V11" s="32">
        <f>IF($A11="",0,IF(COUNTIF($A$5:$A11,$A11)=1,1,0))</f>
        <v/>
      </c>
      <c r="W11" s="43">
        <f>IF($A11="","",SUMIFS($J:$J,$A:$A,$A11))</f>
        <v/>
      </c>
      <c r="X11" s="43">
        <f>IF($A11="","",SUMIFS($K:$K,$A:$A,$A11))</f>
        <v/>
      </c>
      <c r="Y11" s="47">
        <f>IF($A11="","",ROUND($W11-$X11,2))</f>
        <v/>
      </c>
      <c r="Z11" s="32">
        <f>IF(AND($V11=1,ABS(N($Y11))&gt;S_Tol),1,0)</f>
        <v/>
      </c>
      <c r="AA11" s="32">
        <f>IF($U11=0,"",IF($A11="","رقم المستند ناقص",IF(COUNTIF(Doc_Register!$A:$A,$A11)&gt;1,"رقم مستند مكرر في السجل المركزي",IF(LEFT($A11,LEN("MJE")+1)&lt;&gt;"MJE"&amp;"-","بادئة الرقم لا تطابق نوع المستند",IF(NOT(ISNUMBER($B11)),"التاريخ ناقص أو غير صحيح",IF($M11="","حالة المستند ناقصة",IF($N11="","اسم المُعِد ناقص",IF(AND(OR($M11=ST_APPR,$M11=ST_POST),$O11=""),"لا يوجد معتمد",IF(AND($O11&lt;&gt;"",$O11=$N11),"المُعِد والمعتمد نفس الشخص (فصل المهام)",IF(AND($M11=ST_POST,$P11=""),"اسم المحاسب المرحِّل ناقص",IF(AND($M11=ST_POST,$P11&lt;&gt;"",OR($P11=$N11,$P11=$O11)),"المرحِّل يجب أن يختلف عن المُعِد والمعتمد",IF(AND($M11=ST_REV,$R11=""),"مرجع التصحيح/الإلغاء ناقص",IF(AND(ISNUMBER($B11),OR($M11=ST_DRAFT,$M11=ST_APPR),COUNTIFS(Period_Close!$A:$A,YEAR($B11)*100+MONTH($B11),Period_Close!$B:$B,"مقفلة")&gt;0),"الفترة مقفلة: لا يسمح بمستند جديد",IF($E11="","رقم الحساب ناقص",IF(COUNTIFS(COA!$A:$A,$E11,COA!$R:$R,1)&lt;&gt;1,"حساب غير صالح أو رئيسي أو غير نشط",IF(NOT(COUNTIF(Locations!$A:$A,$F11)&gt;0),"الموقع غير معرف",IF(NOT(COUNTIF(Cost_Centers!$A:$A,$G11)&gt;0),"مركز التكلفة غير معرف أو ناقص",IF(OR(N($J11)&lt;0,N($K11)&lt;0),"مبلغ سالب",IF(AND(N($J11)&gt;0,N($K11)&gt;0),"السطر يحتوي مدين ودائن معًا",IF(AND(N($J11)=0,N($K11)=0),"السطر بدون مبلغ",IF(AND(OR($E11=ACC_SUPPLIERS,$E11=ACC_CUSTOMERS,$E11=1501,$E11=1502),$H11=""),"كود الجهة إلزامي لحسابات الموردين/العملاء/السلف/العهد",IF(AND($E11=ACC_SUPPLIERS,$H11&lt;&gt;"",COUNTIF(Suppliers!$A:$A,$H11)=0),"كود المورد غير معرف",IF(AND($E11=ACC_CUSTOMERS,$H11&lt;&gt;"",COUNTIF(Customers!$A:$A,$H11)=0),"كود العميل غير معرف",IF(AND(OR($E11=1501,$E11=1502),$H11&lt;&gt;"",COUNTIF(Employees!$A:$A,$H11)=0),"كود الموظف غير معرف",IF(AND(IFERROR(INDEX(COA!$H:$H,MATCH($E11,COA!$A:$A,0)),0)=1,$L11=""),"تصنيف التدفق ناقص لسطر نقدي",IF($D11="","نوع القيد ناقص",IF(AND($D11="عكس",$R11=""),"قيد العكس يحتاج مرجع القيد المعكوس","")))))))))))))))))))))))))))</f>
        <v/>
      </c>
      <c r="AB11" s="32">
        <f>IF($U11=1,IF($AA11&lt;&gt;"",1,0),0)</f>
        <v/>
      </c>
      <c r="AC11" s="32">
        <f>IF($A11="",0,SUMIFS($AB:$AB,$A:$A,$A11))</f>
        <v/>
      </c>
      <c r="AD11" s="32">
        <f>IF($A11="",0,IF(COUNTIFS($A:$A,$A11,$M:$M,"&lt;&gt;"&amp;$M11)&gt;0,1,0))</f>
        <v/>
      </c>
      <c r="AE11" s="32">
        <f>IF($U11=0,"",IF($AA11&lt;&gt;"",$AA11,IF(ABS(N($Y11))&gt;S_Tol,"القيد غير متوازن (مدين ≠ دائن) - لن يُرحَّل",IF($AD11=1,"حالات أسطر القيد غير متسقة",IF($AC11&gt;0,"يوجد خطأ في سطر آخر من نفس القيد","")))))</f>
        <v/>
      </c>
      <c r="AF11" s="32">
        <f>IF($U11=1,IF($AE11&lt;&gt;"",1,0),0)</f>
        <v/>
      </c>
      <c r="AG11" s="32">
        <f>IF(AND($U11=1,$AF11=0,$M11=ST_POST),1,0)</f>
        <v/>
      </c>
    </row>
    <row r="12">
      <c r="A12" s="29" t="n"/>
      <c r="B12" s="31" t="n"/>
      <c r="C12" s="29" t="n"/>
      <c r="D12" s="29" t="n"/>
      <c r="E12" s="39" t="n"/>
      <c r="F12" s="39" t="n"/>
      <c r="G12" s="39" t="n"/>
      <c r="H12" s="29" t="n"/>
      <c r="I12" s="29" t="n"/>
      <c r="J12" s="42" t="n"/>
      <c r="K12" s="42" t="n"/>
      <c r="L12" s="29" t="n"/>
      <c r="M12" s="39" t="n"/>
      <c r="N12" s="29" t="n"/>
      <c r="O12" s="29" t="n"/>
      <c r="P12" s="29" t="n"/>
      <c r="Q12" s="29" t="n"/>
      <c r="R12" s="29" t="n"/>
      <c r="S12" s="29" t="n"/>
      <c r="T12" s="32">
        <f>IF($E12="","",IFERROR(INDEX(COA!$B:$B,MATCH($E12,COA!$A:$A,0)),"حساب غير موجود"))</f>
        <v/>
      </c>
      <c r="U12" s="32">
        <f>IF(COUNTA($A12:$S12)&gt;0,1,0)</f>
        <v/>
      </c>
      <c r="V12" s="32">
        <f>IF($A12="",0,IF(COUNTIF($A$5:$A12,$A12)=1,1,0))</f>
        <v/>
      </c>
      <c r="W12" s="43">
        <f>IF($A12="","",SUMIFS($J:$J,$A:$A,$A12))</f>
        <v/>
      </c>
      <c r="X12" s="43">
        <f>IF($A12="","",SUMIFS($K:$K,$A:$A,$A12))</f>
        <v/>
      </c>
      <c r="Y12" s="47">
        <f>IF($A12="","",ROUND($W12-$X12,2))</f>
        <v/>
      </c>
      <c r="Z12" s="32">
        <f>IF(AND($V12=1,ABS(N($Y12))&gt;S_Tol),1,0)</f>
        <v/>
      </c>
      <c r="AA12" s="32">
        <f>IF($U12=0,"",IF($A12="","رقم المستند ناقص",IF(COUNTIF(Doc_Register!$A:$A,$A12)&gt;1,"رقم مستند مكرر في السجل المركزي",IF(LEFT($A12,LEN("MJE")+1)&lt;&gt;"MJE"&amp;"-","بادئة الرقم لا تطابق نوع المستند",IF(NOT(ISNUMBER($B12)),"التاريخ ناقص أو غير صحيح",IF($M12="","حالة المستند ناقصة",IF($N12="","اسم المُعِد ناقص",IF(AND(OR($M12=ST_APPR,$M12=ST_POST),$O12=""),"لا يوجد معتمد",IF(AND($O12&lt;&gt;"",$O12=$N12),"المُعِد والمعتمد نفس الشخص (فصل المهام)",IF(AND($M12=ST_POST,$P12=""),"اسم المحاسب المرحِّل ناقص",IF(AND($M12=ST_POST,$P12&lt;&gt;"",OR($P12=$N12,$P12=$O12)),"المرحِّل يجب أن يختلف عن المُعِد والمعتمد",IF(AND($M12=ST_REV,$R12=""),"مرجع التصحيح/الإلغاء ناقص",IF(AND(ISNUMBER($B12),OR($M12=ST_DRAFT,$M12=ST_APPR),COUNTIFS(Period_Close!$A:$A,YEAR($B12)*100+MONTH($B12),Period_Close!$B:$B,"مقفلة")&gt;0),"الفترة مقفلة: لا يسمح بمستند جديد",IF($E12="","رقم الحساب ناقص",IF(COUNTIFS(COA!$A:$A,$E12,COA!$R:$R,1)&lt;&gt;1,"حساب غير صالح أو رئيسي أو غير نشط",IF(NOT(COUNTIF(Locations!$A:$A,$F12)&gt;0),"الموقع غير معرف",IF(NOT(COUNTIF(Cost_Centers!$A:$A,$G12)&gt;0),"مركز التكلفة غير معرف أو ناقص",IF(OR(N($J12)&lt;0,N($K12)&lt;0),"مبلغ سالب",IF(AND(N($J12)&gt;0,N($K12)&gt;0),"السطر يحتوي مدين ودائن معًا",IF(AND(N($J12)=0,N($K12)=0),"السطر بدون مبلغ",IF(AND(OR($E12=ACC_SUPPLIERS,$E12=ACC_CUSTOMERS,$E12=1501,$E12=1502),$H12=""),"كود الجهة إلزامي لحسابات الموردين/العملاء/السلف/العهد",IF(AND($E12=ACC_SUPPLIERS,$H12&lt;&gt;"",COUNTIF(Suppliers!$A:$A,$H12)=0),"كود المورد غير معرف",IF(AND($E12=ACC_CUSTOMERS,$H12&lt;&gt;"",COUNTIF(Customers!$A:$A,$H12)=0),"كود العميل غير معرف",IF(AND(OR($E12=1501,$E12=1502),$H12&lt;&gt;"",COUNTIF(Employees!$A:$A,$H12)=0),"كود الموظف غير معرف",IF(AND(IFERROR(INDEX(COA!$H:$H,MATCH($E12,COA!$A:$A,0)),0)=1,$L12=""),"تصنيف التدفق ناقص لسطر نقدي",IF($D12="","نوع القيد ناقص",IF(AND($D12="عكس",$R12=""),"قيد العكس يحتاج مرجع القيد المعكوس","")))))))))))))))))))))))))))</f>
        <v/>
      </c>
      <c r="AB12" s="32">
        <f>IF($U12=1,IF($AA12&lt;&gt;"",1,0),0)</f>
        <v/>
      </c>
      <c r="AC12" s="32">
        <f>IF($A12="",0,SUMIFS($AB:$AB,$A:$A,$A12))</f>
        <v/>
      </c>
      <c r="AD12" s="32">
        <f>IF($A12="",0,IF(COUNTIFS($A:$A,$A12,$M:$M,"&lt;&gt;"&amp;$M12)&gt;0,1,0))</f>
        <v/>
      </c>
      <c r="AE12" s="32">
        <f>IF($U12=0,"",IF($AA12&lt;&gt;"",$AA12,IF(ABS(N($Y12))&gt;S_Tol,"القيد غير متوازن (مدين ≠ دائن) - لن يُرحَّل",IF($AD12=1,"حالات أسطر القيد غير متسقة",IF($AC12&gt;0,"يوجد خطأ في سطر آخر من نفس القيد","")))))</f>
        <v/>
      </c>
      <c r="AF12" s="32">
        <f>IF($U12=1,IF($AE12&lt;&gt;"",1,0),0)</f>
        <v/>
      </c>
      <c r="AG12" s="32">
        <f>IF(AND($U12=1,$AF12=0,$M12=ST_POST),1,0)</f>
        <v/>
      </c>
    </row>
    <row r="13">
      <c r="A13" s="29" t="n"/>
      <c r="B13" s="31" t="n"/>
      <c r="C13" s="29" t="n"/>
      <c r="D13" s="29" t="n"/>
      <c r="E13" s="39" t="n"/>
      <c r="F13" s="39" t="n"/>
      <c r="G13" s="39" t="n"/>
      <c r="H13" s="29" t="n"/>
      <c r="I13" s="29" t="n"/>
      <c r="J13" s="42" t="n"/>
      <c r="K13" s="42" t="n"/>
      <c r="L13" s="29" t="n"/>
      <c r="M13" s="39" t="n"/>
      <c r="N13" s="29" t="n"/>
      <c r="O13" s="29" t="n"/>
      <c r="P13" s="29" t="n"/>
      <c r="Q13" s="29" t="n"/>
      <c r="R13" s="29" t="n"/>
      <c r="S13" s="29" t="n"/>
      <c r="T13" s="32">
        <f>IF($E13="","",IFERROR(INDEX(COA!$B:$B,MATCH($E13,COA!$A:$A,0)),"حساب غير موجود"))</f>
        <v/>
      </c>
      <c r="U13" s="32">
        <f>IF(COUNTA($A13:$S13)&gt;0,1,0)</f>
        <v/>
      </c>
      <c r="V13" s="32">
        <f>IF($A13="",0,IF(COUNTIF($A$5:$A13,$A13)=1,1,0))</f>
        <v/>
      </c>
      <c r="W13" s="43">
        <f>IF($A13="","",SUMIFS($J:$J,$A:$A,$A13))</f>
        <v/>
      </c>
      <c r="X13" s="43">
        <f>IF($A13="","",SUMIFS($K:$K,$A:$A,$A13))</f>
        <v/>
      </c>
      <c r="Y13" s="47">
        <f>IF($A13="","",ROUND($W13-$X13,2))</f>
        <v/>
      </c>
      <c r="Z13" s="32">
        <f>IF(AND($V13=1,ABS(N($Y13))&gt;S_Tol),1,0)</f>
        <v/>
      </c>
      <c r="AA13" s="32">
        <f>IF($U13=0,"",IF($A13="","رقم المستند ناقص",IF(COUNTIF(Doc_Register!$A:$A,$A13)&gt;1,"رقم مستند مكرر في السجل المركزي",IF(LEFT($A13,LEN("MJE")+1)&lt;&gt;"MJE"&amp;"-","بادئة الرقم لا تطابق نوع المستند",IF(NOT(ISNUMBER($B13)),"التاريخ ناقص أو غير صحيح",IF($M13="","حالة المستند ناقصة",IF($N13="","اسم المُعِد ناقص",IF(AND(OR($M13=ST_APPR,$M13=ST_POST),$O13=""),"لا يوجد معتمد",IF(AND($O13&lt;&gt;"",$O13=$N13),"المُعِد والمعتمد نفس الشخص (فصل المهام)",IF(AND($M13=ST_POST,$P13=""),"اسم المحاسب المرحِّل ناقص",IF(AND($M13=ST_POST,$P13&lt;&gt;"",OR($P13=$N13,$P13=$O13)),"المرحِّل يجب أن يختلف عن المُعِد والمعتمد",IF(AND($M13=ST_REV,$R13=""),"مرجع التصحيح/الإلغاء ناقص",IF(AND(ISNUMBER($B13),OR($M13=ST_DRAFT,$M13=ST_APPR),COUNTIFS(Period_Close!$A:$A,YEAR($B13)*100+MONTH($B13),Period_Close!$B:$B,"مقفلة")&gt;0),"الفترة مقفلة: لا يسمح بمستند جديد",IF($E13="","رقم الحساب ناقص",IF(COUNTIFS(COA!$A:$A,$E13,COA!$R:$R,1)&lt;&gt;1,"حساب غير صالح أو رئيسي أو غير نشط",IF(NOT(COUNTIF(Locations!$A:$A,$F13)&gt;0),"الموقع غير معرف",IF(NOT(COUNTIF(Cost_Centers!$A:$A,$G13)&gt;0),"مركز التكلفة غير معرف أو ناقص",IF(OR(N($J13)&lt;0,N($K13)&lt;0),"مبلغ سالب",IF(AND(N($J13)&gt;0,N($K13)&gt;0),"السطر يحتوي مدين ودائن معًا",IF(AND(N($J13)=0,N($K13)=0),"السطر بدون مبلغ",IF(AND(OR($E13=ACC_SUPPLIERS,$E13=ACC_CUSTOMERS,$E13=1501,$E13=1502),$H13=""),"كود الجهة إلزامي لحسابات الموردين/العملاء/السلف/العهد",IF(AND($E13=ACC_SUPPLIERS,$H13&lt;&gt;"",COUNTIF(Suppliers!$A:$A,$H13)=0),"كود المورد غير معرف",IF(AND($E13=ACC_CUSTOMERS,$H13&lt;&gt;"",COUNTIF(Customers!$A:$A,$H13)=0),"كود العميل غير معرف",IF(AND(OR($E13=1501,$E13=1502),$H13&lt;&gt;"",COUNTIF(Employees!$A:$A,$H13)=0),"كود الموظف غير معرف",IF(AND(IFERROR(INDEX(COA!$H:$H,MATCH($E13,COA!$A:$A,0)),0)=1,$L13=""),"تصنيف التدفق ناقص لسطر نقدي",IF($D13="","نوع القيد ناقص",IF(AND($D13="عكس",$R13=""),"قيد العكس يحتاج مرجع القيد المعكوس","")))))))))))))))))))))))))))</f>
        <v/>
      </c>
      <c r="AB13" s="32">
        <f>IF($U13=1,IF($AA13&lt;&gt;"",1,0),0)</f>
        <v/>
      </c>
      <c r="AC13" s="32">
        <f>IF($A13="",0,SUMIFS($AB:$AB,$A:$A,$A13))</f>
        <v/>
      </c>
      <c r="AD13" s="32">
        <f>IF($A13="",0,IF(COUNTIFS($A:$A,$A13,$M:$M,"&lt;&gt;"&amp;$M13)&gt;0,1,0))</f>
        <v/>
      </c>
      <c r="AE13" s="32">
        <f>IF($U13=0,"",IF($AA13&lt;&gt;"",$AA13,IF(ABS(N($Y13))&gt;S_Tol,"القيد غير متوازن (مدين ≠ دائن) - لن يُرحَّل",IF($AD13=1,"حالات أسطر القيد غير متسقة",IF($AC13&gt;0,"يوجد خطأ في سطر آخر من نفس القيد","")))))</f>
        <v/>
      </c>
      <c r="AF13" s="32">
        <f>IF($U13=1,IF($AE13&lt;&gt;"",1,0),0)</f>
        <v/>
      </c>
      <c r="AG13" s="32">
        <f>IF(AND($U13=1,$AF13=0,$M13=ST_POST),1,0)</f>
        <v/>
      </c>
    </row>
    <row r="14">
      <c r="A14" s="29" t="n"/>
      <c r="B14" s="31" t="n"/>
      <c r="C14" s="29" t="n"/>
      <c r="D14" s="29" t="n"/>
      <c r="E14" s="39" t="n"/>
      <c r="F14" s="39" t="n"/>
      <c r="G14" s="39" t="n"/>
      <c r="H14" s="29" t="n"/>
      <c r="I14" s="29" t="n"/>
      <c r="J14" s="42" t="n"/>
      <c r="K14" s="42" t="n"/>
      <c r="L14" s="29" t="n"/>
      <c r="M14" s="39" t="n"/>
      <c r="N14" s="29" t="n"/>
      <c r="O14" s="29" t="n"/>
      <c r="P14" s="29" t="n"/>
      <c r="Q14" s="29" t="n"/>
      <c r="R14" s="29" t="n"/>
      <c r="S14" s="29" t="n"/>
      <c r="T14" s="32">
        <f>IF($E14="","",IFERROR(INDEX(COA!$B:$B,MATCH($E14,COA!$A:$A,0)),"حساب غير موجود"))</f>
        <v/>
      </c>
      <c r="U14" s="32">
        <f>IF(COUNTA($A14:$S14)&gt;0,1,0)</f>
        <v/>
      </c>
      <c r="V14" s="32">
        <f>IF($A14="",0,IF(COUNTIF($A$5:$A14,$A14)=1,1,0))</f>
        <v/>
      </c>
      <c r="W14" s="43">
        <f>IF($A14="","",SUMIFS($J:$J,$A:$A,$A14))</f>
        <v/>
      </c>
      <c r="X14" s="43">
        <f>IF($A14="","",SUMIFS($K:$K,$A:$A,$A14))</f>
        <v/>
      </c>
      <c r="Y14" s="47">
        <f>IF($A14="","",ROUND($W14-$X14,2))</f>
        <v/>
      </c>
      <c r="Z14" s="32">
        <f>IF(AND($V14=1,ABS(N($Y14))&gt;S_Tol),1,0)</f>
        <v/>
      </c>
      <c r="AA14" s="32">
        <f>IF($U14=0,"",IF($A14="","رقم المستند ناقص",IF(COUNTIF(Doc_Register!$A:$A,$A14)&gt;1,"رقم مستند مكرر في السجل المركزي",IF(LEFT($A14,LEN("MJE")+1)&lt;&gt;"MJE"&amp;"-","بادئة الرقم لا تطابق نوع المستند",IF(NOT(ISNUMBER($B14)),"التاريخ ناقص أو غير صحيح",IF($M14="","حالة المستند ناقصة",IF($N14="","اسم المُعِد ناقص",IF(AND(OR($M14=ST_APPR,$M14=ST_POST),$O14=""),"لا يوجد معتمد",IF(AND($O14&lt;&gt;"",$O14=$N14),"المُعِد والمعتمد نفس الشخص (فصل المهام)",IF(AND($M14=ST_POST,$P14=""),"اسم المحاسب المرحِّل ناقص",IF(AND($M14=ST_POST,$P14&lt;&gt;"",OR($P14=$N14,$P14=$O14)),"المرحِّل يجب أن يختلف عن المُعِد والمعتمد",IF(AND($M14=ST_REV,$R14=""),"مرجع التصحيح/الإلغاء ناقص",IF(AND(ISNUMBER($B14),OR($M14=ST_DRAFT,$M14=ST_APPR),COUNTIFS(Period_Close!$A:$A,YEAR($B14)*100+MONTH($B14),Period_Close!$B:$B,"مقفلة")&gt;0),"الفترة مقفلة: لا يسمح بمستند جديد",IF($E14="","رقم الحساب ناقص",IF(COUNTIFS(COA!$A:$A,$E14,COA!$R:$R,1)&lt;&gt;1,"حساب غير صالح أو رئيسي أو غير نشط",IF(NOT(COUNTIF(Locations!$A:$A,$F14)&gt;0),"الموقع غير معرف",IF(NOT(COUNTIF(Cost_Centers!$A:$A,$G14)&gt;0),"مركز التكلفة غير معرف أو ناقص",IF(OR(N($J14)&lt;0,N($K14)&lt;0),"مبلغ سالب",IF(AND(N($J14)&gt;0,N($K14)&gt;0),"السطر يحتوي مدين ودائن معًا",IF(AND(N($J14)=0,N($K14)=0),"السطر بدون مبلغ",IF(AND(OR($E14=ACC_SUPPLIERS,$E14=ACC_CUSTOMERS,$E14=1501,$E14=1502),$H14=""),"كود الجهة إلزامي لحسابات الموردين/العملاء/السلف/العهد",IF(AND($E14=ACC_SUPPLIERS,$H14&lt;&gt;"",COUNTIF(Suppliers!$A:$A,$H14)=0),"كود المورد غير معرف",IF(AND($E14=ACC_CUSTOMERS,$H14&lt;&gt;"",COUNTIF(Customers!$A:$A,$H14)=0),"كود العميل غير معرف",IF(AND(OR($E14=1501,$E14=1502),$H14&lt;&gt;"",COUNTIF(Employees!$A:$A,$H14)=0),"كود الموظف غير معرف",IF(AND(IFERROR(INDEX(COA!$H:$H,MATCH($E14,COA!$A:$A,0)),0)=1,$L14=""),"تصنيف التدفق ناقص لسطر نقدي",IF($D14="","نوع القيد ناقص",IF(AND($D14="عكس",$R14=""),"قيد العكس يحتاج مرجع القيد المعكوس","")))))))))))))))))))))))))))</f>
        <v/>
      </c>
      <c r="AB14" s="32">
        <f>IF($U14=1,IF($AA14&lt;&gt;"",1,0),0)</f>
        <v/>
      </c>
      <c r="AC14" s="32">
        <f>IF($A14="",0,SUMIFS($AB:$AB,$A:$A,$A14))</f>
        <v/>
      </c>
      <c r="AD14" s="32">
        <f>IF($A14="",0,IF(COUNTIFS($A:$A,$A14,$M:$M,"&lt;&gt;"&amp;$M14)&gt;0,1,0))</f>
        <v/>
      </c>
      <c r="AE14" s="32">
        <f>IF($U14=0,"",IF($AA14&lt;&gt;"",$AA14,IF(ABS(N($Y14))&gt;S_Tol,"القيد غير متوازن (مدين ≠ دائن) - لن يُرحَّل",IF($AD14=1,"حالات أسطر القيد غير متسقة",IF($AC14&gt;0,"يوجد خطأ في سطر آخر من نفس القيد","")))))</f>
        <v/>
      </c>
      <c r="AF14" s="32">
        <f>IF($U14=1,IF($AE14&lt;&gt;"",1,0),0)</f>
        <v/>
      </c>
      <c r="AG14" s="32">
        <f>IF(AND($U14=1,$AF14=0,$M14=ST_POST),1,0)</f>
        <v/>
      </c>
    </row>
    <row r="15">
      <c r="A15" s="29" t="n"/>
      <c r="B15" s="31" t="n"/>
      <c r="C15" s="29" t="n"/>
      <c r="D15" s="29" t="n"/>
      <c r="E15" s="39" t="n"/>
      <c r="F15" s="39" t="n"/>
      <c r="G15" s="39" t="n"/>
      <c r="H15" s="29" t="n"/>
      <c r="I15" s="29" t="n"/>
      <c r="J15" s="42" t="n"/>
      <c r="K15" s="42" t="n"/>
      <c r="L15" s="29" t="n"/>
      <c r="M15" s="39" t="n"/>
      <c r="N15" s="29" t="n"/>
      <c r="O15" s="29" t="n"/>
      <c r="P15" s="29" t="n"/>
      <c r="Q15" s="29" t="n"/>
      <c r="R15" s="29" t="n"/>
      <c r="S15" s="29" t="n"/>
      <c r="T15" s="32">
        <f>IF($E15="","",IFERROR(INDEX(COA!$B:$B,MATCH($E15,COA!$A:$A,0)),"حساب غير موجود"))</f>
        <v/>
      </c>
      <c r="U15" s="32">
        <f>IF(COUNTA($A15:$S15)&gt;0,1,0)</f>
        <v/>
      </c>
      <c r="V15" s="32">
        <f>IF($A15="",0,IF(COUNTIF($A$5:$A15,$A15)=1,1,0))</f>
        <v/>
      </c>
      <c r="W15" s="43">
        <f>IF($A15="","",SUMIFS($J:$J,$A:$A,$A15))</f>
        <v/>
      </c>
      <c r="X15" s="43">
        <f>IF($A15="","",SUMIFS($K:$K,$A:$A,$A15))</f>
        <v/>
      </c>
      <c r="Y15" s="47">
        <f>IF($A15="","",ROUND($W15-$X15,2))</f>
        <v/>
      </c>
      <c r="Z15" s="32">
        <f>IF(AND($V15=1,ABS(N($Y15))&gt;S_Tol),1,0)</f>
        <v/>
      </c>
      <c r="AA15" s="32">
        <f>IF($U15=0,"",IF($A15="","رقم المستند ناقص",IF(COUNTIF(Doc_Register!$A:$A,$A15)&gt;1,"رقم مستند مكرر في السجل المركزي",IF(LEFT($A15,LEN("MJE")+1)&lt;&gt;"MJE"&amp;"-","بادئة الرقم لا تطابق نوع المستند",IF(NOT(ISNUMBER($B15)),"التاريخ ناقص أو غير صحيح",IF($M15="","حالة المستند ناقصة",IF($N15="","اسم المُعِد ناقص",IF(AND(OR($M15=ST_APPR,$M15=ST_POST),$O15=""),"لا يوجد معتمد",IF(AND($O15&lt;&gt;"",$O15=$N15),"المُعِد والمعتمد نفس الشخص (فصل المهام)",IF(AND($M15=ST_POST,$P15=""),"اسم المحاسب المرحِّل ناقص",IF(AND($M15=ST_POST,$P15&lt;&gt;"",OR($P15=$N15,$P15=$O15)),"المرحِّل يجب أن يختلف عن المُعِد والمعتمد",IF(AND($M15=ST_REV,$R15=""),"مرجع التصحيح/الإلغاء ناقص",IF(AND(ISNUMBER($B15),OR($M15=ST_DRAFT,$M15=ST_APPR),COUNTIFS(Period_Close!$A:$A,YEAR($B15)*100+MONTH($B15),Period_Close!$B:$B,"مقفلة")&gt;0),"الفترة مقفلة: لا يسمح بمستند جديد",IF($E15="","رقم الحساب ناقص",IF(COUNTIFS(COA!$A:$A,$E15,COA!$R:$R,1)&lt;&gt;1,"حساب غير صالح أو رئيسي أو غير نشط",IF(NOT(COUNTIF(Locations!$A:$A,$F15)&gt;0),"الموقع غير معرف",IF(NOT(COUNTIF(Cost_Centers!$A:$A,$G15)&gt;0),"مركز التكلفة غير معرف أو ناقص",IF(OR(N($J15)&lt;0,N($K15)&lt;0),"مبلغ سالب",IF(AND(N($J15)&gt;0,N($K15)&gt;0),"السطر يحتوي مدين ودائن معًا",IF(AND(N($J15)=0,N($K15)=0),"السطر بدون مبلغ",IF(AND(OR($E15=ACC_SUPPLIERS,$E15=ACC_CUSTOMERS,$E15=1501,$E15=1502),$H15=""),"كود الجهة إلزامي لحسابات الموردين/العملاء/السلف/العهد",IF(AND($E15=ACC_SUPPLIERS,$H15&lt;&gt;"",COUNTIF(Suppliers!$A:$A,$H15)=0),"كود المورد غير معرف",IF(AND($E15=ACC_CUSTOMERS,$H15&lt;&gt;"",COUNTIF(Customers!$A:$A,$H15)=0),"كود العميل غير معرف",IF(AND(OR($E15=1501,$E15=1502),$H15&lt;&gt;"",COUNTIF(Employees!$A:$A,$H15)=0),"كود الموظف غير معرف",IF(AND(IFERROR(INDEX(COA!$H:$H,MATCH($E15,COA!$A:$A,0)),0)=1,$L15=""),"تصنيف التدفق ناقص لسطر نقدي",IF($D15="","نوع القيد ناقص",IF(AND($D15="عكس",$R15=""),"قيد العكس يحتاج مرجع القيد المعكوس","")))))))))))))))))))))))))))</f>
        <v/>
      </c>
      <c r="AB15" s="32">
        <f>IF($U15=1,IF($AA15&lt;&gt;"",1,0),0)</f>
        <v/>
      </c>
      <c r="AC15" s="32">
        <f>IF($A15="",0,SUMIFS($AB:$AB,$A:$A,$A15))</f>
        <v/>
      </c>
      <c r="AD15" s="32">
        <f>IF($A15="",0,IF(COUNTIFS($A:$A,$A15,$M:$M,"&lt;&gt;"&amp;$M15)&gt;0,1,0))</f>
        <v/>
      </c>
      <c r="AE15" s="32">
        <f>IF($U15=0,"",IF($AA15&lt;&gt;"",$AA15,IF(ABS(N($Y15))&gt;S_Tol,"القيد غير متوازن (مدين ≠ دائن) - لن يُرحَّل",IF($AD15=1,"حالات أسطر القيد غير متسقة",IF($AC15&gt;0,"يوجد خطأ في سطر آخر من نفس القيد","")))))</f>
        <v/>
      </c>
      <c r="AF15" s="32">
        <f>IF($U15=1,IF($AE15&lt;&gt;"",1,0),0)</f>
        <v/>
      </c>
      <c r="AG15" s="32">
        <f>IF(AND($U15=1,$AF15=0,$M15=ST_POST),1,0)</f>
        <v/>
      </c>
    </row>
    <row r="16">
      <c r="A16" s="29" t="n"/>
      <c r="B16" s="31" t="n"/>
      <c r="C16" s="29" t="n"/>
      <c r="D16" s="29" t="n"/>
      <c r="E16" s="39" t="n"/>
      <c r="F16" s="39" t="n"/>
      <c r="G16" s="39" t="n"/>
      <c r="H16" s="29" t="n"/>
      <c r="I16" s="29" t="n"/>
      <c r="J16" s="42" t="n"/>
      <c r="K16" s="42" t="n"/>
      <c r="L16" s="29" t="n"/>
      <c r="M16" s="39" t="n"/>
      <c r="N16" s="29" t="n"/>
      <c r="O16" s="29" t="n"/>
      <c r="P16" s="29" t="n"/>
      <c r="Q16" s="29" t="n"/>
      <c r="R16" s="29" t="n"/>
      <c r="S16" s="29" t="n"/>
      <c r="T16" s="32">
        <f>IF($E16="","",IFERROR(INDEX(COA!$B:$B,MATCH($E16,COA!$A:$A,0)),"حساب غير موجود"))</f>
        <v/>
      </c>
      <c r="U16" s="32">
        <f>IF(COUNTA($A16:$S16)&gt;0,1,0)</f>
        <v/>
      </c>
      <c r="V16" s="32">
        <f>IF($A16="",0,IF(COUNTIF($A$5:$A16,$A16)=1,1,0))</f>
        <v/>
      </c>
      <c r="W16" s="43">
        <f>IF($A16="","",SUMIFS($J:$J,$A:$A,$A16))</f>
        <v/>
      </c>
      <c r="X16" s="43">
        <f>IF($A16="","",SUMIFS($K:$K,$A:$A,$A16))</f>
        <v/>
      </c>
      <c r="Y16" s="47">
        <f>IF($A16="","",ROUND($W16-$X16,2))</f>
        <v/>
      </c>
      <c r="Z16" s="32">
        <f>IF(AND($V16=1,ABS(N($Y16))&gt;S_Tol),1,0)</f>
        <v/>
      </c>
      <c r="AA16" s="32">
        <f>IF($U16=0,"",IF($A16="","رقم المستند ناقص",IF(COUNTIF(Doc_Register!$A:$A,$A16)&gt;1,"رقم مستند مكرر في السجل المركزي",IF(LEFT($A16,LEN("MJE")+1)&lt;&gt;"MJE"&amp;"-","بادئة الرقم لا تطابق نوع المستند",IF(NOT(ISNUMBER($B16)),"التاريخ ناقص أو غير صحيح",IF($M16="","حالة المستند ناقصة",IF($N16="","اسم المُعِد ناقص",IF(AND(OR($M16=ST_APPR,$M16=ST_POST),$O16=""),"لا يوجد معتمد",IF(AND($O16&lt;&gt;"",$O16=$N16),"المُعِد والمعتمد نفس الشخص (فصل المهام)",IF(AND($M16=ST_POST,$P16=""),"اسم المحاسب المرحِّل ناقص",IF(AND($M16=ST_POST,$P16&lt;&gt;"",OR($P16=$N16,$P16=$O16)),"المرحِّل يجب أن يختلف عن المُعِد والمعتمد",IF(AND($M16=ST_REV,$R16=""),"مرجع التصحيح/الإلغاء ناقص",IF(AND(ISNUMBER($B16),OR($M16=ST_DRAFT,$M16=ST_APPR),COUNTIFS(Period_Close!$A:$A,YEAR($B16)*100+MONTH($B16),Period_Close!$B:$B,"مقفلة")&gt;0),"الفترة مقفلة: لا يسمح بمستند جديد",IF($E16="","رقم الحساب ناقص",IF(COUNTIFS(COA!$A:$A,$E16,COA!$R:$R,1)&lt;&gt;1,"حساب غير صالح أو رئيسي أو غير نشط",IF(NOT(COUNTIF(Locations!$A:$A,$F16)&gt;0),"الموقع غير معرف",IF(NOT(COUNTIF(Cost_Centers!$A:$A,$G16)&gt;0),"مركز التكلفة غير معرف أو ناقص",IF(OR(N($J16)&lt;0,N($K16)&lt;0),"مبلغ سالب",IF(AND(N($J16)&gt;0,N($K16)&gt;0),"السطر يحتوي مدين ودائن معًا",IF(AND(N($J16)=0,N($K16)=0),"السطر بدون مبلغ",IF(AND(OR($E16=ACC_SUPPLIERS,$E16=ACC_CUSTOMERS,$E16=1501,$E16=1502),$H16=""),"كود الجهة إلزامي لحسابات الموردين/العملاء/السلف/العهد",IF(AND($E16=ACC_SUPPLIERS,$H16&lt;&gt;"",COUNTIF(Suppliers!$A:$A,$H16)=0),"كود المورد غير معرف",IF(AND($E16=ACC_CUSTOMERS,$H16&lt;&gt;"",COUNTIF(Customers!$A:$A,$H16)=0),"كود العميل غير معرف",IF(AND(OR($E16=1501,$E16=1502),$H16&lt;&gt;"",COUNTIF(Employees!$A:$A,$H16)=0),"كود الموظف غير معرف",IF(AND(IFERROR(INDEX(COA!$H:$H,MATCH($E16,COA!$A:$A,0)),0)=1,$L16=""),"تصنيف التدفق ناقص لسطر نقدي",IF($D16="","نوع القيد ناقص",IF(AND($D16="عكس",$R16=""),"قيد العكس يحتاج مرجع القيد المعكوس","")))))))))))))))))))))))))))</f>
        <v/>
      </c>
      <c r="AB16" s="32">
        <f>IF($U16=1,IF($AA16&lt;&gt;"",1,0),0)</f>
        <v/>
      </c>
      <c r="AC16" s="32">
        <f>IF($A16="",0,SUMIFS($AB:$AB,$A:$A,$A16))</f>
        <v/>
      </c>
      <c r="AD16" s="32">
        <f>IF($A16="",0,IF(COUNTIFS($A:$A,$A16,$M:$M,"&lt;&gt;"&amp;$M16)&gt;0,1,0))</f>
        <v/>
      </c>
      <c r="AE16" s="32">
        <f>IF($U16=0,"",IF($AA16&lt;&gt;"",$AA16,IF(ABS(N($Y16))&gt;S_Tol,"القيد غير متوازن (مدين ≠ دائن) - لن يُرحَّل",IF($AD16=1,"حالات أسطر القيد غير متسقة",IF($AC16&gt;0,"يوجد خطأ في سطر آخر من نفس القيد","")))))</f>
        <v/>
      </c>
      <c r="AF16" s="32">
        <f>IF($U16=1,IF($AE16&lt;&gt;"",1,0),0)</f>
        <v/>
      </c>
      <c r="AG16" s="32">
        <f>IF(AND($U16=1,$AF16=0,$M16=ST_POST),1,0)</f>
        <v/>
      </c>
    </row>
    <row r="17">
      <c r="A17" s="29" t="n"/>
      <c r="B17" s="31" t="n"/>
      <c r="C17" s="29" t="n"/>
      <c r="D17" s="29" t="n"/>
      <c r="E17" s="39" t="n"/>
      <c r="F17" s="39" t="n"/>
      <c r="G17" s="39" t="n"/>
      <c r="H17" s="29" t="n"/>
      <c r="I17" s="29" t="n"/>
      <c r="J17" s="42" t="n"/>
      <c r="K17" s="42" t="n"/>
      <c r="L17" s="29" t="n"/>
      <c r="M17" s="39" t="n"/>
      <c r="N17" s="29" t="n"/>
      <c r="O17" s="29" t="n"/>
      <c r="P17" s="29" t="n"/>
      <c r="Q17" s="29" t="n"/>
      <c r="R17" s="29" t="n"/>
      <c r="S17" s="29" t="n"/>
      <c r="T17" s="32">
        <f>IF($E17="","",IFERROR(INDEX(COA!$B:$B,MATCH($E17,COA!$A:$A,0)),"حساب غير موجود"))</f>
        <v/>
      </c>
      <c r="U17" s="32">
        <f>IF(COUNTA($A17:$S17)&gt;0,1,0)</f>
        <v/>
      </c>
      <c r="V17" s="32">
        <f>IF($A17="",0,IF(COUNTIF($A$5:$A17,$A17)=1,1,0))</f>
        <v/>
      </c>
      <c r="W17" s="43">
        <f>IF($A17="","",SUMIFS($J:$J,$A:$A,$A17))</f>
        <v/>
      </c>
      <c r="X17" s="43">
        <f>IF($A17="","",SUMIFS($K:$K,$A:$A,$A17))</f>
        <v/>
      </c>
      <c r="Y17" s="47">
        <f>IF($A17="","",ROUND($W17-$X17,2))</f>
        <v/>
      </c>
      <c r="Z17" s="32">
        <f>IF(AND($V17=1,ABS(N($Y17))&gt;S_Tol),1,0)</f>
        <v/>
      </c>
      <c r="AA17" s="32">
        <f>IF($U17=0,"",IF($A17="","رقم المستند ناقص",IF(COUNTIF(Doc_Register!$A:$A,$A17)&gt;1,"رقم مستند مكرر في السجل المركزي",IF(LEFT($A17,LEN("MJE")+1)&lt;&gt;"MJE"&amp;"-","بادئة الرقم لا تطابق نوع المستند",IF(NOT(ISNUMBER($B17)),"التاريخ ناقص أو غير صحيح",IF($M17="","حالة المستند ناقصة",IF($N17="","اسم المُعِد ناقص",IF(AND(OR($M17=ST_APPR,$M17=ST_POST),$O17=""),"لا يوجد معتمد",IF(AND($O17&lt;&gt;"",$O17=$N17),"المُعِد والمعتمد نفس الشخص (فصل المهام)",IF(AND($M17=ST_POST,$P17=""),"اسم المحاسب المرحِّل ناقص",IF(AND($M17=ST_POST,$P17&lt;&gt;"",OR($P17=$N17,$P17=$O17)),"المرحِّل يجب أن يختلف عن المُعِد والمعتمد",IF(AND($M17=ST_REV,$R17=""),"مرجع التصحيح/الإلغاء ناقص",IF(AND(ISNUMBER($B17),OR($M17=ST_DRAFT,$M17=ST_APPR),COUNTIFS(Period_Close!$A:$A,YEAR($B17)*100+MONTH($B17),Period_Close!$B:$B,"مقفلة")&gt;0),"الفترة مقفلة: لا يسمح بمستند جديد",IF($E17="","رقم الحساب ناقص",IF(COUNTIFS(COA!$A:$A,$E17,COA!$R:$R,1)&lt;&gt;1,"حساب غير صالح أو رئيسي أو غير نشط",IF(NOT(COUNTIF(Locations!$A:$A,$F17)&gt;0),"الموقع غير معرف",IF(NOT(COUNTIF(Cost_Centers!$A:$A,$G17)&gt;0),"مركز التكلفة غير معرف أو ناقص",IF(OR(N($J17)&lt;0,N($K17)&lt;0),"مبلغ سالب",IF(AND(N($J17)&gt;0,N($K17)&gt;0),"السطر يحتوي مدين ودائن معًا",IF(AND(N($J17)=0,N($K17)=0),"السطر بدون مبلغ",IF(AND(OR($E17=ACC_SUPPLIERS,$E17=ACC_CUSTOMERS,$E17=1501,$E17=1502),$H17=""),"كود الجهة إلزامي لحسابات الموردين/العملاء/السلف/العهد",IF(AND($E17=ACC_SUPPLIERS,$H17&lt;&gt;"",COUNTIF(Suppliers!$A:$A,$H17)=0),"كود المورد غير معرف",IF(AND($E17=ACC_CUSTOMERS,$H17&lt;&gt;"",COUNTIF(Customers!$A:$A,$H17)=0),"كود العميل غير معرف",IF(AND(OR($E17=1501,$E17=1502),$H17&lt;&gt;"",COUNTIF(Employees!$A:$A,$H17)=0),"كود الموظف غير معرف",IF(AND(IFERROR(INDEX(COA!$H:$H,MATCH($E17,COA!$A:$A,0)),0)=1,$L17=""),"تصنيف التدفق ناقص لسطر نقدي",IF($D17="","نوع القيد ناقص",IF(AND($D17="عكس",$R17=""),"قيد العكس يحتاج مرجع القيد المعكوس","")))))))))))))))))))))))))))</f>
        <v/>
      </c>
      <c r="AB17" s="32">
        <f>IF($U17=1,IF($AA17&lt;&gt;"",1,0),0)</f>
        <v/>
      </c>
      <c r="AC17" s="32">
        <f>IF($A17="",0,SUMIFS($AB:$AB,$A:$A,$A17))</f>
        <v/>
      </c>
      <c r="AD17" s="32">
        <f>IF($A17="",0,IF(COUNTIFS($A:$A,$A17,$M:$M,"&lt;&gt;"&amp;$M17)&gt;0,1,0))</f>
        <v/>
      </c>
      <c r="AE17" s="32">
        <f>IF($U17=0,"",IF($AA17&lt;&gt;"",$AA17,IF(ABS(N($Y17))&gt;S_Tol,"القيد غير متوازن (مدين ≠ دائن) - لن يُرحَّل",IF($AD17=1,"حالات أسطر القيد غير متسقة",IF($AC17&gt;0,"يوجد خطأ في سطر آخر من نفس القيد","")))))</f>
        <v/>
      </c>
      <c r="AF17" s="32">
        <f>IF($U17=1,IF($AE17&lt;&gt;"",1,0),0)</f>
        <v/>
      </c>
      <c r="AG17" s="32">
        <f>IF(AND($U17=1,$AF17=0,$M17=ST_POST),1,0)</f>
        <v/>
      </c>
    </row>
    <row r="18">
      <c r="A18" s="29" t="n"/>
      <c r="B18" s="31" t="n"/>
      <c r="C18" s="29" t="n"/>
      <c r="D18" s="29" t="n"/>
      <c r="E18" s="39" t="n"/>
      <c r="F18" s="39" t="n"/>
      <c r="G18" s="39" t="n"/>
      <c r="H18" s="29" t="n"/>
      <c r="I18" s="29" t="n"/>
      <c r="J18" s="42" t="n"/>
      <c r="K18" s="42" t="n"/>
      <c r="L18" s="29" t="n"/>
      <c r="M18" s="39" t="n"/>
      <c r="N18" s="29" t="n"/>
      <c r="O18" s="29" t="n"/>
      <c r="P18" s="29" t="n"/>
      <c r="Q18" s="29" t="n"/>
      <c r="R18" s="29" t="n"/>
      <c r="S18" s="29" t="n"/>
      <c r="T18" s="32">
        <f>IF($E18="","",IFERROR(INDEX(COA!$B:$B,MATCH($E18,COA!$A:$A,0)),"حساب غير موجود"))</f>
        <v/>
      </c>
      <c r="U18" s="32">
        <f>IF(COUNTA($A18:$S18)&gt;0,1,0)</f>
        <v/>
      </c>
      <c r="V18" s="32">
        <f>IF($A18="",0,IF(COUNTIF($A$5:$A18,$A18)=1,1,0))</f>
        <v/>
      </c>
      <c r="W18" s="43">
        <f>IF($A18="","",SUMIFS($J:$J,$A:$A,$A18))</f>
        <v/>
      </c>
      <c r="X18" s="43">
        <f>IF($A18="","",SUMIFS($K:$K,$A:$A,$A18))</f>
        <v/>
      </c>
      <c r="Y18" s="47">
        <f>IF($A18="","",ROUND($W18-$X18,2))</f>
        <v/>
      </c>
      <c r="Z18" s="32">
        <f>IF(AND($V18=1,ABS(N($Y18))&gt;S_Tol),1,0)</f>
        <v/>
      </c>
      <c r="AA18" s="32">
        <f>IF($U18=0,"",IF($A18="","رقم المستند ناقص",IF(COUNTIF(Doc_Register!$A:$A,$A18)&gt;1,"رقم مستند مكرر في السجل المركزي",IF(LEFT($A18,LEN("MJE")+1)&lt;&gt;"MJE"&amp;"-","بادئة الرقم لا تطابق نوع المستند",IF(NOT(ISNUMBER($B18)),"التاريخ ناقص أو غير صحيح",IF($M18="","حالة المستند ناقصة",IF($N18="","اسم المُعِد ناقص",IF(AND(OR($M18=ST_APPR,$M18=ST_POST),$O18=""),"لا يوجد معتمد",IF(AND($O18&lt;&gt;"",$O18=$N18),"المُعِد والمعتمد نفس الشخص (فصل المهام)",IF(AND($M18=ST_POST,$P18=""),"اسم المحاسب المرحِّل ناقص",IF(AND($M18=ST_POST,$P18&lt;&gt;"",OR($P18=$N18,$P18=$O18)),"المرحِّل يجب أن يختلف عن المُعِد والمعتمد",IF(AND($M18=ST_REV,$R18=""),"مرجع التصحيح/الإلغاء ناقص",IF(AND(ISNUMBER($B18),OR($M18=ST_DRAFT,$M18=ST_APPR),COUNTIFS(Period_Close!$A:$A,YEAR($B18)*100+MONTH($B18),Period_Close!$B:$B,"مقفلة")&gt;0),"الفترة مقفلة: لا يسمح بمستند جديد",IF($E18="","رقم الحساب ناقص",IF(COUNTIFS(COA!$A:$A,$E18,COA!$R:$R,1)&lt;&gt;1,"حساب غير صالح أو رئيسي أو غير نشط",IF(NOT(COUNTIF(Locations!$A:$A,$F18)&gt;0),"الموقع غير معرف",IF(NOT(COUNTIF(Cost_Centers!$A:$A,$G18)&gt;0),"مركز التكلفة غير معرف أو ناقص",IF(OR(N($J18)&lt;0,N($K18)&lt;0),"مبلغ سالب",IF(AND(N($J18)&gt;0,N($K18)&gt;0),"السطر يحتوي مدين ودائن معًا",IF(AND(N($J18)=0,N($K18)=0),"السطر بدون مبلغ",IF(AND(OR($E18=ACC_SUPPLIERS,$E18=ACC_CUSTOMERS,$E18=1501,$E18=1502),$H18=""),"كود الجهة إلزامي لحسابات الموردين/العملاء/السلف/العهد",IF(AND($E18=ACC_SUPPLIERS,$H18&lt;&gt;"",COUNTIF(Suppliers!$A:$A,$H18)=0),"كود المورد غير معرف",IF(AND($E18=ACC_CUSTOMERS,$H18&lt;&gt;"",COUNTIF(Customers!$A:$A,$H18)=0),"كود العميل غير معرف",IF(AND(OR($E18=1501,$E18=1502),$H18&lt;&gt;"",COUNTIF(Employees!$A:$A,$H18)=0),"كود الموظف غير معرف",IF(AND(IFERROR(INDEX(COA!$H:$H,MATCH($E18,COA!$A:$A,0)),0)=1,$L18=""),"تصنيف التدفق ناقص لسطر نقدي",IF($D18="","نوع القيد ناقص",IF(AND($D18="عكس",$R18=""),"قيد العكس يحتاج مرجع القيد المعكوس","")))))))))))))))))))))))))))</f>
        <v/>
      </c>
      <c r="AB18" s="32">
        <f>IF($U18=1,IF($AA18&lt;&gt;"",1,0),0)</f>
        <v/>
      </c>
      <c r="AC18" s="32">
        <f>IF($A18="",0,SUMIFS($AB:$AB,$A:$A,$A18))</f>
        <v/>
      </c>
      <c r="AD18" s="32">
        <f>IF($A18="",0,IF(COUNTIFS($A:$A,$A18,$M:$M,"&lt;&gt;"&amp;$M18)&gt;0,1,0))</f>
        <v/>
      </c>
      <c r="AE18" s="32">
        <f>IF($U18=0,"",IF($AA18&lt;&gt;"",$AA18,IF(ABS(N($Y18))&gt;S_Tol,"القيد غير متوازن (مدين ≠ دائن) - لن يُرحَّل",IF($AD18=1,"حالات أسطر القيد غير متسقة",IF($AC18&gt;0,"يوجد خطأ في سطر آخر من نفس القيد","")))))</f>
        <v/>
      </c>
      <c r="AF18" s="32">
        <f>IF($U18=1,IF($AE18&lt;&gt;"",1,0),0)</f>
        <v/>
      </c>
      <c r="AG18" s="32">
        <f>IF(AND($U18=1,$AF18=0,$M18=ST_POST),1,0)</f>
        <v/>
      </c>
    </row>
    <row r="19">
      <c r="A19" s="29" t="n"/>
      <c r="B19" s="31" t="n"/>
      <c r="C19" s="29" t="n"/>
      <c r="D19" s="29" t="n"/>
      <c r="E19" s="39" t="n"/>
      <c r="F19" s="39" t="n"/>
      <c r="G19" s="39" t="n"/>
      <c r="H19" s="29" t="n"/>
      <c r="I19" s="29" t="n"/>
      <c r="J19" s="42" t="n"/>
      <c r="K19" s="42" t="n"/>
      <c r="L19" s="29" t="n"/>
      <c r="M19" s="39" t="n"/>
      <c r="N19" s="29" t="n"/>
      <c r="O19" s="29" t="n"/>
      <c r="P19" s="29" t="n"/>
      <c r="Q19" s="29" t="n"/>
      <c r="R19" s="29" t="n"/>
      <c r="S19" s="29" t="n"/>
      <c r="T19" s="32">
        <f>IF($E19="","",IFERROR(INDEX(COA!$B:$B,MATCH($E19,COA!$A:$A,0)),"حساب غير موجود"))</f>
        <v/>
      </c>
      <c r="U19" s="32">
        <f>IF(COUNTA($A19:$S19)&gt;0,1,0)</f>
        <v/>
      </c>
      <c r="V19" s="32">
        <f>IF($A19="",0,IF(COUNTIF($A$5:$A19,$A19)=1,1,0))</f>
        <v/>
      </c>
      <c r="W19" s="43">
        <f>IF($A19="","",SUMIFS($J:$J,$A:$A,$A19))</f>
        <v/>
      </c>
      <c r="X19" s="43">
        <f>IF($A19="","",SUMIFS($K:$K,$A:$A,$A19))</f>
        <v/>
      </c>
      <c r="Y19" s="47">
        <f>IF($A19="","",ROUND($W19-$X19,2))</f>
        <v/>
      </c>
      <c r="Z19" s="32">
        <f>IF(AND($V19=1,ABS(N($Y19))&gt;S_Tol),1,0)</f>
        <v/>
      </c>
      <c r="AA19" s="32">
        <f>IF($U19=0,"",IF($A19="","رقم المستند ناقص",IF(COUNTIF(Doc_Register!$A:$A,$A19)&gt;1,"رقم مستند مكرر في السجل المركزي",IF(LEFT($A19,LEN("MJE")+1)&lt;&gt;"MJE"&amp;"-","بادئة الرقم لا تطابق نوع المستند",IF(NOT(ISNUMBER($B19)),"التاريخ ناقص أو غير صحيح",IF($M19="","حالة المستند ناقصة",IF($N19="","اسم المُعِد ناقص",IF(AND(OR($M19=ST_APPR,$M19=ST_POST),$O19=""),"لا يوجد معتمد",IF(AND($O19&lt;&gt;"",$O19=$N19),"المُعِد والمعتمد نفس الشخص (فصل المهام)",IF(AND($M19=ST_POST,$P19=""),"اسم المحاسب المرحِّل ناقص",IF(AND($M19=ST_POST,$P19&lt;&gt;"",OR($P19=$N19,$P19=$O19)),"المرحِّل يجب أن يختلف عن المُعِد والمعتمد",IF(AND($M19=ST_REV,$R19=""),"مرجع التصحيح/الإلغاء ناقص",IF(AND(ISNUMBER($B19),OR($M19=ST_DRAFT,$M19=ST_APPR),COUNTIFS(Period_Close!$A:$A,YEAR($B19)*100+MONTH($B19),Period_Close!$B:$B,"مقفلة")&gt;0),"الفترة مقفلة: لا يسمح بمستند جديد",IF($E19="","رقم الحساب ناقص",IF(COUNTIFS(COA!$A:$A,$E19,COA!$R:$R,1)&lt;&gt;1,"حساب غير صالح أو رئيسي أو غير نشط",IF(NOT(COUNTIF(Locations!$A:$A,$F19)&gt;0),"الموقع غير معرف",IF(NOT(COUNTIF(Cost_Centers!$A:$A,$G19)&gt;0),"مركز التكلفة غير معرف أو ناقص",IF(OR(N($J19)&lt;0,N($K19)&lt;0),"مبلغ سالب",IF(AND(N($J19)&gt;0,N($K19)&gt;0),"السطر يحتوي مدين ودائن معًا",IF(AND(N($J19)=0,N($K19)=0),"السطر بدون مبلغ",IF(AND(OR($E19=ACC_SUPPLIERS,$E19=ACC_CUSTOMERS,$E19=1501,$E19=1502),$H19=""),"كود الجهة إلزامي لحسابات الموردين/العملاء/السلف/العهد",IF(AND($E19=ACC_SUPPLIERS,$H19&lt;&gt;"",COUNTIF(Suppliers!$A:$A,$H19)=0),"كود المورد غير معرف",IF(AND($E19=ACC_CUSTOMERS,$H19&lt;&gt;"",COUNTIF(Customers!$A:$A,$H19)=0),"كود العميل غير معرف",IF(AND(OR($E19=1501,$E19=1502),$H19&lt;&gt;"",COUNTIF(Employees!$A:$A,$H19)=0),"كود الموظف غير معرف",IF(AND(IFERROR(INDEX(COA!$H:$H,MATCH($E19,COA!$A:$A,0)),0)=1,$L19=""),"تصنيف التدفق ناقص لسطر نقدي",IF($D19="","نوع القيد ناقص",IF(AND($D19="عكس",$R19=""),"قيد العكس يحتاج مرجع القيد المعكوس","")))))))))))))))))))))))))))</f>
        <v/>
      </c>
      <c r="AB19" s="32">
        <f>IF($U19=1,IF($AA19&lt;&gt;"",1,0),0)</f>
        <v/>
      </c>
      <c r="AC19" s="32">
        <f>IF($A19="",0,SUMIFS($AB:$AB,$A:$A,$A19))</f>
        <v/>
      </c>
      <c r="AD19" s="32">
        <f>IF($A19="",0,IF(COUNTIFS($A:$A,$A19,$M:$M,"&lt;&gt;"&amp;$M19)&gt;0,1,0))</f>
        <v/>
      </c>
      <c r="AE19" s="32">
        <f>IF($U19=0,"",IF($AA19&lt;&gt;"",$AA19,IF(ABS(N($Y19))&gt;S_Tol,"القيد غير متوازن (مدين ≠ دائن) - لن يُرحَّل",IF($AD19=1,"حالات أسطر القيد غير متسقة",IF($AC19&gt;0,"يوجد خطأ في سطر آخر من نفس القيد","")))))</f>
        <v/>
      </c>
      <c r="AF19" s="32">
        <f>IF($U19=1,IF($AE19&lt;&gt;"",1,0),0)</f>
        <v/>
      </c>
      <c r="AG19" s="32">
        <f>IF(AND($U19=1,$AF19=0,$M19=ST_POST),1,0)</f>
        <v/>
      </c>
    </row>
    <row r="20">
      <c r="A20" s="29" t="n"/>
      <c r="B20" s="31" t="n"/>
      <c r="C20" s="29" t="n"/>
      <c r="D20" s="29" t="n"/>
      <c r="E20" s="39" t="n"/>
      <c r="F20" s="39" t="n"/>
      <c r="G20" s="39" t="n"/>
      <c r="H20" s="29" t="n"/>
      <c r="I20" s="29" t="n"/>
      <c r="J20" s="42" t="n"/>
      <c r="K20" s="42" t="n"/>
      <c r="L20" s="29" t="n"/>
      <c r="M20" s="39" t="n"/>
      <c r="N20" s="29" t="n"/>
      <c r="O20" s="29" t="n"/>
      <c r="P20" s="29" t="n"/>
      <c r="Q20" s="29" t="n"/>
      <c r="R20" s="29" t="n"/>
      <c r="S20" s="29" t="n"/>
      <c r="T20" s="32">
        <f>IF($E20="","",IFERROR(INDEX(COA!$B:$B,MATCH($E20,COA!$A:$A,0)),"حساب غير موجود"))</f>
        <v/>
      </c>
      <c r="U20" s="32">
        <f>IF(COUNTA($A20:$S20)&gt;0,1,0)</f>
        <v/>
      </c>
      <c r="V20" s="32">
        <f>IF($A20="",0,IF(COUNTIF($A$5:$A20,$A20)=1,1,0))</f>
        <v/>
      </c>
      <c r="W20" s="43">
        <f>IF($A20="","",SUMIFS($J:$J,$A:$A,$A20))</f>
        <v/>
      </c>
      <c r="X20" s="43">
        <f>IF($A20="","",SUMIFS($K:$K,$A:$A,$A20))</f>
        <v/>
      </c>
      <c r="Y20" s="47">
        <f>IF($A20="","",ROUND($W20-$X20,2))</f>
        <v/>
      </c>
      <c r="Z20" s="32">
        <f>IF(AND($V20=1,ABS(N($Y20))&gt;S_Tol),1,0)</f>
        <v/>
      </c>
      <c r="AA20" s="32">
        <f>IF($U20=0,"",IF($A20="","رقم المستند ناقص",IF(COUNTIF(Doc_Register!$A:$A,$A20)&gt;1,"رقم مستند مكرر في السجل المركزي",IF(LEFT($A20,LEN("MJE")+1)&lt;&gt;"MJE"&amp;"-","بادئة الرقم لا تطابق نوع المستند",IF(NOT(ISNUMBER($B20)),"التاريخ ناقص أو غير صحيح",IF($M20="","حالة المستند ناقصة",IF($N20="","اسم المُعِد ناقص",IF(AND(OR($M20=ST_APPR,$M20=ST_POST),$O20=""),"لا يوجد معتمد",IF(AND($O20&lt;&gt;"",$O20=$N20),"المُعِد والمعتمد نفس الشخص (فصل المهام)",IF(AND($M20=ST_POST,$P20=""),"اسم المحاسب المرحِّل ناقص",IF(AND($M20=ST_POST,$P20&lt;&gt;"",OR($P20=$N20,$P20=$O20)),"المرحِّل يجب أن يختلف عن المُعِد والمعتمد",IF(AND($M20=ST_REV,$R20=""),"مرجع التصحيح/الإلغاء ناقص",IF(AND(ISNUMBER($B20),OR($M20=ST_DRAFT,$M20=ST_APPR),COUNTIFS(Period_Close!$A:$A,YEAR($B20)*100+MONTH($B20),Period_Close!$B:$B,"مقفلة")&gt;0),"الفترة مقفلة: لا يسمح بمستند جديد",IF($E20="","رقم الحساب ناقص",IF(COUNTIFS(COA!$A:$A,$E20,COA!$R:$R,1)&lt;&gt;1,"حساب غير صالح أو رئيسي أو غير نشط",IF(NOT(COUNTIF(Locations!$A:$A,$F20)&gt;0),"الموقع غير معرف",IF(NOT(COUNTIF(Cost_Centers!$A:$A,$G20)&gt;0),"مركز التكلفة غير معرف أو ناقص",IF(OR(N($J20)&lt;0,N($K20)&lt;0),"مبلغ سالب",IF(AND(N($J20)&gt;0,N($K20)&gt;0),"السطر يحتوي مدين ودائن معًا",IF(AND(N($J20)=0,N($K20)=0),"السطر بدون مبلغ",IF(AND(OR($E20=ACC_SUPPLIERS,$E20=ACC_CUSTOMERS,$E20=1501,$E20=1502),$H20=""),"كود الجهة إلزامي لحسابات الموردين/العملاء/السلف/العهد",IF(AND($E20=ACC_SUPPLIERS,$H20&lt;&gt;"",COUNTIF(Suppliers!$A:$A,$H20)=0),"كود المورد غير معرف",IF(AND($E20=ACC_CUSTOMERS,$H20&lt;&gt;"",COUNTIF(Customers!$A:$A,$H20)=0),"كود العميل غير معرف",IF(AND(OR($E20=1501,$E20=1502),$H20&lt;&gt;"",COUNTIF(Employees!$A:$A,$H20)=0),"كود الموظف غير معرف",IF(AND(IFERROR(INDEX(COA!$H:$H,MATCH($E20,COA!$A:$A,0)),0)=1,$L20=""),"تصنيف التدفق ناقص لسطر نقدي",IF($D20="","نوع القيد ناقص",IF(AND($D20="عكس",$R20=""),"قيد العكس يحتاج مرجع القيد المعكوس","")))))))))))))))))))))))))))</f>
        <v/>
      </c>
      <c r="AB20" s="32">
        <f>IF($U20=1,IF($AA20&lt;&gt;"",1,0),0)</f>
        <v/>
      </c>
      <c r="AC20" s="32">
        <f>IF($A20="",0,SUMIFS($AB:$AB,$A:$A,$A20))</f>
        <v/>
      </c>
      <c r="AD20" s="32">
        <f>IF($A20="",0,IF(COUNTIFS($A:$A,$A20,$M:$M,"&lt;&gt;"&amp;$M20)&gt;0,1,0))</f>
        <v/>
      </c>
      <c r="AE20" s="32">
        <f>IF($U20=0,"",IF($AA20&lt;&gt;"",$AA20,IF(ABS(N($Y20))&gt;S_Tol,"القيد غير متوازن (مدين ≠ دائن) - لن يُرحَّل",IF($AD20=1,"حالات أسطر القيد غير متسقة",IF($AC20&gt;0,"يوجد خطأ في سطر آخر من نفس القيد","")))))</f>
        <v/>
      </c>
      <c r="AF20" s="32">
        <f>IF($U20=1,IF($AE20&lt;&gt;"",1,0),0)</f>
        <v/>
      </c>
      <c r="AG20" s="32">
        <f>IF(AND($U20=1,$AF20=0,$M20=ST_POST),1,0)</f>
        <v/>
      </c>
    </row>
    <row r="21">
      <c r="A21" s="29" t="n"/>
      <c r="B21" s="31" t="n"/>
      <c r="C21" s="29" t="n"/>
      <c r="D21" s="29" t="n"/>
      <c r="E21" s="39" t="n"/>
      <c r="F21" s="39" t="n"/>
      <c r="G21" s="39" t="n"/>
      <c r="H21" s="29" t="n"/>
      <c r="I21" s="29" t="n"/>
      <c r="J21" s="42" t="n"/>
      <c r="K21" s="42" t="n"/>
      <c r="L21" s="29" t="n"/>
      <c r="M21" s="39" t="n"/>
      <c r="N21" s="29" t="n"/>
      <c r="O21" s="29" t="n"/>
      <c r="P21" s="29" t="n"/>
      <c r="Q21" s="29" t="n"/>
      <c r="R21" s="29" t="n"/>
      <c r="S21" s="29" t="n"/>
      <c r="T21" s="32">
        <f>IF($E21="","",IFERROR(INDEX(COA!$B:$B,MATCH($E21,COA!$A:$A,0)),"حساب غير موجود"))</f>
        <v/>
      </c>
      <c r="U21" s="32">
        <f>IF(COUNTA($A21:$S21)&gt;0,1,0)</f>
        <v/>
      </c>
      <c r="V21" s="32">
        <f>IF($A21="",0,IF(COUNTIF($A$5:$A21,$A21)=1,1,0))</f>
        <v/>
      </c>
      <c r="W21" s="43">
        <f>IF($A21="","",SUMIFS($J:$J,$A:$A,$A21))</f>
        <v/>
      </c>
      <c r="X21" s="43">
        <f>IF($A21="","",SUMIFS($K:$K,$A:$A,$A21))</f>
        <v/>
      </c>
      <c r="Y21" s="47">
        <f>IF($A21="","",ROUND($W21-$X21,2))</f>
        <v/>
      </c>
      <c r="Z21" s="32">
        <f>IF(AND($V21=1,ABS(N($Y21))&gt;S_Tol),1,0)</f>
        <v/>
      </c>
      <c r="AA21" s="32">
        <f>IF($U21=0,"",IF($A21="","رقم المستند ناقص",IF(COUNTIF(Doc_Register!$A:$A,$A21)&gt;1,"رقم مستند مكرر في السجل المركزي",IF(LEFT($A21,LEN("MJE")+1)&lt;&gt;"MJE"&amp;"-","بادئة الرقم لا تطابق نوع المستند",IF(NOT(ISNUMBER($B21)),"التاريخ ناقص أو غير صحيح",IF($M21="","حالة المستند ناقصة",IF($N21="","اسم المُعِد ناقص",IF(AND(OR($M21=ST_APPR,$M21=ST_POST),$O21=""),"لا يوجد معتمد",IF(AND($O21&lt;&gt;"",$O21=$N21),"المُعِد والمعتمد نفس الشخص (فصل المهام)",IF(AND($M21=ST_POST,$P21=""),"اسم المحاسب المرحِّل ناقص",IF(AND($M21=ST_POST,$P21&lt;&gt;"",OR($P21=$N21,$P21=$O21)),"المرحِّل يجب أن يختلف عن المُعِد والمعتمد",IF(AND($M21=ST_REV,$R21=""),"مرجع التصحيح/الإلغاء ناقص",IF(AND(ISNUMBER($B21),OR($M21=ST_DRAFT,$M21=ST_APPR),COUNTIFS(Period_Close!$A:$A,YEAR($B21)*100+MONTH($B21),Period_Close!$B:$B,"مقفلة")&gt;0),"الفترة مقفلة: لا يسمح بمستند جديد",IF($E21="","رقم الحساب ناقص",IF(COUNTIFS(COA!$A:$A,$E21,COA!$R:$R,1)&lt;&gt;1,"حساب غير صالح أو رئيسي أو غير نشط",IF(NOT(COUNTIF(Locations!$A:$A,$F21)&gt;0),"الموقع غير معرف",IF(NOT(COUNTIF(Cost_Centers!$A:$A,$G21)&gt;0),"مركز التكلفة غير معرف أو ناقص",IF(OR(N($J21)&lt;0,N($K21)&lt;0),"مبلغ سالب",IF(AND(N($J21)&gt;0,N($K21)&gt;0),"السطر يحتوي مدين ودائن معًا",IF(AND(N($J21)=0,N($K21)=0),"السطر بدون مبلغ",IF(AND(OR($E21=ACC_SUPPLIERS,$E21=ACC_CUSTOMERS,$E21=1501,$E21=1502),$H21=""),"كود الجهة إلزامي لحسابات الموردين/العملاء/السلف/العهد",IF(AND($E21=ACC_SUPPLIERS,$H21&lt;&gt;"",COUNTIF(Suppliers!$A:$A,$H21)=0),"كود المورد غير معرف",IF(AND($E21=ACC_CUSTOMERS,$H21&lt;&gt;"",COUNTIF(Customers!$A:$A,$H21)=0),"كود العميل غير معرف",IF(AND(OR($E21=1501,$E21=1502),$H21&lt;&gt;"",COUNTIF(Employees!$A:$A,$H21)=0),"كود الموظف غير معرف",IF(AND(IFERROR(INDEX(COA!$H:$H,MATCH($E21,COA!$A:$A,0)),0)=1,$L21=""),"تصنيف التدفق ناقص لسطر نقدي",IF($D21="","نوع القيد ناقص",IF(AND($D21="عكس",$R21=""),"قيد العكس يحتاج مرجع القيد المعكوس","")))))))))))))))))))))))))))</f>
        <v/>
      </c>
      <c r="AB21" s="32">
        <f>IF($U21=1,IF($AA21&lt;&gt;"",1,0),0)</f>
        <v/>
      </c>
      <c r="AC21" s="32">
        <f>IF($A21="",0,SUMIFS($AB:$AB,$A:$A,$A21))</f>
        <v/>
      </c>
      <c r="AD21" s="32">
        <f>IF($A21="",0,IF(COUNTIFS($A:$A,$A21,$M:$M,"&lt;&gt;"&amp;$M21)&gt;0,1,0))</f>
        <v/>
      </c>
      <c r="AE21" s="32">
        <f>IF($U21=0,"",IF($AA21&lt;&gt;"",$AA21,IF(ABS(N($Y21))&gt;S_Tol,"القيد غير متوازن (مدين ≠ دائن) - لن يُرحَّل",IF($AD21=1,"حالات أسطر القيد غير متسقة",IF($AC21&gt;0,"يوجد خطأ في سطر آخر من نفس القيد","")))))</f>
        <v/>
      </c>
      <c r="AF21" s="32">
        <f>IF($U21=1,IF($AE21&lt;&gt;"",1,0),0)</f>
        <v/>
      </c>
      <c r="AG21" s="32">
        <f>IF(AND($U21=1,$AF21=0,$M21=ST_POST),1,0)</f>
        <v/>
      </c>
    </row>
    <row r="22">
      <c r="A22" s="29" t="n"/>
      <c r="B22" s="31" t="n"/>
      <c r="C22" s="29" t="n"/>
      <c r="D22" s="29" t="n"/>
      <c r="E22" s="39" t="n"/>
      <c r="F22" s="39" t="n"/>
      <c r="G22" s="39" t="n"/>
      <c r="H22" s="29" t="n"/>
      <c r="I22" s="29" t="n"/>
      <c r="J22" s="42" t="n"/>
      <c r="K22" s="42" t="n"/>
      <c r="L22" s="29" t="n"/>
      <c r="M22" s="39" t="n"/>
      <c r="N22" s="29" t="n"/>
      <c r="O22" s="29" t="n"/>
      <c r="P22" s="29" t="n"/>
      <c r="Q22" s="29" t="n"/>
      <c r="R22" s="29" t="n"/>
      <c r="S22" s="29" t="n"/>
      <c r="T22" s="32">
        <f>IF($E22="","",IFERROR(INDEX(COA!$B:$B,MATCH($E22,COA!$A:$A,0)),"حساب غير موجود"))</f>
        <v/>
      </c>
      <c r="U22" s="32">
        <f>IF(COUNTA($A22:$S22)&gt;0,1,0)</f>
        <v/>
      </c>
      <c r="V22" s="32">
        <f>IF($A22="",0,IF(COUNTIF($A$5:$A22,$A22)=1,1,0))</f>
        <v/>
      </c>
      <c r="W22" s="43">
        <f>IF($A22="","",SUMIFS($J:$J,$A:$A,$A22))</f>
        <v/>
      </c>
      <c r="X22" s="43">
        <f>IF($A22="","",SUMIFS($K:$K,$A:$A,$A22))</f>
        <v/>
      </c>
      <c r="Y22" s="47">
        <f>IF($A22="","",ROUND($W22-$X22,2))</f>
        <v/>
      </c>
      <c r="Z22" s="32">
        <f>IF(AND($V22=1,ABS(N($Y22))&gt;S_Tol),1,0)</f>
        <v/>
      </c>
      <c r="AA22" s="32">
        <f>IF($U22=0,"",IF($A22="","رقم المستند ناقص",IF(COUNTIF(Doc_Register!$A:$A,$A22)&gt;1,"رقم مستند مكرر في السجل المركزي",IF(LEFT($A22,LEN("MJE")+1)&lt;&gt;"MJE"&amp;"-","بادئة الرقم لا تطابق نوع المستند",IF(NOT(ISNUMBER($B22)),"التاريخ ناقص أو غير صحيح",IF($M22="","حالة المستند ناقصة",IF($N22="","اسم المُعِد ناقص",IF(AND(OR($M22=ST_APPR,$M22=ST_POST),$O22=""),"لا يوجد معتمد",IF(AND($O22&lt;&gt;"",$O22=$N22),"المُعِد والمعتمد نفس الشخص (فصل المهام)",IF(AND($M22=ST_POST,$P22=""),"اسم المحاسب المرحِّل ناقص",IF(AND($M22=ST_POST,$P22&lt;&gt;"",OR($P22=$N22,$P22=$O22)),"المرحِّل يجب أن يختلف عن المُعِد والمعتمد",IF(AND($M22=ST_REV,$R22=""),"مرجع التصحيح/الإلغاء ناقص",IF(AND(ISNUMBER($B22),OR($M22=ST_DRAFT,$M22=ST_APPR),COUNTIFS(Period_Close!$A:$A,YEAR($B22)*100+MONTH($B22),Period_Close!$B:$B,"مقفلة")&gt;0),"الفترة مقفلة: لا يسمح بمستند جديد",IF($E22="","رقم الحساب ناقص",IF(COUNTIFS(COA!$A:$A,$E22,COA!$R:$R,1)&lt;&gt;1,"حساب غير صالح أو رئيسي أو غير نشط",IF(NOT(COUNTIF(Locations!$A:$A,$F22)&gt;0),"الموقع غير معرف",IF(NOT(COUNTIF(Cost_Centers!$A:$A,$G22)&gt;0),"مركز التكلفة غير معرف أو ناقص",IF(OR(N($J22)&lt;0,N($K22)&lt;0),"مبلغ سالب",IF(AND(N($J22)&gt;0,N($K22)&gt;0),"السطر يحتوي مدين ودائن معًا",IF(AND(N($J22)=0,N($K22)=0),"السطر بدون مبلغ",IF(AND(OR($E22=ACC_SUPPLIERS,$E22=ACC_CUSTOMERS,$E22=1501,$E22=1502),$H22=""),"كود الجهة إلزامي لحسابات الموردين/العملاء/السلف/العهد",IF(AND($E22=ACC_SUPPLIERS,$H22&lt;&gt;"",COUNTIF(Suppliers!$A:$A,$H22)=0),"كود المورد غير معرف",IF(AND($E22=ACC_CUSTOMERS,$H22&lt;&gt;"",COUNTIF(Customers!$A:$A,$H22)=0),"كود العميل غير معرف",IF(AND(OR($E22=1501,$E22=1502),$H22&lt;&gt;"",COUNTIF(Employees!$A:$A,$H22)=0),"كود الموظف غير معرف",IF(AND(IFERROR(INDEX(COA!$H:$H,MATCH($E22,COA!$A:$A,0)),0)=1,$L22=""),"تصنيف التدفق ناقص لسطر نقدي",IF($D22="","نوع القيد ناقص",IF(AND($D22="عكس",$R22=""),"قيد العكس يحتاج مرجع القيد المعكوس","")))))))))))))))))))))))))))</f>
        <v/>
      </c>
      <c r="AB22" s="32">
        <f>IF($U22=1,IF($AA22&lt;&gt;"",1,0),0)</f>
        <v/>
      </c>
      <c r="AC22" s="32">
        <f>IF($A22="",0,SUMIFS($AB:$AB,$A:$A,$A22))</f>
        <v/>
      </c>
      <c r="AD22" s="32">
        <f>IF($A22="",0,IF(COUNTIFS($A:$A,$A22,$M:$M,"&lt;&gt;"&amp;$M22)&gt;0,1,0))</f>
        <v/>
      </c>
      <c r="AE22" s="32">
        <f>IF($U22=0,"",IF($AA22&lt;&gt;"",$AA22,IF(ABS(N($Y22))&gt;S_Tol,"القيد غير متوازن (مدين ≠ دائن) - لن يُرحَّل",IF($AD22=1,"حالات أسطر القيد غير متسقة",IF($AC22&gt;0,"يوجد خطأ في سطر آخر من نفس القيد","")))))</f>
        <v/>
      </c>
      <c r="AF22" s="32">
        <f>IF($U22=1,IF($AE22&lt;&gt;"",1,0),0)</f>
        <v/>
      </c>
      <c r="AG22" s="32">
        <f>IF(AND($U22=1,$AF22=0,$M22=ST_POST),1,0)</f>
        <v/>
      </c>
    </row>
    <row r="23">
      <c r="A23" s="29" t="n"/>
      <c r="B23" s="31" t="n"/>
      <c r="C23" s="29" t="n"/>
      <c r="D23" s="29" t="n"/>
      <c r="E23" s="39" t="n"/>
      <c r="F23" s="39" t="n"/>
      <c r="G23" s="39" t="n"/>
      <c r="H23" s="29" t="n"/>
      <c r="I23" s="29" t="n"/>
      <c r="J23" s="42" t="n"/>
      <c r="K23" s="42" t="n"/>
      <c r="L23" s="29" t="n"/>
      <c r="M23" s="39" t="n"/>
      <c r="N23" s="29" t="n"/>
      <c r="O23" s="29" t="n"/>
      <c r="P23" s="29" t="n"/>
      <c r="Q23" s="29" t="n"/>
      <c r="R23" s="29" t="n"/>
      <c r="S23" s="29" t="n"/>
      <c r="T23" s="32">
        <f>IF($E23="","",IFERROR(INDEX(COA!$B:$B,MATCH($E23,COA!$A:$A,0)),"حساب غير موجود"))</f>
        <v/>
      </c>
      <c r="U23" s="32">
        <f>IF(COUNTA($A23:$S23)&gt;0,1,0)</f>
        <v/>
      </c>
      <c r="V23" s="32">
        <f>IF($A23="",0,IF(COUNTIF($A$5:$A23,$A23)=1,1,0))</f>
        <v/>
      </c>
      <c r="W23" s="43">
        <f>IF($A23="","",SUMIFS($J:$J,$A:$A,$A23))</f>
        <v/>
      </c>
      <c r="X23" s="43">
        <f>IF($A23="","",SUMIFS($K:$K,$A:$A,$A23))</f>
        <v/>
      </c>
      <c r="Y23" s="47">
        <f>IF($A23="","",ROUND($W23-$X23,2))</f>
        <v/>
      </c>
      <c r="Z23" s="32">
        <f>IF(AND($V23=1,ABS(N($Y23))&gt;S_Tol),1,0)</f>
        <v/>
      </c>
      <c r="AA23" s="32">
        <f>IF($U23=0,"",IF($A23="","رقم المستند ناقص",IF(COUNTIF(Doc_Register!$A:$A,$A23)&gt;1,"رقم مستند مكرر في السجل المركزي",IF(LEFT($A23,LEN("MJE")+1)&lt;&gt;"MJE"&amp;"-","بادئة الرقم لا تطابق نوع المستند",IF(NOT(ISNUMBER($B23)),"التاريخ ناقص أو غير صحيح",IF($M23="","حالة المستند ناقصة",IF($N23="","اسم المُعِد ناقص",IF(AND(OR($M23=ST_APPR,$M23=ST_POST),$O23=""),"لا يوجد معتمد",IF(AND($O23&lt;&gt;"",$O23=$N23),"المُعِد والمعتمد نفس الشخص (فصل المهام)",IF(AND($M23=ST_POST,$P23=""),"اسم المحاسب المرحِّل ناقص",IF(AND($M23=ST_POST,$P23&lt;&gt;"",OR($P23=$N23,$P23=$O23)),"المرحِّل يجب أن يختلف عن المُعِد والمعتمد",IF(AND($M23=ST_REV,$R23=""),"مرجع التصحيح/الإلغاء ناقص",IF(AND(ISNUMBER($B23),OR($M23=ST_DRAFT,$M23=ST_APPR),COUNTIFS(Period_Close!$A:$A,YEAR($B23)*100+MONTH($B23),Period_Close!$B:$B,"مقفلة")&gt;0),"الفترة مقفلة: لا يسمح بمستند جديد",IF($E23="","رقم الحساب ناقص",IF(COUNTIFS(COA!$A:$A,$E23,COA!$R:$R,1)&lt;&gt;1,"حساب غير صالح أو رئيسي أو غير نشط",IF(NOT(COUNTIF(Locations!$A:$A,$F23)&gt;0),"الموقع غير معرف",IF(NOT(COUNTIF(Cost_Centers!$A:$A,$G23)&gt;0),"مركز التكلفة غير معرف أو ناقص",IF(OR(N($J23)&lt;0,N($K23)&lt;0),"مبلغ سالب",IF(AND(N($J23)&gt;0,N($K23)&gt;0),"السطر يحتوي مدين ودائن معًا",IF(AND(N($J23)=0,N($K23)=0),"السطر بدون مبلغ",IF(AND(OR($E23=ACC_SUPPLIERS,$E23=ACC_CUSTOMERS,$E23=1501,$E23=1502),$H23=""),"كود الجهة إلزامي لحسابات الموردين/العملاء/السلف/العهد",IF(AND($E23=ACC_SUPPLIERS,$H23&lt;&gt;"",COUNTIF(Suppliers!$A:$A,$H23)=0),"كود المورد غير معرف",IF(AND($E23=ACC_CUSTOMERS,$H23&lt;&gt;"",COUNTIF(Customers!$A:$A,$H23)=0),"كود العميل غير معرف",IF(AND(OR($E23=1501,$E23=1502),$H23&lt;&gt;"",COUNTIF(Employees!$A:$A,$H23)=0),"كود الموظف غير معرف",IF(AND(IFERROR(INDEX(COA!$H:$H,MATCH($E23,COA!$A:$A,0)),0)=1,$L23=""),"تصنيف التدفق ناقص لسطر نقدي",IF($D23="","نوع القيد ناقص",IF(AND($D23="عكس",$R23=""),"قيد العكس يحتاج مرجع القيد المعكوس","")))))))))))))))))))))))))))</f>
        <v/>
      </c>
      <c r="AB23" s="32">
        <f>IF($U23=1,IF($AA23&lt;&gt;"",1,0),0)</f>
        <v/>
      </c>
      <c r="AC23" s="32">
        <f>IF($A23="",0,SUMIFS($AB:$AB,$A:$A,$A23))</f>
        <v/>
      </c>
      <c r="AD23" s="32">
        <f>IF($A23="",0,IF(COUNTIFS($A:$A,$A23,$M:$M,"&lt;&gt;"&amp;$M23)&gt;0,1,0))</f>
        <v/>
      </c>
      <c r="AE23" s="32">
        <f>IF($U23=0,"",IF($AA23&lt;&gt;"",$AA23,IF(ABS(N($Y23))&gt;S_Tol,"القيد غير متوازن (مدين ≠ دائن) - لن يُرحَّل",IF($AD23=1,"حالات أسطر القيد غير متسقة",IF($AC23&gt;0,"يوجد خطأ في سطر آخر من نفس القيد","")))))</f>
        <v/>
      </c>
      <c r="AF23" s="32">
        <f>IF($U23=1,IF($AE23&lt;&gt;"",1,0),0)</f>
        <v/>
      </c>
      <c r="AG23" s="32">
        <f>IF(AND($U23=1,$AF23=0,$M23=ST_POST),1,0)</f>
        <v/>
      </c>
    </row>
    <row r="24">
      <c r="A24" s="29" t="n"/>
      <c r="B24" s="31" t="n"/>
      <c r="C24" s="29" t="n"/>
      <c r="D24" s="29" t="n"/>
      <c r="E24" s="39" t="n"/>
      <c r="F24" s="39" t="n"/>
      <c r="G24" s="39" t="n"/>
      <c r="H24" s="29" t="n"/>
      <c r="I24" s="29" t="n"/>
      <c r="J24" s="42" t="n"/>
      <c r="K24" s="42" t="n"/>
      <c r="L24" s="29" t="n"/>
      <c r="M24" s="39" t="n"/>
      <c r="N24" s="29" t="n"/>
      <c r="O24" s="29" t="n"/>
      <c r="P24" s="29" t="n"/>
      <c r="Q24" s="29" t="n"/>
      <c r="R24" s="29" t="n"/>
      <c r="S24" s="29" t="n"/>
      <c r="T24" s="32">
        <f>IF($E24="","",IFERROR(INDEX(COA!$B:$B,MATCH($E24,COA!$A:$A,0)),"حساب غير موجود"))</f>
        <v/>
      </c>
      <c r="U24" s="32">
        <f>IF(COUNTA($A24:$S24)&gt;0,1,0)</f>
        <v/>
      </c>
      <c r="V24" s="32">
        <f>IF($A24="",0,IF(COUNTIF($A$5:$A24,$A24)=1,1,0))</f>
        <v/>
      </c>
      <c r="W24" s="43">
        <f>IF($A24="","",SUMIFS($J:$J,$A:$A,$A24))</f>
        <v/>
      </c>
      <c r="X24" s="43">
        <f>IF($A24="","",SUMIFS($K:$K,$A:$A,$A24))</f>
        <v/>
      </c>
      <c r="Y24" s="47">
        <f>IF($A24="","",ROUND($W24-$X24,2))</f>
        <v/>
      </c>
      <c r="Z24" s="32">
        <f>IF(AND($V24=1,ABS(N($Y24))&gt;S_Tol),1,0)</f>
        <v/>
      </c>
      <c r="AA24" s="32">
        <f>IF($U24=0,"",IF($A24="","رقم المستند ناقص",IF(COUNTIF(Doc_Register!$A:$A,$A24)&gt;1,"رقم مستند مكرر في السجل المركزي",IF(LEFT($A24,LEN("MJE")+1)&lt;&gt;"MJE"&amp;"-","بادئة الرقم لا تطابق نوع المستند",IF(NOT(ISNUMBER($B24)),"التاريخ ناقص أو غير صحيح",IF($M24="","حالة المستند ناقصة",IF($N24="","اسم المُعِد ناقص",IF(AND(OR($M24=ST_APPR,$M24=ST_POST),$O24=""),"لا يوجد معتمد",IF(AND($O24&lt;&gt;"",$O24=$N24),"المُعِد والمعتمد نفس الشخص (فصل المهام)",IF(AND($M24=ST_POST,$P24=""),"اسم المحاسب المرحِّل ناقص",IF(AND($M24=ST_POST,$P24&lt;&gt;"",OR($P24=$N24,$P24=$O24)),"المرحِّل يجب أن يختلف عن المُعِد والمعتمد",IF(AND($M24=ST_REV,$R24=""),"مرجع التصحيح/الإلغاء ناقص",IF(AND(ISNUMBER($B24),OR($M24=ST_DRAFT,$M24=ST_APPR),COUNTIFS(Period_Close!$A:$A,YEAR($B24)*100+MONTH($B24),Period_Close!$B:$B,"مقفلة")&gt;0),"الفترة مقفلة: لا يسمح بمستند جديد",IF($E24="","رقم الحساب ناقص",IF(COUNTIFS(COA!$A:$A,$E24,COA!$R:$R,1)&lt;&gt;1,"حساب غير صالح أو رئيسي أو غير نشط",IF(NOT(COUNTIF(Locations!$A:$A,$F24)&gt;0),"الموقع غير معرف",IF(NOT(COUNTIF(Cost_Centers!$A:$A,$G24)&gt;0),"مركز التكلفة غير معرف أو ناقص",IF(OR(N($J24)&lt;0,N($K24)&lt;0),"مبلغ سالب",IF(AND(N($J24)&gt;0,N($K24)&gt;0),"السطر يحتوي مدين ودائن معًا",IF(AND(N($J24)=0,N($K24)=0),"السطر بدون مبلغ",IF(AND(OR($E24=ACC_SUPPLIERS,$E24=ACC_CUSTOMERS,$E24=1501,$E24=1502),$H24=""),"كود الجهة إلزامي لحسابات الموردين/العملاء/السلف/العهد",IF(AND($E24=ACC_SUPPLIERS,$H24&lt;&gt;"",COUNTIF(Suppliers!$A:$A,$H24)=0),"كود المورد غير معرف",IF(AND($E24=ACC_CUSTOMERS,$H24&lt;&gt;"",COUNTIF(Customers!$A:$A,$H24)=0),"كود العميل غير معرف",IF(AND(OR($E24=1501,$E24=1502),$H24&lt;&gt;"",COUNTIF(Employees!$A:$A,$H24)=0),"كود الموظف غير معرف",IF(AND(IFERROR(INDEX(COA!$H:$H,MATCH($E24,COA!$A:$A,0)),0)=1,$L24=""),"تصنيف التدفق ناقص لسطر نقدي",IF($D24="","نوع القيد ناقص",IF(AND($D24="عكس",$R24=""),"قيد العكس يحتاج مرجع القيد المعكوس","")))))))))))))))))))))))))))</f>
        <v/>
      </c>
      <c r="AB24" s="32">
        <f>IF($U24=1,IF($AA24&lt;&gt;"",1,0),0)</f>
        <v/>
      </c>
      <c r="AC24" s="32">
        <f>IF($A24="",0,SUMIFS($AB:$AB,$A:$A,$A24))</f>
        <v/>
      </c>
      <c r="AD24" s="32">
        <f>IF($A24="",0,IF(COUNTIFS($A:$A,$A24,$M:$M,"&lt;&gt;"&amp;$M24)&gt;0,1,0))</f>
        <v/>
      </c>
      <c r="AE24" s="32">
        <f>IF($U24=0,"",IF($AA24&lt;&gt;"",$AA24,IF(ABS(N($Y24))&gt;S_Tol,"القيد غير متوازن (مدين ≠ دائن) - لن يُرحَّل",IF($AD24=1,"حالات أسطر القيد غير متسقة",IF($AC24&gt;0,"يوجد خطأ في سطر آخر من نفس القيد","")))))</f>
        <v/>
      </c>
      <c r="AF24" s="32">
        <f>IF($U24=1,IF($AE24&lt;&gt;"",1,0),0)</f>
        <v/>
      </c>
      <c r="AG24" s="32">
        <f>IF(AND($U24=1,$AF24=0,$M24=ST_POST),1,0)</f>
        <v/>
      </c>
    </row>
    <row r="25">
      <c r="A25" s="29" t="n"/>
      <c r="B25" s="31" t="n"/>
      <c r="C25" s="29" t="n"/>
      <c r="D25" s="29" t="n"/>
      <c r="E25" s="39" t="n"/>
      <c r="F25" s="39" t="n"/>
      <c r="G25" s="39" t="n"/>
      <c r="H25" s="29" t="n"/>
      <c r="I25" s="29" t="n"/>
      <c r="J25" s="42" t="n"/>
      <c r="K25" s="42" t="n"/>
      <c r="L25" s="29" t="n"/>
      <c r="M25" s="39" t="n"/>
      <c r="N25" s="29" t="n"/>
      <c r="O25" s="29" t="n"/>
      <c r="P25" s="29" t="n"/>
      <c r="Q25" s="29" t="n"/>
      <c r="R25" s="29" t="n"/>
      <c r="S25" s="29" t="n"/>
      <c r="T25" s="32">
        <f>IF($E25="","",IFERROR(INDEX(COA!$B:$B,MATCH($E25,COA!$A:$A,0)),"حساب غير موجود"))</f>
        <v/>
      </c>
      <c r="U25" s="32">
        <f>IF(COUNTA($A25:$S25)&gt;0,1,0)</f>
        <v/>
      </c>
      <c r="V25" s="32">
        <f>IF($A25="",0,IF(COUNTIF($A$5:$A25,$A25)=1,1,0))</f>
        <v/>
      </c>
      <c r="W25" s="43">
        <f>IF($A25="","",SUMIFS($J:$J,$A:$A,$A25))</f>
        <v/>
      </c>
      <c r="X25" s="43">
        <f>IF($A25="","",SUMIFS($K:$K,$A:$A,$A25))</f>
        <v/>
      </c>
      <c r="Y25" s="47">
        <f>IF($A25="","",ROUND($W25-$X25,2))</f>
        <v/>
      </c>
      <c r="Z25" s="32">
        <f>IF(AND($V25=1,ABS(N($Y25))&gt;S_Tol),1,0)</f>
        <v/>
      </c>
      <c r="AA25" s="32">
        <f>IF($U25=0,"",IF($A25="","رقم المستند ناقص",IF(COUNTIF(Doc_Register!$A:$A,$A25)&gt;1,"رقم مستند مكرر في السجل المركزي",IF(LEFT($A25,LEN("MJE")+1)&lt;&gt;"MJE"&amp;"-","بادئة الرقم لا تطابق نوع المستند",IF(NOT(ISNUMBER($B25)),"التاريخ ناقص أو غير صحيح",IF($M25="","حالة المستند ناقصة",IF($N25="","اسم المُعِد ناقص",IF(AND(OR($M25=ST_APPR,$M25=ST_POST),$O25=""),"لا يوجد معتمد",IF(AND($O25&lt;&gt;"",$O25=$N25),"المُعِد والمعتمد نفس الشخص (فصل المهام)",IF(AND($M25=ST_POST,$P25=""),"اسم المحاسب المرحِّل ناقص",IF(AND($M25=ST_POST,$P25&lt;&gt;"",OR($P25=$N25,$P25=$O25)),"المرحِّل يجب أن يختلف عن المُعِد والمعتمد",IF(AND($M25=ST_REV,$R25=""),"مرجع التصحيح/الإلغاء ناقص",IF(AND(ISNUMBER($B25),OR($M25=ST_DRAFT,$M25=ST_APPR),COUNTIFS(Period_Close!$A:$A,YEAR($B25)*100+MONTH($B25),Period_Close!$B:$B,"مقفلة")&gt;0),"الفترة مقفلة: لا يسمح بمستند جديد",IF($E25="","رقم الحساب ناقص",IF(COUNTIFS(COA!$A:$A,$E25,COA!$R:$R,1)&lt;&gt;1,"حساب غير صالح أو رئيسي أو غير نشط",IF(NOT(COUNTIF(Locations!$A:$A,$F25)&gt;0),"الموقع غير معرف",IF(NOT(COUNTIF(Cost_Centers!$A:$A,$G25)&gt;0),"مركز التكلفة غير معرف أو ناقص",IF(OR(N($J25)&lt;0,N($K25)&lt;0),"مبلغ سالب",IF(AND(N($J25)&gt;0,N($K25)&gt;0),"السطر يحتوي مدين ودائن معًا",IF(AND(N($J25)=0,N($K25)=0),"السطر بدون مبلغ",IF(AND(OR($E25=ACC_SUPPLIERS,$E25=ACC_CUSTOMERS,$E25=1501,$E25=1502),$H25=""),"كود الجهة إلزامي لحسابات الموردين/العملاء/السلف/العهد",IF(AND($E25=ACC_SUPPLIERS,$H25&lt;&gt;"",COUNTIF(Suppliers!$A:$A,$H25)=0),"كود المورد غير معرف",IF(AND($E25=ACC_CUSTOMERS,$H25&lt;&gt;"",COUNTIF(Customers!$A:$A,$H25)=0),"كود العميل غير معرف",IF(AND(OR($E25=1501,$E25=1502),$H25&lt;&gt;"",COUNTIF(Employees!$A:$A,$H25)=0),"كود الموظف غير معرف",IF(AND(IFERROR(INDEX(COA!$H:$H,MATCH($E25,COA!$A:$A,0)),0)=1,$L25=""),"تصنيف التدفق ناقص لسطر نقدي",IF($D25="","نوع القيد ناقص",IF(AND($D25="عكس",$R25=""),"قيد العكس يحتاج مرجع القيد المعكوس","")))))))))))))))))))))))))))</f>
        <v/>
      </c>
      <c r="AB25" s="32">
        <f>IF($U25=1,IF($AA25&lt;&gt;"",1,0),0)</f>
        <v/>
      </c>
      <c r="AC25" s="32">
        <f>IF($A25="",0,SUMIFS($AB:$AB,$A:$A,$A25))</f>
        <v/>
      </c>
      <c r="AD25" s="32">
        <f>IF($A25="",0,IF(COUNTIFS($A:$A,$A25,$M:$M,"&lt;&gt;"&amp;$M25)&gt;0,1,0))</f>
        <v/>
      </c>
      <c r="AE25" s="32">
        <f>IF($U25=0,"",IF($AA25&lt;&gt;"",$AA25,IF(ABS(N($Y25))&gt;S_Tol,"القيد غير متوازن (مدين ≠ دائن) - لن يُرحَّل",IF($AD25=1,"حالات أسطر القيد غير متسقة",IF($AC25&gt;0,"يوجد خطأ في سطر آخر من نفس القيد","")))))</f>
        <v/>
      </c>
      <c r="AF25" s="32">
        <f>IF($U25=1,IF($AE25&lt;&gt;"",1,0),0)</f>
        <v/>
      </c>
      <c r="AG25" s="32">
        <f>IF(AND($U25=1,$AF25=0,$M25=ST_POST),1,0)</f>
        <v/>
      </c>
    </row>
    <row r="26">
      <c r="A26" s="29" t="n"/>
      <c r="B26" s="31" t="n"/>
      <c r="C26" s="29" t="n"/>
      <c r="D26" s="29" t="n"/>
      <c r="E26" s="39" t="n"/>
      <c r="F26" s="39" t="n"/>
      <c r="G26" s="39" t="n"/>
      <c r="H26" s="29" t="n"/>
      <c r="I26" s="29" t="n"/>
      <c r="J26" s="42" t="n"/>
      <c r="K26" s="42" t="n"/>
      <c r="L26" s="29" t="n"/>
      <c r="M26" s="39" t="n"/>
      <c r="N26" s="29" t="n"/>
      <c r="O26" s="29" t="n"/>
      <c r="P26" s="29" t="n"/>
      <c r="Q26" s="29" t="n"/>
      <c r="R26" s="29" t="n"/>
      <c r="S26" s="29" t="n"/>
      <c r="T26" s="32">
        <f>IF($E26="","",IFERROR(INDEX(COA!$B:$B,MATCH($E26,COA!$A:$A,0)),"حساب غير موجود"))</f>
        <v/>
      </c>
      <c r="U26" s="32">
        <f>IF(COUNTA($A26:$S26)&gt;0,1,0)</f>
        <v/>
      </c>
      <c r="V26" s="32">
        <f>IF($A26="",0,IF(COUNTIF($A$5:$A26,$A26)=1,1,0))</f>
        <v/>
      </c>
      <c r="W26" s="43">
        <f>IF($A26="","",SUMIFS($J:$J,$A:$A,$A26))</f>
        <v/>
      </c>
      <c r="X26" s="43">
        <f>IF($A26="","",SUMIFS($K:$K,$A:$A,$A26))</f>
        <v/>
      </c>
      <c r="Y26" s="47">
        <f>IF($A26="","",ROUND($W26-$X26,2))</f>
        <v/>
      </c>
      <c r="Z26" s="32">
        <f>IF(AND($V26=1,ABS(N($Y26))&gt;S_Tol),1,0)</f>
        <v/>
      </c>
      <c r="AA26" s="32">
        <f>IF($U26=0,"",IF($A26="","رقم المستند ناقص",IF(COUNTIF(Doc_Register!$A:$A,$A26)&gt;1,"رقم مستند مكرر في السجل المركزي",IF(LEFT($A26,LEN("MJE")+1)&lt;&gt;"MJE"&amp;"-","بادئة الرقم لا تطابق نوع المستند",IF(NOT(ISNUMBER($B26)),"التاريخ ناقص أو غير صحيح",IF($M26="","حالة المستند ناقصة",IF($N26="","اسم المُعِد ناقص",IF(AND(OR($M26=ST_APPR,$M26=ST_POST),$O26=""),"لا يوجد معتمد",IF(AND($O26&lt;&gt;"",$O26=$N26),"المُعِد والمعتمد نفس الشخص (فصل المهام)",IF(AND($M26=ST_POST,$P26=""),"اسم المحاسب المرحِّل ناقص",IF(AND($M26=ST_POST,$P26&lt;&gt;"",OR($P26=$N26,$P26=$O26)),"المرحِّل يجب أن يختلف عن المُعِد والمعتمد",IF(AND($M26=ST_REV,$R26=""),"مرجع التصحيح/الإلغاء ناقص",IF(AND(ISNUMBER($B26),OR($M26=ST_DRAFT,$M26=ST_APPR),COUNTIFS(Period_Close!$A:$A,YEAR($B26)*100+MONTH($B26),Period_Close!$B:$B,"مقفلة")&gt;0),"الفترة مقفلة: لا يسمح بمستند جديد",IF($E26="","رقم الحساب ناقص",IF(COUNTIFS(COA!$A:$A,$E26,COA!$R:$R,1)&lt;&gt;1,"حساب غير صالح أو رئيسي أو غير نشط",IF(NOT(COUNTIF(Locations!$A:$A,$F26)&gt;0),"الموقع غير معرف",IF(NOT(COUNTIF(Cost_Centers!$A:$A,$G26)&gt;0),"مركز التكلفة غير معرف أو ناقص",IF(OR(N($J26)&lt;0,N($K26)&lt;0),"مبلغ سالب",IF(AND(N($J26)&gt;0,N($K26)&gt;0),"السطر يحتوي مدين ودائن معًا",IF(AND(N($J26)=0,N($K26)=0),"السطر بدون مبلغ",IF(AND(OR($E26=ACC_SUPPLIERS,$E26=ACC_CUSTOMERS,$E26=1501,$E26=1502),$H26=""),"كود الجهة إلزامي لحسابات الموردين/العملاء/السلف/العهد",IF(AND($E26=ACC_SUPPLIERS,$H26&lt;&gt;"",COUNTIF(Suppliers!$A:$A,$H26)=0),"كود المورد غير معرف",IF(AND($E26=ACC_CUSTOMERS,$H26&lt;&gt;"",COUNTIF(Customers!$A:$A,$H26)=0),"كود العميل غير معرف",IF(AND(OR($E26=1501,$E26=1502),$H26&lt;&gt;"",COUNTIF(Employees!$A:$A,$H26)=0),"كود الموظف غير معرف",IF(AND(IFERROR(INDEX(COA!$H:$H,MATCH($E26,COA!$A:$A,0)),0)=1,$L26=""),"تصنيف التدفق ناقص لسطر نقدي",IF($D26="","نوع القيد ناقص",IF(AND($D26="عكس",$R26=""),"قيد العكس يحتاج مرجع القيد المعكوس","")))))))))))))))))))))))))))</f>
        <v/>
      </c>
      <c r="AB26" s="32">
        <f>IF($U26=1,IF($AA26&lt;&gt;"",1,0),0)</f>
        <v/>
      </c>
      <c r="AC26" s="32">
        <f>IF($A26="",0,SUMIFS($AB:$AB,$A:$A,$A26))</f>
        <v/>
      </c>
      <c r="AD26" s="32">
        <f>IF($A26="",0,IF(COUNTIFS($A:$A,$A26,$M:$M,"&lt;&gt;"&amp;$M26)&gt;0,1,0))</f>
        <v/>
      </c>
      <c r="AE26" s="32">
        <f>IF($U26=0,"",IF($AA26&lt;&gt;"",$AA26,IF(ABS(N($Y26))&gt;S_Tol,"القيد غير متوازن (مدين ≠ دائن) - لن يُرحَّل",IF($AD26=1,"حالات أسطر القيد غير متسقة",IF($AC26&gt;0,"يوجد خطأ في سطر آخر من نفس القيد","")))))</f>
        <v/>
      </c>
      <c r="AF26" s="32">
        <f>IF($U26=1,IF($AE26&lt;&gt;"",1,0),0)</f>
        <v/>
      </c>
      <c r="AG26" s="32">
        <f>IF(AND($U26=1,$AF26=0,$M26=ST_POST),1,0)</f>
        <v/>
      </c>
    </row>
    <row r="27">
      <c r="A27" s="29" t="n"/>
      <c r="B27" s="31" t="n"/>
      <c r="C27" s="29" t="n"/>
      <c r="D27" s="29" t="n"/>
      <c r="E27" s="39" t="n"/>
      <c r="F27" s="39" t="n"/>
      <c r="G27" s="39" t="n"/>
      <c r="H27" s="29" t="n"/>
      <c r="I27" s="29" t="n"/>
      <c r="J27" s="42" t="n"/>
      <c r="K27" s="42" t="n"/>
      <c r="L27" s="29" t="n"/>
      <c r="M27" s="39" t="n"/>
      <c r="N27" s="29" t="n"/>
      <c r="O27" s="29" t="n"/>
      <c r="P27" s="29" t="n"/>
      <c r="Q27" s="29" t="n"/>
      <c r="R27" s="29" t="n"/>
      <c r="S27" s="29" t="n"/>
      <c r="T27" s="32">
        <f>IF($E27="","",IFERROR(INDEX(COA!$B:$B,MATCH($E27,COA!$A:$A,0)),"حساب غير موجود"))</f>
        <v/>
      </c>
      <c r="U27" s="32">
        <f>IF(COUNTA($A27:$S27)&gt;0,1,0)</f>
        <v/>
      </c>
      <c r="V27" s="32">
        <f>IF($A27="",0,IF(COUNTIF($A$5:$A27,$A27)=1,1,0))</f>
        <v/>
      </c>
      <c r="W27" s="43">
        <f>IF($A27="","",SUMIFS($J:$J,$A:$A,$A27))</f>
        <v/>
      </c>
      <c r="X27" s="43">
        <f>IF($A27="","",SUMIFS($K:$K,$A:$A,$A27))</f>
        <v/>
      </c>
      <c r="Y27" s="47">
        <f>IF($A27="","",ROUND($W27-$X27,2))</f>
        <v/>
      </c>
      <c r="Z27" s="32">
        <f>IF(AND($V27=1,ABS(N($Y27))&gt;S_Tol),1,0)</f>
        <v/>
      </c>
      <c r="AA27" s="32">
        <f>IF($U27=0,"",IF($A27="","رقم المستند ناقص",IF(COUNTIF(Doc_Register!$A:$A,$A27)&gt;1,"رقم مستند مكرر في السجل المركزي",IF(LEFT($A27,LEN("MJE")+1)&lt;&gt;"MJE"&amp;"-","بادئة الرقم لا تطابق نوع المستند",IF(NOT(ISNUMBER($B27)),"التاريخ ناقص أو غير صحيح",IF($M27="","حالة المستند ناقصة",IF($N27="","اسم المُعِد ناقص",IF(AND(OR($M27=ST_APPR,$M27=ST_POST),$O27=""),"لا يوجد معتمد",IF(AND($O27&lt;&gt;"",$O27=$N27),"المُعِد والمعتمد نفس الشخص (فصل المهام)",IF(AND($M27=ST_POST,$P27=""),"اسم المحاسب المرحِّل ناقص",IF(AND($M27=ST_POST,$P27&lt;&gt;"",OR($P27=$N27,$P27=$O27)),"المرحِّل يجب أن يختلف عن المُعِد والمعتمد",IF(AND($M27=ST_REV,$R27=""),"مرجع التصحيح/الإلغاء ناقص",IF(AND(ISNUMBER($B27),OR($M27=ST_DRAFT,$M27=ST_APPR),COUNTIFS(Period_Close!$A:$A,YEAR($B27)*100+MONTH($B27),Period_Close!$B:$B,"مقفلة")&gt;0),"الفترة مقفلة: لا يسمح بمستند جديد",IF($E27="","رقم الحساب ناقص",IF(COUNTIFS(COA!$A:$A,$E27,COA!$R:$R,1)&lt;&gt;1,"حساب غير صالح أو رئيسي أو غير نشط",IF(NOT(COUNTIF(Locations!$A:$A,$F27)&gt;0),"الموقع غير معرف",IF(NOT(COUNTIF(Cost_Centers!$A:$A,$G27)&gt;0),"مركز التكلفة غير معرف أو ناقص",IF(OR(N($J27)&lt;0,N($K27)&lt;0),"مبلغ سالب",IF(AND(N($J27)&gt;0,N($K27)&gt;0),"السطر يحتوي مدين ودائن معًا",IF(AND(N($J27)=0,N($K27)=0),"السطر بدون مبلغ",IF(AND(OR($E27=ACC_SUPPLIERS,$E27=ACC_CUSTOMERS,$E27=1501,$E27=1502),$H27=""),"كود الجهة إلزامي لحسابات الموردين/العملاء/السلف/العهد",IF(AND($E27=ACC_SUPPLIERS,$H27&lt;&gt;"",COUNTIF(Suppliers!$A:$A,$H27)=0),"كود المورد غير معرف",IF(AND($E27=ACC_CUSTOMERS,$H27&lt;&gt;"",COUNTIF(Customers!$A:$A,$H27)=0),"كود العميل غير معرف",IF(AND(OR($E27=1501,$E27=1502),$H27&lt;&gt;"",COUNTIF(Employees!$A:$A,$H27)=0),"كود الموظف غير معرف",IF(AND(IFERROR(INDEX(COA!$H:$H,MATCH($E27,COA!$A:$A,0)),0)=1,$L27=""),"تصنيف التدفق ناقص لسطر نقدي",IF($D27="","نوع القيد ناقص",IF(AND($D27="عكس",$R27=""),"قيد العكس يحتاج مرجع القيد المعكوس","")))))))))))))))))))))))))))</f>
        <v/>
      </c>
      <c r="AB27" s="32">
        <f>IF($U27=1,IF($AA27&lt;&gt;"",1,0),0)</f>
        <v/>
      </c>
      <c r="AC27" s="32">
        <f>IF($A27="",0,SUMIFS($AB:$AB,$A:$A,$A27))</f>
        <v/>
      </c>
      <c r="AD27" s="32">
        <f>IF($A27="",0,IF(COUNTIFS($A:$A,$A27,$M:$M,"&lt;&gt;"&amp;$M27)&gt;0,1,0))</f>
        <v/>
      </c>
      <c r="AE27" s="32">
        <f>IF($U27=0,"",IF($AA27&lt;&gt;"",$AA27,IF(ABS(N($Y27))&gt;S_Tol,"القيد غير متوازن (مدين ≠ دائن) - لن يُرحَّل",IF($AD27=1,"حالات أسطر القيد غير متسقة",IF($AC27&gt;0,"يوجد خطأ في سطر آخر من نفس القيد","")))))</f>
        <v/>
      </c>
      <c r="AF27" s="32">
        <f>IF($U27=1,IF($AE27&lt;&gt;"",1,0),0)</f>
        <v/>
      </c>
      <c r="AG27" s="32">
        <f>IF(AND($U27=1,$AF27=0,$M27=ST_POST),1,0)</f>
        <v/>
      </c>
    </row>
    <row r="28">
      <c r="A28" s="29" t="n"/>
      <c r="B28" s="31" t="n"/>
      <c r="C28" s="29" t="n"/>
      <c r="D28" s="29" t="n"/>
      <c r="E28" s="39" t="n"/>
      <c r="F28" s="39" t="n"/>
      <c r="G28" s="39" t="n"/>
      <c r="H28" s="29" t="n"/>
      <c r="I28" s="29" t="n"/>
      <c r="J28" s="42" t="n"/>
      <c r="K28" s="42" t="n"/>
      <c r="L28" s="29" t="n"/>
      <c r="M28" s="39" t="n"/>
      <c r="N28" s="29" t="n"/>
      <c r="O28" s="29" t="n"/>
      <c r="P28" s="29" t="n"/>
      <c r="Q28" s="29" t="n"/>
      <c r="R28" s="29" t="n"/>
      <c r="S28" s="29" t="n"/>
      <c r="T28" s="32">
        <f>IF($E28="","",IFERROR(INDEX(COA!$B:$B,MATCH($E28,COA!$A:$A,0)),"حساب غير موجود"))</f>
        <v/>
      </c>
      <c r="U28" s="32">
        <f>IF(COUNTA($A28:$S28)&gt;0,1,0)</f>
        <v/>
      </c>
      <c r="V28" s="32">
        <f>IF($A28="",0,IF(COUNTIF($A$5:$A28,$A28)=1,1,0))</f>
        <v/>
      </c>
      <c r="W28" s="43">
        <f>IF($A28="","",SUMIFS($J:$J,$A:$A,$A28))</f>
        <v/>
      </c>
      <c r="X28" s="43">
        <f>IF($A28="","",SUMIFS($K:$K,$A:$A,$A28))</f>
        <v/>
      </c>
      <c r="Y28" s="47">
        <f>IF($A28="","",ROUND($W28-$X28,2))</f>
        <v/>
      </c>
      <c r="Z28" s="32">
        <f>IF(AND($V28=1,ABS(N($Y28))&gt;S_Tol),1,0)</f>
        <v/>
      </c>
      <c r="AA28" s="32">
        <f>IF($U28=0,"",IF($A28="","رقم المستند ناقص",IF(COUNTIF(Doc_Register!$A:$A,$A28)&gt;1,"رقم مستند مكرر في السجل المركزي",IF(LEFT($A28,LEN("MJE")+1)&lt;&gt;"MJE"&amp;"-","بادئة الرقم لا تطابق نوع المستند",IF(NOT(ISNUMBER($B28)),"التاريخ ناقص أو غير صحيح",IF($M28="","حالة المستند ناقصة",IF($N28="","اسم المُعِد ناقص",IF(AND(OR($M28=ST_APPR,$M28=ST_POST),$O28=""),"لا يوجد معتمد",IF(AND($O28&lt;&gt;"",$O28=$N28),"المُعِد والمعتمد نفس الشخص (فصل المهام)",IF(AND($M28=ST_POST,$P28=""),"اسم المحاسب المرحِّل ناقص",IF(AND($M28=ST_POST,$P28&lt;&gt;"",OR($P28=$N28,$P28=$O28)),"المرحِّل يجب أن يختلف عن المُعِد والمعتمد",IF(AND($M28=ST_REV,$R28=""),"مرجع التصحيح/الإلغاء ناقص",IF(AND(ISNUMBER($B28),OR($M28=ST_DRAFT,$M28=ST_APPR),COUNTIFS(Period_Close!$A:$A,YEAR($B28)*100+MONTH($B28),Period_Close!$B:$B,"مقفلة")&gt;0),"الفترة مقفلة: لا يسمح بمستند جديد",IF($E28="","رقم الحساب ناقص",IF(COUNTIFS(COA!$A:$A,$E28,COA!$R:$R,1)&lt;&gt;1,"حساب غير صالح أو رئيسي أو غير نشط",IF(NOT(COUNTIF(Locations!$A:$A,$F28)&gt;0),"الموقع غير معرف",IF(NOT(COUNTIF(Cost_Centers!$A:$A,$G28)&gt;0),"مركز التكلفة غير معرف أو ناقص",IF(OR(N($J28)&lt;0,N($K28)&lt;0),"مبلغ سالب",IF(AND(N($J28)&gt;0,N($K28)&gt;0),"السطر يحتوي مدين ودائن معًا",IF(AND(N($J28)=0,N($K28)=0),"السطر بدون مبلغ",IF(AND(OR($E28=ACC_SUPPLIERS,$E28=ACC_CUSTOMERS,$E28=1501,$E28=1502),$H28=""),"كود الجهة إلزامي لحسابات الموردين/العملاء/السلف/العهد",IF(AND($E28=ACC_SUPPLIERS,$H28&lt;&gt;"",COUNTIF(Suppliers!$A:$A,$H28)=0),"كود المورد غير معرف",IF(AND($E28=ACC_CUSTOMERS,$H28&lt;&gt;"",COUNTIF(Customers!$A:$A,$H28)=0),"كود العميل غير معرف",IF(AND(OR($E28=1501,$E28=1502),$H28&lt;&gt;"",COUNTIF(Employees!$A:$A,$H28)=0),"كود الموظف غير معرف",IF(AND(IFERROR(INDEX(COA!$H:$H,MATCH($E28,COA!$A:$A,0)),0)=1,$L28=""),"تصنيف التدفق ناقص لسطر نقدي",IF($D28="","نوع القيد ناقص",IF(AND($D28="عكس",$R28=""),"قيد العكس يحتاج مرجع القيد المعكوس","")))))))))))))))))))))))))))</f>
        <v/>
      </c>
      <c r="AB28" s="32">
        <f>IF($U28=1,IF($AA28&lt;&gt;"",1,0),0)</f>
        <v/>
      </c>
      <c r="AC28" s="32">
        <f>IF($A28="",0,SUMIFS($AB:$AB,$A:$A,$A28))</f>
        <v/>
      </c>
      <c r="AD28" s="32">
        <f>IF($A28="",0,IF(COUNTIFS($A:$A,$A28,$M:$M,"&lt;&gt;"&amp;$M28)&gt;0,1,0))</f>
        <v/>
      </c>
      <c r="AE28" s="32">
        <f>IF($U28=0,"",IF($AA28&lt;&gt;"",$AA28,IF(ABS(N($Y28))&gt;S_Tol,"القيد غير متوازن (مدين ≠ دائن) - لن يُرحَّل",IF($AD28=1,"حالات أسطر القيد غير متسقة",IF($AC28&gt;0,"يوجد خطأ في سطر آخر من نفس القيد","")))))</f>
        <v/>
      </c>
      <c r="AF28" s="32">
        <f>IF($U28=1,IF($AE28&lt;&gt;"",1,0),0)</f>
        <v/>
      </c>
      <c r="AG28" s="32">
        <f>IF(AND($U28=1,$AF28=0,$M28=ST_POST),1,0)</f>
        <v/>
      </c>
    </row>
    <row r="29">
      <c r="A29" s="29" t="n"/>
      <c r="B29" s="31" t="n"/>
      <c r="C29" s="29" t="n"/>
      <c r="D29" s="29" t="n"/>
      <c r="E29" s="39" t="n"/>
      <c r="F29" s="39" t="n"/>
      <c r="G29" s="39" t="n"/>
      <c r="H29" s="29" t="n"/>
      <c r="I29" s="29" t="n"/>
      <c r="J29" s="42" t="n"/>
      <c r="K29" s="42" t="n"/>
      <c r="L29" s="29" t="n"/>
      <c r="M29" s="39" t="n"/>
      <c r="N29" s="29" t="n"/>
      <c r="O29" s="29" t="n"/>
      <c r="P29" s="29" t="n"/>
      <c r="Q29" s="29" t="n"/>
      <c r="R29" s="29" t="n"/>
      <c r="S29" s="29" t="n"/>
      <c r="T29" s="32">
        <f>IF($E29="","",IFERROR(INDEX(COA!$B:$B,MATCH($E29,COA!$A:$A,0)),"حساب غير موجود"))</f>
        <v/>
      </c>
      <c r="U29" s="32">
        <f>IF(COUNTA($A29:$S29)&gt;0,1,0)</f>
        <v/>
      </c>
      <c r="V29" s="32">
        <f>IF($A29="",0,IF(COUNTIF($A$5:$A29,$A29)=1,1,0))</f>
        <v/>
      </c>
      <c r="W29" s="43">
        <f>IF($A29="","",SUMIFS($J:$J,$A:$A,$A29))</f>
        <v/>
      </c>
      <c r="X29" s="43">
        <f>IF($A29="","",SUMIFS($K:$K,$A:$A,$A29))</f>
        <v/>
      </c>
      <c r="Y29" s="47">
        <f>IF($A29="","",ROUND($W29-$X29,2))</f>
        <v/>
      </c>
      <c r="Z29" s="32">
        <f>IF(AND($V29=1,ABS(N($Y29))&gt;S_Tol),1,0)</f>
        <v/>
      </c>
      <c r="AA29" s="32">
        <f>IF($U29=0,"",IF($A29="","رقم المستند ناقص",IF(COUNTIF(Doc_Register!$A:$A,$A29)&gt;1,"رقم مستند مكرر في السجل المركزي",IF(LEFT($A29,LEN("MJE")+1)&lt;&gt;"MJE"&amp;"-","بادئة الرقم لا تطابق نوع المستند",IF(NOT(ISNUMBER($B29)),"التاريخ ناقص أو غير صحيح",IF($M29="","حالة المستند ناقصة",IF($N29="","اسم المُعِد ناقص",IF(AND(OR($M29=ST_APPR,$M29=ST_POST),$O29=""),"لا يوجد معتمد",IF(AND($O29&lt;&gt;"",$O29=$N29),"المُعِد والمعتمد نفس الشخص (فصل المهام)",IF(AND($M29=ST_POST,$P29=""),"اسم المحاسب المرحِّل ناقص",IF(AND($M29=ST_POST,$P29&lt;&gt;"",OR($P29=$N29,$P29=$O29)),"المرحِّل يجب أن يختلف عن المُعِد والمعتمد",IF(AND($M29=ST_REV,$R29=""),"مرجع التصحيح/الإلغاء ناقص",IF(AND(ISNUMBER($B29),OR($M29=ST_DRAFT,$M29=ST_APPR),COUNTIFS(Period_Close!$A:$A,YEAR($B29)*100+MONTH($B29),Period_Close!$B:$B,"مقفلة")&gt;0),"الفترة مقفلة: لا يسمح بمستند جديد",IF($E29="","رقم الحساب ناقص",IF(COUNTIFS(COA!$A:$A,$E29,COA!$R:$R,1)&lt;&gt;1,"حساب غير صالح أو رئيسي أو غير نشط",IF(NOT(COUNTIF(Locations!$A:$A,$F29)&gt;0),"الموقع غير معرف",IF(NOT(COUNTIF(Cost_Centers!$A:$A,$G29)&gt;0),"مركز التكلفة غير معرف أو ناقص",IF(OR(N($J29)&lt;0,N($K29)&lt;0),"مبلغ سالب",IF(AND(N($J29)&gt;0,N($K29)&gt;0),"السطر يحتوي مدين ودائن معًا",IF(AND(N($J29)=0,N($K29)=0),"السطر بدون مبلغ",IF(AND(OR($E29=ACC_SUPPLIERS,$E29=ACC_CUSTOMERS,$E29=1501,$E29=1502),$H29=""),"كود الجهة إلزامي لحسابات الموردين/العملاء/السلف/العهد",IF(AND($E29=ACC_SUPPLIERS,$H29&lt;&gt;"",COUNTIF(Suppliers!$A:$A,$H29)=0),"كود المورد غير معرف",IF(AND($E29=ACC_CUSTOMERS,$H29&lt;&gt;"",COUNTIF(Customers!$A:$A,$H29)=0),"كود العميل غير معرف",IF(AND(OR($E29=1501,$E29=1502),$H29&lt;&gt;"",COUNTIF(Employees!$A:$A,$H29)=0),"كود الموظف غير معرف",IF(AND(IFERROR(INDEX(COA!$H:$H,MATCH($E29,COA!$A:$A,0)),0)=1,$L29=""),"تصنيف التدفق ناقص لسطر نقدي",IF($D29="","نوع القيد ناقص",IF(AND($D29="عكس",$R29=""),"قيد العكس يحتاج مرجع القيد المعكوس","")))))))))))))))))))))))))))</f>
        <v/>
      </c>
      <c r="AB29" s="32">
        <f>IF($U29=1,IF($AA29&lt;&gt;"",1,0),0)</f>
        <v/>
      </c>
      <c r="AC29" s="32">
        <f>IF($A29="",0,SUMIFS($AB:$AB,$A:$A,$A29))</f>
        <v/>
      </c>
      <c r="AD29" s="32">
        <f>IF($A29="",0,IF(COUNTIFS($A:$A,$A29,$M:$M,"&lt;&gt;"&amp;$M29)&gt;0,1,0))</f>
        <v/>
      </c>
      <c r="AE29" s="32">
        <f>IF($U29=0,"",IF($AA29&lt;&gt;"",$AA29,IF(ABS(N($Y29))&gt;S_Tol,"القيد غير متوازن (مدين ≠ دائن) - لن يُرحَّل",IF($AD29=1,"حالات أسطر القيد غير متسقة",IF($AC29&gt;0,"يوجد خطأ في سطر آخر من نفس القيد","")))))</f>
        <v/>
      </c>
      <c r="AF29" s="32">
        <f>IF($U29=1,IF($AE29&lt;&gt;"",1,0),0)</f>
        <v/>
      </c>
      <c r="AG29" s="32">
        <f>IF(AND($U29=1,$AF29=0,$M29=ST_POST),1,0)</f>
        <v/>
      </c>
    </row>
    <row r="30">
      <c r="A30" s="29" t="n"/>
      <c r="B30" s="31" t="n"/>
      <c r="C30" s="29" t="n"/>
      <c r="D30" s="29" t="n"/>
      <c r="E30" s="39" t="n"/>
      <c r="F30" s="39" t="n"/>
      <c r="G30" s="39" t="n"/>
      <c r="H30" s="29" t="n"/>
      <c r="I30" s="29" t="n"/>
      <c r="J30" s="42" t="n"/>
      <c r="K30" s="42" t="n"/>
      <c r="L30" s="29" t="n"/>
      <c r="M30" s="39" t="n"/>
      <c r="N30" s="29" t="n"/>
      <c r="O30" s="29" t="n"/>
      <c r="P30" s="29" t="n"/>
      <c r="Q30" s="29" t="n"/>
      <c r="R30" s="29" t="n"/>
      <c r="S30" s="29" t="n"/>
      <c r="T30" s="32">
        <f>IF($E30="","",IFERROR(INDEX(COA!$B:$B,MATCH($E30,COA!$A:$A,0)),"حساب غير موجود"))</f>
        <v/>
      </c>
      <c r="U30" s="32">
        <f>IF(COUNTA($A30:$S30)&gt;0,1,0)</f>
        <v/>
      </c>
      <c r="V30" s="32">
        <f>IF($A30="",0,IF(COUNTIF($A$5:$A30,$A30)=1,1,0))</f>
        <v/>
      </c>
      <c r="W30" s="43">
        <f>IF($A30="","",SUMIFS($J:$J,$A:$A,$A30))</f>
        <v/>
      </c>
      <c r="X30" s="43">
        <f>IF($A30="","",SUMIFS($K:$K,$A:$A,$A30))</f>
        <v/>
      </c>
      <c r="Y30" s="47">
        <f>IF($A30="","",ROUND($W30-$X30,2))</f>
        <v/>
      </c>
      <c r="Z30" s="32">
        <f>IF(AND($V30=1,ABS(N($Y30))&gt;S_Tol),1,0)</f>
        <v/>
      </c>
      <c r="AA30" s="32">
        <f>IF($U30=0,"",IF($A30="","رقم المستند ناقص",IF(COUNTIF(Doc_Register!$A:$A,$A30)&gt;1,"رقم مستند مكرر في السجل المركزي",IF(LEFT($A30,LEN("MJE")+1)&lt;&gt;"MJE"&amp;"-","بادئة الرقم لا تطابق نوع المستند",IF(NOT(ISNUMBER($B30)),"التاريخ ناقص أو غير صحيح",IF($M30="","حالة المستند ناقصة",IF($N30="","اسم المُعِد ناقص",IF(AND(OR($M30=ST_APPR,$M30=ST_POST),$O30=""),"لا يوجد معتمد",IF(AND($O30&lt;&gt;"",$O30=$N30),"المُعِد والمعتمد نفس الشخص (فصل المهام)",IF(AND($M30=ST_POST,$P30=""),"اسم المحاسب المرحِّل ناقص",IF(AND($M30=ST_POST,$P30&lt;&gt;"",OR($P30=$N30,$P30=$O30)),"المرحِّل يجب أن يختلف عن المُعِد والمعتمد",IF(AND($M30=ST_REV,$R30=""),"مرجع التصحيح/الإلغاء ناقص",IF(AND(ISNUMBER($B30),OR($M30=ST_DRAFT,$M30=ST_APPR),COUNTIFS(Period_Close!$A:$A,YEAR($B30)*100+MONTH($B30),Period_Close!$B:$B,"مقفلة")&gt;0),"الفترة مقفلة: لا يسمح بمستند جديد",IF($E30="","رقم الحساب ناقص",IF(COUNTIFS(COA!$A:$A,$E30,COA!$R:$R,1)&lt;&gt;1,"حساب غير صالح أو رئيسي أو غير نشط",IF(NOT(COUNTIF(Locations!$A:$A,$F30)&gt;0),"الموقع غير معرف",IF(NOT(COUNTIF(Cost_Centers!$A:$A,$G30)&gt;0),"مركز التكلفة غير معرف أو ناقص",IF(OR(N($J30)&lt;0,N($K30)&lt;0),"مبلغ سالب",IF(AND(N($J30)&gt;0,N($K30)&gt;0),"السطر يحتوي مدين ودائن معًا",IF(AND(N($J30)=0,N($K30)=0),"السطر بدون مبلغ",IF(AND(OR($E30=ACC_SUPPLIERS,$E30=ACC_CUSTOMERS,$E30=1501,$E30=1502),$H30=""),"كود الجهة إلزامي لحسابات الموردين/العملاء/السلف/العهد",IF(AND($E30=ACC_SUPPLIERS,$H30&lt;&gt;"",COUNTIF(Suppliers!$A:$A,$H30)=0),"كود المورد غير معرف",IF(AND($E30=ACC_CUSTOMERS,$H30&lt;&gt;"",COUNTIF(Customers!$A:$A,$H30)=0),"كود العميل غير معرف",IF(AND(OR($E30=1501,$E30=1502),$H30&lt;&gt;"",COUNTIF(Employees!$A:$A,$H30)=0),"كود الموظف غير معرف",IF(AND(IFERROR(INDEX(COA!$H:$H,MATCH($E30,COA!$A:$A,0)),0)=1,$L30=""),"تصنيف التدفق ناقص لسطر نقدي",IF($D30="","نوع القيد ناقص",IF(AND($D30="عكس",$R30=""),"قيد العكس يحتاج مرجع القيد المعكوس","")))))))))))))))))))))))))))</f>
        <v/>
      </c>
      <c r="AB30" s="32">
        <f>IF($U30=1,IF($AA30&lt;&gt;"",1,0),0)</f>
        <v/>
      </c>
      <c r="AC30" s="32">
        <f>IF($A30="",0,SUMIFS($AB:$AB,$A:$A,$A30))</f>
        <v/>
      </c>
      <c r="AD30" s="32">
        <f>IF($A30="",0,IF(COUNTIFS($A:$A,$A30,$M:$M,"&lt;&gt;"&amp;$M30)&gt;0,1,0))</f>
        <v/>
      </c>
      <c r="AE30" s="32">
        <f>IF($U30=0,"",IF($AA30&lt;&gt;"",$AA30,IF(ABS(N($Y30))&gt;S_Tol,"القيد غير متوازن (مدين ≠ دائن) - لن يُرحَّل",IF($AD30=1,"حالات أسطر القيد غير متسقة",IF($AC30&gt;0,"يوجد خطأ في سطر آخر من نفس القيد","")))))</f>
        <v/>
      </c>
      <c r="AF30" s="32">
        <f>IF($U30=1,IF($AE30&lt;&gt;"",1,0),0)</f>
        <v/>
      </c>
      <c r="AG30" s="32">
        <f>IF(AND($U30=1,$AF30=0,$M30=ST_POST),1,0)</f>
        <v/>
      </c>
    </row>
    <row r="31">
      <c r="A31" s="29" t="n"/>
      <c r="B31" s="31" t="n"/>
      <c r="C31" s="29" t="n"/>
      <c r="D31" s="29" t="n"/>
      <c r="E31" s="39" t="n"/>
      <c r="F31" s="39" t="n"/>
      <c r="G31" s="39" t="n"/>
      <c r="H31" s="29" t="n"/>
      <c r="I31" s="29" t="n"/>
      <c r="J31" s="42" t="n"/>
      <c r="K31" s="42" t="n"/>
      <c r="L31" s="29" t="n"/>
      <c r="M31" s="39" t="n"/>
      <c r="N31" s="29" t="n"/>
      <c r="O31" s="29" t="n"/>
      <c r="P31" s="29" t="n"/>
      <c r="Q31" s="29" t="n"/>
      <c r="R31" s="29" t="n"/>
      <c r="S31" s="29" t="n"/>
      <c r="T31" s="32">
        <f>IF($E31="","",IFERROR(INDEX(COA!$B:$B,MATCH($E31,COA!$A:$A,0)),"حساب غير موجود"))</f>
        <v/>
      </c>
      <c r="U31" s="32">
        <f>IF(COUNTA($A31:$S31)&gt;0,1,0)</f>
        <v/>
      </c>
      <c r="V31" s="32">
        <f>IF($A31="",0,IF(COUNTIF($A$5:$A31,$A31)=1,1,0))</f>
        <v/>
      </c>
      <c r="W31" s="43">
        <f>IF($A31="","",SUMIFS($J:$J,$A:$A,$A31))</f>
        <v/>
      </c>
      <c r="X31" s="43">
        <f>IF($A31="","",SUMIFS($K:$K,$A:$A,$A31))</f>
        <v/>
      </c>
      <c r="Y31" s="47">
        <f>IF($A31="","",ROUND($W31-$X31,2))</f>
        <v/>
      </c>
      <c r="Z31" s="32">
        <f>IF(AND($V31=1,ABS(N($Y31))&gt;S_Tol),1,0)</f>
        <v/>
      </c>
      <c r="AA31" s="32">
        <f>IF($U31=0,"",IF($A31="","رقم المستند ناقص",IF(COUNTIF(Doc_Register!$A:$A,$A31)&gt;1,"رقم مستند مكرر في السجل المركزي",IF(LEFT($A31,LEN("MJE")+1)&lt;&gt;"MJE"&amp;"-","بادئة الرقم لا تطابق نوع المستند",IF(NOT(ISNUMBER($B31)),"التاريخ ناقص أو غير صحيح",IF($M31="","حالة المستند ناقصة",IF($N31="","اسم المُعِد ناقص",IF(AND(OR($M31=ST_APPR,$M31=ST_POST),$O31=""),"لا يوجد معتمد",IF(AND($O31&lt;&gt;"",$O31=$N31),"المُعِد والمعتمد نفس الشخص (فصل المهام)",IF(AND($M31=ST_POST,$P31=""),"اسم المحاسب المرحِّل ناقص",IF(AND($M31=ST_POST,$P31&lt;&gt;"",OR($P31=$N31,$P31=$O31)),"المرحِّل يجب أن يختلف عن المُعِد والمعتمد",IF(AND($M31=ST_REV,$R31=""),"مرجع التصحيح/الإلغاء ناقص",IF(AND(ISNUMBER($B31),OR($M31=ST_DRAFT,$M31=ST_APPR),COUNTIFS(Period_Close!$A:$A,YEAR($B31)*100+MONTH($B31),Period_Close!$B:$B,"مقفلة")&gt;0),"الفترة مقفلة: لا يسمح بمستند جديد",IF($E31="","رقم الحساب ناقص",IF(COUNTIFS(COA!$A:$A,$E31,COA!$R:$R,1)&lt;&gt;1,"حساب غير صالح أو رئيسي أو غير نشط",IF(NOT(COUNTIF(Locations!$A:$A,$F31)&gt;0),"الموقع غير معرف",IF(NOT(COUNTIF(Cost_Centers!$A:$A,$G31)&gt;0),"مركز التكلفة غير معرف أو ناقص",IF(OR(N($J31)&lt;0,N($K31)&lt;0),"مبلغ سالب",IF(AND(N($J31)&gt;0,N($K31)&gt;0),"السطر يحتوي مدين ودائن معًا",IF(AND(N($J31)=0,N($K31)=0),"السطر بدون مبلغ",IF(AND(OR($E31=ACC_SUPPLIERS,$E31=ACC_CUSTOMERS,$E31=1501,$E31=1502),$H31=""),"كود الجهة إلزامي لحسابات الموردين/العملاء/السلف/العهد",IF(AND($E31=ACC_SUPPLIERS,$H31&lt;&gt;"",COUNTIF(Suppliers!$A:$A,$H31)=0),"كود المورد غير معرف",IF(AND($E31=ACC_CUSTOMERS,$H31&lt;&gt;"",COUNTIF(Customers!$A:$A,$H31)=0),"كود العميل غير معرف",IF(AND(OR($E31=1501,$E31=1502),$H31&lt;&gt;"",COUNTIF(Employees!$A:$A,$H31)=0),"كود الموظف غير معرف",IF(AND(IFERROR(INDEX(COA!$H:$H,MATCH($E31,COA!$A:$A,0)),0)=1,$L31=""),"تصنيف التدفق ناقص لسطر نقدي",IF($D31="","نوع القيد ناقص",IF(AND($D31="عكس",$R31=""),"قيد العكس يحتاج مرجع القيد المعكوس","")))))))))))))))))))))))))))</f>
        <v/>
      </c>
      <c r="AB31" s="32">
        <f>IF($U31=1,IF($AA31&lt;&gt;"",1,0),0)</f>
        <v/>
      </c>
      <c r="AC31" s="32">
        <f>IF($A31="",0,SUMIFS($AB:$AB,$A:$A,$A31))</f>
        <v/>
      </c>
      <c r="AD31" s="32">
        <f>IF($A31="",0,IF(COUNTIFS($A:$A,$A31,$M:$M,"&lt;&gt;"&amp;$M31)&gt;0,1,0))</f>
        <v/>
      </c>
      <c r="AE31" s="32">
        <f>IF($U31=0,"",IF($AA31&lt;&gt;"",$AA31,IF(ABS(N($Y31))&gt;S_Tol,"القيد غير متوازن (مدين ≠ دائن) - لن يُرحَّل",IF($AD31=1,"حالات أسطر القيد غير متسقة",IF($AC31&gt;0,"يوجد خطأ في سطر آخر من نفس القيد","")))))</f>
        <v/>
      </c>
      <c r="AF31" s="32">
        <f>IF($U31=1,IF($AE31&lt;&gt;"",1,0),0)</f>
        <v/>
      </c>
      <c r="AG31" s="32">
        <f>IF(AND($U31=1,$AF31=0,$M31=ST_POST),1,0)</f>
        <v/>
      </c>
    </row>
    <row r="32">
      <c r="A32" s="29" t="n"/>
      <c r="B32" s="31" t="n"/>
      <c r="C32" s="29" t="n"/>
      <c r="D32" s="29" t="n"/>
      <c r="E32" s="39" t="n"/>
      <c r="F32" s="39" t="n"/>
      <c r="G32" s="39" t="n"/>
      <c r="H32" s="29" t="n"/>
      <c r="I32" s="29" t="n"/>
      <c r="J32" s="42" t="n"/>
      <c r="K32" s="42" t="n"/>
      <c r="L32" s="29" t="n"/>
      <c r="M32" s="39" t="n"/>
      <c r="N32" s="29" t="n"/>
      <c r="O32" s="29" t="n"/>
      <c r="P32" s="29" t="n"/>
      <c r="Q32" s="29" t="n"/>
      <c r="R32" s="29" t="n"/>
      <c r="S32" s="29" t="n"/>
      <c r="T32" s="32">
        <f>IF($E32="","",IFERROR(INDEX(COA!$B:$B,MATCH($E32,COA!$A:$A,0)),"حساب غير موجود"))</f>
        <v/>
      </c>
      <c r="U32" s="32">
        <f>IF(COUNTA($A32:$S32)&gt;0,1,0)</f>
        <v/>
      </c>
      <c r="V32" s="32">
        <f>IF($A32="",0,IF(COUNTIF($A$5:$A32,$A32)=1,1,0))</f>
        <v/>
      </c>
      <c r="W32" s="43">
        <f>IF($A32="","",SUMIFS($J:$J,$A:$A,$A32))</f>
        <v/>
      </c>
      <c r="X32" s="43">
        <f>IF($A32="","",SUMIFS($K:$K,$A:$A,$A32))</f>
        <v/>
      </c>
      <c r="Y32" s="47">
        <f>IF($A32="","",ROUND($W32-$X32,2))</f>
        <v/>
      </c>
      <c r="Z32" s="32">
        <f>IF(AND($V32=1,ABS(N($Y32))&gt;S_Tol),1,0)</f>
        <v/>
      </c>
      <c r="AA32" s="32">
        <f>IF($U32=0,"",IF($A32="","رقم المستند ناقص",IF(COUNTIF(Doc_Register!$A:$A,$A32)&gt;1,"رقم مستند مكرر في السجل المركزي",IF(LEFT($A32,LEN("MJE")+1)&lt;&gt;"MJE"&amp;"-","بادئة الرقم لا تطابق نوع المستند",IF(NOT(ISNUMBER($B32)),"التاريخ ناقص أو غير صحيح",IF($M32="","حالة المستند ناقصة",IF($N32="","اسم المُعِد ناقص",IF(AND(OR($M32=ST_APPR,$M32=ST_POST),$O32=""),"لا يوجد معتمد",IF(AND($O32&lt;&gt;"",$O32=$N32),"المُعِد والمعتمد نفس الشخص (فصل المهام)",IF(AND($M32=ST_POST,$P32=""),"اسم المحاسب المرحِّل ناقص",IF(AND($M32=ST_POST,$P32&lt;&gt;"",OR($P32=$N32,$P32=$O32)),"المرحِّل يجب أن يختلف عن المُعِد والمعتمد",IF(AND($M32=ST_REV,$R32=""),"مرجع التصحيح/الإلغاء ناقص",IF(AND(ISNUMBER($B32),OR($M32=ST_DRAFT,$M32=ST_APPR),COUNTIFS(Period_Close!$A:$A,YEAR($B32)*100+MONTH($B32),Period_Close!$B:$B,"مقفلة")&gt;0),"الفترة مقفلة: لا يسمح بمستند جديد",IF($E32="","رقم الحساب ناقص",IF(COUNTIFS(COA!$A:$A,$E32,COA!$R:$R,1)&lt;&gt;1,"حساب غير صالح أو رئيسي أو غير نشط",IF(NOT(COUNTIF(Locations!$A:$A,$F32)&gt;0),"الموقع غير معرف",IF(NOT(COUNTIF(Cost_Centers!$A:$A,$G32)&gt;0),"مركز التكلفة غير معرف أو ناقص",IF(OR(N($J32)&lt;0,N($K32)&lt;0),"مبلغ سالب",IF(AND(N($J32)&gt;0,N($K32)&gt;0),"السطر يحتوي مدين ودائن معًا",IF(AND(N($J32)=0,N($K32)=0),"السطر بدون مبلغ",IF(AND(OR($E32=ACC_SUPPLIERS,$E32=ACC_CUSTOMERS,$E32=1501,$E32=1502),$H32=""),"كود الجهة إلزامي لحسابات الموردين/العملاء/السلف/العهد",IF(AND($E32=ACC_SUPPLIERS,$H32&lt;&gt;"",COUNTIF(Suppliers!$A:$A,$H32)=0),"كود المورد غير معرف",IF(AND($E32=ACC_CUSTOMERS,$H32&lt;&gt;"",COUNTIF(Customers!$A:$A,$H32)=0),"كود العميل غير معرف",IF(AND(OR($E32=1501,$E32=1502),$H32&lt;&gt;"",COUNTIF(Employees!$A:$A,$H32)=0),"كود الموظف غير معرف",IF(AND(IFERROR(INDEX(COA!$H:$H,MATCH($E32,COA!$A:$A,0)),0)=1,$L32=""),"تصنيف التدفق ناقص لسطر نقدي",IF($D32="","نوع القيد ناقص",IF(AND($D32="عكس",$R32=""),"قيد العكس يحتاج مرجع القيد المعكوس","")))))))))))))))))))))))))))</f>
        <v/>
      </c>
      <c r="AB32" s="32">
        <f>IF($U32=1,IF($AA32&lt;&gt;"",1,0),0)</f>
        <v/>
      </c>
      <c r="AC32" s="32">
        <f>IF($A32="",0,SUMIFS($AB:$AB,$A:$A,$A32))</f>
        <v/>
      </c>
      <c r="AD32" s="32">
        <f>IF($A32="",0,IF(COUNTIFS($A:$A,$A32,$M:$M,"&lt;&gt;"&amp;$M32)&gt;0,1,0))</f>
        <v/>
      </c>
      <c r="AE32" s="32">
        <f>IF($U32=0,"",IF($AA32&lt;&gt;"",$AA32,IF(ABS(N($Y32))&gt;S_Tol,"القيد غير متوازن (مدين ≠ دائن) - لن يُرحَّل",IF($AD32=1,"حالات أسطر القيد غير متسقة",IF($AC32&gt;0,"يوجد خطأ في سطر آخر من نفس القيد","")))))</f>
        <v/>
      </c>
      <c r="AF32" s="32">
        <f>IF($U32=1,IF($AE32&lt;&gt;"",1,0),0)</f>
        <v/>
      </c>
      <c r="AG32" s="32">
        <f>IF(AND($U32=1,$AF32=0,$M32=ST_POST),1,0)</f>
        <v/>
      </c>
    </row>
    <row r="33">
      <c r="A33" s="29" t="n"/>
      <c r="B33" s="31" t="n"/>
      <c r="C33" s="29" t="n"/>
      <c r="D33" s="29" t="n"/>
      <c r="E33" s="39" t="n"/>
      <c r="F33" s="39" t="n"/>
      <c r="G33" s="39" t="n"/>
      <c r="H33" s="29" t="n"/>
      <c r="I33" s="29" t="n"/>
      <c r="J33" s="42" t="n"/>
      <c r="K33" s="42" t="n"/>
      <c r="L33" s="29" t="n"/>
      <c r="M33" s="39" t="n"/>
      <c r="N33" s="29" t="n"/>
      <c r="O33" s="29" t="n"/>
      <c r="P33" s="29" t="n"/>
      <c r="Q33" s="29" t="n"/>
      <c r="R33" s="29" t="n"/>
      <c r="S33" s="29" t="n"/>
      <c r="T33" s="32">
        <f>IF($E33="","",IFERROR(INDEX(COA!$B:$B,MATCH($E33,COA!$A:$A,0)),"حساب غير موجود"))</f>
        <v/>
      </c>
      <c r="U33" s="32">
        <f>IF(COUNTA($A33:$S33)&gt;0,1,0)</f>
        <v/>
      </c>
      <c r="V33" s="32">
        <f>IF($A33="",0,IF(COUNTIF($A$5:$A33,$A33)=1,1,0))</f>
        <v/>
      </c>
      <c r="W33" s="43">
        <f>IF($A33="","",SUMIFS($J:$J,$A:$A,$A33))</f>
        <v/>
      </c>
      <c r="X33" s="43">
        <f>IF($A33="","",SUMIFS($K:$K,$A:$A,$A33))</f>
        <v/>
      </c>
      <c r="Y33" s="47">
        <f>IF($A33="","",ROUND($W33-$X33,2))</f>
        <v/>
      </c>
      <c r="Z33" s="32">
        <f>IF(AND($V33=1,ABS(N($Y33))&gt;S_Tol),1,0)</f>
        <v/>
      </c>
      <c r="AA33" s="32">
        <f>IF($U33=0,"",IF($A33="","رقم المستند ناقص",IF(COUNTIF(Doc_Register!$A:$A,$A33)&gt;1,"رقم مستند مكرر في السجل المركزي",IF(LEFT($A33,LEN("MJE")+1)&lt;&gt;"MJE"&amp;"-","بادئة الرقم لا تطابق نوع المستند",IF(NOT(ISNUMBER($B33)),"التاريخ ناقص أو غير صحيح",IF($M33="","حالة المستند ناقصة",IF($N33="","اسم المُعِد ناقص",IF(AND(OR($M33=ST_APPR,$M33=ST_POST),$O33=""),"لا يوجد معتمد",IF(AND($O33&lt;&gt;"",$O33=$N33),"المُعِد والمعتمد نفس الشخص (فصل المهام)",IF(AND($M33=ST_POST,$P33=""),"اسم المحاسب المرحِّل ناقص",IF(AND($M33=ST_POST,$P33&lt;&gt;"",OR($P33=$N33,$P33=$O33)),"المرحِّل يجب أن يختلف عن المُعِد والمعتمد",IF(AND($M33=ST_REV,$R33=""),"مرجع التصحيح/الإلغاء ناقص",IF(AND(ISNUMBER($B33),OR($M33=ST_DRAFT,$M33=ST_APPR),COUNTIFS(Period_Close!$A:$A,YEAR($B33)*100+MONTH($B33),Period_Close!$B:$B,"مقفلة")&gt;0),"الفترة مقفلة: لا يسمح بمستند جديد",IF($E33="","رقم الحساب ناقص",IF(COUNTIFS(COA!$A:$A,$E33,COA!$R:$R,1)&lt;&gt;1,"حساب غير صالح أو رئيسي أو غير نشط",IF(NOT(COUNTIF(Locations!$A:$A,$F33)&gt;0),"الموقع غير معرف",IF(NOT(COUNTIF(Cost_Centers!$A:$A,$G33)&gt;0),"مركز التكلفة غير معرف أو ناقص",IF(OR(N($J33)&lt;0,N($K33)&lt;0),"مبلغ سالب",IF(AND(N($J33)&gt;0,N($K33)&gt;0),"السطر يحتوي مدين ودائن معًا",IF(AND(N($J33)=0,N($K33)=0),"السطر بدون مبلغ",IF(AND(OR($E33=ACC_SUPPLIERS,$E33=ACC_CUSTOMERS,$E33=1501,$E33=1502),$H33=""),"كود الجهة إلزامي لحسابات الموردين/العملاء/السلف/العهد",IF(AND($E33=ACC_SUPPLIERS,$H33&lt;&gt;"",COUNTIF(Suppliers!$A:$A,$H33)=0),"كود المورد غير معرف",IF(AND($E33=ACC_CUSTOMERS,$H33&lt;&gt;"",COUNTIF(Customers!$A:$A,$H33)=0),"كود العميل غير معرف",IF(AND(OR($E33=1501,$E33=1502),$H33&lt;&gt;"",COUNTIF(Employees!$A:$A,$H33)=0),"كود الموظف غير معرف",IF(AND(IFERROR(INDEX(COA!$H:$H,MATCH($E33,COA!$A:$A,0)),0)=1,$L33=""),"تصنيف التدفق ناقص لسطر نقدي",IF($D33="","نوع القيد ناقص",IF(AND($D33="عكس",$R33=""),"قيد العكس يحتاج مرجع القيد المعكوس","")))))))))))))))))))))))))))</f>
        <v/>
      </c>
      <c r="AB33" s="32">
        <f>IF($U33=1,IF($AA33&lt;&gt;"",1,0),0)</f>
        <v/>
      </c>
      <c r="AC33" s="32">
        <f>IF($A33="",0,SUMIFS($AB:$AB,$A:$A,$A33))</f>
        <v/>
      </c>
      <c r="AD33" s="32">
        <f>IF($A33="",0,IF(COUNTIFS($A:$A,$A33,$M:$M,"&lt;&gt;"&amp;$M33)&gt;0,1,0))</f>
        <v/>
      </c>
      <c r="AE33" s="32">
        <f>IF($U33=0,"",IF($AA33&lt;&gt;"",$AA33,IF(ABS(N($Y33))&gt;S_Tol,"القيد غير متوازن (مدين ≠ دائن) - لن يُرحَّل",IF($AD33=1,"حالات أسطر القيد غير متسقة",IF($AC33&gt;0,"يوجد خطأ في سطر آخر من نفس القيد","")))))</f>
        <v/>
      </c>
      <c r="AF33" s="32">
        <f>IF($U33=1,IF($AE33&lt;&gt;"",1,0),0)</f>
        <v/>
      </c>
      <c r="AG33" s="32">
        <f>IF(AND($U33=1,$AF33=0,$M33=ST_POST),1,0)</f>
        <v/>
      </c>
    </row>
    <row r="34">
      <c r="A34" s="29" t="n"/>
      <c r="B34" s="31" t="n"/>
      <c r="C34" s="29" t="n"/>
      <c r="D34" s="29" t="n"/>
      <c r="E34" s="39" t="n"/>
      <c r="F34" s="39" t="n"/>
      <c r="G34" s="39" t="n"/>
      <c r="H34" s="29" t="n"/>
      <c r="I34" s="29" t="n"/>
      <c r="J34" s="42" t="n"/>
      <c r="K34" s="42" t="n"/>
      <c r="L34" s="29" t="n"/>
      <c r="M34" s="39" t="n"/>
      <c r="N34" s="29" t="n"/>
      <c r="O34" s="29" t="n"/>
      <c r="P34" s="29" t="n"/>
      <c r="Q34" s="29" t="n"/>
      <c r="R34" s="29" t="n"/>
      <c r="S34" s="29" t="n"/>
      <c r="T34" s="32">
        <f>IF($E34="","",IFERROR(INDEX(COA!$B:$B,MATCH($E34,COA!$A:$A,0)),"حساب غير موجود"))</f>
        <v/>
      </c>
      <c r="U34" s="32">
        <f>IF(COUNTA($A34:$S34)&gt;0,1,0)</f>
        <v/>
      </c>
      <c r="V34" s="32">
        <f>IF($A34="",0,IF(COUNTIF($A$5:$A34,$A34)=1,1,0))</f>
        <v/>
      </c>
      <c r="W34" s="43">
        <f>IF($A34="","",SUMIFS($J:$J,$A:$A,$A34))</f>
        <v/>
      </c>
      <c r="X34" s="43">
        <f>IF($A34="","",SUMIFS($K:$K,$A:$A,$A34))</f>
        <v/>
      </c>
      <c r="Y34" s="47">
        <f>IF($A34="","",ROUND($W34-$X34,2))</f>
        <v/>
      </c>
      <c r="Z34" s="32">
        <f>IF(AND($V34=1,ABS(N($Y34))&gt;S_Tol),1,0)</f>
        <v/>
      </c>
      <c r="AA34" s="32">
        <f>IF($U34=0,"",IF($A34="","رقم المستند ناقص",IF(COUNTIF(Doc_Register!$A:$A,$A34)&gt;1,"رقم مستند مكرر في السجل المركزي",IF(LEFT($A34,LEN("MJE")+1)&lt;&gt;"MJE"&amp;"-","بادئة الرقم لا تطابق نوع المستند",IF(NOT(ISNUMBER($B34)),"التاريخ ناقص أو غير صحيح",IF($M34="","حالة المستند ناقصة",IF($N34="","اسم المُعِد ناقص",IF(AND(OR($M34=ST_APPR,$M34=ST_POST),$O34=""),"لا يوجد معتمد",IF(AND($O34&lt;&gt;"",$O34=$N34),"المُعِد والمعتمد نفس الشخص (فصل المهام)",IF(AND($M34=ST_POST,$P34=""),"اسم المحاسب المرحِّل ناقص",IF(AND($M34=ST_POST,$P34&lt;&gt;"",OR($P34=$N34,$P34=$O34)),"المرحِّل يجب أن يختلف عن المُعِد والمعتمد",IF(AND($M34=ST_REV,$R34=""),"مرجع التصحيح/الإلغاء ناقص",IF(AND(ISNUMBER($B34),OR($M34=ST_DRAFT,$M34=ST_APPR),COUNTIFS(Period_Close!$A:$A,YEAR($B34)*100+MONTH($B34),Period_Close!$B:$B,"مقفلة")&gt;0),"الفترة مقفلة: لا يسمح بمستند جديد",IF($E34="","رقم الحساب ناقص",IF(COUNTIFS(COA!$A:$A,$E34,COA!$R:$R,1)&lt;&gt;1,"حساب غير صالح أو رئيسي أو غير نشط",IF(NOT(COUNTIF(Locations!$A:$A,$F34)&gt;0),"الموقع غير معرف",IF(NOT(COUNTIF(Cost_Centers!$A:$A,$G34)&gt;0),"مركز التكلفة غير معرف أو ناقص",IF(OR(N($J34)&lt;0,N($K34)&lt;0),"مبلغ سالب",IF(AND(N($J34)&gt;0,N($K34)&gt;0),"السطر يحتوي مدين ودائن معًا",IF(AND(N($J34)=0,N($K34)=0),"السطر بدون مبلغ",IF(AND(OR($E34=ACC_SUPPLIERS,$E34=ACC_CUSTOMERS,$E34=1501,$E34=1502),$H34=""),"كود الجهة إلزامي لحسابات الموردين/العملاء/السلف/العهد",IF(AND($E34=ACC_SUPPLIERS,$H34&lt;&gt;"",COUNTIF(Suppliers!$A:$A,$H34)=0),"كود المورد غير معرف",IF(AND($E34=ACC_CUSTOMERS,$H34&lt;&gt;"",COUNTIF(Customers!$A:$A,$H34)=0),"كود العميل غير معرف",IF(AND(OR($E34=1501,$E34=1502),$H34&lt;&gt;"",COUNTIF(Employees!$A:$A,$H34)=0),"كود الموظف غير معرف",IF(AND(IFERROR(INDEX(COA!$H:$H,MATCH($E34,COA!$A:$A,0)),0)=1,$L34=""),"تصنيف التدفق ناقص لسطر نقدي",IF($D34="","نوع القيد ناقص",IF(AND($D34="عكس",$R34=""),"قيد العكس يحتاج مرجع القيد المعكوس","")))))))))))))))))))))))))))</f>
        <v/>
      </c>
      <c r="AB34" s="32">
        <f>IF($U34=1,IF($AA34&lt;&gt;"",1,0),0)</f>
        <v/>
      </c>
      <c r="AC34" s="32">
        <f>IF($A34="",0,SUMIFS($AB:$AB,$A:$A,$A34))</f>
        <v/>
      </c>
      <c r="AD34" s="32">
        <f>IF($A34="",0,IF(COUNTIFS($A:$A,$A34,$M:$M,"&lt;&gt;"&amp;$M34)&gt;0,1,0))</f>
        <v/>
      </c>
      <c r="AE34" s="32">
        <f>IF($U34=0,"",IF($AA34&lt;&gt;"",$AA34,IF(ABS(N($Y34))&gt;S_Tol,"القيد غير متوازن (مدين ≠ دائن) - لن يُرحَّل",IF($AD34=1,"حالات أسطر القيد غير متسقة",IF($AC34&gt;0,"يوجد خطأ في سطر آخر من نفس القيد","")))))</f>
        <v/>
      </c>
      <c r="AF34" s="32">
        <f>IF($U34=1,IF($AE34&lt;&gt;"",1,0),0)</f>
        <v/>
      </c>
      <c r="AG34" s="32">
        <f>IF(AND($U34=1,$AF34=0,$M34=ST_POST),1,0)</f>
        <v/>
      </c>
    </row>
    <row r="35">
      <c r="A35" s="29" t="n"/>
      <c r="B35" s="31" t="n"/>
      <c r="C35" s="29" t="n"/>
      <c r="D35" s="29" t="n"/>
      <c r="E35" s="39" t="n"/>
      <c r="F35" s="39" t="n"/>
      <c r="G35" s="39" t="n"/>
      <c r="H35" s="29" t="n"/>
      <c r="I35" s="29" t="n"/>
      <c r="J35" s="42" t="n"/>
      <c r="K35" s="42" t="n"/>
      <c r="L35" s="29" t="n"/>
      <c r="M35" s="39" t="n"/>
      <c r="N35" s="29" t="n"/>
      <c r="O35" s="29" t="n"/>
      <c r="P35" s="29" t="n"/>
      <c r="Q35" s="29" t="n"/>
      <c r="R35" s="29" t="n"/>
      <c r="S35" s="29" t="n"/>
      <c r="T35" s="32">
        <f>IF($E35="","",IFERROR(INDEX(COA!$B:$B,MATCH($E35,COA!$A:$A,0)),"حساب غير موجود"))</f>
        <v/>
      </c>
      <c r="U35" s="32">
        <f>IF(COUNTA($A35:$S35)&gt;0,1,0)</f>
        <v/>
      </c>
      <c r="V35" s="32">
        <f>IF($A35="",0,IF(COUNTIF($A$5:$A35,$A35)=1,1,0))</f>
        <v/>
      </c>
      <c r="W35" s="43">
        <f>IF($A35="","",SUMIFS($J:$J,$A:$A,$A35))</f>
        <v/>
      </c>
      <c r="X35" s="43">
        <f>IF($A35="","",SUMIFS($K:$K,$A:$A,$A35))</f>
        <v/>
      </c>
      <c r="Y35" s="47">
        <f>IF($A35="","",ROUND($W35-$X35,2))</f>
        <v/>
      </c>
      <c r="Z35" s="32">
        <f>IF(AND($V35=1,ABS(N($Y35))&gt;S_Tol),1,0)</f>
        <v/>
      </c>
      <c r="AA35" s="32">
        <f>IF($U35=0,"",IF($A35="","رقم المستند ناقص",IF(COUNTIF(Doc_Register!$A:$A,$A35)&gt;1,"رقم مستند مكرر في السجل المركزي",IF(LEFT($A35,LEN("MJE")+1)&lt;&gt;"MJE"&amp;"-","بادئة الرقم لا تطابق نوع المستند",IF(NOT(ISNUMBER($B35)),"التاريخ ناقص أو غير صحيح",IF($M35="","حالة المستند ناقصة",IF($N35="","اسم المُعِد ناقص",IF(AND(OR($M35=ST_APPR,$M35=ST_POST),$O35=""),"لا يوجد معتمد",IF(AND($O35&lt;&gt;"",$O35=$N35),"المُعِد والمعتمد نفس الشخص (فصل المهام)",IF(AND($M35=ST_POST,$P35=""),"اسم المحاسب المرحِّل ناقص",IF(AND($M35=ST_POST,$P35&lt;&gt;"",OR($P35=$N35,$P35=$O35)),"المرحِّل يجب أن يختلف عن المُعِد والمعتمد",IF(AND($M35=ST_REV,$R35=""),"مرجع التصحيح/الإلغاء ناقص",IF(AND(ISNUMBER($B35),OR($M35=ST_DRAFT,$M35=ST_APPR),COUNTIFS(Period_Close!$A:$A,YEAR($B35)*100+MONTH($B35),Period_Close!$B:$B,"مقفلة")&gt;0),"الفترة مقفلة: لا يسمح بمستند جديد",IF($E35="","رقم الحساب ناقص",IF(COUNTIFS(COA!$A:$A,$E35,COA!$R:$R,1)&lt;&gt;1,"حساب غير صالح أو رئيسي أو غير نشط",IF(NOT(COUNTIF(Locations!$A:$A,$F35)&gt;0),"الموقع غير معرف",IF(NOT(COUNTIF(Cost_Centers!$A:$A,$G35)&gt;0),"مركز التكلفة غير معرف أو ناقص",IF(OR(N($J35)&lt;0,N($K35)&lt;0),"مبلغ سالب",IF(AND(N($J35)&gt;0,N($K35)&gt;0),"السطر يحتوي مدين ودائن معًا",IF(AND(N($J35)=0,N($K35)=0),"السطر بدون مبلغ",IF(AND(OR($E35=ACC_SUPPLIERS,$E35=ACC_CUSTOMERS,$E35=1501,$E35=1502),$H35=""),"كود الجهة إلزامي لحسابات الموردين/العملاء/السلف/العهد",IF(AND($E35=ACC_SUPPLIERS,$H35&lt;&gt;"",COUNTIF(Suppliers!$A:$A,$H35)=0),"كود المورد غير معرف",IF(AND($E35=ACC_CUSTOMERS,$H35&lt;&gt;"",COUNTIF(Customers!$A:$A,$H35)=0),"كود العميل غير معرف",IF(AND(OR($E35=1501,$E35=1502),$H35&lt;&gt;"",COUNTIF(Employees!$A:$A,$H35)=0),"كود الموظف غير معرف",IF(AND(IFERROR(INDEX(COA!$H:$H,MATCH($E35,COA!$A:$A,0)),0)=1,$L35=""),"تصنيف التدفق ناقص لسطر نقدي",IF($D35="","نوع القيد ناقص",IF(AND($D35="عكس",$R35=""),"قيد العكس يحتاج مرجع القيد المعكوس","")))))))))))))))))))))))))))</f>
        <v/>
      </c>
      <c r="AB35" s="32">
        <f>IF($U35=1,IF($AA35&lt;&gt;"",1,0),0)</f>
        <v/>
      </c>
      <c r="AC35" s="32">
        <f>IF($A35="",0,SUMIFS($AB:$AB,$A:$A,$A35))</f>
        <v/>
      </c>
      <c r="AD35" s="32">
        <f>IF($A35="",0,IF(COUNTIFS($A:$A,$A35,$M:$M,"&lt;&gt;"&amp;$M35)&gt;0,1,0))</f>
        <v/>
      </c>
      <c r="AE35" s="32">
        <f>IF($U35=0,"",IF($AA35&lt;&gt;"",$AA35,IF(ABS(N($Y35))&gt;S_Tol,"القيد غير متوازن (مدين ≠ دائن) - لن يُرحَّل",IF($AD35=1,"حالات أسطر القيد غير متسقة",IF($AC35&gt;0,"يوجد خطأ في سطر آخر من نفس القيد","")))))</f>
        <v/>
      </c>
      <c r="AF35" s="32">
        <f>IF($U35=1,IF($AE35&lt;&gt;"",1,0),0)</f>
        <v/>
      </c>
      <c r="AG35" s="32">
        <f>IF(AND($U35=1,$AF35=0,$M35=ST_POST),1,0)</f>
        <v/>
      </c>
    </row>
    <row r="36">
      <c r="A36" s="29" t="n"/>
      <c r="B36" s="31" t="n"/>
      <c r="C36" s="29" t="n"/>
      <c r="D36" s="29" t="n"/>
      <c r="E36" s="39" t="n"/>
      <c r="F36" s="39" t="n"/>
      <c r="G36" s="39" t="n"/>
      <c r="H36" s="29" t="n"/>
      <c r="I36" s="29" t="n"/>
      <c r="J36" s="42" t="n"/>
      <c r="K36" s="42" t="n"/>
      <c r="L36" s="29" t="n"/>
      <c r="M36" s="39" t="n"/>
      <c r="N36" s="29" t="n"/>
      <c r="O36" s="29" t="n"/>
      <c r="P36" s="29" t="n"/>
      <c r="Q36" s="29" t="n"/>
      <c r="R36" s="29" t="n"/>
      <c r="S36" s="29" t="n"/>
      <c r="T36" s="32">
        <f>IF($E36="","",IFERROR(INDEX(COA!$B:$B,MATCH($E36,COA!$A:$A,0)),"حساب غير موجود"))</f>
        <v/>
      </c>
      <c r="U36" s="32">
        <f>IF(COUNTA($A36:$S36)&gt;0,1,0)</f>
        <v/>
      </c>
      <c r="V36" s="32">
        <f>IF($A36="",0,IF(COUNTIF($A$5:$A36,$A36)=1,1,0))</f>
        <v/>
      </c>
      <c r="W36" s="43">
        <f>IF($A36="","",SUMIFS($J:$J,$A:$A,$A36))</f>
        <v/>
      </c>
      <c r="X36" s="43">
        <f>IF($A36="","",SUMIFS($K:$K,$A:$A,$A36))</f>
        <v/>
      </c>
      <c r="Y36" s="47">
        <f>IF($A36="","",ROUND($W36-$X36,2))</f>
        <v/>
      </c>
      <c r="Z36" s="32">
        <f>IF(AND($V36=1,ABS(N($Y36))&gt;S_Tol),1,0)</f>
        <v/>
      </c>
      <c r="AA36" s="32">
        <f>IF($U36=0,"",IF($A36="","رقم المستند ناقص",IF(COUNTIF(Doc_Register!$A:$A,$A36)&gt;1,"رقم مستند مكرر في السجل المركزي",IF(LEFT($A36,LEN("MJE")+1)&lt;&gt;"MJE"&amp;"-","بادئة الرقم لا تطابق نوع المستند",IF(NOT(ISNUMBER($B36)),"التاريخ ناقص أو غير صحيح",IF($M36="","حالة المستند ناقصة",IF($N36="","اسم المُعِد ناقص",IF(AND(OR($M36=ST_APPR,$M36=ST_POST),$O36=""),"لا يوجد معتمد",IF(AND($O36&lt;&gt;"",$O36=$N36),"المُعِد والمعتمد نفس الشخص (فصل المهام)",IF(AND($M36=ST_POST,$P36=""),"اسم المحاسب المرحِّل ناقص",IF(AND($M36=ST_POST,$P36&lt;&gt;"",OR($P36=$N36,$P36=$O36)),"المرحِّل يجب أن يختلف عن المُعِد والمعتمد",IF(AND($M36=ST_REV,$R36=""),"مرجع التصحيح/الإلغاء ناقص",IF(AND(ISNUMBER($B36),OR($M36=ST_DRAFT,$M36=ST_APPR),COUNTIFS(Period_Close!$A:$A,YEAR($B36)*100+MONTH($B36),Period_Close!$B:$B,"مقفلة")&gt;0),"الفترة مقفلة: لا يسمح بمستند جديد",IF($E36="","رقم الحساب ناقص",IF(COUNTIFS(COA!$A:$A,$E36,COA!$R:$R,1)&lt;&gt;1,"حساب غير صالح أو رئيسي أو غير نشط",IF(NOT(COUNTIF(Locations!$A:$A,$F36)&gt;0),"الموقع غير معرف",IF(NOT(COUNTIF(Cost_Centers!$A:$A,$G36)&gt;0),"مركز التكلفة غير معرف أو ناقص",IF(OR(N($J36)&lt;0,N($K36)&lt;0),"مبلغ سالب",IF(AND(N($J36)&gt;0,N($K36)&gt;0),"السطر يحتوي مدين ودائن معًا",IF(AND(N($J36)=0,N($K36)=0),"السطر بدون مبلغ",IF(AND(OR($E36=ACC_SUPPLIERS,$E36=ACC_CUSTOMERS,$E36=1501,$E36=1502),$H36=""),"كود الجهة إلزامي لحسابات الموردين/العملاء/السلف/العهد",IF(AND($E36=ACC_SUPPLIERS,$H36&lt;&gt;"",COUNTIF(Suppliers!$A:$A,$H36)=0),"كود المورد غير معرف",IF(AND($E36=ACC_CUSTOMERS,$H36&lt;&gt;"",COUNTIF(Customers!$A:$A,$H36)=0),"كود العميل غير معرف",IF(AND(OR($E36=1501,$E36=1502),$H36&lt;&gt;"",COUNTIF(Employees!$A:$A,$H36)=0),"كود الموظف غير معرف",IF(AND(IFERROR(INDEX(COA!$H:$H,MATCH($E36,COA!$A:$A,0)),0)=1,$L36=""),"تصنيف التدفق ناقص لسطر نقدي",IF($D36="","نوع القيد ناقص",IF(AND($D36="عكس",$R36=""),"قيد العكس يحتاج مرجع القيد المعكوس","")))))))))))))))))))))))))))</f>
        <v/>
      </c>
      <c r="AB36" s="32">
        <f>IF($U36=1,IF($AA36&lt;&gt;"",1,0),0)</f>
        <v/>
      </c>
      <c r="AC36" s="32">
        <f>IF($A36="",0,SUMIFS($AB:$AB,$A:$A,$A36))</f>
        <v/>
      </c>
      <c r="AD36" s="32">
        <f>IF($A36="",0,IF(COUNTIFS($A:$A,$A36,$M:$M,"&lt;&gt;"&amp;$M36)&gt;0,1,0))</f>
        <v/>
      </c>
      <c r="AE36" s="32">
        <f>IF($U36=0,"",IF($AA36&lt;&gt;"",$AA36,IF(ABS(N($Y36))&gt;S_Tol,"القيد غير متوازن (مدين ≠ دائن) - لن يُرحَّل",IF($AD36=1,"حالات أسطر القيد غير متسقة",IF($AC36&gt;0,"يوجد خطأ في سطر آخر من نفس القيد","")))))</f>
        <v/>
      </c>
      <c r="AF36" s="32">
        <f>IF($U36=1,IF($AE36&lt;&gt;"",1,0),0)</f>
        <v/>
      </c>
      <c r="AG36" s="32">
        <f>IF(AND($U36=1,$AF36=0,$M36=ST_POST),1,0)</f>
        <v/>
      </c>
    </row>
    <row r="37">
      <c r="A37" s="29" t="n"/>
      <c r="B37" s="31" t="n"/>
      <c r="C37" s="29" t="n"/>
      <c r="D37" s="29" t="n"/>
      <c r="E37" s="39" t="n"/>
      <c r="F37" s="39" t="n"/>
      <c r="G37" s="39" t="n"/>
      <c r="H37" s="29" t="n"/>
      <c r="I37" s="29" t="n"/>
      <c r="J37" s="42" t="n"/>
      <c r="K37" s="42" t="n"/>
      <c r="L37" s="29" t="n"/>
      <c r="M37" s="39" t="n"/>
      <c r="N37" s="29" t="n"/>
      <c r="O37" s="29" t="n"/>
      <c r="P37" s="29" t="n"/>
      <c r="Q37" s="29" t="n"/>
      <c r="R37" s="29" t="n"/>
      <c r="S37" s="29" t="n"/>
      <c r="T37" s="32">
        <f>IF($E37="","",IFERROR(INDEX(COA!$B:$B,MATCH($E37,COA!$A:$A,0)),"حساب غير موجود"))</f>
        <v/>
      </c>
      <c r="U37" s="32">
        <f>IF(COUNTA($A37:$S37)&gt;0,1,0)</f>
        <v/>
      </c>
      <c r="V37" s="32">
        <f>IF($A37="",0,IF(COUNTIF($A$5:$A37,$A37)=1,1,0))</f>
        <v/>
      </c>
      <c r="W37" s="43">
        <f>IF($A37="","",SUMIFS($J:$J,$A:$A,$A37))</f>
        <v/>
      </c>
      <c r="X37" s="43">
        <f>IF($A37="","",SUMIFS($K:$K,$A:$A,$A37))</f>
        <v/>
      </c>
      <c r="Y37" s="47">
        <f>IF($A37="","",ROUND($W37-$X37,2))</f>
        <v/>
      </c>
      <c r="Z37" s="32">
        <f>IF(AND($V37=1,ABS(N($Y37))&gt;S_Tol),1,0)</f>
        <v/>
      </c>
      <c r="AA37" s="32">
        <f>IF($U37=0,"",IF($A37="","رقم المستند ناقص",IF(COUNTIF(Doc_Register!$A:$A,$A37)&gt;1,"رقم مستند مكرر في السجل المركزي",IF(LEFT($A37,LEN("MJE")+1)&lt;&gt;"MJE"&amp;"-","بادئة الرقم لا تطابق نوع المستند",IF(NOT(ISNUMBER($B37)),"التاريخ ناقص أو غير صحيح",IF($M37="","حالة المستند ناقصة",IF($N37="","اسم المُعِد ناقص",IF(AND(OR($M37=ST_APPR,$M37=ST_POST),$O37=""),"لا يوجد معتمد",IF(AND($O37&lt;&gt;"",$O37=$N37),"المُعِد والمعتمد نفس الشخص (فصل المهام)",IF(AND($M37=ST_POST,$P37=""),"اسم المحاسب المرحِّل ناقص",IF(AND($M37=ST_POST,$P37&lt;&gt;"",OR($P37=$N37,$P37=$O37)),"المرحِّل يجب أن يختلف عن المُعِد والمعتمد",IF(AND($M37=ST_REV,$R37=""),"مرجع التصحيح/الإلغاء ناقص",IF(AND(ISNUMBER($B37),OR($M37=ST_DRAFT,$M37=ST_APPR),COUNTIFS(Period_Close!$A:$A,YEAR($B37)*100+MONTH($B37),Period_Close!$B:$B,"مقفلة")&gt;0),"الفترة مقفلة: لا يسمح بمستند جديد",IF($E37="","رقم الحساب ناقص",IF(COUNTIFS(COA!$A:$A,$E37,COA!$R:$R,1)&lt;&gt;1,"حساب غير صالح أو رئيسي أو غير نشط",IF(NOT(COUNTIF(Locations!$A:$A,$F37)&gt;0),"الموقع غير معرف",IF(NOT(COUNTIF(Cost_Centers!$A:$A,$G37)&gt;0),"مركز التكلفة غير معرف أو ناقص",IF(OR(N($J37)&lt;0,N($K37)&lt;0),"مبلغ سالب",IF(AND(N($J37)&gt;0,N($K37)&gt;0),"السطر يحتوي مدين ودائن معًا",IF(AND(N($J37)=0,N($K37)=0),"السطر بدون مبلغ",IF(AND(OR($E37=ACC_SUPPLIERS,$E37=ACC_CUSTOMERS,$E37=1501,$E37=1502),$H37=""),"كود الجهة إلزامي لحسابات الموردين/العملاء/السلف/العهد",IF(AND($E37=ACC_SUPPLIERS,$H37&lt;&gt;"",COUNTIF(Suppliers!$A:$A,$H37)=0),"كود المورد غير معرف",IF(AND($E37=ACC_CUSTOMERS,$H37&lt;&gt;"",COUNTIF(Customers!$A:$A,$H37)=0),"كود العميل غير معرف",IF(AND(OR($E37=1501,$E37=1502),$H37&lt;&gt;"",COUNTIF(Employees!$A:$A,$H37)=0),"كود الموظف غير معرف",IF(AND(IFERROR(INDEX(COA!$H:$H,MATCH($E37,COA!$A:$A,0)),0)=1,$L37=""),"تصنيف التدفق ناقص لسطر نقدي",IF($D37="","نوع القيد ناقص",IF(AND($D37="عكس",$R37=""),"قيد العكس يحتاج مرجع القيد المعكوس","")))))))))))))))))))))))))))</f>
        <v/>
      </c>
      <c r="AB37" s="32">
        <f>IF($U37=1,IF($AA37&lt;&gt;"",1,0),0)</f>
        <v/>
      </c>
      <c r="AC37" s="32">
        <f>IF($A37="",0,SUMIFS($AB:$AB,$A:$A,$A37))</f>
        <v/>
      </c>
      <c r="AD37" s="32">
        <f>IF($A37="",0,IF(COUNTIFS($A:$A,$A37,$M:$M,"&lt;&gt;"&amp;$M37)&gt;0,1,0))</f>
        <v/>
      </c>
      <c r="AE37" s="32">
        <f>IF($U37=0,"",IF($AA37&lt;&gt;"",$AA37,IF(ABS(N($Y37))&gt;S_Tol,"القيد غير متوازن (مدين ≠ دائن) - لن يُرحَّل",IF($AD37=1,"حالات أسطر القيد غير متسقة",IF($AC37&gt;0,"يوجد خطأ في سطر آخر من نفس القيد","")))))</f>
        <v/>
      </c>
      <c r="AF37" s="32">
        <f>IF($U37=1,IF($AE37&lt;&gt;"",1,0),0)</f>
        <v/>
      </c>
      <c r="AG37" s="32">
        <f>IF(AND($U37=1,$AF37=0,$M37=ST_POST),1,0)</f>
        <v/>
      </c>
    </row>
    <row r="38">
      <c r="A38" s="29" t="n"/>
      <c r="B38" s="31" t="n"/>
      <c r="C38" s="29" t="n"/>
      <c r="D38" s="29" t="n"/>
      <c r="E38" s="39" t="n"/>
      <c r="F38" s="39" t="n"/>
      <c r="G38" s="39" t="n"/>
      <c r="H38" s="29" t="n"/>
      <c r="I38" s="29" t="n"/>
      <c r="J38" s="42" t="n"/>
      <c r="K38" s="42" t="n"/>
      <c r="L38" s="29" t="n"/>
      <c r="M38" s="39" t="n"/>
      <c r="N38" s="29" t="n"/>
      <c r="O38" s="29" t="n"/>
      <c r="P38" s="29" t="n"/>
      <c r="Q38" s="29" t="n"/>
      <c r="R38" s="29" t="n"/>
      <c r="S38" s="29" t="n"/>
      <c r="T38" s="32">
        <f>IF($E38="","",IFERROR(INDEX(COA!$B:$B,MATCH($E38,COA!$A:$A,0)),"حساب غير موجود"))</f>
        <v/>
      </c>
      <c r="U38" s="32">
        <f>IF(COUNTA($A38:$S38)&gt;0,1,0)</f>
        <v/>
      </c>
      <c r="V38" s="32">
        <f>IF($A38="",0,IF(COUNTIF($A$5:$A38,$A38)=1,1,0))</f>
        <v/>
      </c>
      <c r="W38" s="43">
        <f>IF($A38="","",SUMIFS($J:$J,$A:$A,$A38))</f>
        <v/>
      </c>
      <c r="X38" s="43">
        <f>IF($A38="","",SUMIFS($K:$K,$A:$A,$A38))</f>
        <v/>
      </c>
      <c r="Y38" s="47">
        <f>IF($A38="","",ROUND($W38-$X38,2))</f>
        <v/>
      </c>
      <c r="Z38" s="32">
        <f>IF(AND($V38=1,ABS(N($Y38))&gt;S_Tol),1,0)</f>
        <v/>
      </c>
      <c r="AA38" s="32">
        <f>IF($U38=0,"",IF($A38="","رقم المستند ناقص",IF(COUNTIF(Doc_Register!$A:$A,$A38)&gt;1,"رقم مستند مكرر في السجل المركزي",IF(LEFT($A38,LEN("MJE")+1)&lt;&gt;"MJE"&amp;"-","بادئة الرقم لا تطابق نوع المستند",IF(NOT(ISNUMBER($B38)),"التاريخ ناقص أو غير صحيح",IF($M38="","حالة المستند ناقصة",IF($N38="","اسم المُعِد ناقص",IF(AND(OR($M38=ST_APPR,$M38=ST_POST),$O38=""),"لا يوجد معتمد",IF(AND($O38&lt;&gt;"",$O38=$N38),"المُعِد والمعتمد نفس الشخص (فصل المهام)",IF(AND($M38=ST_POST,$P38=""),"اسم المحاسب المرحِّل ناقص",IF(AND($M38=ST_POST,$P38&lt;&gt;"",OR($P38=$N38,$P38=$O38)),"المرحِّل يجب أن يختلف عن المُعِد والمعتمد",IF(AND($M38=ST_REV,$R38=""),"مرجع التصحيح/الإلغاء ناقص",IF(AND(ISNUMBER($B38),OR($M38=ST_DRAFT,$M38=ST_APPR),COUNTIFS(Period_Close!$A:$A,YEAR($B38)*100+MONTH($B38),Period_Close!$B:$B,"مقفلة")&gt;0),"الفترة مقفلة: لا يسمح بمستند جديد",IF($E38="","رقم الحساب ناقص",IF(COUNTIFS(COA!$A:$A,$E38,COA!$R:$R,1)&lt;&gt;1,"حساب غير صالح أو رئيسي أو غير نشط",IF(NOT(COUNTIF(Locations!$A:$A,$F38)&gt;0),"الموقع غير معرف",IF(NOT(COUNTIF(Cost_Centers!$A:$A,$G38)&gt;0),"مركز التكلفة غير معرف أو ناقص",IF(OR(N($J38)&lt;0,N($K38)&lt;0),"مبلغ سالب",IF(AND(N($J38)&gt;0,N($K38)&gt;0),"السطر يحتوي مدين ودائن معًا",IF(AND(N($J38)=0,N($K38)=0),"السطر بدون مبلغ",IF(AND(OR($E38=ACC_SUPPLIERS,$E38=ACC_CUSTOMERS,$E38=1501,$E38=1502),$H38=""),"كود الجهة إلزامي لحسابات الموردين/العملاء/السلف/العهد",IF(AND($E38=ACC_SUPPLIERS,$H38&lt;&gt;"",COUNTIF(Suppliers!$A:$A,$H38)=0),"كود المورد غير معرف",IF(AND($E38=ACC_CUSTOMERS,$H38&lt;&gt;"",COUNTIF(Customers!$A:$A,$H38)=0),"كود العميل غير معرف",IF(AND(OR($E38=1501,$E38=1502),$H38&lt;&gt;"",COUNTIF(Employees!$A:$A,$H38)=0),"كود الموظف غير معرف",IF(AND(IFERROR(INDEX(COA!$H:$H,MATCH($E38,COA!$A:$A,0)),0)=1,$L38=""),"تصنيف التدفق ناقص لسطر نقدي",IF($D38="","نوع القيد ناقص",IF(AND($D38="عكس",$R38=""),"قيد العكس يحتاج مرجع القيد المعكوس","")))))))))))))))))))))))))))</f>
        <v/>
      </c>
      <c r="AB38" s="32">
        <f>IF($U38=1,IF($AA38&lt;&gt;"",1,0),0)</f>
        <v/>
      </c>
      <c r="AC38" s="32">
        <f>IF($A38="",0,SUMIFS($AB:$AB,$A:$A,$A38))</f>
        <v/>
      </c>
      <c r="AD38" s="32">
        <f>IF($A38="",0,IF(COUNTIFS($A:$A,$A38,$M:$M,"&lt;&gt;"&amp;$M38)&gt;0,1,0))</f>
        <v/>
      </c>
      <c r="AE38" s="32">
        <f>IF($U38=0,"",IF($AA38&lt;&gt;"",$AA38,IF(ABS(N($Y38))&gt;S_Tol,"القيد غير متوازن (مدين ≠ دائن) - لن يُرحَّل",IF($AD38=1,"حالات أسطر القيد غير متسقة",IF($AC38&gt;0,"يوجد خطأ في سطر آخر من نفس القيد","")))))</f>
        <v/>
      </c>
      <c r="AF38" s="32">
        <f>IF($U38=1,IF($AE38&lt;&gt;"",1,0),0)</f>
        <v/>
      </c>
      <c r="AG38" s="32">
        <f>IF(AND($U38=1,$AF38=0,$M38=ST_POST),1,0)</f>
        <v/>
      </c>
    </row>
    <row r="39">
      <c r="A39" s="29" t="n"/>
      <c r="B39" s="31" t="n"/>
      <c r="C39" s="29" t="n"/>
      <c r="D39" s="29" t="n"/>
      <c r="E39" s="39" t="n"/>
      <c r="F39" s="39" t="n"/>
      <c r="G39" s="39" t="n"/>
      <c r="H39" s="29" t="n"/>
      <c r="I39" s="29" t="n"/>
      <c r="J39" s="42" t="n"/>
      <c r="K39" s="42" t="n"/>
      <c r="L39" s="29" t="n"/>
      <c r="M39" s="39" t="n"/>
      <c r="N39" s="29" t="n"/>
      <c r="O39" s="29" t="n"/>
      <c r="P39" s="29" t="n"/>
      <c r="Q39" s="29" t="n"/>
      <c r="R39" s="29" t="n"/>
      <c r="S39" s="29" t="n"/>
      <c r="T39" s="32">
        <f>IF($E39="","",IFERROR(INDEX(COA!$B:$B,MATCH($E39,COA!$A:$A,0)),"حساب غير موجود"))</f>
        <v/>
      </c>
      <c r="U39" s="32">
        <f>IF(COUNTA($A39:$S39)&gt;0,1,0)</f>
        <v/>
      </c>
      <c r="V39" s="32">
        <f>IF($A39="",0,IF(COUNTIF($A$5:$A39,$A39)=1,1,0))</f>
        <v/>
      </c>
      <c r="W39" s="43">
        <f>IF($A39="","",SUMIFS($J:$J,$A:$A,$A39))</f>
        <v/>
      </c>
      <c r="X39" s="43">
        <f>IF($A39="","",SUMIFS($K:$K,$A:$A,$A39))</f>
        <v/>
      </c>
      <c r="Y39" s="47">
        <f>IF($A39="","",ROUND($W39-$X39,2))</f>
        <v/>
      </c>
      <c r="Z39" s="32">
        <f>IF(AND($V39=1,ABS(N($Y39))&gt;S_Tol),1,0)</f>
        <v/>
      </c>
      <c r="AA39" s="32">
        <f>IF($U39=0,"",IF($A39="","رقم المستند ناقص",IF(COUNTIF(Doc_Register!$A:$A,$A39)&gt;1,"رقم مستند مكرر في السجل المركزي",IF(LEFT($A39,LEN("MJE")+1)&lt;&gt;"MJE"&amp;"-","بادئة الرقم لا تطابق نوع المستند",IF(NOT(ISNUMBER($B39)),"التاريخ ناقص أو غير صحيح",IF($M39="","حالة المستند ناقصة",IF($N39="","اسم المُعِد ناقص",IF(AND(OR($M39=ST_APPR,$M39=ST_POST),$O39=""),"لا يوجد معتمد",IF(AND($O39&lt;&gt;"",$O39=$N39),"المُعِد والمعتمد نفس الشخص (فصل المهام)",IF(AND($M39=ST_POST,$P39=""),"اسم المحاسب المرحِّل ناقص",IF(AND($M39=ST_POST,$P39&lt;&gt;"",OR($P39=$N39,$P39=$O39)),"المرحِّل يجب أن يختلف عن المُعِد والمعتمد",IF(AND($M39=ST_REV,$R39=""),"مرجع التصحيح/الإلغاء ناقص",IF(AND(ISNUMBER($B39),OR($M39=ST_DRAFT,$M39=ST_APPR),COUNTIFS(Period_Close!$A:$A,YEAR($B39)*100+MONTH($B39),Period_Close!$B:$B,"مقفلة")&gt;0),"الفترة مقفلة: لا يسمح بمستند جديد",IF($E39="","رقم الحساب ناقص",IF(COUNTIFS(COA!$A:$A,$E39,COA!$R:$R,1)&lt;&gt;1,"حساب غير صالح أو رئيسي أو غير نشط",IF(NOT(COUNTIF(Locations!$A:$A,$F39)&gt;0),"الموقع غير معرف",IF(NOT(COUNTIF(Cost_Centers!$A:$A,$G39)&gt;0),"مركز التكلفة غير معرف أو ناقص",IF(OR(N($J39)&lt;0,N($K39)&lt;0),"مبلغ سالب",IF(AND(N($J39)&gt;0,N($K39)&gt;0),"السطر يحتوي مدين ودائن معًا",IF(AND(N($J39)=0,N($K39)=0),"السطر بدون مبلغ",IF(AND(OR($E39=ACC_SUPPLIERS,$E39=ACC_CUSTOMERS,$E39=1501,$E39=1502),$H39=""),"كود الجهة إلزامي لحسابات الموردين/العملاء/السلف/العهد",IF(AND($E39=ACC_SUPPLIERS,$H39&lt;&gt;"",COUNTIF(Suppliers!$A:$A,$H39)=0),"كود المورد غير معرف",IF(AND($E39=ACC_CUSTOMERS,$H39&lt;&gt;"",COUNTIF(Customers!$A:$A,$H39)=0),"كود العميل غير معرف",IF(AND(OR($E39=1501,$E39=1502),$H39&lt;&gt;"",COUNTIF(Employees!$A:$A,$H39)=0),"كود الموظف غير معرف",IF(AND(IFERROR(INDEX(COA!$H:$H,MATCH($E39,COA!$A:$A,0)),0)=1,$L39=""),"تصنيف التدفق ناقص لسطر نقدي",IF($D39="","نوع القيد ناقص",IF(AND($D39="عكس",$R39=""),"قيد العكس يحتاج مرجع القيد المعكوس","")))))))))))))))))))))))))))</f>
        <v/>
      </c>
      <c r="AB39" s="32">
        <f>IF($U39=1,IF($AA39&lt;&gt;"",1,0),0)</f>
        <v/>
      </c>
      <c r="AC39" s="32">
        <f>IF($A39="",0,SUMIFS($AB:$AB,$A:$A,$A39))</f>
        <v/>
      </c>
      <c r="AD39" s="32">
        <f>IF($A39="",0,IF(COUNTIFS($A:$A,$A39,$M:$M,"&lt;&gt;"&amp;$M39)&gt;0,1,0))</f>
        <v/>
      </c>
      <c r="AE39" s="32">
        <f>IF($U39=0,"",IF($AA39&lt;&gt;"",$AA39,IF(ABS(N($Y39))&gt;S_Tol,"القيد غير متوازن (مدين ≠ دائن) - لن يُرحَّل",IF($AD39=1,"حالات أسطر القيد غير متسقة",IF($AC39&gt;0,"يوجد خطأ في سطر آخر من نفس القيد","")))))</f>
        <v/>
      </c>
      <c r="AF39" s="32">
        <f>IF($U39=1,IF($AE39&lt;&gt;"",1,0),0)</f>
        <v/>
      </c>
      <c r="AG39" s="32">
        <f>IF(AND($U39=1,$AF39=0,$M39=ST_POST),1,0)</f>
        <v/>
      </c>
    </row>
    <row r="40">
      <c r="A40" s="29" t="n"/>
      <c r="B40" s="31" t="n"/>
      <c r="C40" s="29" t="n"/>
      <c r="D40" s="29" t="n"/>
      <c r="E40" s="39" t="n"/>
      <c r="F40" s="39" t="n"/>
      <c r="G40" s="39" t="n"/>
      <c r="H40" s="29" t="n"/>
      <c r="I40" s="29" t="n"/>
      <c r="J40" s="42" t="n"/>
      <c r="K40" s="42" t="n"/>
      <c r="L40" s="29" t="n"/>
      <c r="M40" s="39" t="n"/>
      <c r="N40" s="29" t="n"/>
      <c r="O40" s="29" t="n"/>
      <c r="P40" s="29" t="n"/>
      <c r="Q40" s="29" t="n"/>
      <c r="R40" s="29" t="n"/>
      <c r="S40" s="29" t="n"/>
      <c r="T40" s="32">
        <f>IF($E40="","",IFERROR(INDEX(COA!$B:$B,MATCH($E40,COA!$A:$A,0)),"حساب غير موجود"))</f>
        <v/>
      </c>
      <c r="U40" s="32">
        <f>IF(COUNTA($A40:$S40)&gt;0,1,0)</f>
        <v/>
      </c>
      <c r="V40" s="32">
        <f>IF($A40="",0,IF(COUNTIF($A$5:$A40,$A40)=1,1,0))</f>
        <v/>
      </c>
      <c r="W40" s="43">
        <f>IF($A40="","",SUMIFS($J:$J,$A:$A,$A40))</f>
        <v/>
      </c>
      <c r="X40" s="43">
        <f>IF($A40="","",SUMIFS($K:$K,$A:$A,$A40))</f>
        <v/>
      </c>
      <c r="Y40" s="47">
        <f>IF($A40="","",ROUND($W40-$X40,2))</f>
        <v/>
      </c>
      <c r="Z40" s="32">
        <f>IF(AND($V40=1,ABS(N($Y40))&gt;S_Tol),1,0)</f>
        <v/>
      </c>
      <c r="AA40" s="32">
        <f>IF($U40=0,"",IF($A40="","رقم المستند ناقص",IF(COUNTIF(Doc_Register!$A:$A,$A40)&gt;1,"رقم مستند مكرر في السجل المركزي",IF(LEFT($A40,LEN("MJE")+1)&lt;&gt;"MJE"&amp;"-","بادئة الرقم لا تطابق نوع المستند",IF(NOT(ISNUMBER($B40)),"التاريخ ناقص أو غير صحيح",IF($M40="","حالة المستند ناقصة",IF($N40="","اسم المُعِد ناقص",IF(AND(OR($M40=ST_APPR,$M40=ST_POST),$O40=""),"لا يوجد معتمد",IF(AND($O40&lt;&gt;"",$O40=$N40),"المُعِد والمعتمد نفس الشخص (فصل المهام)",IF(AND($M40=ST_POST,$P40=""),"اسم المحاسب المرحِّل ناقص",IF(AND($M40=ST_POST,$P40&lt;&gt;"",OR($P40=$N40,$P40=$O40)),"المرحِّل يجب أن يختلف عن المُعِد والمعتمد",IF(AND($M40=ST_REV,$R40=""),"مرجع التصحيح/الإلغاء ناقص",IF(AND(ISNUMBER($B40),OR($M40=ST_DRAFT,$M40=ST_APPR),COUNTIFS(Period_Close!$A:$A,YEAR($B40)*100+MONTH($B40),Period_Close!$B:$B,"مقفلة")&gt;0),"الفترة مقفلة: لا يسمح بمستند جديد",IF($E40="","رقم الحساب ناقص",IF(COUNTIFS(COA!$A:$A,$E40,COA!$R:$R,1)&lt;&gt;1,"حساب غير صالح أو رئيسي أو غير نشط",IF(NOT(COUNTIF(Locations!$A:$A,$F40)&gt;0),"الموقع غير معرف",IF(NOT(COUNTIF(Cost_Centers!$A:$A,$G40)&gt;0),"مركز التكلفة غير معرف أو ناقص",IF(OR(N($J40)&lt;0,N($K40)&lt;0),"مبلغ سالب",IF(AND(N($J40)&gt;0,N($K40)&gt;0),"السطر يحتوي مدين ودائن معًا",IF(AND(N($J40)=0,N($K40)=0),"السطر بدون مبلغ",IF(AND(OR($E40=ACC_SUPPLIERS,$E40=ACC_CUSTOMERS,$E40=1501,$E40=1502),$H40=""),"كود الجهة إلزامي لحسابات الموردين/العملاء/السلف/العهد",IF(AND($E40=ACC_SUPPLIERS,$H40&lt;&gt;"",COUNTIF(Suppliers!$A:$A,$H40)=0),"كود المورد غير معرف",IF(AND($E40=ACC_CUSTOMERS,$H40&lt;&gt;"",COUNTIF(Customers!$A:$A,$H40)=0),"كود العميل غير معرف",IF(AND(OR($E40=1501,$E40=1502),$H40&lt;&gt;"",COUNTIF(Employees!$A:$A,$H40)=0),"كود الموظف غير معرف",IF(AND(IFERROR(INDEX(COA!$H:$H,MATCH($E40,COA!$A:$A,0)),0)=1,$L40=""),"تصنيف التدفق ناقص لسطر نقدي",IF($D40="","نوع القيد ناقص",IF(AND($D40="عكس",$R40=""),"قيد العكس يحتاج مرجع القيد المعكوس","")))))))))))))))))))))))))))</f>
        <v/>
      </c>
      <c r="AB40" s="32">
        <f>IF($U40=1,IF($AA40&lt;&gt;"",1,0),0)</f>
        <v/>
      </c>
      <c r="AC40" s="32">
        <f>IF($A40="",0,SUMIFS($AB:$AB,$A:$A,$A40))</f>
        <v/>
      </c>
      <c r="AD40" s="32">
        <f>IF($A40="",0,IF(COUNTIFS($A:$A,$A40,$M:$M,"&lt;&gt;"&amp;$M40)&gt;0,1,0))</f>
        <v/>
      </c>
      <c r="AE40" s="32">
        <f>IF($U40=0,"",IF($AA40&lt;&gt;"",$AA40,IF(ABS(N($Y40))&gt;S_Tol,"القيد غير متوازن (مدين ≠ دائن) - لن يُرحَّل",IF($AD40=1,"حالات أسطر القيد غير متسقة",IF($AC40&gt;0,"يوجد خطأ في سطر آخر من نفس القيد","")))))</f>
        <v/>
      </c>
      <c r="AF40" s="32">
        <f>IF($U40=1,IF($AE40&lt;&gt;"",1,0),0)</f>
        <v/>
      </c>
      <c r="AG40" s="32">
        <f>IF(AND($U40=1,$AF40=0,$M40=ST_POST),1,0)</f>
        <v/>
      </c>
    </row>
    <row r="41">
      <c r="A41" s="29" t="n"/>
      <c r="B41" s="31" t="n"/>
      <c r="C41" s="29" t="n"/>
      <c r="D41" s="29" t="n"/>
      <c r="E41" s="39" t="n"/>
      <c r="F41" s="39" t="n"/>
      <c r="G41" s="39" t="n"/>
      <c r="H41" s="29" t="n"/>
      <c r="I41" s="29" t="n"/>
      <c r="J41" s="42" t="n"/>
      <c r="K41" s="42" t="n"/>
      <c r="L41" s="29" t="n"/>
      <c r="M41" s="39" t="n"/>
      <c r="N41" s="29" t="n"/>
      <c r="O41" s="29" t="n"/>
      <c r="P41" s="29" t="n"/>
      <c r="Q41" s="29" t="n"/>
      <c r="R41" s="29" t="n"/>
      <c r="S41" s="29" t="n"/>
      <c r="T41" s="32">
        <f>IF($E41="","",IFERROR(INDEX(COA!$B:$B,MATCH($E41,COA!$A:$A,0)),"حساب غير موجود"))</f>
        <v/>
      </c>
      <c r="U41" s="32">
        <f>IF(COUNTA($A41:$S41)&gt;0,1,0)</f>
        <v/>
      </c>
      <c r="V41" s="32">
        <f>IF($A41="",0,IF(COUNTIF($A$5:$A41,$A41)=1,1,0))</f>
        <v/>
      </c>
      <c r="W41" s="43">
        <f>IF($A41="","",SUMIFS($J:$J,$A:$A,$A41))</f>
        <v/>
      </c>
      <c r="X41" s="43">
        <f>IF($A41="","",SUMIFS($K:$K,$A:$A,$A41))</f>
        <v/>
      </c>
      <c r="Y41" s="47">
        <f>IF($A41="","",ROUND($W41-$X41,2))</f>
        <v/>
      </c>
      <c r="Z41" s="32">
        <f>IF(AND($V41=1,ABS(N($Y41))&gt;S_Tol),1,0)</f>
        <v/>
      </c>
      <c r="AA41" s="32">
        <f>IF($U41=0,"",IF($A41="","رقم المستند ناقص",IF(COUNTIF(Doc_Register!$A:$A,$A41)&gt;1,"رقم مستند مكرر في السجل المركزي",IF(LEFT($A41,LEN("MJE")+1)&lt;&gt;"MJE"&amp;"-","بادئة الرقم لا تطابق نوع المستند",IF(NOT(ISNUMBER($B41)),"التاريخ ناقص أو غير صحيح",IF($M41="","حالة المستند ناقصة",IF($N41="","اسم المُعِد ناقص",IF(AND(OR($M41=ST_APPR,$M41=ST_POST),$O41=""),"لا يوجد معتمد",IF(AND($O41&lt;&gt;"",$O41=$N41),"المُعِد والمعتمد نفس الشخص (فصل المهام)",IF(AND($M41=ST_POST,$P41=""),"اسم المحاسب المرحِّل ناقص",IF(AND($M41=ST_POST,$P41&lt;&gt;"",OR($P41=$N41,$P41=$O41)),"المرحِّل يجب أن يختلف عن المُعِد والمعتمد",IF(AND($M41=ST_REV,$R41=""),"مرجع التصحيح/الإلغاء ناقص",IF(AND(ISNUMBER($B41),OR($M41=ST_DRAFT,$M41=ST_APPR),COUNTIFS(Period_Close!$A:$A,YEAR($B41)*100+MONTH($B41),Period_Close!$B:$B,"مقفلة")&gt;0),"الفترة مقفلة: لا يسمح بمستند جديد",IF($E41="","رقم الحساب ناقص",IF(COUNTIFS(COA!$A:$A,$E41,COA!$R:$R,1)&lt;&gt;1,"حساب غير صالح أو رئيسي أو غير نشط",IF(NOT(COUNTIF(Locations!$A:$A,$F41)&gt;0),"الموقع غير معرف",IF(NOT(COUNTIF(Cost_Centers!$A:$A,$G41)&gt;0),"مركز التكلفة غير معرف أو ناقص",IF(OR(N($J41)&lt;0,N($K41)&lt;0),"مبلغ سالب",IF(AND(N($J41)&gt;0,N($K41)&gt;0),"السطر يحتوي مدين ودائن معًا",IF(AND(N($J41)=0,N($K41)=0),"السطر بدون مبلغ",IF(AND(OR($E41=ACC_SUPPLIERS,$E41=ACC_CUSTOMERS,$E41=1501,$E41=1502),$H41=""),"كود الجهة إلزامي لحسابات الموردين/العملاء/السلف/العهد",IF(AND($E41=ACC_SUPPLIERS,$H41&lt;&gt;"",COUNTIF(Suppliers!$A:$A,$H41)=0),"كود المورد غير معرف",IF(AND($E41=ACC_CUSTOMERS,$H41&lt;&gt;"",COUNTIF(Customers!$A:$A,$H41)=0),"كود العميل غير معرف",IF(AND(OR($E41=1501,$E41=1502),$H41&lt;&gt;"",COUNTIF(Employees!$A:$A,$H41)=0),"كود الموظف غير معرف",IF(AND(IFERROR(INDEX(COA!$H:$H,MATCH($E41,COA!$A:$A,0)),0)=1,$L41=""),"تصنيف التدفق ناقص لسطر نقدي",IF($D41="","نوع القيد ناقص",IF(AND($D41="عكس",$R41=""),"قيد العكس يحتاج مرجع القيد المعكوس","")))))))))))))))))))))))))))</f>
        <v/>
      </c>
      <c r="AB41" s="32">
        <f>IF($U41=1,IF($AA41&lt;&gt;"",1,0),0)</f>
        <v/>
      </c>
      <c r="AC41" s="32">
        <f>IF($A41="",0,SUMIFS($AB:$AB,$A:$A,$A41))</f>
        <v/>
      </c>
      <c r="AD41" s="32">
        <f>IF($A41="",0,IF(COUNTIFS($A:$A,$A41,$M:$M,"&lt;&gt;"&amp;$M41)&gt;0,1,0))</f>
        <v/>
      </c>
      <c r="AE41" s="32">
        <f>IF($U41=0,"",IF($AA41&lt;&gt;"",$AA41,IF(ABS(N($Y41))&gt;S_Tol,"القيد غير متوازن (مدين ≠ دائن) - لن يُرحَّل",IF($AD41=1,"حالات أسطر القيد غير متسقة",IF($AC41&gt;0,"يوجد خطأ في سطر آخر من نفس القيد","")))))</f>
        <v/>
      </c>
      <c r="AF41" s="32">
        <f>IF($U41=1,IF($AE41&lt;&gt;"",1,0),0)</f>
        <v/>
      </c>
      <c r="AG41" s="32">
        <f>IF(AND($U41=1,$AF41=0,$M41=ST_POST),1,0)</f>
        <v/>
      </c>
    </row>
    <row r="42">
      <c r="A42" s="29" t="n"/>
      <c r="B42" s="31" t="n"/>
      <c r="C42" s="29" t="n"/>
      <c r="D42" s="29" t="n"/>
      <c r="E42" s="39" t="n"/>
      <c r="F42" s="39" t="n"/>
      <c r="G42" s="39" t="n"/>
      <c r="H42" s="29" t="n"/>
      <c r="I42" s="29" t="n"/>
      <c r="J42" s="42" t="n"/>
      <c r="K42" s="42" t="n"/>
      <c r="L42" s="29" t="n"/>
      <c r="M42" s="39" t="n"/>
      <c r="N42" s="29" t="n"/>
      <c r="O42" s="29" t="n"/>
      <c r="P42" s="29" t="n"/>
      <c r="Q42" s="29" t="n"/>
      <c r="R42" s="29" t="n"/>
      <c r="S42" s="29" t="n"/>
      <c r="T42" s="32">
        <f>IF($E42="","",IFERROR(INDEX(COA!$B:$B,MATCH($E42,COA!$A:$A,0)),"حساب غير موجود"))</f>
        <v/>
      </c>
      <c r="U42" s="32">
        <f>IF(COUNTA($A42:$S42)&gt;0,1,0)</f>
        <v/>
      </c>
      <c r="V42" s="32">
        <f>IF($A42="",0,IF(COUNTIF($A$5:$A42,$A42)=1,1,0))</f>
        <v/>
      </c>
      <c r="W42" s="43">
        <f>IF($A42="","",SUMIFS($J:$J,$A:$A,$A42))</f>
        <v/>
      </c>
      <c r="X42" s="43">
        <f>IF($A42="","",SUMIFS($K:$K,$A:$A,$A42))</f>
        <v/>
      </c>
      <c r="Y42" s="47">
        <f>IF($A42="","",ROUND($W42-$X42,2))</f>
        <v/>
      </c>
      <c r="Z42" s="32">
        <f>IF(AND($V42=1,ABS(N($Y42))&gt;S_Tol),1,0)</f>
        <v/>
      </c>
      <c r="AA42" s="32">
        <f>IF($U42=0,"",IF($A42="","رقم المستند ناقص",IF(COUNTIF(Doc_Register!$A:$A,$A42)&gt;1,"رقم مستند مكرر في السجل المركزي",IF(LEFT($A42,LEN("MJE")+1)&lt;&gt;"MJE"&amp;"-","بادئة الرقم لا تطابق نوع المستند",IF(NOT(ISNUMBER($B42)),"التاريخ ناقص أو غير صحيح",IF($M42="","حالة المستند ناقصة",IF($N42="","اسم المُعِد ناقص",IF(AND(OR($M42=ST_APPR,$M42=ST_POST),$O42=""),"لا يوجد معتمد",IF(AND($O42&lt;&gt;"",$O42=$N42),"المُعِد والمعتمد نفس الشخص (فصل المهام)",IF(AND($M42=ST_POST,$P42=""),"اسم المحاسب المرحِّل ناقص",IF(AND($M42=ST_POST,$P42&lt;&gt;"",OR($P42=$N42,$P42=$O42)),"المرحِّل يجب أن يختلف عن المُعِد والمعتمد",IF(AND($M42=ST_REV,$R42=""),"مرجع التصحيح/الإلغاء ناقص",IF(AND(ISNUMBER($B42),OR($M42=ST_DRAFT,$M42=ST_APPR),COUNTIFS(Period_Close!$A:$A,YEAR($B42)*100+MONTH($B42),Period_Close!$B:$B,"مقفلة")&gt;0),"الفترة مقفلة: لا يسمح بمستند جديد",IF($E42="","رقم الحساب ناقص",IF(COUNTIFS(COA!$A:$A,$E42,COA!$R:$R,1)&lt;&gt;1,"حساب غير صالح أو رئيسي أو غير نشط",IF(NOT(COUNTIF(Locations!$A:$A,$F42)&gt;0),"الموقع غير معرف",IF(NOT(COUNTIF(Cost_Centers!$A:$A,$G42)&gt;0),"مركز التكلفة غير معرف أو ناقص",IF(OR(N($J42)&lt;0,N($K42)&lt;0),"مبلغ سالب",IF(AND(N($J42)&gt;0,N($K42)&gt;0),"السطر يحتوي مدين ودائن معًا",IF(AND(N($J42)=0,N($K42)=0),"السطر بدون مبلغ",IF(AND(OR($E42=ACC_SUPPLIERS,$E42=ACC_CUSTOMERS,$E42=1501,$E42=1502),$H42=""),"كود الجهة إلزامي لحسابات الموردين/العملاء/السلف/العهد",IF(AND($E42=ACC_SUPPLIERS,$H42&lt;&gt;"",COUNTIF(Suppliers!$A:$A,$H42)=0),"كود المورد غير معرف",IF(AND($E42=ACC_CUSTOMERS,$H42&lt;&gt;"",COUNTIF(Customers!$A:$A,$H42)=0),"كود العميل غير معرف",IF(AND(OR($E42=1501,$E42=1502),$H42&lt;&gt;"",COUNTIF(Employees!$A:$A,$H42)=0),"كود الموظف غير معرف",IF(AND(IFERROR(INDEX(COA!$H:$H,MATCH($E42,COA!$A:$A,0)),0)=1,$L42=""),"تصنيف التدفق ناقص لسطر نقدي",IF($D42="","نوع القيد ناقص",IF(AND($D42="عكس",$R42=""),"قيد العكس يحتاج مرجع القيد المعكوس","")))))))))))))))))))))))))))</f>
        <v/>
      </c>
      <c r="AB42" s="32">
        <f>IF($U42=1,IF($AA42&lt;&gt;"",1,0),0)</f>
        <v/>
      </c>
      <c r="AC42" s="32">
        <f>IF($A42="",0,SUMIFS($AB:$AB,$A:$A,$A42))</f>
        <v/>
      </c>
      <c r="AD42" s="32">
        <f>IF($A42="",0,IF(COUNTIFS($A:$A,$A42,$M:$M,"&lt;&gt;"&amp;$M42)&gt;0,1,0))</f>
        <v/>
      </c>
      <c r="AE42" s="32">
        <f>IF($U42=0,"",IF($AA42&lt;&gt;"",$AA42,IF(ABS(N($Y42))&gt;S_Tol,"القيد غير متوازن (مدين ≠ دائن) - لن يُرحَّل",IF($AD42=1,"حالات أسطر القيد غير متسقة",IF($AC42&gt;0,"يوجد خطأ في سطر آخر من نفس القيد","")))))</f>
        <v/>
      </c>
      <c r="AF42" s="32">
        <f>IF($U42=1,IF($AE42&lt;&gt;"",1,0),0)</f>
        <v/>
      </c>
      <c r="AG42" s="32">
        <f>IF(AND($U42=1,$AF42=0,$M42=ST_POST),1,0)</f>
        <v/>
      </c>
    </row>
    <row r="43">
      <c r="A43" s="29" t="n"/>
      <c r="B43" s="31" t="n"/>
      <c r="C43" s="29" t="n"/>
      <c r="D43" s="29" t="n"/>
      <c r="E43" s="39" t="n"/>
      <c r="F43" s="39" t="n"/>
      <c r="G43" s="39" t="n"/>
      <c r="H43" s="29" t="n"/>
      <c r="I43" s="29" t="n"/>
      <c r="J43" s="42" t="n"/>
      <c r="K43" s="42" t="n"/>
      <c r="L43" s="29" t="n"/>
      <c r="M43" s="39" t="n"/>
      <c r="N43" s="29" t="n"/>
      <c r="O43" s="29" t="n"/>
      <c r="P43" s="29" t="n"/>
      <c r="Q43" s="29" t="n"/>
      <c r="R43" s="29" t="n"/>
      <c r="S43" s="29" t="n"/>
      <c r="T43" s="32">
        <f>IF($E43="","",IFERROR(INDEX(COA!$B:$B,MATCH($E43,COA!$A:$A,0)),"حساب غير موجود"))</f>
        <v/>
      </c>
      <c r="U43" s="32">
        <f>IF(COUNTA($A43:$S43)&gt;0,1,0)</f>
        <v/>
      </c>
      <c r="V43" s="32">
        <f>IF($A43="",0,IF(COUNTIF($A$5:$A43,$A43)=1,1,0))</f>
        <v/>
      </c>
      <c r="W43" s="43">
        <f>IF($A43="","",SUMIFS($J:$J,$A:$A,$A43))</f>
        <v/>
      </c>
      <c r="X43" s="43">
        <f>IF($A43="","",SUMIFS($K:$K,$A:$A,$A43))</f>
        <v/>
      </c>
      <c r="Y43" s="47">
        <f>IF($A43="","",ROUND($W43-$X43,2))</f>
        <v/>
      </c>
      <c r="Z43" s="32">
        <f>IF(AND($V43=1,ABS(N($Y43))&gt;S_Tol),1,0)</f>
        <v/>
      </c>
      <c r="AA43" s="32">
        <f>IF($U43=0,"",IF($A43="","رقم المستند ناقص",IF(COUNTIF(Doc_Register!$A:$A,$A43)&gt;1,"رقم مستند مكرر في السجل المركزي",IF(LEFT($A43,LEN("MJE")+1)&lt;&gt;"MJE"&amp;"-","بادئة الرقم لا تطابق نوع المستند",IF(NOT(ISNUMBER($B43)),"التاريخ ناقص أو غير صحيح",IF($M43="","حالة المستند ناقصة",IF($N43="","اسم المُعِد ناقص",IF(AND(OR($M43=ST_APPR,$M43=ST_POST),$O43=""),"لا يوجد معتمد",IF(AND($O43&lt;&gt;"",$O43=$N43),"المُعِد والمعتمد نفس الشخص (فصل المهام)",IF(AND($M43=ST_POST,$P43=""),"اسم المحاسب المرحِّل ناقص",IF(AND($M43=ST_POST,$P43&lt;&gt;"",OR($P43=$N43,$P43=$O43)),"المرحِّل يجب أن يختلف عن المُعِد والمعتمد",IF(AND($M43=ST_REV,$R43=""),"مرجع التصحيح/الإلغاء ناقص",IF(AND(ISNUMBER($B43),OR($M43=ST_DRAFT,$M43=ST_APPR),COUNTIFS(Period_Close!$A:$A,YEAR($B43)*100+MONTH($B43),Period_Close!$B:$B,"مقفلة")&gt;0),"الفترة مقفلة: لا يسمح بمستند جديد",IF($E43="","رقم الحساب ناقص",IF(COUNTIFS(COA!$A:$A,$E43,COA!$R:$R,1)&lt;&gt;1,"حساب غير صالح أو رئيسي أو غير نشط",IF(NOT(COUNTIF(Locations!$A:$A,$F43)&gt;0),"الموقع غير معرف",IF(NOT(COUNTIF(Cost_Centers!$A:$A,$G43)&gt;0),"مركز التكلفة غير معرف أو ناقص",IF(OR(N($J43)&lt;0,N($K43)&lt;0),"مبلغ سالب",IF(AND(N($J43)&gt;0,N($K43)&gt;0),"السطر يحتوي مدين ودائن معًا",IF(AND(N($J43)=0,N($K43)=0),"السطر بدون مبلغ",IF(AND(OR($E43=ACC_SUPPLIERS,$E43=ACC_CUSTOMERS,$E43=1501,$E43=1502),$H43=""),"كود الجهة إلزامي لحسابات الموردين/العملاء/السلف/العهد",IF(AND($E43=ACC_SUPPLIERS,$H43&lt;&gt;"",COUNTIF(Suppliers!$A:$A,$H43)=0),"كود المورد غير معرف",IF(AND($E43=ACC_CUSTOMERS,$H43&lt;&gt;"",COUNTIF(Customers!$A:$A,$H43)=0),"كود العميل غير معرف",IF(AND(OR($E43=1501,$E43=1502),$H43&lt;&gt;"",COUNTIF(Employees!$A:$A,$H43)=0),"كود الموظف غير معرف",IF(AND(IFERROR(INDEX(COA!$H:$H,MATCH($E43,COA!$A:$A,0)),0)=1,$L43=""),"تصنيف التدفق ناقص لسطر نقدي",IF($D43="","نوع القيد ناقص",IF(AND($D43="عكس",$R43=""),"قيد العكس يحتاج مرجع القيد المعكوس","")))))))))))))))))))))))))))</f>
        <v/>
      </c>
      <c r="AB43" s="32">
        <f>IF($U43=1,IF($AA43&lt;&gt;"",1,0),0)</f>
        <v/>
      </c>
      <c r="AC43" s="32">
        <f>IF($A43="",0,SUMIFS($AB:$AB,$A:$A,$A43))</f>
        <v/>
      </c>
      <c r="AD43" s="32">
        <f>IF($A43="",0,IF(COUNTIFS($A:$A,$A43,$M:$M,"&lt;&gt;"&amp;$M43)&gt;0,1,0))</f>
        <v/>
      </c>
      <c r="AE43" s="32">
        <f>IF($U43=0,"",IF($AA43&lt;&gt;"",$AA43,IF(ABS(N($Y43))&gt;S_Tol,"القيد غير متوازن (مدين ≠ دائن) - لن يُرحَّل",IF($AD43=1,"حالات أسطر القيد غير متسقة",IF($AC43&gt;0,"يوجد خطأ في سطر آخر من نفس القيد","")))))</f>
        <v/>
      </c>
      <c r="AF43" s="32">
        <f>IF($U43=1,IF($AE43&lt;&gt;"",1,0),0)</f>
        <v/>
      </c>
      <c r="AG43" s="32">
        <f>IF(AND($U43=1,$AF43=0,$M43=ST_POST),1,0)</f>
        <v/>
      </c>
    </row>
    <row r="44">
      <c r="A44" s="29" t="n"/>
      <c r="B44" s="31" t="n"/>
      <c r="C44" s="29" t="n"/>
      <c r="D44" s="29" t="n"/>
      <c r="E44" s="39" t="n"/>
      <c r="F44" s="39" t="n"/>
      <c r="G44" s="39" t="n"/>
      <c r="H44" s="29" t="n"/>
      <c r="I44" s="29" t="n"/>
      <c r="J44" s="42" t="n"/>
      <c r="K44" s="42" t="n"/>
      <c r="L44" s="29" t="n"/>
      <c r="M44" s="39" t="n"/>
      <c r="N44" s="29" t="n"/>
      <c r="O44" s="29" t="n"/>
      <c r="P44" s="29" t="n"/>
      <c r="Q44" s="29" t="n"/>
      <c r="R44" s="29" t="n"/>
      <c r="S44" s="29" t="n"/>
      <c r="T44" s="32">
        <f>IF($E44="","",IFERROR(INDEX(COA!$B:$B,MATCH($E44,COA!$A:$A,0)),"حساب غير موجود"))</f>
        <v/>
      </c>
      <c r="U44" s="32">
        <f>IF(COUNTA($A44:$S44)&gt;0,1,0)</f>
        <v/>
      </c>
      <c r="V44" s="32">
        <f>IF($A44="",0,IF(COUNTIF($A$5:$A44,$A44)=1,1,0))</f>
        <v/>
      </c>
      <c r="W44" s="43">
        <f>IF($A44="","",SUMIFS($J:$J,$A:$A,$A44))</f>
        <v/>
      </c>
      <c r="X44" s="43">
        <f>IF($A44="","",SUMIFS($K:$K,$A:$A,$A44))</f>
        <v/>
      </c>
      <c r="Y44" s="47">
        <f>IF($A44="","",ROUND($W44-$X44,2))</f>
        <v/>
      </c>
      <c r="Z44" s="32">
        <f>IF(AND($V44=1,ABS(N($Y44))&gt;S_Tol),1,0)</f>
        <v/>
      </c>
      <c r="AA44" s="32">
        <f>IF($U44=0,"",IF($A44="","رقم المستند ناقص",IF(COUNTIF(Doc_Register!$A:$A,$A44)&gt;1,"رقم مستند مكرر في السجل المركزي",IF(LEFT($A44,LEN("MJE")+1)&lt;&gt;"MJE"&amp;"-","بادئة الرقم لا تطابق نوع المستند",IF(NOT(ISNUMBER($B44)),"التاريخ ناقص أو غير صحيح",IF($M44="","حالة المستند ناقصة",IF($N44="","اسم المُعِد ناقص",IF(AND(OR($M44=ST_APPR,$M44=ST_POST),$O44=""),"لا يوجد معتمد",IF(AND($O44&lt;&gt;"",$O44=$N44),"المُعِد والمعتمد نفس الشخص (فصل المهام)",IF(AND($M44=ST_POST,$P44=""),"اسم المحاسب المرحِّل ناقص",IF(AND($M44=ST_POST,$P44&lt;&gt;"",OR($P44=$N44,$P44=$O44)),"المرحِّل يجب أن يختلف عن المُعِد والمعتمد",IF(AND($M44=ST_REV,$R44=""),"مرجع التصحيح/الإلغاء ناقص",IF(AND(ISNUMBER($B44),OR($M44=ST_DRAFT,$M44=ST_APPR),COUNTIFS(Period_Close!$A:$A,YEAR($B44)*100+MONTH($B44),Period_Close!$B:$B,"مقفلة")&gt;0),"الفترة مقفلة: لا يسمح بمستند جديد",IF($E44="","رقم الحساب ناقص",IF(COUNTIFS(COA!$A:$A,$E44,COA!$R:$R,1)&lt;&gt;1,"حساب غير صالح أو رئيسي أو غير نشط",IF(NOT(COUNTIF(Locations!$A:$A,$F44)&gt;0),"الموقع غير معرف",IF(NOT(COUNTIF(Cost_Centers!$A:$A,$G44)&gt;0),"مركز التكلفة غير معرف أو ناقص",IF(OR(N($J44)&lt;0,N($K44)&lt;0),"مبلغ سالب",IF(AND(N($J44)&gt;0,N($K44)&gt;0),"السطر يحتوي مدين ودائن معًا",IF(AND(N($J44)=0,N($K44)=0),"السطر بدون مبلغ",IF(AND(OR($E44=ACC_SUPPLIERS,$E44=ACC_CUSTOMERS,$E44=1501,$E44=1502),$H44=""),"كود الجهة إلزامي لحسابات الموردين/العملاء/السلف/العهد",IF(AND($E44=ACC_SUPPLIERS,$H44&lt;&gt;"",COUNTIF(Suppliers!$A:$A,$H44)=0),"كود المورد غير معرف",IF(AND($E44=ACC_CUSTOMERS,$H44&lt;&gt;"",COUNTIF(Customers!$A:$A,$H44)=0),"كود العميل غير معرف",IF(AND(OR($E44=1501,$E44=1502),$H44&lt;&gt;"",COUNTIF(Employees!$A:$A,$H44)=0),"كود الموظف غير معرف",IF(AND(IFERROR(INDEX(COA!$H:$H,MATCH($E44,COA!$A:$A,0)),0)=1,$L44=""),"تصنيف التدفق ناقص لسطر نقدي",IF($D44="","نوع القيد ناقص",IF(AND($D44="عكس",$R44=""),"قيد العكس يحتاج مرجع القيد المعكوس","")))))))))))))))))))))))))))</f>
        <v/>
      </c>
      <c r="AB44" s="32">
        <f>IF($U44=1,IF($AA44&lt;&gt;"",1,0),0)</f>
        <v/>
      </c>
      <c r="AC44" s="32">
        <f>IF($A44="",0,SUMIFS($AB:$AB,$A:$A,$A44))</f>
        <v/>
      </c>
      <c r="AD44" s="32">
        <f>IF($A44="",0,IF(COUNTIFS($A:$A,$A44,$M:$M,"&lt;&gt;"&amp;$M44)&gt;0,1,0))</f>
        <v/>
      </c>
      <c r="AE44" s="32">
        <f>IF($U44=0,"",IF($AA44&lt;&gt;"",$AA44,IF(ABS(N($Y44))&gt;S_Tol,"القيد غير متوازن (مدين ≠ دائن) - لن يُرحَّل",IF($AD44=1,"حالات أسطر القيد غير متسقة",IF($AC44&gt;0,"يوجد خطأ في سطر آخر من نفس القيد","")))))</f>
        <v/>
      </c>
      <c r="AF44" s="32">
        <f>IF($U44=1,IF($AE44&lt;&gt;"",1,0),0)</f>
        <v/>
      </c>
      <c r="AG44" s="32">
        <f>IF(AND($U44=1,$AF44=0,$M44=ST_POST),1,0)</f>
        <v/>
      </c>
    </row>
    <row r="45">
      <c r="A45" s="29" t="n"/>
      <c r="B45" s="31" t="n"/>
      <c r="C45" s="29" t="n"/>
      <c r="D45" s="29" t="n"/>
      <c r="E45" s="39" t="n"/>
      <c r="F45" s="39" t="n"/>
      <c r="G45" s="39" t="n"/>
      <c r="H45" s="29" t="n"/>
      <c r="I45" s="29" t="n"/>
      <c r="J45" s="42" t="n"/>
      <c r="K45" s="42" t="n"/>
      <c r="L45" s="29" t="n"/>
      <c r="M45" s="39" t="n"/>
      <c r="N45" s="29" t="n"/>
      <c r="O45" s="29" t="n"/>
      <c r="P45" s="29" t="n"/>
      <c r="Q45" s="29" t="n"/>
      <c r="R45" s="29" t="n"/>
      <c r="S45" s="29" t="n"/>
      <c r="T45" s="32">
        <f>IF($E45="","",IFERROR(INDEX(COA!$B:$B,MATCH($E45,COA!$A:$A,0)),"حساب غير موجود"))</f>
        <v/>
      </c>
      <c r="U45" s="32">
        <f>IF(COUNTA($A45:$S45)&gt;0,1,0)</f>
        <v/>
      </c>
      <c r="V45" s="32">
        <f>IF($A45="",0,IF(COUNTIF($A$5:$A45,$A45)=1,1,0))</f>
        <v/>
      </c>
      <c r="W45" s="43">
        <f>IF($A45="","",SUMIFS($J:$J,$A:$A,$A45))</f>
        <v/>
      </c>
      <c r="X45" s="43">
        <f>IF($A45="","",SUMIFS($K:$K,$A:$A,$A45))</f>
        <v/>
      </c>
      <c r="Y45" s="47">
        <f>IF($A45="","",ROUND($W45-$X45,2))</f>
        <v/>
      </c>
      <c r="Z45" s="32">
        <f>IF(AND($V45=1,ABS(N($Y45))&gt;S_Tol),1,0)</f>
        <v/>
      </c>
      <c r="AA45" s="32">
        <f>IF($U45=0,"",IF($A45="","رقم المستند ناقص",IF(COUNTIF(Doc_Register!$A:$A,$A45)&gt;1,"رقم مستند مكرر في السجل المركزي",IF(LEFT($A45,LEN("MJE")+1)&lt;&gt;"MJE"&amp;"-","بادئة الرقم لا تطابق نوع المستند",IF(NOT(ISNUMBER($B45)),"التاريخ ناقص أو غير صحيح",IF($M45="","حالة المستند ناقصة",IF($N45="","اسم المُعِد ناقص",IF(AND(OR($M45=ST_APPR,$M45=ST_POST),$O45=""),"لا يوجد معتمد",IF(AND($O45&lt;&gt;"",$O45=$N45),"المُعِد والمعتمد نفس الشخص (فصل المهام)",IF(AND($M45=ST_POST,$P45=""),"اسم المحاسب المرحِّل ناقص",IF(AND($M45=ST_POST,$P45&lt;&gt;"",OR($P45=$N45,$P45=$O45)),"المرحِّل يجب أن يختلف عن المُعِد والمعتمد",IF(AND($M45=ST_REV,$R45=""),"مرجع التصحيح/الإلغاء ناقص",IF(AND(ISNUMBER($B45),OR($M45=ST_DRAFT,$M45=ST_APPR),COUNTIFS(Period_Close!$A:$A,YEAR($B45)*100+MONTH($B45),Period_Close!$B:$B,"مقفلة")&gt;0),"الفترة مقفلة: لا يسمح بمستند جديد",IF($E45="","رقم الحساب ناقص",IF(COUNTIFS(COA!$A:$A,$E45,COA!$R:$R,1)&lt;&gt;1,"حساب غير صالح أو رئيسي أو غير نشط",IF(NOT(COUNTIF(Locations!$A:$A,$F45)&gt;0),"الموقع غير معرف",IF(NOT(COUNTIF(Cost_Centers!$A:$A,$G45)&gt;0),"مركز التكلفة غير معرف أو ناقص",IF(OR(N($J45)&lt;0,N($K45)&lt;0),"مبلغ سالب",IF(AND(N($J45)&gt;0,N($K45)&gt;0),"السطر يحتوي مدين ودائن معًا",IF(AND(N($J45)=0,N($K45)=0),"السطر بدون مبلغ",IF(AND(OR($E45=ACC_SUPPLIERS,$E45=ACC_CUSTOMERS,$E45=1501,$E45=1502),$H45=""),"كود الجهة إلزامي لحسابات الموردين/العملاء/السلف/العهد",IF(AND($E45=ACC_SUPPLIERS,$H45&lt;&gt;"",COUNTIF(Suppliers!$A:$A,$H45)=0),"كود المورد غير معرف",IF(AND($E45=ACC_CUSTOMERS,$H45&lt;&gt;"",COUNTIF(Customers!$A:$A,$H45)=0),"كود العميل غير معرف",IF(AND(OR($E45=1501,$E45=1502),$H45&lt;&gt;"",COUNTIF(Employees!$A:$A,$H45)=0),"كود الموظف غير معرف",IF(AND(IFERROR(INDEX(COA!$H:$H,MATCH($E45,COA!$A:$A,0)),0)=1,$L45=""),"تصنيف التدفق ناقص لسطر نقدي",IF($D45="","نوع القيد ناقص",IF(AND($D45="عكس",$R45=""),"قيد العكس يحتاج مرجع القيد المعكوس","")))))))))))))))))))))))))))</f>
        <v/>
      </c>
      <c r="AB45" s="32">
        <f>IF($U45=1,IF($AA45&lt;&gt;"",1,0),0)</f>
        <v/>
      </c>
      <c r="AC45" s="32">
        <f>IF($A45="",0,SUMIFS($AB:$AB,$A:$A,$A45))</f>
        <v/>
      </c>
      <c r="AD45" s="32">
        <f>IF($A45="",0,IF(COUNTIFS($A:$A,$A45,$M:$M,"&lt;&gt;"&amp;$M45)&gt;0,1,0))</f>
        <v/>
      </c>
      <c r="AE45" s="32">
        <f>IF($U45=0,"",IF($AA45&lt;&gt;"",$AA45,IF(ABS(N($Y45))&gt;S_Tol,"القيد غير متوازن (مدين ≠ دائن) - لن يُرحَّل",IF($AD45=1,"حالات أسطر القيد غير متسقة",IF($AC45&gt;0,"يوجد خطأ في سطر آخر من نفس القيد","")))))</f>
        <v/>
      </c>
      <c r="AF45" s="32">
        <f>IF($U45=1,IF($AE45&lt;&gt;"",1,0),0)</f>
        <v/>
      </c>
      <c r="AG45" s="32">
        <f>IF(AND($U45=1,$AF45=0,$M45=ST_POST),1,0)</f>
        <v/>
      </c>
    </row>
    <row r="46">
      <c r="A46" s="29" t="n"/>
      <c r="B46" s="31" t="n"/>
      <c r="C46" s="29" t="n"/>
      <c r="D46" s="29" t="n"/>
      <c r="E46" s="39" t="n"/>
      <c r="F46" s="39" t="n"/>
      <c r="G46" s="39" t="n"/>
      <c r="H46" s="29" t="n"/>
      <c r="I46" s="29" t="n"/>
      <c r="J46" s="42" t="n"/>
      <c r="K46" s="42" t="n"/>
      <c r="L46" s="29" t="n"/>
      <c r="M46" s="39" t="n"/>
      <c r="N46" s="29" t="n"/>
      <c r="O46" s="29" t="n"/>
      <c r="P46" s="29" t="n"/>
      <c r="Q46" s="29" t="n"/>
      <c r="R46" s="29" t="n"/>
      <c r="S46" s="29" t="n"/>
      <c r="T46" s="32">
        <f>IF($E46="","",IFERROR(INDEX(COA!$B:$B,MATCH($E46,COA!$A:$A,0)),"حساب غير موجود"))</f>
        <v/>
      </c>
      <c r="U46" s="32">
        <f>IF(COUNTA($A46:$S46)&gt;0,1,0)</f>
        <v/>
      </c>
      <c r="V46" s="32">
        <f>IF($A46="",0,IF(COUNTIF($A$5:$A46,$A46)=1,1,0))</f>
        <v/>
      </c>
      <c r="W46" s="43">
        <f>IF($A46="","",SUMIFS($J:$J,$A:$A,$A46))</f>
        <v/>
      </c>
      <c r="X46" s="43">
        <f>IF($A46="","",SUMIFS($K:$K,$A:$A,$A46))</f>
        <v/>
      </c>
      <c r="Y46" s="47">
        <f>IF($A46="","",ROUND($W46-$X46,2))</f>
        <v/>
      </c>
      <c r="Z46" s="32">
        <f>IF(AND($V46=1,ABS(N($Y46))&gt;S_Tol),1,0)</f>
        <v/>
      </c>
      <c r="AA46" s="32">
        <f>IF($U46=0,"",IF($A46="","رقم المستند ناقص",IF(COUNTIF(Doc_Register!$A:$A,$A46)&gt;1,"رقم مستند مكرر في السجل المركزي",IF(LEFT($A46,LEN("MJE")+1)&lt;&gt;"MJE"&amp;"-","بادئة الرقم لا تطابق نوع المستند",IF(NOT(ISNUMBER($B46)),"التاريخ ناقص أو غير صحيح",IF($M46="","حالة المستند ناقصة",IF($N46="","اسم المُعِد ناقص",IF(AND(OR($M46=ST_APPR,$M46=ST_POST),$O46=""),"لا يوجد معتمد",IF(AND($O46&lt;&gt;"",$O46=$N46),"المُعِد والمعتمد نفس الشخص (فصل المهام)",IF(AND($M46=ST_POST,$P46=""),"اسم المحاسب المرحِّل ناقص",IF(AND($M46=ST_POST,$P46&lt;&gt;"",OR($P46=$N46,$P46=$O46)),"المرحِّل يجب أن يختلف عن المُعِد والمعتمد",IF(AND($M46=ST_REV,$R46=""),"مرجع التصحيح/الإلغاء ناقص",IF(AND(ISNUMBER($B46),OR($M46=ST_DRAFT,$M46=ST_APPR),COUNTIFS(Period_Close!$A:$A,YEAR($B46)*100+MONTH($B46),Period_Close!$B:$B,"مقفلة")&gt;0),"الفترة مقفلة: لا يسمح بمستند جديد",IF($E46="","رقم الحساب ناقص",IF(COUNTIFS(COA!$A:$A,$E46,COA!$R:$R,1)&lt;&gt;1,"حساب غير صالح أو رئيسي أو غير نشط",IF(NOT(COUNTIF(Locations!$A:$A,$F46)&gt;0),"الموقع غير معرف",IF(NOT(COUNTIF(Cost_Centers!$A:$A,$G46)&gt;0),"مركز التكلفة غير معرف أو ناقص",IF(OR(N($J46)&lt;0,N($K46)&lt;0),"مبلغ سالب",IF(AND(N($J46)&gt;0,N($K46)&gt;0),"السطر يحتوي مدين ودائن معًا",IF(AND(N($J46)=0,N($K46)=0),"السطر بدون مبلغ",IF(AND(OR($E46=ACC_SUPPLIERS,$E46=ACC_CUSTOMERS,$E46=1501,$E46=1502),$H46=""),"كود الجهة إلزامي لحسابات الموردين/العملاء/السلف/العهد",IF(AND($E46=ACC_SUPPLIERS,$H46&lt;&gt;"",COUNTIF(Suppliers!$A:$A,$H46)=0),"كود المورد غير معرف",IF(AND($E46=ACC_CUSTOMERS,$H46&lt;&gt;"",COUNTIF(Customers!$A:$A,$H46)=0),"كود العميل غير معرف",IF(AND(OR($E46=1501,$E46=1502),$H46&lt;&gt;"",COUNTIF(Employees!$A:$A,$H46)=0),"كود الموظف غير معرف",IF(AND(IFERROR(INDEX(COA!$H:$H,MATCH($E46,COA!$A:$A,0)),0)=1,$L46=""),"تصنيف التدفق ناقص لسطر نقدي",IF($D46="","نوع القيد ناقص",IF(AND($D46="عكس",$R46=""),"قيد العكس يحتاج مرجع القيد المعكوس","")))))))))))))))))))))))))))</f>
        <v/>
      </c>
      <c r="AB46" s="32">
        <f>IF($U46=1,IF($AA46&lt;&gt;"",1,0),0)</f>
        <v/>
      </c>
      <c r="AC46" s="32">
        <f>IF($A46="",0,SUMIFS($AB:$AB,$A:$A,$A46))</f>
        <v/>
      </c>
      <c r="AD46" s="32">
        <f>IF($A46="",0,IF(COUNTIFS($A:$A,$A46,$M:$M,"&lt;&gt;"&amp;$M46)&gt;0,1,0))</f>
        <v/>
      </c>
      <c r="AE46" s="32">
        <f>IF($U46=0,"",IF($AA46&lt;&gt;"",$AA46,IF(ABS(N($Y46))&gt;S_Tol,"القيد غير متوازن (مدين ≠ دائن) - لن يُرحَّل",IF($AD46=1,"حالات أسطر القيد غير متسقة",IF($AC46&gt;0,"يوجد خطأ في سطر آخر من نفس القيد","")))))</f>
        <v/>
      </c>
      <c r="AF46" s="32">
        <f>IF($U46=1,IF($AE46&lt;&gt;"",1,0),0)</f>
        <v/>
      </c>
      <c r="AG46" s="32">
        <f>IF(AND($U46=1,$AF46=0,$M46=ST_POST),1,0)</f>
        <v/>
      </c>
    </row>
    <row r="47">
      <c r="A47" s="29" t="n"/>
      <c r="B47" s="31" t="n"/>
      <c r="C47" s="29" t="n"/>
      <c r="D47" s="29" t="n"/>
      <c r="E47" s="39" t="n"/>
      <c r="F47" s="39" t="n"/>
      <c r="G47" s="39" t="n"/>
      <c r="H47" s="29" t="n"/>
      <c r="I47" s="29" t="n"/>
      <c r="J47" s="42" t="n"/>
      <c r="K47" s="42" t="n"/>
      <c r="L47" s="29" t="n"/>
      <c r="M47" s="39" t="n"/>
      <c r="N47" s="29" t="n"/>
      <c r="O47" s="29" t="n"/>
      <c r="P47" s="29" t="n"/>
      <c r="Q47" s="29" t="n"/>
      <c r="R47" s="29" t="n"/>
      <c r="S47" s="29" t="n"/>
      <c r="T47" s="32">
        <f>IF($E47="","",IFERROR(INDEX(COA!$B:$B,MATCH($E47,COA!$A:$A,0)),"حساب غير موجود"))</f>
        <v/>
      </c>
      <c r="U47" s="32">
        <f>IF(COUNTA($A47:$S47)&gt;0,1,0)</f>
        <v/>
      </c>
      <c r="V47" s="32">
        <f>IF($A47="",0,IF(COUNTIF($A$5:$A47,$A47)=1,1,0))</f>
        <v/>
      </c>
      <c r="W47" s="43">
        <f>IF($A47="","",SUMIFS($J:$J,$A:$A,$A47))</f>
        <v/>
      </c>
      <c r="X47" s="43">
        <f>IF($A47="","",SUMIFS($K:$K,$A:$A,$A47))</f>
        <v/>
      </c>
      <c r="Y47" s="47">
        <f>IF($A47="","",ROUND($W47-$X47,2))</f>
        <v/>
      </c>
      <c r="Z47" s="32">
        <f>IF(AND($V47=1,ABS(N($Y47))&gt;S_Tol),1,0)</f>
        <v/>
      </c>
      <c r="AA47" s="32">
        <f>IF($U47=0,"",IF($A47="","رقم المستند ناقص",IF(COUNTIF(Doc_Register!$A:$A,$A47)&gt;1,"رقم مستند مكرر في السجل المركزي",IF(LEFT($A47,LEN("MJE")+1)&lt;&gt;"MJE"&amp;"-","بادئة الرقم لا تطابق نوع المستند",IF(NOT(ISNUMBER($B47)),"التاريخ ناقص أو غير صحيح",IF($M47="","حالة المستند ناقصة",IF($N47="","اسم المُعِد ناقص",IF(AND(OR($M47=ST_APPR,$M47=ST_POST),$O47=""),"لا يوجد معتمد",IF(AND($O47&lt;&gt;"",$O47=$N47),"المُعِد والمعتمد نفس الشخص (فصل المهام)",IF(AND($M47=ST_POST,$P47=""),"اسم المحاسب المرحِّل ناقص",IF(AND($M47=ST_POST,$P47&lt;&gt;"",OR($P47=$N47,$P47=$O47)),"المرحِّل يجب أن يختلف عن المُعِد والمعتمد",IF(AND($M47=ST_REV,$R47=""),"مرجع التصحيح/الإلغاء ناقص",IF(AND(ISNUMBER($B47),OR($M47=ST_DRAFT,$M47=ST_APPR),COUNTIFS(Period_Close!$A:$A,YEAR($B47)*100+MONTH($B47),Period_Close!$B:$B,"مقفلة")&gt;0),"الفترة مقفلة: لا يسمح بمستند جديد",IF($E47="","رقم الحساب ناقص",IF(COUNTIFS(COA!$A:$A,$E47,COA!$R:$R,1)&lt;&gt;1,"حساب غير صالح أو رئيسي أو غير نشط",IF(NOT(COUNTIF(Locations!$A:$A,$F47)&gt;0),"الموقع غير معرف",IF(NOT(COUNTIF(Cost_Centers!$A:$A,$G47)&gt;0),"مركز التكلفة غير معرف أو ناقص",IF(OR(N($J47)&lt;0,N($K47)&lt;0),"مبلغ سالب",IF(AND(N($J47)&gt;0,N($K47)&gt;0),"السطر يحتوي مدين ودائن معًا",IF(AND(N($J47)=0,N($K47)=0),"السطر بدون مبلغ",IF(AND(OR($E47=ACC_SUPPLIERS,$E47=ACC_CUSTOMERS,$E47=1501,$E47=1502),$H47=""),"كود الجهة إلزامي لحسابات الموردين/العملاء/السلف/العهد",IF(AND($E47=ACC_SUPPLIERS,$H47&lt;&gt;"",COUNTIF(Suppliers!$A:$A,$H47)=0),"كود المورد غير معرف",IF(AND($E47=ACC_CUSTOMERS,$H47&lt;&gt;"",COUNTIF(Customers!$A:$A,$H47)=0),"كود العميل غير معرف",IF(AND(OR($E47=1501,$E47=1502),$H47&lt;&gt;"",COUNTIF(Employees!$A:$A,$H47)=0),"كود الموظف غير معرف",IF(AND(IFERROR(INDEX(COA!$H:$H,MATCH($E47,COA!$A:$A,0)),0)=1,$L47=""),"تصنيف التدفق ناقص لسطر نقدي",IF($D47="","نوع القيد ناقص",IF(AND($D47="عكس",$R47=""),"قيد العكس يحتاج مرجع القيد المعكوس","")))))))))))))))))))))))))))</f>
        <v/>
      </c>
      <c r="AB47" s="32">
        <f>IF($U47=1,IF($AA47&lt;&gt;"",1,0),0)</f>
        <v/>
      </c>
      <c r="AC47" s="32">
        <f>IF($A47="",0,SUMIFS($AB:$AB,$A:$A,$A47))</f>
        <v/>
      </c>
      <c r="AD47" s="32">
        <f>IF($A47="",0,IF(COUNTIFS($A:$A,$A47,$M:$M,"&lt;&gt;"&amp;$M47)&gt;0,1,0))</f>
        <v/>
      </c>
      <c r="AE47" s="32">
        <f>IF($U47=0,"",IF($AA47&lt;&gt;"",$AA47,IF(ABS(N($Y47))&gt;S_Tol,"القيد غير متوازن (مدين ≠ دائن) - لن يُرحَّل",IF($AD47=1,"حالات أسطر القيد غير متسقة",IF($AC47&gt;0,"يوجد خطأ في سطر آخر من نفس القيد","")))))</f>
        <v/>
      </c>
      <c r="AF47" s="32">
        <f>IF($U47=1,IF($AE47&lt;&gt;"",1,0),0)</f>
        <v/>
      </c>
      <c r="AG47" s="32">
        <f>IF(AND($U47=1,$AF47=0,$M47=ST_POST),1,0)</f>
        <v/>
      </c>
    </row>
    <row r="48">
      <c r="A48" s="29" t="n"/>
      <c r="B48" s="31" t="n"/>
      <c r="C48" s="29" t="n"/>
      <c r="D48" s="29" t="n"/>
      <c r="E48" s="39" t="n"/>
      <c r="F48" s="39" t="n"/>
      <c r="G48" s="39" t="n"/>
      <c r="H48" s="29" t="n"/>
      <c r="I48" s="29" t="n"/>
      <c r="J48" s="42" t="n"/>
      <c r="K48" s="42" t="n"/>
      <c r="L48" s="29" t="n"/>
      <c r="M48" s="39" t="n"/>
      <c r="N48" s="29" t="n"/>
      <c r="O48" s="29" t="n"/>
      <c r="P48" s="29" t="n"/>
      <c r="Q48" s="29" t="n"/>
      <c r="R48" s="29" t="n"/>
      <c r="S48" s="29" t="n"/>
      <c r="T48" s="32">
        <f>IF($E48="","",IFERROR(INDEX(COA!$B:$B,MATCH($E48,COA!$A:$A,0)),"حساب غير موجود"))</f>
        <v/>
      </c>
      <c r="U48" s="32">
        <f>IF(COUNTA($A48:$S48)&gt;0,1,0)</f>
        <v/>
      </c>
      <c r="V48" s="32">
        <f>IF($A48="",0,IF(COUNTIF($A$5:$A48,$A48)=1,1,0))</f>
        <v/>
      </c>
      <c r="W48" s="43">
        <f>IF($A48="","",SUMIFS($J:$J,$A:$A,$A48))</f>
        <v/>
      </c>
      <c r="X48" s="43">
        <f>IF($A48="","",SUMIFS($K:$K,$A:$A,$A48))</f>
        <v/>
      </c>
      <c r="Y48" s="47">
        <f>IF($A48="","",ROUND($W48-$X48,2))</f>
        <v/>
      </c>
      <c r="Z48" s="32">
        <f>IF(AND($V48=1,ABS(N($Y48))&gt;S_Tol),1,0)</f>
        <v/>
      </c>
      <c r="AA48" s="32">
        <f>IF($U48=0,"",IF($A48="","رقم المستند ناقص",IF(COUNTIF(Doc_Register!$A:$A,$A48)&gt;1,"رقم مستند مكرر في السجل المركزي",IF(LEFT($A48,LEN("MJE")+1)&lt;&gt;"MJE"&amp;"-","بادئة الرقم لا تطابق نوع المستند",IF(NOT(ISNUMBER($B48)),"التاريخ ناقص أو غير صحيح",IF($M48="","حالة المستند ناقصة",IF($N48="","اسم المُعِد ناقص",IF(AND(OR($M48=ST_APPR,$M48=ST_POST),$O48=""),"لا يوجد معتمد",IF(AND($O48&lt;&gt;"",$O48=$N48),"المُعِد والمعتمد نفس الشخص (فصل المهام)",IF(AND($M48=ST_POST,$P48=""),"اسم المحاسب المرحِّل ناقص",IF(AND($M48=ST_POST,$P48&lt;&gt;"",OR($P48=$N48,$P48=$O48)),"المرحِّل يجب أن يختلف عن المُعِد والمعتمد",IF(AND($M48=ST_REV,$R48=""),"مرجع التصحيح/الإلغاء ناقص",IF(AND(ISNUMBER($B48),OR($M48=ST_DRAFT,$M48=ST_APPR),COUNTIFS(Period_Close!$A:$A,YEAR($B48)*100+MONTH($B48),Period_Close!$B:$B,"مقفلة")&gt;0),"الفترة مقفلة: لا يسمح بمستند جديد",IF($E48="","رقم الحساب ناقص",IF(COUNTIFS(COA!$A:$A,$E48,COA!$R:$R,1)&lt;&gt;1,"حساب غير صالح أو رئيسي أو غير نشط",IF(NOT(COUNTIF(Locations!$A:$A,$F48)&gt;0),"الموقع غير معرف",IF(NOT(COUNTIF(Cost_Centers!$A:$A,$G48)&gt;0),"مركز التكلفة غير معرف أو ناقص",IF(OR(N($J48)&lt;0,N($K48)&lt;0),"مبلغ سالب",IF(AND(N($J48)&gt;0,N($K48)&gt;0),"السطر يحتوي مدين ودائن معًا",IF(AND(N($J48)=0,N($K48)=0),"السطر بدون مبلغ",IF(AND(OR($E48=ACC_SUPPLIERS,$E48=ACC_CUSTOMERS,$E48=1501,$E48=1502),$H48=""),"كود الجهة إلزامي لحسابات الموردين/العملاء/السلف/العهد",IF(AND($E48=ACC_SUPPLIERS,$H48&lt;&gt;"",COUNTIF(Suppliers!$A:$A,$H48)=0),"كود المورد غير معرف",IF(AND($E48=ACC_CUSTOMERS,$H48&lt;&gt;"",COUNTIF(Customers!$A:$A,$H48)=0),"كود العميل غير معرف",IF(AND(OR($E48=1501,$E48=1502),$H48&lt;&gt;"",COUNTIF(Employees!$A:$A,$H48)=0),"كود الموظف غير معرف",IF(AND(IFERROR(INDEX(COA!$H:$H,MATCH($E48,COA!$A:$A,0)),0)=1,$L48=""),"تصنيف التدفق ناقص لسطر نقدي",IF($D48="","نوع القيد ناقص",IF(AND($D48="عكس",$R48=""),"قيد العكس يحتاج مرجع القيد المعكوس","")))))))))))))))))))))))))))</f>
        <v/>
      </c>
      <c r="AB48" s="32">
        <f>IF($U48=1,IF($AA48&lt;&gt;"",1,0),0)</f>
        <v/>
      </c>
      <c r="AC48" s="32">
        <f>IF($A48="",0,SUMIFS($AB:$AB,$A:$A,$A48))</f>
        <v/>
      </c>
      <c r="AD48" s="32">
        <f>IF($A48="",0,IF(COUNTIFS($A:$A,$A48,$M:$M,"&lt;&gt;"&amp;$M48)&gt;0,1,0))</f>
        <v/>
      </c>
      <c r="AE48" s="32">
        <f>IF($U48=0,"",IF($AA48&lt;&gt;"",$AA48,IF(ABS(N($Y48))&gt;S_Tol,"القيد غير متوازن (مدين ≠ دائن) - لن يُرحَّل",IF($AD48=1,"حالات أسطر القيد غير متسقة",IF($AC48&gt;0,"يوجد خطأ في سطر آخر من نفس القيد","")))))</f>
        <v/>
      </c>
      <c r="AF48" s="32">
        <f>IF($U48=1,IF($AE48&lt;&gt;"",1,0),0)</f>
        <v/>
      </c>
      <c r="AG48" s="32">
        <f>IF(AND($U48=1,$AF48=0,$M48=ST_POST),1,0)</f>
        <v/>
      </c>
    </row>
    <row r="49">
      <c r="A49" s="29" t="n"/>
      <c r="B49" s="31" t="n"/>
      <c r="C49" s="29" t="n"/>
      <c r="D49" s="29" t="n"/>
      <c r="E49" s="39" t="n"/>
      <c r="F49" s="39" t="n"/>
      <c r="G49" s="39" t="n"/>
      <c r="H49" s="29" t="n"/>
      <c r="I49" s="29" t="n"/>
      <c r="J49" s="42" t="n"/>
      <c r="K49" s="42" t="n"/>
      <c r="L49" s="29" t="n"/>
      <c r="M49" s="39" t="n"/>
      <c r="N49" s="29" t="n"/>
      <c r="O49" s="29" t="n"/>
      <c r="P49" s="29" t="n"/>
      <c r="Q49" s="29" t="n"/>
      <c r="R49" s="29" t="n"/>
      <c r="S49" s="29" t="n"/>
      <c r="T49" s="32">
        <f>IF($E49="","",IFERROR(INDEX(COA!$B:$B,MATCH($E49,COA!$A:$A,0)),"حساب غير موجود"))</f>
        <v/>
      </c>
      <c r="U49" s="32">
        <f>IF(COUNTA($A49:$S49)&gt;0,1,0)</f>
        <v/>
      </c>
      <c r="V49" s="32">
        <f>IF($A49="",0,IF(COUNTIF($A$5:$A49,$A49)=1,1,0))</f>
        <v/>
      </c>
      <c r="W49" s="43">
        <f>IF($A49="","",SUMIFS($J:$J,$A:$A,$A49))</f>
        <v/>
      </c>
      <c r="X49" s="43">
        <f>IF($A49="","",SUMIFS($K:$K,$A:$A,$A49))</f>
        <v/>
      </c>
      <c r="Y49" s="47">
        <f>IF($A49="","",ROUND($W49-$X49,2))</f>
        <v/>
      </c>
      <c r="Z49" s="32">
        <f>IF(AND($V49=1,ABS(N($Y49))&gt;S_Tol),1,0)</f>
        <v/>
      </c>
      <c r="AA49" s="32">
        <f>IF($U49=0,"",IF($A49="","رقم المستند ناقص",IF(COUNTIF(Doc_Register!$A:$A,$A49)&gt;1,"رقم مستند مكرر في السجل المركزي",IF(LEFT($A49,LEN("MJE")+1)&lt;&gt;"MJE"&amp;"-","بادئة الرقم لا تطابق نوع المستند",IF(NOT(ISNUMBER($B49)),"التاريخ ناقص أو غير صحيح",IF($M49="","حالة المستند ناقصة",IF($N49="","اسم المُعِد ناقص",IF(AND(OR($M49=ST_APPR,$M49=ST_POST),$O49=""),"لا يوجد معتمد",IF(AND($O49&lt;&gt;"",$O49=$N49),"المُعِد والمعتمد نفس الشخص (فصل المهام)",IF(AND($M49=ST_POST,$P49=""),"اسم المحاسب المرحِّل ناقص",IF(AND($M49=ST_POST,$P49&lt;&gt;"",OR($P49=$N49,$P49=$O49)),"المرحِّل يجب أن يختلف عن المُعِد والمعتمد",IF(AND($M49=ST_REV,$R49=""),"مرجع التصحيح/الإلغاء ناقص",IF(AND(ISNUMBER($B49),OR($M49=ST_DRAFT,$M49=ST_APPR),COUNTIFS(Period_Close!$A:$A,YEAR($B49)*100+MONTH($B49),Period_Close!$B:$B,"مقفلة")&gt;0),"الفترة مقفلة: لا يسمح بمستند جديد",IF($E49="","رقم الحساب ناقص",IF(COUNTIFS(COA!$A:$A,$E49,COA!$R:$R,1)&lt;&gt;1,"حساب غير صالح أو رئيسي أو غير نشط",IF(NOT(COUNTIF(Locations!$A:$A,$F49)&gt;0),"الموقع غير معرف",IF(NOT(COUNTIF(Cost_Centers!$A:$A,$G49)&gt;0),"مركز التكلفة غير معرف أو ناقص",IF(OR(N($J49)&lt;0,N($K49)&lt;0),"مبلغ سالب",IF(AND(N($J49)&gt;0,N($K49)&gt;0),"السطر يحتوي مدين ودائن معًا",IF(AND(N($J49)=0,N($K49)=0),"السطر بدون مبلغ",IF(AND(OR($E49=ACC_SUPPLIERS,$E49=ACC_CUSTOMERS,$E49=1501,$E49=1502),$H49=""),"كود الجهة إلزامي لحسابات الموردين/العملاء/السلف/العهد",IF(AND($E49=ACC_SUPPLIERS,$H49&lt;&gt;"",COUNTIF(Suppliers!$A:$A,$H49)=0),"كود المورد غير معرف",IF(AND($E49=ACC_CUSTOMERS,$H49&lt;&gt;"",COUNTIF(Customers!$A:$A,$H49)=0),"كود العميل غير معرف",IF(AND(OR($E49=1501,$E49=1502),$H49&lt;&gt;"",COUNTIF(Employees!$A:$A,$H49)=0),"كود الموظف غير معرف",IF(AND(IFERROR(INDEX(COA!$H:$H,MATCH($E49,COA!$A:$A,0)),0)=1,$L49=""),"تصنيف التدفق ناقص لسطر نقدي",IF($D49="","نوع القيد ناقص",IF(AND($D49="عكس",$R49=""),"قيد العكس يحتاج مرجع القيد المعكوس","")))))))))))))))))))))))))))</f>
        <v/>
      </c>
      <c r="AB49" s="32">
        <f>IF($U49=1,IF($AA49&lt;&gt;"",1,0),0)</f>
        <v/>
      </c>
      <c r="AC49" s="32">
        <f>IF($A49="",0,SUMIFS($AB:$AB,$A:$A,$A49))</f>
        <v/>
      </c>
      <c r="AD49" s="32">
        <f>IF($A49="",0,IF(COUNTIFS($A:$A,$A49,$M:$M,"&lt;&gt;"&amp;$M49)&gt;0,1,0))</f>
        <v/>
      </c>
      <c r="AE49" s="32">
        <f>IF($U49=0,"",IF($AA49&lt;&gt;"",$AA49,IF(ABS(N($Y49))&gt;S_Tol,"القيد غير متوازن (مدين ≠ دائن) - لن يُرحَّل",IF($AD49=1,"حالات أسطر القيد غير متسقة",IF($AC49&gt;0,"يوجد خطأ في سطر آخر من نفس القيد","")))))</f>
        <v/>
      </c>
      <c r="AF49" s="32">
        <f>IF($U49=1,IF($AE49&lt;&gt;"",1,0),0)</f>
        <v/>
      </c>
      <c r="AG49" s="32">
        <f>IF(AND($U49=1,$AF49=0,$M49=ST_POST),1,0)</f>
        <v/>
      </c>
    </row>
    <row r="50">
      <c r="A50" s="29" t="n"/>
      <c r="B50" s="31" t="n"/>
      <c r="C50" s="29" t="n"/>
      <c r="D50" s="29" t="n"/>
      <c r="E50" s="39" t="n"/>
      <c r="F50" s="39" t="n"/>
      <c r="G50" s="39" t="n"/>
      <c r="H50" s="29" t="n"/>
      <c r="I50" s="29" t="n"/>
      <c r="J50" s="42" t="n"/>
      <c r="K50" s="42" t="n"/>
      <c r="L50" s="29" t="n"/>
      <c r="M50" s="39" t="n"/>
      <c r="N50" s="29" t="n"/>
      <c r="O50" s="29" t="n"/>
      <c r="P50" s="29" t="n"/>
      <c r="Q50" s="29" t="n"/>
      <c r="R50" s="29" t="n"/>
      <c r="S50" s="29" t="n"/>
      <c r="T50" s="32">
        <f>IF($E50="","",IFERROR(INDEX(COA!$B:$B,MATCH($E50,COA!$A:$A,0)),"حساب غير موجود"))</f>
        <v/>
      </c>
      <c r="U50" s="32">
        <f>IF(COUNTA($A50:$S50)&gt;0,1,0)</f>
        <v/>
      </c>
      <c r="V50" s="32">
        <f>IF($A50="",0,IF(COUNTIF($A$5:$A50,$A50)=1,1,0))</f>
        <v/>
      </c>
      <c r="W50" s="43">
        <f>IF($A50="","",SUMIFS($J:$J,$A:$A,$A50))</f>
        <v/>
      </c>
      <c r="X50" s="43">
        <f>IF($A50="","",SUMIFS($K:$K,$A:$A,$A50))</f>
        <v/>
      </c>
      <c r="Y50" s="47">
        <f>IF($A50="","",ROUND($W50-$X50,2))</f>
        <v/>
      </c>
      <c r="Z50" s="32">
        <f>IF(AND($V50=1,ABS(N($Y50))&gt;S_Tol),1,0)</f>
        <v/>
      </c>
      <c r="AA50" s="32">
        <f>IF($U50=0,"",IF($A50="","رقم المستند ناقص",IF(COUNTIF(Doc_Register!$A:$A,$A50)&gt;1,"رقم مستند مكرر في السجل المركزي",IF(LEFT($A50,LEN("MJE")+1)&lt;&gt;"MJE"&amp;"-","بادئة الرقم لا تطابق نوع المستند",IF(NOT(ISNUMBER($B50)),"التاريخ ناقص أو غير صحيح",IF($M50="","حالة المستند ناقصة",IF($N50="","اسم المُعِد ناقص",IF(AND(OR($M50=ST_APPR,$M50=ST_POST),$O50=""),"لا يوجد معتمد",IF(AND($O50&lt;&gt;"",$O50=$N50),"المُعِد والمعتمد نفس الشخص (فصل المهام)",IF(AND($M50=ST_POST,$P50=""),"اسم المحاسب المرحِّل ناقص",IF(AND($M50=ST_POST,$P50&lt;&gt;"",OR($P50=$N50,$P50=$O50)),"المرحِّل يجب أن يختلف عن المُعِد والمعتمد",IF(AND($M50=ST_REV,$R50=""),"مرجع التصحيح/الإلغاء ناقص",IF(AND(ISNUMBER($B50),OR($M50=ST_DRAFT,$M50=ST_APPR),COUNTIFS(Period_Close!$A:$A,YEAR($B50)*100+MONTH($B50),Period_Close!$B:$B,"مقفلة")&gt;0),"الفترة مقفلة: لا يسمح بمستند جديد",IF($E50="","رقم الحساب ناقص",IF(COUNTIFS(COA!$A:$A,$E50,COA!$R:$R,1)&lt;&gt;1,"حساب غير صالح أو رئيسي أو غير نشط",IF(NOT(COUNTIF(Locations!$A:$A,$F50)&gt;0),"الموقع غير معرف",IF(NOT(COUNTIF(Cost_Centers!$A:$A,$G50)&gt;0),"مركز التكلفة غير معرف أو ناقص",IF(OR(N($J50)&lt;0,N($K50)&lt;0),"مبلغ سالب",IF(AND(N($J50)&gt;0,N($K50)&gt;0),"السطر يحتوي مدين ودائن معًا",IF(AND(N($J50)=0,N($K50)=0),"السطر بدون مبلغ",IF(AND(OR($E50=ACC_SUPPLIERS,$E50=ACC_CUSTOMERS,$E50=1501,$E50=1502),$H50=""),"كود الجهة إلزامي لحسابات الموردين/العملاء/السلف/العهد",IF(AND($E50=ACC_SUPPLIERS,$H50&lt;&gt;"",COUNTIF(Suppliers!$A:$A,$H50)=0),"كود المورد غير معرف",IF(AND($E50=ACC_CUSTOMERS,$H50&lt;&gt;"",COUNTIF(Customers!$A:$A,$H50)=0),"كود العميل غير معرف",IF(AND(OR($E50=1501,$E50=1502),$H50&lt;&gt;"",COUNTIF(Employees!$A:$A,$H50)=0),"كود الموظف غير معرف",IF(AND(IFERROR(INDEX(COA!$H:$H,MATCH($E50,COA!$A:$A,0)),0)=1,$L50=""),"تصنيف التدفق ناقص لسطر نقدي",IF($D50="","نوع القيد ناقص",IF(AND($D50="عكس",$R50=""),"قيد العكس يحتاج مرجع القيد المعكوس","")))))))))))))))))))))))))))</f>
        <v/>
      </c>
      <c r="AB50" s="32">
        <f>IF($U50=1,IF($AA50&lt;&gt;"",1,0),0)</f>
        <v/>
      </c>
      <c r="AC50" s="32">
        <f>IF($A50="",0,SUMIFS($AB:$AB,$A:$A,$A50))</f>
        <v/>
      </c>
      <c r="AD50" s="32">
        <f>IF($A50="",0,IF(COUNTIFS($A:$A,$A50,$M:$M,"&lt;&gt;"&amp;$M50)&gt;0,1,0))</f>
        <v/>
      </c>
      <c r="AE50" s="32">
        <f>IF($U50=0,"",IF($AA50&lt;&gt;"",$AA50,IF(ABS(N($Y50))&gt;S_Tol,"القيد غير متوازن (مدين ≠ دائن) - لن يُرحَّل",IF($AD50=1,"حالات أسطر القيد غير متسقة",IF($AC50&gt;0,"يوجد خطأ في سطر آخر من نفس القيد","")))))</f>
        <v/>
      </c>
      <c r="AF50" s="32">
        <f>IF($U50=1,IF($AE50&lt;&gt;"",1,0),0)</f>
        <v/>
      </c>
      <c r="AG50" s="32">
        <f>IF(AND($U50=1,$AF50=0,$M50=ST_POST),1,0)</f>
        <v/>
      </c>
    </row>
    <row r="51">
      <c r="A51" s="29" t="n"/>
      <c r="B51" s="31" t="n"/>
      <c r="C51" s="29" t="n"/>
      <c r="D51" s="29" t="n"/>
      <c r="E51" s="39" t="n"/>
      <c r="F51" s="39" t="n"/>
      <c r="G51" s="39" t="n"/>
      <c r="H51" s="29" t="n"/>
      <c r="I51" s="29" t="n"/>
      <c r="J51" s="42" t="n"/>
      <c r="K51" s="42" t="n"/>
      <c r="L51" s="29" t="n"/>
      <c r="M51" s="39" t="n"/>
      <c r="N51" s="29" t="n"/>
      <c r="O51" s="29" t="n"/>
      <c r="P51" s="29" t="n"/>
      <c r="Q51" s="29" t="n"/>
      <c r="R51" s="29" t="n"/>
      <c r="S51" s="29" t="n"/>
      <c r="T51" s="32">
        <f>IF($E51="","",IFERROR(INDEX(COA!$B:$B,MATCH($E51,COA!$A:$A,0)),"حساب غير موجود"))</f>
        <v/>
      </c>
      <c r="U51" s="32">
        <f>IF(COUNTA($A51:$S51)&gt;0,1,0)</f>
        <v/>
      </c>
      <c r="V51" s="32">
        <f>IF($A51="",0,IF(COUNTIF($A$5:$A51,$A51)=1,1,0))</f>
        <v/>
      </c>
      <c r="W51" s="43">
        <f>IF($A51="","",SUMIFS($J:$J,$A:$A,$A51))</f>
        <v/>
      </c>
      <c r="X51" s="43">
        <f>IF($A51="","",SUMIFS($K:$K,$A:$A,$A51))</f>
        <v/>
      </c>
      <c r="Y51" s="47">
        <f>IF($A51="","",ROUND($W51-$X51,2))</f>
        <v/>
      </c>
      <c r="Z51" s="32">
        <f>IF(AND($V51=1,ABS(N($Y51))&gt;S_Tol),1,0)</f>
        <v/>
      </c>
      <c r="AA51" s="32">
        <f>IF($U51=0,"",IF($A51="","رقم المستند ناقص",IF(COUNTIF(Doc_Register!$A:$A,$A51)&gt;1,"رقم مستند مكرر في السجل المركزي",IF(LEFT($A51,LEN("MJE")+1)&lt;&gt;"MJE"&amp;"-","بادئة الرقم لا تطابق نوع المستند",IF(NOT(ISNUMBER($B51)),"التاريخ ناقص أو غير صحيح",IF($M51="","حالة المستند ناقصة",IF($N51="","اسم المُعِد ناقص",IF(AND(OR($M51=ST_APPR,$M51=ST_POST),$O51=""),"لا يوجد معتمد",IF(AND($O51&lt;&gt;"",$O51=$N51),"المُعِد والمعتمد نفس الشخص (فصل المهام)",IF(AND($M51=ST_POST,$P51=""),"اسم المحاسب المرحِّل ناقص",IF(AND($M51=ST_POST,$P51&lt;&gt;"",OR($P51=$N51,$P51=$O51)),"المرحِّل يجب أن يختلف عن المُعِد والمعتمد",IF(AND($M51=ST_REV,$R51=""),"مرجع التصحيح/الإلغاء ناقص",IF(AND(ISNUMBER($B51),OR($M51=ST_DRAFT,$M51=ST_APPR),COUNTIFS(Period_Close!$A:$A,YEAR($B51)*100+MONTH($B51),Period_Close!$B:$B,"مقفلة")&gt;0),"الفترة مقفلة: لا يسمح بمستند جديد",IF($E51="","رقم الحساب ناقص",IF(COUNTIFS(COA!$A:$A,$E51,COA!$R:$R,1)&lt;&gt;1,"حساب غير صالح أو رئيسي أو غير نشط",IF(NOT(COUNTIF(Locations!$A:$A,$F51)&gt;0),"الموقع غير معرف",IF(NOT(COUNTIF(Cost_Centers!$A:$A,$G51)&gt;0),"مركز التكلفة غير معرف أو ناقص",IF(OR(N($J51)&lt;0,N($K51)&lt;0),"مبلغ سالب",IF(AND(N($J51)&gt;0,N($K51)&gt;0),"السطر يحتوي مدين ودائن معًا",IF(AND(N($J51)=0,N($K51)=0),"السطر بدون مبلغ",IF(AND(OR($E51=ACC_SUPPLIERS,$E51=ACC_CUSTOMERS,$E51=1501,$E51=1502),$H51=""),"كود الجهة إلزامي لحسابات الموردين/العملاء/السلف/العهد",IF(AND($E51=ACC_SUPPLIERS,$H51&lt;&gt;"",COUNTIF(Suppliers!$A:$A,$H51)=0),"كود المورد غير معرف",IF(AND($E51=ACC_CUSTOMERS,$H51&lt;&gt;"",COUNTIF(Customers!$A:$A,$H51)=0),"كود العميل غير معرف",IF(AND(OR($E51=1501,$E51=1502),$H51&lt;&gt;"",COUNTIF(Employees!$A:$A,$H51)=0),"كود الموظف غير معرف",IF(AND(IFERROR(INDEX(COA!$H:$H,MATCH($E51,COA!$A:$A,0)),0)=1,$L51=""),"تصنيف التدفق ناقص لسطر نقدي",IF($D51="","نوع القيد ناقص",IF(AND($D51="عكس",$R51=""),"قيد العكس يحتاج مرجع القيد المعكوس","")))))))))))))))))))))))))))</f>
        <v/>
      </c>
      <c r="AB51" s="32">
        <f>IF($U51=1,IF($AA51&lt;&gt;"",1,0),0)</f>
        <v/>
      </c>
      <c r="AC51" s="32">
        <f>IF($A51="",0,SUMIFS($AB:$AB,$A:$A,$A51))</f>
        <v/>
      </c>
      <c r="AD51" s="32">
        <f>IF($A51="",0,IF(COUNTIFS($A:$A,$A51,$M:$M,"&lt;&gt;"&amp;$M51)&gt;0,1,0))</f>
        <v/>
      </c>
      <c r="AE51" s="32">
        <f>IF($U51=0,"",IF($AA51&lt;&gt;"",$AA51,IF(ABS(N($Y51))&gt;S_Tol,"القيد غير متوازن (مدين ≠ دائن) - لن يُرحَّل",IF($AD51=1,"حالات أسطر القيد غير متسقة",IF($AC51&gt;0,"يوجد خطأ في سطر آخر من نفس القيد","")))))</f>
        <v/>
      </c>
      <c r="AF51" s="32">
        <f>IF($U51=1,IF($AE51&lt;&gt;"",1,0),0)</f>
        <v/>
      </c>
      <c r="AG51" s="32">
        <f>IF(AND($U51=1,$AF51=0,$M51=ST_POST),1,0)</f>
        <v/>
      </c>
    </row>
    <row r="52">
      <c r="A52" s="29" t="n"/>
      <c r="B52" s="31" t="n"/>
      <c r="C52" s="29" t="n"/>
      <c r="D52" s="29" t="n"/>
      <c r="E52" s="39" t="n"/>
      <c r="F52" s="39" t="n"/>
      <c r="G52" s="39" t="n"/>
      <c r="H52" s="29" t="n"/>
      <c r="I52" s="29" t="n"/>
      <c r="J52" s="42" t="n"/>
      <c r="K52" s="42" t="n"/>
      <c r="L52" s="29" t="n"/>
      <c r="M52" s="39" t="n"/>
      <c r="N52" s="29" t="n"/>
      <c r="O52" s="29" t="n"/>
      <c r="P52" s="29" t="n"/>
      <c r="Q52" s="29" t="n"/>
      <c r="R52" s="29" t="n"/>
      <c r="S52" s="29" t="n"/>
      <c r="T52" s="32">
        <f>IF($E52="","",IFERROR(INDEX(COA!$B:$B,MATCH($E52,COA!$A:$A,0)),"حساب غير موجود"))</f>
        <v/>
      </c>
      <c r="U52" s="32">
        <f>IF(COUNTA($A52:$S52)&gt;0,1,0)</f>
        <v/>
      </c>
      <c r="V52" s="32">
        <f>IF($A52="",0,IF(COUNTIF($A$5:$A52,$A52)=1,1,0))</f>
        <v/>
      </c>
      <c r="W52" s="43">
        <f>IF($A52="","",SUMIFS($J:$J,$A:$A,$A52))</f>
        <v/>
      </c>
      <c r="X52" s="43">
        <f>IF($A52="","",SUMIFS($K:$K,$A:$A,$A52))</f>
        <v/>
      </c>
      <c r="Y52" s="47">
        <f>IF($A52="","",ROUND($W52-$X52,2))</f>
        <v/>
      </c>
      <c r="Z52" s="32">
        <f>IF(AND($V52=1,ABS(N($Y52))&gt;S_Tol),1,0)</f>
        <v/>
      </c>
      <c r="AA52" s="32">
        <f>IF($U52=0,"",IF($A52="","رقم المستند ناقص",IF(COUNTIF(Doc_Register!$A:$A,$A52)&gt;1,"رقم مستند مكرر في السجل المركزي",IF(LEFT($A52,LEN("MJE")+1)&lt;&gt;"MJE"&amp;"-","بادئة الرقم لا تطابق نوع المستند",IF(NOT(ISNUMBER($B52)),"التاريخ ناقص أو غير صحيح",IF($M52="","حالة المستند ناقصة",IF($N52="","اسم المُعِد ناقص",IF(AND(OR($M52=ST_APPR,$M52=ST_POST),$O52=""),"لا يوجد معتمد",IF(AND($O52&lt;&gt;"",$O52=$N52),"المُعِد والمعتمد نفس الشخص (فصل المهام)",IF(AND($M52=ST_POST,$P52=""),"اسم المحاسب المرحِّل ناقص",IF(AND($M52=ST_POST,$P52&lt;&gt;"",OR($P52=$N52,$P52=$O52)),"المرحِّل يجب أن يختلف عن المُعِد والمعتمد",IF(AND($M52=ST_REV,$R52=""),"مرجع التصحيح/الإلغاء ناقص",IF(AND(ISNUMBER($B52),OR($M52=ST_DRAFT,$M52=ST_APPR),COUNTIFS(Period_Close!$A:$A,YEAR($B52)*100+MONTH($B52),Period_Close!$B:$B,"مقفلة")&gt;0),"الفترة مقفلة: لا يسمح بمستند جديد",IF($E52="","رقم الحساب ناقص",IF(COUNTIFS(COA!$A:$A,$E52,COA!$R:$R,1)&lt;&gt;1,"حساب غير صالح أو رئيسي أو غير نشط",IF(NOT(COUNTIF(Locations!$A:$A,$F52)&gt;0),"الموقع غير معرف",IF(NOT(COUNTIF(Cost_Centers!$A:$A,$G52)&gt;0),"مركز التكلفة غير معرف أو ناقص",IF(OR(N($J52)&lt;0,N($K52)&lt;0),"مبلغ سالب",IF(AND(N($J52)&gt;0,N($K52)&gt;0),"السطر يحتوي مدين ودائن معًا",IF(AND(N($J52)=0,N($K52)=0),"السطر بدون مبلغ",IF(AND(OR($E52=ACC_SUPPLIERS,$E52=ACC_CUSTOMERS,$E52=1501,$E52=1502),$H52=""),"كود الجهة إلزامي لحسابات الموردين/العملاء/السلف/العهد",IF(AND($E52=ACC_SUPPLIERS,$H52&lt;&gt;"",COUNTIF(Suppliers!$A:$A,$H52)=0),"كود المورد غير معرف",IF(AND($E52=ACC_CUSTOMERS,$H52&lt;&gt;"",COUNTIF(Customers!$A:$A,$H52)=0),"كود العميل غير معرف",IF(AND(OR($E52=1501,$E52=1502),$H52&lt;&gt;"",COUNTIF(Employees!$A:$A,$H52)=0),"كود الموظف غير معرف",IF(AND(IFERROR(INDEX(COA!$H:$H,MATCH($E52,COA!$A:$A,0)),0)=1,$L52=""),"تصنيف التدفق ناقص لسطر نقدي",IF($D52="","نوع القيد ناقص",IF(AND($D52="عكس",$R52=""),"قيد العكس يحتاج مرجع القيد المعكوس","")))))))))))))))))))))))))))</f>
        <v/>
      </c>
      <c r="AB52" s="32">
        <f>IF($U52=1,IF($AA52&lt;&gt;"",1,0),0)</f>
        <v/>
      </c>
      <c r="AC52" s="32">
        <f>IF($A52="",0,SUMIFS($AB:$AB,$A:$A,$A52))</f>
        <v/>
      </c>
      <c r="AD52" s="32">
        <f>IF($A52="",0,IF(COUNTIFS($A:$A,$A52,$M:$M,"&lt;&gt;"&amp;$M52)&gt;0,1,0))</f>
        <v/>
      </c>
      <c r="AE52" s="32">
        <f>IF($U52=0,"",IF($AA52&lt;&gt;"",$AA52,IF(ABS(N($Y52))&gt;S_Tol,"القيد غير متوازن (مدين ≠ دائن) - لن يُرحَّل",IF($AD52=1,"حالات أسطر القيد غير متسقة",IF($AC52&gt;0,"يوجد خطأ في سطر آخر من نفس القيد","")))))</f>
        <v/>
      </c>
      <c r="AF52" s="32">
        <f>IF($U52=1,IF($AE52&lt;&gt;"",1,0),0)</f>
        <v/>
      </c>
      <c r="AG52" s="32">
        <f>IF(AND($U52=1,$AF52=0,$M52=ST_POST),1,0)</f>
        <v/>
      </c>
    </row>
    <row r="53">
      <c r="A53" s="29" t="n"/>
      <c r="B53" s="31" t="n"/>
      <c r="C53" s="29" t="n"/>
      <c r="D53" s="29" t="n"/>
      <c r="E53" s="39" t="n"/>
      <c r="F53" s="39" t="n"/>
      <c r="G53" s="39" t="n"/>
      <c r="H53" s="29" t="n"/>
      <c r="I53" s="29" t="n"/>
      <c r="J53" s="42" t="n"/>
      <c r="K53" s="42" t="n"/>
      <c r="L53" s="29" t="n"/>
      <c r="M53" s="39" t="n"/>
      <c r="N53" s="29" t="n"/>
      <c r="O53" s="29" t="n"/>
      <c r="P53" s="29" t="n"/>
      <c r="Q53" s="29" t="n"/>
      <c r="R53" s="29" t="n"/>
      <c r="S53" s="29" t="n"/>
      <c r="T53" s="32">
        <f>IF($E53="","",IFERROR(INDEX(COA!$B:$B,MATCH($E53,COA!$A:$A,0)),"حساب غير موجود"))</f>
        <v/>
      </c>
      <c r="U53" s="32">
        <f>IF(COUNTA($A53:$S53)&gt;0,1,0)</f>
        <v/>
      </c>
      <c r="V53" s="32">
        <f>IF($A53="",0,IF(COUNTIF($A$5:$A53,$A53)=1,1,0))</f>
        <v/>
      </c>
      <c r="W53" s="43">
        <f>IF($A53="","",SUMIFS($J:$J,$A:$A,$A53))</f>
        <v/>
      </c>
      <c r="X53" s="43">
        <f>IF($A53="","",SUMIFS($K:$K,$A:$A,$A53))</f>
        <v/>
      </c>
      <c r="Y53" s="47">
        <f>IF($A53="","",ROUND($W53-$X53,2))</f>
        <v/>
      </c>
      <c r="Z53" s="32">
        <f>IF(AND($V53=1,ABS(N($Y53))&gt;S_Tol),1,0)</f>
        <v/>
      </c>
      <c r="AA53" s="32">
        <f>IF($U53=0,"",IF($A53="","رقم المستند ناقص",IF(COUNTIF(Doc_Register!$A:$A,$A53)&gt;1,"رقم مستند مكرر في السجل المركزي",IF(LEFT($A53,LEN("MJE")+1)&lt;&gt;"MJE"&amp;"-","بادئة الرقم لا تطابق نوع المستند",IF(NOT(ISNUMBER($B53)),"التاريخ ناقص أو غير صحيح",IF($M53="","حالة المستند ناقصة",IF($N53="","اسم المُعِد ناقص",IF(AND(OR($M53=ST_APPR,$M53=ST_POST),$O53=""),"لا يوجد معتمد",IF(AND($O53&lt;&gt;"",$O53=$N53),"المُعِد والمعتمد نفس الشخص (فصل المهام)",IF(AND($M53=ST_POST,$P53=""),"اسم المحاسب المرحِّل ناقص",IF(AND($M53=ST_POST,$P53&lt;&gt;"",OR($P53=$N53,$P53=$O53)),"المرحِّل يجب أن يختلف عن المُعِد والمعتمد",IF(AND($M53=ST_REV,$R53=""),"مرجع التصحيح/الإلغاء ناقص",IF(AND(ISNUMBER($B53),OR($M53=ST_DRAFT,$M53=ST_APPR),COUNTIFS(Period_Close!$A:$A,YEAR($B53)*100+MONTH($B53),Period_Close!$B:$B,"مقفلة")&gt;0),"الفترة مقفلة: لا يسمح بمستند جديد",IF($E53="","رقم الحساب ناقص",IF(COUNTIFS(COA!$A:$A,$E53,COA!$R:$R,1)&lt;&gt;1,"حساب غير صالح أو رئيسي أو غير نشط",IF(NOT(COUNTIF(Locations!$A:$A,$F53)&gt;0),"الموقع غير معرف",IF(NOT(COUNTIF(Cost_Centers!$A:$A,$G53)&gt;0),"مركز التكلفة غير معرف أو ناقص",IF(OR(N($J53)&lt;0,N($K53)&lt;0),"مبلغ سالب",IF(AND(N($J53)&gt;0,N($K53)&gt;0),"السطر يحتوي مدين ودائن معًا",IF(AND(N($J53)=0,N($K53)=0),"السطر بدون مبلغ",IF(AND(OR($E53=ACC_SUPPLIERS,$E53=ACC_CUSTOMERS,$E53=1501,$E53=1502),$H53=""),"كود الجهة إلزامي لحسابات الموردين/العملاء/السلف/العهد",IF(AND($E53=ACC_SUPPLIERS,$H53&lt;&gt;"",COUNTIF(Suppliers!$A:$A,$H53)=0),"كود المورد غير معرف",IF(AND($E53=ACC_CUSTOMERS,$H53&lt;&gt;"",COUNTIF(Customers!$A:$A,$H53)=0),"كود العميل غير معرف",IF(AND(OR($E53=1501,$E53=1502),$H53&lt;&gt;"",COUNTIF(Employees!$A:$A,$H53)=0),"كود الموظف غير معرف",IF(AND(IFERROR(INDEX(COA!$H:$H,MATCH($E53,COA!$A:$A,0)),0)=1,$L53=""),"تصنيف التدفق ناقص لسطر نقدي",IF($D53="","نوع القيد ناقص",IF(AND($D53="عكس",$R53=""),"قيد العكس يحتاج مرجع القيد المعكوس","")))))))))))))))))))))))))))</f>
        <v/>
      </c>
      <c r="AB53" s="32">
        <f>IF($U53=1,IF($AA53&lt;&gt;"",1,0),0)</f>
        <v/>
      </c>
      <c r="AC53" s="32">
        <f>IF($A53="",0,SUMIFS($AB:$AB,$A:$A,$A53))</f>
        <v/>
      </c>
      <c r="AD53" s="32">
        <f>IF($A53="",0,IF(COUNTIFS($A:$A,$A53,$M:$M,"&lt;&gt;"&amp;$M53)&gt;0,1,0))</f>
        <v/>
      </c>
      <c r="AE53" s="32">
        <f>IF($U53=0,"",IF($AA53&lt;&gt;"",$AA53,IF(ABS(N($Y53))&gt;S_Tol,"القيد غير متوازن (مدين ≠ دائن) - لن يُرحَّل",IF($AD53=1,"حالات أسطر القيد غير متسقة",IF($AC53&gt;0,"يوجد خطأ في سطر آخر من نفس القيد","")))))</f>
        <v/>
      </c>
      <c r="AF53" s="32">
        <f>IF($U53=1,IF($AE53&lt;&gt;"",1,0),0)</f>
        <v/>
      </c>
      <c r="AG53" s="32">
        <f>IF(AND($U53=1,$AF53=0,$M53=ST_POST),1,0)</f>
        <v/>
      </c>
    </row>
    <row r="54">
      <c r="A54" s="29" t="n"/>
      <c r="B54" s="31" t="n"/>
      <c r="C54" s="29" t="n"/>
      <c r="D54" s="29" t="n"/>
      <c r="E54" s="39" t="n"/>
      <c r="F54" s="39" t="n"/>
      <c r="G54" s="39" t="n"/>
      <c r="H54" s="29" t="n"/>
      <c r="I54" s="29" t="n"/>
      <c r="J54" s="42" t="n"/>
      <c r="K54" s="42" t="n"/>
      <c r="L54" s="29" t="n"/>
      <c r="M54" s="39" t="n"/>
      <c r="N54" s="29" t="n"/>
      <c r="O54" s="29" t="n"/>
      <c r="P54" s="29" t="n"/>
      <c r="Q54" s="29" t="n"/>
      <c r="R54" s="29" t="n"/>
      <c r="S54" s="29" t="n"/>
      <c r="T54" s="32">
        <f>IF($E54="","",IFERROR(INDEX(COA!$B:$B,MATCH($E54,COA!$A:$A,0)),"حساب غير موجود"))</f>
        <v/>
      </c>
      <c r="U54" s="32">
        <f>IF(COUNTA($A54:$S54)&gt;0,1,0)</f>
        <v/>
      </c>
      <c r="V54" s="32">
        <f>IF($A54="",0,IF(COUNTIF($A$5:$A54,$A54)=1,1,0))</f>
        <v/>
      </c>
      <c r="W54" s="43">
        <f>IF($A54="","",SUMIFS($J:$J,$A:$A,$A54))</f>
        <v/>
      </c>
      <c r="X54" s="43">
        <f>IF($A54="","",SUMIFS($K:$K,$A:$A,$A54))</f>
        <v/>
      </c>
      <c r="Y54" s="47">
        <f>IF($A54="","",ROUND($W54-$X54,2))</f>
        <v/>
      </c>
      <c r="Z54" s="32">
        <f>IF(AND($V54=1,ABS(N($Y54))&gt;S_Tol),1,0)</f>
        <v/>
      </c>
      <c r="AA54" s="32">
        <f>IF($U54=0,"",IF($A54="","رقم المستند ناقص",IF(COUNTIF(Doc_Register!$A:$A,$A54)&gt;1,"رقم مستند مكرر في السجل المركزي",IF(LEFT($A54,LEN("MJE")+1)&lt;&gt;"MJE"&amp;"-","بادئة الرقم لا تطابق نوع المستند",IF(NOT(ISNUMBER($B54)),"التاريخ ناقص أو غير صحيح",IF($M54="","حالة المستند ناقصة",IF($N54="","اسم المُعِد ناقص",IF(AND(OR($M54=ST_APPR,$M54=ST_POST),$O54=""),"لا يوجد معتمد",IF(AND($O54&lt;&gt;"",$O54=$N54),"المُعِد والمعتمد نفس الشخص (فصل المهام)",IF(AND($M54=ST_POST,$P54=""),"اسم المحاسب المرحِّل ناقص",IF(AND($M54=ST_POST,$P54&lt;&gt;"",OR($P54=$N54,$P54=$O54)),"المرحِّل يجب أن يختلف عن المُعِد والمعتمد",IF(AND($M54=ST_REV,$R54=""),"مرجع التصحيح/الإلغاء ناقص",IF(AND(ISNUMBER($B54),OR($M54=ST_DRAFT,$M54=ST_APPR),COUNTIFS(Period_Close!$A:$A,YEAR($B54)*100+MONTH($B54),Period_Close!$B:$B,"مقفلة")&gt;0),"الفترة مقفلة: لا يسمح بمستند جديد",IF($E54="","رقم الحساب ناقص",IF(COUNTIFS(COA!$A:$A,$E54,COA!$R:$R,1)&lt;&gt;1,"حساب غير صالح أو رئيسي أو غير نشط",IF(NOT(COUNTIF(Locations!$A:$A,$F54)&gt;0),"الموقع غير معرف",IF(NOT(COUNTIF(Cost_Centers!$A:$A,$G54)&gt;0),"مركز التكلفة غير معرف أو ناقص",IF(OR(N($J54)&lt;0,N($K54)&lt;0),"مبلغ سالب",IF(AND(N($J54)&gt;0,N($K54)&gt;0),"السطر يحتوي مدين ودائن معًا",IF(AND(N($J54)=0,N($K54)=0),"السطر بدون مبلغ",IF(AND(OR($E54=ACC_SUPPLIERS,$E54=ACC_CUSTOMERS,$E54=1501,$E54=1502),$H54=""),"كود الجهة إلزامي لحسابات الموردين/العملاء/السلف/العهد",IF(AND($E54=ACC_SUPPLIERS,$H54&lt;&gt;"",COUNTIF(Suppliers!$A:$A,$H54)=0),"كود المورد غير معرف",IF(AND($E54=ACC_CUSTOMERS,$H54&lt;&gt;"",COUNTIF(Customers!$A:$A,$H54)=0),"كود العميل غير معرف",IF(AND(OR($E54=1501,$E54=1502),$H54&lt;&gt;"",COUNTIF(Employees!$A:$A,$H54)=0),"كود الموظف غير معرف",IF(AND(IFERROR(INDEX(COA!$H:$H,MATCH($E54,COA!$A:$A,0)),0)=1,$L54=""),"تصنيف التدفق ناقص لسطر نقدي",IF($D54="","نوع القيد ناقص",IF(AND($D54="عكس",$R54=""),"قيد العكس يحتاج مرجع القيد المعكوس","")))))))))))))))))))))))))))</f>
        <v/>
      </c>
      <c r="AB54" s="32">
        <f>IF($U54=1,IF($AA54&lt;&gt;"",1,0),0)</f>
        <v/>
      </c>
      <c r="AC54" s="32">
        <f>IF($A54="",0,SUMIFS($AB:$AB,$A:$A,$A54))</f>
        <v/>
      </c>
      <c r="AD54" s="32">
        <f>IF($A54="",0,IF(COUNTIFS($A:$A,$A54,$M:$M,"&lt;&gt;"&amp;$M54)&gt;0,1,0))</f>
        <v/>
      </c>
      <c r="AE54" s="32">
        <f>IF($U54=0,"",IF($AA54&lt;&gt;"",$AA54,IF(ABS(N($Y54))&gt;S_Tol,"القيد غير متوازن (مدين ≠ دائن) - لن يُرحَّل",IF($AD54=1,"حالات أسطر القيد غير متسقة",IF($AC54&gt;0,"يوجد خطأ في سطر آخر من نفس القيد","")))))</f>
        <v/>
      </c>
      <c r="AF54" s="32">
        <f>IF($U54=1,IF($AE54&lt;&gt;"",1,0),0)</f>
        <v/>
      </c>
      <c r="AG54" s="32">
        <f>IF(AND($U54=1,$AF54=0,$M54=ST_POST),1,0)</f>
        <v/>
      </c>
    </row>
    <row r="55">
      <c r="A55" s="29" t="n"/>
      <c r="B55" s="31" t="n"/>
      <c r="C55" s="29" t="n"/>
      <c r="D55" s="29" t="n"/>
      <c r="E55" s="39" t="n"/>
      <c r="F55" s="39" t="n"/>
      <c r="G55" s="39" t="n"/>
      <c r="H55" s="29" t="n"/>
      <c r="I55" s="29" t="n"/>
      <c r="J55" s="42" t="n"/>
      <c r="K55" s="42" t="n"/>
      <c r="L55" s="29" t="n"/>
      <c r="M55" s="39" t="n"/>
      <c r="N55" s="29" t="n"/>
      <c r="O55" s="29" t="n"/>
      <c r="P55" s="29" t="n"/>
      <c r="Q55" s="29" t="n"/>
      <c r="R55" s="29" t="n"/>
      <c r="S55" s="29" t="n"/>
      <c r="T55" s="32">
        <f>IF($E55="","",IFERROR(INDEX(COA!$B:$B,MATCH($E55,COA!$A:$A,0)),"حساب غير موجود"))</f>
        <v/>
      </c>
      <c r="U55" s="32">
        <f>IF(COUNTA($A55:$S55)&gt;0,1,0)</f>
        <v/>
      </c>
      <c r="V55" s="32">
        <f>IF($A55="",0,IF(COUNTIF($A$5:$A55,$A55)=1,1,0))</f>
        <v/>
      </c>
      <c r="W55" s="43">
        <f>IF($A55="","",SUMIFS($J:$J,$A:$A,$A55))</f>
        <v/>
      </c>
      <c r="X55" s="43">
        <f>IF($A55="","",SUMIFS($K:$K,$A:$A,$A55))</f>
        <v/>
      </c>
      <c r="Y55" s="47">
        <f>IF($A55="","",ROUND($W55-$X55,2))</f>
        <v/>
      </c>
      <c r="Z55" s="32">
        <f>IF(AND($V55=1,ABS(N($Y55))&gt;S_Tol),1,0)</f>
        <v/>
      </c>
      <c r="AA55" s="32">
        <f>IF($U55=0,"",IF($A55="","رقم المستند ناقص",IF(COUNTIF(Doc_Register!$A:$A,$A55)&gt;1,"رقم مستند مكرر في السجل المركزي",IF(LEFT($A55,LEN("MJE")+1)&lt;&gt;"MJE"&amp;"-","بادئة الرقم لا تطابق نوع المستند",IF(NOT(ISNUMBER($B55)),"التاريخ ناقص أو غير صحيح",IF($M55="","حالة المستند ناقصة",IF($N55="","اسم المُعِد ناقص",IF(AND(OR($M55=ST_APPR,$M55=ST_POST),$O55=""),"لا يوجد معتمد",IF(AND($O55&lt;&gt;"",$O55=$N55),"المُعِد والمعتمد نفس الشخص (فصل المهام)",IF(AND($M55=ST_POST,$P55=""),"اسم المحاسب المرحِّل ناقص",IF(AND($M55=ST_POST,$P55&lt;&gt;"",OR($P55=$N55,$P55=$O55)),"المرحِّل يجب أن يختلف عن المُعِد والمعتمد",IF(AND($M55=ST_REV,$R55=""),"مرجع التصحيح/الإلغاء ناقص",IF(AND(ISNUMBER($B55),OR($M55=ST_DRAFT,$M55=ST_APPR),COUNTIFS(Period_Close!$A:$A,YEAR($B55)*100+MONTH($B55),Period_Close!$B:$B,"مقفلة")&gt;0),"الفترة مقفلة: لا يسمح بمستند جديد",IF($E55="","رقم الحساب ناقص",IF(COUNTIFS(COA!$A:$A,$E55,COA!$R:$R,1)&lt;&gt;1,"حساب غير صالح أو رئيسي أو غير نشط",IF(NOT(COUNTIF(Locations!$A:$A,$F55)&gt;0),"الموقع غير معرف",IF(NOT(COUNTIF(Cost_Centers!$A:$A,$G55)&gt;0),"مركز التكلفة غير معرف أو ناقص",IF(OR(N($J55)&lt;0,N($K55)&lt;0),"مبلغ سالب",IF(AND(N($J55)&gt;0,N($K55)&gt;0),"السطر يحتوي مدين ودائن معًا",IF(AND(N($J55)=0,N($K55)=0),"السطر بدون مبلغ",IF(AND(OR($E55=ACC_SUPPLIERS,$E55=ACC_CUSTOMERS,$E55=1501,$E55=1502),$H55=""),"كود الجهة إلزامي لحسابات الموردين/العملاء/السلف/العهد",IF(AND($E55=ACC_SUPPLIERS,$H55&lt;&gt;"",COUNTIF(Suppliers!$A:$A,$H55)=0),"كود المورد غير معرف",IF(AND($E55=ACC_CUSTOMERS,$H55&lt;&gt;"",COUNTIF(Customers!$A:$A,$H55)=0),"كود العميل غير معرف",IF(AND(OR($E55=1501,$E55=1502),$H55&lt;&gt;"",COUNTIF(Employees!$A:$A,$H55)=0),"كود الموظف غير معرف",IF(AND(IFERROR(INDEX(COA!$H:$H,MATCH($E55,COA!$A:$A,0)),0)=1,$L55=""),"تصنيف التدفق ناقص لسطر نقدي",IF($D55="","نوع القيد ناقص",IF(AND($D55="عكس",$R55=""),"قيد العكس يحتاج مرجع القيد المعكوس","")))))))))))))))))))))))))))</f>
        <v/>
      </c>
      <c r="AB55" s="32">
        <f>IF($U55=1,IF($AA55&lt;&gt;"",1,0),0)</f>
        <v/>
      </c>
      <c r="AC55" s="32">
        <f>IF($A55="",0,SUMIFS($AB:$AB,$A:$A,$A55))</f>
        <v/>
      </c>
      <c r="AD55" s="32">
        <f>IF($A55="",0,IF(COUNTIFS($A:$A,$A55,$M:$M,"&lt;&gt;"&amp;$M55)&gt;0,1,0))</f>
        <v/>
      </c>
      <c r="AE55" s="32">
        <f>IF($U55=0,"",IF($AA55&lt;&gt;"",$AA55,IF(ABS(N($Y55))&gt;S_Tol,"القيد غير متوازن (مدين ≠ دائن) - لن يُرحَّل",IF($AD55=1,"حالات أسطر القيد غير متسقة",IF($AC55&gt;0,"يوجد خطأ في سطر آخر من نفس القيد","")))))</f>
        <v/>
      </c>
      <c r="AF55" s="32">
        <f>IF($U55=1,IF($AE55&lt;&gt;"",1,0),0)</f>
        <v/>
      </c>
      <c r="AG55" s="32">
        <f>IF(AND($U55=1,$AF55=0,$M55=ST_POST),1,0)</f>
        <v/>
      </c>
    </row>
    <row r="56">
      <c r="A56" s="29" t="n"/>
      <c r="B56" s="31" t="n"/>
      <c r="C56" s="29" t="n"/>
      <c r="D56" s="29" t="n"/>
      <c r="E56" s="39" t="n"/>
      <c r="F56" s="39" t="n"/>
      <c r="G56" s="39" t="n"/>
      <c r="H56" s="29" t="n"/>
      <c r="I56" s="29" t="n"/>
      <c r="J56" s="42" t="n"/>
      <c r="K56" s="42" t="n"/>
      <c r="L56" s="29" t="n"/>
      <c r="M56" s="39" t="n"/>
      <c r="N56" s="29" t="n"/>
      <c r="O56" s="29" t="n"/>
      <c r="P56" s="29" t="n"/>
      <c r="Q56" s="29" t="n"/>
      <c r="R56" s="29" t="n"/>
      <c r="S56" s="29" t="n"/>
      <c r="T56" s="32">
        <f>IF($E56="","",IFERROR(INDEX(COA!$B:$B,MATCH($E56,COA!$A:$A,0)),"حساب غير موجود"))</f>
        <v/>
      </c>
      <c r="U56" s="32">
        <f>IF(COUNTA($A56:$S56)&gt;0,1,0)</f>
        <v/>
      </c>
      <c r="V56" s="32">
        <f>IF($A56="",0,IF(COUNTIF($A$5:$A56,$A56)=1,1,0))</f>
        <v/>
      </c>
      <c r="W56" s="43">
        <f>IF($A56="","",SUMIFS($J:$J,$A:$A,$A56))</f>
        <v/>
      </c>
      <c r="X56" s="43">
        <f>IF($A56="","",SUMIFS($K:$K,$A:$A,$A56))</f>
        <v/>
      </c>
      <c r="Y56" s="47">
        <f>IF($A56="","",ROUND($W56-$X56,2))</f>
        <v/>
      </c>
      <c r="Z56" s="32">
        <f>IF(AND($V56=1,ABS(N($Y56))&gt;S_Tol),1,0)</f>
        <v/>
      </c>
      <c r="AA56" s="32">
        <f>IF($U56=0,"",IF($A56="","رقم المستند ناقص",IF(COUNTIF(Doc_Register!$A:$A,$A56)&gt;1,"رقم مستند مكرر في السجل المركزي",IF(LEFT($A56,LEN("MJE")+1)&lt;&gt;"MJE"&amp;"-","بادئة الرقم لا تطابق نوع المستند",IF(NOT(ISNUMBER($B56)),"التاريخ ناقص أو غير صحيح",IF($M56="","حالة المستند ناقصة",IF($N56="","اسم المُعِد ناقص",IF(AND(OR($M56=ST_APPR,$M56=ST_POST),$O56=""),"لا يوجد معتمد",IF(AND($O56&lt;&gt;"",$O56=$N56),"المُعِد والمعتمد نفس الشخص (فصل المهام)",IF(AND($M56=ST_POST,$P56=""),"اسم المحاسب المرحِّل ناقص",IF(AND($M56=ST_POST,$P56&lt;&gt;"",OR($P56=$N56,$P56=$O56)),"المرحِّل يجب أن يختلف عن المُعِد والمعتمد",IF(AND($M56=ST_REV,$R56=""),"مرجع التصحيح/الإلغاء ناقص",IF(AND(ISNUMBER($B56),OR($M56=ST_DRAFT,$M56=ST_APPR),COUNTIFS(Period_Close!$A:$A,YEAR($B56)*100+MONTH($B56),Period_Close!$B:$B,"مقفلة")&gt;0),"الفترة مقفلة: لا يسمح بمستند جديد",IF($E56="","رقم الحساب ناقص",IF(COUNTIFS(COA!$A:$A,$E56,COA!$R:$R,1)&lt;&gt;1,"حساب غير صالح أو رئيسي أو غير نشط",IF(NOT(COUNTIF(Locations!$A:$A,$F56)&gt;0),"الموقع غير معرف",IF(NOT(COUNTIF(Cost_Centers!$A:$A,$G56)&gt;0),"مركز التكلفة غير معرف أو ناقص",IF(OR(N($J56)&lt;0,N($K56)&lt;0),"مبلغ سالب",IF(AND(N($J56)&gt;0,N($K56)&gt;0),"السطر يحتوي مدين ودائن معًا",IF(AND(N($J56)=0,N($K56)=0),"السطر بدون مبلغ",IF(AND(OR($E56=ACC_SUPPLIERS,$E56=ACC_CUSTOMERS,$E56=1501,$E56=1502),$H56=""),"كود الجهة إلزامي لحسابات الموردين/العملاء/السلف/العهد",IF(AND($E56=ACC_SUPPLIERS,$H56&lt;&gt;"",COUNTIF(Suppliers!$A:$A,$H56)=0),"كود المورد غير معرف",IF(AND($E56=ACC_CUSTOMERS,$H56&lt;&gt;"",COUNTIF(Customers!$A:$A,$H56)=0),"كود العميل غير معرف",IF(AND(OR($E56=1501,$E56=1502),$H56&lt;&gt;"",COUNTIF(Employees!$A:$A,$H56)=0),"كود الموظف غير معرف",IF(AND(IFERROR(INDEX(COA!$H:$H,MATCH($E56,COA!$A:$A,0)),0)=1,$L56=""),"تصنيف التدفق ناقص لسطر نقدي",IF($D56="","نوع القيد ناقص",IF(AND($D56="عكس",$R56=""),"قيد العكس يحتاج مرجع القيد المعكوس","")))))))))))))))))))))))))))</f>
        <v/>
      </c>
      <c r="AB56" s="32">
        <f>IF($U56=1,IF($AA56&lt;&gt;"",1,0),0)</f>
        <v/>
      </c>
      <c r="AC56" s="32">
        <f>IF($A56="",0,SUMIFS($AB:$AB,$A:$A,$A56))</f>
        <v/>
      </c>
      <c r="AD56" s="32">
        <f>IF($A56="",0,IF(COUNTIFS($A:$A,$A56,$M:$M,"&lt;&gt;"&amp;$M56)&gt;0,1,0))</f>
        <v/>
      </c>
      <c r="AE56" s="32">
        <f>IF($U56=0,"",IF($AA56&lt;&gt;"",$AA56,IF(ABS(N($Y56))&gt;S_Tol,"القيد غير متوازن (مدين ≠ دائن) - لن يُرحَّل",IF($AD56=1,"حالات أسطر القيد غير متسقة",IF($AC56&gt;0,"يوجد خطأ في سطر آخر من نفس القيد","")))))</f>
        <v/>
      </c>
      <c r="AF56" s="32">
        <f>IF($U56=1,IF($AE56&lt;&gt;"",1,0),0)</f>
        <v/>
      </c>
      <c r="AG56" s="32">
        <f>IF(AND($U56=1,$AF56=0,$M56=ST_POST),1,0)</f>
        <v/>
      </c>
    </row>
    <row r="57">
      <c r="A57" s="29" t="n"/>
      <c r="B57" s="31" t="n"/>
      <c r="C57" s="29" t="n"/>
      <c r="D57" s="29" t="n"/>
      <c r="E57" s="39" t="n"/>
      <c r="F57" s="39" t="n"/>
      <c r="G57" s="39" t="n"/>
      <c r="H57" s="29" t="n"/>
      <c r="I57" s="29" t="n"/>
      <c r="J57" s="42" t="n"/>
      <c r="K57" s="42" t="n"/>
      <c r="L57" s="29" t="n"/>
      <c r="M57" s="39" t="n"/>
      <c r="N57" s="29" t="n"/>
      <c r="O57" s="29" t="n"/>
      <c r="P57" s="29" t="n"/>
      <c r="Q57" s="29" t="n"/>
      <c r="R57" s="29" t="n"/>
      <c r="S57" s="29" t="n"/>
      <c r="T57" s="32">
        <f>IF($E57="","",IFERROR(INDEX(COA!$B:$B,MATCH($E57,COA!$A:$A,0)),"حساب غير موجود"))</f>
        <v/>
      </c>
      <c r="U57" s="32">
        <f>IF(COUNTA($A57:$S57)&gt;0,1,0)</f>
        <v/>
      </c>
      <c r="V57" s="32">
        <f>IF($A57="",0,IF(COUNTIF($A$5:$A57,$A57)=1,1,0))</f>
        <v/>
      </c>
      <c r="W57" s="43">
        <f>IF($A57="","",SUMIFS($J:$J,$A:$A,$A57))</f>
        <v/>
      </c>
      <c r="X57" s="43">
        <f>IF($A57="","",SUMIFS($K:$K,$A:$A,$A57))</f>
        <v/>
      </c>
      <c r="Y57" s="47">
        <f>IF($A57="","",ROUND($W57-$X57,2))</f>
        <v/>
      </c>
      <c r="Z57" s="32">
        <f>IF(AND($V57=1,ABS(N($Y57))&gt;S_Tol),1,0)</f>
        <v/>
      </c>
      <c r="AA57" s="32">
        <f>IF($U57=0,"",IF($A57="","رقم المستند ناقص",IF(COUNTIF(Doc_Register!$A:$A,$A57)&gt;1,"رقم مستند مكرر في السجل المركزي",IF(LEFT($A57,LEN("MJE")+1)&lt;&gt;"MJE"&amp;"-","بادئة الرقم لا تطابق نوع المستند",IF(NOT(ISNUMBER($B57)),"التاريخ ناقص أو غير صحيح",IF($M57="","حالة المستند ناقصة",IF($N57="","اسم المُعِد ناقص",IF(AND(OR($M57=ST_APPR,$M57=ST_POST),$O57=""),"لا يوجد معتمد",IF(AND($O57&lt;&gt;"",$O57=$N57),"المُعِد والمعتمد نفس الشخص (فصل المهام)",IF(AND($M57=ST_POST,$P57=""),"اسم المحاسب المرحِّل ناقص",IF(AND($M57=ST_POST,$P57&lt;&gt;"",OR($P57=$N57,$P57=$O57)),"المرحِّل يجب أن يختلف عن المُعِد والمعتمد",IF(AND($M57=ST_REV,$R57=""),"مرجع التصحيح/الإلغاء ناقص",IF(AND(ISNUMBER($B57),OR($M57=ST_DRAFT,$M57=ST_APPR),COUNTIFS(Period_Close!$A:$A,YEAR($B57)*100+MONTH($B57),Period_Close!$B:$B,"مقفلة")&gt;0),"الفترة مقفلة: لا يسمح بمستند جديد",IF($E57="","رقم الحساب ناقص",IF(COUNTIFS(COA!$A:$A,$E57,COA!$R:$R,1)&lt;&gt;1,"حساب غير صالح أو رئيسي أو غير نشط",IF(NOT(COUNTIF(Locations!$A:$A,$F57)&gt;0),"الموقع غير معرف",IF(NOT(COUNTIF(Cost_Centers!$A:$A,$G57)&gt;0),"مركز التكلفة غير معرف أو ناقص",IF(OR(N($J57)&lt;0,N($K57)&lt;0),"مبلغ سالب",IF(AND(N($J57)&gt;0,N($K57)&gt;0),"السطر يحتوي مدين ودائن معًا",IF(AND(N($J57)=0,N($K57)=0),"السطر بدون مبلغ",IF(AND(OR($E57=ACC_SUPPLIERS,$E57=ACC_CUSTOMERS,$E57=1501,$E57=1502),$H57=""),"كود الجهة إلزامي لحسابات الموردين/العملاء/السلف/العهد",IF(AND($E57=ACC_SUPPLIERS,$H57&lt;&gt;"",COUNTIF(Suppliers!$A:$A,$H57)=0),"كود المورد غير معرف",IF(AND($E57=ACC_CUSTOMERS,$H57&lt;&gt;"",COUNTIF(Customers!$A:$A,$H57)=0),"كود العميل غير معرف",IF(AND(OR($E57=1501,$E57=1502),$H57&lt;&gt;"",COUNTIF(Employees!$A:$A,$H57)=0),"كود الموظف غير معرف",IF(AND(IFERROR(INDEX(COA!$H:$H,MATCH($E57,COA!$A:$A,0)),0)=1,$L57=""),"تصنيف التدفق ناقص لسطر نقدي",IF($D57="","نوع القيد ناقص",IF(AND($D57="عكس",$R57=""),"قيد العكس يحتاج مرجع القيد المعكوس","")))))))))))))))))))))))))))</f>
        <v/>
      </c>
      <c r="AB57" s="32">
        <f>IF($U57=1,IF($AA57&lt;&gt;"",1,0),0)</f>
        <v/>
      </c>
      <c r="AC57" s="32">
        <f>IF($A57="",0,SUMIFS($AB:$AB,$A:$A,$A57))</f>
        <v/>
      </c>
      <c r="AD57" s="32">
        <f>IF($A57="",0,IF(COUNTIFS($A:$A,$A57,$M:$M,"&lt;&gt;"&amp;$M57)&gt;0,1,0))</f>
        <v/>
      </c>
      <c r="AE57" s="32">
        <f>IF($U57=0,"",IF($AA57&lt;&gt;"",$AA57,IF(ABS(N($Y57))&gt;S_Tol,"القيد غير متوازن (مدين ≠ دائن) - لن يُرحَّل",IF($AD57=1,"حالات أسطر القيد غير متسقة",IF($AC57&gt;0,"يوجد خطأ في سطر آخر من نفس القيد","")))))</f>
        <v/>
      </c>
      <c r="AF57" s="32">
        <f>IF($U57=1,IF($AE57&lt;&gt;"",1,0),0)</f>
        <v/>
      </c>
      <c r="AG57" s="32">
        <f>IF(AND($U57=1,$AF57=0,$M57=ST_POST),1,0)</f>
        <v/>
      </c>
    </row>
    <row r="58">
      <c r="A58" s="29" t="n"/>
      <c r="B58" s="31" t="n"/>
      <c r="C58" s="29" t="n"/>
      <c r="D58" s="29" t="n"/>
      <c r="E58" s="39" t="n"/>
      <c r="F58" s="39" t="n"/>
      <c r="G58" s="39" t="n"/>
      <c r="H58" s="29" t="n"/>
      <c r="I58" s="29" t="n"/>
      <c r="J58" s="42" t="n"/>
      <c r="K58" s="42" t="n"/>
      <c r="L58" s="29" t="n"/>
      <c r="M58" s="39" t="n"/>
      <c r="N58" s="29" t="n"/>
      <c r="O58" s="29" t="n"/>
      <c r="P58" s="29" t="n"/>
      <c r="Q58" s="29" t="n"/>
      <c r="R58" s="29" t="n"/>
      <c r="S58" s="29" t="n"/>
      <c r="T58" s="32">
        <f>IF($E58="","",IFERROR(INDEX(COA!$B:$B,MATCH($E58,COA!$A:$A,0)),"حساب غير موجود"))</f>
        <v/>
      </c>
      <c r="U58" s="32">
        <f>IF(COUNTA($A58:$S58)&gt;0,1,0)</f>
        <v/>
      </c>
      <c r="V58" s="32">
        <f>IF($A58="",0,IF(COUNTIF($A$5:$A58,$A58)=1,1,0))</f>
        <v/>
      </c>
      <c r="W58" s="43">
        <f>IF($A58="","",SUMIFS($J:$J,$A:$A,$A58))</f>
        <v/>
      </c>
      <c r="X58" s="43">
        <f>IF($A58="","",SUMIFS($K:$K,$A:$A,$A58))</f>
        <v/>
      </c>
      <c r="Y58" s="47">
        <f>IF($A58="","",ROUND($W58-$X58,2))</f>
        <v/>
      </c>
      <c r="Z58" s="32">
        <f>IF(AND($V58=1,ABS(N($Y58))&gt;S_Tol),1,0)</f>
        <v/>
      </c>
      <c r="AA58" s="32">
        <f>IF($U58=0,"",IF($A58="","رقم المستند ناقص",IF(COUNTIF(Doc_Register!$A:$A,$A58)&gt;1,"رقم مستند مكرر في السجل المركزي",IF(LEFT($A58,LEN("MJE")+1)&lt;&gt;"MJE"&amp;"-","بادئة الرقم لا تطابق نوع المستند",IF(NOT(ISNUMBER($B58)),"التاريخ ناقص أو غير صحيح",IF($M58="","حالة المستند ناقصة",IF($N58="","اسم المُعِد ناقص",IF(AND(OR($M58=ST_APPR,$M58=ST_POST),$O58=""),"لا يوجد معتمد",IF(AND($O58&lt;&gt;"",$O58=$N58),"المُعِد والمعتمد نفس الشخص (فصل المهام)",IF(AND($M58=ST_POST,$P58=""),"اسم المحاسب المرحِّل ناقص",IF(AND($M58=ST_POST,$P58&lt;&gt;"",OR($P58=$N58,$P58=$O58)),"المرحِّل يجب أن يختلف عن المُعِد والمعتمد",IF(AND($M58=ST_REV,$R58=""),"مرجع التصحيح/الإلغاء ناقص",IF(AND(ISNUMBER($B58),OR($M58=ST_DRAFT,$M58=ST_APPR),COUNTIFS(Period_Close!$A:$A,YEAR($B58)*100+MONTH($B58),Period_Close!$B:$B,"مقفلة")&gt;0),"الفترة مقفلة: لا يسمح بمستند جديد",IF($E58="","رقم الحساب ناقص",IF(COUNTIFS(COA!$A:$A,$E58,COA!$R:$R,1)&lt;&gt;1,"حساب غير صالح أو رئيسي أو غير نشط",IF(NOT(COUNTIF(Locations!$A:$A,$F58)&gt;0),"الموقع غير معرف",IF(NOT(COUNTIF(Cost_Centers!$A:$A,$G58)&gt;0),"مركز التكلفة غير معرف أو ناقص",IF(OR(N($J58)&lt;0,N($K58)&lt;0),"مبلغ سالب",IF(AND(N($J58)&gt;0,N($K58)&gt;0),"السطر يحتوي مدين ودائن معًا",IF(AND(N($J58)=0,N($K58)=0),"السطر بدون مبلغ",IF(AND(OR($E58=ACC_SUPPLIERS,$E58=ACC_CUSTOMERS,$E58=1501,$E58=1502),$H58=""),"كود الجهة إلزامي لحسابات الموردين/العملاء/السلف/العهد",IF(AND($E58=ACC_SUPPLIERS,$H58&lt;&gt;"",COUNTIF(Suppliers!$A:$A,$H58)=0),"كود المورد غير معرف",IF(AND($E58=ACC_CUSTOMERS,$H58&lt;&gt;"",COUNTIF(Customers!$A:$A,$H58)=0),"كود العميل غير معرف",IF(AND(OR($E58=1501,$E58=1502),$H58&lt;&gt;"",COUNTIF(Employees!$A:$A,$H58)=0),"كود الموظف غير معرف",IF(AND(IFERROR(INDEX(COA!$H:$H,MATCH($E58,COA!$A:$A,0)),0)=1,$L58=""),"تصنيف التدفق ناقص لسطر نقدي",IF($D58="","نوع القيد ناقص",IF(AND($D58="عكس",$R58=""),"قيد العكس يحتاج مرجع القيد المعكوس","")))))))))))))))))))))))))))</f>
        <v/>
      </c>
      <c r="AB58" s="32">
        <f>IF($U58=1,IF($AA58&lt;&gt;"",1,0),0)</f>
        <v/>
      </c>
      <c r="AC58" s="32">
        <f>IF($A58="",0,SUMIFS($AB:$AB,$A:$A,$A58))</f>
        <v/>
      </c>
      <c r="AD58" s="32">
        <f>IF($A58="",0,IF(COUNTIFS($A:$A,$A58,$M:$M,"&lt;&gt;"&amp;$M58)&gt;0,1,0))</f>
        <v/>
      </c>
      <c r="AE58" s="32">
        <f>IF($U58=0,"",IF($AA58&lt;&gt;"",$AA58,IF(ABS(N($Y58))&gt;S_Tol,"القيد غير متوازن (مدين ≠ دائن) - لن يُرحَّل",IF($AD58=1,"حالات أسطر القيد غير متسقة",IF($AC58&gt;0,"يوجد خطأ في سطر آخر من نفس القيد","")))))</f>
        <v/>
      </c>
      <c r="AF58" s="32">
        <f>IF($U58=1,IF($AE58&lt;&gt;"",1,0),0)</f>
        <v/>
      </c>
      <c r="AG58" s="32">
        <f>IF(AND($U58=1,$AF58=0,$M58=ST_POST),1,0)</f>
        <v/>
      </c>
    </row>
    <row r="59">
      <c r="A59" s="29" t="n"/>
      <c r="B59" s="31" t="n"/>
      <c r="C59" s="29" t="n"/>
      <c r="D59" s="29" t="n"/>
      <c r="E59" s="39" t="n"/>
      <c r="F59" s="39" t="n"/>
      <c r="G59" s="39" t="n"/>
      <c r="H59" s="29" t="n"/>
      <c r="I59" s="29" t="n"/>
      <c r="J59" s="42" t="n"/>
      <c r="K59" s="42" t="n"/>
      <c r="L59" s="29" t="n"/>
      <c r="M59" s="39" t="n"/>
      <c r="N59" s="29" t="n"/>
      <c r="O59" s="29" t="n"/>
      <c r="P59" s="29" t="n"/>
      <c r="Q59" s="29" t="n"/>
      <c r="R59" s="29" t="n"/>
      <c r="S59" s="29" t="n"/>
      <c r="T59" s="32">
        <f>IF($E59="","",IFERROR(INDEX(COA!$B:$B,MATCH($E59,COA!$A:$A,0)),"حساب غير موجود"))</f>
        <v/>
      </c>
      <c r="U59" s="32">
        <f>IF(COUNTA($A59:$S59)&gt;0,1,0)</f>
        <v/>
      </c>
      <c r="V59" s="32">
        <f>IF($A59="",0,IF(COUNTIF($A$5:$A59,$A59)=1,1,0))</f>
        <v/>
      </c>
      <c r="W59" s="43">
        <f>IF($A59="","",SUMIFS($J:$J,$A:$A,$A59))</f>
        <v/>
      </c>
      <c r="X59" s="43">
        <f>IF($A59="","",SUMIFS($K:$K,$A:$A,$A59))</f>
        <v/>
      </c>
      <c r="Y59" s="47">
        <f>IF($A59="","",ROUND($W59-$X59,2))</f>
        <v/>
      </c>
      <c r="Z59" s="32">
        <f>IF(AND($V59=1,ABS(N($Y59))&gt;S_Tol),1,0)</f>
        <v/>
      </c>
      <c r="AA59" s="32">
        <f>IF($U59=0,"",IF($A59="","رقم المستند ناقص",IF(COUNTIF(Doc_Register!$A:$A,$A59)&gt;1,"رقم مستند مكرر في السجل المركزي",IF(LEFT($A59,LEN("MJE")+1)&lt;&gt;"MJE"&amp;"-","بادئة الرقم لا تطابق نوع المستند",IF(NOT(ISNUMBER($B59)),"التاريخ ناقص أو غير صحيح",IF($M59="","حالة المستند ناقصة",IF($N59="","اسم المُعِد ناقص",IF(AND(OR($M59=ST_APPR,$M59=ST_POST),$O59=""),"لا يوجد معتمد",IF(AND($O59&lt;&gt;"",$O59=$N59),"المُعِد والمعتمد نفس الشخص (فصل المهام)",IF(AND($M59=ST_POST,$P59=""),"اسم المحاسب المرحِّل ناقص",IF(AND($M59=ST_POST,$P59&lt;&gt;"",OR($P59=$N59,$P59=$O59)),"المرحِّل يجب أن يختلف عن المُعِد والمعتمد",IF(AND($M59=ST_REV,$R59=""),"مرجع التصحيح/الإلغاء ناقص",IF(AND(ISNUMBER($B59),OR($M59=ST_DRAFT,$M59=ST_APPR),COUNTIFS(Period_Close!$A:$A,YEAR($B59)*100+MONTH($B59),Period_Close!$B:$B,"مقفلة")&gt;0),"الفترة مقفلة: لا يسمح بمستند جديد",IF($E59="","رقم الحساب ناقص",IF(COUNTIFS(COA!$A:$A,$E59,COA!$R:$R,1)&lt;&gt;1,"حساب غير صالح أو رئيسي أو غير نشط",IF(NOT(COUNTIF(Locations!$A:$A,$F59)&gt;0),"الموقع غير معرف",IF(NOT(COUNTIF(Cost_Centers!$A:$A,$G59)&gt;0),"مركز التكلفة غير معرف أو ناقص",IF(OR(N($J59)&lt;0,N($K59)&lt;0),"مبلغ سالب",IF(AND(N($J59)&gt;0,N($K59)&gt;0),"السطر يحتوي مدين ودائن معًا",IF(AND(N($J59)=0,N($K59)=0),"السطر بدون مبلغ",IF(AND(OR($E59=ACC_SUPPLIERS,$E59=ACC_CUSTOMERS,$E59=1501,$E59=1502),$H59=""),"كود الجهة إلزامي لحسابات الموردين/العملاء/السلف/العهد",IF(AND($E59=ACC_SUPPLIERS,$H59&lt;&gt;"",COUNTIF(Suppliers!$A:$A,$H59)=0),"كود المورد غير معرف",IF(AND($E59=ACC_CUSTOMERS,$H59&lt;&gt;"",COUNTIF(Customers!$A:$A,$H59)=0),"كود العميل غير معرف",IF(AND(OR($E59=1501,$E59=1502),$H59&lt;&gt;"",COUNTIF(Employees!$A:$A,$H59)=0),"كود الموظف غير معرف",IF(AND(IFERROR(INDEX(COA!$H:$H,MATCH($E59,COA!$A:$A,0)),0)=1,$L59=""),"تصنيف التدفق ناقص لسطر نقدي",IF($D59="","نوع القيد ناقص",IF(AND($D59="عكس",$R59=""),"قيد العكس يحتاج مرجع القيد المعكوس","")))))))))))))))))))))))))))</f>
        <v/>
      </c>
      <c r="AB59" s="32">
        <f>IF($U59=1,IF($AA59&lt;&gt;"",1,0),0)</f>
        <v/>
      </c>
      <c r="AC59" s="32">
        <f>IF($A59="",0,SUMIFS($AB:$AB,$A:$A,$A59))</f>
        <v/>
      </c>
      <c r="AD59" s="32">
        <f>IF($A59="",0,IF(COUNTIFS($A:$A,$A59,$M:$M,"&lt;&gt;"&amp;$M59)&gt;0,1,0))</f>
        <v/>
      </c>
      <c r="AE59" s="32">
        <f>IF($U59=0,"",IF($AA59&lt;&gt;"",$AA59,IF(ABS(N($Y59))&gt;S_Tol,"القيد غير متوازن (مدين ≠ دائن) - لن يُرحَّل",IF($AD59=1,"حالات أسطر القيد غير متسقة",IF($AC59&gt;0,"يوجد خطأ في سطر آخر من نفس القيد","")))))</f>
        <v/>
      </c>
      <c r="AF59" s="32">
        <f>IF($U59=1,IF($AE59&lt;&gt;"",1,0),0)</f>
        <v/>
      </c>
      <c r="AG59" s="32">
        <f>IF(AND($U59=1,$AF59=0,$M59=ST_POST),1,0)</f>
        <v/>
      </c>
    </row>
    <row r="60">
      <c r="A60" s="29" t="n"/>
      <c r="B60" s="31" t="n"/>
      <c r="C60" s="29" t="n"/>
      <c r="D60" s="29" t="n"/>
      <c r="E60" s="39" t="n"/>
      <c r="F60" s="39" t="n"/>
      <c r="G60" s="39" t="n"/>
      <c r="H60" s="29" t="n"/>
      <c r="I60" s="29" t="n"/>
      <c r="J60" s="42" t="n"/>
      <c r="K60" s="42" t="n"/>
      <c r="L60" s="29" t="n"/>
      <c r="M60" s="39" t="n"/>
      <c r="N60" s="29" t="n"/>
      <c r="O60" s="29" t="n"/>
      <c r="P60" s="29" t="n"/>
      <c r="Q60" s="29" t="n"/>
      <c r="R60" s="29" t="n"/>
      <c r="S60" s="29" t="n"/>
      <c r="T60" s="32">
        <f>IF($E60="","",IFERROR(INDEX(COA!$B:$B,MATCH($E60,COA!$A:$A,0)),"حساب غير موجود"))</f>
        <v/>
      </c>
      <c r="U60" s="32">
        <f>IF(COUNTA($A60:$S60)&gt;0,1,0)</f>
        <v/>
      </c>
      <c r="V60" s="32">
        <f>IF($A60="",0,IF(COUNTIF($A$5:$A60,$A60)=1,1,0))</f>
        <v/>
      </c>
      <c r="W60" s="43">
        <f>IF($A60="","",SUMIFS($J:$J,$A:$A,$A60))</f>
        <v/>
      </c>
      <c r="X60" s="43">
        <f>IF($A60="","",SUMIFS($K:$K,$A:$A,$A60))</f>
        <v/>
      </c>
      <c r="Y60" s="47">
        <f>IF($A60="","",ROUND($W60-$X60,2))</f>
        <v/>
      </c>
      <c r="Z60" s="32">
        <f>IF(AND($V60=1,ABS(N($Y60))&gt;S_Tol),1,0)</f>
        <v/>
      </c>
      <c r="AA60" s="32">
        <f>IF($U60=0,"",IF($A60="","رقم المستند ناقص",IF(COUNTIF(Doc_Register!$A:$A,$A60)&gt;1,"رقم مستند مكرر في السجل المركزي",IF(LEFT($A60,LEN("MJE")+1)&lt;&gt;"MJE"&amp;"-","بادئة الرقم لا تطابق نوع المستند",IF(NOT(ISNUMBER($B60)),"التاريخ ناقص أو غير صحيح",IF($M60="","حالة المستند ناقصة",IF($N60="","اسم المُعِد ناقص",IF(AND(OR($M60=ST_APPR,$M60=ST_POST),$O60=""),"لا يوجد معتمد",IF(AND($O60&lt;&gt;"",$O60=$N60),"المُعِد والمعتمد نفس الشخص (فصل المهام)",IF(AND($M60=ST_POST,$P60=""),"اسم المحاسب المرحِّل ناقص",IF(AND($M60=ST_POST,$P60&lt;&gt;"",OR($P60=$N60,$P60=$O60)),"المرحِّل يجب أن يختلف عن المُعِد والمعتمد",IF(AND($M60=ST_REV,$R60=""),"مرجع التصحيح/الإلغاء ناقص",IF(AND(ISNUMBER($B60),OR($M60=ST_DRAFT,$M60=ST_APPR),COUNTIFS(Period_Close!$A:$A,YEAR($B60)*100+MONTH($B60),Period_Close!$B:$B,"مقفلة")&gt;0),"الفترة مقفلة: لا يسمح بمستند جديد",IF($E60="","رقم الحساب ناقص",IF(COUNTIFS(COA!$A:$A,$E60,COA!$R:$R,1)&lt;&gt;1,"حساب غير صالح أو رئيسي أو غير نشط",IF(NOT(COUNTIF(Locations!$A:$A,$F60)&gt;0),"الموقع غير معرف",IF(NOT(COUNTIF(Cost_Centers!$A:$A,$G60)&gt;0),"مركز التكلفة غير معرف أو ناقص",IF(OR(N($J60)&lt;0,N($K60)&lt;0),"مبلغ سالب",IF(AND(N($J60)&gt;0,N($K60)&gt;0),"السطر يحتوي مدين ودائن معًا",IF(AND(N($J60)=0,N($K60)=0),"السطر بدون مبلغ",IF(AND(OR($E60=ACC_SUPPLIERS,$E60=ACC_CUSTOMERS,$E60=1501,$E60=1502),$H60=""),"كود الجهة إلزامي لحسابات الموردين/العملاء/السلف/العهد",IF(AND($E60=ACC_SUPPLIERS,$H60&lt;&gt;"",COUNTIF(Suppliers!$A:$A,$H60)=0),"كود المورد غير معرف",IF(AND($E60=ACC_CUSTOMERS,$H60&lt;&gt;"",COUNTIF(Customers!$A:$A,$H60)=0),"كود العميل غير معرف",IF(AND(OR($E60=1501,$E60=1502),$H60&lt;&gt;"",COUNTIF(Employees!$A:$A,$H60)=0),"كود الموظف غير معرف",IF(AND(IFERROR(INDEX(COA!$H:$H,MATCH($E60,COA!$A:$A,0)),0)=1,$L60=""),"تصنيف التدفق ناقص لسطر نقدي",IF($D60="","نوع القيد ناقص",IF(AND($D60="عكس",$R60=""),"قيد العكس يحتاج مرجع القيد المعكوس","")))))))))))))))))))))))))))</f>
        <v/>
      </c>
      <c r="AB60" s="32">
        <f>IF($U60=1,IF($AA60&lt;&gt;"",1,0),0)</f>
        <v/>
      </c>
      <c r="AC60" s="32">
        <f>IF($A60="",0,SUMIFS($AB:$AB,$A:$A,$A60))</f>
        <v/>
      </c>
      <c r="AD60" s="32">
        <f>IF($A60="",0,IF(COUNTIFS($A:$A,$A60,$M:$M,"&lt;&gt;"&amp;$M60)&gt;0,1,0))</f>
        <v/>
      </c>
      <c r="AE60" s="32">
        <f>IF($U60=0,"",IF($AA60&lt;&gt;"",$AA60,IF(ABS(N($Y60))&gt;S_Tol,"القيد غير متوازن (مدين ≠ دائن) - لن يُرحَّل",IF($AD60=1,"حالات أسطر القيد غير متسقة",IF($AC60&gt;0,"يوجد خطأ في سطر آخر من نفس القيد","")))))</f>
        <v/>
      </c>
      <c r="AF60" s="32">
        <f>IF($U60=1,IF($AE60&lt;&gt;"",1,0),0)</f>
        <v/>
      </c>
      <c r="AG60" s="32">
        <f>IF(AND($U60=1,$AF60=0,$M60=ST_POST),1,0)</f>
        <v/>
      </c>
    </row>
    <row r="61">
      <c r="A61" s="29" t="n"/>
      <c r="B61" s="31" t="n"/>
      <c r="C61" s="29" t="n"/>
      <c r="D61" s="29" t="n"/>
      <c r="E61" s="39" t="n"/>
      <c r="F61" s="39" t="n"/>
      <c r="G61" s="39" t="n"/>
      <c r="H61" s="29" t="n"/>
      <c r="I61" s="29" t="n"/>
      <c r="J61" s="42" t="n"/>
      <c r="K61" s="42" t="n"/>
      <c r="L61" s="29" t="n"/>
      <c r="M61" s="39" t="n"/>
      <c r="N61" s="29" t="n"/>
      <c r="O61" s="29" t="n"/>
      <c r="P61" s="29" t="n"/>
      <c r="Q61" s="29" t="n"/>
      <c r="R61" s="29" t="n"/>
      <c r="S61" s="29" t="n"/>
      <c r="T61" s="32">
        <f>IF($E61="","",IFERROR(INDEX(COA!$B:$B,MATCH($E61,COA!$A:$A,0)),"حساب غير موجود"))</f>
        <v/>
      </c>
      <c r="U61" s="32">
        <f>IF(COUNTA($A61:$S61)&gt;0,1,0)</f>
        <v/>
      </c>
      <c r="V61" s="32">
        <f>IF($A61="",0,IF(COUNTIF($A$5:$A61,$A61)=1,1,0))</f>
        <v/>
      </c>
      <c r="W61" s="43">
        <f>IF($A61="","",SUMIFS($J:$J,$A:$A,$A61))</f>
        <v/>
      </c>
      <c r="X61" s="43">
        <f>IF($A61="","",SUMIFS($K:$K,$A:$A,$A61))</f>
        <v/>
      </c>
      <c r="Y61" s="47">
        <f>IF($A61="","",ROUND($W61-$X61,2))</f>
        <v/>
      </c>
      <c r="Z61" s="32">
        <f>IF(AND($V61=1,ABS(N($Y61))&gt;S_Tol),1,0)</f>
        <v/>
      </c>
      <c r="AA61" s="32">
        <f>IF($U61=0,"",IF($A61="","رقم المستند ناقص",IF(COUNTIF(Doc_Register!$A:$A,$A61)&gt;1,"رقم مستند مكرر في السجل المركزي",IF(LEFT($A61,LEN("MJE")+1)&lt;&gt;"MJE"&amp;"-","بادئة الرقم لا تطابق نوع المستند",IF(NOT(ISNUMBER($B61)),"التاريخ ناقص أو غير صحيح",IF($M61="","حالة المستند ناقصة",IF($N61="","اسم المُعِد ناقص",IF(AND(OR($M61=ST_APPR,$M61=ST_POST),$O61=""),"لا يوجد معتمد",IF(AND($O61&lt;&gt;"",$O61=$N61),"المُعِد والمعتمد نفس الشخص (فصل المهام)",IF(AND($M61=ST_POST,$P61=""),"اسم المحاسب المرحِّل ناقص",IF(AND($M61=ST_POST,$P61&lt;&gt;"",OR($P61=$N61,$P61=$O61)),"المرحِّل يجب أن يختلف عن المُعِد والمعتمد",IF(AND($M61=ST_REV,$R61=""),"مرجع التصحيح/الإلغاء ناقص",IF(AND(ISNUMBER($B61),OR($M61=ST_DRAFT,$M61=ST_APPR),COUNTIFS(Period_Close!$A:$A,YEAR($B61)*100+MONTH($B61),Period_Close!$B:$B,"مقفلة")&gt;0),"الفترة مقفلة: لا يسمح بمستند جديد",IF($E61="","رقم الحساب ناقص",IF(COUNTIFS(COA!$A:$A,$E61,COA!$R:$R,1)&lt;&gt;1,"حساب غير صالح أو رئيسي أو غير نشط",IF(NOT(COUNTIF(Locations!$A:$A,$F61)&gt;0),"الموقع غير معرف",IF(NOT(COUNTIF(Cost_Centers!$A:$A,$G61)&gt;0),"مركز التكلفة غير معرف أو ناقص",IF(OR(N($J61)&lt;0,N($K61)&lt;0),"مبلغ سالب",IF(AND(N($J61)&gt;0,N($K61)&gt;0),"السطر يحتوي مدين ودائن معًا",IF(AND(N($J61)=0,N($K61)=0),"السطر بدون مبلغ",IF(AND(OR($E61=ACC_SUPPLIERS,$E61=ACC_CUSTOMERS,$E61=1501,$E61=1502),$H61=""),"كود الجهة إلزامي لحسابات الموردين/العملاء/السلف/العهد",IF(AND($E61=ACC_SUPPLIERS,$H61&lt;&gt;"",COUNTIF(Suppliers!$A:$A,$H61)=0),"كود المورد غير معرف",IF(AND($E61=ACC_CUSTOMERS,$H61&lt;&gt;"",COUNTIF(Customers!$A:$A,$H61)=0),"كود العميل غير معرف",IF(AND(OR($E61=1501,$E61=1502),$H61&lt;&gt;"",COUNTIF(Employees!$A:$A,$H61)=0),"كود الموظف غير معرف",IF(AND(IFERROR(INDEX(COA!$H:$H,MATCH($E61,COA!$A:$A,0)),0)=1,$L61=""),"تصنيف التدفق ناقص لسطر نقدي",IF($D61="","نوع القيد ناقص",IF(AND($D61="عكس",$R61=""),"قيد العكس يحتاج مرجع القيد المعكوس","")))))))))))))))))))))))))))</f>
        <v/>
      </c>
      <c r="AB61" s="32">
        <f>IF($U61=1,IF($AA61&lt;&gt;"",1,0),0)</f>
        <v/>
      </c>
      <c r="AC61" s="32">
        <f>IF($A61="",0,SUMIFS($AB:$AB,$A:$A,$A61))</f>
        <v/>
      </c>
      <c r="AD61" s="32">
        <f>IF($A61="",0,IF(COUNTIFS($A:$A,$A61,$M:$M,"&lt;&gt;"&amp;$M61)&gt;0,1,0))</f>
        <v/>
      </c>
      <c r="AE61" s="32">
        <f>IF($U61=0,"",IF($AA61&lt;&gt;"",$AA61,IF(ABS(N($Y61))&gt;S_Tol,"القيد غير متوازن (مدين ≠ دائن) - لن يُرحَّل",IF($AD61=1,"حالات أسطر القيد غير متسقة",IF($AC61&gt;0,"يوجد خطأ في سطر آخر من نفس القيد","")))))</f>
        <v/>
      </c>
      <c r="AF61" s="32">
        <f>IF($U61=1,IF($AE61&lt;&gt;"",1,0),0)</f>
        <v/>
      </c>
      <c r="AG61" s="32">
        <f>IF(AND($U61=1,$AF61=0,$M61=ST_POST),1,0)</f>
        <v/>
      </c>
    </row>
    <row r="62">
      <c r="A62" s="29" t="n"/>
      <c r="B62" s="31" t="n"/>
      <c r="C62" s="29" t="n"/>
      <c r="D62" s="29" t="n"/>
      <c r="E62" s="39" t="n"/>
      <c r="F62" s="39" t="n"/>
      <c r="G62" s="39" t="n"/>
      <c r="H62" s="29" t="n"/>
      <c r="I62" s="29" t="n"/>
      <c r="J62" s="42" t="n"/>
      <c r="K62" s="42" t="n"/>
      <c r="L62" s="29" t="n"/>
      <c r="M62" s="39" t="n"/>
      <c r="N62" s="29" t="n"/>
      <c r="O62" s="29" t="n"/>
      <c r="P62" s="29" t="n"/>
      <c r="Q62" s="29" t="n"/>
      <c r="R62" s="29" t="n"/>
      <c r="S62" s="29" t="n"/>
      <c r="T62" s="32">
        <f>IF($E62="","",IFERROR(INDEX(COA!$B:$B,MATCH($E62,COA!$A:$A,0)),"حساب غير موجود"))</f>
        <v/>
      </c>
      <c r="U62" s="32">
        <f>IF(COUNTA($A62:$S62)&gt;0,1,0)</f>
        <v/>
      </c>
      <c r="V62" s="32">
        <f>IF($A62="",0,IF(COUNTIF($A$5:$A62,$A62)=1,1,0))</f>
        <v/>
      </c>
      <c r="W62" s="43">
        <f>IF($A62="","",SUMIFS($J:$J,$A:$A,$A62))</f>
        <v/>
      </c>
      <c r="X62" s="43">
        <f>IF($A62="","",SUMIFS($K:$K,$A:$A,$A62))</f>
        <v/>
      </c>
      <c r="Y62" s="47">
        <f>IF($A62="","",ROUND($W62-$X62,2))</f>
        <v/>
      </c>
      <c r="Z62" s="32">
        <f>IF(AND($V62=1,ABS(N($Y62))&gt;S_Tol),1,0)</f>
        <v/>
      </c>
      <c r="AA62" s="32">
        <f>IF($U62=0,"",IF($A62="","رقم المستند ناقص",IF(COUNTIF(Doc_Register!$A:$A,$A62)&gt;1,"رقم مستند مكرر في السجل المركزي",IF(LEFT($A62,LEN("MJE")+1)&lt;&gt;"MJE"&amp;"-","بادئة الرقم لا تطابق نوع المستند",IF(NOT(ISNUMBER($B62)),"التاريخ ناقص أو غير صحيح",IF($M62="","حالة المستند ناقصة",IF($N62="","اسم المُعِد ناقص",IF(AND(OR($M62=ST_APPR,$M62=ST_POST),$O62=""),"لا يوجد معتمد",IF(AND($O62&lt;&gt;"",$O62=$N62),"المُعِد والمعتمد نفس الشخص (فصل المهام)",IF(AND($M62=ST_POST,$P62=""),"اسم المحاسب المرحِّل ناقص",IF(AND($M62=ST_POST,$P62&lt;&gt;"",OR($P62=$N62,$P62=$O62)),"المرحِّل يجب أن يختلف عن المُعِد والمعتمد",IF(AND($M62=ST_REV,$R62=""),"مرجع التصحيح/الإلغاء ناقص",IF(AND(ISNUMBER($B62),OR($M62=ST_DRAFT,$M62=ST_APPR),COUNTIFS(Period_Close!$A:$A,YEAR($B62)*100+MONTH($B62),Period_Close!$B:$B,"مقفلة")&gt;0),"الفترة مقفلة: لا يسمح بمستند جديد",IF($E62="","رقم الحساب ناقص",IF(COUNTIFS(COA!$A:$A,$E62,COA!$R:$R,1)&lt;&gt;1,"حساب غير صالح أو رئيسي أو غير نشط",IF(NOT(COUNTIF(Locations!$A:$A,$F62)&gt;0),"الموقع غير معرف",IF(NOT(COUNTIF(Cost_Centers!$A:$A,$G62)&gt;0),"مركز التكلفة غير معرف أو ناقص",IF(OR(N($J62)&lt;0,N($K62)&lt;0),"مبلغ سالب",IF(AND(N($J62)&gt;0,N($K62)&gt;0),"السطر يحتوي مدين ودائن معًا",IF(AND(N($J62)=0,N($K62)=0),"السطر بدون مبلغ",IF(AND(OR($E62=ACC_SUPPLIERS,$E62=ACC_CUSTOMERS,$E62=1501,$E62=1502),$H62=""),"كود الجهة إلزامي لحسابات الموردين/العملاء/السلف/العهد",IF(AND($E62=ACC_SUPPLIERS,$H62&lt;&gt;"",COUNTIF(Suppliers!$A:$A,$H62)=0),"كود المورد غير معرف",IF(AND($E62=ACC_CUSTOMERS,$H62&lt;&gt;"",COUNTIF(Customers!$A:$A,$H62)=0),"كود العميل غير معرف",IF(AND(OR($E62=1501,$E62=1502),$H62&lt;&gt;"",COUNTIF(Employees!$A:$A,$H62)=0),"كود الموظف غير معرف",IF(AND(IFERROR(INDEX(COA!$H:$H,MATCH($E62,COA!$A:$A,0)),0)=1,$L62=""),"تصنيف التدفق ناقص لسطر نقدي",IF($D62="","نوع القيد ناقص",IF(AND($D62="عكس",$R62=""),"قيد العكس يحتاج مرجع القيد المعكوس","")))))))))))))))))))))))))))</f>
        <v/>
      </c>
      <c r="AB62" s="32">
        <f>IF($U62=1,IF($AA62&lt;&gt;"",1,0),0)</f>
        <v/>
      </c>
      <c r="AC62" s="32">
        <f>IF($A62="",0,SUMIFS($AB:$AB,$A:$A,$A62))</f>
        <v/>
      </c>
      <c r="AD62" s="32">
        <f>IF($A62="",0,IF(COUNTIFS($A:$A,$A62,$M:$M,"&lt;&gt;"&amp;$M62)&gt;0,1,0))</f>
        <v/>
      </c>
      <c r="AE62" s="32">
        <f>IF($U62=0,"",IF($AA62&lt;&gt;"",$AA62,IF(ABS(N($Y62))&gt;S_Tol,"القيد غير متوازن (مدين ≠ دائن) - لن يُرحَّل",IF($AD62=1,"حالات أسطر القيد غير متسقة",IF($AC62&gt;0,"يوجد خطأ في سطر آخر من نفس القيد","")))))</f>
        <v/>
      </c>
      <c r="AF62" s="32">
        <f>IF($U62=1,IF($AE62&lt;&gt;"",1,0),0)</f>
        <v/>
      </c>
      <c r="AG62" s="32">
        <f>IF(AND($U62=1,$AF62=0,$M62=ST_POST),1,0)</f>
        <v/>
      </c>
    </row>
    <row r="63">
      <c r="A63" s="29" t="n"/>
      <c r="B63" s="31" t="n"/>
      <c r="C63" s="29" t="n"/>
      <c r="D63" s="29" t="n"/>
      <c r="E63" s="39" t="n"/>
      <c r="F63" s="39" t="n"/>
      <c r="G63" s="39" t="n"/>
      <c r="H63" s="29" t="n"/>
      <c r="I63" s="29" t="n"/>
      <c r="J63" s="42" t="n"/>
      <c r="K63" s="42" t="n"/>
      <c r="L63" s="29" t="n"/>
      <c r="M63" s="39" t="n"/>
      <c r="N63" s="29" t="n"/>
      <c r="O63" s="29" t="n"/>
      <c r="P63" s="29" t="n"/>
      <c r="Q63" s="29" t="n"/>
      <c r="R63" s="29" t="n"/>
      <c r="S63" s="29" t="n"/>
      <c r="T63" s="32">
        <f>IF($E63="","",IFERROR(INDEX(COA!$B:$B,MATCH($E63,COA!$A:$A,0)),"حساب غير موجود"))</f>
        <v/>
      </c>
      <c r="U63" s="32">
        <f>IF(COUNTA($A63:$S63)&gt;0,1,0)</f>
        <v/>
      </c>
      <c r="V63" s="32">
        <f>IF($A63="",0,IF(COUNTIF($A$5:$A63,$A63)=1,1,0))</f>
        <v/>
      </c>
      <c r="W63" s="43">
        <f>IF($A63="","",SUMIFS($J:$J,$A:$A,$A63))</f>
        <v/>
      </c>
      <c r="X63" s="43">
        <f>IF($A63="","",SUMIFS($K:$K,$A:$A,$A63))</f>
        <v/>
      </c>
      <c r="Y63" s="47">
        <f>IF($A63="","",ROUND($W63-$X63,2))</f>
        <v/>
      </c>
      <c r="Z63" s="32">
        <f>IF(AND($V63=1,ABS(N($Y63))&gt;S_Tol),1,0)</f>
        <v/>
      </c>
      <c r="AA63" s="32">
        <f>IF($U63=0,"",IF($A63="","رقم المستند ناقص",IF(COUNTIF(Doc_Register!$A:$A,$A63)&gt;1,"رقم مستند مكرر في السجل المركزي",IF(LEFT($A63,LEN("MJE")+1)&lt;&gt;"MJE"&amp;"-","بادئة الرقم لا تطابق نوع المستند",IF(NOT(ISNUMBER($B63)),"التاريخ ناقص أو غير صحيح",IF($M63="","حالة المستند ناقصة",IF($N63="","اسم المُعِد ناقص",IF(AND(OR($M63=ST_APPR,$M63=ST_POST),$O63=""),"لا يوجد معتمد",IF(AND($O63&lt;&gt;"",$O63=$N63),"المُعِد والمعتمد نفس الشخص (فصل المهام)",IF(AND($M63=ST_POST,$P63=""),"اسم المحاسب المرحِّل ناقص",IF(AND($M63=ST_POST,$P63&lt;&gt;"",OR($P63=$N63,$P63=$O63)),"المرحِّل يجب أن يختلف عن المُعِد والمعتمد",IF(AND($M63=ST_REV,$R63=""),"مرجع التصحيح/الإلغاء ناقص",IF(AND(ISNUMBER($B63),OR($M63=ST_DRAFT,$M63=ST_APPR),COUNTIFS(Period_Close!$A:$A,YEAR($B63)*100+MONTH($B63),Period_Close!$B:$B,"مقفلة")&gt;0),"الفترة مقفلة: لا يسمح بمستند جديد",IF($E63="","رقم الحساب ناقص",IF(COUNTIFS(COA!$A:$A,$E63,COA!$R:$R,1)&lt;&gt;1,"حساب غير صالح أو رئيسي أو غير نشط",IF(NOT(COUNTIF(Locations!$A:$A,$F63)&gt;0),"الموقع غير معرف",IF(NOT(COUNTIF(Cost_Centers!$A:$A,$G63)&gt;0),"مركز التكلفة غير معرف أو ناقص",IF(OR(N($J63)&lt;0,N($K63)&lt;0),"مبلغ سالب",IF(AND(N($J63)&gt;0,N($K63)&gt;0),"السطر يحتوي مدين ودائن معًا",IF(AND(N($J63)=0,N($K63)=0),"السطر بدون مبلغ",IF(AND(OR($E63=ACC_SUPPLIERS,$E63=ACC_CUSTOMERS,$E63=1501,$E63=1502),$H63=""),"كود الجهة إلزامي لحسابات الموردين/العملاء/السلف/العهد",IF(AND($E63=ACC_SUPPLIERS,$H63&lt;&gt;"",COUNTIF(Suppliers!$A:$A,$H63)=0),"كود المورد غير معرف",IF(AND($E63=ACC_CUSTOMERS,$H63&lt;&gt;"",COUNTIF(Customers!$A:$A,$H63)=0),"كود العميل غير معرف",IF(AND(OR($E63=1501,$E63=1502),$H63&lt;&gt;"",COUNTIF(Employees!$A:$A,$H63)=0),"كود الموظف غير معرف",IF(AND(IFERROR(INDEX(COA!$H:$H,MATCH($E63,COA!$A:$A,0)),0)=1,$L63=""),"تصنيف التدفق ناقص لسطر نقدي",IF($D63="","نوع القيد ناقص",IF(AND($D63="عكس",$R63=""),"قيد العكس يحتاج مرجع القيد المعكوس","")))))))))))))))))))))))))))</f>
        <v/>
      </c>
      <c r="AB63" s="32">
        <f>IF($U63=1,IF($AA63&lt;&gt;"",1,0),0)</f>
        <v/>
      </c>
      <c r="AC63" s="32">
        <f>IF($A63="",0,SUMIFS($AB:$AB,$A:$A,$A63))</f>
        <v/>
      </c>
      <c r="AD63" s="32">
        <f>IF($A63="",0,IF(COUNTIFS($A:$A,$A63,$M:$M,"&lt;&gt;"&amp;$M63)&gt;0,1,0))</f>
        <v/>
      </c>
      <c r="AE63" s="32">
        <f>IF($U63=0,"",IF($AA63&lt;&gt;"",$AA63,IF(ABS(N($Y63))&gt;S_Tol,"القيد غير متوازن (مدين ≠ دائن) - لن يُرحَّل",IF($AD63=1,"حالات أسطر القيد غير متسقة",IF($AC63&gt;0,"يوجد خطأ في سطر آخر من نفس القيد","")))))</f>
        <v/>
      </c>
      <c r="AF63" s="32">
        <f>IF($U63=1,IF($AE63&lt;&gt;"",1,0),0)</f>
        <v/>
      </c>
      <c r="AG63" s="32">
        <f>IF(AND($U63=1,$AF63=0,$M63=ST_POST),1,0)</f>
        <v/>
      </c>
    </row>
    <row r="64">
      <c r="A64" s="29" t="n"/>
      <c r="B64" s="31" t="n"/>
      <c r="C64" s="29" t="n"/>
      <c r="D64" s="29" t="n"/>
      <c r="E64" s="39" t="n"/>
      <c r="F64" s="39" t="n"/>
      <c r="G64" s="39" t="n"/>
      <c r="H64" s="29" t="n"/>
      <c r="I64" s="29" t="n"/>
      <c r="J64" s="42" t="n"/>
      <c r="K64" s="42" t="n"/>
      <c r="L64" s="29" t="n"/>
      <c r="M64" s="39" t="n"/>
      <c r="N64" s="29" t="n"/>
      <c r="O64" s="29" t="n"/>
      <c r="P64" s="29" t="n"/>
      <c r="Q64" s="29" t="n"/>
      <c r="R64" s="29" t="n"/>
      <c r="S64" s="29" t="n"/>
      <c r="T64" s="32">
        <f>IF($E64="","",IFERROR(INDEX(COA!$B:$B,MATCH($E64,COA!$A:$A,0)),"حساب غير موجود"))</f>
        <v/>
      </c>
      <c r="U64" s="32">
        <f>IF(COUNTA($A64:$S64)&gt;0,1,0)</f>
        <v/>
      </c>
      <c r="V64" s="32">
        <f>IF($A64="",0,IF(COUNTIF($A$5:$A64,$A64)=1,1,0))</f>
        <v/>
      </c>
      <c r="W64" s="43">
        <f>IF($A64="","",SUMIFS($J:$J,$A:$A,$A64))</f>
        <v/>
      </c>
      <c r="X64" s="43">
        <f>IF($A64="","",SUMIFS($K:$K,$A:$A,$A64))</f>
        <v/>
      </c>
      <c r="Y64" s="47">
        <f>IF($A64="","",ROUND($W64-$X64,2))</f>
        <v/>
      </c>
      <c r="Z64" s="32">
        <f>IF(AND($V64=1,ABS(N($Y64))&gt;S_Tol),1,0)</f>
        <v/>
      </c>
      <c r="AA64" s="32">
        <f>IF($U64=0,"",IF($A64="","رقم المستند ناقص",IF(COUNTIF(Doc_Register!$A:$A,$A64)&gt;1,"رقم مستند مكرر في السجل المركزي",IF(LEFT($A64,LEN("MJE")+1)&lt;&gt;"MJE"&amp;"-","بادئة الرقم لا تطابق نوع المستند",IF(NOT(ISNUMBER($B64)),"التاريخ ناقص أو غير صحيح",IF($M64="","حالة المستند ناقصة",IF($N64="","اسم المُعِد ناقص",IF(AND(OR($M64=ST_APPR,$M64=ST_POST),$O64=""),"لا يوجد معتمد",IF(AND($O64&lt;&gt;"",$O64=$N64),"المُعِد والمعتمد نفس الشخص (فصل المهام)",IF(AND($M64=ST_POST,$P64=""),"اسم المحاسب المرحِّل ناقص",IF(AND($M64=ST_POST,$P64&lt;&gt;"",OR($P64=$N64,$P64=$O64)),"المرحِّل يجب أن يختلف عن المُعِد والمعتمد",IF(AND($M64=ST_REV,$R64=""),"مرجع التصحيح/الإلغاء ناقص",IF(AND(ISNUMBER($B64),OR($M64=ST_DRAFT,$M64=ST_APPR),COUNTIFS(Period_Close!$A:$A,YEAR($B64)*100+MONTH($B64),Period_Close!$B:$B,"مقفلة")&gt;0),"الفترة مقفلة: لا يسمح بمستند جديد",IF($E64="","رقم الحساب ناقص",IF(COUNTIFS(COA!$A:$A,$E64,COA!$R:$R,1)&lt;&gt;1,"حساب غير صالح أو رئيسي أو غير نشط",IF(NOT(COUNTIF(Locations!$A:$A,$F64)&gt;0),"الموقع غير معرف",IF(NOT(COUNTIF(Cost_Centers!$A:$A,$G64)&gt;0),"مركز التكلفة غير معرف أو ناقص",IF(OR(N($J64)&lt;0,N($K64)&lt;0),"مبلغ سالب",IF(AND(N($J64)&gt;0,N($K64)&gt;0),"السطر يحتوي مدين ودائن معًا",IF(AND(N($J64)=0,N($K64)=0),"السطر بدون مبلغ",IF(AND(OR($E64=ACC_SUPPLIERS,$E64=ACC_CUSTOMERS,$E64=1501,$E64=1502),$H64=""),"كود الجهة إلزامي لحسابات الموردين/العملاء/السلف/العهد",IF(AND($E64=ACC_SUPPLIERS,$H64&lt;&gt;"",COUNTIF(Suppliers!$A:$A,$H64)=0),"كود المورد غير معرف",IF(AND($E64=ACC_CUSTOMERS,$H64&lt;&gt;"",COUNTIF(Customers!$A:$A,$H64)=0),"كود العميل غير معرف",IF(AND(OR($E64=1501,$E64=1502),$H64&lt;&gt;"",COUNTIF(Employees!$A:$A,$H64)=0),"كود الموظف غير معرف",IF(AND(IFERROR(INDEX(COA!$H:$H,MATCH($E64,COA!$A:$A,0)),0)=1,$L64=""),"تصنيف التدفق ناقص لسطر نقدي",IF($D64="","نوع القيد ناقص",IF(AND($D64="عكس",$R64=""),"قيد العكس يحتاج مرجع القيد المعكوس","")))))))))))))))))))))))))))</f>
        <v/>
      </c>
      <c r="AB64" s="32">
        <f>IF($U64=1,IF($AA64&lt;&gt;"",1,0),0)</f>
        <v/>
      </c>
      <c r="AC64" s="32">
        <f>IF($A64="",0,SUMIFS($AB:$AB,$A:$A,$A64))</f>
        <v/>
      </c>
      <c r="AD64" s="32">
        <f>IF($A64="",0,IF(COUNTIFS($A:$A,$A64,$M:$M,"&lt;&gt;"&amp;$M64)&gt;0,1,0))</f>
        <v/>
      </c>
      <c r="AE64" s="32">
        <f>IF($U64=0,"",IF($AA64&lt;&gt;"",$AA64,IF(ABS(N($Y64))&gt;S_Tol,"القيد غير متوازن (مدين ≠ دائن) - لن يُرحَّل",IF($AD64=1,"حالات أسطر القيد غير متسقة",IF($AC64&gt;0,"يوجد خطأ في سطر آخر من نفس القيد","")))))</f>
        <v/>
      </c>
      <c r="AF64" s="32">
        <f>IF($U64=1,IF($AE64&lt;&gt;"",1,0),0)</f>
        <v/>
      </c>
      <c r="AG64" s="32">
        <f>IF(AND($U64=1,$AF64=0,$M64=ST_POST),1,0)</f>
        <v/>
      </c>
    </row>
  </sheetData>
  <sheetProtection selectLockedCells="0" selectUnlockedCells="0" sheet="1" objects="0" insertRows="1" insertHyperlinks="1" autoFilter="0" scenarios="0" formatColumns="0" deleteColumns="1" insertColumns="1" pivotTables="1" deleteRows="1" formatCells="0" formatRows="0" sort="1"/>
  <autoFilter ref="A4:AG64"/>
  <conditionalFormatting sqref="M5:M64">
    <cfRule type="expression" priority="1" dxfId="1">
      <formula>M5="مرحل"</formula>
    </cfRule>
    <cfRule type="expression" priority="2" dxfId="0">
      <formula>M5="معكوس"</formula>
    </cfRule>
  </conditionalFormatting>
  <conditionalFormatting sqref="Y5:Y64">
    <cfRule type="expression" priority="3" dxfId="2">
      <formula>AND(ISNUMBER(Y5),ABS(Y5)&gt;0.005)</formula>
    </cfRule>
  </conditionalFormatting>
  <conditionalFormatting sqref="Z5:Z64">
    <cfRule type="expression" priority="4" dxfId="2">
      <formula>AND(ISNUMBER(Z5),ABS(Z5)&gt;0.005)</formula>
    </cfRule>
  </conditionalFormatting>
  <conditionalFormatting sqref="AE5:AE64">
    <cfRule type="expression" priority="5" dxfId="3">
      <formula>LEN(AE5)&gt;0</formula>
    </cfRule>
  </conditionalFormatting>
  <dataValidations count="12">
    <dataValidation sqref="B5:B64" showDropDown="0" showInputMessage="0" showErrorMessage="1" allowBlank="1" errorTitle="تاريخ غير صحيح" error="أدخل تاريخًا صحيحًا." type="date" operator="greaterThan">
      <formula1>36526</formula1>
    </dataValidation>
    <dataValidation sqref="D5:D64" showDropDown="0" showInputMessage="0" showErrorMessage="1" allowBlank="1" errorTitle="قيمة غير مسموحة" error="اختر قيمة من القائمة المنسدلة." type="list">
      <formula1>=Lists!$W$5:$W$14</formula1>
    </dataValidation>
    <dataValidation sqref="E5:E64" showDropDown="0" showInputMessage="0" showErrorMessage="1" allowBlank="1" errorTitle="قيمة غير مسموحة" error="اختر قيمة من القائمة المنسدلة." type="list">
      <formula1>=COA!$A$5:$A$254</formula1>
    </dataValidation>
    <dataValidation sqref="F5:F64" showDropDown="0" showInputMessage="0" showErrorMessage="1" allowBlank="1" errorTitle="قيمة غير مسموحة" error="اختر قيمة من القائمة المنسدلة." type="list">
      <formula1>=Locations!$A$5:$A$34</formula1>
    </dataValidation>
    <dataValidation sqref="G5:G64" showDropDown="0" showInputMessage="0" showErrorMessage="1" allowBlank="1" errorTitle="قيمة غير مسموحة" error="اختر قيمة من القائمة المنسدلة." type="list">
      <formula1>=Cost_Centers!$A$5:$A$34</formula1>
    </dataValidation>
    <dataValidation sqref="J5:J6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K5:K6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L5:L64" showDropDown="0" showInputMessage="0" showErrorMessage="1" allowBlank="1" errorTitle="قيمة غير مسموحة" error="اختر قيمة من القائمة المنسدلة." type="list">
      <formula1>=Lists!$AC$5:$AC$9</formula1>
    </dataValidation>
    <dataValidation sqref="M5:M64" showDropDown="0" showInputMessage="0" showErrorMessage="1" allowBlank="1" errorTitle="قيمة غير مسموحة" error="اختر قيمة من القائمة المنسدلة." type="list">
      <formula1>=Lists!$A$5:$A$9</formula1>
    </dataValidation>
    <dataValidation sqref="N5:N64" showDropDown="0" showInputMessage="0" showErrorMessage="1" allowBlank="1" errorTitle="قيمة غير مسموحة" error="اختر قيمة من القائمة المنسدلة." type="list">
      <formula1>=Users!$B$5:$B$44</formula1>
    </dataValidation>
    <dataValidation sqref="O5:O64" showDropDown="0" showInputMessage="0" showErrorMessage="1" allowBlank="1" errorTitle="قيمة غير مسموحة" error="اختر قيمة من القائمة المنسدلة." type="list">
      <formula1>=Users!$B$5:$B$44</formula1>
    </dataValidation>
    <dataValidation sqref="P5:P64" showDropDown="0" showInputMessage="0" showErrorMessage="1" allowBlank="1" errorTitle="قيمة غير مسموحة" error="اختر قيمة من القائمة المنسدلة." type="list">
      <formula1>=Users!$B$5:$B$44</formula1>
    </dataValidation>
  </dataValidations>
  <pageMargins left="0.75" right="0.75" top="1" bottom="1" header="0.5" footer="0.5"/>
  <pageSetup orientation="landscape" fitToHeight="0" fitToWidth="1"/>
</worksheet>
</file>

<file path=xl/worksheets/sheet38.xml><?xml version="1.0" encoding="utf-8"?>
<worksheet xmlns="http://schemas.openxmlformats.org/spreadsheetml/2006/main">
  <sheetPr>
    <tabColor rgb="00C00000"/>
    <outlinePr summaryBelow="1" summaryRight="1"/>
    <pageSetUpPr/>
  </sheetPr>
  <dimension ref="A1:H57"/>
  <sheetViews>
    <sheetView rightToLeft="1" workbookViewId="0">
      <pane xSplit="1" ySplit="26" topLeftCell="B27"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40" customWidth="1" min="3" max="3"/>
    <col width="40" customWidth="1" min="4" max="4"/>
    <col width="40" customWidth="1" min="5" max="5"/>
    <col width="34" customWidth="1" min="6" max="6"/>
    <col width="22" customWidth="1" min="7" max="7"/>
    <col width="28" customWidth="1" min="8" max="8"/>
  </cols>
  <sheetData>
    <row r="1">
      <c r="A1" s="22" t="inlineStr">
        <is>
          <t>قواعد القيود المحاسبية وخريطة الحسابات (Posting Rules)</t>
        </is>
      </c>
      <c r="B1" s="1" t="n"/>
      <c r="C1" s="1" t="n"/>
      <c r="D1" s="1" t="n"/>
      <c r="E1" s="1" t="n"/>
      <c r="F1" s="1" t="n"/>
      <c r="G1" s="1" t="n"/>
      <c r="H1" s="1" t="n"/>
    </row>
    <row r="2">
      <c r="A2" s="26" t="inlineStr">
        <is>
          <t>أ) خريطة الحسابات الثابتة تستخدمها المعادلات بالاسم - تعديل رقم الحساب هنا يغيّر القيود الجديدة والقديمة معًا (لا تغيّره بعد بدء التشغيل). ب) جدول القواعد يشرح مدين/دائن كل نوع حركة.</t>
        </is>
      </c>
    </row>
    <row r="4">
      <c r="A4" s="57" t="inlineStr">
        <is>
          <t>اسم الحساب في الصيغ</t>
        </is>
      </c>
      <c r="B4" s="57" t="inlineStr">
        <is>
          <t>رقم الحساب</t>
        </is>
      </c>
      <c r="C4" s="57" t="inlineStr">
        <is>
          <t>اسم الحساب (آلي)</t>
        </is>
      </c>
      <c r="D4" s="57" t="inlineStr">
        <is>
          <t>الاستخدام</t>
        </is>
      </c>
    </row>
    <row r="5">
      <c r="A5" s="8" t="inlineStr">
        <is>
          <t>ACC_DISC</t>
        </is>
      </c>
      <c r="B5" s="49" t="n">
        <v>4901</v>
      </c>
      <c r="C5" s="8">
        <f>IFERROR(INDEX(COA!$B:$B,MATCH(B5,COA!$A:$A,0)),"حساب غير موجود")</f>
        <v/>
      </c>
      <c r="D5" s="8" t="inlineStr">
        <is>
          <t>خصومات المبيعات</t>
        </is>
      </c>
    </row>
    <row r="6">
      <c r="A6" s="8" t="inlineStr">
        <is>
          <t>ACC_RET</t>
        </is>
      </c>
      <c r="B6" s="49" t="n">
        <v>4902</v>
      </c>
      <c r="C6" s="8">
        <f>IFERROR(INDEX(COA!$B:$B,MATCH(B6,COA!$A:$A,0)),"حساب غير موجود")</f>
        <v/>
      </c>
      <c r="D6" s="8" t="inlineStr">
        <is>
          <t>مرتجعات وإلغاءات المبيعات</t>
        </is>
      </c>
    </row>
    <row r="7">
      <c r="A7" s="8" t="inlineStr">
        <is>
          <t>ACC_VAT_OUT</t>
        </is>
      </c>
      <c r="B7" s="49" t="n">
        <v>2301</v>
      </c>
      <c r="C7" s="8">
        <f>IFERROR(INDEX(COA!$B:$B,MATCH(B7,COA!$A:$A,0)),"حساب غير موجود")</f>
        <v/>
      </c>
      <c r="D7" s="8" t="inlineStr">
        <is>
          <t>ضريبة القيمة المضافة - مخرجات</t>
        </is>
      </c>
    </row>
    <row r="8">
      <c r="A8" s="8" t="inlineStr">
        <is>
          <t>ACC_VAT_IN</t>
        </is>
      </c>
      <c r="B8" s="49" t="n">
        <v>1610</v>
      </c>
      <c r="C8" s="8">
        <f>IFERROR(INDEX(COA!$B:$B,MATCH(B8,COA!$A:$A,0)),"حساب غير موجود")</f>
        <v/>
      </c>
      <c r="D8" s="8" t="inlineStr">
        <is>
          <t>ضريبة القيمة المضافة - مدخلات</t>
        </is>
      </c>
    </row>
    <row r="9">
      <c r="A9" s="8" t="inlineStr">
        <is>
          <t>ACC_SUPPLIERS</t>
        </is>
      </c>
      <c r="B9" s="49" t="n">
        <v>2101</v>
      </c>
      <c r="C9" s="8">
        <f>IFERROR(INDEX(COA!$B:$B,MATCH(B9,COA!$A:$A,0)),"حساب غير موجود")</f>
        <v/>
      </c>
      <c r="D9" s="8" t="inlineStr">
        <is>
          <t>حساب الموردين (حساب رقابة)</t>
        </is>
      </c>
    </row>
    <row r="10">
      <c r="A10" s="8" t="inlineStr">
        <is>
          <t>ACC_CUSTOMERS</t>
        </is>
      </c>
      <c r="B10" s="49" t="n">
        <v>1301</v>
      </c>
      <c r="C10" s="8">
        <f>IFERROR(INDEX(COA!$B:$B,MATCH(B10,COA!$A:$A,0)),"حساب غير موجود")</f>
        <v/>
      </c>
      <c r="D10" s="8" t="inlineStr">
        <is>
          <t>حساب العملاء (حساب رقابة)</t>
        </is>
      </c>
    </row>
    <row r="11">
      <c r="A11" s="8" t="inlineStr">
        <is>
          <t>ACC_ACCRUED</t>
        </is>
      </c>
      <c r="B11" s="49" t="n">
        <v>2201</v>
      </c>
      <c r="C11" s="8">
        <f>IFERROR(INDEX(COA!$B:$B,MATCH(B11,COA!$A:$A,0)),"حساب غير موجود")</f>
        <v/>
      </c>
      <c r="D11" s="8" t="inlineStr">
        <is>
          <t>المصروفات المستحقة</t>
        </is>
      </c>
    </row>
    <row r="12">
      <c r="A12" s="8" t="inlineStr">
        <is>
          <t>ACC_SUSPENSE</t>
        </is>
      </c>
      <c r="B12" s="49" t="n">
        <v>2901</v>
      </c>
      <c r="C12" s="8">
        <f>IFERROR(INDEX(COA!$B:$B,MATCH(B12,COA!$A:$A,0)),"حساب غير موجود")</f>
        <v/>
      </c>
      <c r="D12" s="8" t="inlineStr">
        <is>
          <t>الحساب المعلق</t>
        </is>
      </c>
    </row>
    <row r="13">
      <c r="A13" s="8" t="inlineStr">
        <is>
          <t>ACC_CASH_SHORT</t>
        </is>
      </c>
      <c r="B13" s="49" t="n">
        <v>6910</v>
      </c>
      <c r="C13" s="8">
        <f>IFERROR(INDEX(COA!$B:$B,MATCH(B13,COA!$A:$A,0)),"حساب غير موجود")</f>
        <v/>
      </c>
      <c r="D13" s="8" t="inlineStr">
        <is>
          <t>عجز الخزينة</t>
        </is>
      </c>
    </row>
    <row r="14">
      <c r="A14" s="8" t="inlineStr">
        <is>
          <t>ACC_CASH_OVER</t>
        </is>
      </c>
      <c r="B14" s="49" t="n">
        <v>4210</v>
      </c>
      <c r="C14" s="8">
        <f>IFERROR(INDEX(COA!$B:$B,MATCH(B14,COA!$A:$A,0)),"حساب غير موجود")</f>
        <v/>
      </c>
      <c r="D14" s="8" t="inlineStr">
        <is>
          <t>زيادة الخزينة</t>
        </is>
      </c>
    </row>
    <row r="15">
      <c r="A15" s="8" t="inlineStr">
        <is>
          <t>ACC_PLT_DIFF</t>
        </is>
      </c>
      <c r="B15" s="49" t="n">
        <v>1309</v>
      </c>
      <c r="C15" s="8">
        <f>IFERROR(INDEX(COA!$B:$B,MATCH(B15,COA!$A:$A,0)),"حساب غير موجود")</f>
        <v/>
      </c>
      <c r="D15" s="8" t="inlineStr">
        <is>
          <t>فروق تسوية المنصات تحت المراجعة</t>
        </is>
      </c>
    </row>
    <row r="16">
      <c r="A16" s="8" t="inlineStr">
        <is>
          <t>ACC_PLT_OTHER</t>
        </is>
      </c>
      <c r="B16" s="49" t="n">
        <v>6705</v>
      </c>
      <c r="C16" s="8">
        <f>IFERROR(INDEX(COA!$B:$B,MATCH(B16,COA!$A:$A,0)),"حساب غير موجود")</f>
        <v/>
      </c>
      <c r="D16" s="8" t="inlineStr">
        <is>
          <t>خصومات/غرامات المنصات الأخرى</t>
        </is>
      </c>
    </row>
    <row r="17">
      <c r="A17" s="8" t="inlineStr">
        <is>
          <t>ACC_ADVANCES</t>
        </is>
      </c>
      <c r="B17" s="49" t="n">
        <v>1501</v>
      </c>
      <c r="C17" s="8">
        <f>IFERROR(INDEX(COA!$B:$B,MATCH(B17,COA!$A:$A,0)),"حساب غير موجود")</f>
        <v/>
      </c>
      <c r="D17" s="8" t="inlineStr">
        <is>
          <t>سلف الموظفين</t>
        </is>
      </c>
    </row>
    <row r="18">
      <c r="A18" s="8" t="inlineStr">
        <is>
          <t>ACC_CAPITAL</t>
        </is>
      </c>
      <c r="B18" s="49" t="n">
        <v>3101</v>
      </c>
      <c r="C18" s="8">
        <f>IFERROR(INDEX(COA!$B:$B,MATCH(B18,COA!$A:$A,0)),"حساب غير موجود")</f>
        <v/>
      </c>
      <c r="D18" s="8" t="inlineStr">
        <is>
          <t>رأس المال</t>
        </is>
      </c>
    </row>
    <row r="19">
      <c r="A19" s="8" t="inlineStr">
        <is>
          <t>ACC_INCSUM</t>
        </is>
      </c>
      <c r="B19" s="49" t="n">
        <v>3501</v>
      </c>
      <c r="C19" s="8">
        <f>IFERROR(INDEX(COA!$B:$B,MATCH(B19,COA!$A:$A,0)),"حساب غير موجود")</f>
        <v/>
      </c>
      <c r="D19" s="8" t="inlineStr">
        <is>
          <t>ملخص الدخل</t>
        </is>
      </c>
    </row>
    <row r="20">
      <c r="A20" s="8" t="inlineStr">
        <is>
          <t>ACC_RE</t>
        </is>
      </c>
      <c r="B20" s="49" t="n">
        <v>3301</v>
      </c>
      <c r="C20" s="8">
        <f>IFERROR(INDEX(COA!$B:$B,MATCH(B20,COA!$A:$A,0)),"حساب غير موجود")</f>
        <v/>
      </c>
      <c r="D20" s="8" t="inlineStr">
        <is>
          <t>الأرباح المحتجزة</t>
        </is>
      </c>
    </row>
    <row r="21">
      <c r="A21" s="8" t="inlineStr">
        <is>
          <t>ACC_COGS</t>
        </is>
      </c>
      <c r="B21" s="49" t="n">
        <v>5101</v>
      </c>
      <c r="C21" s="8">
        <f>IFERROR(INDEX(COA!$B:$B,MATCH(B21,COA!$A:$A,0)),"حساب غير موجود")</f>
        <v/>
      </c>
      <c r="D21" s="8" t="inlineStr">
        <is>
          <t>تكلفة المواد المباشرة (تسوية التكلفة الدورية)</t>
        </is>
      </c>
    </row>
    <row r="22">
      <c r="A22" s="8" t="inlineStr">
        <is>
          <t>ACC_INV_MAIN</t>
        </is>
      </c>
      <c r="B22" s="49" t="n">
        <v>1401</v>
      </c>
      <c r="C22" s="8">
        <f>IFERROR(INDEX(COA!$B:$B,MATCH(B22,COA!$A:$A,0)),"حساب غير موجود")</f>
        <v/>
      </c>
      <c r="D22" s="8" t="inlineStr">
        <is>
          <t>مخزون المخزن الرئيسي</t>
        </is>
      </c>
    </row>
    <row r="25">
      <c r="A25" s="40" t="inlineStr">
        <is>
          <t>ب) قواعد القيود لكل نوع حركة</t>
        </is>
      </c>
    </row>
    <row r="26">
      <c r="A26" s="58" t="inlineStr">
        <is>
          <t>نوع الحركة</t>
        </is>
      </c>
      <c r="B26" s="58" t="inlineStr">
        <is>
          <t>ورقة التسجيل</t>
        </is>
      </c>
      <c r="C26" s="58" t="inlineStr">
        <is>
          <t>الحساب المدين</t>
        </is>
      </c>
      <c r="D26" s="58" t="inlineStr">
        <is>
          <t>الحساب الدائن</t>
        </is>
      </c>
      <c r="E26" s="58" t="inlineStr">
        <is>
          <t>شروط الإثبات</t>
        </is>
      </c>
      <c r="F26" s="58" t="inlineStr">
        <is>
          <t>المستند المؤيد</t>
        </is>
      </c>
      <c r="G26" s="58" t="inlineStr">
        <is>
          <t>توقيت التسجيل</t>
        </is>
      </c>
      <c r="H26" s="58" t="inlineStr">
        <is>
          <t>الإلغاء / التصحيح</t>
        </is>
      </c>
    </row>
    <row r="27">
      <c r="A27" s="25" t="inlineStr">
        <is>
          <t>بيع نقدي</t>
        </is>
      </c>
      <c r="B27" s="25" t="inlineStr">
        <is>
          <t>Sales_Daily</t>
        </is>
      </c>
      <c r="C27" s="25" t="inlineStr">
        <is>
          <t>خزينة الفرع (حسب كود الفرع)</t>
        </is>
      </c>
      <c r="D27" s="25" t="inlineStr">
        <is>
          <t>حساب إيراد الفئة 4101-4104</t>
        </is>
      </c>
      <c r="E27" s="25" t="inlineStr">
        <is>
          <t>يوم البيع - تقرير مبيعات معتمد</t>
        </is>
      </c>
      <c r="F27" s="25" t="inlineStr">
        <is>
          <t>نموذج 15 + شريط الكاشير</t>
        </is>
      </c>
      <c r="G27" s="25" t="inlineStr">
        <is>
          <t>يوم البيع</t>
        </is>
      </c>
      <c r="H27" s="25" t="inlineStr">
        <is>
          <t>معكوس + مستند جديد</t>
        </is>
      </c>
    </row>
    <row r="28">
      <c r="A28" s="25" t="inlineStr">
        <is>
          <t>بيع بطاقات</t>
        </is>
      </c>
      <c r="B28" s="25" t="inlineStr">
        <is>
          <t>Sales_Daily</t>
        </is>
      </c>
      <c r="C28" s="25" t="inlineStr">
        <is>
          <t>1302 مستحقات بطاقات</t>
        </is>
      </c>
      <c r="D28" s="25" t="inlineStr">
        <is>
          <t>4101-4104</t>
        </is>
      </c>
      <c r="E28" s="25" t="inlineStr">
        <is>
          <t>يوم البيع</t>
        </is>
      </c>
      <c r="F28" s="25" t="inlineStr">
        <is>
          <t>نموذج 15 + تقرير POS</t>
        </is>
      </c>
      <c r="G28" s="25" t="inlineStr">
        <is>
          <t>يوم البيع</t>
        </is>
      </c>
      <c r="H28" s="25" t="inlineStr">
        <is>
          <t>معكوس + مستند جديد</t>
        </is>
      </c>
    </row>
    <row r="29">
      <c r="A29" s="25" t="inlineStr">
        <is>
          <t>بيع عبر منصة</t>
        </is>
      </c>
      <c r="B29" s="25" t="inlineStr">
        <is>
          <t>Sales_Daily</t>
        </is>
      </c>
      <c r="C29" s="25" t="inlineStr">
        <is>
          <t>1303 / 1304 مستحقات المنصة</t>
        </is>
      </c>
      <c r="D29" s="25" t="inlineStr">
        <is>
          <t>4101-4104</t>
        </is>
      </c>
      <c r="E29" s="25" t="inlineStr">
        <is>
          <t>يوم البيع (الإيراد بقيمة الطلبات)</t>
        </is>
      </c>
      <c r="F29" s="25" t="inlineStr">
        <is>
          <t>نموذج 15 + تقرير المنصة</t>
        </is>
      </c>
      <c r="G29" s="25" t="inlineStr">
        <is>
          <t>يوم البيع</t>
        </is>
      </c>
      <c r="H29" s="25" t="inlineStr">
        <is>
          <t>معكوس + مستند جديد</t>
        </is>
      </c>
    </row>
    <row r="30">
      <c r="A30" s="25" t="inlineStr">
        <is>
          <t>ضيافة / طلبات مجانية (المرحلة 1: بيان فقط)</t>
        </is>
      </c>
      <c r="B30" s="25" t="inlineStr">
        <is>
          <t>Sales_Daily (خانة للعلم)</t>
        </is>
      </c>
      <c r="C30" s="25" t="inlineStr">
        <is>
          <t>لا قيد في المرحلة 1 (ليست إيرادًا ولا نقدية)</t>
        </is>
      </c>
      <c r="D30" s="25" t="inlineStr">
        <is>
          <t>—</t>
        </is>
      </c>
      <c r="E30" s="25" t="inlineStr">
        <is>
          <t>اعتماد مدير الفرع</t>
        </is>
      </c>
      <c r="F30" s="25" t="inlineStr">
        <is>
          <t>نموذج 15 + إذن ضيافة</t>
        </is>
      </c>
      <c r="G30" s="25" t="inlineStr">
        <is>
          <t>يوم الطلب</t>
        </is>
      </c>
      <c r="H30" s="25" t="inlineStr">
        <is>
          <t>تُحمَّل تكلفتها على 5301 من المخزون (قيد التسوية الدورية أو حركة المخزون في المرحلة 2)</t>
        </is>
      </c>
    </row>
    <row r="31">
      <c r="A31" s="25" t="inlineStr">
        <is>
          <t>خصومات المبيعات</t>
        </is>
      </c>
      <c r="B31" s="25" t="inlineStr">
        <is>
          <t>Sales_Daily</t>
        </is>
      </c>
      <c r="C31" s="25" t="inlineStr">
        <is>
          <t>4901 خصومات المبيعات</t>
        </is>
      </c>
      <c r="D31" s="25" t="inlineStr">
        <is>
          <t>—(جزء من قيد البيع)</t>
        </is>
      </c>
      <c r="E31" s="25" t="inlineStr">
        <is>
          <t>تقرير معتمد بتوقيع مدير الفرع</t>
        </is>
      </c>
      <c r="F31" s="25" t="inlineStr">
        <is>
          <t>نموذج 15</t>
        </is>
      </c>
      <c r="G31" s="25" t="inlineStr">
        <is>
          <t>يوم البيع</t>
        </is>
      </c>
      <c r="H31" s="25" t="inlineStr">
        <is>
          <t>—</t>
        </is>
      </c>
    </row>
    <row r="32">
      <c r="A32" s="25" t="inlineStr">
        <is>
          <t>مرتجعات المبيعات</t>
        </is>
      </c>
      <c r="B32" s="25" t="inlineStr">
        <is>
          <t>Sales_Daily</t>
        </is>
      </c>
      <c r="C32" s="25" t="inlineStr">
        <is>
          <t>4902 مرتجعات المبيعات</t>
        </is>
      </c>
      <c r="D32" s="25" t="inlineStr">
        <is>
          <t>—(جزء من قيد البيع)</t>
        </is>
      </c>
      <c r="E32" s="25" t="inlineStr">
        <is>
          <t>نموذج 29 معتمد</t>
        </is>
      </c>
      <c r="F32" s="25" t="inlineStr">
        <is>
          <t>نموذج 29</t>
        </is>
      </c>
      <c r="G32" s="25" t="inlineStr">
        <is>
          <t>يوم الإرجاع</t>
        </is>
      </c>
      <c r="H32" s="25" t="inlineStr">
        <is>
          <t>—</t>
        </is>
      </c>
    </row>
    <row r="33">
      <c r="A33" s="25" t="inlineStr">
        <is>
          <t>ضريبة المخرجات (إن فُعّلت)</t>
        </is>
      </c>
      <c r="B33" s="25" t="inlineStr">
        <is>
          <t>Sales_Daily</t>
        </is>
      </c>
      <c r="C33" s="25" t="inlineStr">
        <is>
          <t>—</t>
        </is>
      </c>
      <c r="D33" s="25" t="inlineStr">
        <is>
          <t>2301 ضريبة مخرجات</t>
        </is>
      </c>
      <c r="E33" s="25" t="inlineStr">
        <is>
          <t>تفعيل الضريبة في Tax_Settings</t>
        </is>
      </c>
      <c r="F33" s="25" t="inlineStr">
        <is>
          <t>نموذج 15</t>
        </is>
      </c>
      <c r="G33" s="25" t="inlineStr">
        <is>
          <t>يوم البيع</t>
        </is>
      </c>
      <c r="H33" s="25" t="inlineStr">
        <is>
          <t>—</t>
        </is>
      </c>
    </row>
    <row r="34">
      <c r="A34" s="25" t="inlineStr">
        <is>
          <t>تسوية منصة / بطاقات</t>
        </is>
      </c>
      <c r="B34" s="25" t="inlineStr">
        <is>
          <t>Platform_Settlements</t>
        </is>
      </c>
      <c r="C34" s="25" t="inlineStr">
        <is>
          <t>بنك/خزينة + عمولة 6701/6702 + خصومات 6705 (+ 1309 للفرق)</t>
        </is>
      </c>
      <c r="D34" s="25" t="inlineStr">
        <is>
          <t>1303/1304/1302 تخفيض المستحقات</t>
        </is>
      </c>
      <c r="E34" s="25" t="inlineStr">
        <is>
          <t>وصول كشف التسوية</t>
        </is>
      </c>
      <c r="F34" s="25" t="inlineStr">
        <is>
          <t>نموذج 16 + كشف البنك</t>
        </is>
      </c>
      <c r="G34" s="25" t="inlineStr">
        <is>
          <t>تاريخ الكشف</t>
        </is>
      </c>
      <c r="H34" s="25" t="inlineStr">
        <is>
          <t>معكوس + مستند جديد</t>
        </is>
      </c>
    </row>
    <row r="35">
      <c r="A35" s="25" t="inlineStr">
        <is>
          <t>سند قبض</t>
        </is>
      </c>
      <c r="B35" s="25" t="inlineStr">
        <is>
          <t>Cash_Vouchers</t>
        </is>
      </c>
      <c r="C35" s="25" t="inlineStr">
        <is>
          <t>الخزينة/البنك</t>
        </is>
      </c>
      <c r="D35" s="25" t="inlineStr">
        <is>
          <t>الحساب المقابل (3101/3201/1301/4201...)</t>
        </is>
      </c>
      <c r="E35" s="25" t="inlineStr">
        <is>
          <t>سند معتمد</t>
        </is>
      </c>
      <c r="F35" s="25" t="inlineStr">
        <is>
          <t>نموذج 11</t>
        </is>
      </c>
      <c r="G35" s="25" t="inlineStr">
        <is>
          <t>تاريخ القبض</t>
        </is>
      </c>
      <c r="H35" s="25" t="inlineStr">
        <is>
          <t>معكوس</t>
        </is>
      </c>
    </row>
    <row r="36">
      <c r="A36" s="25" t="inlineStr">
        <is>
          <t>سند صرف</t>
        </is>
      </c>
      <c r="B36" s="25" t="inlineStr">
        <is>
          <t>Cash_Vouchers</t>
        </is>
      </c>
      <c r="C36" s="25" t="inlineStr">
        <is>
          <t>الحساب المقابل (2201/2202/1501/6xxx...)</t>
        </is>
      </c>
      <c r="D36" s="25" t="inlineStr">
        <is>
          <t>الخزينة/البنك</t>
        </is>
      </c>
      <c r="E36" s="25" t="inlineStr">
        <is>
          <t>سند معتمد + مرفقات</t>
        </is>
      </c>
      <c r="F36" s="25" t="inlineStr">
        <is>
          <t>نموذج 12</t>
        </is>
      </c>
      <c r="G36" s="25" t="inlineStr">
        <is>
          <t>تاريخ الصرف</t>
        </is>
      </c>
      <c r="H36" s="25" t="inlineStr">
        <is>
          <t>معكوس</t>
        </is>
      </c>
    </row>
    <row r="37">
      <c r="A37" s="25" t="inlineStr">
        <is>
          <t>تحويل بين خزائن / إيداع / سحب</t>
        </is>
      </c>
      <c r="B37" s="25" t="inlineStr">
        <is>
          <t>Cash_Vouchers</t>
        </is>
      </c>
      <c r="C37" s="25" t="inlineStr">
        <is>
          <t>الخزينة/البنك المستلم</t>
        </is>
      </c>
      <c r="D37" s="25" t="inlineStr">
        <is>
          <t>الخزينة/البنك المسلِّم</t>
        </is>
      </c>
      <c r="E37" s="25" t="inlineStr">
        <is>
          <t>توقيع الطرفين</t>
        </is>
      </c>
      <c r="F37" s="25" t="inlineStr">
        <is>
          <t>نموذج 13</t>
        </is>
      </c>
      <c r="G37" s="25" t="inlineStr">
        <is>
          <t>تاريخ التحويل</t>
        </is>
      </c>
      <c r="H37" s="25" t="inlineStr">
        <is>
          <t>معكوس. لا يمس الإيراد أو المصروف</t>
        </is>
      </c>
    </row>
    <row r="38">
      <c r="A38" s="25" t="inlineStr">
        <is>
          <t>عجز خزينة</t>
        </is>
      </c>
      <c r="B38" s="25" t="inlineStr">
        <is>
          <t>Cash_Vouchers</t>
        </is>
      </c>
      <c r="C38" s="25" t="inlineStr">
        <is>
          <t>6910 عجز خزينة</t>
        </is>
      </c>
      <c r="D38" s="25" t="inlineStr">
        <is>
          <t>الخزينة</t>
        </is>
      </c>
      <c r="E38" s="25" t="inlineStr">
        <is>
          <t>كشف إقفال بعد العدّ + مسؤول</t>
        </is>
      </c>
      <c r="F38" s="25" t="inlineStr">
        <is>
          <t>نموذج 14 + 30</t>
        </is>
      </c>
      <c r="G38" s="25" t="inlineStr">
        <is>
          <t>تاريخ العدّ</t>
        </is>
      </c>
      <c r="H38" s="25" t="inlineStr">
        <is>
          <t>معكوس</t>
        </is>
      </c>
    </row>
    <row r="39">
      <c r="A39" s="25" t="inlineStr">
        <is>
          <t>زيادة خزينة</t>
        </is>
      </c>
      <c r="B39" s="25" t="inlineStr">
        <is>
          <t>Cash_Vouchers</t>
        </is>
      </c>
      <c r="C39" s="25" t="inlineStr">
        <is>
          <t>الخزينة</t>
        </is>
      </c>
      <c r="D39" s="25" t="inlineStr">
        <is>
          <t>4210 زيادة خزينة</t>
        </is>
      </c>
      <c r="E39" s="25" t="inlineStr">
        <is>
          <t>كشف إقفال بعد العدّ</t>
        </is>
      </c>
      <c r="F39" s="25" t="inlineStr">
        <is>
          <t>نموذج 14 + 30</t>
        </is>
      </c>
      <c r="G39" s="25" t="inlineStr">
        <is>
          <t>تاريخ العدّ</t>
        </is>
      </c>
      <c r="H39" s="25" t="inlineStr">
        <is>
          <t>معكوس</t>
        </is>
      </c>
    </row>
    <row r="40">
      <c r="A40" s="25" t="inlineStr">
        <is>
          <t>مصروف فوري</t>
        </is>
      </c>
      <c r="B40" s="25" t="inlineStr">
        <is>
          <t>Expenses</t>
        </is>
      </c>
      <c r="C40" s="25" t="inlineStr">
        <is>
          <t>حساب المصروف 6xxx (أو مقدم 160x)</t>
        </is>
      </c>
      <c r="D40" s="25" t="inlineStr">
        <is>
          <t>الخزينة/البنك</t>
        </is>
      </c>
      <c r="E40" s="25" t="inlineStr">
        <is>
          <t>مستند معتمد</t>
        </is>
      </c>
      <c r="F40" s="25" t="inlineStr">
        <is>
          <t>نموذج 17 + فاتورة</t>
        </is>
      </c>
      <c r="G40" s="25" t="inlineStr">
        <is>
          <t>تاريخ الاستحقاق</t>
        </is>
      </c>
      <c r="H40" s="25" t="inlineStr">
        <is>
          <t>معكوس + مستند جديد</t>
        </is>
      </c>
    </row>
    <row r="41">
      <c r="A41" s="25" t="inlineStr">
        <is>
          <t>مصروف آجل (مستحق)</t>
        </is>
      </c>
      <c r="B41" s="25" t="inlineStr">
        <is>
          <t>Expenses</t>
        </is>
      </c>
      <c r="C41" s="25" t="inlineStr">
        <is>
          <t>حساب المصروف 6xxx</t>
        </is>
      </c>
      <c r="D41" s="25" t="inlineStr">
        <is>
          <t>2201 مصروفات مستحقة</t>
        </is>
      </c>
      <c r="E41" s="25" t="inlineStr">
        <is>
          <t>الخدمة تمت والفاتورة وصلت أو مقدرة</t>
        </is>
      </c>
      <c r="F41" s="25" t="inlineStr">
        <is>
          <t>نموذج 17</t>
        </is>
      </c>
      <c r="G41" s="25" t="inlineStr">
        <is>
          <t>فترة الاستحقاق</t>
        </is>
      </c>
      <c r="H41" s="25" t="inlineStr">
        <is>
          <t>معكوس</t>
        </is>
      </c>
    </row>
    <row r="42">
      <c r="A42" s="25" t="inlineStr">
        <is>
          <t>سداد مصروف مستحق</t>
        </is>
      </c>
      <c r="B42" s="25" t="inlineStr">
        <is>
          <t>Cash_Vouchers (صرف + مستند مرتبط)</t>
        </is>
      </c>
      <c r="C42" s="25" t="inlineStr">
        <is>
          <t>2201</t>
        </is>
      </c>
      <c r="D42" s="25" t="inlineStr">
        <is>
          <t>الخزينة/البنك</t>
        </is>
      </c>
      <c r="E42" s="25" t="inlineStr">
        <is>
          <t>سند صرف مرتبط برقم المصروف</t>
        </is>
      </c>
      <c r="F42" s="25" t="inlineStr">
        <is>
          <t>نموذج 12</t>
        </is>
      </c>
      <c r="G42" s="25" t="inlineStr">
        <is>
          <t>تاريخ السداد</t>
        </is>
      </c>
      <c r="H42" s="25" t="inlineStr">
        <is>
          <t>معكوس</t>
        </is>
      </c>
    </row>
    <row r="43">
      <c r="A43" s="25" t="inlineStr">
        <is>
          <t>فاتورة مورد (مخزون/أصل/خدمة)</t>
        </is>
      </c>
      <c r="B43" s="25" t="inlineStr">
        <is>
          <t>Supplier_Invoices</t>
        </is>
      </c>
      <c r="C43" s="25" t="inlineStr">
        <is>
          <t>1401-1405 / 17xx / 6xxx (+ 1610 ضريبة)</t>
        </is>
      </c>
      <c r="D43" s="25" t="inlineStr">
        <is>
          <t>2101 موردون</t>
        </is>
      </c>
      <c r="E43" s="25" t="inlineStr">
        <is>
          <t>الاستلام تم ومطابق</t>
        </is>
      </c>
      <c r="F43" s="25" t="inlineStr">
        <is>
          <t>فاتورة + إذن استلام (3) + أمر شراء (2)</t>
        </is>
      </c>
      <c r="G43" s="25" t="inlineStr">
        <is>
          <t>تاريخ الإثبات</t>
        </is>
      </c>
      <c r="H43" s="25" t="inlineStr">
        <is>
          <t>إشعار خصم أو معكوس</t>
        </is>
      </c>
    </row>
    <row r="44">
      <c r="A44" s="25" t="inlineStr">
        <is>
          <t>شراء نقدي فوري</t>
        </is>
      </c>
      <c r="B44" s="25" t="inlineStr">
        <is>
          <t>Supplier_Invoices (الدفع الفوري)</t>
        </is>
      </c>
      <c r="C44" s="25" t="inlineStr">
        <is>
          <t xml:space="preserve">المخزون + (2101 ثم) </t>
        </is>
      </c>
      <c r="D44" s="25" t="inlineStr">
        <is>
          <t>الخزينة/البنك</t>
        </is>
      </c>
      <c r="E44" s="25" t="inlineStr">
        <is>
          <t>فاتورة + دفع في نفس اليوم</t>
        </is>
      </c>
      <c r="F44" s="25" t="inlineStr">
        <is>
          <t>فاتورة + نموذج 12</t>
        </is>
      </c>
      <c r="G44" s="25" t="inlineStr">
        <is>
          <t>تاريخ الشراء</t>
        </is>
      </c>
      <c r="H44" s="25" t="inlineStr">
        <is>
          <t>معكوس</t>
        </is>
      </c>
    </row>
    <row r="45">
      <c r="A45" s="25" t="inlineStr">
        <is>
          <t>مرتجع مشتريات / إشعار خصم</t>
        </is>
      </c>
      <c r="B45" s="25" t="inlineStr">
        <is>
          <t>Supplier_Invoices (إشعار خصم)</t>
        </is>
      </c>
      <c r="C45" s="25" t="inlineStr">
        <is>
          <t>2101 موردون</t>
        </is>
      </c>
      <c r="D45" s="25" t="inlineStr">
        <is>
          <t>المخزون/المصروف</t>
        </is>
      </c>
      <c r="E45" s="25" t="inlineStr">
        <is>
          <t>إشعار خصم + نموذج 28</t>
        </is>
      </c>
      <c r="F45" s="25" t="inlineStr">
        <is>
          <t>نموذج 28</t>
        </is>
      </c>
      <c r="G45" s="25" t="inlineStr">
        <is>
          <t>تاريخ الإرجاع</t>
        </is>
      </c>
      <c r="H45" s="25" t="inlineStr">
        <is>
          <t>معكوس</t>
        </is>
      </c>
    </row>
    <row r="46">
      <c r="A46" s="25" t="inlineStr">
        <is>
          <t>إشعار إضافة مورد</t>
        </is>
      </c>
      <c r="B46" s="25" t="inlineStr">
        <is>
          <t>Supplier_Invoices (إشعار إضافة)</t>
        </is>
      </c>
      <c r="C46" s="25" t="inlineStr">
        <is>
          <t>حساب التكلفة</t>
        </is>
      </c>
      <c r="D46" s="25" t="inlineStr">
        <is>
          <t>2101</t>
        </is>
      </c>
      <c r="E46" s="25" t="inlineStr">
        <is>
          <t>إشعار مورد معتمد</t>
        </is>
      </c>
      <c r="F46" s="25" t="inlineStr">
        <is>
          <t>إشعار المورد</t>
        </is>
      </c>
      <c r="G46" s="25" t="inlineStr">
        <is>
          <t>تاريخ الإشعار</t>
        </is>
      </c>
      <c r="H46" s="25" t="inlineStr">
        <is>
          <t>معكوس</t>
        </is>
      </c>
    </row>
    <row r="47">
      <c r="A47" s="25" t="inlineStr">
        <is>
          <t>دفعة مورد</t>
        </is>
      </c>
      <c r="B47" s="25" t="inlineStr">
        <is>
          <t>Supplier_Payments</t>
        </is>
      </c>
      <c r="C47" s="25" t="inlineStr">
        <is>
          <t>2101 موردون</t>
        </is>
      </c>
      <c r="D47" s="25" t="inlineStr">
        <is>
          <t>الخزينة/البنك</t>
        </is>
      </c>
      <c r="E47" s="25" t="inlineStr">
        <is>
          <t>فاتورة معتمدة وسند صرف</t>
        </is>
      </c>
      <c r="F47" s="25" t="inlineStr">
        <is>
          <t>نموذج 12</t>
        </is>
      </c>
      <c r="G47" s="25" t="inlineStr">
        <is>
          <t>تاريخ الدفع</t>
        </is>
      </c>
      <c r="H47" s="25" t="inlineStr">
        <is>
          <t>معكوس</t>
        </is>
      </c>
    </row>
    <row r="48">
      <c r="A48" s="25" t="inlineStr">
        <is>
          <t>قيد افتتاحي</t>
        </is>
      </c>
      <c r="B48" s="25" t="inlineStr">
        <is>
          <t>Manual_JE</t>
        </is>
      </c>
      <c r="C48" s="25" t="inlineStr">
        <is>
          <t>الأصول</t>
        </is>
      </c>
      <c r="D48" s="25" t="inlineStr">
        <is>
          <t>الالتزامات + رأس المال</t>
        </is>
      </c>
      <c r="E48" s="25" t="inlineStr">
        <is>
          <t>ميزانية افتتاحية معتمدة</t>
        </is>
      </c>
      <c r="F48" s="25" t="inlineStr">
        <is>
          <t>نموذج 24</t>
        </is>
      </c>
      <c r="G48" s="25" t="inlineStr">
        <is>
          <t>تاريخ الافتتاح</t>
        </is>
      </c>
      <c r="H48" s="25" t="inlineStr">
        <is>
          <t>—</t>
        </is>
      </c>
    </row>
    <row r="49">
      <c r="A49" s="25" t="inlineStr">
        <is>
          <t>تسوية تكلفة المبيعات (دوري)</t>
        </is>
      </c>
      <c r="B49" s="25" t="inlineStr">
        <is>
          <t>Manual_JE</t>
        </is>
      </c>
      <c r="C49" s="25" t="inlineStr">
        <is>
          <t>5101</t>
        </is>
      </c>
      <c r="D49" s="25" t="inlineStr">
        <is>
          <t>1401/1402/1405</t>
        </is>
      </c>
      <c r="E49" s="25" t="inlineStr">
        <is>
          <t>جرد فعلي معتمد</t>
        </is>
      </c>
      <c r="F49" s="25" t="inlineStr">
        <is>
          <t>نموذج 10 + 25</t>
        </is>
      </c>
      <c r="G49" s="25" t="inlineStr">
        <is>
          <t>آخر الشهر</t>
        </is>
      </c>
      <c r="H49" s="25" t="inlineStr">
        <is>
          <t>قيد عكس</t>
        </is>
      </c>
    </row>
    <row r="50">
      <c r="A50" s="25" t="inlineStr">
        <is>
          <t>إطفاء مصروف مقدم</t>
        </is>
      </c>
      <c r="B50" s="25" t="inlineStr">
        <is>
          <t>Manual_JE</t>
        </is>
      </c>
      <c r="C50" s="25" t="inlineStr">
        <is>
          <t>6xxx</t>
        </is>
      </c>
      <c r="D50" s="25" t="inlineStr">
        <is>
          <t>160x</t>
        </is>
      </c>
      <c r="E50" s="25" t="inlineStr">
        <is>
          <t>جدول الإطفاء</t>
        </is>
      </c>
      <c r="F50" s="25" t="inlineStr">
        <is>
          <t>نموذج 25</t>
        </is>
      </c>
      <c r="G50" s="25" t="inlineStr">
        <is>
          <t>آخر الشهر</t>
        </is>
      </c>
      <c r="H50" s="25" t="inlineStr">
        <is>
          <t>قيد عكس</t>
        </is>
      </c>
    </row>
    <row r="51">
      <c r="A51" s="25" t="inlineStr">
        <is>
          <t>استحقاق رواتب (مؤقت)</t>
        </is>
      </c>
      <c r="B51" s="25" t="inlineStr">
        <is>
          <t>Manual_JE</t>
        </is>
      </c>
      <c r="C51" s="25" t="inlineStr">
        <is>
          <t>6101-6104</t>
        </is>
      </c>
      <c r="D51" s="25" t="inlineStr">
        <is>
          <t>2202</t>
        </is>
      </c>
      <c r="E51" s="25" t="inlineStr">
        <is>
          <t>كشف رواتب معتمد</t>
        </is>
      </c>
      <c r="F51" s="25" t="inlineStr">
        <is>
          <t>نموذج 22</t>
        </is>
      </c>
      <c r="G51" s="25" t="inlineStr">
        <is>
          <t>آخر الشهر</t>
        </is>
      </c>
      <c r="H51" s="25" t="inlineStr">
        <is>
          <t>قيد عكس</t>
        </is>
      </c>
    </row>
    <row r="52">
      <c r="A52" s="25" t="inlineStr">
        <is>
          <t>إهلاك</t>
        </is>
      </c>
      <c r="B52" s="25" t="inlineStr">
        <is>
          <t>Manual_JE</t>
        </is>
      </c>
      <c r="C52" s="25" t="inlineStr">
        <is>
          <t>6801</t>
        </is>
      </c>
      <c r="D52" s="25" t="inlineStr">
        <is>
          <t>1791-1794</t>
        </is>
      </c>
      <c r="E52" s="25" t="inlineStr">
        <is>
          <t>جدول الإهلاك</t>
        </is>
      </c>
      <c r="F52" s="25" t="inlineStr">
        <is>
          <t>نموذج 25</t>
        </is>
      </c>
      <c r="G52" s="25" t="inlineStr">
        <is>
          <t>آخر الشهر</t>
        </is>
      </c>
      <c r="H52" s="25" t="inlineStr">
        <is>
          <t>قيد عكس</t>
        </is>
      </c>
    </row>
    <row r="53">
      <c r="A53" s="25" t="inlineStr">
        <is>
          <t>قيد تصحيح/عكس</t>
        </is>
      </c>
      <c r="B53" s="25" t="inlineStr">
        <is>
          <t>Manual_JE</t>
        </is>
      </c>
      <c r="C53" s="25" t="inlineStr">
        <is>
          <t>عكس القيد الأصلي</t>
        </is>
      </c>
      <c r="D53" s="25" t="inlineStr">
        <is>
          <t>عكس القيد الأصلي</t>
        </is>
      </c>
      <c r="E53" s="25" t="inlineStr">
        <is>
          <t>موافقة المدير المالي</t>
        </is>
      </c>
      <c r="F53" s="25" t="inlineStr">
        <is>
          <t>نموذج 25</t>
        </is>
      </c>
      <c r="G53" s="25" t="inlineStr">
        <is>
          <t>تاريخ الفترة المفتوحة</t>
        </is>
      </c>
      <c r="H53" s="25" t="inlineStr">
        <is>
          <t>—</t>
        </is>
      </c>
    </row>
    <row r="54">
      <c r="A54" s="25" t="inlineStr">
        <is>
          <t>قيد إقفال سنوي</t>
        </is>
      </c>
      <c r="B54" s="25" t="inlineStr">
        <is>
          <t>Manual_JE</t>
        </is>
      </c>
      <c r="C54" s="25" t="inlineStr">
        <is>
          <t>حسابات الإيراد</t>
        </is>
      </c>
      <c r="D54" s="25" t="inlineStr">
        <is>
          <t>3501 ثم 3301</t>
        </is>
      </c>
      <c r="E54" s="25" t="inlineStr">
        <is>
          <t>اعتماد الإدارة العليا</t>
        </is>
      </c>
      <c r="F54" s="25" t="inlineStr">
        <is>
          <t>نموذج 26</t>
        </is>
      </c>
      <c r="G54" s="25" t="inlineStr">
        <is>
          <t>نهاية السنة</t>
        </is>
      </c>
      <c r="H54" s="25" t="inlineStr">
        <is>
          <t>—</t>
        </is>
      </c>
    </row>
    <row r="55">
      <c r="A55" s="25" t="inlineStr">
        <is>
          <t>تحويل مخزون (المرحلة 2)</t>
        </is>
      </c>
      <c r="B55" s="25" t="inlineStr">
        <is>
          <t>Inventory_Moves</t>
        </is>
      </c>
      <c r="C55" s="25" t="inlineStr">
        <is>
          <t>1404/1402 (المستلم)</t>
        </is>
      </c>
      <c r="D55" s="25" t="inlineStr">
        <is>
          <t>1401 (المسلِّم)</t>
        </is>
      </c>
      <c r="E55" s="25" t="inlineStr">
        <is>
          <t>توقيع الطرفين</t>
        </is>
      </c>
      <c r="F55" s="25" t="inlineStr">
        <is>
          <t>نموذج 5</t>
        </is>
      </c>
      <c r="G55" s="25" t="inlineStr">
        <is>
          <t>تاريخ التحويل</t>
        </is>
      </c>
      <c r="H55" s="25" t="inlineStr">
        <is>
          <t>معكوس</t>
        </is>
      </c>
    </row>
    <row r="56">
      <c r="A56" s="25" t="inlineStr">
        <is>
          <t>صرف إنتاج / إنتاج / تحويل إنتاج (المرحلة 2)</t>
        </is>
      </c>
      <c r="B56" s="25" t="inlineStr">
        <is>
          <t>Production</t>
        </is>
      </c>
      <c r="C56" s="25" t="inlineStr">
        <is>
          <t>1406 ← 1403 ← 1404</t>
        </is>
      </c>
      <c r="D56" s="25" t="inlineStr">
        <is>
          <t>1402 ← 1406 ← 1403</t>
        </is>
      </c>
      <c r="E56" s="25" t="inlineStr">
        <is>
          <t>تقرير إنتاج معتمد</t>
        </is>
      </c>
      <c r="F56" s="25" t="inlineStr">
        <is>
          <t>نماذج 6-8</t>
        </is>
      </c>
      <c r="G56" s="25" t="inlineStr">
        <is>
          <t>تاريخ الإنتاج</t>
        </is>
      </c>
      <c r="H56" s="25" t="inlineStr">
        <is>
          <t>معكوس</t>
        </is>
      </c>
    </row>
    <row r="57">
      <c r="A57" s="25" t="inlineStr">
        <is>
          <t>هالك (المرحلة 2)</t>
        </is>
      </c>
      <c r="B57" s="25" t="inlineStr">
        <is>
          <t>Inventory_Moves</t>
        </is>
      </c>
      <c r="C57" s="25" t="inlineStr">
        <is>
          <t>5201 / 5202</t>
        </is>
      </c>
      <c r="D57" s="25" t="inlineStr">
        <is>
          <t>المخزون</t>
        </is>
      </c>
      <c r="E57" s="25" t="inlineStr">
        <is>
          <t>تقرير هالك معتمد</t>
        </is>
      </c>
      <c r="F57" s="25" t="inlineStr">
        <is>
          <t>نموذج 9</t>
        </is>
      </c>
      <c r="G57" s="25" t="inlineStr">
        <is>
          <t>تاريخ الهالك</t>
        </is>
      </c>
      <c r="H57" s="25" t="inlineStr">
        <is>
          <t>معكوس</t>
        </is>
      </c>
    </row>
  </sheetData>
  <sheetProtection selectLockedCells="0" selectUnlockedCells="0" sheet="1" objects="0" insertRows="1" insertHyperlinks="1" autoFilter="0" scenarios="0" formatColumns="0" deleteColumns="1" insertColumns="1" pivotTables="1" deleteRows="1" formatCells="0" formatRows="0" sort="1"/>
  <pageMargins left="0.75" right="0.75" top="1" bottom="1" header="0.5" footer="0.5"/>
</worksheet>
</file>

<file path=xl/worksheets/sheet39.xml><?xml version="1.0" encoding="utf-8"?>
<worksheet xmlns="http://schemas.openxmlformats.org/spreadsheetml/2006/main">
  <sheetPr>
    <tabColor rgb="00C00000"/>
    <outlinePr summaryBelow="1" summaryRight="1"/>
    <pageSetUpPr fitToPage="1"/>
  </sheetPr>
  <dimension ref="A1:AF1808"/>
  <sheetViews>
    <sheetView rightToLeft="1" zoomScale="90" workbookViewId="0">
      <pane xSplit="2" ySplit="4" topLeftCell="C5" activePane="bottomRight" state="frozen"/>
      <selection pane="topRight"/>
      <selection pane="bottomLeft"/>
      <selection pane="bottomRight" activeCell="A1" sqref="A1"/>
    </sheetView>
  </sheetViews>
  <sheetFormatPr baseColWidth="8" defaultRowHeight="15"/>
  <cols>
    <col hidden="1" width="6" customWidth="1" min="1" max="1"/>
    <col width="20" customWidth="1" min="2" max="2"/>
    <col width="20" customWidth="1" min="3" max="3"/>
    <col width="12" customWidth="1" min="4" max="4"/>
    <col width="20" customWidth="1" min="5" max="5"/>
    <col width="8" customWidth="1" min="6" max="6"/>
    <col width="9" customWidth="1" min="7" max="7"/>
    <col width="30" customWidth="1" min="8" max="8"/>
    <col width="8" customWidth="1" min="9" max="9"/>
    <col width="8" customWidth="1" min="10" max="10"/>
    <col width="9" customWidth="1" min="11" max="11"/>
    <col width="34" customWidth="1" min="12" max="12"/>
    <col width="13" customWidth="1" min="13" max="13"/>
    <col width="13" customWidth="1" min="14" max="14"/>
    <col width="9" customWidth="1" min="15" max="15"/>
    <col width="30" customWidth="1" min="16" max="16"/>
    <col hidden="1" width="7" customWidth="1" min="17" max="17"/>
    <col width="7" customWidth="1" min="18" max="18"/>
    <col width="13" customWidth="1" min="19" max="19"/>
    <col width="13" customWidth="1" min="20" max="20"/>
    <col hidden="1" width="8" customWidth="1" min="21" max="21"/>
    <col hidden="1" width="6" customWidth="1" min="22" max="22"/>
    <col width="10" customWidth="1" min="23" max="23"/>
    <col width="36" customWidth="1" min="24" max="24"/>
    <col hidden="1" width="12" customWidth="1" min="25" max="25"/>
    <col width="18" customWidth="1" min="26" max="26"/>
    <col width="18" customWidth="1" min="27" max="27"/>
    <col width="18" customWidth="1" min="28" max="28"/>
    <col width="14" customWidth="1" min="29" max="29"/>
    <col width="16" customWidth="1" min="30" max="30"/>
    <col hidden="1" width="6" customWidth="1" min="31" max="31"/>
    <col hidden="1" width="6" customWidth="1" min="32" max="32"/>
  </cols>
  <sheetData>
    <row r="1" ht="26" customHeight="1">
      <c r="A1" s="22" t="inlineStr">
        <is>
          <t>دفتر اليومية العام (General Journal) - مولَّد آليًا من المستندات</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row>
    <row r="2">
      <c r="A2" s="35" t="inlineStr">
        <is>
          <t>كل سطر يُولَّد بمعادلة من مستند مصدري. لا يُرحَّل السطر (أثر فعلي = 1) إلا إذا كان المستند (مرحل) وخاليًا من الأخطاء والقيد متوازنًا. للمراجعة: فلتر على عمود (أثر فعلي) أو (سبب عدم الترحيل).</t>
        </is>
      </c>
    </row>
    <row r="3">
      <c r="A3" s="36" t="inlineStr">
        <is>
          <t>خلايا الإدخال</t>
        </is>
      </c>
      <c r="B3" s="37" t="inlineStr">
        <is>
          <t>معادلات (لا تعدّل)</t>
        </is>
      </c>
    </row>
    <row r="4" ht="34" customHeight="1">
      <c r="A4" s="38" t="inlineStr">
        <is>
          <t>سطر نشط</t>
        </is>
      </c>
      <c r="B4" s="38" t="inlineStr">
        <is>
          <t>رقم السطر</t>
        </is>
      </c>
      <c r="C4" s="38" t="inlineStr">
        <is>
          <t>رقم القيد</t>
        </is>
      </c>
      <c r="D4" s="38" t="inlineStr">
        <is>
          <t>تاريخ القيد</t>
        </is>
      </c>
      <c r="E4" s="38" t="inlineStr">
        <is>
          <t>رقم المستند الأصلي</t>
        </is>
      </c>
      <c r="F4" s="38" t="inlineStr">
        <is>
          <t>مصدر القيد</t>
        </is>
      </c>
      <c r="G4" s="38" t="inlineStr">
        <is>
          <t>رقم الحساب</t>
        </is>
      </c>
      <c r="H4" s="38" t="inlineStr">
        <is>
          <t>اسم الحساب</t>
        </is>
      </c>
      <c r="I4" s="38" t="inlineStr">
        <is>
          <t>الفرع</t>
        </is>
      </c>
      <c r="J4" s="38" t="inlineStr">
        <is>
          <t>مركز التكلفة</t>
        </is>
      </c>
      <c r="K4" s="38" t="inlineStr">
        <is>
          <t>الجهة</t>
        </is>
      </c>
      <c r="L4" s="38" t="inlineStr">
        <is>
          <t>البيان</t>
        </is>
      </c>
      <c r="M4" s="38" t="inlineStr">
        <is>
          <t>مدين</t>
        </is>
      </c>
      <c r="N4" s="38" t="inlineStr">
        <is>
          <t>دائن</t>
        </is>
      </c>
      <c r="O4" s="38" t="inlineStr">
        <is>
          <t>حالة القيد</t>
        </is>
      </c>
      <c r="P4" s="38" t="inlineStr">
        <is>
          <t>فحص المصدر</t>
        </is>
      </c>
      <c r="Q4" s="38" t="inlineStr">
        <is>
          <t>جاهز للترحيل</t>
        </is>
      </c>
      <c r="R4" s="38" t="inlineStr">
        <is>
          <t>أثر فعلي</t>
        </is>
      </c>
      <c r="S4" s="38" t="inlineStr">
        <is>
          <t>مدين مرحّل</t>
        </is>
      </c>
      <c r="T4" s="38" t="inlineStr">
        <is>
          <t>دائن مرحّل</t>
        </is>
      </c>
      <c r="U4" s="38" t="inlineStr">
        <is>
          <t>الفترة</t>
        </is>
      </c>
      <c r="V4" s="38" t="inlineStr">
        <is>
          <t>نقدي؟</t>
        </is>
      </c>
      <c r="W4" s="38" t="inlineStr">
        <is>
          <t>تصنيف التدفق</t>
        </is>
      </c>
      <c r="X4" s="38" t="inlineStr">
        <is>
          <t>سبب عدم الترحيل</t>
        </is>
      </c>
      <c r="Y4" s="38" t="inlineStr">
        <is>
          <t>مفتاح الأستاذ</t>
        </is>
      </c>
      <c r="Z4" s="38" t="inlineStr">
        <is>
          <t>مُعِد القيد</t>
        </is>
      </c>
      <c r="AA4" s="38" t="inlineStr">
        <is>
          <t>معتمد القيد</t>
        </is>
      </c>
      <c r="AB4" s="38" t="inlineStr">
        <is>
          <t>المرحِّل</t>
        </is>
      </c>
      <c r="AC4" s="38" t="inlineStr">
        <is>
          <t>مرجع/مرفق</t>
        </is>
      </c>
      <c r="AD4" s="38" t="inlineStr">
        <is>
          <t>مرجع التصحيح</t>
        </is>
      </c>
      <c r="AE4" s="38" t="inlineStr">
        <is>
          <t>قيد إقفال؟</t>
        </is>
      </c>
      <c r="AF4" s="38" t="inlineStr">
        <is>
          <t>فحص</t>
        </is>
      </c>
    </row>
    <row r="5">
      <c r="A5" s="32">
        <f>IF(AND(Sales_Daily!$AV5=1,N(Sales_Daily!$L5)&gt;0),1,0)</f>
        <v/>
      </c>
      <c r="B5" s="32">
        <f>IF($A5=1,$E5&amp;"/1","")</f>
        <v/>
      </c>
      <c r="C5" s="32">
        <f>IF($A5=1,"J-"&amp;Sales_Daily!$A5,"")</f>
        <v/>
      </c>
      <c r="D5" s="33">
        <f>IF($A5=1,Sales_Daily!$B5,"")</f>
        <v/>
      </c>
      <c r="E5" s="32">
        <f>IF($A5=1,IF(Sales_Daily!$A5="","",Sales_Daily!$A5),"")</f>
        <v/>
      </c>
      <c r="F5" s="32">
        <f>IF($A5=1,"SAL","")</f>
        <v/>
      </c>
      <c r="G5" s="32">
        <f>IF($A5=1,IF(Sales_Daily!$AK5="","",Sales_Daily!$AK5),"")</f>
        <v/>
      </c>
      <c r="H5" s="32">
        <f>IF($A5=1,IF(COUNTIF(COA!$A:$A,$G5)=0,"حساب غير معرف",INDEX(COA!$B:$B,MATCH($G5,COA!$A:$A,0))),"")</f>
        <v/>
      </c>
      <c r="I5" s="32">
        <f>IF($A5=1,IF(Sales_Daily!$C5="","",Sales_Daily!$C5),"")</f>
        <v/>
      </c>
      <c r="J5" s="32">
        <f>IF($A5=1,"CC10","")</f>
        <v/>
      </c>
      <c r="K5" s="32">
        <f>IF($A5=1,"-","")</f>
        <v/>
      </c>
      <c r="L5" s="32">
        <f>IF($A5=1,"مبيعات - تحصيل CASH","")</f>
        <v/>
      </c>
      <c r="M5" s="43">
        <f>IF($A5=1,Sales_Daily!$L5,"")</f>
        <v/>
      </c>
      <c r="N5" s="43">
        <f>IF($A5=1,0,"")</f>
        <v/>
      </c>
      <c r="O5" s="32">
        <f>IF($A5=1,Sales_Daily!$S5,"")</f>
        <v/>
      </c>
      <c r="P5" s="32">
        <f>IF($A5=1,IF(Sales_Daily!$AW5="","",Sales_Daily!$AW5),"")</f>
        <v/>
      </c>
      <c r="Q5" s="32">
        <f>IF($A5=1,Sales_Daily!$AY5,"")</f>
        <v/>
      </c>
      <c r="R5" s="32">
        <f>IF($A5=1,IF(AND($Q5=1,COUNTIFS(COA!$A:$A,$G5,COA!$R:$R,1)=1),1,0),"")</f>
        <v/>
      </c>
      <c r="S5" s="43">
        <f>IF($A5=1,IF($R5=1,N($M5),0),"")</f>
        <v/>
      </c>
      <c r="T5" s="43">
        <f>IF($A5=1,IF($R5=1,N($N5),0),"")</f>
        <v/>
      </c>
      <c r="U5" s="32">
        <f>IF($A5=1,YEAR($D5)*100+MONTH($D5),"")</f>
        <v/>
      </c>
      <c r="V5" s="32">
        <f>IF($A5=1,IF(COUNTIF(COA!$A:$A,$G5)=0,0,INDEX(COA!$H:$H,MATCH($G5,COA!$A:$A,0))),"")</f>
        <v/>
      </c>
      <c r="W5" s="32">
        <f>IF($A5=1,"OPERATING","")</f>
        <v/>
      </c>
      <c r="X5" s="32">
        <f>IF($A5=1,IF($R5=1,"",IF($O5=ST_POST,IF($P5&lt;&gt;"",$P5,"حساب غير صالح أو غير نشط"),IF($O5=ST_REV,"معكوس: لا أثر على الدفاتر",IF($O5=ST_CANC,"ملغى",IF($O5=ST_APPR,"معتمد ولم يُرحَّل","مسودة"))))),"")</f>
        <v/>
      </c>
      <c r="Y5" s="32">
        <f>IF($A5=1,IF(AND($R5=1,OR(LG_Acct="",$G5=LG_Acct),OR(LG_Party="",$K5=LG_Party),OR(LG_Loc="ALL",$I5=LG_Loc),OR(LG_CC="ALL",$J5=LG_CC),$D5&gt;=LG_From,$D5&lt;=LG_To),$D5+ROW()/1000000,""),"")</f>
        <v/>
      </c>
      <c r="Z5" s="32">
        <f>IF($A5=1,IF(Sales_Daily!$T5="","",Sales_Daily!$T5),"")</f>
        <v/>
      </c>
      <c r="AA5" s="32">
        <f>IF($A5=1,IF(Sales_Daily!$U5="","",Sales_Daily!$U5),"")</f>
        <v/>
      </c>
      <c r="AB5" s="32">
        <f>IF($A5=1,IF(Sales_Daily!$V5="","",Sales_Daily!$V5),"")</f>
        <v/>
      </c>
      <c r="AC5" s="32">
        <f>IF($A5=1,IF(Sales_Daily!$W5="","",Sales_Daily!$W5),"")</f>
        <v/>
      </c>
      <c r="AD5" s="32">
        <f>IF($A5=1,IF(Sales_Daily!$X5="","",Sales_Daily!$X5),"")</f>
        <v/>
      </c>
      <c r="AE5" s="32">
        <f>IF($A5=1,0,"")</f>
        <v/>
      </c>
      <c r="AF5" s="32" t="inlineStr"/>
    </row>
    <row r="6">
      <c r="A6" s="32">
        <f>IF(AND(Sales_Daily!$AV5=1,N(Sales_Daily!$M5)&gt;0),1,0)</f>
        <v/>
      </c>
      <c r="B6" s="32">
        <f>IF($A6=1,$E6&amp;"/2","")</f>
        <v/>
      </c>
      <c r="C6" s="32">
        <f>IF($A6=1,"J-"&amp;Sales_Daily!$A5,"")</f>
        <v/>
      </c>
      <c r="D6" s="33">
        <f>IF($A6=1,Sales_Daily!$B5,"")</f>
        <v/>
      </c>
      <c r="E6" s="32">
        <f>IF($A6=1,IF(Sales_Daily!$A5="","",Sales_Daily!$A5),"")</f>
        <v/>
      </c>
      <c r="F6" s="32">
        <f>IF($A6=1,"SAL","")</f>
        <v/>
      </c>
      <c r="G6" s="32">
        <f>IF($A6=1,IF(Sales_Daily!$AL5="","",Sales_Daily!$AL5),"")</f>
        <v/>
      </c>
      <c r="H6" s="32">
        <f>IF($A6=1,IF(COUNTIF(COA!$A:$A,$G6)=0,"حساب غير معرف",INDEX(COA!$B:$B,MATCH($G6,COA!$A:$A,0))),"")</f>
        <v/>
      </c>
      <c r="I6" s="32">
        <f>IF($A6=1,IF(Sales_Daily!$C5="","",Sales_Daily!$C5),"")</f>
        <v/>
      </c>
      <c r="J6" s="32">
        <f>IF($A6=1,"CC10","")</f>
        <v/>
      </c>
      <c r="K6" s="32">
        <f>IF($A6=1,"-","")</f>
        <v/>
      </c>
      <c r="L6" s="32">
        <f>IF($A6=1,"مبيعات - تحصيل CARD","")</f>
        <v/>
      </c>
      <c r="M6" s="43">
        <f>IF($A6=1,Sales_Daily!$M5,"")</f>
        <v/>
      </c>
      <c r="N6" s="43">
        <f>IF($A6=1,0,"")</f>
        <v/>
      </c>
      <c r="O6" s="32">
        <f>IF($A6=1,Sales_Daily!$S5,"")</f>
        <v/>
      </c>
      <c r="P6" s="32">
        <f>IF($A6=1,IF(Sales_Daily!$AW5="","",Sales_Daily!$AW5),"")</f>
        <v/>
      </c>
      <c r="Q6" s="32">
        <f>IF($A6=1,Sales_Daily!$AY5,"")</f>
        <v/>
      </c>
      <c r="R6" s="32">
        <f>IF($A6=1,IF(AND($Q6=1,COUNTIFS(COA!$A:$A,$G6,COA!$R:$R,1)=1),1,0),"")</f>
        <v/>
      </c>
      <c r="S6" s="43">
        <f>IF($A6=1,IF($R6=1,N($M6),0),"")</f>
        <v/>
      </c>
      <c r="T6" s="43">
        <f>IF($A6=1,IF($R6=1,N($N6),0),"")</f>
        <v/>
      </c>
      <c r="U6" s="32">
        <f>IF($A6=1,YEAR($D6)*100+MONTH($D6),"")</f>
        <v/>
      </c>
      <c r="V6" s="32">
        <f>IF($A6=1,IF(COUNTIF(COA!$A:$A,$G6)=0,0,INDEX(COA!$H:$H,MATCH($G6,COA!$A:$A,0))),"")</f>
        <v/>
      </c>
      <c r="W6" s="32">
        <f>IF($A6=1,"OPERATING","")</f>
        <v/>
      </c>
      <c r="X6" s="32">
        <f>IF($A6=1,IF($R6=1,"",IF($O6=ST_POST,IF($P6&lt;&gt;"",$P6,"حساب غير صالح أو غير نشط"),IF($O6=ST_REV,"معكوس: لا أثر على الدفاتر",IF($O6=ST_CANC,"ملغى",IF($O6=ST_APPR,"معتمد ولم يُرحَّل","مسودة"))))),"")</f>
        <v/>
      </c>
      <c r="Y6" s="32">
        <f>IF($A6=1,IF(AND($R6=1,OR(LG_Acct="",$G6=LG_Acct),OR(LG_Party="",$K6=LG_Party),OR(LG_Loc="ALL",$I6=LG_Loc),OR(LG_CC="ALL",$J6=LG_CC),$D6&gt;=LG_From,$D6&lt;=LG_To),$D6+ROW()/1000000,""),"")</f>
        <v/>
      </c>
      <c r="Z6" s="32">
        <f>IF($A6=1,IF(Sales_Daily!$T5="","",Sales_Daily!$T5),"")</f>
        <v/>
      </c>
      <c r="AA6" s="32">
        <f>IF($A6=1,IF(Sales_Daily!$U5="","",Sales_Daily!$U5),"")</f>
        <v/>
      </c>
      <c r="AB6" s="32">
        <f>IF($A6=1,IF(Sales_Daily!$V5="","",Sales_Daily!$V5),"")</f>
        <v/>
      </c>
      <c r="AC6" s="32">
        <f>IF($A6=1,IF(Sales_Daily!$W5="","",Sales_Daily!$W5),"")</f>
        <v/>
      </c>
      <c r="AD6" s="32">
        <f>IF($A6=1,IF(Sales_Daily!$X5="","",Sales_Daily!$X5),"")</f>
        <v/>
      </c>
      <c r="AE6" s="32">
        <f>IF($A6=1,0,"")</f>
        <v/>
      </c>
      <c r="AF6" s="32" t="inlineStr"/>
    </row>
    <row r="7">
      <c r="A7" s="32">
        <f>IF(AND(Sales_Daily!$AV5=1,N(Sales_Daily!$N5)&gt;0),1,0)</f>
        <v/>
      </c>
      <c r="B7" s="32">
        <f>IF($A7=1,$E7&amp;"/3","")</f>
        <v/>
      </c>
      <c r="C7" s="32">
        <f>IF($A7=1,"J-"&amp;Sales_Daily!$A5,"")</f>
        <v/>
      </c>
      <c r="D7" s="33">
        <f>IF($A7=1,Sales_Daily!$B5,"")</f>
        <v/>
      </c>
      <c r="E7" s="32">
        <f>IF($A7=1,IF(Sales_Daily!$A5="","",Sales_Daily!$A5),"")</f>
        <v/>
      </c>
      <c r="F7" s="32">
        <f>IF($A7=1,"SAL","")</f>
        <v/>
      </c>
      <c r="G7" s="32">
        <f>IF($A7=1,IF(Sales_Daily!$AM5="","",Sales_Daily!$AM5),"")</f>
        <v/>
      </c>
      <c r="H7" s="32">
        <f>IF($A7=1,IF(COUNTIF(COA!$A:$A,$G7)=0,"حساب غير معرف",INDEX(COA!$B:$B,MATCH($G7,COA!$A:$A,0))),"")</f>
        <v/>
      </c>
      <c r="I7" s="32">
        <f>IF($A7=1,IF(Sales_Daily!$C5="","",Sales_Daily!$C5),"")</f>
        <v/>
      </c>
      <c r="J7" s="32">
        <f>IF($A7=1,"CC10","")</f>
        <v/>
      </c>
      <c r="K7" s="32">
        <f>IF($A7=1,"-","")</f>
        <v/>
      </c>
      <c r="L7" s="32">
        <f>IF($A7=1,"مبيعات - تحصيل TLB","")</f>
        <v/>
      </c>
      <c r="M7" s="43">
        <f>IF($A7=1,Sales_Daily!$N5,"")</f>
        <v/>
      </c>
      <c r="N7" s="43">
        <f>IF($A7=1,0,"")</f>
        <v/>
      </c>
      <c r="O7" s="32">
        <f>IF($A7=1,Sales_Daily!$S5,"")</f>
        <v/>
      </c>
      <c r="P7" s="32">
        <f>IF($A7=1,IF(Sales_Daily!$AW5="","",Sales_Daily!$AW5),"")</f>
        <v/>
      </c>
      <c r="Q7" s="32">
        <f>IF($A7=1,Sales_Daily!$AY5,"")</f>
        <v/>
      </c>
      <c r="R7" s="32">
        <f>IF($A7=1,IF(AND($Q7=1,COUNTIFS(COA!$A:$A,$G7,COA!$R:$R,1)=1),1,0),"")</f>
        <v/>
      </c>
      <c r="S7" s="43">
        <f>IF($A7=1,IF($R7=1,N($M7),0),"")</f>
        <v/>
      </c>
      <c r="T7" s="43">
        <f>IF($A7=1,IF($R7=1,N($N7),0),"")</f>
        <v/>
      </c>
      <c r="U7" s="32">
        <f>IF($A7=1,YEAR($D7)*100+MONTH($D7),"")</f>
        <v/>
      </c>
      <c r="V7" s="32">
        <f>IF($A7=1,IF(COUNTIF(COA!$A:$A,$G7)=0,0,INDEX(COA!$H:$H,MATCH($G7,COA!$A:$A,0))),"")</f>
        <v/>
      </c>
      <c r="W7" s="32">
        <f>IF($A7=1,"OPERATING","")</f>
        <v/>
      </c>
      <c r="X7" s="32">
        <f>IF($A7=1,IF($R7=1,"",IF($O7=ST_POST,IF($P7&lt;&gt;"",$P7,"حساب غير صالح أو غير نشط"),IF($O7=ST_REV,"معكوس: لا أثر على الدفاتر",IF($O7=ST_CANC,"ملغى",IF($O7=ST_APPR,"معتمد ولم يُرحَّل","مسودة"))))),"")</f>
        <v/>
      </c>
      <c r="Y7" s="32">
        <f>IF($A7=1,IF(AND($R7=1,OR(LG_Acct="",$G7=LG_Acct),OR(LG_Party="",$K7=LG_Party),OR(LG_Loc="ALL",$I7=LG_Loc),OR(LG_CC="ALL",$J7=LG_CC),$D7&gt;=LG_From,$D7&lt;=LG_To),$D7+ROW()/1000000,""),"")</f>
        <v/>
      </c>
      <c r="Z7" s="32">
        <f>IF($A7=1,IF(Sales_Daily!$T5="","",Sales_Daily!$T5),"")</f>
        <v/>
      </c>
      <c r="AA7" s="32">
        <f>IF($A7=1,IF(Sales_Daily!$U5="","",Sales_Daily!$U5),"")</f>
        <v/>
      </c>
      <c r="AB7" s="32">
        <f>IF($A7=1,IF(Sales_Daily!$V5="","",Sales_Daily!$V5),"")</f>
        <v/>
      </c>
      <c r="AC7" s="32">
        <f>IF($A7=1,IF(Sales_Daily!$W5="","",Sales_Daily!$W5),"")</f>
        <v/>
      </c>
      <c r="AD7" s="32">
        <f>IF($A7=1,IF(Sales_Daily!$X5="","",Sales_Daily!$X5),"")</f>
        <v/>
      </c>
      <c r="AE7" s="32">
        <f>IF($A7=1,0,"")</f>
        <v/>
      </c>
      <c r="AF7" s="32" t="inlineStr"/>
    </row>
    <row r="8">
      <c r="A8" s="32">
        <f>IF(AND(Sales_Daily!$AV5=1,N(Sales_Daily!$O5)&gt;0),1,0)</f>
        <v/>
      </c>
      <c r="B8" s="32">
        <f>IF($A8=1,$E8&amp;"/4","")</f>
        <v/>
      </c>
      <c r="C8" s="32">
        <f>IF($A8=1,"J-"&amp;Sales_Daily!$A5,"")</f>
        <v/>
      </c>
      <c r="D8" s="33">
        <f>IF($A8=1,Sales_Daily!$B5,"")</f>
        <v/>
      </c>
      <c r="E8" s="32">
        <f>IF($A8=1,IF(Sales_Daily!$A5="","",Sales_Daily!$A5),"")</f>
        <v/>
      </c>
      <c r="F8" s="32">
        <f>IF($A8=1,"SAL","")</f>
        <v/>
      </c>
      <c r="G8" s="32">
        <f>IF($A8=1,IF(Sales_Daily!$AN5="","",Sales_Daily!$AN5),"")</f>
        <v/>
      </c>
      <c r="H8" s="32">
        <f>IF($A8=1,IF(COUNTIF(COA!$A:$A,$G8)=0,"حساب غير معرف",INDEX(COA!$B:$B,MATCH($G8,COA!$A:$A,0))),"")</f>
        <v/>
      </c>
      <c r="I8" s="32">
        <f>IF($A8=1,IF(Sales_Daily!$C5="","",Sales_Daily!$C5),"")</f>
        <v/>
      </c>
      <c r="J8" s="32">
        <f>IF($A8=1,"CC10","")</f>
        <v/>
      </c>
      <c r="K8" s="32">
        <f>IF($A8=1,"-","")</f>
        <v/>
      </c>
      <c r="L8" s="32">
        <f>IF($A8=1,"مبيعات - تحصيل DLV2","")</f>
        <v/>
      </c>
      <c r="M8" s="43">
        <f>IF($A8=1,Sales_Daily!$O5,"")</f>
        <v/>
      </c>
      <c r="N8" s="43">
        <f>IF($A8=1,0,"")</f>
        <v/>
      </c>
      <c r="O8" s="32">
        <f>IF($A8=1,Sales_Daily!$S5,"")</f>
        <v/>
      </c>
      <c r="P8" s="32">
        <f>IF($A8=1,IF(Sales_Daily!$AW5="","",Sales_Daily!$AW5),"")</f>
        <v/>
      </c>
      <c r="Q8" s="32">
        <f>IF($A8=1,Sales_Daily!$AY5,"")</f>
        <v/>
      </c>
      <c r="R8" s="32">
        <f>IF($A8=1,IF(AND($Q8=1,COUNTIFS(COA!$A:$A,$G8,COA!$R:$R,1)=1),1,0),"")</f>
        <v/>
      </c>
      <c r="S8" s="43">
        <f>IF($A8=1,IF($R8=1,N($M8),0),"")</f>
        <v/>
      </c>
      <c r="T8" s="43">
        <f>IF($A8=1,IF($R8=1,N($N8),0),"")</f>
        <v/>
      </c>
      <c r="U8" s="32">
        <f>IF($A8=1,YEAR($D8)*100+MONTH($D8),"")</f>
        <v/>
      </c>
      <c r="V8" s="32">
        <f>IF($A8=1,IF(COUNTIF(COA!$A:$A,$G8)=0,0,INDEX(COA!$H:$H,MATCH($G8,COA!$A:$A,0))),"")</f>
        <v/>
      </c>
      <c r="W8" s="32">
        <f>IF($A8=1,"OPERATING","")</f>
        <v/>
      </c>
      <c r="X8" s="32">
        <f>IF($A8=1,IF($R8=1,"",IF($O8=ST_POST,IF($P8&lt;&gt;"",$P8,"حساب غير صالح أو غير نشط"),IF($O8=ST_REV,"معكوس: لا أثر على الدفاتر",IF($O8=ST_CANC,"ملغى",IF($O8=ST_APPR,"معتمد ولم يُرحَّل","مسودة"))))),"")</f>
        <v/>
      </c>
      <c r="Y8" s="32">
        <f>IF($A8=1,IF(AND($R8=1,OR(LG_Acct="",$G8=LG_Acct),OR(LG_Party="",$K8=LG_Party),OR(LG_Loc="ALL",$I8=LG_Loc),OR(LG_CC="ALL",$J8=LG_CC),$D8&gt;=LG_From,$D8&lt;=LG_To),$D8+ROW()/1000000,""),"")</f>
        <v/>
      </c>
      <c r="Z8" s="32">
        <f>IF($A8=1,IF(Sales_Daily!$T5="","",Sales_Daily!$T5),"")</f>
        <v/>
      </c>
      <c r="AA8" s="32">
        <f>IF($A8=1,IF(Sales_Daily!$U5="","",Sales_Daily!$U5),"")</f>
        <v/>
      </c>
      <c r="AB8" s="32">
        <f>IF($A8=1,IF(Sales_Daily!$V5="","",Sales_Daily!$V5),"")</f>
        <v/>
      </c>
      <c r="AC8" s="32">
        <f>IF($A8=1,IF(Sales_Daily!$W5="","",Sales_Daily!$W5),"")</f>
        <v/>
      </c>
      <c r="AD8" s="32">
        <f>IF($A8=1,IF(Sales_Daily!$X5="","",Sales_Daily!$X5),"")</f>
        <v/>
      </c>
      <c r="AE8" s="32">
        <f>IF($A8=1,0,"")</f>
        <v/>
      </c>
      <c r="AF8" s="32" t="inlineStr"/>
    </row>
    <row r="9">
      <c r="A9" s="32">
        <f>IF(AND(Sales_Daily!$AV5=1,N(Sales_Daily!$P5)&gt;0),1,0)</f>
        <v/>
      </c>
      <c r="B9" s="32">
        <f>IF($A9=1,$E9&amp;"/5","")</f>
        <v/>
      </c>
      <c r="C9" s="32">
        <f>IF($A9=1,"J-"&amp;Sales_Daily!$A5,"")</f>
        <v/>
      </c>
      <c r="D9" s="33">
        <f>IF($A9=1,Sales_Daily!$B5,"")</f>
        <v/>
      </c>
      <c r="E9" s="32">
        <f>IF($A9=1,IF(Sales_Daily!$A5="","",Sales_Daily!$A5),"")</f>
        <v/>
      </c>
      <c r="F9" s="32">
        <f>IF($A9=1,"SAL","")</f>
        <v/>
      </c>
      <c r="G9" s="32">
        <f>IF($A9=1,IF(Sales_Daily!$AO5="","",Sales_Daily!$AO5),"")</f>
        <v/>
      </c>
      <c r="H9" s="32">
        <f>IF($A9=1,IF(COUNTIF(COA!$A:$A,$G9)=0,"حساب غير معرف",INDEX(COA!$B:$B,MATCH($G9,COA!$A:$A,0))),"")</f>
        <v/>
      </c>
      <c r="I9" s="32">
        <f>IF($A9=1,IF(Sales_Daily!$C5="","",Sales_Daily!$C5),"")</f>
        <v/>
      </c>
      <c r="J9" s="32">
        <f>IF($A9=1,"CC10","")</f>
        <v/>
      </c>
      <c r="K9" s="32">
        <f>IF($A9=1,"-","")</f>
        <v/>
      </c>
      <c r="L9" s="32">
        <f>IF($A9=1,"مبيعات - تحصيل INSTA","")</f>
        <v/>
      </c>
      <c r="M9" s="43">
        <f>IF($A9=1,Sales_Daily!$P5,"")</f>
        <v/>
      </c>
      <c r="N9" s="43">
        <f>IF($A9=1,0,"")</f>
        <v/>
      </c>
      <c r="O9" s="32">
        <f>IF($A9=1,Sales_Daily!$S5,"")</f>
        <v/>
      </c>
      <c r="P9" s="32">
        <f>IF($A9=1,IF(Sales_Daily!$AW5="","",Sales_Daily!$AW5),"")</f>
        <v/>
      </c>
      <c r="Q9" s="32">
        <f>IF($A9=1,Sales_Daily!$AY5,"")</f>
        <v/>
      </c>
      <c r="R9" s="32">
        <f>IF($A9=1,IF(AND($Q9=1,COUNTIFS(COA!$A:$A,$G9,COA!$R:$R,1)=1),1,0),"")</f>
        <v/>
      </c>
      <c r="S9" s="43">
        <f>IF($A9=1,IF($R9=1,N($M9),0),"")</f>
        <v/>
      </c>
      <c r="T9" s="43">
        <f>IF($A9=1,IF($R9=1,N($N9),0),"")</f>
        <v/>
      </c>
      <c r="U9" s="32">
        <f>IF($A9=1,YEAR($D9)*100+MONTH($D9),"")</f>
        <v/>
      </c>
      <c r="V9" s="32">
        <f>IF($A9=1,IF(COUNTIF(COA!$A:$A,$G9)=0,0,INDEX(COA!$H:$H,MATCH($G9,COA!$A:$A,0))),"")</f>
        <v/>
      </c>
      <c r="W9" s="32">
        <f>IF($A9=1,"OPERATING","")</f>
        <v/>
      </c>
      <c r="X9" s="32">
        <f>IF($A9=1,IF($R9=1,"",IF($O9=ST_POST,IF($P9&lt;&gt;"",$P9,"حساب غير صالح أو غير نشط"),IF($O9=ST_REV,"معكوس: لا أثر على الدفاتر",IF($O9=ST_CANC,"ملغى",IF($O9=ST_APPR,"معتمد ولم يُرحَّل","مسودة"))))),"")</f>
        <v/>
      </c>
      <c r="Y9" s="32">
        <f>IF($A9=1,IF(AND($R9=1,OR(LG_Acct="",$G9=LG_Acct),OR(LG_Party="",$K9=LG_Party),OR(LG_Loc="ALL",$I9=LG_Loc),OR(LG_CC="ALL",$J9=LG_CC),$D9&gt;=LG_From,$D9&lt;=LG_To),$D9+ROW()/1000000,""),"")</f>
        <v/>
      </c>
      <c r="Z9" s="32">
        <f>IF($A9=1,IF(Sales_Daily!$T5="","",Sales_Daily!$T5),"")</f>
        <v/>
      </c>
      <c r="AA9" s="32">
        <f>IF($A9=1,IF(Sales_Daily!$U5="","",Sales_Daily!$U5),"")</f>
        <v/>
      </c>
      <c r="AB9" s="32">
        <f>IF($A9=1,IF(Sales_Daily!$V5="","",Sales_Daily!$V5),"")</f>
        <v/>
      </c>
      <c r="AC9" s="32">
        <f>IF($A9=1,IF(Sales_Daily!$W5="","",Sales_Daily!$W5),"")</f>
        <v/>
      </c>
      <c r="AD9" s="32">
        <f>IF($A9=1,IF(Sales_Daily!$X5="","",Sales_Daily!$X5),"")</f>
        <v/>
      </c>
      <c r="AE9" s="32">
        <f>IF($A9=1,0,"")</f>
        <v/>
      </c>
      <c r="AF9" s="32" t="inlineStr"/>
    </row>
    <row r="10">
      <c r="A10" s="32">
        <f>IF(AND(Sales_Daily!$AV5=1,N(Sales_Daily!$Q5)&gt;0),1,0)</f>
        <v/>
      </c>
      <c r="B10" s="32">
        <f>IF($A10=1,$E10&amp;"/6","")</f>
        <v/>
      </c>
      <c r="C10" s="32">
        <f>IF($A10=1,"J-"&amp;Sales_Daily!$A5,"")</f>
        <v/>
      </c>
      <c r="D10" s="33">
        <f>IF($A10=1,Sales_Daily!$B5,"")</f>
        <v/>
      </c>
      <c r="E10" s="32">
        <f>IF($A10=1,IF(Sales_Daily!$A5="","",Sales_Daily!$A5),"")</f>
        <v/>
      </c>
      <c r="F10" s="32">
        <f>IF($A10=1,"SAL","")</f>
        <v/>
      </c>
      <c r="G10" s="32">
        <f>IF($A10=1,IF(Sales_Daily!$AP5="","",Sales_Daily!$AP5),"")</f>
        <v/>
      </c>
      <c r="H10" s="32">
        <f>IF($A10=1,IF(COUNTIF(COA!$A:$A,$G10)=0,"حساب غير معرف",INDEX(COA!$B:$B,MATCH($G10,COA!$A:$A,0))),"")</f>
        <v/>
      </c>
      <c r="I10" s="32">
        <f>IF($A10=1,IF(Sales_Daily!$C5="","",Sales_Daily!$C5),"")</f>
        <v/>
      </c>
      <c r="J10" s="32">
        <f>IF($A10=1,"CC10","")</f>
        <v/>
      </c>
      <c r="K10" s="32">
        <f>IF($A10=1,"-","")</f>
        <v/>
      </c>
      <c r="L10" s="32">
        <f>IF($A10=1,"مبيعات - تحصيل OTH","")</f>
        <v/>
      </c>
      <c r="M10" s="43">
        <f>IF($A10=1,Sales_Daily!$Q5,"")</f>
        <v/>
      </c>
      <c r="N10" s="43">
        <f>IF($A10=1,0,"")</f>
        <v/>
      </c>
      <c r="O10" s="32">
        <f>IF($A10=1,Sales_Daily!$S5,"")</f>
        <v/>
      </c>
      <c r="P10" s="32">
        <f>IF($A10=1,IF(Sales_Daily!$AW5="","",Sales_Daily!$AW5),"")</f>
        <v/>
      </c>
      <c r="Q10" s="32">
        <f>IF($A10=1,Sales_Daily!$AY5,"")</f>
        <v/>
      </c>
      <c r="R10" s="32">
        <f>IF($A10=1,IF(AND($Q10=1,COUNTIFS(COA!$A:$A,$G10,COA!$R:$R,1)=1),1,0),"")</f>
        <v/>
      </c>
      <c r="S10" s="43">
        <f>IF($A10=1,IF($R10=1,N($M10),0),"")</f>
        <v/>
      </c>
      <c r="T10" s="43">
        <f>IF($A10=1,IF($R10=1,N($N10),0),"")</f>
        <v/>
      </c>
      <c r="U10" s="32">
        <f>IF($A10=1,YEAR($D10)*100+MONTH($D10),"")</f>
        <v/>
      </c>
      <c r="V10" s="32">
        <f>IF($A10=1,IF(COUNTIF(COA!$A:$A,$G10)=0,0,INDEX(COA!$H:$H,MATCH($G10,COA!$A:$A,0))),"")</f>
        <v/>
      </c>
      <c r="W10" s="32">
        <f>IF($A10=1,"OPERATING","")</f>
        <v/>
      </c>
      <c r="X10" s="32">
        <f>IF($A10=1,IF($R10=1,"",IF($O10=ST_POST,IF($P10&lt;&gt;"",$P10,"حساب غير صالح أو غير نشط"),IF($O10=ST_REV,"معكوس: لا أثر على الدفاتر",IF($O10=ST_CANC,"ملغى",IF($O10=ST_APPR,"معتمد ولم يُرحَّل","مسودة"))))),"")</f>
        <v/>
      </c>
      <c r="Y10" s="32">
        <f>IF($A10=1,IF(AND($R10=1,OR(LG_Acct="",$G10=LG_Acct),OR(LG_Party="",$K10=LG_Party),OR(LG_Loc="ALL",$I10=LG_Loc),OR(LG_CC="ALL",$J10=LG_CC),$D10&gt;=LG_From,$D10&lt;=LG_To),$D10+ROW()/1000000,""),"")</f>
        <v/>
      </c>
      <c r="Z10" s="32">
        <f>IF($A10=1,IF(Sales_Daily!$T5="","",Sales_Daily!$T5),"")</f>
        <v/>
      </c>
      <c r="AA10" s="32">
        <f>IF($A10=1,IF(Sales_Daily!$U5="","",Sales_Daily!$U5),"")</f>
        <v/>
      </c>
      <c r="AB10" s="32">
        <f>IF($A10=1,IF(Sales_Daily!$V5="","",Sales_Daily!$V5),"")</f>
        <v/>
      </c>
      <c r="AC10" s="32">
        <f>IF($A10=1,IF(Sales_Daily!$W5="","",Sales_Daily!$W5),"")</f>
        <v/>
      </c>
      <c r="AD10" s="32">
        <f>IF($A10=1,IF(Sales_Daily!$X5="","",Sales_Daily!$X5),"")</f>
        <v/>
      </c>
      <c r="AE10" s="32">
        <f>IF($A10=1,0,"")</f>
        <v/>
      </c>
      <c r="AF10" s="32" t="inlineStr"/>
    </row>
    <row r="11">
      <c r="A11" s="32">
        <f>IF(AND(Sales_Daily!$AV5=1,N(Sales_Daily!$AH5)&gt;0),1,0)</f>
        <v/>
      </c>
      <c r="B11" s="32">
        <f>IF($A11=1,$E11&amp;"/7","")</f>
        <v/>
      </c>
      <c r="C11" s="32">
        <f>IF($A11=1,"J-"&amp;Sales_Daily!$A5,"")</f>
        <v/>
      </c>
      <c r="D11" s="33">
        <f>IF($A11=1,Sales_Daily!$B5,"")</f>
        <v/>
      </c>
      <c r="E11" s="32">
        <f>IF($A11=1,IF(Sales_Daily!$A5="","",Sales_Daily!$A5),"")</f>
        <v/>
      </c>
      <c r="F11" s="32">
        <f>IF($A11=1,"SAL","")</f>
        <v/>
      </c>
      <c r="G11" s="32">
        <f>IF($A11=1,ACC_DISC,"")</f>
        <v/>
      </c>
      <c r="H11" s="32">
        <f>IF($A11=1,IF(COUNTIF(COA!$A:$A,$G11)=0,"حساب غير معرف",INDEX(COA!$B:$B,MATCH($G11,COA!$A:$A,0))),"")</f>
        <v/>
      </c>
      <c r="I11" s="32">
        <f>IF($A11=1,IF(Sales_Daily!$C5="","",Sales_Daily!$C5),"")</f>
        <v/>
      </c>
      <c r="J11" s="32">
        <f>IF($A11=1,"CC10","")</f>
        <v/>
      </c>
      <c r="K11" s="32">
        <f>IF($A11=1,"-","")</f>
        <v/>
      </c>
      <c r="L11" s="32">
        <f>IF($A11=1,"خصومات المبيعات والعروض","")</f>
        <v/>
      </c>
      <c r="M11" s="43">
        <f>IF($A11=1,Sales_Daily!$AH5,"")</f>
        <v/>
      </c>
      <c r="N11" s="43">
        <f>IF($A11=1,0,"")</f>
        <v/>
      </c>
      <c r="O11" s="32">
        <f>IF($A11=1,Sales_Daily!$S5,"")</f>
        <v/>
      </c>
      <c r="P11" s="32">
        <f>IF($A11=1,IF(Sales_Daily!$AW5="","",Sales_Daily!$AW5),"")</f>
        <v/>
      </c>
      <c r="Q11" s="32">
        <f>IF($A11=1,Sales_Daily!$AY5,"")</f>
        <v/>
      </c>
      <c r="R11" s="32">
        <f>IF($A11=1,IF(AND($Q11=1,COUNTIFS(COA!$A:$A,$G11,COA!$R:$R,1)=1),1,0),"")</f>
        <v/>
      </c>
      <c r="S11" s="43">
        <f>IF($A11=1,IF($R11=1,N($M11),0),"")</f>
        <v/>
      </c>
      <c r="T11" s="43">
        <f>IF($A11=1,IF($R11=1,N($N11),0),"")</f>
        <v/>
      </c>
      <c r="U11" s="32">
        <f>IF($A11=1,YEAR($D11)*100+MONTH($D11),"")</f>
        <v/>
      </c>
      <c r="V11" s="32">
        <f>IF($A11=1,IF(COUNTIF(COA!$A:$A,$G11)=0,0,INDEX(COA!$H:$H,MATCH($G11,COA!$A:$A,0))),"")</f>
        <v/>
      </c>
      <c r="W11" s="32">
        <f>IF($A11=1,"","")</f>
        <v/>
      </c>
      <c r="X11" s="32">
        <f>IF($A11=1,IF($R11=1,"",IF($O11=ST_POST,IF($P11&lt;&gt;"",$P11,"حساب غير صالح أو غير نشط"),IF($O11=ST_REV,"معكوس: لا أثر على الدفاتر",IF($O11=ST_CANC,"ملغى",IF($O11=ST_APPR,"معتمد ولم يُرحَّل","مسودة"))))),"")</f>
        <v/>
      </c>
      <c r="Y11" s="32">
        <f>IF($A11=1,IF(AND($R11=1,OR(LG_Acct="",$G11=LG_Acct),OR(LG_Party="",$K11=LG_Party),OR(LG_Loc="ALL",$I11=LG_Loc),OR(LG_CC="ALL",$J11=LG_CC),$D11&gt;=LG_From,$D11&lt;=LG_To),$D11+ROW()/1000000,""),"")</f>
        <v/>
      </c>
      <c r="Z11" s="32">
        <f>IF($A11=1,IF(Sales_Daily!$T5="","",Sales_Daily!$T5),"")</f>
        <v/>
      </c>
      <c r="AA11" s="32">
        <f>IF($A11=1,IF(Sales_Daily!$U5="","",Sales_Daily!$U5),"")</f>
        <v/>
      </c>
      <c r="AB11" s="32">
        <f>IF($A11=1,IF(Sales_Daily!$V5="","",Sales_Daily!$V5),"")</f>
        <v/>
      </c>
      <c r="AC11" s="32">
        <f>IF($A11=1,IF(Sales_Daily!$W5="","",Sales_Daily!$W5),"")</f>
        <v/>
      </c>
      <c r="AD11" s="32">
        <f>IF($A11=1,IF(Sales_Daily!$X5="","",Sales_Daily!$X5),"")</f>
        <v/>
      </c>
      <c r="AE11" s="32">
        <f>IF($A11=1,0,"")</f>
        <v/>
      </c>
      <c r="AF11" s="32" t="inlineStr"/>
    </row>
    <row r="12">
      <c r="A12" s="32">
        <f>IF(AND(Sales_Daily!$AV5=1,N(Sales_Daily!$AI5)&gt;0),1,0)</f>
        <v/>
      </c>
      <c r="B12" s="32">
        <f>IF($A12=1,$E12&amp;"/8","")</f>
        <v/>
      </c>
      <c r="C12" s="32">
        <f>IF($A12=1,"J-"&amp;Sales_Daily!$A5,"")</f>
        <v/>
      </c>
      <c r="D12" s="33">
        <f>IF($A12=1,Sales_Daily!$B5,"")</f>
        <v/>
      </c>
      <c r="E12" s="32">
        <f>IF($A12=1,IF(Sales_Daily!$A5="","",Sales_Daily!$A5),"")</f>
        <v/>
      </c>
      <c r="F12" s="32">
        <f>IF($A12=1,"SAL","")</f>
        <v/>
      </c>
      <c r="G12" s="32">
        <f>IF($A12=1,ACC_RET,"")</f>
        <v/>
      </c>
      <c r="H12" s="32">
        <f>IF($A12=1,IF(COUNTIF(COA!$A:$A,$G12)=0,"حساب غير معرف",INDEX(COA!$B:$B,MATCH($G12,COA!$A:$A,0))),"")</f>
        <v/>
      </c>
      <c r="I12" s="32">
        <f>IF($A12=1,IF(Sales_Daily!$C5="","",Sales_Daily!$C5),"")</f>
        <v/>
      </c>
      <c r="J12" s="32">
        <f>IF($A12=1,"CC10","")</f>
        <v/>
      </c>
      <c r="K12" s="32">
        <f>IF($A12=1,"-","")</f>
        <v/>
      </c>
      <c r="L12" s="32">
        <f>IF($A12=1,"مرتجعات وإلغاءات المبيعات","")</f>
        <v/>
      </c>
      <c r="M12" s="43">
        <f>IF($A12=1,Sales_Daily!$AI5,"")</f>
        <v/>
      </c>
      <c r="N12" s="43">
        <f>IF($A12=1,0,"")</f>
        <v/>
      </c>
      <c r="O12" s="32">
        <f>IF($A12=1,Sales_Daily!$S5,"")</f>
        <v/>
      </c>
      <c r="P12" s="32">
        <f>IF($A12=1,IF(Sales_Daily!$AW5="","",Sales_Daily!$AW5),"")</f>
        <v/>
      </c>
      <c r="Q12" s="32">
        <f>IF($A12=1,Sales_Daily!$AY5,"")</f>
        <v/>
      </c>
      <c r="R12" s="32">
        <f>IF($A12=1,IF(AND($Q12=1,COUNTIFS(COA!$A:$A,$G12,COA!$R:$R,1)=1),1,0),"")</f>
        <v/>
      </c>
      <c r="S12" s="43">
        <f>IF($A12=1,IF($R12=1,N($M12),0),"")</f>
        <v/>
      </c>
      <c r="T12" s="43">
        <f>IF($A12=1,IF($R12=1,N($N12),0),"")</f>
        <v/>
      </c>
      <c r="U12" s="32">
        <f>IF($A12=1,YEAR($D12)*100+MONTH($D12),"")</f>
        <v/>
      </c>
      <c r="V12" s="32">
        <f>IF($A12=1,IF(COUNTIF(COA!$A:$A,$G12)=0,0,INDEX(COA!$H:$H,MATCH($G12,COA!$A:$A,0))),"")</f>
        <v/>
      </c>
      <c r="W12" s="32">
        <f>IF($A12=1,"","")</f>
        <v/>
      </c>
      <c r="X12" s="32">
        <f>IF($A12=1,IF($R12=1,"",IF($O12=ST_POST,IF($P12&lt;&gt;"",$P12,"حساب غير صالح أو غير نشط"),IF($O12=ST_REV,"معكوس: لا أثر على الدفاتر",IF($O12=ST_CANC,"ملغى",IF($O12=ST_APPR,"معتمد ولم يُرحَّل","مسودة"))))),"")</f>
        <v/>
      </c>
      <c r="Y12" s="32">
        <f>IF($A12=1,IF(AND($R12=1,OR(LG_Acct="",$G12=LG_Acct),OR(LG_Party="",$K12=LG_Party),OR(LG_Loc="ALL",$I12=LG_Loc),OR(LG_CC="ALL",$J12=LG_CC),$D12&gt;=LG_From,$D12&lt;=LG_To),$D12+ROW()/1000000,""),"")</f>
        <v/>
      </c>
      <c r="Z12" s="32">
        <f>IF($A12=1,IF(Sales_Daily!$T5="","",Sales_Daily!$T5),"")</f>
        <v/>
      </c>
      <c r="AA12" s="32">
        <f>IF($A12=1,IF(Sales_Daily!$U5="","",Sales_Daily!$U5),"")</f>
        <v/>
      </c>
      <c r="AB12" s="32">
        <f>IF($A12=1,IF(Sales_Daily!$V5="","",Sales_Daily!$V5),"")</f>
        <v/>
      </c>
      <c r="AC12" s="32">
        <f>IF($A12=1,IF(Sales_Daily!$W5="","",Sales_Daily!$W5),"")</f>
        <v/>
      </c>
      <c r="AD12" s="32">
        <f>IF($A12=1,IF(Sales_Daily!$X5="","",Sales_Daily!$X5),"")</f>
        <v/>
      </c>
      <c r="AE12" s="32">
        <f>IF($A12=1,0,"")</f>
        <v/>
      </c>
      <c r="AF12" s="32" t="inlineStr"/>
    </row>
    <row r="13">
      <c r="A13" s="32">
        <f>IF(AND(Sales_Daily!$AV5=1,N(Sales_Daily!$AD5)&gt;0),1,0)</f>
        <v/>
      </c>
      <c r="B13" s="32">
        <f>IF($A13=1,$E13&amp;"/9","")</f>
        <v/>
      </c>
      <c r="C13" s="32">
        <f>IF($A13=1,"J-"&amp;Sales_Daily!$A5,"")</f>
        <v/>
      </c>
      <c r="D13" s="33">
        <f>IF($A13=1,Sales_Daily!$B5,"")</f>
        <v/>
      </c>
      <c r="E13" s="32">
        <f>IF($A13=1,IF(Sales_Daily!$A5="","",Sales_Daily!$A5),"")</f>
        <v/>
      </c>
      <c r="F13" s="32">
        <f>IF($A13=1,"SAL","")</f>
        <v/>
      </c>
      <c r="G13" s="32">
        <f>IF($A13=1,IF(Sales_Daily!$AQ5="","",Sales_Daily!$AQ5),"")</f>
        <v/>
      </c>
      <c r="H13" s="32">
        <f>IF($A13=1,IF(COUNTIF(COA!$A:$A,$G13)=0,"حساب غير معرف",INDEX(COA!$B:$B,MATCH($G13,COA!$A:$A,0))),"")</f>
        <v/>
      </c>
      <c r="I13" s="32">
        <f>IF($A13=1,IF(Sales_Daily!$C5="","",Sales_Daily!$C5),"")</f>
        <v/>
      </c>
      <c r="J13" s="32">
        <f>IF($A13=1,"CC10","")</f>
        <v/>
      </c>
      <c r="K13" s="32">
        <f>IF($A13=1,"-","")</f>
        <v/>
      </c>
      <c r="L13" s="32">
        <f>IF($A13=1,"إيراد مبيعات - فئة فطير","")</f>
        <v/>
      </c>
      <c r="M13" s="43">
        <f>IF($A13=1,0,"")</f>
        <v/>
      </c>
      <c r="N13" s="43">
        <f>IF($A13=1,Sales_Daily!$AD5,"")</f>
        <v/>
      </c>
      <c r="O13" s="32">
        <f>IF($A13=1,Sales_Daily!$S5,"")</f>
        <v/>
      </c>
      <c r="P13" s="32">
        <f>IF($A13=1,IF(Sales_Daily!$AW5="","",Sales_Daily!$AW5),"")</f>
        <v/>
      </c>
      <c r="Q13" s="32">
        <f>IF($A13=1,Sales_Daily!$AY5,"")</f>
        <v/>
      </c>
      <c r="R13" s="32">
        <f>IF($A13=1,IF(AND($Q13=1,COUNTIFS(COA!$A:$A,$G13,COA!$R:$R,1)=1),1,0),"")</f>
        <v/>
      </c>
      <c r="S13" s="43">
        <f>IF($A13=1,IF($R13=1,N($M13),0),"")</f>
        <v/>
      </c>
      <c r="T13" s="43">
        <f>IF($A13=1,IF($R13=1,N($N13),0),"")</f>
        <v/>
      </c>
      <c r="U13" s="32">
        <f>IF($A13=1,YEAR($D13)*100+MONTH($D13),"")</f>
        <v/>
      </c>
      <c r="V13" s="32">
        <f>IF($A13=1,IF(COUNTIF(COA!$A:$A,$G13)=0,0,INDEX(COA!$H:$H,MATCH($G13,COA!$A:$A,0))),"")</f>
        <v/>
      </c>
      <c r="W13" s="32">
        <f>IF($A13=1,"","")</f>
        <v/>
      </c>
      <c r="X13" s="32">
        <f>IF($A13=1,IF($R13=1,"",IF($O13=ST_POST,IF($P13&lt;&gt;"",$P13,"حساب غير صالح أو غير نشط"),IF($O13=ST_REV,"معكوس: لا أثر على الدفاتر",IF($O13=ST_CANC,"ملغى",IF($O13=ST_APPR,"معتمد ولم يُرحَّل","مسودة"))))),"")</f>
        <v/>
      </c>
      <c r="Y13" s="32">
        <f>IF($A13=1,IF(AND($R13=1,OR(LG_Acct="",$G13=LG_Acct),OR(LG_Party="",$K13=LG_Party),OR(LG_Loc="ALL",$I13=LG_Loc),OR(LG_CC="ALL",$J13=LG_CC),$D13&gt;=LG_From,$D13&lt;=LG_To),$D13+ROW()/1000000,""),"")</f>
        <v/>
      </c>
      <c r="Z13" s="32">
        <f>IF($A13=1,IF(Sales_Daily!$T5="","",Sales_Daily!$T5),"")</f>
        <v/>
      </c>
      <c r="AA13" s="32">
        <f>IF($A13=1,IF(Sales_Daily!$U5="","",Sales_Daily!$U5),"")</f>
        <v/>
      </c>
      <c r="AB13" s="32">
        <f>IF($A13=1,IF(Sales_Daily!$V5="","",Sales_Daily!$V5),"")</f>
        <v/>
      </c>
      <c r="AC13" s="32">
        <f>IF($A13=1,IF(Sales_Daily!$W5="","",Sales_Daily!$W5),"")</f>
        <v/>
      </c>
      <c r="AD13" s="32">
        <f>IF($A13=1,IF(Sales_Daily!$X5="","",Sales_Daily!$X5),"")</f>
        <v/>
      </c>
      <c r="AE13" s="32">
        <f>IF($A13=1,0,"")</f>
        <v/>
      </c>
      <c r="AF13" s="32" t="inlineStr"/>
    </row>
    <row r="14">
      <c r="A14" s="32">
        <f>IF(AND(Sales_Daily!$AV5=1,N(Sales_Daily!$AE5)&gt;0),1,0)</f>
        <v/>
      </c>
      <c r="B14" s="32">
        <f>IF($A14=1,$E14&amp;"/10","")</f>
        <v/>
      </c>
      <c r="C14" s="32">
        <f>IF($A14=1,"J-"&amp;Sales_Daily!$A5,"")</f>
        <v/>
      </c>
      <c r="D14" s="33">
        <f>IF($A14=1,Sales_Daily!$B5,"")</f>
        <v/>
      </c>
      <c r="E14" s="32">
        <f>IF($A14=1,IF(Sales_Daily!$A5="","",Sales_Daily!$A5),"")</f>
        <v/>
      </c>
      <c r="F14" s="32">
        <f>IF($A14=1,"SAL","")</f>
        <v/>
      </c>
      <c r="G14" s="32">
        <f>IF($A14=1,IF(Sales_Daily!$AR5="","",Sales_Daily!$AR5),"")</f>
        <v/>
      </c>
      <c r="H14" s="32">
        <f>IF($A14=1,IF(COUNTIF(COA!$A:$A,$G14)=0,"حساب غير معرف",INDEX(COA!$B:$B,MATCH($G14,COA!$A:$A,0))),"")</f>
        <v/>
      </c>
      <c r="I14" s="32">
        <f>IF($A14=1,IF(Sales_Daily!$C5="","",Sales_Daily!$C5),"")</f>
        <v/>
      </c>
      <c r="J14" s="32">
        <f>IF($A14=1,"CC10","")</f>
        <v/>
      </c>
      <c r="K14" s="32">
        <f>IF($A14=1,"-","")</f>
        <v/>
      </c>
      <c r="L14" s="32">
        <f>IF($A14=1,"إيراد مبيعات - فئة بيتزا","")</f>
        <v/>
      </c>
      <c r="M14" s="43">
        <f>IF($A14=1,0,"")</f>
        <v/>
      </c>
      <c r="N14" s="43">
        <f>IF($A14=1,Sales_Daily!$AE5,"")</f>
        <v/>
      </c>
      <c r="O14" s="32">
        <f>IF($A14=1,Sales_Daily!$S5,"")</f>
        <v/>
      </c>
      <c r="P14" s="32">
        <f>IF($A14=1,IF(Sales_Daily!$AW5="","",Sales_Daily!$AW5),"")</f>
        <v/>
      </c>
      <c r="Q14" s="32">
        <f>IF($A14=1,Sales_Daily!$AY5,"")</f>
        <v/>
      </c>
      <c r="R14" s="32">
        <f>IF($A14=1,IF(AND($Q14=1,COUNTIFS(COA!$A:$A,$G14,COA!$R:$R,1)=1),1,0),"")</f>
        <v/>
      </c>
      <c r="S14" s="43">
        <f>IF($A14=1,IF($R14=1,N($M14),0),"")</f>
        <v/>
      </c>
      <c r="T14" s="43">
        <f>IF($A14=1,IF($R14=1,N($N14),0),"")</f>
        <v/>
      </c>
      <c r="U14" s="32">
        <f>IF($A14=1,YEAR($D14)*100+MONTH($D14),"")</f>
        <v/>
      </c>
      <c r="V14" s="32">
        <f>IF($A14=1,IF(COUNTIF(COA!$A:$A,$G14)=0,0,INDEX(COA!$H:$H,MATCH($G14,COA!$A:$A,0))),"")</f>
        <v/>
      </c>
      <c r="W14" s="32">
        <f>IF($A14=1,"","")</f>
        <v/>
      </c>
      <c r="X14" s="32">
        <f>IF($A14=1,IF($R14=1,"",IF($O14=ST_POST,IF($P14&lt;&gt;"",$P14,"حساب غير صالح أو غير نشط"),IF($O14=ST_REV,"معكوس: لا أثر على الدفاتر",IF($O14=ST_CANC,"ملغى",IF($O14=ST_APPR,"معتمد ولم يُرحَّل","مسودة"))))),"")</f>
        <v/>
      </c>
      <c r="Y14" s="32">
        <f>IF($A14=1,IF(AND($R14=1,OR(LG_Acct="",$G14=LG_Acct),OR(LG_Party="",$K14=LG_Party),OR(LG_Loc="ALL",$I14=LG_Loc),OR(LG_CC="ALL",$J14=LG_CC),$D14&gt;=LG_From,$D14&lt;=LG_To),$D14+ROW()/1000000,""),"")</f>
        <v/>
      </c>
      <c r="Z14" s="32">
        <f>IF($A14=1,IF(Sales_Daily!$T5="","",Sales_Daily!$T5),"")</f>
        <v/>
      </c>
      <c r="AA14" s="32">
        <f>IF($A14=1,IF(Sales_Daily!$U5="","",Sales_Daily!$U5),"")</f>
        <v/>
      </c>
      <c r="AB14" s="32">
        <f>IF($A14=1,IF(Sales_Daily!$V5="","",Sales_Daily!$V5),"")</f>
        <v/>
      </c>
      <c r="AC14" s="32">
        <f>IF($A14=1,IF(Sales_Daily!$W5="","",Sales_Daily!$W5),"")</f>
        <v/>
      </c>
      <c r="AD14" s="32">
        <f>IF($A14=1,IF(Sales_Daily!$X5="","",Sales_Daily!$X5),"")</f>
        <v/>
      </c>
      <c r="AE14" s="32">
        <f>IF($A14=1,0,"")</f>
        <v/>
      </c>
      <c r="AF14" s="32" t="inlineStr"/>
    </row>
    <row r="15">
      <c r="A15" s="32">
        <f>IF(AND(Sales_Daily!$AV5=1,N(Sales_Daily!$AF5)&gt;0),1,0)</f>
        <v/>
      </c>
      <c r="B15" s="32">
        <f>IF($A15=1,$E15&amp;"/11","")</f>
        <v/>
      </c>
      <c r="C15" s="32">
        <f>IF($A15=1,"J-"&amp;Sales_Daily!$A5,"")</f>
        <v/>
      </c>
      <c r="D15" s="33">
        <f>IF($A15=1,Sales_Daily!$B5,"")</f>
        <v/>
      </c>
      <c r="E15" s="32">
        <f>IF($A15=1,IF(Sales_Daily!$A5="","",Sales_Daily!$A5),"")</f>
        <v/>
      </c>
      <c r="F15" s="32">
        <f>IF($A15=1,"SAL","")</f>
        <v/>
      </c>
      <c r="G15" s="32">
        <f>IF($A15=1,IF(Sales_Daily!$AS5="","",Sales_Daily!$AS5),"")</f>
        <v/>
      </c>
      <c r="H15" s="32">
        <f>IF($A15=1,IF(COUNTIF(COA!$A:$A,$G15)=0,"حساب غير معرف",INDEX(COA!$B:$B,MATCH($G15,COA!$A:$A,0))),"")</f>
        <v/>
      </c>
      <c r="I15" s="32">
        <f>IF($A15=1,IF(Sales_Daily!$C5="","",Sales_Daily!$C5),"")</f>
        <v/>
      </c>
      <c r="J15" s="32">
        <f>IF($A15=1,"CC10","")</f>
        <v/>
      </c>
      <c r="K15" s="32">
        <f>IF($A15=1,"-","")</f>
        <v/>
      </c>
      <c r="L15" s="32">
        <f>IF($A15=1,"إيراد مبيعات - فئة مكرونات","")</f>
        <v/>
      </c>
      <c r="M15" s="43">
        <f>IF($A15=1,0,"")</f>
        <v/>
      </c>
      <c r="N15" s="43">
        <f>IF($A15=1,Sales_Daily!$AF5,"")</f>
        <v/>
      </c>
      <c r="O15" s="32">
        <f>IF($A15=1,Sales_Daily!$S5,"")</f>
        <v/>
      </c>
      <c r="P15" s="32">
        <f>IF($A15=1,IF(Sales_Daily!$AW5="","",Sales_Daily!$AW5),"")</f>
        <v/>
      </c>
      <c r="Q15" s="32">
        <f>IF($A15=1,Sales_Daily!$AY5,"")</f>
        <v/>
      </c>
      <c r="R15" s="32">
        <f>IF($A15=1,IF(AND($Q15=1,COUNTIFS(COA!$A:$A,$G15,COA!$R:$R,1)=1),1,0),"")</f>
        <v/>
      </c>
      <c r="S15" s="43">
        <f>IF($A15=1,IF($R15=1,N($M15),0),"")</f>
        <v/>
      </c>
      <c r="T15" s="43">
        <f>IF($A15=1,IF($R15=1,N($N15),0),"")</f>
        <v/>
      </c>
      <c r="U15" s="32">
        <f>IF($A15=1,YEAR($D15)*100+MONTH($D15),"")</f>
        <v/>
      </c>
      <c r="V15" s="32">
        <f>IF($A15=1,IF(COUNTIF(COA!$A:$A,$G15)=0,0,INDEX(COA!$H:$H,MATCH($G15,COA!$A:$A,0))),"")</f>
        <v/>
      </c>
      <c r="W15" s="32">
        <f>IF($A15=1,"","")</f>
        <v/>
      </c>
      <c r="X15" s="32">
        <f>IF($A15=1,IF($R15=1,"",IF($O15=ST_POST,IF($P15&lt;&gt;"",$P15,"حساب غير صالح أو غير نشط"),IF($O15=ST_REV,"معكوس: لا أثر على الدفاتر",IF($O15=ST_CANC,"ملغى",IF($O15=ST_APPR,"معتمد ولم يُرحَّل","مسودة"))))),"")</f>
        <v/>
      </c>
      <c r="Y15" s="32">
        <f>IF($A15=1,IF(AND($R15=1,OR(LG_Acct="",$G15=LG_Acct),OR(LG_Party="",$K15=LG_Party),OR(LG_Loc="ALL",$I15=LG_Loc),OR(LG_CC="ALL",$J15=LG_CC),$D15&gt;=LG_From,$D15&lt;=LG_To),$D15+ROW()/1000000,""),"")</f>
        <v/>
      </c>
      <c r="Z15" s="32">
        <f>IF($A15=1,IF(Sales_Daily!$T5="","",Sales_Daily!$T5),"")</f>
        <v/>
      </c>
      <c r="AA15" s="32">
        <f>IF($A15=1,IF(Sales_Daily!$U5="","",Sales_Daily!$U5),"")</f>
        <v/>
      </c>
      <c r="AB15" s="32">
        <f>IF($A15=1,IF(Sales_Daily!$V5="","",Sales_Daily!$V5),"")</f>
        <v/>
      </c>
      <c r="AC15" s="32">
        <f>IF($A15=1,IF(Sales_Daily!$W5="","",Sales_Daily!$W5),"")</f>
        <v/>
      </c>
      <c r="AD15" s="32">
        <f>IF($A15=1,IF(Sales_Daily!$X5="","",Sales_Daily!$X5),"")</f>
        <v/>
      </c>
      <c r="AE15" s="32">
        <f>IF($A15=1,0,"")</f>
        <v/>
      </c>
      <c r="AF15" s="32" t="inlineStr"/>
    </row>
    <row r="16">
      <c r="A16" s="32">
        <f>IF(AND(Sales_Daily!$AV5=1,N(Sales_Daily!$AG5)&gt;0),1,0)</f>
        <v/>
      </c>
      <c r="B16" s="32">
        <f>IF($A16=1,$E16&amp;"/12","")</f>
        <v/>
      </c>
      <c r="C16" s="32">
        <f>IF($A16=1,"J-"&amp;Sales_Daily!$A5,"")</f>
        <v/>
      </c>
      <c r="D16" s="33">
        <f>IF($A16=1,Sales_Daily!$B5,"")</f>
        <v/>
      </c>
      <c r="E16" s="32">
        <f>IF($A16=1,IF(Sales_Daily!$A5="","",Sales_Daily!$A5),"")</f>
        <v/>
      </c>
      <c r="F16" s="32">
        <f>IF($A16=1,"SAL","")</f>
        <v/>
      </c>
      <c r="G16" s="32">
        <f>IF($A16=1,IF(Sales_Daily!$AT5="","",Sales_Daily!$AT5),"")</f>
        <v/>
      </c>
      <c r="H16" s="32">
        <f>IF($A16=1,IF(COUNTIF(COA!$A:$A,$G16)=0,"حساب غير معرف",INDEX(COA!$B:$B,MATCH($G16,COA!$A:$A,0))),"")</f>
        <v/>
      </c>
      <c r="I16" s="32">
        <f>IF($A16=1,IF(Sales_Daily!$C5="","",Sales_Daily!$C5),"")</f>
        <v/>
      </c>
      <c r="J16" s="32">
        <f>IF($A16=1,"CC10","")</f>
        <v/>
      </c>
      <c r="K16" s="32">
        <f>IF($A16=1,"-","")</f>
        <v/>
      </c>
      <c r="L16" s="32">
        <f>IF($A16=1,"إيراد مبيعات - فئة أخرى","")</f>
        <v/>
      </c>
      <c r="M16" s="43">
        <f>IF($A16=1,0,"")</f>
        <v/>
      </c>
      <c r="N16" s="43">
        <f>IF($A16=1,Sales_Daily!$AG5,"")</f>
        <v/>
      </c>
      <c r="O16" s="32">
        <f>IF($A16=1,Sales_Daily!$S5,"")</f>
        <v/>
      </c>
      <c r="P16" s="32">
        <f>IF($A16=1,IF(Sales_Daily!$AW5="","",Sales_Daily!$AW5),"")</f>
        <v/>
      </c>
      <c r="Q16" s="32">
        <f>IF($A16=1,Sales_Daily!$AY5,"")</f>
        <v/>
      </c>
      <c r="R16" s="32">
        <f>IF($A16=1,IF(AND($Q16=1,COUNTIFS(COA!$A:$A,$G16,COA!$R:$R,1)=1),1,0),"")</f>
        <v/>
      </c>
      <c r="S16" s="43">
        <f>IF($A16=1,IF($R16=1,N($M16),0),"")</f>
        <v/>
      </c>
      <c r="T16" s="43">
        <f>IF($A16=1,IF($R16=1,N($N16),0),"")</f>
        <v/>
      </c>
      <c r="U16" s="32">
        <f>IF($A16=1,YEAR($D16)*100+MONTH($D16),"")</f>
        <v/>
      </c>
      <c r="V16" s="32">
        <f>IF($A16=1,IF(COUNTIF(COA!$A:$A,$G16)=0,0,INDEX(COA!$H:$H,MATCH($G16,COA!$A:$A,0))),"")</f>
        <v/>
      </c>
      <c r="W16" s="32">
        <f>IF($A16=1,"","")</f>
        <v/>
      </c>
      <c r="X16" s="32">
        <f>IF($A16=1,IF($R16=1,"",IF($O16=ST_POST,IF($P16&lt;&gt;"",$P16,"حساب غير صالح أو غير نشط"),IF($O16=ST_REV,"معكوس: لا أثر على الدفاتر",IF($O16=ST_CANC,"ملغى",IF($O16=ST_APPR,"معتمد ولم يُرحَّل","مسودة"))))),"")</f>
        <v/>
      </c>
      <c r="Y16" s="32">
        <f>IF($A16=1,IF(AND($R16=1,OR(LG_Acct="",$G16=LG_Acct),OR(LG_Party="",$K16=LG_Party),OR(LG_Loc="ALL",$I16=LG_Loc),OR(LG_CC="ALL",$J16=LG_CC),$D16&gt;=LG_From,$D16&lt;=LG_To),$D16+ROW()/1000000,""),"")</f>
        <v/>
      </c>
      <c r="Z16" s="32">
        <f>IF($A16=1,IF(Sales_Daily!$T5="","",Sales_Daily!$T5),"")</f>
        <v/>
      </c>
      <c r="AA16" s="32">
        <f>IF($A16=1,IF(Sales_Daily!$U5="","",Sales_Daily!$U5),"")</f>
        <v/>
      </c>
      <c r="AB16" s="32">
        <f>IF($A16=1,IF(Sales_Daily!$V5="","",Sales_Daily!$V5),"")</f>
        <v/>
      </c>
      <c r="AC16" s="32">
        <f>IF($A16=1,IF(Sales_Daily!$W5="","",Sales_Daily!$W5),"")</f>
        <v/>
      </c>
      <c r="AD16" s="32">
        <f>IF($A16=1,IF(Sales_Daily!$X5="","",Sales_Daily!$X5),"")</f>
        <v/>
      </c>
      <c r="AE16" s="32">
        <f>IF($A16=1,0,"")</f>
        <v/>
      </c>
      <c r="AF16" s="32" t="inlineStr"/>
    </row>
    <row r="17">
      <c r="A17" s="32">
        <f>IF(AND(Sales_Daily!$AV5=1,N(Sales_Daily!$AJ5)&gt;0),1,0)</f>
        <v/>
      </c>
      <c r="B17" s="32">
        <f>IF($A17=1,$E17&amp;"/13","")</f>
        <v/>
      </c>
      <c r="C17" s="32">
        <f>IF($A17=1,"J-"&amp;Sales_Daily!$A5,"")</f>
        <v/>
      </c>
      <c r="D17" s="33">
        <f>IF($A17=1,Sales_Daily!$B5,"")</f>
        <v/>
      </c>
      <c r="E17" s="32">
        <f>IF($A17=1,IF(Sales_Daily!$A5="","",Sales_Daily!$A5),"")</f>
        <v/>
      </c>
      <c r="F17" s="32">
        <f>IF($A17=1,"SAL","")</f>
        <v/>
      </c>
      <c r="G17" s="32">
        <f>IF($A17=1,ACC_VAT_OUT,"")</f>
        <v/>
      </c>
      <c r="H17" s="32">
        <f>IF($A17=1,IF(COUNTIF(COA!$A:$A,$G17)=0,"حساب غير معرف",INDEX(COA!$B:$B,MATCH($G17,COA!$A:$A,0))),"")</f>
        <v/>
      </c>
      <c r="I17" s="32">
        <f>IF($A17=1,IF(Sales_Daily!$C5="","",Sales_Daily!$C5),"")</f>
        <v/>
      </c>
      <c r="J17" s="32">
        <f>IF($A17=1,"CC10","")</f>
        <v/>
      </c>
      <c r="K17" s="32">
        <f>IF($A17=1,"-","")</f>
        <v/>
      </c>
      <c r="L17" s="32">
        <f>IF($A17=1,"ضريبة القيمة المضافة - مخرجات","")</f>
        <v/>
      </c>
      <c r="M17" s="43">
        <f>IF($A17=1,0,"")</f>
        <v/>
      </c>
      <c r="N17" s="43">
        <f>IF($A17=1,Sales_Daily!$AJ5,"")</f>
        <v/>
      </c>
      <c r="O17" s="32">
        <f>IF($A17=1,Sales_Daily!$S5,"")</f>
        <v/>
      </c>
      <c r="P17" s="32">
        <f>IF($A17=1,IF(Sales_Daily!$AW5="","",Sales_Daily!$AW5),"")</f>
        <v/>
      </c>
      <c r="Q17" s="32">
        <f>IF($A17=1,Sales_Daily!$AY5,"")</f>
        <v/>
      </c>
      <c r="R17" s="32">
        <f>IF($A17=1,IF(AND($Q17=1,COUNTIFS(COA!$A:$A,$G17,COA!$R:$R,1)=1),1,0),"")</f>
        <v/>
      </c>
      <c r="S17" s="43">
        <f>IF($A17=1,IF($R17=1,N($M17),0),"")</f>
        <v/>
      </c>
      <c r="T17" s="43">
        <f>IF($A17=1,IF($R17=1,N($N17),0),"")</f>
        <v/>
      </c>
      <c r="U17" s="32">
        <f>IF($A17=1,YEAR($D17)*100+MONTH($D17),"")</f>
        <v/>
      </c>
      <c r="V17" s="32">
        <f>IF($A17=1,IF(COUNTIF(COA!$A:$A,$G17)=0,0,INDEX(COA!$H:$H,MATCH($G17,COA!$A:$A,0))),"")</f>
        <v/>
      </c>
      <c r="W17" s="32">
        <f>IF($A17=1,"","")</f>
        <v/>
      </c>
      <c r="X17" s="32">
        <f>IF($A17=1,IF($R17=1,"",IF($O17=ST_POST,IF($P17&lt;&gt;"",$P17,"حساب غير صالح أو غير نشط"),IF($O17=ST_REV,"معكوس: لا أثر على الدفاتر",IF($O17=ST_CANC,"ملغى",IF($O17=ST_APPR,"معتمد ولم يُرحَّل","مسودة"))))),"")</f>
        <v/>
      </c>
      <c r="Y17" s="32">
        <f>IF($A17=1,IF(AND($R17=1,OR(LG_Acct="",$G17=LG_Acct),OR(LG_Party="",$K17=LG_Party),OR(LG_Loc="ALL",$I17=LG_Loc),OR(LG_CC="ALL",$J17=LG_CC),$D17&gt;=LG_From,$D17&lt;=LG_To),$D17+ROW()/1000000,""),"")</f>
        <v/>
      </c>
      <c r="Z17" s="32">
        <f>IF($A17=1,IF(Sales_Daily!$T5="","",Sales_Daily!$T5),"")</f>
        <v/>
      </c>
      <c r="AA17" s="32">
        <f>IF($A17=1,IF(Sales_Daily!$U5="","",Sales_Daily!$U5),"")</f>
        <v/>
      </c>
      <c r="AB17" s="32">
        <f>IF($A17=1,IF(Sales_Daily!$V5="","",Sales_Daily!$V5),"")</f>
        <v/>
      </c>
      <c r="AC17" s="32">
        <f>IF($A17=1,IF(Sales_Daily!$W5="","",Sales_Daily!$W5),"")</f>
        <v/>
      </c>
      <c r="AD17" s="32">
        <f>IF($A17=1,IF(Sales_Daily!$X5="","",Sales_Daily!$X5),"")</f>
        <v/>
      </c>
      <c r="AE17" s="32">
        <f>IF($A17=1,0,"")</f>
        <v/>
      </c>
      <c r="AF17" s="32" t="inlineStr"/>
    </row>
    <row r="18">
      <c r="A18" s="32">
        <f>IF(AND(Sales_Daily!$AV6=1,N(Sales_Daily!$L6)&gt;0),1,0)</f>
        <v/>
      </c>
      <c r="B18" s="32">
        <f>IF($A18=1,$E18&amp;"/1","")</f>
        <v/>
      </c>
      <c r="C18" s="32">
        <f>IF($A18=1,"J-"&amp;Sales_Daily!$A6,"")</f>
        <v/>
      </c>
      <c r="D18" s="33">
        <f>IF($A18=1,Sales_Daily!$B6,"")</f>
        <v/>
      </c>
      <c r="E18" s="32">
        <f>IF($A18=1,IF(Sales_Daily!$A6="","",Sales_Daily!$A6),"")</f>
        <v/>
      </c>
      <c r="F18" s="32">
        <f>IF($A18=1,"SAL","")</f>
        <v/>
      </c>
      <c r="G18" s="32">
        <f>IF($A18=1,IF(Sales_Daily!$AK6="","",Sales_Daily!$AK6),"")</f>
        <v/>
      </c>
      <c r="H18" s="32">
        <f>IF($A18=1,IF(COUNTIF(COA!$A:$A,$G18)=0,"حساب غير معرف",INDEX(COA!$B:$B,MATCH($G18,COA!$A:$A,0))),"")</f>
        <v/>
      </c>
      <c r="I18" s="32">
        <f>IF($A18=1,IF(Sales_Daily!$C6="","",Sales_Daily!$C6),"")</f>
        <v/>
      </c>
      <c r="J18" s="32">
        <f>IF($A18=1,"CC10","")</f>
        <v/>
      </c>
      <c r="K18" s="32">
        <f>IF($A18=1,"-","")</f>
        <v/>
      </c>
      <c r="L18" s="32">
        <f>IF($A18=1,"مبيعات - تحصيل CASH","")</f>
        <v/>
      </c>
      <c r="M18" s="43">
        <f>IF($A18=1,Sales_Daily!$L6,"")</f>
        <v/>
      </c>
      <c r="N18" s="43">
        <f>IF($A18=1,0,"")</f>
        <v/>
      </c>
      <c r="O18" s="32">
        <f>IF($A18=1,Sales_Daily!$S6,"")</f>
        <v/>
      </c>
      <c r="P18" s="32">
        <f>IF($A18=1,IF(Sales_Daily!$AW6="","",Sales_Daily!$AW6),"")</f>
        <v/>
      </c>
      <c r="Q18" s="32">
        <f>IF($A18=1,Sales_Daily!$AY6,"")</f>
        <v/>
      </c>
      <c r="R18" s="32">
        <f>IF($A18=1,IF(AND($Q18=1,COUNTIFS(COA!$A:$A,$G18,COA!$R:$R,1)=1),1,0),"")</f>
        <v/>
      </c>
      <c r="S18" s="43">
        <f>IF($A18=1,IF($R18=1,N($M18),0),"")</f>
        <v/>
      </c>
      <c r="T18" s="43">
        <f>IF($A18=1,IF($R18=1,N($N18),0),"")</f>
        <v/>
      </c>
      <c r="U18" s="32">
        <f>IF($A18=1,YEAR($D18)*100+MONTH($D18),"")</f>
        <v/>
      </c>
      <c r="V18" s="32">
        <f>IF($A18=1,IF(COUNTIF(COA!$A:$A,$G18)=0,0,INDEX(COA!$H:$H,MATCH($G18,COA!$A:$A,0))),"")</f>
        <v/>
      </c>
      <c r="W18" s="32">
        <f>IF($A18=1,"OPERATING","")</f>
        <v/>
      </c>
      <c r="X18" s="32">
        <f>IF($A18=1,IF($R18=1,"",IF($O18=ST_POST,IF($P18&lt;&gt;"",$P18,"حساب غير صالح أو غير نشط"),IF($O18=ST_REV,"معكوس: لا أثر على الدفاتر",IF($O18=ST_CANC,"ملغى",IF($O18=ST_APPR,"معتمد ولم يُرحَّل","مسودة"))))),"")</f>
        <v/>
      </c>
      <c r="Y18" s="32">
        <f>IF($A18=1,IF(AND($R18=1,OR(LG_Acct="",$G18=LG_Acct),OR(LG_Party="",$K18=LG_Party),OR(LG_Loc="ALL",$I18=LG_Loc),OR(LG_CC="ALL",$J18=LG_CC),$D18&gt;=LG_From,$D18&lt;=LG_To),$D18+ROW()/1000000,""),"")</f>
        <v/>
      </c>
      <c r="Z18" s="32">
        <f>IF($A18=1,IF(Sales_Daily!$T6="","",Sales_Daily!$T6),"")</f>
        <v/>
      </c>
      <c r="AA18" s="32">
        <f>IF($A18=1,IF(Sales_Daily!$U6="","",Sales_Daily!$U6),"")</f>
        <v/>
      </c>
      <c r="AB18" s="32">
        <f>IF($A18=1,IF(Sales_Daily!$V6="","",Sales_Daily!$V6),"")</f>
        <v/>
      </c>
      <c r="AC18" s="32">
        <f>IF($A18=1,IF(Sales_Daily!$W6="","",Sales_Daily!$W6),"")</f>
        <v/>
      </c>
      <c r="AD18" s="32">
        <f>IF($A18=1,IF(Sales_Daily!$X6="","",Sales_Daily!$X6),"")</f>
        <v/>
      </c>
      <c r="AE18" s="32">
        <f>IF($A18=1,0,"")</f>
        <v/>
      </c>
      <c r="AF18" s="32" t="inlineStr"/>
    </row>
    <row r="19">
      <c r="A19" s="32">
        <f>IF(AND(Sales_Daily!$AV6=1,N(Sales_Daily!$M6)&gt;0),1,0)</f>
        <v/>
      </c>
      <c r="B19" s="32">
        <f>IF($A19=1,$E19&amp;"/2","")</f>
        <v/>
      </c>
      <c r="C19" s="32">
        <f>IF($A19=1,"J-"&amp;Sales_Daily!$A6,"")</f>
        <v/>
      </c>
      <c r="D19" s="33">
        <f>IF($A19=1,Sales_Daily!$B6,"")</f>
        <v/>
      </c>
      <c r="E19" s="32">
        <f>IF($A19=1,IF(Sales_Daily!$A6="","",Sales_Daily!$A6),"")</f>
        <v/>
      </c>
      <c r="F19" s="32">
        <f>IF($A19=1,"SAL","")</f>
        <v/>
      </c>
      <c r="G19" s="32">
        <f>IF($A19=1,IF(Sales_Daily!$AL6="","",Sales_Daily!$AL6),"")</f>
        <v/>
      </c>
      <c r="H19" s="32">
        <f>IF($A19=1,IF(COUNTIF(COA!$A:$A,$G19)=0,"حساب غير معرف",INDEX(COA!$B:$B,MATCH($G19,COA!$A:$A,0))),"")</f>
        <v/>
      </c>
      <c r="I19" s="32">
        <f>IF($A19=1,IF(Sales_Daily!$C6="","",Sales_Daily!$C6),"")</f>
        <v/>
      </c>
      <c r="J19" s="32">
        <f>IF($A19=1,"CC10","")</f>
        <v/>
      </c>
      <c r="K19" s="32">
        <f>IF($A19=1,"-","")</f>
        <v/>
      </c>
      <c r="L19" s="32">
        <f>IF($A19=1,"مبيعات - تحصيل CARD","")</f>
        <v/>
      </c>
      <c r="M19" s="43">
        <f>IF($A19=1,Sales_Daily!$M6,"")</f>
        <v/>
      </c>
      <c r="N19" s="43">
        <f>IF($A19=1,0,"")</f>
        <v/>
      </c>
      <c r="O19" s="32">
        <f>IF($A19=1,Sales_Daily!$S6,"")</f>
        <v/>
      </c>
      <c r="P19" s="32">
        <f>IF($A19=1,IF(Sales_Daily!$AW6="","",Sales_Daily!$AW6),"")</f>
        <v/>
      </c>
      <c r="Q19" s="32">
        <f>IF($A19=1,Sales_Daily!$AY6,"")</f>
        <v/>
      </c>
      <c r="R19" s="32">
        <f>IF($A19=1,IF(AND($Q19=1,COUNTIFS(COA!$A:$A,$G19,COA!$R:$R,1)=1),1,0),"")</f>
        <v/>
      </c>
      <c r="S19" s="43">
        <f>IF($A19=1,IF($R19=1,N($M19),0),"")</f>
        <v/>
      </c>
      <c r="T19" s="43">
        <f>IF($A19=1,IF($R19=1,N($N19),0),"")</f>
        <v/>
      </c>
      <c r="U19" s="32">
        <f>IF($A19=1,YEAR($D19)*100+MONTH($D19),"")</f>
        <v/>
      </c>
      <c r="V19" s="32">
        <f>IF($A19=1,IF(COUNTIF(COA!$A:$A,$G19)=0,0,INDEX(COA!$H:$H,MATCH($G19,COA!$A:$A,0))),"")</f>
        <v/>
      </c>
      <c r="W19" s="32">
        <f>IF($A19=1,"OPERATING","")</f>
        <v/>
      </c>
      <c r="X19" s="32">
        <f>IF($A19=1,IF($R19=1,"",IF($O19=ST_POST,IF($P19&lt;&gt;"",$P19,"حساب غير صالح أو غير نشط"),IF($O19=ST_REV,"معكوس: لا أثر على الدفاتر",IF($O19=ST_CANC,"ملغى",IF($O19=ST_APPR,"معتمد ولم يُرحَّل","مسودة"))))),"")</f>
        <v/>
      </c>
      <c r="Y19" s="32">
        <f>IF($A19=1,IF(AND($R19=1,OR(LG_Acct="",$G19=LG_Acct),OR(LG_Party="",$K19=LG_Party),OR(LG_Loc="ALL",$I19=LG_Loc),OR(LG_CC="ALL",$J19=LG_CC),$D19&gt;=LG_From,$D19&lt;=LG_To),$D19+ROW()/1000000,""),"")</f>
        <v/>
      </c>
      <c r="Z19" s="32">
        <f>IF($A19=1,IF(Sales_Daily!$T6="","",Sales_Daily!$T6),"")</f>
        <v/>
      </c>
      <c r="AA19" s="32">
        <f>IF($A19=1,IF(Sales_Daily!$U6="","",Sales_Daily!$U6),"")</f>
        <v/>
      </c>
      <c r="AB19" s="32">
        <f>IF($A19=1,IF(Sales_Daily!$V6="","",Sales_Daily!$V6),"")</f>
        <v/>
      </c>
      <c r="AC19" s="32">
        <f>IF($A19=1,IF(Sales_Daily!$W6="","",Sales_Daily!$W6),"")</f>
        <v/>
      </c>
      <c r="AD19" s="32">
        <f>IF($A19=1,IF(Sales_Daily!$X6="","",Sales_Daily!$X6),"")</f>
        <v/>
      </c>
      <c r="AE19" s="32">
        <f>IF($A19=1,0,"")</f>
        <v/>
      </c>
      <c r="AF19" s="32" t="inlineStr"/>
    </row>
    <row r="20">
      <c r="A20" s="32">
        <f>IF(AND(Sales_Daily!$AV6=1,N(Sales_Daily!$N6)&gt;0),1,0)</f>
        <v/>
      </c>
      <c r="B20" s="32">
        <f>IF($A20=1,$E20&amp;"/3","")</f>
        <v/>
      </c>
      <c r="C20" s="32">
        <f>IF($A20=1,"J-"&amp;Sales_Daily!$A6,"")</f>
        <v/>
      </c>
      <c r="D20" s="33">
        <f>IF($A20=1,Sales_Daily!$B6,"")</f>
        <v/>
      </c>
      <c r="E20" s="32">
        <f>IF($A20=1,IF(Sales_Daily!$A6="","",Sales_Daily!$A6),"")</f>
        <v/>
      </c>
      <c r="F20" s="32">
        <f>IF($A20=1,"SAL","")</f>
        <v/>
      </c>
      <c r="G20" s="32">
        <f>IF($A20=1,IF(Sales_Daily!$AM6="","",Sales_Daily!$AM6),"")</f>
        <v/>
      </c>
      <c r="H20" s="32">
        <f>IF($A20=1,IF(COUNTIF(COA!$A:$A,$G20)=0,"حساب غير معرف",INDEX(COA!$B:$B,MATCH($G20,COA!$A:$A,0))),"")</f>
        <v/>
      </c>
      <c r="I20" s="32">
        <f>IF($A20=1,IF(Sales_Daily!$C6="","",Sales_Daily!$C6),"")</f>
        <v/>
      </c>
      <c r="J20" s="32">
        <f>IF($A20=1,"CC10","")</f>
        <v/>
      </c>
      <c r="K20" s="32">
        <f>IF($A20=1,"-","")</f>
        <v/>
      </c>
      <c r="L20" s="32">
        <f>IF($A20=1,"مبيعات - تحصيل TLB","")</f>
        <v/>
      </c>
      <c r="M20" s="43">
        <f>IF($A20=1,Sales_Daily!$N6,"")</f>
        <v/>
      </c>
      <c r="N20" s="43">
        <f>IF($A20=1,0,"")</f>
        <v/>
      </c>
      <c r="O20" s="32">
        <f>IF($A20=1,Sales_Daily!$S6,"")</f>
        <v/>
      </c>
      <c r="P20" s="32">
        <f>IF($A20=1,IF(Sales_Daily!$AW6="","",Sales_Daily!$AW6),"")</f>
        <v/>
      </c>
      <c r="Q20" s="32">
        <f>IF($A20=1,Sales_Daily!$AY6,"")</f>
        <v/>
      </c>
      <c r="R20" s="32">
        <f>IF($A20=1,IF(AND($Q20=1,COUNTIFS(COA!$A:$A,$G20,COA!$R:$R,1)=1),1,0),"")</f>
        <v/>
      </c>
      <c r="S20" s="43">
        <f>IF($A20=1,IF($R20=1,N($M20),0),"")</f>
        <v/>
      </c>
      <c r="T20" s="43">
        <f>IF($A20=1,IF($R20=1,N($N20),0),"")</f>
        <v/>
      </c>
      <c r="U20" s="32">
        <f>IF($A20=1,YEAR($D20)*100+MONTH($D20),"")</f>
        <v/>
      </c>
      <c r="V20" s="32">
        <f>IF($A20=1,IF(COUNTIF(COA!$A:$A,$G20)=0,0,INDEX(COA!$H:$H,MATCH($G20,COA!$A:$A,0))),"")</f>
        <v/>
      </c>
      <c r="W20" s="32">
        <f>IF($A20=1,"OPERATING","")</f>
        <v/>
      </c>
      <c r="X20" s="32">
        <f>IF($A20=1,IF($R20=1,"",IF($O20=ST_POST,IF($P20&lt;&gt;"",$P20,"حساب غير صالح أو غير نشط"),IF($O20=ST_REV,"معكوس: لا أثر على الدفاتر",IF($O20=ST_CANC,"ملغى",IF($O20=ST_APPR,"معتمد ولم يُرحَّل","مسودة"))))),"")</f>
        <v/>
      </c>
      <c r="Y20" s="32">
        <f>IF($A20=1,IF(AND($R20=1,OR(LG_Acct="",$G20=LG_Acct),OR(LG_Party="",$K20=LG_Party),OR(LG_Loc="ALL",$I20=LG_Loc),OR(LG_CC="ALL",$J20=LG_CC),$D20&gt;=LG_From,$D20&lt;=LG_To),$D20+ROW()/1000000,""),"")</f>
        <v/>
      </c>
      <c r="Z20" s="32">
        <f>IF($A20=1,IF(Sales_Daily!$T6="","",Sales_Daily!$T6),"")</f>
        <v/>
      </c>
      <c r="AA20" s="32">
        <f>IF($A20=1,IF(Sales_Daily!$U6="","",Sales_Daily!$U6),"")</f>
        <v/>
      </c>
      <c r="AB20" s="32">
        <f>IF($A20=1,IF(Sales_Daily!$V6="","",Sales_Daily!$V6),"")</f>
        <v/>
      </c>
      <c r="AC20" s="32">
        <f>IF($A20=1,IF(Sales_Daily!$W6="","",Sales_Daily!$W6),"")</f>
        <v/>
      </c>
      <c r="AD20" s="32">
        <f>IF($A20=1,IF(Sales_Daily!$X6="","",Sales_Daily!$X6),"")</f>
        <v/>
      </c>
      <c r="AE20" s="32">
        <f>IF($A20=1,0,"")</f>
        <v/>
      </c>
      <c r="AF20" s="32" t="inlineStr"/>
    </row>
    <row r="21">
      <c r="A21" s="32">
        <f>IF(AND(Sales_Daily!$AV6=1,N(Sales_Daily!$O6)&gt;0),1,0)</f>
        <v/>
      </c>
      <c r="B21" s="32">
        <f>IF($A21=1,$E21&amp;"/4","")</f>
        <v/>
      </c>
      <c r="C21" s="32">
        <f>IF($A21=1,"J-"&amp;Sales_Daily!$A6,"")</f>
        <v/>
      </c>
      <c r="D21" s="33">
        <f>IF($A21=1,Sales_Daily!$B6,"")</f>
        <v/>
      </c>
      <c r="E21" s="32">
        <f>IF($A21=1,IF(Sales_Daily!$A6="","",Sales_Daily!$A6),"")</f>
        <v/>
      </c>
      <c r="F21" s="32">
        <f>IF($A21=1,"SAL","")</f>
        <v/>
      </c>
      <c r="G21" s="32">
        <f>IF($A21=1,IF(Sales_Daily!$AN6="","",Sales_Daily!$AN6),"")</f>
        <v/>
      </c>
      <c r="H21" s="32">
        <f>IF($A21=1,IF(COUNTIF(COA!$A:$A,$G21)=0,"حساب غير معرف",INDEX(COA!$B:$B,MATCH($G21,COA!$A:$A,0))),"")</f>
        <v/>
      </c>
      <c r="I21" s="32">
        <f>IF($A21=1,IF(Sales_Daily!$C6="","",Sales_Daily!$C6),"")</f>
        <v/>
      </c>
      <c r="J21" s="32">
        <f>IF($A21=1,"CC10","")</f>
        <v/>
      </c>
      <c r="K21" s="32">
        <f>IF($A21=1,"-","")</f>
        <v/>
      </c>
      <c r="L21" s="32">
        <f>IF($A21=1,"مبيعات - تحصيل DLV2","")</f>
        <v/>
      </c>
      <c r="M21" s="43">
        <f>IF($A21=1,Sales_Daily!$O6,"")</f>
        <v/>
      </c>
      <c r="N21" s="43">
        <f>IF($A21=1,0,"")</f>
        <v/>
      </c>
      <c r="O21" s="32">
        <f>IF($A21=1,Sales_Daily!$S6,"")</f>
        <v/>
      </c>
      <c r="P21" s="32">
        <f>IF($A21=1,IF(Sales_Daily!$AW6="","",Sales_Daily!$AW6),"")</f>
        <v/>
      </c>
      <c r="Q21" s="32">
        <f>IF($A21=1,Sales_Daily!$AY6,"")</f>
        <v/>
      </c>
      <c r="R21" s="32">
        <f>IF($A21=1,IF(AND($Q21=1,COUNTIFS(COA!$A:$A,$G21,COA!$R:$R,1)=1),1,0),"")</f>
        <v/>
      </c>
      <c r="S21" s="43">
        <f>IF($A21=1,IF($R21=1,N($M21),0),"")</f>
        <v/>
      </c>
      <c r="T21" s="43">
        <f>IF($A21=1,IF($R21=1,N($N21),0),"")</f>
        <v/>
      </c>
      <c r="U21" s="32">
        <f>IF($A21=1,YEAR($D21)*100+MONTH($D21),"")</f>
        <v/>
      </c>
      <c r="V21" s="32">
        <f>IF($A21=1,IF(COUNTIF(COA!$A:$A,$G21)=0,0,INDEX(COA!$H:$H,MATCH($G21,COA!$A:$A,0))),"")</f>
        <v/>
      </c>
      <c r="W21" s="32">
        <f>IF($A21=1,"OPERATING","")</f>
        <v/>
      </c>
      <c r="X21" s="32">
        <f>IF($A21=1,IF($R21=1,"",IF($O21=ST_POST,IF($P21&lt;&gt;"",$P21,"حساب غير صالح أو غير نشط"),IF($O21=ST_REV,"معكوس: لا أثر على الدفاتر",IF($O21=ST_CANC,"ملغى",IF($O21=ST_APPR,"معتمد ولم يُرحَّل","مسودة"))))),"")</f>
        <v/>
      </c>
      <c r="Y21" s="32">
        <f>IF($A21=1,IF(AND($R21=1,OR(LG_Acct="",$G21=LG_Acct),OR(LG_Party="",$K21=LG_Party),OR(LG_Loc="ALL",$I21=LG_Loc),OR(LG_CC="ALL",$J21=LG_CC),$D21&gt;=LG_From,$D21&lt;=LG_To),$D21+ROW()/1000000,""),"")</f>
        <v/>
      </c>
      <c r="Z21" s="32">
        <f>IF($A21=1,IF(Sales_Daily!$T6="","",Sales_Daily!$T6),"")</f>
        <v/>
      </c>
      <c r="AA21" s="32">
        <f>IF($A21=1,IF(Sales_Daily!$U6="","",Sales_Daily!$U6),"")</f>
        <v/>
      </c>
      <c r="AB21" s="32">
        <f>IF($A21=1,IF(Sales_Daily!$V6="","",Sales_Daily!$V6),"")</f>
        <v/>
      </c>
      <c r="AC21" s="32">
        <f>IF($A21=1,IF(Sales_Daily!$W6="","",Sales_Daily!$W6),"")</f>
        <v/>
      </c>
      <c r="AD21" s="32">
        <f>IF($A21=1,IF(Sales_Daily!$X6="","",Sales_Daily!$X6),"")</f>
        <v/>
      </c>
      <c r="AE21" s="32">
        <f>IF($A21=1,0,"")</f>
        <v/>
      </c>
      <c r="AF21" s="32" t="inlineStr"/>
    </row>
    <row r="22">
      <c r="A22" s="32">
        <f>IF(AND(Sales_Daily!$AV6=1,N(Sales_Daily!$P6)&gt;0),1,0)</f>
        <v/>
      </c>
      <c r="B22" s="32">
        <f>IF($A22=1,$E22&amp;"/5","")</f>
        <v/>
      </c>
      <c r="C22" s="32">
        <f>IF($A22=1,"J-"&amp;Sales_Daily!$A6,"")</f>
        <v/>
      </c>
      <c r="D22" s="33">
        <f>IF($A22=1,Sales_Daily!$B6,"")</f>
        <v/>
      </c>
      <c r="E22" s="32">
        <f>IF($A22=1,IF(Sales_Daily!$A6="","",Sales_Daily!$A6),"")</f>
        <v/>
      </c>
      <c r="F22" s="32">
        <f>IF($A22=1,"SAL","")</f>
        <v/>
      </c>
      <c r="G22" s="32">
        <f>IF($A22=1,IF(Sales_Daily!$AO6="","",Sales_Daily!$AO6),"")</f>
        <v/>
      </c>
      <c r="H22" s="32">
        <f>IF($A22=1,IF(COUNTIF(COA!$A:$A,$G22)=0,"حساب غير معرف",INDEX(COA!$B:$B,MATCH($G22,COA!$A:$A,0))),"")</f>
        <v/>
      </c>
      <c r="I22" s="32">
        <f>IF($A22=1,IF(Sales_Daily!$C6="","",Sales_Daily!$C6),"")</f>
        <v/>
      </c>
      <c r="J22" s="32">
        <f>IF($A22=1,"CC10","")</f>
        <v/>
      </c>
      <c r="K22" s="32">
        <f>IF($A22=1,"-","")</f>
        <v/>
      </c>
      <c r="L22" s="32">
        <f>IF($A22=1,"مبيعات - تحصيل INSTA","")</f>
        <v/>
      </c>
      <c r="M22" s="43">
        <f>IF($A22=1,Sales_Daily!$P6,"")</f>
        <v/>
      </c>
      <c r="N22" s="43">
        <f>IF($A22=1,0,"")</f>
        <v/>
      </c>
      <c r="O22" s="32">
        <f>IF($A22=1,Sales_Daily!$S6,"")</f>
        <v/>
      </c>
      <c r="P22" s="32">
        <f>IF($A22=1,IF(Sales_Daily!$AW6="","",Sales_Daily!$AW6),"")</f>
        <v/>
      </c>
      <c r="Q22" s="32">
        <f>IF($A22=1,Sales_Daily!$AY6,"")</f>
        <v/>
      </c>
      <c r="R22" s="32">
        <f>IF($A22=1,IF(AND($Q22=1,COUNTIFS(COA!$A:$A,$G22,COA!$R:$R,1)=1),1,0),"")</f>
        <v/>
      </c>
      <c r="S22" s="43">
        <f>IF($A22=1,IF($R22=1,N($M22),0),"")</f>
        <v/>
      </c>
      <c r="T22" s="43">
        <f>IF($A22=1,IF($R22=1,N($N22),0),"")</f>
        <v/>
      </c>
      <c r="U22" s="32">
        <f>IF($A22=1,YEAR($D22)*100+MONTH($D22),"")</f>
        <v/>
      </c>
      <c r="V22" s="32">
        <f>IF($A22=1,IF(COUNTIF(COA!$A:$A,$G22)=0,0,INDEX(COA!$H:$H,MATCH($G22,COA!$A:$A,0))),"")</f>
        <v/>
      </c>
      <c r="W22" s="32">
        <f>IF($A22=1,"OPERATING","")</f>
        <v/>
      </c>
      <c r="X22" s="32">
        <f>IF($A22=1,IF($R22=1,"",IF($O22=ST_POST,IF($P22&lt;&gt;"",$P22,"حساب غير صالح أو غير نشط"),IF($O22=ST_REV,"معكوس: لا أثر على الدفاتر",IF($O22=ST_CANC,"ملغى",IF($O22=ST_APPR,"معتمد ولم يُرحَّل","مسودة"))))),"")</f>
        <v/>
      </c>
      <c r="Y22" s="32">
        <f>IF($A22=1,IF(AND($R22=1,OR(LG_Acct="",$G22=LG_Acct),OR(LG_Party="",$K22=LG_Party),OR(LG_Loc="ALL",$I22=LG_Loc),OR(LG_CC="ALL",$J22=LG_CC),$D22&gt;=LG_From,$D22&lt;=LG_To),$D22+ROW()/1000000,""),"")</f>
        <v/>
      </c>
      <c r="Z22" s="32">
        <f>IF($A22=1,IF(Sales_Daily!$T6="","",Sales_Daily!$T6),"")</f>
        <v/>
      </c>
      <c r="AA22" s="32">
        <f>IF($A22=1,IF(Sales_Daily!$U6="","",Sales_Daily!$U6),"")</f>
        <v/>
      </c>
      <c r="AB22" s="32">
        <f>IF($A22=1,IF(Sales_Daily!$V6="","",Sales_Daily!$V6),"")</f>
        <v/>
      </c>
      <c r="AC22" s="32">
        <f>IF($A22=1,IF(Sales_Daily!$W6="","",Sales_Daily!$W6),"")</f>
        <v/>
      </c>
      <c r="AD22" s="32">
        <f>IF($A22=1,IF(Sales_Daily!$X6="","",Sales_Daily!$X6),"")</f>
        <v/>
      </c>
      <c r="AE22" s="32">
        <f>IF($A22=1,0,"")</f>
        <v/>
      </c>
      <c r="AF22" s="32" t="inlineStr"/>
    </row>
    <row r="23">
      <c r="A23" s="32">
        <f>IF(AND(Sales_Daily!$AV6=1,N(Sales_Daily!$Q6)&gt;0),1,0)</f>
        <v/>
      </c>
      <c r="B23" s="32">
        <f>IF($A23=1,$E23&amp;"/6","")</f>
        <v/>
      </c>
      <c r="C23" s="32">
        <f>IF($A23=1,"J-"&amp;Sales_Daily!$A6,"")</f>
        <v/>
      </c>
      <c r="D23" s="33">
        <f>IF($A23=1,Sales_Daily!$B6,"")</f>
        <v/>
      </c>
      <c r="E23" s="32">
        <f>IF($A23=1,IF(Sales_Daily!$A6="","",Sales_Daily!$A6),"")</f>
        <v/>
      </c>
      <c r="F23" s="32">
        <f>IF($A23=1,"SAL","")</f>
        <v/>
      </c>
      <c r="G23" s="32">
        <f>IF($A23=1,IF(Sales_Daily!$AP6="","",Sales_Daily!$AP6),"")</f>
        <v/>
      </c>
      <c r="H23" s="32">
        <f>IF($A23=1,IF(COUNTIF(COA!$A:$A,$G23)=0,"حساب غير معرف",INDEX(COA!$B:$B,MATCH($G23,COA!$A:$A,0))),"")</f>
        <v/>
      </c>
      <c r="I23" s="32">
        <f>IF($A23=1,IF(Sales_Daily!$C6="","",Sales_Daily!$C6),"")</f>
        <v/>
      </c>
      <c r="J23" s="32">
        <f>IF($A23=1,"CC10","")</f>
        <v/>
      </c>
      <c r="K23" s="32">
        <f>IF($A23=1,"-","")</f>
        <v/>
      </c>
      <c r="L23" s="32">
        <f>IF($A23=1,"مبيعات - تحصيل OTH","")</f>
        <v/>
      </c>
      <c r="M23" s="43">
        <f>IF($A23=1,Sales_Daily!$Q6,"")</f>
        <v/>
      </c>
      <c r="N23" s="43">
        <f>IF($A23=1,0,"")</f>
        <v/>
      </c>
      <c r="O23" s="32">
        <f>IF($A23=1,Sales_Daily!$S6,"")</f>
        <v/>
      </c>
      <c r="P23" s="32">
        <f>IF($A23=1,IF(Sales_Daily!$AW6="","",Sales_Daily!$AW6),"")</f>
        <v/>
      </c>
      <c r="Q23" s="32">
        <f>IF($A23=1,Sales_Daily!$AY6,"")</f>
        <v/>
      </c>
      <c r="R23" s="32">
        <f>IF($A23=1,IF(AND($Q23=1,COUNTIFS(COA!$A:$A,$G23,COA!$R:$R,1)=1),1,0),"")</f>
        <v/>
      </c>
      <c r="S23" s="43">
        <f>IF($A23=1,IF($R23=1,N($M23),0),"")</f>
        <v/>
      </c>
      <c r="T23" s="43">
        <f>IF($A23=1,IF($R23=1,N($N23),0),"")</f>
        <v/>
      </c>
      <c r="U23" s="32">
        <f>IF($A23=1,YEAR($D23)*100+MONTH($D23),"")</f>
        <v/>
      </c>
      <c r="V23" s="32">
        <f>IF($A23=1,IF(COUNTIF(COA!$A:$A,$G23)=0,0,INDEX(COA!$H:$H,MATCH($G23,COA!$A:$A,0))),"")</f>
        <v/>
      </c>
      <c r="W23" s="32">
        <f>IF($A23=1,"OPERATING","")</f>
        <v/>
      </c>
      <c r="X23" s="32">
        <f>IF($A23=1,IF($R23=1,"",IF($O23=ST_POST,IF($P23&lt;&gt;"",$P23,"حساب غير صالح أو غير نشط"),IF($O23=ST_REV,"معكوس: لا أثر على الدفاتر",IF($O23=ST_CANC,"ملغى",IF($O23=ST_APPR,"معتمد ولم يُرحَّل","مسودة"))))),"")</f>
        <v/>
      </c>
      <c r="Y23" s="32">
        <f>IF($A23=1,IF(AND($R23=1,OR(LG_Acct="",$G23=LG_Acct),OR(LG_Party="",$K23=LG_Party),OR(LG_Loc="ALL",$I23=LG_Loc),OR(LG_CC="ALL",$J23=LG_CC),$D23&gt;=LG_From,$D23&lt;=LG_To),$D23+ROW()/1000000,""),"")</f>
        <v/>
      </c>
      <c r="Z23" s="32">
        <f>IF($A23=1,IF(Sales_Daily!$T6="","",Sales_Daily!$T6),"")</f>
        <v/>
      </c>
      <c r="AA23" s="32">
        <f>IF($A23=1,IF(Sales_Daily!$U6="","",Sales_Daily!$U6),"")</f>
        <v/>
      </c>
      <c r="AB23" s="32">
        <f>IF($A23=1,IF(Sales_Daily!$V6="","",Sales_Daily!$V6),"")</f>
        <v/>
      </c>
      <c r="AC23" s="32">
        <f>IF($A23=1,IF(Sales_Daily!$W6="","",Sales_Daily!$W6),"")</f>
        <v/>
      </c>
      <c r="AD23" s="32">
        <f>IF($A23=1,IF(Sales_Daily!$X6="","",Sales_Daily!$X6),"")</f>
        <v/>
      </c>
      <c r="AE23" s="32">
        <f>IF($A23=1,0,"")</f>
        <v/>
      </c>
      <c r="AF23" s="32" t="inlineStr"/>
    </row>
    <row r="24">
      <c r="A24" s="32">
        <f>IF(AND(Sales_Daily!$AV6=1,N(Sales_Daily!$AH6)&gt;0),1,0)</f>
        <v/>
      </c>
      <c r="B24" s="32">
        <f>IF($A24=1,$E24&amp;"/7","")</f>
        <v/>
      </c>
      <c r="C24" s="32">
        <f>IF($A24=1,"J-"&amp;Sales_Daily!$A6,"")</f>
        <v/>
      </c>
      <c r="D24" s="33">
        <f>IF($A24=1,Sales_Daily!$B6,"")</f>
        <v/>
      </c>
      <c r="E24" s="32">
        <f>IF($A24=1,IF(Sales_Daily!$A6="","",Sales_Daily!$A6),"")</f>
        <v/>
      </c>
      <c r="F24" s="32">
        <f>IF($A24=1,"SAL","")</f>
        <v/>
      </c>
      <c r="G24" s="32">
        <f>IF($A24=1,ACC_DISC,"")</f>
        <v/>
      </c>
      <c r="H24" s="32">
        <f>IF($A24=1,IF(COUNTIF(COA!$A:$A,$G24)=0,"حساب غير معرف",INDEX(COA!$B:$B,MATCH($G24,COA!$A:$A,0))),"")</f>
        <v/>
      </c>
      <c r="I24" s="32">
        <f>IF($A24=1,IF(Sales_Daily!$C6="","",Sales_Daily!$C6),"")</f>
        <v/>
      </c>
      <c r="J24" s="32">
        <f>IF($A24=1,"CC10","")</f>
        <v/>
      </c>
      <c r="K24" s="32">
        <f>IF($A24=1,"-","")</f>
        <v/>
      </c>
      <c r="L24" s="32">
        <f>IF($A24=1,"خصومات المبيعات والعروض","")</f>
        <v/>
      </c>
      <c r="M24" s="43">
        <f>IF($A24=1,Sales_Daily!$AH6,"")</f>
        <v/>
      </c>
      <c r="N24" s="43">
        <f>IF($A24=1,0,"")</f>
        <v/>
      </c>
      <c r="O24" s="32">
        <f>IF($A24=1,Sales_Daily!$S6,"")</f>
        <v/>
      </c>
      <c r="P24" s="32">
        <f>IF($A24=1,IF(Sales_Daily!$AW6="","",Sales_Daily!$AW6),"")</f>
        <v/>
      </c>
      <c r="Q24" s="32">
        <f>IF($A24=1,Sales_Daily!$AY6,"")</f>
        <v/>
      </c>
      <c r="R24" s="32">
        <f>IF($A24=1,IF(AND($Q24=1,COUNTIFS(COA!$A:$A,$G24,COA!$R:$R,1)=1),1,0),"")</f>
        <v/>
      </c>
      <c r="S24" s="43">
        <f>IF($A24=1,IF($R24=1,N($M24),0),"")</f>
        <v/>
      </c>
      <c r="T24" s="43">
        <f>IF($A24=1,IF($R24=1,N($N24),0),"")</f>
        <v/>
      </c>
      <c r="U24" s="32">
        <f>IF($A24=1,YEAR($D24)*100+MONTH($D24),"")</f>
        <v/>
      </c>
      <c r="V24" s="32">
        <f>IF($A24=1,IF(COUNTIF(COA!$A:$A,$G24)=0,0,INDEX(COA!$H:$H,MATCH($G24,COA!$A:$A,0))),"")</f>
        <v/>
      </c>
      <c r="W24" s="32">
        <f>IF($A24=1,"","")</f>
        <v/>
      </c>
      <c r="X24" s="32">
        <f>IF($A24=1,IF($R24=1,"",IF($O24=ST_POST,IF($P24&lt;&gt;"",$P24,"حساب غير صالح أو غير نشط"),IF($O24=ST_REV,"معكوس: لا أثر على الدفاتر",IF($O24=ST_CANC,"ملغى",IF($O24=ST_APPR,"معتمد ولم يُرحَّل","مسودة"))))),"")</f>
        <v/>
      </c>
      <c r="Y24" s="32">
        <f>IF($A24=1,IF(AND($R24=1,OR(LG_Acct="",$G24=LG_Acct),OR(LG_Party="",$K24=LG_Party),OR(LG_Loc="ALL",$I24=LG_Loc),OR(LG_CC="ALL",$J24=LG_CC),$D24&gt;=LG_From,$D24&lt;=LG_To),$D24+ROW()/1000000,""),"")</f>
        <v/>
      </c>
      <c r="Z24" s="32">
        <f>IF($A24=1,IF(Sales_Daily!$T6="","",Sales_Daily!$T6),"")</f>
        <v/>
      </c>
      <c r="AA24" s="32">
        <f>IF($A24=1,IF(Sales_Daily!$U6="","",Sales_Daily!$U6),"")</f>
        <v/>
      </c>
      <c r="AB24" s="32">
        <f>IF($A24=1,IF(Sales_Daily!$V6="","",Sales_Daily!$V6),"")</f>
        <v/>
      </c>
      <c r="AC24" s="32">
        <f>IF($A24=1,IF(Sales_Daily!$W6="","",Sales_Daily!$W6),"")</f>
        <v/>
      </c>
      <c r="AD24" s="32">
        <f>IF($A24=1,IF(Sales_Daily!$X6="","",Sales_Daily!$X6),"")</f>
        <v/>
      </c>
      <c r="AE24" s="32">
        <f>IF($A24=1,0,"")</f>
        <v/>
      </c>
      <c r="AF24" s="32" t="inlineStr"/>
    </row>
    <row r="25">
      <c r="A25" s="32">
        <f>IF(AND(Sales_Daily!$AV6=1,N(Sales_Daily!$AI6)&gt;0),1,0)</f>
        <v/>
      </c>
      <c r="B25" s="32">
        <f>IF($A25=1,$E25&amp;"/8","")</f>
        <v/>
      </c>
      <c r="C25" s="32">
        <f>IF($A25=1,"J-"&amp;Sales_Daily!$A6,"")</f>
        <v/>
      </c>
      <c r="D25" s="33">
        <f>IF($A25=1,Sales_Daily!$B6,"")</f>
        <v/>
      </c>
      <c r="E25" s="32">
        <f>IF($A25=1,IF(Sales_Daily!$A6="","",Sales_Daily!$A6),"")</f>
        <v/>
      </c>
      <c r="F25" s="32">
        <f>IF($A25=1,"SAL","")</f>
        <v/>
      </c>
      <c r="G25" s="32">
        <f>IF($A25=1,ACC_RET,"")</f>
        <v/>
      </c>
      <c r="H25" s="32">
        <f>IF($A25=1,IF(COUNTIF(COA!$A:$A,$G25)=0,"حساب غير معرف",INDEX(COA!$B:$B,MATCH($G25,COA!$A:$A,0))),"")</f>
        <v/>
      </c>
      <c r="I25" s="32">
        <f>IF($A25=1,IF(Sales_Daily!$C6="","",Sales_Daily!$C6),"")</f>
        <v/>
      </c>
      <c r="J25" s="32">
        <f>IF($A25=1,"CC10","")</f>
        <v/>
      </c>
      <c r="K25" s="32">
        <f>IF($A25=1,"-","")</f>
        <v/>
      </c>
      <c r="L25" s="32">
        <f>IF($A25=1,"مرتجعات وإلغاءات المبيعات","")</f>
        <v/>
      </c>
      <c r="M25" s="43">
        <f>IF($A25=1,Sales_Daily!$AI6,"")</f>
        <v/>
      </c>
      <c r="N25" s="43">
        <f>IF($A25=1,0,"")</f>
        <v/>
      </c>
      <c r="O25" s="32">
        <f>IF($A25=1,Sales_Daily!$S6,"")</f>
        <v/>
      </c>
      <c r="P25" s="32">
        <f>IF($A25=1,IF(Sales_Daily!$AW6="","",Sales_Daily!$AW6),"")</f>
        <v/>
      </c>
      <c r="Q25" s="32">
        <f>IF($A25=1,Sales_Daily!$AY6,"")</f>
        <v/>
      </c>
      <c r="R25" s="32">
        <f>IF($A25=1,IF(AND($Q25=1,COUNTIFS(COA!$A:$A,$G25,COA!$R:$R,1)=1),1,0),"")</f>
        <v/>
      </c>
      <c r="S25" s="43">
        <f>IF($A25=1,IF($R25=1,N($M25),0),"")</f>
        <v/>
      </c>
      <c r="T25" s="43">
        <f>IF($A25=1,IF($R25=1,N($N25),0),"")</f>
        <v/>
      </c>
      <c r="U25" s="32">
        <f>IF($A25=1,YEAR($D25)*100+MONTH($D25),"")</f>
        <v/>
      </c>
      <c r="V25" s="32">
        <f>IF($A25=1,IF(COUNTIF(COA!$A:$A,$G25)=0,0,INDEX(COA!$H:$H,MATCH($G25,COA!$A:$A,0))),"")</f>
        <v/>
      </c>
      <c r="W25" s="32">
        <f>IF($A25=1,"","")</f>
        <v/>
      </c>
      <c r="X25" s="32">
        <f>IF($A25=1,IF($R25=1,"",IF($O25=ST_POST,IF($P25&lt;&gt;"",$P25,"حساب غير صالح أو غير نشط"),IF($O25=ST_REV,"معكوس: لا أثر على الدفاتر",IF($O25=ST_CANC,"ملغى",IF($O25=ST_APPR,"معتمد ولم يُرحَّل","مسودة"))))),"")</f>
        <v/>
      </c>
      <c r="Y25" s="32">
        <f>IF($A25=1,IF(AND($R25=1,OR(LG_Acct="",$G25=LG_Acct),OR(LG_Party="",$K25=LG_Party),OR(LG_Loc="ALL",$I25=LG_Loc),OR(LG_CC="ALL",$J25=LG_CC),$D25&gt;=LG_From,$D25&lt;=LG_To),$D25+ROW()/1000000,""),"")</f>
        <v/>
      </c>
      <c r="Z25" s="32">
        <f>IF($A25=1,IF(Sales_Daily!$T6="","",Sales_Daily!$T6),"")</f>
        <v/>
      </c>
      <c r="AA25" s="32">
        <f>IF($A25=1,IF(Sales_Daily!$U6="","",Sales_Daily!$U6),"")</f>
        <v/>
      </c>
      <c r="AB25" s="32">
        <f>IF($A25=1,IF(Sales_Daily!$V6="","",Sales_Daily!$V6),"")</f>
        <v/>
      </c>
      <c r="AC25" s="32">
        <f>IF($A25=1,IF(Sales_Daily!$W6="","",Sales_Daily!$W6),"")</f>
        <v/>
      </c>
      <c r="AD25" s="32">
        <f>IF($A25=1,IF(Sales_Daily!$X6="","",Sales_Daily!$X6),"")</f>
        <v/>
      </c>
      <c r="AE25" s="32">
        <f>IF($A25=1,0,"")</f>
        <v/>
      </c>
      <c r="AF25" s="32" t="inlineStr"/>
    </row>
    <row r="26">
      <c r="A26" s="32">
        <f>IF(AND(Sales_Daily!$AV6=1,N(Sales_Daily!$AD6)&gt;0),1,0)</f>
        <v/>
      </c>
      <c r="B26" s="32">
        <f>IF($A26=1,$E26&amp;"/9","")</f>
        <v/>
      </c>
      <c r="C26" s="32">
        <f>IF($A26=1,"J-"&amp;Sales_Daily!$A6,"")</f>
        <v/>
      </c>
      <c r="D26" s="33">
        <f>IF($A26=1,Sales_Daily!$B6,"")</f>
        <v/>
      </c>
      <c r="E26" s="32">
        <f>IF($A26=1,IF(Sales_Daily!$A6="","",Sales_Daily!$A6),"")</f>
        <v/>
      </c>
      <c r="F26" s="32">
        <f>IF($A26=1,"SAL","")</f>
        <v/>
      </c>
      <c r="G26" s="32">
        <f>IF($A26=1,IF(Sales_Daily!$AQ6="","",Sales_Daily!$AQ6),"")</f>
        <v/>
      </c>
      <c r="H26" s="32">
        <f>IF($A26=1,IF(COUNTIF(COA!$A:$A,$G26)=0,"حساب غير معرف",INDEX(COA!$B:$B,MATCH($G26,COA!$A:$A,0))),"")</f>
        <v/>
      </c>
      <c r="I26" s="32">
        <f>IF($A26=1,IF(Sales_Daily!$C6="","",Sales_Daily!$C6),"")</f>
        <v/>
      </c>
      <c r="J26" s="32">
        <f>IF($A26=1,"CC10","")</f>
        <v/>
      </c>
      <c r="K26" s="32">
        <f>IF($A26=1,"-","")</f>
        <v/>
      </c>
      <c r="L26" s="32">
        <f>IF($A26=1,"إيراد مبيعات - فئة فطير","")</f>
        <v/>
      </c>
      <c r="M26" s="43">
        <f>IF($A26=1,0,"")</f>
        <v/>
      </c>
      <c r="N26" s="43">
        <f>IF($A26=1,Sales_Daily!$AD6,"")</f>
        <v/>
      </c>
      <c r="O26" s="32">
        <f>IF($A26=1,Sales_Daily!$S6,"")</f>
        <v/>
      </c>
      <c r="P26" s="32">
        <f>IF($A26=1,IF(Sales_Daily!$AW6="","",Sales_Daily!$AW6),"")</f>
        <v/>
      </c>
      <c r="Q26" s="32">
        <f>IF($A26=1,Sales_Daily!$AY6,"")</f>
        <v/>
      </c>
      <c r="R26" s="32">
        <f>IF($A26=1,IF(AND($Q26=1,COUNTIFS(COA!$A:$A,$G26,COA!$R:$R,1)=1),1,0),"")</f>
        <v/>
      </c>
      <c r="S26" s="43">
        <f>IF($A26=1,IF($R26=1,N($M26),0),"")</f>
        <v/>
      </c>
      <c r="T26" s="43">
        <f>IF($A26=1,IF($R26=1,N($N26),0),"")</f>
        <v/>
      </c>
      <c r="U26" s="32">
        <f>IF($A26=1,YEAR($D26)*100+MONTH($D26),"")</f>
        <v/>
      </c>
      <c r="V26" s="32">
        <f>IF($A26=1,IF(COUNTIF(COA!$A:$A,$G26)=0,0,INDEX(COA!$H:$H,MATCH($G26,COA!$A:$A,0))),"")</f>
        <v/>
      </c>
      <c r="W26" s="32">
        <f>IF($A26=1,"","")</f>
        <v/>
      </c>
      <c r="X26" s="32">
        <f>IF($A26=1,IF($R26=1,"",IF($O26=ST_POST,IF($P26&lt;&gt;"",$P26,"حساب غير صالح أو غير نشط"),IF($O26=ST_REV,"معكوس: لا أثر على الدفاتر",IF($O26=ST_CANC,"ملغى",IF($O26=ST_APPR,"معتمد ولم يُرحَّل","مسودة"))))),"")</f>
        <v/>
      </c>
      <c r="Y26" s="32">
        <f>IF($A26=1,IF(AND($R26=1,OR(LG_Acct="",$G26=LG_Acct),OR(LG_Party="",$K26=LG_Party),OR(LG_Loc="ALL",$I26=LG_Loc),OR(LG_CC="ALL",$J26=LG_CC),$D26&gt;=LG_From,$D26&lt;=LG_To),$D26+ROW()/1000000,""),"")</f>
        <v/>
      </c>
      <c r="Z26" s="32">
        <f>IF($A26=1,IF(Sales_Daily!$T6="","",Sales_Daily!$T6),"")</f>
        <v/>
      </c>
      <c r="AA26" s="32">
        <f>IF($A26=1,IF(Sales_Daily!$U6="","",Sales_Daily!$U6),"")</f>
        <v/>
      </c>
      <c r="AB26" s="32">
        <f>IF($A26=1,IF(Sales_Daily!$V6="","",Sales_Daily!$V6),"")</f>
        <v/>
      </c>
      <c r="AC26" s="32">
        <f>IF($A26=1,IF(Sales_Daily!$W6="","",Sales_Daily!$W6),"")</f>
        <v/>
      </c>
      <c r="AD26" s="32">
        <f>IF($A26=1,IF(Sales_Daily!$X6="","",Sales_Daily!$X6),"")</f>
        <v/>
      </c>
      <c r="AE26" s="32">
        <f>IF($A26=1,0,"")</f>
        <v/>
      </c>
      <c r="AF26" s="32" t="inlineStr"/>
    </row>
    <row r="27">
      <c r="A27" s="32">
        <f>IF(AND(Sales_Daily!$AV6=1,N(Sales_Daily!$AE6)&gt;0),1,0)</f>
        <v/>
      </c>
      <c r="B27" s="32">
        <f>IF($A27=1,$E27&amp;"/10","")</f>
        <v/>
      </c>
      <c r="C27" s="32">
        <f>IF($A27=1,"J-"&amp;Sales_Daily!$A6,"")</f>
        <v/>
      </c>
      <c r="D27" s="33">
        <f>IF($A27=1,Sales_Daily!$B6,"")</f>
        <v/>
      </c>
      <c r="E27" s="32">
        <f>IF($A27=1,IF(Sales_Daily!$A6="","",Sales_Daily!$A6),"")</f>
        <v/>
      </c>
      <c r="F27" s="32">
        <f>IF($A27=1,"SAL","")</f>
        <v/>
      </c>
      <c r="G27" s="32">
        <f>IF($A27=1,IF(Sales_Daily!$AR6="","",Sales_Daily!$AR6),"")</f>
        <v/>
      </c>
      <c r="H27" s="32">
        <f>IF($A27=1,IF(COUNTIF(COA!$A:$A,$G27)=0,"حساب غير معرف",INDEX(COA!$B:$B,MATCH($G27,COA!$A:$A,0))),"")</f>
        <v/>
      </c>
      <c r="I27" s="32">
        <f>IF($A27=1,IF(Sales_Daily!$C6="","",Sales_Daily!$C6),"")</f>
        <v/>
      </c>
      <c r="J27" s="32">
        <f>IF($A27=1,"CC10","")</f>
        <v/>
      </c>
      <c r="K27" s="32">
        <f>IF($A27=1,"-","")</f>
        <v/>
      </c>
      <c r="L27" s="32">
        <f>IF($A27=1,"إيراد مبيعات - فئة بيتزا","")</f>
        <v/>
      </c>
      <c r="M27" s="43">
        <f>IF($A27=1,0,"")</f>
        <v/>
      </c>
      <c r="N27" s="43">
        <f>IF($A27=1,Sales_Daily!$AE6,"")</f>
        <v/>
      </c>
      <c r="O27" s="32">
        <f>IF($A27=1,Sales_Daily!$S6,"")</f>
        <v/>
      </c>
      <c r="P27" s="32">
        <f>IF($A27=1,IF(Sales_Daily!$AW6="","",Sales_Daily!$AW6),"")</f>
        <v/>
      </c>
      <c r="Q27" s="32">
        <f>IF($A27=1,Sales_Daily!$AY6,"")</f>
        <v/>
      </c>
      <c r="R27" s="32">
        <f>IF($A27=1,IF(AND($Q27=1,COUNTIFS(COA!$A:$A,$G27,COA!$R:$R,1)=1),1,0),"")</f>
        <v/>
      </c>
      <c r="S27" s="43">
        <f>IF($A27=1,IF($R27=1,N($M27),0),"")</f>
        <v/>
      </c>
      <c r="T27" s="43">
        <f>IF($A27=1,IF($R27=1,N($N27),0),"")</f>
        <v/>
      </c>
      <c r="U27" s="32">
        <f>IF($A27=1,YEAR($D27)*100+MONTH($D27),"")</f>
        <v/>
      </c>
      <c r="V27" s="32">
        <f>IF($A27=1,IF(COUNTIF(COA!$A:$A,$G27)=0,0,INDEX(COA!$H:$H,MATCH($G27,COA!$A:$A,0))),"")</f>
        <v/>
      </c>
      <c r="W27" s="32">
        <f>IF($A27=1,"","")</f>
        <v/>
      </c>
      <c r="X27" s="32">
        <f>IF($A27=1,IF($R27=1,"",IF($O27=ST_POST,IF($P27&lt;&gt;"",$P27,"حساب غير صالح أو غير نشط"),IF($O27=ST_REV,"معكوس: لا أثر على الدفاتر",IF($O27=ST_CANC,"ملغى",IF($O27=ST_APPR,"معتمد ولم يُرحَّل","مسودة"))))),"")</f>
        <v/>
      </c>
      <c r="Y27" s="32">
        <f>IF($A27=1,IF(AND($R27=1,OR(LG_Acct="",$G27=LG_Acct),OR(LG_Party="",$K27=LG_Party),OR(LG_Loc="ALL",$I27=LG_Loc),OR(LG_CC="ALL",$J27=LG_CC),$D27&gt;=LG_From,$D27&lt;=LG_To),$D27+ROW()/1000000,""),"")</f>
        <v/>
      </c>
      <c r="Z27" s="32">
        <f>IF($A27=1,IF(Sales_Daily!$T6="","",Sales_Daily!$T6),"")</f>
        <v/>
      </c>
      <c r="AA27" s="32">
        <f>IF($A27=1,IF(Sales_Daily!$U6="","",Sales_Daily!$U6),"")</f>
        <v/>
      </c>
      <c r="AB27" s="32">
        <f>IF($A27=1,IF(Sales_Daily!$V6="","",Sales_Daily!$V6),"")</f>
        <v/>
      </c>
      <c r="AC27" s="32">
        <f>IF($A27=1,IF(Sales_Daily!$W6="","",Sales_Daily!$W6),"")</f>
        <v/>
      </c>
      <c r="AD27" s="32">
        <f>IF($A27=1,IF(Sales_Daily!$X6="","",Sales_Daily!$X6),"")</f>
        <v/>
      </c>
      <c r="AE27" s="32">
        <f>IF($A27=1,0,"")</f>
        <v/>
      </c>
      <c r="AF27" s="32" t="inlineStr"/>
    </row>
    <row r="28">
      <c r="A28" s="32">
        <f>IF(AND(Sales_Daily!$AV6=1,N(Sales_Daily!$AF6)&gt;0),1,0)</f>
        <v/>
      </c>
      <c r="B28" s="32">
        <f>IF($A28=1,$E28&amp;"/11","")</f>
        <v/>
      </c>
      <c r="C28" s="32">
        <f>IF($A28=1,"J-"&amp;Sales_Daily!$A6,"")</f>
        <v/>
      </c>
      <c r="D28" s="33">
        <f>IF($A28=1,Sales_Daily!$B6,"")</f>
        <v/>
      </c>
      <c r="E28" s="32">
        <f>IF($A28=1,IF(Sales_Daily!$A6="","",Sales_Daily!$A6),"")</f>
        <v/>
      </c>
      <c r="F28" s="32">
        <f>IF($A28=1,"SAL","")</f>
        <v/>
      </c>
      <c r="G28" s="32">
        <f>IF($A28=1,IF(Sales_Daily!$AS6="","",Sales_Daily!$AS6),"")</f>
        <v/>
      </c>
      <c r="H28" s="32">
        <f>IF($A28=1,IF(COUNTIF(COA!$A:$A,$G28)=0,"حساب غير معرف",INDEX(COA!$B:$B,MATCH($G28,COA!$A:$A,0))),"")</f>
        <v/>
      </c>
      <c r="I28" s="32">
        <f>IF($A28=1,IF(Sales_Daily!$C6="","",Sales_Daily!$C6),"")</f>
        <v/>
      </c>
      <c r="J28" s="32">
        <f>IF($A28=1,"CC10","")</f>
        <v/>
      </c>
      <c r="K28" s="32">
        <f>IF($A28=1,"-","")</f>
        <v/>
      </c>
      <c r="L28" s="32">
        <f>IF($A28=1,"إيراد مبيعات - فئة مكرونات","")</f>
        <v/>
      </c>
      <c r="M28" s="43">
        <f>IF($A28=1,0,"")</f>
        <v/>
      </c>
      <c r="N28" s="43">
        <f>IF($A28=1,Sales_Daily!$AF6,"")</f>
        <v/>
      </c>
      <c r="O28" s="32">
        <f>IF($A28=1,Sales_Daily!$S6,"")</f>
        <v/>
      </c>
      <c r="P28" s="32">
        <f>IF($A28=1,IF(Sales_Daily!$AW6="","",Sales_Daily!$AW6),"")</f>
        <v/>
      </c>
      <c r="Q28" s="32">
        <f>IF($A28=1,Sales_Daily!$AY6,"")</f>
        <v/>
      </c>
      <c r="R28" s="32">
        <f>IF($A28=1,IF(AND($Q28=1,COUNTIFS(COA!$A:$A,$G28,COA!$R:$R,1)=1),1,0),"")</f>
        <v/>
      </c>
      <c r="S28" s="43">
        <f>IF($A28=1,IF($R28=1,N($M28),0),"")</f>
        <v/>
      </c>
      <c r="T28" s="43">
        <f>IF($A28=1,IF($R28=1,N($N28),0),"")</f>
        <v/>
      </c>
      <c r="U28" s="32">
        <f>IF($A28=1,YEAR($D28)*100+MONTH($D28),"")</f>
        <v/>
      </c>
      <c r="V28" s="32">
        <f>IF($A28=1,IF(COUNTIF(COA!$A:$A,$G28)=0,0,INDEX(COA!$H:$H,MATCH($G28,COA!$A:$A,0))),"")</f>
        <v/>
      </c>
      <c r="W28" s="32">
        <f>IF($A28=1,"","")</f>
        <v/>
      </c>
      <c r="X28" s="32">
        <f>IF($A28=1,IF($R28=1,"",IF($O28=ST_POST,IF($P28&lt;&gt;"",$P28,"حساب غير صالح أو غير نشط"),IF($O28=ST_REV,"معكوس: لا أثر على الدفاتر",IF($O28=ST_CANC,"ملغى",IF($O28=ST_APPR,"معتمد ولم يُرحَّل","مسودة"))))),"")</f>
        <v/>
      </c>
      <c r="Y28" s="32">
        <f>IF($A28=1,IF(AND($R28=1,OR(LG_Acct="",$G28=LG_Acct),OR(LG_Party="",$K28=LG_Party),OR(LG_Loc="ALL",$I28=LG_Loc),OR(LG_CC="ALL",$J28=LG_CC),$D28&gt;=LG_From,$D28&lt;=LG_To),$D28+ROW()/1000000,""),"")</f>
        <v/>
      </c>
      <c r="Z28" s="32">
        <f>IF($A28=1,IF(Sales_Daily!$T6="","",Sales_Daily!$T6),"")</f>
        <v/>
      </c>
      <c r="AA28" s="32">
        <f>IF($A28=1,IF(Sales_Daily!$U6="","",Sales_Daily!$U6),"")</f>
        <v/>
      </c>
      <c r="AB28" s="32">
        <f>IF($A28=1,IF(Sales_Daily!$V6="","",Sales_Daily!$V6),"")</f>
        <v/>
      </c>
      <c r="AC28" s="32">
        <f>IF($A28=1,IF(Sales_Daily!$W6="","",Sales_Daily!$W6),"")</f>
        <v/>
      </c>
      <c r="AD28" s="32">
        <f>IF($A28=1,IF(Sales_Daily!$X6="","",Sales_Daily!$X6),"")</f>
        <v/>
      </c>
      <c r="AE28" s="32">
        <f>IF($A28=1,0,"")</f>
        <v/>
      </c>
      <c r="AF28" s="32" t="inlineStr"/>
    </row>
    <row r="29">
      <c r="A29" s="32">
        <f>IF(AND(Sales_Daily!$AV6=1,N(Sales_Daily!$AG6)&gt;0),1,0)</f>
        <v/>
      </c>
      <c r="B29" s="32">
        <f>IF($A29=1,$E29&amp;"/12","")</f>
        <v/>
      </c>
      <c r="C29" s="32">
        <f>IF($A29=1,"J-"&amp;Sales_Daily!$A6,"")</f>
        <v/>
      </c>
      <c r="D29" s="33">
        <f>IF($A29=1,Sales_Daily!$B6,"")</f>
        <v/>
      </c>
      <c r="E29" s="32">
        <f>IF($A29=1,IF(Sales_Daily!$A6="","",Sales_Daily!$A6),"")</f>
        <v/>
      </c>
      <c r="F29" s="32">
        <f>IF($A29=1,"SAL","")</f>
        <v/>
      </c>
      <c r="G29" s="32">
        <f>IF($A29=1,IF(Sales_Daily!$AT6="","",Sales_Daily!$AT6),"")</f>
        <v/>
      </c>
      <c r="H29" s="32">
        <f>IF($A29=1,IF(COUNTIF(COA!$A:$A,$G29)=0,"حساب غير معرف",INDEX(COA!$B:$B,MATCH($G29,COA!$A:$A,0))),"")</f>
        <v/>
      </c>
      <c r="I29" s="32">
        <f>IF($A29=1,IF(Sales_Daily!$C6="","",Sales_Daily!$C6),"")</f>
        <v/>
      </c>
      <c r="J29" s="32">
        <f>IF($A29=1,"CC10","")</f>
        <v/>
      </c>
      <c r="K29" s="32">
        <f>IF($A29=1,"-","")</f>
        <v/>
      </c>
      <c r="L29" s="32">
        <f>IF($A29=1,"إيراد مبيعات - فئة أخرى","")</f>
        <v/>
      </c>
      <c r="M29" s="43">
        <f>IF($A29=1,0,"")</f>
        <v/>
      </c>
      <c r="N29" s="43">
        <f>IF($A29=1,Sales_Daily!$AG6,"")</f>
        <v/>
      </c>
      <c r="O29" s="32">
        <f>IF($A29=1,Sales_Daily!$S6,"")</f>
        <v/>
      </c>
      <c r="P29" s="32">
        <f>IF($A29=1,IF(Sales_Daily!$AW6="","",Sales_Daily!$AW6),"")</f>
        <v/>
      </c>
      <c r="Q29" s="32">
        <f>IF($A29=1,Sales_Daily!$AY6,"")</f>
        <v/>
      </c>
      <c r="R29" s="32">
        <f>IF($A29=1,IF(AND($Q29=1,COUNTIFS(COA!$A:$A,$G29,COA!$R:$R,1)=1),1,0),"")</f>
        <v/>
      </c>
      <c r="S29" s="43">
        <f>IF($A29=1,IF($R29=1,N($M29),0),"")</f>
        <v/>
      </c>
      <c r="T29" s="43">
        <f>IF($A29=1,IF($R29=1,N($N29),0),"")</f>
        <v/>
      </c>
      <c r="U29" s="32">
        <f>IF($A29=1,YEAR($D29)*100+MONTH($D29),"")</f>
        <v/>
      </c>
      <c r="V29" s="32">
        <f>IF($A29=1,IF(COUNTIF(COA!$A:$A,$G29)=0,0,INDEX(COA!$H:$H,MATCH($G29,COA!$A:$A,0))),"")</f>
        <v/>
      </c>
      <c r="W29" s="32">
        <f>IF($A29=1,"","")</f>
        <v/>
      </c>
      <c r="X29" s="32">
        <f>IF($A29=1,IF($R29=1,"",IF($O29=ST_POST,IF($P29&lt;&gt;"",$P29,"حساب غير صالح أو غير نشط"),IF($O29=ST_REV,"معكوس: لا أثر على الدفاتر",IF($O29=ST_CANC,"ملغى",IF($O29=ST_APPR,"معتمد ولم يُرحَّل","مسودة"))))),"")</f>
        <v/>
      </c>
      <c r="Y29" s="32">
        <f>IF($A29=1,IF(AND($R29=1,OR(LG_Acct="",$G29=LG_Acct),OR(LG_Party="",$K29=LG_Party),OR(LG_Loc="ALL",$I29=LG_Loc),OR(LG_CC="ALL",$J29=LG_CC),$D29&gt;=LG_From,$D29&lt;=LG_To),$D29+ROW()/1000000,""),"")</f>
        <v/>
      </c>
      <c r="Z29" s="32">
        <f>IF($A29=1,IF(Sales_Daily!$T6="","",Sales_Daily!$T6),"")</f>
        <v/>
      </c>
      <c r="AA29" s="32">
        <f>IF($A29=1,IF(Sales_Daily!$U6="","",Sales_Daily!$U6),"")</f>
        <v/>
      </c>
      <c r="AB29" s="32">
        <f>IF($A29=1,IF(Sales_Daily!$V6="","",Sales_Daily!$V6),"")</f>
        <v/>
      </c>
      <c r="AC29" s="32">
        <f>IF($A29=1,IF(Sales_Daily!$W6="","",Sales_Daily!$W6),"")</f>
        <v/>
      </c>
      <c r="AD29" s="32">
        <f>IF($A29=1,IF(Sales_Daily!$X6="","",Sales_Daily!$X6),"")</f>
        <v/>
      </c>
      <c r="AE29" s="32">
        <f>IF($A29=1,0,"")</f>
        <v/>
      </c>
      <c r="AF29" s="32" t="inlineStr"/>
    </row>
    <row r="30">
      <c r="A30" s="32">
        <f>IF(AND(Sales_Daily!$AV6=1,N(Sales_Daily!$AJ6)&gt;0),1,0)</f>
        <v/>
      </c>
      <c r="B30" s="32">
        <f>IF($A30=1,$E30&amp;"/13","")</f>
        <v/>
      </c>
      <c r="C30" s="32">
        <f>IF($A30=1,"J-"&amp;Sales_Daily!$A6,"")</f>
        <v/>
      </c>
      <c r="D30" s="33">
        <f>IF($A30=1,Sales_Daily!$B6,"")</f>
        <v/>
      </c>
      <c r="E30" s="32">
        <f>IF($A30=1,IF(Sales_Daily!$A6="","",Sales_Daily!$A6),"")</f>
        <v/>
      </c>
      <c r="F30" s="32">
        <f>IF($A30=1,"SAL","")</f>
        <v/>
      </c>
      <c r="G30" s="32">
        <f>IF($A30=1,ACC_VAT_OUT,"")</f>
        <v/>
      </c>
      <c r="H30" s="32">
        <f>IF($A30=1,IF(COUNTIF(COA!$A:$A,$G30)=0,"حساب غير معرف",INDEX(COA!$B:$B,MATCH($G30,COA!$A:$A,0))),"")</f>
        <v/>
      </c>
      <c r="I30" s="32">
        <f>IF($A30=1,IF(Sales_Daily!$C6="","",Sales_Daily!$C6),"")</f>
        <v/>
      </c>
      <c r="J30" s="32">
        <f>IF($A30=1,"CC10","")</f>
        <v/>
      </c>
      <c r="K30" s="32">
        <f>IF($A30=1,"-","")</f>
        <v/>
      </c>
      <c r="L30" s="32">
        <f>IF($A30=1,"ضريبة القيمة المضافة - مخرجات","")</f>
        <v/>
      </c>
      <c r="M30" s="43">
        <f>IF($A30=1,0,"")</f>
        <v/>
      </c>
      <c r="N30" s="43">
        <f>IF($A30=1,Sales_Daily!$AJ6,"")</f>
        <v/>
      </c>
      <c r="O30" s="32">
        <f>IF($A30=1,Sales_Daily!$S6,"")</f>
        <v/>
      </c>
      <c r="P30" s="32">
        <f>IF($A30=1,IF(Sales_Daily!$AW6="","",Sales_Daily!$AW6),"")</f>
        <v/>
      </c>
      <c r="Q30" s="32">
        <f>IF($A30=1,Sales_Daily!$AY6,"")</f>
        <v/>
      </c>
      <c r="R30" s="32">
        <f>IF($A30=1,IF(AND($Q30=1,COUNTIFS(COA!$A:$A,$G30,COA!$R:$R,1)=1),1,0),"")</f>
        <v/>
      </c>
      <c r="S30" s="43">
        <f>IF($A30=1,IF($R30=1,N($M30),0),"")</f>
        <v/>
      </c>
      <c r="T30" s="43">
        <f>IF($A30=1,IF($R30=1,N($N30),0),"")</f>
        <v/>
      </c>
      <c r="U30" s="32">
        <f>IF($A30=1,YEAR($D30)*100+MONTH($D30),"")</f>
        <v/>
      </c>
      <c r="V30" s="32">
        <f>IF($A30=1,IF(COUNTIF(COA!$A:$A,$G30)=0,0,INDEX(COA!$H:$H,MATCH($G30,COA!$A:$A,0))),"")</f>
        <v/>
      </c>
      <c r="W30" s="32">
        <f>IF($A30=1,"","")</f>
        <v/>
      </c>
      <c r="X30" s="32">
        <f>IF($A30=1,IF($R30=1,"",IF($O30=ST_POST,IF($P30&lt;&gt;"",$P30,"حساب غير صالح أو غير نشط"),IF($O30=ST_REV,"معكوس: لا أثر على الدفاتر",IF($O30=ST_CANC,"ملغى",IF($O30=ST_APPR,"معتمد ولم يُرحَّل","مسودة"))))),"")</f>
        <v/>
      </c>
      <c r="Y30" s="32">
        <f>IF($A30=1,IF(AND($R30=1,OR(LG_Acct="",$G30=LG_Acct),OR(LG_Party="",$K30=LG_Party),OR(LG_Loc="ALL",$I30=LG_Loc),OR(LG_CC="ALL",$J30=LG_CC),$D30&gt;=LG_From,$D30&lt;=LG_To),$D30+ROW()/1000000,""),"")</f>
        <v/>
      </c>
      <c r="Z30" s="32">
        <f>IF($A30=1,IF(Sales_Daily!$T6="","",Sales_Daily!$T6),"")</f>
        <v/>
      </c>
      <c r="AA30" s="32">
        <f>IF($A30=1,IF(Sales_Daily!$U6="","",Sales_Daily!$U6),"")</f>
        <v/>
      </c>
      <c r="AB30" s="32">
        <f>IF($A30=1,IF(Sales_Daily!$V6="","",Sales_Daily!$V6),"")</f>
        <v/>
      </c>
      <c r="AC30" s="32">
        <f>IF($A30=1,IF(Sales_Daily!$W6="","",Sales_Daily!$W6),"")</f>
        <v/>
      </c>
      <c r="AD30" s="32">
        <f>IF($A30=1,IF(Sales_Daily!$X6="","",Sales_Daily!$X6),"")</f>
        <v/>
      </c>
      <c r="AE30" s="32">
        <f>IF($A30=1,0,"")</f>
        <v/>
      </c>
      <c r="AF30" s="32" t="inlineStr"/>
    </row>
    <row r="31">
      <c r="A31" s="32">
        <f>IF(AND(Sales_Daily!$AV7=1,N(Sales_Daily!$L7)&gt;0),1,0)</f>
        <v/>
      </c>
      <c r="B31" s="32">
        <f>IF($A31=1,$E31&amp;"/1","")</f>
        <v/>
      </c>
      <c r="C31" s="32">
        <f>IF($A31=1,"J-"&amp;Sales_Daily!$A7,"")</f>
        <v/>
      </c>
      <c r="D31" s="33">
        <f>IF($A31=1,Sales_Daily!$B7,"")</f>
        <v/>
      </c>
      <c r="E31" s="32">
        <f>IF($A31=1,IF(Sales_Daily!$A7="","",Sales_Daily!$A7),"")</f>
        <v/>
      </c>
      <c r="F31" s="32">
        <f>IF($A31=1,"SAL","")</f>
        <v/>
      </c>
      <c r="G31" s="32">
        <f>IF($A31=1,IF(Sales_Daily!$AK7="","",Sales_Daily!$AK7),"")</f>
        <v/>
      </c>
      <c r="H31" s="32">
        <f>IF($A31=1,IF(COUNTIF(COA!$A:$A,$G31)=0,"حساب غير معرف",INDEX(COA!$B:$B,MATCH($G31,COA!$A:$A,0))),"")</f>
        <v/>
      </c>
      <c r="I31" s="32">
        <f>IF($A31=1,IF(Sales_Daily!$C7="","",Sales_Daily!$C7),"")</f>
        <v/>
      </c>
      <c r="J31" s="32">
        <f>IF($A31=1,"CC10","")</f>
        <v/>
      </c>
      <c r="K31" s="32">
        <f>IF($A31=1,"-","")</f>
        <v/>
      </c>
      <c r="L31" s="32">
        <f>IF($A31=1,"مبيعات - تحصيل CASH","")</f>
        <v/>
      </c>
      <c r="M31" s="43">
        <f>IF($A31=1,Sales_Daily!$L7,"")</f>
        <v/>
      </c>
      <c r="N31" s="43">
        <f>IF($A31=1,0,"")</f>
        <v/>
      </c>
      <c r="O31" s="32">
        <f>IF($A31=1,Sales_Daily!$S7,"")</f>
        <v/>
      </c>
      <c r="P31" s="32">
        <f>IF($A31=1,IF(Sales_Daily!$AW7="","",Sales_Daily!$AW7),"")</f>
        <v/>
      </c>
      <c r="Q31" s="32">
        <f>IF($A31=1,Sales_Daily!$AY7,"")</f>
        <v/>
      </c>
      <c r="R31" s="32">
        <f>IF($A31=1,IF(AND($Q31=1,COUNTIFS(COA!$A:$A,$G31,COA!$R:$R,1)=1),1,0),"")</f>
        <v/>
      </c>
      <c r="S31" s="43">
        <f>IF($A31=1,IF($R31=1,N($M31),0),"")</f>
        <v/>
      </c>
      <c r="T31" s="43">
        <f>IF($A31=1,IF($R31=1,N($N31),0),"")</f>
        <v/>
      </c>
      <c r="U31" s="32">
        <f>IF($A31=1,YEAR($D31)*100+MONTH($D31),"")</f>
        <v/>
      </c>
      <c r="V31" s="32">
        <f>IF($A31=1,IF(COUNTIF(COA!$A:$A,$G31)=0,0,INDEX(COA!$H:$H,MATCH($G31,COA!$A:$A,0))),"")</f>
        <v/>
      </c>
      <c r="W31" s="32">
        <f>IF($A31=1,"OPERATING","")</f>
        <v/>
      </c>
      <c r="X31" s="32">
        <f>IF($A31=1,IF($R31=1,"",IF($O31=ST_POST,IF($P31&lt;&gt;"",$P31,"حساب غير صالح أو غير نشط"),IF($O31=ST_REV,"معكوس: لا أثر على الدفاتر",IF($O31=ST_CANC,"ملغى",IF($O31=ST_APPR,"معتمد ولم يُرحَّل","مسودة"))))),"")</f>
        <v/>
      </c>
      <c r="Y31" s="32">
        <f>IF($A31=1,IF(AND($R31=1,OR(LG_Acct="",$G31=LG_Acct),OR(LG_Party="",$K31=LG_Party),OR(LG_Loc="ALL",$I31=LG_Loc),OR(LG_CC="ALL",$J31=LG_CC),$D31&gt;=LG_From,$D31&lt;=LG_To),$D31+ROW()/1000000,""),"")</f>
        <v/>
      </c>
      <c r="Z31" s="32">
        <f>IF($A31=1,IF(Sales_Daily!$T7="","",Sales_Daily!$T7),"")</f>
        <v/>
      </c>
      <c r="AA31" s="32">
        <f>IF($A31=1,IF(Sales_Daily!$U7="","",Sales_Daily!$U7),"")</f>
        <v/>
      </c>
      <c r="AB31" s="32">
        <f>IF($A31=1,IF(Sales_Daily!$V7="","",Sales_Daily!$V7),"")</f>
        <v/>
      </c>
      <c r="AC31" s="32">
        <f>IF($A31=1,IF(Sales_Daily!$W7="","",Sales_Daily!$W7),"")</f>
        <v/>
      </c>
      <c r="AD31" s="32">
        <f>IF($A31=1,IF(Sales_Daily!$X7="","",Sales_Daily!$X7),"")</f>
        <v/>
      </c>
      <c r="AE31" s="32">
        <f>IF($A31=1,0,"")</f>
        <v/>
      </c>
      <c r="AF31" s="32" t="inlineStr"/>
    </row>
    <row r="32">
      <c r="A32" s="32">
        <f>IF(AND(Sales_Daily!$AV7=1,N(Sales_Daily!$M7)&gt;0),1,0)</f>
        <v/>
      </c>
      <c r="B32" s="32">
        <f>IF($A32=1,$E32&amp;"/2","")</f>
        <v/>
      </c>
      <c r="C32" s="32">
        <f>IF($A32=1,"J-"&amp;Sales_Daily!$A7,"")</f>
        <v/>
      </c>
      <c r="D32" s="33">
        <f>IF($A32=1,Sales_Daily!$B7,"")</f>
        <v/>
      </c>
      <c r="E32" s="32">
        <f>IF($A32=1,IF(Sales_Daily!$A7="","",Sales_Daily!$A7),"")</f>
        <v/>
      </c>
      <c r="F32" s="32">
        <f>IF($A32=1,"SAL","")</f>
        <v/>
      </c>
      <c r="G32" s="32">
        <f>IF($A32=1,IF(Sales_Daily!$AL7="","",Sales_Daily!$AL7),"")</f>
        <v/>
      </c>
      <c r="H32" s="32">
        <f>IF($A32=1,IF(COUNTIF(COA!$A:$A,$G32)=0,"حساب غير معرف",INDEX(COA!$B:$B,MATCH($G32,COA!$A:$A,0))),"")</f>
        <v/>
      </c>
      <c r="I32" s="32">
        <f>IF($A32=1,IF(Sales_Daily!$C7="","",Sales_Daily!$C7),"")</f>
        <v/>
      </c>
      <c r="J32" s="32">
        <f>IF($A32=1,"CC10","")</f>
        <v/>
      </c>
      <c r="K32" s="32">
        <f>IF($A32=1,"-","")</f>
        <v/>
      </c>
      <c r="L32" s="32">
        <f>IF($A32=1,"مبيعات - تحصيل CARD","")</f>
        <v/>
      </c>
      <c r="M32" s="43">
        <f>IF($A32=1,Sales_Daily!$M7,"")</f>
        <v/>
      </c>
      <c r="N32" s="43">
        <f>IF($A32=1,0,"")</f>
        <v/>
      </c>
      <c r="O32" s="32">
        <f>IF($A32=1,Sales_Daily!$S7,"")</f>
        <v/>
      </c>
      <c r="P32" s="32">
        <f>IF($A32=1,IF(Sales_Daily!$AW7="","",Sales_Daily!$AW7),"")</f>
        <v/>
      </c>
      <c r="Q32" s="32">
        <f>IF($A32=1,Sales_Daily!$AY7,"")</f>
        <v/>
      </c>
      <c r="R32" s="32">
        <f>IF($A32=1,IF(AND($Q32=1,COUNTIFS(COA!$A:$A,$G32,COA!$R:$R,1)=1),1,0),"")</f>
        <v/>
      </c>
      <c r="S32" s="43">
        <f>IF($A32=1,IF($R32=1,N($M32),0),"")</f>
        <v/>
      </c>
      <c r="T32" s="43">
        <f>IF($A32=1,IF($R32=1,N($N32),0),"")</f>
        <v/>
      </c>
      <c r="U32" s="32">
        <f>IF($A32=1,YEAR($D32)*100+MONTH($D32),"")</f>
        <v/>
      </c>
      <c r="V32" s="32">
        <f>IF($A32=1,IF(COUNTIF(COA!$A:$A,$G32)=0,0,INDEX(COA!$H:$H,MATCH($G32,COA!$A:$A,0))),"")</f>
        <v/>
      </c>
      <c r="W32" s="32">
        <f>IF($A32=1,"OPERATING","")</f>
        <v/>
      </c>
      <c r="X32" s="32">
        <f>IF($A32=1,IF($R32=1,"",IF($O32=ST_POST,IF($P32&lt;&gt;"",$P32,"حساب غير صالح أو غير نشط"),IF($O32=ST_REV,"معكوس: لا أثر على الدفاتر",IF($O32=ST_CANC,"ملغى",IF($O32=ST_APPR,"معتمد ولم يُرحَّل","مسودة"))))),"")</f>
        <v/>
      </c>
      <c r="Y32" s="32">
        <f>IF($A32=1,IF(AND($R32=1,OR(LG_Acct="",$G32=LG_Acct),OR(LG_Party="",$K32=LG_Party),OR(LG_Loc="ALL",$I32=LG_Loc),OR(LG_CC="ALL",$J32=LG_CC),$D32&gt;=LG_From,$D32&lt;=LG_To),$D32+ROW()/1000000,""),"")</f>
        <v/>
      </c>
      <c r="Z32" s="32">
        <f>IF($A32=1,IF(Sales_Daily!$T7="","",Sales_Daily!$T7),"")</f>
        <v/>
      </c>
      <c r="AA32" s="32">
        <f>IF($A32=1,IF(Sales_Daily!$U7="","",Sales_Daily!$U7),"")</f>
        <v/>
      </c>
      <c r="AB32" s="32">
        <f>IF($A32=1,IF(Sales_Daily!$V7="","",Sales_Daily!$V7),"")</f>
        <v/>
      </c>
      <c r="AC32" s="32">
        <f>IF($A32=1,IF(Sales_Daily!$W7="","",Sales_Daily!$W7),"")</f>
        <v/>
      </c>
      <c r="AD32" s="32">
        <f>IF($A32=1,IF(Sales_Daily!$X7="","",Sales_Daily!$X7),"")</f>
        <v/>
      </c>
      <c r="AE32" s="32">
        <f>IF($A32=1,0,"")</f>
        <v/>
      </c>
      <c r="AF32" s="32" t="inlineStr"/>
    </row>
    <row r="33">
      <c r="A33" s="32">
        <f>IF(AND(Sales_Daily!$AV7=1,N(Sales_Daily!$N7)&gt;0),1,0)</f>
        <v/>
      </c>
      <c r="B33" s="32">
        <f>IF($A33=1,$E33&amp;"/3","")</f>
        <v/>
      </c>
      <c r="C33" s="32">
        <f>IF($A33=1,"J-"&amp;Sales_Daily!$A7,"")</f>
        <v/>
      </c>
      <c r="D33" s="33">
        <f>IF($A33=1,Sales_Daily!$B7,"")</f>
        <v/>
      </c>
      <c r="E33" s="32">
        <f>IF($A33=1,IF(Sales_Daily!$A7="","",Sales_Daily!$A7),"")</f>
        <v/>
      </c>
      <c r="F33" s="32">
        <f>IF($A33=1,"SAL","")</f>
        <v/>
      </c>
      <c r="G33" s="32">
        <f>IF($A33=1,IF(Sales_Daily!$AM7="","",Sales_Daily!$AM7),"")</f>
        <v/>
      </c>
      <c r="H33" s="32">
        <f>IF($A33=1,IF(COUNTIF(COA!$A:$A,$G33)=0,"حساب غير معرف",INDEX(COA!$B:$B,MATCH($G33,COA!$A:$A,0))),"")</f>
        <v/>
      </c>
      <c r="I33" s="32">
        <f>IF($A33=1,IF(Sales_Daily!$C7="","",Sales_Daily!$C7),"")</f>
        <v/>
      </c>
      <c r="J33" s="32">
        <f>IF($A33=1,"CC10","")</f>
        <v/>
      </c>
      <c r="K33" s="32">
        <f>IF($A33=1,"-","")</f>
        <v/>
      </c>
      <c r="L33" s="32">
        <f>IF($A33=1,"مبيعات - تحصيل TLB","")</f>
        <v/>
      </c>
      <c r="M33" s="43">
        <f>IF($A33=1,Sales_Daily!$N7,"")</f>
        <v/>
      </c>
      <c r="N33" s="43">
        <f>IF($A33=1,0,"")</f>
        <v/>
      </c>
      <c r="O33" s="32">
        <f>IF($A33=1,Sales_Daily!$S7,"")</f>
        <v/>
      </c>
      <c r="P33" s="32">
        <f>IF($A33=1,IF(Sales_Daily!$AW7="","",Sales_Daily!$AW7),"")</f>
        <v/>
      </c>
      <c r="Q33" s="32">
        <f>IF($A33=1,Sales_Daily!$AY7,"")</f>
        <v/>
      </c>
      <c r="R33" s="32">
        <f>IF($A33=1,IF(AND($Q33=1,COUNTIFS(COA!$A:$A,$G33,COA!$R:$R,1)=1),1,0),"")</f>
        <v/>
      </c>
      <c r="S33" s="43">
        <f>IF($A33=1,IF($R33=1,N($M33),0),"")</f>
        <v/>
      </c>
      <c r="T33" s="43">
        <f>IF($A33=1,IF($R33=1,N($N33),0),"")</f>
        <v/>
      </c>
      <c r="U33" s="32">
        <f>IF($A33=1,YEAR($D33)*100+MONTH($D33),"")</f>
        <v/>
      </c>
      <c r="V33" s="32">
        <f>IF($A33=1,IF(COUNTIF(COA!$A:$A,$G33)=0,0,INDEX(COA!$H:$H,MATCH($G33,COA!$A:$A,0))),"")</f>
        <v/>
      </c>
      <c r="W33" s="32">
        <f>IF($A33=1,"OPERATING","")</f>
        <v/>
      </c>
      <c r="X33" s="32">
        <f>IF($A33=1,IF($R33=1,"",IF($O33=ST_POST,IF($P33&lt;&gt;"",$P33,"حساب غير صالح أو غير نشط"),IF($O33=ST_REV,"معكوس: لا أثر على الدفاتر",IF($O33=ST_CANC,"ملغى",IF($O33=ST_APPR,"معتمد ولم يُرحَّل","مسودة"))))),"")</f>
        <v/>
      </c>
      <c r="Y33" s="32">
        <f>IF($A33=1,IF(AND($R33=1,OR(LG_Acct="",$G33=LG_Acct),OR(LG_Party="",$K33=LG_Party),OR(LG_Loc="ALL",$I33=LG_Loc),OR(LG_CC="ALL",$J33=LG_CC),$D33&gt;=LG_From,$D33&lt;=LG_To),$D33+ROW()/1000000,""),"")</f>
        <v/>
      </c>
      <c r="Z33" s="32">
        <f>IF($A33=1,IF(Sales_Daily!$T7="","",Sales_Daily!$T7),"")</f>
        <v/>
      </c>
      <c r="AA33" s="32">
        <f>IF($A33=1,IF(Sales_Daily!$U7="","",Sales_Daily!$U7),"")</f>
        <v/>
      </c>
      <c r="AB33" s="32">
        <f>IF($A33=1,IF(Sales_Daily!$V7="","",Sales_Daily!$V7),"")</f>
        <v/>
      </c>
      <c r="AC33" s="32">
        <f>IF($A33=1,IF(Sales_Daily!$W7="","",Sales_Daily!$W7),"")</f>
        <v/>
      </c>
      <c r="AD33" s="32">
        <f>IF($A33=1,IF(Sales_Daily!$X7="","",Sales_Daily!$X7),"")</f>
        <v/>
      </c>
      <c r="AE33" s="32">
        <f>IF($A33=1,0,"")</f>
        <v/>
      </c>
      <c r="AF33" s="32" t="inlineStr"/>
    </row>
    <row r="34">
      <c r="A34" s="32">
        <f>IF(AND(Sales_Daily!$AV7=1,N(Sales_Daily!$O7)&gt;0),1,0)</f>
        <v/>
      </c>
      <c r="B34" s="32">
        <f>IF($A34=1,$E34&amp;"/4","")</f>
        <v/>
      </c>
      <c r="C34" s="32">
        <f>IF($A34=1,"J-"&amp;Sales_Daily!$A7,"")</f>
        <v/>
      </c>
      <c r="D34" s="33">
        <f>IF($A34=1,Sales_Daily!$B7,"")</f>
        <v/>
      </c>
      <c r="E34" s="32">
        <f>IF($A34=1,IF(Sales_Daily!$A7="","",Sales_Daily!$A7),"")</f>
        <v/>
      </c>
      <c r="F34" s="32">
        <f>IF($A34=1,"SAL","")</f>
        <v/>
      </c>
      <c r="G34" s="32">
        <f>IF($A34=1,IF(Sales_Daily!$AN7="","",Sales_Daily!$AN7),"")</f>
        <v/>
      </c>
      <c r="H34" s="32">
        <f>IF($A34=1,IF(COUNTIF(COA!$A:$A,$G34)=0,"حساب غير معرف",INDEX(COA!$B:$B,MATCH($G34,COA!$A:$A,0))),"")</f>
        <v/>
      </c>
      <c r="I34" s="32">
        <f>IF($A34=1,IF(Sales_Daily!$C7="","",Sales_Daily!$C7),"")</f>
        <v/>
      </c>
      <c r="J34" s="32">
        <f>IF($A34=1,"CC10","")</f>
        <v/>
      </c>
      <c r="K34" s="32">
        <f>IF($A34=1,"-","")</f>
        <v/>
      </c>
      <c r="L34" s="32">
        <f>IF($A34=1,"مبيعات - تحصيل DLV2","")</f>
        <v/>
      </c>
      <c r="M34" s="43">
        <f>IF($A34=1,Sales_Daily!$O7,"")</f>
        <v/>
      </c>
      <c r="N34" s="43">
        <f>IF($A34=1,0,"")</f>
        <v/>
      </c>
      <c r="O34" s="32">
        <f>IF($A34=1,Sales_Daily!$S7,"")</f>
        <v/>
      </c>
      <c r="P34" s="32">
        <f>IF($A34=1,IF(Sales_Daily!$AW7="","",Sales_Daily!$AW7),"")</f>
        <v/>
      </c>
      <c r="Q34" s="32">
        <f>IF($A34=1,Sales_Daily!$AY7,"")</f>
        <v/>
      </c>
      <c r="R34" s="32">
        <f>IF($A34=1,IF(AND($Q34=1,COUNTIFS(COA!$A:$A,$G34,COA!$R:$R,1)=1),1,0),"")</f>
        <v/>
      </c>
      <c r="S34" s="43">
        <f>IF($A34=1,IF($R34=1,N($M34),0),"")</f>
        <v/>
      </c>
      <c r="T34" s="43">
        <f>IF($A34=1,IF($R34=1,N($N34),0),"")</f>
        <v/>
      </c>
      <c r="U34" s="32">
        <f>IF($A34=1,YEAR($D34)*100+MONTH($D34),"")</f>
        <v/>
      </c>
      <c r="V34" s="32">
        <f>IF($A34=1,IF(COUNTIF(COA!$A:$A,$G34)=0,0,INDEX(COA!$H:$H,MATCH($G34,COA!$A:$A,0))),"")</f>
        <v/>
      </c>
      <c r="W34" s="32">
        <f>IF($A34=1,"OPERATING","")</f>
        <v/>
      </c>
      <c r="X34" s="32">
        <f>IF($A34=1,IF($R34=1,"",IF($O34=ST_POST,IF($P34&lt;&gt;"",$P34,"حساب غير صالح أو غير نشط"),IF($O34=ST_REV,"معكوس: لا أثر على الدفاتر",IF($O34=ST_CANC,"ملغى",IF($O34=ST_APPR,"معتمد ولم يُرحَّل","مسودة"))))),"")</f>
        <v/>
      </c>
      <c r="Y34" s="32">
        <f>IF($A34=1,IF(AND($R34=1,OR(LG_Acct="",$G34=LG_Acct),OR(LG_Party="",$K34=LG_Party),OR(LG_Loc="ALL",$I34=LG_Loc),OR(LG_CC="ALL",$J34=LG_CC),$D34&gt;=LG_From,$D34&lt;=LG_To),$D34+ROW()/1000000,""),"")</f>
        <v/>
      </c>
      <c r="Z34" s="32">
        <f>IF($A34=1,IF(Sales_Daily!$T7="","",Sales_Daily!$T7),"")</f>
        <v/>
      </c>
      <c r="AA34" s="32">
        <f>IF($A34=1,IF(Sales_Daily!$U7="","",Sales_Daily!$U7),"")</f>
        <v/>
      </c>
      <c r="AB34" s="32">
        <f>IF($A34=1,IF(Sales_Daily!$V7="","",Sales_Daily!$V7),"")</f>
        <v/>
      </c>
      <c r="AC34" s="32">
        <f>IF($A34=1,IF(Sales_Daily!$W7="","",Sales_Daily!$W7),"")</f>
        <v/>
      </c>
      <c r="AD34" s="32">
        <f>IF($A34=1,IF(Sales_Daily!$X7="","",Sales_Daily!$X7),"")</f>
        <v/>
      </c>
      <c r="AE34" s="32">
        <f>IF($A34=1,0,"")</f>
        <v/>
      </c>
      <c r="AF34" s="32" t="inlineStr"/>
    </row>
    <row r="35">
      <c r="A35" s="32">
        <f>IF(AND(Sales_Daily!$AV7=1,N(Sales_Daily!$P7)&gt;0),1,0)</f>
        <v/>
      </c>
      <c r="B35" s="32">
        <f>IF($A35=1,$E35&amp;"/5","")</f>
        <v/>
      </c>
      <c r="C35" s="32">
        <f>IF($A35=1,"J-"&amp;Sales_Daily!$A7,"")</f>
        <v/>
      </c>
      <c r="D35" s="33">
        <f>IF($A35=1,Sales_Daily!$B7,"")</f>
        <v/>
      </c>
      <c r="E35" s="32">
        <f>IF($A35=1,IF(Sales_Daily!$A7="","",Sales_Daily!$A7),"")</f>
        <v/>
      </c>
      <c r="F35" s="32">
        <f>IF($A35=1,"SAL","")</f>
        <v/>
      </c>
      <c r="G35" s="32">
        <f>IF($A35=1,IF(Sales_Daily!$AO7="","",Sales_Daily!$AO7),"")</f>
        <v/>
      </c>
      <c r="H35" s="32">
        <f>IF($A35=1,IF(COUNTIF(COA!$A:$A,$G35)=0,"حساب غير معرف",INDEX(COA!$B:$B,MATCH($G35,COA!$A:$A,0))),"")</f>
        <v/>
      </c>
      <c r="I35" s="32">
        <f>IF($A35=1,IF(Sales_Daily!$C7="","",Sales_Daily!$C7),"")</f>
        <v/>
      </c>
      <c r="J35" s="32">
        <f>IF($A35=1,"CC10","")</f>
        <v/>
      </c>
      <c r="K35" s="32">
        <f>IF($A35=1,"-","")</f>
        <v/>
      </c>
      <c r="L35" s="32">
        <f>IF($A35=1,"مبيعات - تحصيل INSTA","")</f>
        <v/>
      </c>
      <c r="M35" s="43">
        <f>IF($A35=1,Sales_Daily!$P7,"")</f>
        <v/>
      </c>
      <c r="N35" s="43">
        <f>IF($A35=1,0,"")</f>
        <v/>
      </c>
      <c r="O35" s="32">
        <f>IF($A35=1,Sales_Daily!$S7,"")</f>
        <v/>
      </c>
      <c r="P35" s="32">
        <f>IF($A35=1,IF(Sales_Daily!$AW7="","",Sales_Daily!$AW7),"")</f>
        <v/>
      </c>
      <c r="Q35" s="32">
        <f>IF($A35=1,Sales_Daily!$AY7,"")</f>
        <v/>
      </c>
      <c r="R35" s="32">
        <f>IF($A35=1,IF(AND($Q35=1,COUNTIFS(COA!$A:$A,$G35,COA!$R:$R,1)=1),1,0),"")</f>
        <v/>
      </c>
      <c r="S35" s="43">
        <f>IF($A35=1,IF($R35=1,N($M35),0),"")</f>
        <v/>
      </c>
      <c r="T35" s="43">
        <f>IF($A35=1,IF($R35=1,N($N35),0),"")</f>
        <v/>
      </c>
      <c r="U35" s="32">
        <f>IF($A35=1,YEAR($D35)*100+MONTH($D35),"")</f>
        <v/>
      </c>
      <c r="V35" s="32">
        <f>IF($A35=1,IF(COUNTIF(COA!$A:$A,$G35)=0,0,INDEX(COA!$H:$H,MATCH($G35,COA!$A:$A,0))),"")</f>
        <v/>
      </c>
      <c r="W35" s="32">
        <f>IF($A35=1,"OPERATING","")</f>
        <v/>
      </c>
      <c r="X35" s="32">
        <f>IF($A35=1,IF($R35=1,"",IF($O35=ST_POST,IF($P35&lt;&gt;"",$P35,"حساب غير صالح أو غير نشط"),IF($O35=ST_REV,"معكوس: لا أثر على الدفاتر",IF($O35=ST_CANC,"ملغى",IF($O35=ST_APPR,"معتمد ولم يُرحَّل","مسودة"))))),"")</f>
        <v/>
      </c>
      <c r="Y35" s="32">
        <f>IF($A35=1,IF(AND($R35=1,OR(LG_Acct="",$G35=LG_Acct),OR(LG_Party="",$K35=LG_Party),OR(LG_Loc="ALL",$I35=LG_Loc),OR(LG_CC="ALL",$J35=LG_CC),$D35&gt;=LG_From,$D35&lt;=LG_To),$D35+ROW()/1000000,""),"")</f>
        <v/>
      </c>
      <c r="Z35" s="32">
        <f>IF($A35=1,IF(Sales_Daily!$T7="","",Sales_Daily!$T7),"")</f>
        <v/>
      </c>
      <c r="AA35" s="32">
        <f>IF($A35=1,IF(Sales_Daily!$U7="","",Sales_Daily!$U7),"")</f>
        <v/>
      </c>
      <c r="AB35" s="32">
        <f>IF($A35=1,IF(Sales_Daily!$V7="","",Sales_Daily!$V7),"")</f>
        <v/>
      </c>
      <c r="AC35" s="32">
        <f>IF($A35=1,IF(Sales_Daily!$W7="","",Sales_Daily!$W7),"")</f>
        <v/>
      </c>
      <c r="AD35" s="32">
        <f>IF($A35=1,IF(Sales_Daily!$X7="","",Sales_Daily!$X7),"")</f>
        <v/>
      </c>
      <c r="AE35" s="32">
        <f>IF($A35=1,0,"")</f>
        <v/>
      </c>
      <c r="AF35" s="32" t="inlineStr"/>
    </row>
    <row r="36">
      <c r="A36" s="32">
        <f>IF(AND(Sales_Daily!$AV7=1,N(Sales_Daily!$Q7)&gt;0),1,0)</f>
        <v/>
      </c>
      <c r="B36" s="32">
        <f>IF($A36=1,$E36&amp;"/6","")</f>
        <v/>
      </c>
      <c r="C36" s="32">
        <f>IF($A36=1,"J-"&amp;Sales_Daily!$A7,"")</f>
        <v/>
      </c>
      <c r="D36" s="33">
        <f>IF($A36=1,Sales_Daily!$B7,"")</f>
        <v/>
      </c>
      <c r="E36" s="32">
        <f>IF($A36=1,IF(Sales_Daily!$A7="","",Sales_Daily!$A7),"")</f>
        <v/>
      </c>
      <c r="F36" s="32">
        <f>IF($A36=1,"SAL","")</f>
        <v/>
      </c>
      <c r="G36" s="32">
        <f>IF($A36=1,IF(Sales_Daily!$AP7="","",Sales_Daily!$AP7),"")</f>
        <v/>
      </c>
      <c r="H36" s="32">
        <f>IF($A36=1,IF(COUNTIF(COA!$A:$A,$G36)=0,"حساب غير معرف",INDEX(COA!$B:$B,MATCH($G36,COA!$A:$A,0))),"")</f>
        <v/>
      </c>
      <c r="I36" s="32">
        <f>IF($A36=1,IF(Sales_Daily!$C7="","",Sales_Daily!$C7),"")</f>
        <v/>
      </c>
      <c r="J36" s="32">
        <f>IF($A36=1,"CC10","")</f>
        <v/>
      </c>
      <c r="K36" s="32">
        <f>IF($A36=1,"-","")</f>
        <v/>
      </c>
      <c r="L36" s="32">
        <f>IF($A36=1,"مبيعات - تحصيل OTH","")</f>
        <v/>
      </c>
      <c r="M36" s="43">
        <f>IF($A36=1,Sales_Daily!$Q7,"")</f>
        <v/>
      </c>
      <c r="N36" s="43">
        <f>IF($A36=1,0,"")</f>
        <v/>
      </c>
      <c r="O36" s="32">
        <f>IF($A36=1,Sales_Daily!$S7,"")</f>
        <v/>
      </c>
      <c r="P36" s="32">
        <f>IF($A36=1,IF(Sales_Daily!$AW7="","",Sales_Daily!$AW7),"")</f>
        <v/>
      </c>
      <c r="Q36" s="32">
        <f>IF($A36=1,Sales_Daily!$AY7,"")</f>
        <v/>
      </c>
      <c r="R36" s="32">
        <f>IF($A36=1,IF(AND($Q36=1,COUNTIFS(COA!$A:$A,$G36,COA!$R:$R,1)=1),1,0),"")</f>
        <v/>
      </c>
      <c r="S36" s="43">
        <f>IF($A36=1,IF($R36=1,N($M36),0),"")</f>
        <v/>
      </c>
      <c r="T36" s="43">
        <f>IF($A36=1,IF($R36=1,N($N36),0),"")</f>
        <v/>
      </c>
      <c r="U36" s="32">
        <f>IF($A36=1,YEAR($D36)*100+MONTH($D36),"")</f>
        <v/>
      </c>
      <c r="V36" s="32">
        <f>IF($A36=1,IF(COUNTIF(COA!$A:$A,$G36)=0,0,INDEX(COA!$H:$H,MATCH($G36,COA!$A:$A,0))),"")</f>
        <v/>
      </c>
      <c r="W36" s="32">
        <f>IF($A36=1,"OPERATING","")</f>
        <v/>
      </c>
      <c r="X36" s="32">
        <f>IF($A36=1,IF($R36=1,"",IF($O36=ST_POST,IF($P36&lt;&gt;"",$P36,"حساب غير صالح أو غير نشط"),IF($O36=ST_REV,"معكوس: لا أثر على الدفاتر",IF($O36=ST_CANC,"ملغى",IF($O36=ST_APPR,"معتمد ولم يُرحَّل","مسودة"))))),"")</f>
        <v/>
      </c>
      <c r="Y36" s="32">
        <f>IF($A36=1,IF(AND($R36=1,OR(LG_Acct="",$G36=LG_Acct),OR(LG_Party="",$K36=LG_Party),OR(LG_Loc="ALL",$I36=LG_Loc),OR(LG_CC="ALL",$J36=LG_CC),$D36&gt;=LG_From,$D36&lt;=LG_To),$D36+ROW()/1000000,""),"")</f>
        <v/>
      </c>
      <c r="Z36" s="32">
        <f>IF($A36=1,IF(Sales_Daily!$T7="","",Sales_Daily!$T7),"")</f>
        <v/>
      </c>
      <c r="AA36" s="32">
        <f>IF($A36=1,IF(Sales_Daily!$U7="","",Sales_Daily!$U7),"")</f>
        <v/>
      </c>
      <c r="AB36" s="32">
        <f>IF($A36=1,IF(Sales_Daily!$V7="","",Sales_Daily!$V7),"")</f>
        <v/>
      </c>
      <c r="AC36" s="32">
        <f>IF($A36=1,IF(Sales_Daily!$W7="","",Sales_Daily!$W7),"")</f>
        <v/>
      </c>
      <c r="AD36" s="32">
        <f>IF($A36=1,IF(Sales_Daily!$X7="","",Sales_Daily!$X7),"")</f>
        <v/>
      </c>
      <c r="AE36" s="32">
        <f>IF($A36=1,0,"")</f>
        <v/>
      </c>
      <c r="AF36" s="32" t="inlineStr"/>
    </row>
    <row r="37">
      <c r="A37" s="32">
        <f>IF(AND(Sales_Daily!$AV7=1,N(Sales_Daily!$AH7)&gt;0),1,0)</f>
        <v/>
      </c>
      <c r="B37" s="32">
        <f>IF($A37=1,$E37&amp;"/7","")</f>
        <v/>
      </c>
      <c r="C37" s="32">
        <f>IF($A37=1,"J-"&amp;Sales_Daily!$A7,"")</f>
        <v/>
      </c>
      <c r="D37" s="33">
        <f>IF($A37=1,Sales_Daily!$B7,"")</f>
        <v/>
      </c>
      <c r="E37" s="32">
        <f>IF($A37=1,IF(Sales_Daily!$A7="","",Sales_Daily!$A7),"")</f>
        <v/>
      </c>
      <c r="F37" s="32">
        <f>IF($A37=1,"SAL","")</f>
        <v/>
      </c>
      <c r="G37" s="32">
        <f>IF($A37=1,ACC_DISC,"")</f>
        <v/>
      </c>
      <c r="H37" s="32">
        <f>IF($A37=1,IF(COUNTIF(COA!$A:$A,$G37)=0,"حساب غير معرف",INDEX(COA!$B:$B,MATCH($G37,COA!$A:$A,0))),"")</f>
        <v/>
      </c>
      <c r="I37" s="32">
        <f>IF($A37=1,IF(Sales_Daily!$C7="","",Sales_Daily!$C7),"")</f>
        <v/>
      </c>
      <c r="J37" s="32">
        <f>IF($A37=1,"CC10","")</f>
        <v/>
      </c>
      <c r="K37" s="32">
        <f>IF($A37=1,"-","")</f>
        <v/>
      </c>
      <c r="L37" s="32">
        <f>IF($A37=1,"خصومات المبيعات والعروض","")</f>
        <v/>
      </c>
      <c r="M37" s="43">
        <f>IF($A37=1,Sales_Daily!$AH7,"")</f>
        <v/>
      </c>
      <c r="N37" s="43">
        <f>IF($A37=1,0,"")</f>
        <v/>
      </c>
      <c r="O37" s="32">
        <f>IF($A37=1,Sales_Daily!$S7,"")</f>
        <v/>
      </c>
      <c r="P37" s="32">
        <f>IF($A37=1,IF(Sales_Daily!$AW7="","",Sales_Daily!$AW7),"")</f>
        <v/>
      </c>
      <c r="Q37" s="32">
        <f>IF($A37=1,Sales_Daily!$AY7,"")</f>
        <v/>
      </c>
      <c r="R37" s="32">
        <f>IF($A37=1,IF(AND($Q37=1,COUNTIFS(COA!$A:$A,$G37,COA!$R:$R,1)=1),1,0),"")</f>
        <v/>
      </c>
      <c r="S37" s="43">
        <f>IF($A37=1,IF($R37=1,N($M37),0),"")</f>
        <v/>
      </c>
      <c r="T37" s="43">
        <f>IF($A37=1,IF($R37=1,N($N37),0),"")</f>
        <v/>
      </c>
      <c r="U37" s="32">
        <f>IF($A37=1,YEAR($D37)*100+MONTH($D37),"")</f>
        <v/>
      </c>
      <c r="V37" s="32">
        <f>IF($A37=1,IF(COUNTIF(COA!$A:$A,$G37)=0,0,INDEX(COA!$H:$H,MATCH($G37,COA!$A:$A,0))),"")</f>
        <v/>
      </c>
      <c r="W37" s="32">
        <f>IF($A37=1,"","")</f>
        <v/>
      </c>
      <c r="X37" s="32">
        <f>IF($A37=1,IF($R37=1,"",IF($O37=ST_POST,IF($P37&lt;&gt;"",$P37,"حساب غير صالح أو غير نشط"),IF($O37=ST_REV,"معكوس: لا أثر على الدفاتر",IF($O37=ST_CANC,"ملغى",IF($O37=ST_APPR,"معتمد ولم يُرحَّل","مسودة"))))),"")</f>
        <v/>
      </c>
      <c r="Y37" s="32">
        <f>IF($A37=1,IF(AND($R37=1,OR(LG_Acct="",$G37=LG_Acct),OR(LG_Party="",$K37=LG_Party),OR(LG_Loc="ALL",$I37=LG_Loc),OR(LG_CC="ALL",$J37=LG_CC),$D37&gt;=LG_From,$D37&lt;=LG_To),$D37+ROW()/1000000,""),"")</f>
        <v/>
      </c>
      <c r="Z37" s="32">
        <f>IF($A37=1,IF(Sales_Daily!$T7="","",Sales_Daily!$T7),"")</f>
        <v/>
      </c>
      <c r="AA37" s="32">
        <f>IF($A37=1,IF(Sales_Daily!$U7="","",Sales_Daily!$U7),"")</f>
        <v/>
      </c>
      <c r="AB37" s="32">
        <f>IF($A37=1,IF(Sales_Daily!$V7="","",Sales_Daily!$V7),"")</f>
        <v/>
      </c>
      <c r="AC37" s="32">
        <f>IF($A37=1,IF(Sales_Daily!$W7="","",Sales_Daily!$W7),"")</f>
        <v/>
      </c>
      <c r="AD37" s="32">
        <f>IF($A37=1,IF(Sales_Daily!$X7="","",Sales_Daily!$X7),"")</f>
        <v/>
      </c>
      <c r="AE37" s="32">
        <f>IF($A37=1,0,"")</f>
        <v/>
      </c>
      <c r="AF37" s="32" t="inlineStr"/>
    </row>
    <row r="38">
      <c r="A38" s="32">
        <f>IF(AND(Sales_Daily!$AV7=1,N(Sales_Daily!$AI7)&gt;0),1,0)</f>
        <v/>
      </c>
      <c r="B38" s="32">
        <f>IF($A38=1,$E38&amp;"/8","")</f>
        <v/>
      </c>
      <c r="C38" s="32">
        <f>IF($A38=1,"J-"&amp;Sales_Daily!$A7,"")</f>
        <v/>
      </c>
      <c r="D38" s="33">
        <f>IF($A38=1,Sales_Daily!$B7,"")</f>
        <v/>
      </c>
      <c r="E38" s="32">
        <f>IF($A38=1,IF(Sales_Daily!$A7="","",Sales_Daily!$A7),"")</f>
        <v/>
      </c>
      <c r="F38" s="32">
        <f>IF($A38=1,"SAL","")</f>
        <v/>
      </c>
      <c r="G38" s="32">
        <f>IF($A38=1,ACC_RET,"")</f>
        <v/>
      </c>
      <c r="H38" s="32">
        <f>IF($A38=1,IF(COUNTIF(COA!$A:$A,$G38)=0,"حساب غير معرف",INDEX(COA!$B:$B,MATCH($G38,COA!$A:$A,0))),"")</f>
        <v/>
      </c>
      <c r="I38" s="32">
        <f>IF($A38=1,IF(Sales_Daily!$C7="","",Sales_Daily!$C7),"")</f>
        <v/>
      </c>
      <c r="J38" s="32">
        <f>IF($A38=1,"CC10","")</f>
        <v/>
      </c>
      <c r="K38" s="32">
        <f>IF($A38=1,"-","")</f>
        <v/>
      </c>
      <c r="L38" s="32">
        <f>IF($A38=1,"مرتجعات وإلغاءات المبيعات","")</f>
        <v/>
      </c>
      <c r="M38" s="43">
        <f>IF($A38=1,Sales_Daily!$AI7,"")</f>
        <v/>
      </c>
      <c r="N38" s="43">
        <f>IF($A38=1,0,"")</f>
        <v/>
      </c>
      <c r="O38" s="32">
        <f>IF($A38=1,Sales_Daily!$S7,"")</f>
        <v/>
      </c>
      <c r="P38" s="32">
        <f>IF($A38=1,IF(Sales_Daily!$AW7="","",Sales_Daily!$AW7),"")</f>
        <v/>
      </c>
      <c r="Q38" s="32">
        <f>IF($A38=1,Sales_Daily!$AY7,"")</f>
        <v/>
      </c>
      <c r="R38" s="32">
        <f>IF($A38=1,IF(AND($Q38=1,COUNTIFS(COA!$A:$A,$G38,COA!$R:$R,1)=1),1,0),"")</f>
        <v/>
      </c>
      <c r="S38" s="43">
        <f>IF($A38=1,IF($R38=1,N($M38),0),"")</f>
        <v/>
      </c>
      <c r="T38" s="43">
        <f>IF($A38=1,IF($R38=1,N($N38),0),"")</f>
        <v/>
      </c>
      <c r="U38" s="32">
        <f>IF($A38=1,YEAR($D38)*100+MONTH($D38),"")</f>
        <v/>
      </c>
      <c r="V38" s="32">
        <f>IF($A38=1,IF(COUNTIF(COA!$A:$A,$G38)=0,0,INDEX(COA!$H:$H,MATCH($G38,COA!$A:$A,0))),"")</f>
        <v/>
      </c>
      <c r="W38" s="32">
        <f>IF($A38=1,"","")</f>
        <v/>
      </c>
      <c r="X38" s="32">
        <f>IF($A38=1,IF($R38=1,"",IF($O38=ST_POST,IF($P38&lt;&gt;"",$P38,"حساب غير صالح أو غير نشط"),IF($O38=ST_REV,"معكوس: لا أثر على الدفاتر",IF($O38=ST_CANC,"ملغى",IF($O38=ST_APPR,"معتمد ولم يُرحَّل","مسودة"))))),"")</f>
        <v/>
      </c>
      <c r="Y38" s="32">
        <f>IF($A38=1,IF(AND($R38=1,OR(LG_Acct="",$G38=LG_Acct),OR(LG_Party="",$K38=LG_Party),OR(LG_Loc="ALL",$I38=LG_Loc),OR(LG_CC="ALL",$J38=LG_CC),$D38&gt;=LG_From,$D38&lt;=LG_To),$D38+ROW()/1000000,""),"")</f>
        <v/>
      </c>
      <c r="Z38" s="32">
        <f>IF($A38=1,IF(Sales_Daily!$T7="","",Sales_Daily!$T7),"")</f>
        <v/>
      </c>
      <c r="AA38" s="32">
        <f>IF($A38=1,IF(Sales_Daily!$U7="","",Sales_Daily!$U7),"")</f>
        <v/>
      </c>
      <c r="AB38" s="32">
        <f>IF($A38=1,IF(Sales_Daily!$V7="","",Sales_Daily!$V7),"")</f>
        <v/>
      </c>
      <c r="AC38" s="32">
        <f>IF($A38=1,IF(Sales_Daily!$W7="","",Sales_Daily!$W7),"")</f>
        <v/>
      </c>
      <c r="AD38" s="32">
        <f>IF($A38=1,IF(Sales_Daily!$X7="","",Sales_Daily!$X7),"")</f>
        <v/>
      </c>
      <c r="AE38" s="32">
        <f>IF($A38=1,0,"")</f>
        <v/>
      </c>
      <c r="AF38" s="32" t="inlineStr"/>
    </row>
    <row r="39">
      <c r="A39" s="32">
        <f>IF(AND(Sales_Daily!$AV7=1,N(Sales_Daily!$AD7)&gt;0),1,0)</f>
        <v/>
      </c>
      <c r="B39" s="32">
        <f>IF($A39=1,$E39&amp;"/9","")</f>
        <v/>
      </c>
      <c r="C39" s="32">
        <f>IF($A39=1,"J-"&amp;Sales_Daily!$A7,"")</f>
        <v/>
      </c>
      <c r="D39" s="33">
        <f>IF($A39=1,Sales_Daily!$B7,"")</f>
        <v/>
      </c>
      <c r="E39" s="32">
        <f>IF($A39=1,IF(Sales_Daily!$A7="","",Sales_Daily!$A7),"")</f>
        <v/>
      </c>
      <c r="F39" s="32">
        <f>IF($A39=1,"SAL","")</f>
        <v/>
      </c>
      <c r="G39" s="32">
        <f>IF($A39=1,IF(Sales_Daily!$AQ7="","",Sales_Daily!$AQ7),"")</f>
        <v/>
      </c>
      <c r="H39" s="32">
        <f>IF($A39=1,IF(COUNTIF(COA!$A:$A,$G39)=0,"حساب غير معرف",INDEX(COA!$B:$B,MATCH($G39,COA!$A:$A,0))),"")</f>
        <v/>
      </c>
      <c r="I39" s="32">
        <f>IF($A39=1,IF(Sales_Daily!$C7="","",Sales_Daily!$C7),"")</f>
        <v/>
      </c>
      <c r="J39" s="32">
        <f>IF($A39=1,"CC10","")</f>
        <v/>
      </c>
      <c r="K39" s="32">
        <f>IF($A39=1,"-","")</f>
        <v/>
      </c>
      <c r="L39" s="32">
        <f>IF($A39=1,"إيراد مبيعات - فئة فطير","")</f>
        <v/>
      </c>
      <c r="M39" s="43">
        <f>IF($A39=1,0,"")</f>
        <v/>
      </c>
      <c r="N39" s="43">
        <f>IF($A39=1,Sales_Daily!$AD7,"")</f>
        <v/>
      </c>
      <c r="O39" s="32">
        <f>IF($A39=1,Sales_Daily!$S7,"")</f>
        <v/>
      </c>
      <c r="P39" s="32">
        <f>IF($A39=1,IF(Sales_Daily!$AW7="","",Sales_Daily!$AW7),"")</f>
        <v/>
      </c>
      <c r="Q39" s="32">
        <f>IF($A39=1,Sales_Daily!$AY7,"")</f>
        <v/>
      </c>
      <c r="R39" s="32">
        <f>IF($A39=1,IF(AND($Q39=1,COUNTIFS(COA!$A:$A,$G39,COA!$R:$R,1)=1),1,0),"")</f>
        <v/>
      </c>
      <c r="S39" s="43">
        <f>IF($A39=1,IF($R39=1,N($M39),0),"")</f>
        <v/>
      </c>
      <c r="T39" s="43">
        <f>IF($A39=1,IF($R39=1,N($N39),0),"")</f>
        <v/>
      </c>
      <c r="U39" s="32">
        <f>IF($A39=1,YEAR($D39)*100+MONTH($D39),"")</f>
        <v/>
      </c>
      <c r="V39" s="32">
        <f>IF($A39=1,IF(COUNTIF(COA!$A:$A,$G39)=0,0,INDEX(COA!$H:$H,MATCH($G39,COA!$A:$A,0))),"")</f>
        <v/>
      </c>
      <c r="W39" s="32">
        <f>IF($A39=1,"","")</f>
        <v/>
      </c>
      <c r="X39" s="32">
        <f>IF($A39=1,IF($R39=1,"",IF($O39=ST_POST,IF($P39&lt;&gt;"",$P39,"حساب غير صالح أو غير نشط"),IF($O39=ST_REV,"معكوس: لا أثر على الدفاتر",IF($O39=ST_CANC,"ملغى",IF($O39=ST_APPR,"معتمد ولم يُرحَّل","مسودة"))))),"")</f>
        <v/>
      </c>
      <c r="Y39" s="32">
        <f>IF($A39=1,IF(AND($R39=1,OR(LG_Acct="",$G39=LG_Acct),OR(LG_Party="",$K39=LG_Party),OR(LG_Loc="ALL",$I39=LG_Loc),OR(LG_CC="ALL",$J39=LG_CC),$D39&gt;=LG_From,$D39&lt;=LG_To),$D39+ROW()/1000000,""),"")</f>
        <v/>
      </c>
      <c r="Z39" s="32">
        <f>IF($A39=1,IF(Sales_Daily!$T7="","",Sales_Daily!$T7),"")</f>
        <v/>
      </c>
      <c r="AA39" s="32">
        <f>IF($A39=1,IF(Sales_Daily!$U7="","",Sales_Daily!$U7),"")</f>
        <v/>
      </c>
      <c r="AB39" s="32">
        <f>IF($A39=1,IF(Sales_Daily!$V7="","",Sales_Daily!$V7),"")</f>
        <v/>
      </c>
      <c r="AC39" s="32">
        <f>IF($A39=1,IF(Sales_Daily!$W7="","",Sales_Daily!$W7),"")</f>
        <v/>
      </c>
      <c r="AD39" s="32">
        <f>IF($A39=1,IF(Sales_Daily!$X7="","",Sales_Daily!$X7),"")</f>
        <v/>
      </c>
      <c r="AE39" s="32">
        <f>IF($A39=1,0,"")</f>
        <v/>
      </c>
      <c r="AF39" s="32" t="inlineStr"/>
    </row>
    <row r="40">
      <c r="A40" s="32">
        <f>IF(AND(Sales_Daily!$AV7=1,N(Sales_Daily!$AE7)&gt;0),1,0)</f>
        <v/>
      </c>
      <c r="B40" s="32">
        <f>IF($A40=1,$E40&amp;"/10","")</f>
        <v/>
      </c>
      <c r="C40" s="32">
        <f>IF($A40=1,"J-"&amp;Sales_Daily!$A7,"")</f>
        <v/>
      </c>
      <c r="D40" s="33">
        <f>IF($A40=1,Sales_Daily!$B7,"")</f>
        <v/>
      </c>
      <c r="E40" s="32">
        <f>IF($A40=1,IF(Sales_Daily!$A7="","",Sales_Daily!$A7),"")</f>
        <v/>
      </c>
      <c r="F40" s="32">
        <f>IF($A40=1,"SAL","")</f>
        <v/>
      </c>
      <c r="G40" s="32">
        <f>IF($A40=1,IF(Sales_Daily!$AR7="","",Sales_Daily!$AR7),"")</f>
        <v/>
      </c>
      <c r="H40" s="32">
        <f>IF($A40=1,IF(COUNTIF(COA!$A:$A,$G40)=0,"حساب غير معرف",INDEX(COA!$B:$B,MATCH($G40,COA!$A:$A,0))),"")</f>
        <v/>
      </c>
      <c r="I40" s="32">
        <f>IF($A40=1,IF(Sales_Daily!$C7="","",Sales_Daily!$C7),"")</f>
        <v/>
      </c>
      <c r="J40" s="32">
        <f>IF($A40=1,"CC10","")</f>
        <v/>
      </c>
      <c r="K40" s="32">
        <f>IF($A40=1,"-","")</f>
        <v/>
      </c>
      <c r="L40" s="32">
        <f>IF($A40=1,"إيراد مبيعات - فئة بيتزا","")</f>
        <v/>
      </c>
      <c r="M40" s="43">
        <f>IF($A40=1,0,"")</f>
        <v/>
      </c>
      <c r="N40" s="43">
        <f>IF($A40=1,Sales_Daily!$AE7,"")</f>
        <v/>
      </c>
      <c r="O40" s="32">
        <f>IF($A40=1,Sales_Daily!$S7,"")</f>
        <v/>
      </c>
      <c r="P40" s="32">
        <f>IF($A40=1,IF(Sales_Daily!$AW7="","",Sales_Daily!$AW7),"")</f>
        <v/>
      </c>
      <c r="Q40" s="32">
        <f>IF($A40=1,Sales_Daily!$AY7,"")</f>
        <v/>
      </c>
      <c r="R40" s="32">
        <f>IF($A40=1,IF(AND($Q40=1,COUNTIFS(COA!$A:$A,$G40,COA!$R:$R,1)=1),1,0),"")</f>
        <v/>
      </c>
      <c r="S40" s="43">
        <f>IF($A40=1,IF($R40=1,N($M40),0),"")</f>
        <v/>
      </c>
      <c r="T40" s="43">
        <f>IF($A40=1,IF($R40=1,N($N40),0),"")</f>
        <v/>
      </c>
      <c r="U40" s="32">
        <f>IF($A40=1,YEAR($D40)*100+MONTH($D40),"")</f>
        <v/>
      </c>
      <c r="V40" s="32">
        <f>IF($A40=1,IF(COUNTIF(COA!$A:$A,$G40)=0,0,INDEX(COA!$H:$H,MATCH($G40,COA!$A:$A,0))),"")</f>
        <v/>
      </c>
      <c r="W40" s="32">
        <f>IF($A40=1,"","")</f>
        <v/>
      </c>
      <c r="X40" s="32">
        <f>IF($A40=1,IF($R40=1,"",IF($O40=ST_POST,IF($P40&lt;&gt;"",$P40,"حساب غير صالح أو غير نشط"),IF($O40=ST_REV,"معكوس: لا أثر على الدفاتر",IF($O40=ST_CANC,"ملغى",IF($O40=ST_APPR,"معتمد ولم يُرحَّل","مسودة"))))),"")</f>
        <v/>
      </c>
      <c r="Y40" s="32">
        <f>IF($A40=1,IF(AND($R40=1,OR(LG_Acct="",$G40=LG_Acct),OR(LG_Party="",$K40=LG_Party),OR(LG_Loc="ALL",$I40=LG_Loc),OR(LG_CC="ALL",$J40=LG_CC),$D40&gt;=LG_From,$D40&lt;=LG_To),$D40+ROW()/1000000,""),"")</f>
        <v/>
      </c>
      <c r="Z40" s="32">
        <f>IF($A40=1,IF(Sales_Daily!$T7="","",Sales_Daily!$T7),"")</f>
        <v/>
      </c>
      <c r="AA40" s="32">
        <f>IF($A40=1,IF(Sales_Daily!$U7="","",Sales_Daily!$U7),"")</f>
        <v/>
      </c>
      <c r="AB40" s="32">
        <f>IF($A40=1,IF(Sales_Daily!$V7="","",Sales_Daily!$V7),"")</f>
        <v/>
      </c>
      <c r="AC40" s="32">
        <f>IF($A40=1,IF(Sales_Daily!$W7="","",Sales_Daily!$W7),"")</f>
        <v/>
      </c>
      <c r="AD40" s="32">
        <f>IF($A40=1,IF(Sales_Daily!$X7="","",Sales_Daily!$X7),"")</f>
        <v/>
      </c>
      <c r="AE40" s="32">
        <f>IF($A40=1,0,"")</f>
        <v/>
      </c>
      <c r="AF40" s="32" t="inlineStr"/>
    </row>
    <row r="41">
      <c r="A41" s="32">
        <f>IF(AND(Sales_Daily!$AV7=1,N(Sales_Daily!$AF7)&gt;0),1,0)</f>
        <v/>
      </c>
      <c r="B41" s="32">
        <f>IF($A41=1,$E41&amp;"/11","")</f>
        <v/>
      </c>
      <c r="C41" s="32">
        <f>IF($A41=1,"J-"&amp;Sales_Daily!$A7,"")</f>
        <v/>
      </c>
      <c r="D41" s="33">
        <f>IF($A41=1,Sales_Daily!$B7,"")</f>
        <v/>
      </c>
      <c r="E41" s="32">
        <f>IF($A41=1,IF(Sales_Daily!$A7="","",Sales_Daily!$A7),"")</f>
        <v/>
      </c>
      <c r="F41" s="32">
        <f>IF($A41=1,"SAL","")</f>
        <v/>
      </c>
      <c r="G41" s="32">
        <f>IF($A41=1,IF(Sales_Daily!$AS7="","",Sales_Daily!$AS7),"")</f>
        <v/>
      </c>
      <c r="H41" s="32">
        <f>IF($A41=1,IF(COUNTIF(COA!$A:$A,$G41)=0,"حساب غير معرف",INDEX(COA!$B:$B,MATCH($G41,COA!$A:$A,0))),"")</f>
        <v/>
      </c>
      <c r="I41" s="32">
        <f>IF($A41=1,IF(Sales_Daily!$C7="","",Sales_Daily!$C7),"")</f>
        <v/>
      </c>
      <c r="J41" s="32">
        <f>IF($A41=1,"CC10","")</f>
        <v/>
      </c>
      <c r="K41" s="32">
        <f>IF($A41=1,"-","")</f>
        <v/>
      </c>
      <c r="L41" s="32">
        <f>IF($A41=1,"إيراد مبيعات - فئة مكرونات","")</f>
        <v/>
      </c>
      <c r="M41" s="43">
        <f>IF($A41=1,0,"")</f>
        <v/>
      </c>
      <c r="N41" s="43">
        <f>IF($A41=1,Sales_Daily!$AF7,"")</f>
        <v/>
      </c>
      <c r="O41" s="32">
        <f>IF($A41=1,Sales_Daily!$S7,"")</f>
        <v/>
      </c>
      <c r="P41" s="32">
        <f>IF($A41=1,IF(Sales_Daily!$AW7="","",Sales_Daily!$AW7),"")</f>
        <v/>
      </c>
      <c r="Q41" s="32">
        <f>IF($A41=1,Sales_Daily!$AY7,"")</f>
        <v/>
      </c>
      <c r="R41" s="32">
        <f>IF($A41=1,IF(AND($Q41=1,COUNTIFS(COA!$A:$A,$G41,COA!$R:$R,1)=1),1,0),"")</f>
        <v/>
      </c>
      <c r="S41" s="43">
        <f>IF($A41=1,IF($R41=1,N($M41),0),"")</f>
        <v/>
      </c>
      <c r="T41" s="43">
        <f>IF($A41=1,IF($R41=1,N($N41),0),"")</f>
        <v/>
      </c>
      <c r="U41" s="32">
        <f>IF($A41=1,YEAR($D41)*100+MONTH($D41),"")</f>
        <v/>
      </c>
      <c r="V41" s="32">
        <f>IF($A41=1,IF(COUNTIF(COA!$A:$A,$G41)=0,0,INDEX(COA!$H:$H,MATCH($G41,COA!$A:$A,0))),"")</f>
        <v/>
      </c>
      <c r="W41" s="32">
        <f>IF($A41=1,"","")</f>
        <v/>
      </c>
      <c r="X41" s="32">
        <f>IF($A41=1,IF($R41=1,"",IF($O41=ST_POST,IF($P41&lt;&gt;"",$P41,"حساب غير صالح أو غير نشط"),IF($O41=ST_REV,"معكوس: لا أثر على الدفاتر",IF($O41=ST_CANC,"ملغى",IF($O41=ST_APPR,"معتمد ولم يُرحَّل","مسودة"))))),"")</f>
        <v/>
      </c>
      <c r="Y41" s="32">
        <f>IF($A41=1,IF(AND($R41=1,OR(LG_Acct="",$G41=LG_Acct),OR(LG_Party="",$K41=LG_Party),OR(LG_Loc="ALL",$I41=LG_Loc),OR(LG_CC="ALL",$J41=LG_CC),$D41&gt;=LG_From,$D41&lt;=LG_To),$D41+ROW()/1000000,""),"")</f>
        <v/>
      </c>
      <c r="Z41" s="32">
        <f>IF($A41=1,IF(Sales_Daily!$T7="","",Sales_Daily!$T7),"")</f>
        <v/>
      </c>
      <c r="AA41" s="32">
        <f>IF($A41=1,IF(Sales_Daily!$U7="","",Sales_Daily!$U7),"")</f>
        <v/>
      </c>
      <c r="AB41" s="32">
        <f>IF($A41=1,IF(Sales_Daily!$V7="","",Sales_Daily!$V7),"")</f>
        <v/>
      </c>
      <c r="AC41" s="32">
        <f>IF($A41=1,IF(Sales_Daily!$W7="","",Sales_Daily!$W7),"")</f>
        <v/>
      </c>
      <c r="AD41" s="32">
        <f>IF($A41=1,IF(Sales_Daily!$X7="","",Sales_Daily!$X7),"")</f>
        <v/>
      </c>
      <c r="AE41" s="32">
        <f>IF($A41=1,0,"")</f>
        <v/>
      </c>
      <c r="AF41" s="32" t="inlineStr"/>
    </row>
    <row r="42">
      <c r="A42" s="32">
        <f>IF(AND(Sales_Daily!$AV7=1,N(Sales_Daily!$AG7)&gt;0),1,0)</f>
        <v/>
      </c>
      <c r="B42" s="32">
        <f>IF($A42=1,$E42&amp;"/12","")</f>
        <v/>
      </c>
      <c r="C42" s="32">
        <f>IF($A42=1,"J-"&amp;Sales_Daily!$A7,"")</f>
        <v/>
      </c>
      <c r="D42" s="33">
        <f>IF($A42=1,Sales_Daily!$B7,"")</f>
        <v/>
      </c>
      <c r="E42" s="32">
        <f>IF($A42=1,IF(Sales_Daily!$A7="","",Sales_Daily!$A7),"")</f>
        <v/>
      </c>
      <c r="F42" s="32">
        <f>IF($A42=1,"SAL","")</f>
        <v/>
      </c>
      <c r="G42" s="32">
        <f>IF($A42=1,IF(Sales_Daily!$AT7="","",Sales_Daily!$AT7),"")</f>
        <v/>
      </c>
      <c r="H42" s="32">
        <f>IF($A42=1,IF(COUNTIF(COA!$A:$A,$G42)=0,"حساب غير معرف",INDEX(COA!$B:$B,MATCH($G42,COA!$A:$A,0))),"")</f>
        <v/>
      </c>
      <c r="I42" s="32">
        <f>IF($A42=1,IF(Sales_Daily!$C7="","",Sales_Daily!$C7),"")</f>
        <v/>
      </c>
      <c r="J42" s="32">
        <f>IF($A42=1,"CC10","")</f>
        <v/>
      </c>
      <c r="K42" s="32">
        <f>IF($A42=1,"-","")</f>
        <v/>
      </c>
      <c r="L42" s="32">
        <f>IF($A42=1,"إيراد مبيعات - فئة أخرى","")</f>
        <v/>
      </c>
      <c r="M42" s="43">
        <f>IF($A42=1,0,"")</f>
        <v/>
      </c>
      <c r="N42" s="43">
        <f>IF($A42=1,Sales_Daily!$AG7,"")</f>
        <v/>
      </c>
      <c r="O42" s="32">
        <f>IF($A42=1,Sales_Daily!$S7,"")</f>
        <v/>
      </c>
      <c r="P42" s="32">
        <f>IF($A42=1,IF(Sales_Daily!$AW7="","",Sales_Daily!$AW7),"")</f>
        <v/>
      </c>
      <c r="Q42" s="32">
        <f>IF($A42=1,Sales_Daily!$AY7,"")</f>
        <v/>
      </c>
      <c r="R42" s="32">
        <f>IF($A42=1,IF(AND($Q42=1,COUNTIFS(COA!$A:$A,$G42,COA!$R:$R,1)=1),1,0),"")</f>
        <v/>
      </c>
      <c r="S42" s="43">
        <f>IF($A42=1,IF($R42=1,N($M42),0),"")</f>
        <v/>
      </c>
      <c r="T42" s="43">
        <f>IF($A42=1,IF($R42=1,N($N42),0),"")</f>
        <v/>
      </c>
      <c r="U42" s="32">
        <f>IF($A42=1,YEAR($D42)*100+MONTH($D42),"")</f>
        <v/>
      </c>
      <c r="V42" s="32">
        <f>IF($A42=1,IF(COUNTIF(COA!$A:$A,$G42)=0,0,INDEX(COA!$H:$H,MATCH($G42,COA!$A:$A,0))),"")</f>
        <v/>
      </c>
      <c r="W42" s="32">
        <f>IF($A42=1,"","")</f>
        <v/>
      </c>
      <c r="X42" s="32">
        <f>IF($A42=1,IF($R42=1,"",IF($O42=ST_POST,IF($P42&lt;&gt;"",$P42,"حساب غير صالح أو غير نشط"),IF($O42=ST_REV,"معكوس: لا أثر على الدفاتر",IF($O42=ST_CANC,"ملغى",IF($O42=ST_APPR,"معتمد ولم يُرحَّل","مسودة"))))),"")</f>
        <v/>
      </c>
      <c r="Y42" s="32">
        <f>IF($A42=1,IF(AND($R42=1,OR(LG_Acct="",$G42=LG_Acct),OR(LG_Party="",$K42=LG_Party),OR(LG_Loc="ALL",$I42=LG_Loc),OR(LG_CC="ALL",$J42=LG_CC),$D42&gt;=LG_From,$D42&lt;=LG_To),$D42+ROW()/1000000,""),"")</f>
        <v/>
      </c>
      <c r="Z42" s="32">
        <f>IF($A42=1,IF(Sales_Daily!$T7="","",Sales_Daily!$T7),"")</f>
        <v/>
      </c>
      <c r="AA42" s="32">
        <f>IF($A42=1,IF(Sales_Daily!$U7="","",Sales_Daily!$U7),"")</f>
        <v/>
      </c>
      <c r="AB42" s="32">
        <f>IF($A42=1,IF(Sales_Daily!$V7="","",Sales_Daily!$V7),"")</f>
        <v/>
      </c>
      <c r="AC42" s="32">
        <f>IF($A42=1,IF(Sales_Daily!$W7="","",Sales_Daily!$W7),"")</f>
        <v/>
      </c>
      <c r="AD42" s="32">
        <f>IF($A42=1,IF(Sales_Daily!$X7="","",Sales_Daily!$X7),"")</f>
        <v/>
      </c>
      <c r="AE42" s="32">
        <f>IF($A42=1,0,"")</f>
        <v/>
      </c>
      <c r="AF42" s="32" t="inlineStr"/>
    </row>
    <row r="43">
      <c r="A43" s="32">
        <f>IF(AND(Sales_Daily!$AV7=1,N(Sales_Daily!$AJ7)&gt;0),1,0)</f>
        <v/>
      </c>
      <c r="B43" s="32">
        <f>IF($A43=1,$E43&amp;"/13","")</f>
        <v/>
      </c>
      <c r="C43" s="32">
        <f>IF($A43=1,"J-"&amp;Sales_Daily!$A7,"")</f>
        <v/>
      </c>
      <c r="D43" s="33">
        <f>IF($A43=1,Sales_Daily!$B7,"")</f>
        <v/>
      </c>
      <c r="E43" s="32">
        <f>IF($A43=1,IF(Sales_Daily!$A7="","",Sales_Daily!$A7),"")</f>
        <v/>
      </c>
      <c r="F43" s="32">
        <f>IF($A43=1,"SAL","")</f>
        <v/>
      </c>
      <c r="G43" s="32">
        <f>IF($A43=1,ACC_VAT_OUT,"")</f>
        <v/>
      </c>
      <c r="H43" s="32">
        <f>IF($A43=1,IF(COUNTIF(COA!$A:$A,$G43)=0,"حساب غير معرف",INDEX(COA!$B:$B,MATCH($G43,COA!$A:$A,0))),"")</f>
        <v/>
      </c>
      <c r="I43" s="32">
        <f>IF($A43=1,IF(Sales_Daily!$C7="","",Sales_Daily!$C7),"")</f>
        <v/>
      </c>
      <c r="J43" s="32">
        <f>IF($A43=1,"CC10","")</f>
        <v/>
      </c>
      <c r="K43" s="32">
        <f>IF($A43=1,"-","")</f>
        <v/>
      </c>
      <c r="L43" s="32">
        <f>IF($A43=1,"ضريبة القيمة المضافة - مخرجات","")</f>
        <v/>
      </c>
      <c r="M43" s="43">
        <f>IF($A43=1,0,"")</f>
        <v/>
      </c>
      <c r="N43" s="43">
        <f>IF($A43=1,Sales_Daily!$AJ7,"")</f>
        <v/>
      </c>
      <c r="O43" s="32">
        <f>IF($A43=1,Sales_Daily!$S7,"")</f>
        <v/>
      </c>
      <c r="P43" s="32">
        <f>IF($A43=1,IF(Sales_Daily!$AW7="","",Sales_Daily!$AW7),"")</f>
        <v/>
      </c>
      <c r="Q43" s="32">
        <f>IF($A43=1,Sales_Daily!$AY7,"")</f>
        <v/>
      </c>
      <c r="R43" s="32">
        <f>IF($A43=1,IF(AND($Q43=1,COUNTIFS(COA!$A:$A,$G43,COA!$R:$R,1)=1),1,0),"")</f>
        <v/>
      </c>
      <c r="S43" s="43">
        <f>IF($A43=1,IF($R43=1,N($M43),0),"")</f>
        <v/>
      </c>
      <c r="T43" s="43">
        <f>IF($A43=1,IF($R43=1,N($N43),0),"")</f>
        <v/>
      </c>
      <c r="U43" s="32">
        <f>IF($A43=1,YEAR($D43)*100+MONTH($D43),"")</f>
        <v/>
      </c>
      <c r="V43" s="32">
        <f>IF($A43=1,IF(COUNTIF(COA!$A:$A,$G43)=0,0,INDEX(COA!$H:$H,MATCH($G43,COA!$A:$A,0))),"")</f>
        <v/>
      </c>
      <c r="W43" s="32">
        <f>IF($A43=1,"","")</f>
        <v/>
      </c>
      <c r="X43" s="32">
        <f>IF($A43=1,IF($R43=1,"",IF($O43=ST_POST,IF($P43&lt;&gt;"",$P43,"حساب غير صالح أو غير نشط"),IF($O43=ST_REV,"معكوس: لا أثر على الدفاتر",IF($O43=ST_CANC,"ملغى",IF($O43=ST_APPR,"معتمد ولم يُرحَّل","مسودة"))))),"")</f>
        <v/>
      </c>
      <c r="Y43" s="32">
        <f>IF($A43=1,IF(AND($R43=1,OR(LG_Acct="",$G43=LG_Acct),OR(LG_Party="",$K43=LG_Party),OR(LG_Loc="ALL",$I43=LG_Loc),OR(LG_CC="ALL",$J43=LG_CC),$D43&gt;=LG_From,$D43&lt;=LG_To),$D43+ROW()/1000000,""),"")</f>
        <v/>
      </c>
      <c r="Z43" s="32">
        <f>IF($A43=1,IF(Sales_Daily!$T7="","",Sales_Daily!$T7),"")</f>
        <v/>
      </c>
      <c r="AA43" s="32">
        <f>IF($A43=1,IF(Sales_Daily!$U7="","",Sales_Daily!$U7),"")</f>
        <v/>
      </c>
      <c r="AB43" s="32">
        <f>IF($A43=1,IF(Sales_Daily!$V7="","",Sales_Daily!$V7),"")</f>
        <v/>
      </c>
      <c r="AC43" s="32">
        <f>IF($A43=1,IF(Sales_Daily!$W7="","",Sales_Daily!$W7),"")</f>
        <v/>
      </c>
      <c r="AD43" s="32">
        <f>IF($A43=1,IF(Sales_Daily!$X7="","",Sales_Daily!$X7),"")</f>
        <v/>
      </c>
      <c r="AE43" s="32">
        <f>IF($A43=1,0,"")</f>
        <v/>
      </c>
      <c r="AF43" s="32" t="inlineStr"/>
    </row>
    <row r="44">
      <c r="A44" s="32">
        <f>IF(AND(Sales_Daily!$AV8=1,N(Sales_Daily!$L8)&gt;0),1,0)</f>
        <v/>
      </c>
      <c r="B44" s="32">
        <f>IF($A44=1,$E44&amp;"/1","")</f>
        <v/>
      </c>
      <c r="C44" s="32">
        <f>IF($A44=1,"J-"&amp;Sales_Daily!$A8,"")</f>
        <v/>
      </c>
      <c r="D44" s="33">
        <f>IF($A44=1,Sales_Daily!$B8,"")</f>
        <v/>
      </c>
      <c r="E44" s="32">
        <f>IF($A44=1,IF(Sales_Daily!$A8="","",Sales_Daily!$A8),"")</f>
        <v/>
      </c>
      <c r="F44" s="32">
        <f>IF($A44=1,"SAL","")</f>
        <v/>
      </c>
      <c r="G44" s="32">
        <f>IF($A44=1,IF(Sales_Daily!$AK8="","",Sales_Daily!$AK8),"")</f>
        <v/>
      </c>
      <c r="H44" s="32">
        <f>IF($A44=1,IF(COUNTIF(COA!$A:$A,$G44)=0,"حساب غير معرف",INDEX(COA!$B:$B,MATCH($G44,COA!$A:$A,0))),"")</f>
        <v/>
      </c>
      <c r="I44" s="32">
        <f>IF($A44=1,IF(Sales_Daily!$C8="","",Sales_Daily!$C8),"")</f>
        <v/>
      </c>
      <c r="J44" s="32">
        <f>IF($A44=1,"CC10","")</f>
        <v/>
      </c>
      <c r="K44" s="32">
        <f>IF($A44=1,"-","")</f>
        <v/>
      </c>
      <c r="L44" s="32">
        <f>IF($A44=1,"مبيعات - تحصيل CASH","")</f>
        <v/>
      </c>
      <c r="M44" s="43">
        <f>IF($A44=1,Sales_Daily!$L8,"")</f>
        <v/>
      </c>
      <c r="N44" s="43">
        <f>IF($A44=1,0,"")</f>
        <v/>
      </c>
      <c r="O44" s="32">
        <f>IF($A44=1,Sales_Daily!$S8,"")</f>
        <v/>
      </c>
      <c r="P44" s="32">
        <f>IF($A44=1,IF(Sales_Daily!$AW8="","",Sales_Daily!$AW8),"")</f>
        <v/>
      </c>
      <c r="Q44" s="32">
        <f>IF($A44=1,Sales_Daily!$AY8,"")</f>
        <v/>
      </c>
      <c r="R44" s="32">
        <f>IF($A44=1,IF(AND($Q44=1,COUNTIFS(COA!$A:$A,$G44,COA!$R:$R,1)=1),1,0),"")</f>
        <v/>
      </c>
      <c r="S44" s="43">
        <f>IF($A44=1,IF($R44=1,N($M44),0),"")</f>
        <v/>
      </c>
      <c r="T44" s="43">
        <f>IF($A44=1,IF($R44=1,N($N44),0),"")</f>
        <v/>
      </c>
      <c r="U44" s="32">
        <f>IF($A44=1,YEAR($D44)*100+MONTH($D44),"")</f>
        <v/>
      </c>
      <c r="V44" s="32">
        <f>IF($A44=1,IF(COUNTIF(COA!$A:$A,$G44)=0,0,INDEX(COA!$H:$H,MATCH($G44,COA!$A:$A,0))),"")</f>
        <v/>
      </c>
      <c r="W44" s="32">
        <f>IF($A44=1,"OPERATING","")</f>
        <v/>
      </c>
      <c r="X44" s="32">
        <f>IF($A44=1,IF($R44=1,"",IF($O44=ST_POST,IF($P44&lt;&gt;"",$P44,"حساب غير صالح أو غير نشط"),IF($O44=ST_REV,"معكوس: لا أثر على الدفاتر",IF($O44=ST_CANC,"ملغى",IF($O44=ST_APPR,"معتمد ولم يُرحَّل","مسودة"))))),"")</f>
        <v/>
      </c>
      <c r="Y44" s="32">
        <f>IF($A44=1,IF(AND($R44=1,OR(LG_Acct="",$G44=LG_Acct),OR(LG_Party="",$K44=LG_Party),OR(LG_Loc="ALL",$I44=LG_Loc),OR(LG_CC="ALL",$J44=LG_CC),$D44&gt;=LG_From,$D44&lt;=LG_To),$D44+ROW()/1000000,""),"")</f>
        <v/>
      </c>
      <c r="Z44" s="32">
        <f>IF($A44=1,IF(Sales_Daily!$T8="","",Sales_Daily!$T8),"")</f>
        <v/>
      </c>
      <c r="AA44" s="32">
        <f>IF($A44=1,IF(Sales_Daily!$U8="","",Sales_Daily!$U8),"")</f>
        <v/>
      </c>
      <c r="AB44" s="32">
        <f>IF($A44=1,IF(Sales_Daily!$V8="","",Sales_Daily!$V8),"")</f>
        <v/>
      </c>
      <c r="AC44" s="32">
        <f>IF($A44=1,IF(Sales_Daily!$W8="","",Sales_Daily!$W8),"")</f>
        <v/>
      </c>
      <c r="AD44" s="32">
        <f>IF($A44=1,IF(Sales_Daily!$X8="","",Sales_Daily!$X8),"")</f>
        <v/>
      </c>
      <c r="AE44" s="32">
        <f>IF($A44=1,0,"")</f>
        <v/>
      </c>
      <c r="AF44" s="32" t="inlineStr"/>
    </row>
    <row r="45">
      <c r="A45" s="32">
        <f>IF(AND(Sales_Daily!$AV8=1,N(Sales_Daily!$M8)&gt;0),1,0)</f>
        <v/>
      </c>
      <c r="B45" s="32">
        <f>IF($A45=1,$E45&amp;"/2","")</f>
        <v/>
      </c>
      <c r="C45" s="32">
        <f>IF($A45=1,"J-"&amp;Sales_Daily!$A8,"")</f>
        <v/>
      </c>
      <c r="D45" s="33">
        <f>IF($A45=1,Sales_Daily!$B8,"")</f>
        <v/>
      </c>
      <c r="E45" s="32">
        <f>IF($A45=1,IF(Sales_Daily!$A8="","",Sales_Daily!$A8),"")</f>
        <v/>
      </c>
      <c r="F45" s="32">
        <f>IF($A45=1,"SAL","")</f>
        <v/>
      </c>
      <c r="G45" s="32">
        <f>IF($A45=1,IF(Sales_Daily!$AL8="","",Sales_Daily!$AL8),"")</f>
        <v/>
      </c>
      <c r="H45" s="32">
        <f>IF($A45=1,IF(COUNTIF(COA!$A:$A,$G45)=0,"حساب غير معرف",INDEX(COA!$B:$B,MATCH($G45,COA!$A:$A,0))),"")</f>
        <v/>
      </c>
      <c r="I45" s="32">
        <f>IF($A45=1,IF(Sales_Daily!$C8="","",Sales_Daily!$C8),"")</f>
        <v/>
      </c>
      <c r="J45" s="32">
        <f>IF($A45=1,"CC10","")</f>
        <v/>
      </c>
      <c r="K45" s="32">
        <f>IF($A45=1,"-","")</f>
        <v/>
      </c>
      <c r="L45" s="32">
        <f>IF($A45=1,"مبيعات - تحصيل CARD","")</f>
        <v/>
      </c>
      <c r="M45" s="43">
        <f>IF($A45=1,Sales_Daily!$M8,"")</f>
        <v/>
      </c>
      <c r="N45" s="43">
        <f>IF($A45=1,0,"")</f>
        <v/>
      </c>
      <c r="O45" s="32">
        <f>IF($A45=1,Sales_Daily!$S8,"")</f>
        <v/>
      </c>
      <c r="P45" s="32">
        <f>IF($A45=1,IF(Sales_Daily!$AW8="","",Sales_Daily!$AW8),"")</f>
        <v/>
      </c>
      <c r="Q45" s="32">
        <f>IF($A45=1,Sales_Daily!$AY8,"")</f>
        <v/>
      </c>
      <c r="R45" s="32">
        <f>IF($A45=1,IF(AND($Q45=1,COUNTIFS(COA!$A:$A,$G45,COA!$R:$R,1)=1),1,0),"")</f>
        <v/>
      </c>
      <c r="S45" s="43">
        <f>IF($A45=1,IF($R45=1,N($M45),0),"")</f>
        <v/>
      </c>
      <c r="T45" s="43">
        <f>IF($A45=1,IF($R45=1,N($N45),0),"")</f>
        <v/>
      </c>
      <c r="U45" s="32">
        <f>IF($A45=1,YEAR($D45)*100+MONTH($D45),"")</f>
        <v/>
      </c>
      <c r="V45" s="32">
        <f>IF($A45=1,IF(COUNTIF(COA!$A:$A,$G45)=0,0,INDEX(COA!$H:$H,MATCH($G45,COA!$A:$A,0))),"")</f>
        <v/>
      </c>
      <c r="W45" s="32">
        <f>IF($A45=1,"OPERATING","")</f>
        <v/>
      </c>
      <c r="X45" s="32">
        <f>IF($A45=1,IF($R45=1,"",IF($O45=ST_POST,IF($P45&lt;&gt;"",$P45,"حساب غير صالح أو غير نشط"),IF($O45=ST_REV,"معكوس: لا أثر على الدفاتر",IF($O45=ST_CANC,"ملغى",IF($O45=ST_APPR,"معتمد ولم يُرحَّل","مسودة"))))),"")</f>
        <v/>
      </c>
      <c r="Y45" s="32">
        <f>IF($A45=1,IF(AND($R45=1,OR(LG_Acct="",$G45=LG_Acct),OR(LG_Party="",$K45=LG_Party),OR(LG_Loc="ALL",$I45=LG_Loc),OR(LG_CC="ALL",$J45=LG_CC),$D45&gt;=LG_From,$D45&lt;=LG_To),$D45+ROW()/1000000,""),"")</f>
        <v/>
      </c>
      <c r="Z45" s="32">
        <f>IF($A45=1,IF(Sales_Daily!$T8="","",Sales_Daily!$T8),"")</f>
        <v/>
      </c>
      <c r="AA45" s="32">
        <f>IF($A45=1,IF(Sales_Daily!$U8="","",Sales_Daily!$U8),"")</f>
        <v/>
      </c>
      <c r="AB45" s="32">
        <f>IF($A45=1,IF(Sales_Daily!$V8="","",Sales_Daily!$V8),"")</f>
        <v/>
      </c>
      <c r="AC45" s="32">
        <f>IF($A45=1,IF(Sales_Daily!$W8="","",Sales_Daily!$W8),"")</f>
        <v/>
      </c>
      <c r="AD45" s="32">
        <f>IF($A45=1,IF(Sales_Daily!$X8="","",Sales_Daily!$X8),"")</f>
        <v/>
      </c>
      <c r="AE45" s="32">
        <f>IF($A45=1,0,"")</f>
        <v/>
      </c>
      <c r="AF45" s="32" t="inlineStr"/>
    </row>
    <row r="46">
      <c r="A46" s="32">
        <f>IF(AND(Sales_Daily!$AV8=1,N(Sales_Daily!$N8)&gt;0),1,0)</f>
        <v/>
      </c>
      <c r="B46" s="32">
        <f>IF($A46=1,$E46&amp;"/3","")</f>
        <v/>
      </c>
      <c r="C46" s="32">
        <f>IF($A46=1,"J-"&amp;Sales_Daily!$A8,"")</f>
        <v/>
      </c>
      <c r="D46" s="33">
        <f>IF($A46=1,Sales_Daily!$B8,"")</f>
        <v/>
      </c>
      <c r="E46" s="32">
        <f>IF($A46=1,IF(Sales_Daily!$A8="","",Sales_Daily!$A8),"")</f>
        <v/>
      </c>
      <c r="F46" s="32">
        <f>IF($A46=1,"SAL","")</f>
        <v/>
      </c>
      <c r="G46" s="32">
        <f>IF($A46=1,IF(Sales_Daily!$AM8="","",Sales_Daily!$AM8),"")</f>
        <v/>
      </c>
      <c r="H46" s="32">
        <f>IF($A46=1,IF(COUNTIF(COA!$A:$A,$G46)=0,"حساب غير معرف",INDEX(COA!$B:$B,MATCH($G46,COA!$A:$A,0))),"")</f>
        <v/>
      </c>
      <c r="I46" s="32">
        <f>IF($A46=1,IF(Sales_Daily!$C8="","",Sales_Daily!$C8),"")</f>
        <v/>
      </c>
      <c r="J46" s="32">
        <f>IF($A46=1,"CC10","")</f>
        <v/>
      </c>
      <c r="K46" s="32">
        <f>IF($A46=1,"-","")</f>
        <v/>
      </c>
      <c r="L46" s="32">
        <f>IF($A46=1,"مبيعات - تحصيل TLB","")</f>
        <v/>
      </c>
      <c r="M46" s="43">
        <f>IF($A46=1,Sales_Daily!$N8,"")</f>
        <v/>
      </c>
      <c r="N46" s="43">
        <f>IF($A46=1,0,"")</f>
        <v/>
      </c>
      <c r="O46" s="32">
        <f>IF($A46=1,Sales_Daily!$S8,"")</f>
        <v/>
      </c>
      <c r="P46" s="32">
        <f>IF($A46=1,IF(Sales_Daily!$AW8="","",Sales_Daily!$AW8),"")</f>
        <v/>
      </c>
      <c r="Q46" s="32">
        <f>IF($A46=1,Sales_Daily!$AY8,"")</f>
        <v/>
      </c>
      <c r="R46" s="32">
        <f>IF($A46=1,IF(AND($Q46=1,COUNTIFS(COA!$A:$A,$G46,COA!$R:$R,1)=1),1,0),"")</f>
        <v/>
      </c>
      <c r="S46" s="43">
        <f>IF($A46=1,IF($R46=1,N($M46),0),"")</f>
        <v/>
      </c>
      <c r="T46" s="43">
        <f>IF($A46=1,IF($R46=1,N($N46),0),"")</f>
        <v/>
      </c>
      <c r="U46" s="32">
        <f>IF($A46=1,YEAR($D46)*100+MONTH($D46),"")</f>
        <v/>
      </c>
      <c r="V46" s="32">
        <f>IF($A46=1,IF(COUNTIF(COA!$A:$A,$G46)=0,0,INDEX(COA!$H:$H,MATCH($G46,COA!$A:$A,0))),"")</f>
        <v/>
      </c>
      <c r="W46" s="32">
        <f>IF($A46=1,"OPERATING","")</f>
        <v/>
      </c>
      <c r="X46" s="32">
        <f>IF($A46=1,IF($R46=1,"",IF($O46=ST_POST,IF($P46&lt;&gt;"",$P46,"حساب غير صالح أو غير نشط"),IF($O46=ST_REV,"معكوس: لا أثر على الدفاتر",IF($O46=ST_CANC,"ملغى",IF($O46=ST_APPR,"معتمد ولم يُرحَّل","مسودة"))))),"")</f>
        <v/>
      </c>
      <c r="Y46" s="32">
        <f>IF($A46=1,IF(AND($R46=1,OR(LG_Acct="",$G46=LG_Acct),OR(LG_Party="",$K46=LG_Party),OR(LG_Loc="ALL",$I46=LG_Loc),OR(LG_CC="ALL",$J46=LG_CC),$D46&gt;=LG_From,$D46&lt;=LG_To),$D46+ROW()/1000000,""),"")</f>
        <v/>
      </c>
      <c r="Z46" s="32">
        <f>IF($A46=1,IF(Sales_Daily!$T8="","",Sales_Daily!$T8),"")</f>
        <v/>
      </c>
      <c r="AA46" s="32">
        <f>IF($A46=1,IF(Sales_Daily!$U8="","",Sales_Daily!$U8),"")</f>
        <v/>
      </c>
      <c r="AB46" s="32">
        <f>IF($A46=1,IF(Sales_Daily!$V8="","",Sales_Daily!$V8),"")</f>
        <v/>
      </c>
      <c r="AC46" s="32">
        <f>IF($A46=1,IF(Sales_Daily!$W8="","",Sales_Daily!$W8),"")</f>
        <v/>
      </c>
      <c r="AD46" s="32">
        <f>IF($A46=1,IF(Sales_Daily!$X8="","",Sales_Daily!$X8),"")</f>
        <v/>
      </c>
      <c r="AE46" s="32">
        <f>IF($A46=1,0,"")</f>
        <v/>
      </c>
      <c r="AF46" s="32" t="inlineStr"/>
    </row>
    <row r="47">
      <c r="A47" s="32">
        <f>IF(AND(Sales_Daily!$AV8=1,N(Sales_Daily!$O8)&gt;0),1,0)</f>
        <v/>
      </c>
      <c r="B47" s="32">
        <f>IF($A47=1,$E47&amp;"/4","")</f>
        <v/>
      </c>
      <c r="C47" s="32">
        <f>IF($A47=1,"J-"&amp;Sales_Daily!$A8,"")</f>
        <v/>
      </c>
      <c r="D47" s="33">
        <f>IF($A47=1,Sales_Daily!$B8,"")</f>
        <v/>
      </c>
      <c r="E47" s="32">
        <f>IF($A47=1,IF(Sales_Daily!$A8="","",Sales_Daily!$A8),"")</f>
        <v/>
      </c>
      <c r="F47" s="32">
        <f>IF($A47=1,"SAL","")</f>
        <v/>
      </c>
      <c r="G47" s="32">
        <f>IF($A47=1,IF(Sales_Daily!$AN8="","",Sales_Daily!$AN8),"")</f>
        <v/>
      </c>
      <c r="H47" s="32">
        <f>IF($A47=1,IF(COUNTIF(COA!$A:$A,$G47)=0,"حساب غير معرف",INDEX(COA!$B:$B,MATCH($G47,COA!$A:$A,0))),"")</f>
        <v/>
      </c>
      <c r="I47" s="32">
        <f>IF($A47=1,IF(Sales_Daily!$C8="","",Sales_Daily!$C8),"")</f>
        <v/>
      </c>
      <c r="J47" s="32">
        <f>IF($A47=1,"CC10","")</f>
        <v/>
      </c>
      <c r="K47" s="32">
        <f>IF($A47=1,"-","")</f>
        <v/>
      </c>
      <c r="L47" s="32">
        <f>IF($A47=1,"مبيعات - تحصيل DLV2","")</f>
        <v/>
      </c>
      <c r="M47" s="43">
        <f>IF($A47=1,Sales_Daily!$O8,"")</f>
        <v/>
      </c>
      <c r="N47" s="43">
        <f>IF($A47=1,0,"")</f>
        <v/>
      </c>
      <c r="O47" s="32">
        <f>IF($A47=1,Sales_Daily!$S8,"")</f>
        <v/>
      </c>
      <c r="P47" s="32">
        <f>IF($A47=1,IF(Sales_Daily!$AW8="","",Sales_Daily!$AW8),"")</f>
        <v/>
      </c>
      <c r="Q47" s="32">
        <f>IF($A47=1,Sales_Daily!$AY8,"")</f>
        <v/>
      </c>
      <c r="R47" s="32">
        <f>IF($A47=1,IF(AND($Q47=1,COUNTIFS(COA!$A:$A,$G47,COA!$R:$R,1)=1),1,0),"")</f>
        <v/>
      </c>
      <c r="S47" s="43">
        <f>IF($A47=1,IF($R47=1,N($M47),0),"")</f>
        <v/>
      </c>
      <c r="T47" s="43">
        <f>IF($A47=1,IF($R47=1,N($N47),0),"")</f>
        <v/>
      </c>
      <c r="U47" s="32">
        <f>IF($A47=1,YEAR($D47)*100+MONTH($D47),"")</f>
        <v/>
      </c>
      <c r="V47" s="32">
        <f>IF($A47=1,IF(COUNTIF(COA!$A:$A,$G47)=0,0,INDEX(COA!$H:$H,MATCH($G47,COA!$A:$A,0))),"")</f>
        <v/>
      </c>
      <c r="W47" s="32">
        <f>IF($A47=1,"OPERATING","")</f>
        <v/>
      </c>
      <c r="X47" s="32">
        <f>IF($A47=1,IF($R47=1,"",IF($O47=ST_POST,IF($P47&lt;&gt;"",$P47,"حساب غير صالح أو غير نشط"),IF($O47=ST_REV,"معكوس: لا أثر على الدفاتر",IF($O47=ST_CANC,"ملغى",IF($O47=ST_APPR,"معتمد ولم يُرحَّل","مسودة"))))),"")</f>
        <v/>
      </c>
      <c r="Y47" s="32">
        <f>IF($A47=1,IF(AND($R47=1,OR(LG_Acct="",$G47=LG_Acct),OR(LG_Party="",$K47=LG_Party),OR(LG_Loc="ALL",$I47=LG_Loc),OR(LG_CC="ALL",$J47=LG_CC),$D47&gt;=LG_From,$D47&lt;=LG_To),$D47+ROW()/1000000,""),"")</f>
        <v/>
      </c>
      <c r="Z47" s="32">
        <f>IF($A47=1,IF(Sales_Daily!$T8="","",Sales_Daily!$T8),"")</f>
        <v/>
      </c>
      <c r="AA47" s="32">
        <f>IF($A47=1,IF(Sales_Daily!$U8="","",Sales_Daily!$U8),"")</f>
        <v/>
      </c>
      <c r="AB47" s="32">
        <f>IF($A47=1,IF(Sales_Daily!$V8="","",Sales_Daily!$V8),"")</f>
        <v/>
      </c>
      <c r="AC47" s="32">
        <f>IF($A47=1,IF(Sales_Daily!$W8="","",Sales_Daily!$W8),"")</f>
        <v/>
      </c>
      <c r="AD47" s="32">
        <f>IF($A47=1,IF(Sales_Daily!$X8="","",Sales_Daily!$X8),"")</f>
        <v/>
      </c>
      <c r="AE47" s="32">
        <f>IF($A47=1,0,"")</f>
        <v/>
      </c>
      <c r="AF47" s="32" t="inlineStr"/>
    </row>
    <row r="48">
      <c r="A48" s="32">
        <f>IF(AND(Sales_Daily!$AV8=1,N(Sales_Daily!$P8)&gt;0),1,0)</f>
        <v/>
      </c>
      <c r="B48" s="32">
        <f>IF($A48=1,$E48&amp;"/5","")</f>
        <v/>
      </c>
      <c r="C48" s="32">
        <f>IF($A48=1,"J-"&amp;Sales_Daily!$A8,"")</f>
        <v/>
      </c>
      <c r="D48" s="33">
        <f>IF($A48=1,Sales_Daily!$B8,"")</f>
        <v/>
      </c>
      <c r="E48" s="32">
        <f>IF($A48=1,IF(Sales_Daily!$A8="","",Sales_Daily!$A8),"")</f>
        <v/>
      </c>
      <c r="F48" s="32">
        <f>IF($A48=1,"SAL","")</f>
        <v/>
      </c>
      <c r="G48" s="32">
        <f>IF($A48=1,IF(Sales_Daily!$AO8="","",Sales_Daily!$AO8),"")</f>
        <v/>
      </c>
      <c r="H48" s="32">
        <f>IF($A48=1,IF(COUNTIF(COA!$A:$A,$G48)=0,"حساب غير معرف",INDEX(COA!$B:$B,MATCH($G48,COA!$A:$A,0))),"")</f>
        <v/>
      </c>
      <c r="I48" s="32">
        <f>IF($A48=1,IF(Sales_Daily!$C8="","",Sales_Daily!$C8),"")</f>
        <v/>
      </c>
      <c r="J48" s="32">
        <f>IF($A48=1,"CC10","")</f>
        <v/>
      </c>
      <c r="K48" s="32">
        <f>IF($A48=1,"-","")</f>
        <v/>
      </c>
      <c r="L48" s="32">
        <f>IF($A48=1,"مبيعات - تحصيل INSTA","")</f>
        <v/>
      </c>
      <c r="M48" s="43">
        <f>IF($A48=1,Sales_Daily!$P8,"")</f>
        <v/>
      </c>
      <c r="N48" s="43">
        <f>IF($A48=1,0,"")</f>
        <v/>
      </c>
      <c r="O48" s="32">
        <f>IF($A48=1,Sales_Daily!$S8,"")</f>
        <v/>
      </c>
      <c r="P48" s="32">
        <f>IF($A48=1,IF(Sales_Daily!$AW8="","",Sales_Daily!$AW8),"")</f>
        <v/>
      </c>
      <c r="Q48" s="32">
        <f>IF($A48=1,Sales_Daily!$AY8,"")</f>
        <v/>
      </c>
      <c r="R48" s="32">
        <f>IF($A48=1,IF(AND($Q48=1,COUNTIFS(COA!$A:$A,$G48,COA!$R:$R,1)=1),1,0),"")</f>
        <v/>
      </c>
      <c r="S48" s="43">
        <f>IF($A48=1,IF($R48=1,N($M48),0),"")</f>
        <v/>
      </c>
      <c r="T48" s="43">
        <f>IF($A48=1,IF($R48=1,N($N48),0),"")</f>
        <v/>
      </c>
      <c r="U48" s="32">
        <f>IF($A48=1,YEAR($D48)*100+MONTH($D48),"")</f>
        <v/>
      </c>
      <c r="V48" s="32">
        <f>IF($A48=1,IF(COUNTIF(COA!$A:$A,$G48)=0,0,INDEX(COA!$H:$H,MATCH($G48,COA!$A:$A,0))),"")</f>
        <v/>
      </c>
      <c r="W48" s="32">
        <f>IF($A48=1,"OPERATING","")</f>
        <v/>
      </c>
      <c r="X48" s="32">
        <f>IF($A48=1,IF($R48=1,"",IF($O48=ST_POST,IF($P48&lt;&gt;"",$P48,"حساب غير صالح أو غير نشط"),IF($O48=ST_REV,"معكوس: لا أثر على الدفاتر",IF($O48=ST_CANC,"ملغى",IF($O48=ST_APPR,"معتمد ولم يُرحَّل","مسودة"))))),"")</f>
        <v/>
      </c>
      <c r="Y48" s="32">
        <f>IF($A48=1,IF(AND($R48=1,OR(LG_Acct="",$G48=LG_Acct),OR(LG_Party="",$K48=LG_Party),OR(LG_Loc="ALL",$I48=LG_Loc),OR(LG_CC="ALL",$J48=LG_CC),$D48&gt;=LG_From,$D48&lt;=LG_To),$D48+ROW()/1000000,""),"")</f>
        <v/>
      </c>
      <c r="Z48" s="32">
        <f>IF($A48=1,IF(Sales_Daily!$T8="","",Sales_Daily!$T8),"")</f>
        <v/>
      </c>
      <c r="AA48" s="32">
        <f>IF($A48=1,IF(Sales_Daily!$U8="","",Sales_Daily!$U8),"")</f>
        <v/>
      </c>
      <c r="AB48" s="32">
        <f>IF($A48=1,IF(Sales_Daily!$V8="","",Sales_Daily!$V8),"")</f>
        <v/>
      </c>
      <c r="AC48" s="32">
        <f>IF($A48=1,IF(Sales_Daily!$W8="","",Sales_Daily!$W8),"")</f>
        <v/>
      </c>
      <c r="AD48" s="32">
        <f>IF($A48=1,IF(Sales_Daily!$X8="","",Sales_Daily!$X8),"")</f>
        <v/>
      </c>
      <c r="AE48" s="32">
        <f>IF($A48=1,0,"")</f>
        <v/>
      </c>
      <c r="AF48" s="32" t="inlineStr"/>
    </row>
    <row r="49">
      <c r="A49" s="32">
        <f>IF(AND(Sales_Daily!$AV8=1,N(Sales_Daily!$Q8)&gt;0),1,0)</f>
        <v/>
      </c>
      <c r="B49" s="32">
        <f>IF($A49=1,$E49&amp;"/6","")</f>
        <v/>
      </c>
      <c r="C49" s="32">
        <f>IF($A49=1,"J-"&amp;Sales_Daily!$A8,"")</f>
        <v/>
      </c>
      <c r="D49" s="33">
        <f>IF($A49=1,Sales_Daily!$B8,"")</f>
        <v/>
      </c>
      <c r="E49" s="32">
        <f>IF($A49=1,IF(Sales_Daily!$A8="","",Sales_Daily!$A8),"")</f>
        <v/>
      </c>
      <c r="F49" s="32">
        <f>IF($A49=1,"SAL","")</f>
        <v/>
      </c>
      <c r="G49" s="32">
        <f>IF($A49=1,IF(Sales_Daily!$AP8="","",Sales_Daily!$AP8),"")</f>
        <v/>
      </c>
      <c r="H49" s="32">
        <f>IF($A49=1,IF(COUNTIF(COA!$A:$A,$G49)=0,"حساب غير معرف",INDEX(COA!$B:$B,MATCH($G49,COA!$A:$A,0))),"")</f>
        <v/>
      </c>
      <c r="I49" s="32">
        <f>IF($A49=1,IF(Sales_Daily!$C8="","",Sales_Daily!$C8),"")</f>
        <v/>
      </c>
      <c r="J49" s="32">
        <f>IF($A49=1,"CC10","")</f>
        <v/>
      </c>
      <c r="K49" s="32">
        <f>IF($A49=1,"-","")</f>
        <v/>
      </c>
      <c r="L49" s="32">
        <f>IF($A49=1,"مبيعات - تحصيل OTH","")</f>
        <v/>
      </c>
      <c r="M49" s="43">
        <f>IF($A49=1,Sales_Daily!$Q8,"")</f>
        <v/>
      </c>
      <c r="N49" s="43">
        <f>IF($A49=1,0,"")</f>
        <v/>
      </c>
      <c r="O49" s="32">
        <f>IF($A49=1,Sales_Daily!$S8,"")</f>
        <v/>
      </c>
      <c r="P49" s="32">
        <f>IF($A49=1,IF(Sales_Daily!$AW8="","",Sales_Daily!$AW8),"")</f>
        <v/>
      </c>
      <c r="Q49" s="32">
        <f>IF($A49=1,Sales_Daily!$AY8,"")</f>
        <v/>
      </c>
      <c r="R49" s="32">
        <f>IF($A49=1,IF(AND($Q49=1,COUNTIFS(COA!$A:$A,$G49,COA!$R:$R,1)=1),1,0),"")</f>
        <v/>
      </c>
      <c r="S49" s="43">
        <f>IF($A49=1,IF($R49=1,N($M49),0),"")</f>
        <v/>
      </c>
      <c r="T49" s="43">
        <f>IF($A49=1,IF($R49=1,N($N49),0),"")</f>
        <v/>
      </c>
      <c r="U49" s="32">
        <f>IF($A49=1,YEAR($D49)*100+MONTH($D49),"")</f>
        <v/>
      </c>
      <c r="V49" s="32">
        <f>IF($A49=1,IF(COUNTIF(COA!$A:$A,$G49)=0,0,INDEX(COA!$H:$H,MATCH($G49,COA!$A:$A,0))),"")</f>
        <v/>
      </c>
      <c r="W49" s="32">
        <f>IF($A49=1,"OPERATING","")</f>
        <v/>
      </c>
      <c r="X49" s="32">
        <f>IF($A49=1,IF($R49=1,"",IF($O49=ST_POST,IF($P49&lt;&gt;"",$P49,"حساب غير صالح أو غير نشط"),IF($O49=ST_REV,"معكوس: لا أثر على الدفاتر",IF($O49=ST_CANC,"ملغى",IF($O49=ST_APPR,"معتمد ولم يُرحَّل","مسودة"))))),"")</f>
        <v/>
      </c>
      <c r="Y49" s="32">
        <f>IF($A49=1,IF(AND($R49=1,OR(LG_Acct="",$G49=LG_Acct),OR(LG_Party="",$K49=LG_Party),OR(LG_Loc="ALL",$I49=LG_Loc),OR(LG_CC="ALL",$J49=LG_CC),$D49&gt;=LG_From,$D49&lt;=LG_To),$D49+ROW()/1000000,""),"")</f>
        <v/>
      </c>
      <c r="Z49" s="32">
        <f>IF($A49=1,IF(Sales_Daily!$T8="","",Sales_Daily!$T8),"")</f>
        <v/>
      </c>
      <c r="AA49" s="32">
        <f>IF($A49=1,IF(Sales_Daily!$U8="","",Sales_Daily!$U8),"")</f>
        <v/>
      </c>
      <c r="AB49" s="32">
        <f>IF($A49=1,IF(Sales_Daily!$V8="","",Sales_Daily!$V8),"")</f>
        <v/>
      </c>
      <c r="AC49" s="32">
        <f>IF($A49=1,IF(Sales_Daily!$W8="","",Sales_Daily!$W8),"")</f>
        <v/>
      </c>
      <c r="AD49" s="32">
        <f>IF($A49=1,IF(Sales_Daily!$X8="","",Sales_Daily!$X8),"")</f>
        <v/>
      </c>
      <c r="AE49" s="32">
        <f>IF($A49=1,0,"")</f>
        <v/>
      </c>
      <c r="AF49" s="32" t="inlineStr"/>
    </row>
    <row r="50">
      <c r="A50" s="32">
        <f>IF(AND(Sales_Daily!$AV8=1,N(Sales_Daily!$AH8)&gt;0),1,0)</f>
        <v/>
      </c>
      <c r="B50" s="32">
        <f>IF($A50=1,$E50&amp;"/7","")</f>
        <v/>
      </c>
      <c r="C50" s="32">
        <f>IF($A50=1,"J-"&amp;Sales_Daily!$A8,"")</f>
        <v/>
      </c>
      <c r="D50" s="33">
        <f>IF($A50=1,Sales_Daily!$B8,"")</f>
        <v/>
      </c>
      <c r="E50" s="32">
        <f>IF($A50=1,IF(Sales_Daily!$A8="","",Sales_Daily!$A8),"")</f>
        <v/>
      </c>
      <c r="F50" s="32">
        <f>IF($A50=1,"SAL","")</f>
        <v/>
      </c>
      <c r="G50" s="32">
        <f>IF($A50=1,ACC_DISC,"")</f>
        <v/>
      </c>
      <c r="H50" s="32">
        <f>IF($A50=1,IF(COUNTIF(COA!$A:$A,$G50)=0,"حساب غير معرف",INDEX(COA!$B:$B,MATCH($G50,COA!$A:$A,0))),"")</f>
        <v/>
      </c>
      <c r="I50" s="32">
        <f>IF($A50=1,IF(Sales_Daily!$C8="","",Sales_Daily!$C8),"")</f>
        <v/>
      </c>
      <c r="J50" s="32">
        <f>IF($A50=1,"CC10","")</f>
        <v/>
      </c>
      <c r="K50" s="32">
        <f>IF($A50=1,"-","")</f>
        <v/>
      </c>
      <c r="L50" s="32">
        <f>IF($A50=1,"خصومات المبيعات والعروض","")</f>
        <v/>
      </c>
      <c r="M50" s="43">
        <f>IF($A50=1,Sales_Daily!$AH8,"")</f>
        <v/>
      </c>
      <c r="N50" s="43">
        <f>IF($A50=1,0,"")</f>
        <v/>
      </c>
      <c r="O50" s="32">
        <f>IF($A50=1,Sales_Daily!$S8,"")</f>
        <v/>
      </c>
      <c r="P50" s="32">
        <f>IF($A50=1,IF(Sales_Daily!$AW8="","",Sales_Daily!$AW8),"")</f>
        <v/>
      </c>
      <c r="Q50" s="32">
        <f>IF($A50=1,Sales_Daily!$AY8,"")</f>
        <v/>
      </c>
      <c r="R50" s="32">
        <f>IF($A50=1,IF(AND($Q50=1,COUNTIFS(COA!$A:$A,$G50,COA!$R:$R,1)=1),1,0),"")</f>
        <v/>
      </c>
      <c r="S50" s="43">
        <f>IF($A50=1,IF($R50=1,N($M50),0),"")</f>
        <v/>
      </c>
      <c r="T50" s="43">
        <f>IF($A50=1,IF($R50=1,N($N50),0),"")</f>
        <v/>
      </c>
      <c r="U50" s="32">
        <f>IF($A50=1,YEAR($D50)*100+MONTH($D50),"")</f>
        <v/>
      </c>
      <c r="V50" s="32">
        <f>IF($A50=1,IF(COUNTIF(COA!$A:$A,$G50)=0,0,INDEX(COA!$H:$H,MATCH($G50,COA!$A:$A,0))),"")</f>
        <v/>
      </c>
      <c r="W50" s="32">
        <f>IF($A50=1,"","")</f>
        <v/>
      </c>
      <c r="X50" s="32">
        <f>IF($A50=1,IF($R50=1,"",IF($O50=ST_POST,IF($P50&lt;&gt;"",$P50,"حساب غير صالح أو غير نشط"),IF($O50=ST_REV,"معكوس: لا أثر على الدفاتر",IF($O50=ST_CANC,"ملغى",IF($O50=ST_APPR,"معتمد ولم يُرحَّل","مسودة"))))),"")</f>
        <v/>
      </c>
      <c r="Y50" s="32">
        <f>IF($A50=1,IF(AND($R50=1,OR(LG_Acct="",$G50=LG_Acct),OR(LG_Party="",$K50=LG_Party),OR(LG_Loc="ALL",$I50=LG_Loc),OR(LG_CC="ALL",$J50=LG_CC),$D50&gt;=LG_From,$D50&lt;=LG_To),$D50+ROW()/1000000,""),"")</f>
        <v/>
      </c>
      <c r="Z50" s="32">
        <f>IF($A50=1,IF(Sales_Daily!$T8="","",Sales_Daily!$T8),"")</f>
        <v/>
      </c>
      <c r="AA50" s="32">
        <f>IF($A50=1,IF(Sales_Daily!$U8="","",Sales_Daily!$U8),"")</f>
        <v/>
      </c>
      <c r="AB50" s="32">
        <f>IF($A50=1,IF(Sales_Daily!$V8="","",Sales_Daily!$V8),"")</f>
        <v/>
      </c>
      <c r="AC50" s="32">
        <f>IF($A50=1,IF(Sales_Daily!$W8="","",Sales_Daily!$W8),"")</f>
        <v/>
      </c>
      <c r="AD50" s="32">
        <f>IF($A50=1,IF(Sales_Daily!$X8="","",Sales_Daily!$X8),"")</f>
        <v/>
      </c>
      <c r="AE50" s="32">
        <f>IF($A50=1,0,"")</f>
        <v/>
      </c>
      <c r="AF50" s="32" t="inlineStr"/>
    </row>
    <row r="51">
      <c r="A51" s="32">
        <f>IF(AND(Sales_Daily!$AV8=1,N(Sales_Daily!$AI8)&gt;0),1,0)</f>
        <v/>
      </c>
      <c r="B51" s="32">
        <f>IF($A51=1,$E51&amp;"/8","")</f>
        <v/>
      </c>
      <c r="C51" s="32">
        <f>IF($A51=1,"J-"&amp;Sales_Daily!$A8,"")</f>
        <v/>
      </c>
      <c r="D51" s="33">
        <f>IF($A51=1,Sales_Daily!$B8,"")</f>
        <v/>
      </c>
      <c r="E51" s="32">
        <f>IF($A51=1,IF(Sales_Daily!$A8="","",Sales_Daily!$A8),"")</f>
        <v/>
      </c>
      <c r="F51" s="32">
        <f>IF($A51=1,"SAL","")</f>
        <v/>
      </c>
      <c r="G51" s="32">
        <f>IF($A51=1,ACC_RET,"")</f>
        <v/>
      </c>
      <c r="H51" s="32">
        <f>IF($A51=1,IF(COUNTIF(COA!$A:$A,$G51)=0,"حساب غير معرف",INDEX(COA!$B:$B,MATCH($G51,COA!$A:$A,0))),"")</f>
        <v/>
      </c>
      <c r="I51" s="32">
        <f>IF($A51=1,IF(Sales_Daily!$C8="","",Sales_Daily!$C8),"")</f>
        <v/>
      </c>
      <c r="J51" s="32">
        <f>IF($A51=1,"CC10","")</f>
        <v/>
      </c>
      <c r="K51" s="32">
        <f>IF($A51=1,"-","")</f>
        <v/>
      </c>
      <c r="L51" s="32">
        <f>IF($A51=1,"مرتجعات وإلغاءات المبيعات","")</f>
        <v/>
      </c>
      <c r="M51" s="43">
        <f>IF($A51=1,Sales_Daily!$AI8,"")</f>
        <v/>
      </c>
      <c r="N51" s="43">
        <f>IF($A51=1,0,"")</f>
        <v/>
      </c>
      <c r="O51" s="32">
        <f>IF($A51=1,Sales_Daily!$S8,"")</f>
        <v/>
      </c>
      <c r="P51" s="32">
        <f>IF($A51=1,IF(Sales_Daily!$AW8="","",Sales_Daily!$AW8),"")</f>
        <v/>
      </c>
      <c r="Q51" s="32">
        <f>IF($A51=1,Sales_Daily!$AY8,"")</f>
        <v/>
      </c>
      <c r="R51" s="32">
        <f>IF($A51=1,IF(AND($Q51=1,COUNTIFS(COA!$A:$A,$G51,COA!$R:$R,1)=1),1,0),"")</f>
        <v/>
      </c>
      <c r="S51" s="43">
        <f>IF($A51=1,IF($R51=1,N($M51),0),"")</f>
        <v/>
      </c>
      <c r="T51" s="43">
        <f>IF($A51=1,IF($R51=1,N($N51),0),"")</f>
        <v/>
      </c>
      <c r="U51" s="32">
        <f>IF($A51=1,YEAR($D51)*100+MONTH($D51),"")</f>
        <v/>
      </c>
      <c r="V51" s="32">
        <f>IF($A51=1,IF(COUNTIF(COA!$A:$A,$G51)=0,0,INDEX(COA!$H:$H,MATCH($G51,COA!$A:$A,0))),"")</f>
        <v/>
      </c>
      <c r="W51" s="32">
        <f>IF($A51=1,"","")</f>
        <v/>
      </c>
      <c r="X51" s="32">
        <f>IF($A51=1,IF($R51=1,"",IF($O51=ST_POST,IF($P51&lt;&gt;"",$P51,"حساب غير صالح أو غير نشط"),IF($O51=ST_REV,"معكوس: لا أثر على الدفاتر",IF($O51=ST_CANC,"ملغى",IF($O51=ST_APPR,"معتمد ولم يُرحَّل","مسودة"))))),"")</f>
        <v/>
      </c>
      <c r="Y51" s="32">
        <f>IF($A51=1,IF(AND($R51=1,OR(LG_Acct="",$G51=LG_Acct),OR(LG_Party="",$K51=LG_Party),OR(LG_Loc="ALL",$I51=LG_Loc),OR(LG_CC="ALL",$J51=LG_CC),$D51&gt;=LG_From,$D51&lt;=LG_To),$D51+ROW()/1000000,""),"")</f>
        <v/>
      </c>
      <c r="Z51" s="32">
        <f>IF($A51=1,IF(Sales_Daily!$T8="","",Sales_Daily!$T8),"")</f>
        <v/>
      </c>
      <c r="AA51" s="32">
        <f>IF($A51=1,IF(Sales_Daily!$U8="","",Sales_Daily!$U8),"")</f>
        <v/>
      </c>
      <c r="AB51" s="32">
        <f>IF($A51=1,IF(Sales_Daily!$V8="","",Sales_Daily!$V8),"")</f>
        <v/>
      </c>
      <c r="AC51" s="32">
        <f>IF($A51=1,IF(Sales_Daily!$W8="","",Sales_Daily!$W8),"")</f>
        <v/>
      </c>
      <c r="AD51" s="32">
        <f>IF($A51=1,IF(Sales_Daily!$X8="","",Sales_Daily!$X8),"")</f>
        <v/>
      </c>
      <c r="AE51" s="32">
        <f>IF($A51=1,0,"")</f>
        <v/>
      </c>
      <c r="AF51" s="32" t="inlineStr"/>
    </row>
    <row r="52">
      <c r="A52" s="32">
        <f>IF(AND(Sales_Daily!$AV8=1,N(Sales_Daily!$AD8)&gt;0),1,0)</f>
        <v/>
      </c>
      <c r="B52" s="32">
        <f>IF($A52=1,$E52&amp;"/9","")</f>
        <v/>
      </c>
      <c r="C52" s="32">
        <f>IF($A52=1,"J-"&amp;Sales_Daily!$A8,"")</f>
        <v/>
      </c>
      <c r="D52" s="33">
        <f>IF($A52=1,Sales_Daily!$B8,"")</f>
        <v/>
      </c>
      <c r="E52" s="32">
        <f>IF($A52=1,IF(Sales_Daily!$A8="","",Sales_Daily!$A8),"")</f>
        <v/>
      </c>
      <c r="F52" s="32">
        <f>IF($A52=1,"SAL","")</f>
        <v/>
      </c>
      <c r="G52" s="32">
        <f>IF($A52=1,IF(Sales_Daily!$AQ8="","",Sales_Daily!$AQ8),"")</f>
        <v/>
      </c>
      <c r="H52" s="32">
        <f>IF($A52=1,IF(COUNTIF(COA!$A:$A,$G52)=0,"حساب غير معرف",INDEX(COA!$B:$B,MATCH($G52,COA!$A:$A,0))),"")</f>
        <v/>
      </c>
      <c r="I52" s="32">
        <f>IF($A52=1,IF(Sales_Daily!$C8="","",Sales_Daily!$C8),"")</f>
        <v/>
      </c>
      <c r="J52" s="32">
        <f>IF($A52=1,"CC10","")</f>
        <v/>
      </c>
      <c r="K52" s="32">
        <f>IF($A52=1,"-","")</f>
        <v/>
      </c>
      <c r="L52" s="32">
        <f>IF($A52=1,"إيراد مبيعات - فئة فطير","")</f>
        <v/>
      </c>
      <c r="M52" s="43">
        <f>IF($A52=1,0,"")</f>
        <v/>
      </c>
      <c r="N52" s="43">
        <f>IF($A52=1,Sales_Daily!$AD8,"")</f>
        <v/>
      </c>
      <c r="O52" s="32">
        <f>IF($A52=1,Sales_Daily!$S8,"")</f>
        <v/>
      </c>
      <c r="P52" s="32">
        <f>IF($A52=1,IF(Sales_Daily!$AW8="","",Sales_Daily!$AW8),"")</f>
        <v/>
      </c>
      <c r="Q52" s="32">
        <f>IF($A52=1,Sales_Daily!$AY8,"")</f>
        <v/>
      </c>
      <c r="R52" s="32">
        <f>IF($A52=1,IF(AND($Q52=1,COUNTIFS(COA!$A:$A,$G52,COA!$R:$R,1)=1),1,0),"")</f>
        <v/>
      </c>
      <c r="S52" s="43">
        <f>IF($A52=1,IF($R52=1,N($M52),0),"")</f>
        <v/>
      </c>
      <c r="T52" s="43">
        <f>IF($A52=1,IF($R52=1,N($N52),0),"")</f>
        <v/>
      </c>
      <c r="U52" s="32">
        <f>IF($A52=1,YEAR($D52)*100+MONTH($D52),"")</f>
        <v/>
      </c>
      <c r="V52" s="32">
        <f>IF($A52=1,IF(COUNTIF(COA!$A:$A,$G52)=0,0,INDEX(COA!$H:$H,MATCH($G52,COA!$A:$A,0))),"")</f>
        <v/>
      </c>
      <c r="W52" s="32">
        <f>IF($A52=1,"","")</f>
        <v/>
      </c>
      <c r="X52" s="32">
        <f>IF($A52=1,IF($R52=1,"",IF($O52=ST_POST,IF($P52&lt;&gt;"",$P52,"حساب غير صالح أو غير نشط"),IF($O52=ST_REV,"معكوس: لا أثر على الدفاتر",IF($O52=ST_CANC,"ملغى",IF($O52=ST_APPR,"معتمد ولم يُرحَّل","مسودة"))))),"")</f>
        <v/>
      </c>
      <c r="Y52" s="32">
        <f>IF($A52=1,IF(AND($R52=1,OR(LG_Acct="",$G52=LG_Acct),OR(LG_Party="",$K52=LG_Party),OR(LG_Loc="ALL",$I52=LG_Loc),OR(LG_CC="ALL",$J52=LG_CC),$D52&gt;=LG_From,$D52&lt;=LG_To),$D52+ROW()/1000000,""),"")</f>
        <v/>
      </c>
      <c r="Z52" s="32">
        <f>IF($A52=1,IF(Sales_Daily!$T8="","",Sales_Daily!$T8),"")</f>
        <v/>
      </c>
      <c r="AA52" s="32">
        <f>IF($A52=1,IF(Sales_Daily!$U8="","",Sales_Daily!$U8),"")</f>
        <v/>
      </c>
      <c r="AB52" s="32">
        <f>IF($A52=1,IF(Sales_Daily!$V8="","",Sales_Daily!$V8),"")</f>
        <v/>
      </c>
      <c r="AC52" s="32">
        <f>IF($A52=1,IF(Sales_Daily!$W8="","",Sales_Daily!$W8),"")</f>
        <v/>
      </c>
      <c r="AD52" s="32">
        <f>IF($A52=1,IF(Sales_Daily!$X8="","",Sales_Daily!$X8),"")</f>
        <v/>
      </c>
      <c r="AE52" s="32">
        <f>IF($A52=1,0,"")</f>
        <v/>
      </c>
      <c r="AF52" s="32" t="inlineStr"/>
    </row>
    <row r="53">
      <c r="A53" s="32">
        <f>IF(AND(Sales_Daily!$AV8=1,N(Sales_Daily!$AE8)&gt;0),1,0)</f>
        <v/>
      </c>
      <c r="B53" s="32">
        <f>IF($A53=1,$E53&amp;"/10","")</f>
        <v/>
      </c>
      <c r="C53" s="32">
        <f>IF($A53=1,"J-"&amp;Sales_Daily!$A8,"")</f>
        <v/>
      </c>
      <c r="D53" s="33">
        <f>IF($A53=1,Sales_Daily!$B8,"")</f>
        <v/>
      </c>
      <c r="E53" s="32">
        <f>IF($A53=1,IF(Sales_Daily!$A8="","",Sales_Daily!$A8),"")</f>
        <v/>
      </c>
      <c r="F53" s="32">
        <f>IF($A53=1,"SAL","")</f>
        <v/>
      </c>
      <c r="G53" s="32">
        <f>IF($A53=1,IF(Sales_Daily!$AR8="","",Sales_Daily!$AR8),"")</f>
        <v/>
      </c>
      <c r="H53" s="32">
        <f>IF($A53=1,IF(COUNTIF(COA!$A:$A,$G53)=0,"حساب غير معرف",INDEX(COA!$B:$B,MATCH($G53,COA!$A:$A,0))),"")</f>
        <v/>
      </c>
      <c r="I53" s="32">
        <f>IF($A53=1,IF(Sales_Daily!$C8="","",Sales_Daily!$C8),"")</f>
        <v/>
      </c>
      <c r="J53" s="32">
        <f>IF($A53=1,"CC10","")</f>
        <v/>
      </c>
      <c r="K53" s="32">
        <f>IF($A53=1,"-","")</f>
        <v/>
      </c>
      <c r="L53" s="32">
        <f>IF($A53=1,"إيراد مبيعات - فئة بيتزا","")</f>
        <v/>
      </c>
      <c r="M53" s="43">
        <f>IF($A53=1,0,"")</f>
        <v/>
      </c>
      <c r="N53" s="43">
        <f>IF($A53=1,Sales_Daily!$AE8,"")</f>
        <v/>
      </c>
      <c r="O53" s="32">
        <f>IF($A53=1,Sales_Daily!$S8,"")</f>
        <v/>
      </c>
      <c r="P53" s="32">
        <f>IF($A53=1,IF(Sales_Daily!$AW8="","",Sales_Daily!$AW8),"")</f>
        <v/>
      </c>
      <c r="Q53" s="32">
        <f>IF($A53=1,Sales_Daily!$AY8,"")</f>
        <v/>
      </c>
      <c r="R53" s="32">
        <f>IF($A53=1,IF(AND($Q53=1,COUNTIFS(COA!$A:$A,$G53,COA!$R:$R,1)=1),1,0),"")</f>
        <v/>
      </c>
      <c r="S53" s="43">
        <f>IF($A53=1,IF($R53=1,N($M53),0),"")</f>
        <v/>
      </c>
      <c r="T53" s="43">
        <f>IF($A53=1,IF($R53=1,N($N53),0),"")</f>
        <v/>
      </c>
      <c r="U53" s="32">
        <f>IF($A53=1,YEAR($D53)*100+MONTH($D53),"")</f>
        <v/>
      </c>
      <c r="V53" s="32">
        <f>IF($A53=1,IF(COUNTIF(COA!$A:$A,$G53)=0,0,INDEX(COA!$H:$H,MATCH($G53,COA!$A:$A,0))),"")</f>
        <v/>
      </c>
      <c r="W53" s="32">
        <f>IF($A53=1,"","")</f>
        <v/>
      </c>
      <c r="X53" s="32">
        <f>IF($A53=1,IF($R53=1,"",IF($O53=ST_POST,IF($P53&lt;&gt;"",$P53,"حساب غير صالح أو غير نشط"),IF($O53=ST_REV,"معكوس: لا أثر على الدفاتر",IF($O53=ST_CANC,"ملغى",IF($O53=ST_APPR,"معتمد ولم يُرحَّل","مسودة"))))),"")</f>
        <v/>
      </c>
      <c r="Y53" s="32">
        <f>IF($A53=1,IF(AND($R53=1,OR(LG_Acct="",$G53=LG_Acct),OR(LG_Party="",$K53=LG_Party),OR(LG_Loc="ALL",$I53=LG_Loc),OR(LG_CC="ALL",$J53=LG_CC),$D53&gt;=LG_From,$D53&lt;=LG_To),$D53+ROW()/1000000,""),"")</f>
        <v/>
      </c>
      <c r="Z53" s="32">
        <f>IF($A53=1,IF(Sales_Daily!$T8="","",Sales_Daily!$T8),"")</f>
        <v/>
      </c>
      <c r="AA53" s="32">
        <f>IF($A53=1,IF(Sales_Daily!$U8="","",Sales_Daily!$U8),"")</f>
        <v/>
      </c>
      <c r="AB53" s="32">
        <f>IF($A53=1,IF(Sales_Daily!$V8="","",Sales_Daily!$V8),"")</f>
        <v/>
      </c>
      <c r="AC53" s="32">
        <f>IF($A53=1,IF(Sales_Daily!$W8="","",Sales_Daily!$W8),"")</f>
        <v/>
      </c>
      <c r="AD53" s="32">
        <f>IF($A53=1,IF(Sales_Daily!$X8="","",Sales_Daily!$X8),"")</f>
        <v/>
      </c>
      <c r="AE53" s="32">
        <f>IF($A53=1,0,"")</f>
        <v/>
      </c>
      <c r="AF53" s="32" t="inlineStr"/>
    </row>
    <row r="54">
      <c r="A54" s="32">
        <f>IF(AND(Sales_Daily!$AV8=1,N(Sales_Daily!$AF8)&gt;0),1,0)</f>
        <v/>
      </c>
      <c r="B54" s="32">
        <f>IF($A54=1,$E54&amp;"/11","")</f>
        <v/>
      </c>
      <c r="C54" s="32">
        <f>IF($A54=1,"J-"&amp;Sales_Daily!$A8,"")</f>
        <v/>
      </c>
      <c r="D54" s="33">
        <f>IF($A54=1,Sales_Daily!$B8,"")</f>
        <v/>
      </c>
      <c r="E54" s="32">
        <f>IF($A54=1,IF(Sales_Daily!$A8="","",Sales_Daily!$A8),"")</f>
        <v/>
      </c>
      <c r="F54" s="32">
        <f>IF($A54=1,"SAL","")</f>
        <v/>
      </c>
      <c r="G54" s="32">
        <f>IF($A54=1,IF(Sales_Daily!$AS8="","",Sales_Daily!$AS8),"")</f>
        <v/>
      </c>
      <c r="H54" s="32">
        <f>IF($A54=1,IF(COUNTIF(COA!$A:$A,$G54)=0,"حساب غير معرف",INDEX(COA!$B:$B,MATCH($G54,COA!$A:$A,0))),"")</f>
        <v/>
      </c>
      <c r="I54" s="32">
        <f>IF($A54=1,IF(Sales_Daily!$C8="","",Sales_Daily!$C8),"")</f>
        <v/>
      </c>
      <c r="J54" s="32">
        <f>IF($A54=1,"CC10","")</f>
        <v/>
      </c>
      <c r="K54" s="32">
        <f>IF($A54=1,"-","")</f>
        <v/>
      </c>
      <c r="L54" s="32">
        <f>IF($A54=1,"إيراد مبيعات - فئة مكرونات","")</f>
        <v/>
      </c>
      <c r="M54" s="43">
        <f>IF($A54=1,0,"")</f>
        <v/>
      </c>
      <c r="N54" s="43">
        <f>IF($A54=1,Sales_Daily!$AF8,"")</f>
        <v/>
      </c>
      <c r="O54" s="32">
        <f>IF($A54=1,Sales_Daily!$S8,"")</f>
        <v/>
      </c>
      <c r="P54" s="32">
        <f>IF($A54=1,IF(Sales_Daily!$AW8="","",Sales_Daily!$AW8),"")</f>
        <v/>
      </c>
      <c r="Q54" s="32">
        <f>IF($A54=1,Sales_Daily!$AY8,"")</f>
        <v/>
      </c>
      <c r="R54" s="32">
        <f>IF($A54=1,IF(AND($Q54=1,COUNTIFS(COA!$A:$A,$G54,COA!$R:$R,1)=1),1,0),"")</f>
        <v/>
      </c>
      <c r="S54" s="43">
        <f>IF($A54=1,IF($R54=1,N($M54),0),"")</f>
        <v/>
      </c>
      <c r="T54" s="43">
        <f>IF($A54=1,IF($R54=1,N($N54),0),"")</f>
        <v/>
      </c>
      <c r="U54" s="32">
        <f>IF($A54=1,YEAR($D54)*100+MONTH($D54),"")</f>
        <v/>
      </c>
      <c r="V54" s="32">
        <f>IF($A54=1,IF(COUNTIF(COA!$A:$A,$G54)=0,0,INDEX(COA!$H:$H,MATCH($G54,COA!$A:$A,0))),"")</f>
        <v/>
      </c>
      <c r="W54" s="32">
        <f>IF($A54=1,"","")</f>
        <v/>
      </c>
      <c r="X54" s="32">
        <f>IF($A54=1,IF($R54=1,"",IF($O54=ST_POST,IF($P54&lt;&gt;"",$P54,"حساب غير صالح أو غير نشط"),IF($O54=ST_REV,"معكوس: لا أثر على الدفاتر",IF($O54=ST_CANC,"ملغى",IF($O54=ST_APPR,"معتمد ولم يُرحَّل","مسودة"))))),"")</f>
        <v/>
      </c>
      <c r="Y54" s="32">
        <f>IF($A54=1,IF(AND($R54=1,OR(LG_Acct="",$G54=LG_Acct),OR(LG_Party="",$K54=LG_Party),OR(LG_Loc="ALL",$I54=LG_Loc),OR(LG_CC="ALL",$J54=LG_CC),$D54&gt;=LG_From,$D54&lt;=LG_To),$D54+ROW()/1000000,""),"")</f>
        <v/>
      </c>
      <c r="Z54" s="32">
        <f>IF($A54=1,IF(Sales_Daily!$T8="","",Sales_Daily!$T8),"")</f>
        <v/>
      </c>
      <c r="AA54" s="32">
        <f>IF($A54=1,IF(Sales_Daily!$U8="","",Sales_Daily!$U8),"")</f>
        <v/>
      </c>
      <c r="AB54" s="32">
        <f>IF($A54=1,IF(Sales_Daily!$V8="","",Sales_Daily!$V8),"")</f>
        <v/>
      </c>
      <c r="AC54" s="32">
        <f>IF($A54=1,IF(Sales_Daily!$W8="","",Sales_Daily!$W8),"")</f>
        <v/>
      </c>
      <c r="AD54" s="32">
        <f>IF($A54=1,IF(Sales_Daily!$X8="","",Sales_Daily!$X8),"")</f>
        <v/>
      </c>
      <c r="AE54" s="32">
        <f>IF($A54=1,0,"")</f>
        <v/>
      </c>
      <c r="AF54" s="32" t="inlineStr"/>
    </row>
    <row r="55">
      <c r="A55" s="32">
        <f>IF(AND(Sales_Daily!$AV8=1,N(Sales_Daily!$AG8)&gt;0),1,0)</f>
        <v/>
      </c>
      <c r="B55" s="32">
        <f>IF($A55=1,$E55&amp;"/12","")</f>
        <v/>
      </c>
      <c r="C55" s="32">
        <f>IF($A55=1,"J-"&amp;Sales_Daily!$A8,"")</f>
        <v/>
      </c>
      <c r="D55" s="33">
        <f>IF($A55=1,Sales_Daily!$B8,"")</f>
        <v/>
      </c>
      <c r="E55" s="32">
        <f>IF($A55=1,IF(Sales_Daily!$A8="","",Sales_Daily!$A8),"")</f>
        <v/>
      </c>
      <c r="F55" s="32">
        <f>IF($A55=1,"SAL","")</f>
        <v/>
      </c>
      <c r="G55" s="32">
        <f>IF($A55=1,IF(Sales_Daily!$AT8="","",Sales_Daily!$AT8),"")</f>
        <v/>
      </c>
      <c r="H55" s="32">
        <f>IF($A55=1,IF(COUNTIF(COA!$A:$A,$G55)=0,"حساب غير معرف",INDEX(COA!$B:$B,MATCH($G55,COA!$A:$A,0))),"")</f>
        <v/>
      </c>
      <c r="I55" s="32">
        <f>IF($A55=1,IF(Sales_Daily!$C8="","",Sales_Daily!$C8),"")</f>
        <v/>
      </c>
      <c r="J55" s="32">
        <f>IF($A55=1,"CC10","")</f>
        <v/>
      </c>
      <c r="K55" s="32">
        <f>IF($A55=1,"-","")</f>
        <v/>
      </c>
      <c r="L55" s="32">
        <f>IF($A55=1,"إيراد مبيعات - فئة أخرى","")</f>
        <v/>
      </c>
      <c r="M55" s="43">
        <f>IF($A55=1,0,"")</f>
        <v/>
      </c>
      <c r="N55" s="43">
        <f>IF($A55=1,Sales_Daily!$AG8,"")</f>
        <v/>
      </c>
      <c r="O55" s="32">
        <f>IF($A55=1,Sales_Daily!$S8,"")</f>
        <v/>
      </c>
      <c r="P55" s="32">
        <f>IF($A55=1,IF(Sales_Daily!$AW8="","",Sales_Daily!$AW8),"")</f>
        <v/>
      </c>
      <c r="Q55" s="32">
        <f>IF($A55=1,Sales_Daily!$AY8,"")</f>
        <v/>
      </c>
      <c r="R55" s="32">
        <f>IF($A55=1,IF(AND($Q55=1,COUNTIFS(COA!$A:$A,$G55,COA!$R:$R,1)=1),1,0),"")</f>
        <v/>
      </c>
      <c r="S55" s="43">
        <f>IF($A55=1,IF($R55=1,N($M55),0),"")</f>
        <v/>
      </c>
      <c r="T55" s="43">
        <f>IF($A55=1,IF($R55=1,N($N55),0),"")</f>
        <v/>
      </c>
      <c r="U55" s="32">
        <f>IF($A55=1,YEAR($D55)*100+MONTH($D55),"")</f>
        <v/>
      </c>
      <c r="V55" s="32">
        <f>IF($A55=1,IF(COUNTIF(COA!$A:$A,$G55)=0,0,INDEX(COA!$H:$H,MATCH($G55,COA!$A:$A,0))),"")</f>
        <v/>
      </c>
      <c r="W55" s="32">
        <f>IF($A55=1,"","")</f>
        <v/>
      </c>
      <c r="X55" s="32">
        <f>IF($A55=1,IF($R55=1,"",IF($O55=ST_POST,IF($P55&lt;&gt;"",$P55,"حساب غير صالح أو غير نشط"),IF($O55=ST_REV,"معكوس: لا أثر على الدفاتر",IF($O55=ST_CANC,"ملغى",IF($O55=ST_APPR,"معتمد ولم يُرحَّل","مسودة"))))),"")</f>
        <v/>
      </c>
      <c r="Y55" s="32">
        <f>IF($A55=1,IF(AND($R55=1,OR(LG_Acct="",$G55=LG_Acct),OR(LG_Party="",$K55=LG_Party),OR(LG_Loc="ALL",$I55=LG_Loc),OR(LG_CC="ALL",$J55=LG_CC),$D55&gt;=LG_From,$D55&lt;=LG_To),$D55+ROW()/1000000,""),"")</f>
        <v/>
      </c>
      <c r="Z55" s="32">
        <f>IF($A55=1,IF(Sales_Daily!$T8="","",Sales_Daily!$T8),"")</f>
        <v/>
      </c>
      <c r="AA55" s="32">
        <f>IF($A55=1,IF(Sales_Daily!$U8="","",Sales_Daily!$U8),"")</f>
        <v/>
      </c>
      <c r="AB55" s="32">
        <f>IF($A55=1,IF(Sales_Daily!$V8="","",Sales_Daily!$V8),"")</f>
        <v/>
      </c>
      <c r="AC55" s="32">
        <f>IF($A55=1,IF(Sales_Daily!$W8="","",Sales_Daily!$W8),"")</f>
        <v/>
      </c>
      <c r="AD55" s="32">
        <f>IF($A55=1,IF(Sales_Daily!$X8="","",Sales_Daily!$X8),"")</f>
        <v/>
      </c>
      <c r="AE55" s="32">
        <f>IF($A55=1,0,"")</f>
        <v/>
      </c>
      <c r="AF55" s="32" t="inlineStr"/>
    </row>
    <row r="56">
      <c r="A56" s="32">
        <f>IF(AND(Sales_Daily!$AV8=1,N(Sales_Daily!$AJ8)&gt;0),1,0)</f>
        <v/>
      </c>
      <c r="B56" s="32">
        <f>IF($A56=1,$E56&amp;"/13","")</f>
        <v/>
      </c>
      <c r="C56" s="32">
        <f>IF($A56=1,"J-"&amp;Sales_Daily!$A8,"")</f>
        <v/>
      </c>
      <c r="D56" s="33">
        <f>IF($A56=1,Sales_Daily!$B8,"")</f>
        <v/>
      </c>
      <c r="E56" s="32">
        <f>IF($A56=1,IF(Sales_Daily!$A8="","",Sales_Daily!$A8),"")</f>
        <v/>
      </c>
      <c r="F56" s="32">
        <f>IF($A56=1,"SAL","")</f>
        <v/>
      </c>
      <c r="G56" s="32">
        <f>IF($A56=1,ACC_VAT_OUT,"")</f>
        <v/>
      </c>
      <c r="H56" s="32">
        <f>IF($A56=1,IF(COUNTIF(COA!$A:$A,$G56)=0,"حساب غير معرف",INDEX(COA!$B:$B,MATCH($G56,COA!$A:$A,0))),"")</f>
        <v/>
      </c>
      <c r="I56" s="32">
        <f>IF($A56=1,IF(Sales_Daily!$C8="","",Sales_Daily!$C8),"")</f>
        <v/>
      </c>
      <c r="J56" s="32">
        <f>IF($A56=1,"CC10","")</f>
        <v/>
      </c>
      <c r="K56" s="32">
        <f>IF($A56=1,"-","")</f>
        <v/>
      </c>
      <c r="L56" s="32">
        <f>IF($A56=1,"ضريبة القيمة المضافة - مخرجات","")</f>
        <v/>
      </c>
      <c r="M56" s="43">
        <f>IF($A56=1,0,"")</f>
        <v/>
      </c>
      <c r="N56" s="43">
        <f>IF($A56=1,Sales_Daily!$AJ8,"")</f>
        <v/>
      </c>
      <c r="O56" s="32">
        <f>IF($A56=1,Sales_Daily!$S8,"")</f>
        <v/>
      </c>
      <c r="P56" s="32">
        <f>IF($A56=1,IF(Sales_Daily!$AW8="","",Sales_Daily!$AW8),"")</f>
        <v/>
      </c>
      <c r="Q56" s="32">
        <f>IF($A56=1,Sales_Daily!$AY8,"")</f>
        <v/>
      </c>
      <c r="R56" s="32">
        <f>IF($A56=1,IF(AND($Q56=1,COUNTIFS(COA!$A:$A,$G56,COA!$R:$R,1)=1),1,0),"")</f>
        <v/>
      </c>
      <c r="S56" s="43">
        <f>IF($A56=1,IF($R56=1,N($M56),0),"")</f>
        <v/>
      </c>
      <c r="T56" s="43">
        <f>IF($A56=1,IF($R56=1,N($N56),0),"")</f>
        <v/>
      </c>
      <c r="U56" s="32">
        <f>IF($A56=1,YEAR($D56)*100+MONTH($D56),"")</f>
        <v/>
      </c>
      <c r="V56" s="32">
        <f>IF($A56=1,IF(COUNTIF(COA!$A:$A,$G56)=0,0,INDEX(COA!$H:$H,MATCH($G56,COA!$A:$A,0))),"")</f>
        <v/>
      </c>
      <c r="W56" s="32">
        <f>IF($A56=1,"","")</f>
        <v/>
      </c>
      <c r="X56" s="32">
        <f>IF($A56=1,IF($R56=1,"",IF($O56=ST_POST,IF($P56&lt;&gt;"",$P56,"حساب غير صالح أو غير نشط"),IF($O56=ST_REV,"معكوس: لا أثر على الدفاتر",IF($O56=ST_CANC,"ملغى",IF($O56=ST_APPR,"معتمد ولم يُرحَّل","مسودة"))))),"")</f>
        <v/>
      </c>
      <c r="Y56" s="32">
        <f>IF($A56=1,IF(AND($R56=1,OR(LG_Acct="",$G56=LG_Acct),OR(LG_Party="",$K56=LG_Party),OR(LG_Loc="ALL",$I56=LG_Loc),OR(LG_CC="ALL",$J56=LG_CC),$D56&gt;=LG_From,$D56&lt;=LG_To),$D56+ROW()/1000000,""),"")</f>
        <v/>
      </c>
      <c r="Z56" s="32">
        <f>IF($A56=1,IF(Sales_Daily!$T8="","",Sales_Daily!$T8),"")</f>
        <v/>
      </c>
      <c r="AA56" s="32">
        <f>IF($A56=1,IF(Sales_Daily!$U8="","",Sales_Daily!$U8),"")</f>
        <v/>
      </c>
      <c r="AB56" s="32">
        <f>IF($A56=1,IF(Sales_Daily!$V8="","",Sales_Daily!$V8),"")</f>
        <v/>
      </c>
      <c r="AC56" s="32">
        <f>IF($A56=1,IF(Sales_Daily!$W8="","",Sales_Daily!$W8),"")</f>
        <v/>
      </c>
      <c r="AD56" s="32">
        <f>IF($A56=1,IF(Sales_Daily!$X8="","",Sales_Daily!$X8),"")</f>
        <v/>
      </c>
      <c r="AE56" s="32">
        <f>IF($A56=1,0,"")</f>
        <v/>
      </c>
      <c r="AF56" s="32" t="inlineStr"/>
    </row>
    <row r="57">
      <c r="A57" s="32">
        <f>IF(AND(Sales_Daily!$AV9=1,N(Sales_Daily!$L9)&gt;0),1,0)</f>
        <v/>
      </c>
      <c r="B57" s="32">
        <f>IF($A57=1,$E57&amp;"/1","")</f>
        <v/>
      </c>
      <c r="C57" s="32">
        <f>IF($A57=1,"J-"&amp;Sales_Daily!$A9,"")</f>
        <v/>
      </c>
      <c r="D57" s="33">
        <f>IF($A57=1,Sales_Daily!$B9,"")</f>
        <v/>
      </c>
      <c r="E57" s="32">
        <f>IF($A57=1,IF(Sales_Daily!$A9="","",Sales_Daily!$A9),"")</f>
        <v/>
      </c>
      <c r="F57" s="32">
        <f>IF($A57=1,"SAL","")</f>
        <v/>
      </c>
      <c r="G57" s="32">
        <f>IF($A57=1,IF(Sales_Daily!$AK9="","",Sales_Daily!$AK9),"")</f>
        <v/>
      </c>
      <c r="H57" s="32">
        <f>IF($A57=1,IF(COUNTIF(COA!$A:$A,$G57)=0,"حساب غير معرف",INDEX(COA!$B:$B,MATCH($G57,COA!$A:$A,0))),"")</f>
        <v/>
      </c>
      <c r="I57" s="32">
        <f>IF($A57=1,IF(Sales_Daily!$C9="","",Sales_Daily!$C9),"")</f>
        <v/>
      </c>
      <c r="J57" s="32">
        <f>IF($A57=1,"CC10","")</f>
        <v/>
      </c>
      <c r="K57" s="32">
        <f>IF($A57=1,"-","")</f>
        <v/>
      </c>
      <c r="L57" s="32">
        <f>IF($A57=1,"مبيعات - تحصيل CASH","")</f>
        <v/>
      </c>
      <c r="M57" s="43">
        <f>IF($A57=1,Sales_Daily!$L9,"")</f>
        <v/>
      </c>
      <c r="N57" s="43">
        <f>IF($A57=1,0,"")</f>
        <v/>
      </c>
      <c r="O57" s="32">
        <f>IF($A57=1,Sales_Daily!$S9,"")</f>
        <v/>
      </c>
      <c r="P57" s="32">
        <f>IF($A57=1,IF(Sales_Daily!$AW9="","",Sales_Daily!$AW9),"")</f>
        <v/>
      </c>
      <c r="Q57" s="32">
        <f>IF($A57=1,Sales_Daily!$AY9,"")</f>
        <v/>
      </c>
      <c r="R57" s="32">
        <f>IF($A57=1,IF(AND($Q57=1,COUNTIFS(COA!$A:$A,$G57,COA!$R:$R,1)=1),1,0),"")</f>
        <v/>
      </c>
      <c r="S57" s="43">
        <f>IF($A57=1,IF($R57=1,N($M57),0),"")</f>
        <v/>
      </c>
      <c r="T57" s="43">
        <f>IF($A57=1,IF($R57=1,N($N57),0),"")</f>
        <v/>
      </c>
      <c r="U57" s="32">
        <f>IF($A57=1,YEAR($D57)*100+MONTH($D57),"")</f>
        <v/>
      </c>
      <c r="V57" s="32">
        <f>IF($A57=1,IF(COUNTIF(COA!$A:$A,$G57)=0,0,INDEX(COA!$H:$H,MATCH($G57,COA!$A:$A,0))),"")</f>
        <v/>
      </c>
      <c r="W57" s="32">
        <f>IF($A57=1,"OPERATING","")</f>
        <v/>
      </c>
      <c r="X57" s="32">
        <f>IF($A57=1,IF($R57=1,"",IF($O57=ST_POST,IF($P57&lt;&gt;"",$P57,"حساب غير صالح أو غير نشط"),IF($O57=ST_REV,"معكوس: لا أثر على الدفاتر",IF($O57=ST_CANC,"ملغى",IF($O57=ST_APPR,"معتمد ولم يُرحَّل","مسودة"))))),"")</f>
        <v/>
      </c>
      <c r="Y57" s="32">
        <f>IF($A57=1,IF(AND($R57=1,OR(LG_Acct="",$G57=LG_Acct),OR(LG_Party="",$K57=LG_Party),OR(LG_Loc="ALL",$I57=LG_Loc),OR(LG_CC="ALL",$J57=LG_CC),$D57&gt;=LG_From,$D57&lt;=LG_To),$D57+ROW()/1000000,""),"")</f>
        <v/>
      </c>
      <c r="Z57" s="32">
        <f>IF($A57=1,IF(Sales_Daily!$T9="","",Sales_Daily!$T9),"")</f>
        <v/>
      </c>
      <c r="AA57" s="32">
        <f>IF($A57=1,IF(Sales_Daily!$U9="","",Sales_Daily!$U9),"")</f>
        <v/>
      </c>
      <c r="AB57" s="32">
        <f>IF($A57=1,IF(Sales_Daily!$V9="","",Sales_Daily!$V9),"")</f>
        <v/>
      </c>
      <c r="AC57" s="32">
        <f>IF($A57=1,IF(Sales_Daily!$W9="","",Sales_Daily!$W9),"")</f>
        <v/>
      </c>
      <c r="AD57" s="32">
        <f>IF($A57=1,IF(Sales_Daily!$X9="","",Sales_Daily!$X9),"")</f>
        <v/>
      </c>
      <c r="AE57" s="32">
        <f>IF($A57=1,0,"")</f>
        <v/>
      </c>
      <c r="AF57" s="32" t="inlineStr"/>
    </row>
    <row r="58">
      <c r="A58" s="32">
        <f>IF(AND(Sales_Daily!$AV9=1,N(Sales_Daily!$M9)&gt;0),1,0)</f>
        <v/>
      </c>
      <c r="B58" s="32">
        <f>IF($A58=1,$E58&amp;"/2","")</f>
        <v/>
      </c>
      <c r="C58" s="32">
        <f>IF($A58=1,"J-"&amp;Sales_Daily!$A9,"")</f>
        <v/>
      </c>
      <c r="D58" s="33">
        <f>IF($A58=1,Sales_Daily!$B9,"")</f>
        <v/>
      </c>
      <c r="E58" s="32">
        <f>IF($A58=1,IF(Sales_Daily!$A9="","",Sales_Daily!$A9),"")</f>
        <v/>
      </c>
      <c r="F58" s="32">
        <f>IF($A58=1,"SAL","")</f>
        <v/>
      </c>
      <c r="G58" s="32">
        <f>IF($A58=1,IF(Sales_Daily!$AL9="","",Sales_Daily!$AL9),"")</f>
        <v/>
      </c>
      <c r="H58" s="32">
        <f>IF($A58=1,IF(COUNTIF(COA!$A:$A,$G58)=0,"حساب غير معرف",INDEX(COA!$B:$B,MATCH($G58,COA!$A:$A,0))),"")</f>
        <v/>
      </c>
      <c r="I58" s="32">
        <f>IF($A58=1,IF(Sales_Daily!$C9="","",Sales_Daily!$C9),"")</f>
        <v/>
      </c>
      <c r="J58" s="32">
        <f>IF($A58=1,"CC10","")</f>
        <v/>
      </c>
      <c r="K58" s="32">
        <f>IF($A58=1,"-","")</f>
        <v/>
      </c>
      <c r="L58" s="32">
        <f>IF($A58=1,"مبيعات - تحصيل CARD","")</f>
        <v/>
      </c>
      <c r="M58" s="43">
        <f>IF($A58=1,Sales_Daily!$M9,"")</f>
        <v/>
      </c>
      <c r="N58" s="43">
        <f>IF($A58=1,0,"")</f>
        <v/>
      </c>
      <c r="O58" s="32">
        <f>IF($A58=1,Sales_Daily!$S9,"")</f>
        <v/>
      </c>
      <c r="P58" s="32">
        <f>IF($A58=1,IF(Sales_Daily!$AW9="","",Sales_Daily!$AW9),"")</f>
        <v/>
      </c>
      <c r="Q58" s="32">
        <f>IF($A58=1,Sales_Daily!$AY9,"")</f>
        <v/>
      </c>
      <c r="R58" s="32">
        <f>IF($A58=1,IF(AND($Q58=1,COUNTIFS(COA!$A:$A,$G58,COA!$R:$R,1)=1),1,0),"")</f>
        <v/>
      </c>
      <c r="S58" s="43">
        <f>IF($A58=1,IF($R58=1,N($M58),0),"")</f>
        <v/>
      </c>
      <c r="T58" s="43">
        <f>IF($A58=1,IF($R58=1,N($N58),0),"")</f>
        <v/>
      </c>
      <c r="U58" s="32">
        <f>IF($A58=1,YEAR($D58)*100+MONTH($D58),"")</f>
        <v/>
      </c>
      <c r="V58" s="32">
        <f>IF($A58=1,IF(COUNTIF(COA!$A:$A,$G58)=0,0,INDEX(COA!$H:$H,MATCH($G58,COA!$A:$A,0))),"")</f>
        <v/>
      </c>
      <c r="W58" s="32">
        <f>IF($A58=1,"OPERATING","")</f>
        <v/>
      </c>
      <c r="X58" s="32">
        <f>IF($A58=1,IF($R58=1,"",IF($O58=ST_POST,IF($P58&lt;&gt;"",$P58,"حساب غير صالح أو غير نشط"),IF($O58=ST_REV,"معكوس: لا أثر على الدفاتر",IF($O58=ST_CANC,"ملغى",IF($O58=ST_APPR,"معتمد ولم يُرحَّل","مسودة"))))),"")</f>
        <v/>
      </c>
      <c r="Y58" s="32">
        <f>IF($A58=1,IF(AND($R58=1,OR(LG_Acct="",$G58=LG_Acct),OR(LG_Party="",$K58=LG_Party),OR(LG_Loc="ALL",$I58=LG_Loc),OR(LG_CC="ALL",$J58=LG_CC),$D58&gt;=LG_From,$D58&lt;=LG_To),$D58+ROW()/1000000,""),"")</f>
        <v/>
      </c>
      <c r="Z58" s="32">
        <f>IF($A58=1,IF(Sales_Daily!$T9="","",Sales_Daily!$T9),"")</f>
        <v/>
      </c>
      <c r="AA58" s="32">
        <f>IF($A58=1,IF(Sales_Daily!$U9="","",Sales_Daily!$U9),"")</f>
        <v/>
      </c>
      <c r="AB58" s="32">
        <f>IF($A58=1,IF(Sales_Daily!$V9="","",Sales_Daily!$V9),"")</f>
        <v/>
      </c>
      <c r="AC58" s="32">
        <f>IF($A58=1,IF(Sales_Daily!$W9="","",Sales_Daily!$W9),"")</f>
        <v/>
      </c>
      <c r="AD58" s="32">
        <f>IF($A58=1,IF(Sales_Daily!$X9="","",Sales_Daily!$X9),"")</f>
        <v/>
      </c>
      <c r="AE58" s="32">
        <f>IF($A58=1,0,"")</f>
        <v/>
      </c>
      <c r="AF58" s="32" t="inlineStr"/>
    </row>
    <row r="59">
      <c r="A59" s="32">
        <f>IF(AND(Sales_Daily!$AV9=1,N(Sales_Daily!$N9)&gt;0),1,0)</f>
        <v/>
      </c>
      <c r="B59" s="32">
        <f>IF($A59=1,$E59&amp;"/3","")</f>
        <v/>
      </c>
      <c r="C59" s="32">
        <f>IF($A59=1,"J-"&amp;Sales_Daily!$A9,"")</f>
        <v/>
      </c>
      <c r="D59" s="33">
        <f>IF($A59=1,Sales_Daily!$B9,"")</f>
        <v/>
      </c>
      <c r="E59" s="32">
        <f>IF($A59=1,IF(Sales_Daily!$A9="","",Sales_Daily!$A9),"")</f>
        <v/>
      </c>
      <c r="F59" s="32">
        <f>IF($A59=1,"SAL","")</f>
        <v/>
      </c>
      <c r="G59" s="32">
        <f>IF($A59=1,IF(Sales_Daily!$AM9="","",Sales_Daily!$AM9),"")</f>
        <v/>
      </c>
      <c r="H59" s="32">
        <f>IF($A59=1,IF(COUNTIF(COA!$A:$A,$G59)=0,"حساب غير معرف",INDEX(COA!$B:$B,MATCH($G59,COA!$A:$A,0))),"")</f>
        <v/>
      </c>
      <c r="I59" s="32">
        <f>IF($A59=1,IF(Sales_Daily!$C9="","",Sales_Daily!$C9),"")</f>
        <v/>
      </c>
      <c r="J59" s="32">
        <f>IF($A59=1,"CC10","")</f>
        <v/>
      </c>
      <c r="K59" s="32">
        <f>IF($A59=1,"-","")</f>
        <v/>
      </c>
      <c r="L59" s="32">
        <f>IF($A59=1,"مبيعات - تحصيل TLB","")</f>
        <v/>
      </c>
      <c r="M59" s="43">
        <f>IF($A59=1,Sales_Daily!$N9,"")</f>
        <v/>
      </c>
      <c r="N59" s="43">
        <f>IF($A59=1,0,"")</f>
        <v/>
      </c>
      <c r="O59" s="32">
        <f>IF($A59=1,Sales_Daily!$S9,"")</f>
        <v/>
      </c>
      <c r="P59" s="32">
        <f>IF($A59=1,IF(Sales_Daily!$AW9="","",Sales_Daily!$AW9),"")</f>
        <v/>
      </c>
      <c r="Q59" s="32">
        <f>IF($A59=1,Sales_Daily!$AY9,"")</f>
        <v/>
      </c>
      <c r="R59" s="32">
        <f>IF($A59=1,IF(AND($Q59=1,COUNTIFS(COA!$A:$A,$G59,COA!$R:$R,1)=1),1,0),"")</f>
        <v/>
      </c>
      <c r="S59" s="43">
        <f>IF($A59=1,IF($R59=1,N($M59),0),"")</f>
        <v/>
      </c>
      <c r="T59" s="43">
        <f>IF($A59=1,IF($R59=1,N($N59),0),"")</f>
        <v/>
      </c>
      <c r="U59" s="32">
        <f>IF($A59=1,YEAR($D59)*100+MONTH($D59),"")</f>
        <v/>
      </c>
      <c r="V59" s="32">
        <f>IF($A59=1,IF(COUNTIF(COA!$A:$A,$G59)=0,0,INDEX(COA!$H:$H,MATCH($G59,COA!$A:$A,0))),"")</f>
        <v/>
      </c>
      <c r="W59" s="32">
        <f>IF($A59=1,"OPERATING","")</f>
        <v/>
      </c>
      <c r="X59" s="32">
        <f>IF($A59=1,IF($R59=1,"",IF($O59=ST_POST,IF($P59&lt;&gt;"",$P59,"حساب غير صالح أو غير نشط"),IF($O59=ST_REV,"معكوس: لا أثر على الدفاتر",IF($O59=ST_CANC,"ملغى",IF($O59=ST_APPR,"معتمد ولم يُرحَّل","مسودة"))))),"")</f>
        <v/>
      </c>
      <c r="Y59" s="32">
        <f>IF($A59=1,IF(AND($R59=1,OR(LG_Acct="",$G59=LG_Acct),OR(LG_Party="",$K59=LG_Party),OR(LG_Loc="ALL",$I59=LG_Loc),OR(LG_CC="ALL",$J59=LG_CC),$D59&gt;=LG_From,$D59&lt;=LG_To),$D59+ROW()/1000000,""),"")</f>
        <v/>
      </c>
      <c r="Z59" s="32">
        <f>IF($A59=1,IF(Sales_Daily!$T9="","",Sales_Daily!$T9),"")</f>
        <v/>
      </c>
      <c r="AA59" s="32">
        <f>IF($A59=1,IF(Sales_Daily!$U9="","",Sales_Daily!$U9),"")</f>
        <v/>
      </c>
      <c r="AB59" s="32">
        <f>IF($A59=1,IF(Sales_Daily!$V9="","",Sales_Daily!$V9),"")</f>
        <v/>
      </c>
      <c r="AC59" s="32">
        <f>IF($A59=1,IF(Sales_Daily!$W9="","",Sales_Daily!$W9),"")</f>
        <v/>
      </c>
      <c r="AD59" s="32">
        <f>IF($A59=1,IF(Sales_Daily!$X9="","",Sales_Daily!$X9),"")</f>
        <v/>
      </c>
      <c r="AE59" s="32">
        <f>IF($A59=1,0,"")</f>
        <v/>
      </c>
      <c r="AF59" s="32" t="inlineStr"/>
    </row>
    <row r="60">
      <c r="A60" s="32">
        <f>IF(AND(Sales_Daily!$AV9=1,N(Sales_Daily!$O9)&gt;0),1,0)</f>
        <v/>
      </c>
      <c r="B60" s="32">
        <f>IF($A60=1,$E60&amp;"/4","")</f>
        <v/>
      </c>
      <c r="C60" s="32">
        <f>IF($A60=1,"J-"&amp;Sales_Daily!$A9,"")</f>
        <v/>
      </c>
      <c r="D60" s="33">
        <f>IF($A60=1,Sales_Daily!$B9,"")</f>
        <v/>
      </c>
      <c r="E60" s="32">
        <f>IF($A60=1,IF(Sales_Daily!$A9="","",Sales_Daily!$A9),"")</f>
        <v/>
      </c>
      <c r="F60" s="32">
        <f>IF($A60=1,"SAL","")</f>
        <v/>
      </c>
      <c r="G60" s="32">
        <f>IF($A60=1,IF(Sales_Daily!$AN9="","",Sales_Daily!$AN9),"")</f>
        <v/>
      </c>
      <c r="H60" s="32">
        <f>IF($A60=1,IF(COUNTIF(COA!$A:$A,$G60)=0,"حساب غير معرف",INDEX(COA!$B:$B,MATCH($G60,COA!$A:$A,0))),"")</f>
        <v/>
      </c>
      <c r="I60" s="32">
        <f>IF($A60=1,IF(Sales_Daily!$C9="","",Sales_Daily!$C9),"")</f>
        <v/>
      </c>
      <c r="J60" s="32">
        <f>IF($A60=1,"CC10","")</f>
        <v/>
      </c>
      <c r="K60" s="32">
        <f>IF($A60=1,"-","")</f>
        <v/>
      </c>
      <c r="L60" s="32">
        <f>IF($A60=1,"مبيعات - تحصيل DLV2","")</f>
        <v/>
      </c>
      <c r="M60" s="43">
        <f>IF($A60=1,Sales_Daily!$O9,"")</f>
        <v/>
      </c>
      <c r="N60" s="43">
        <f>IF($A60=1,0,"")</f>
        <v/>
      </c>
      <c r="O60" s="32">
        <f>IF($A60=1,Sales_Daily!$S9,"")</f>
        <v/>
      </c>
      <c r="P60" s="32">
        <f>IF($A60=1,IF(Sales_Daily!$AW9="","",Sales_Daily!$AW9),"")</f>
        <v/>
      </c>
      <c r="Q60" s="32">
        <f>IF($A60=1,Sales_Daily!$AY9,"")</f>
        <v/>
      </c>
      <c r="R60" s="32">
        <f>IF($A60=1,IF(AND($Q60=1,COUNTIFS(COA!$A:$A,$G60,COA!$R:$R,1)=1),1,0),"")</f>
        <v/>
      </c>
      <c r="S60" s="43">
        <f>IF($A60=1,IF($R60=1,N($M60),0),"")</f>
        <v/>
      </c>
      <c r="T60" s="43">
        <f>IF($A60=1,IF($R60=1,N($N60),0),"")</f>
        <v/>
      </c>
      <c r="U60" s="32">
        <f>IF($A60=1,YEAR($D60)*100+MONTH($D60),"")</f>
        <v/>
      </c>
      <c r="V60" s="32">
        <f>IF($A60=1,IF(COUNTIF(COA!$A:$A,$G60)=0,0,INDEX(COA!$H:$H,MATCH($G60,COA!$A:$A,0))),"")</f>
        <v/>
      </c>
      <c r="W60" s="32">
        <f>IF($A60=1,"OPERATING","")</f>
        <v/>
      </c>
      <c r="X60" s="32">
        <f>IF($A60=1,IF($R60=1,"",IF($O60=ST_POST,IF($P60&lt;&gt;"",$P60,"حساب غير صالح أو غير نشط"),IF($O60=ST_REV,"معكوس: لا أثر على الدفاتر",IF($O60=ST_CANC,"ملغى",IF($O60=ST_APPR,"معتمد ولم يُرحَّل","مسودة"))))),"")</f>
        <v/>
      </c>
      <c r="Y60" s="32">
        <f>IF($A60=1,IF(AND($R60=1,OR(LG_Acct="",$G60=LG_Acct),OR(LG_Party="",$K60=LG_Party),OR(LG_Loc="ALL",$I60=LG_Loc),OR(LG_CC="ALL",$J60=LG_CC),$D60&gt;=LG_From,$D60&lt;=LG_To),$D60+ROW()/1000000,""),"")</f>
        <v/>
      </c>
      <c r="Z60" s="32">
        <f>IF($A60=1,IF(Sales_Daily!$T9="","",Sales_Daily!$T9),"")</f>
        <v/>
      </c>
      <c r="AA60" s="32">
        <f>IF($A60=1,IF(Sales_Daily!$U9="","",Sales_Daily!$U9),"")</f>
        <v/>
      </c>
      <c r="AB60" s="32">
        <f>IF($A60=1,IF(Sales_Daily!$V9="","",Sales_Daily!$V9),"")</f>
        <v/>
      </c>
      <c r="AC60" s="32">
        <f>IF($A60=1,IF(Sales_Daily!$W9="","",Sales_Daily!$W9),"")</f>
        <v/>
      </c>
      <c r="AD60" s="32">
        <f>IF($A60=1,IF(Sales_Daily!$X9="","",Sales_Daily!$X9),"")</f>
        <v/>
      </c>
      <c r="AE60" s="32">
        <f>IF($A60=1,0,"")</f>
        <v/>
      </c>
      <c r="AF60" s="32" t="inlineStr"/>
    </row>
    <row r="61">
      <c r="A61" s="32">
        <f>IF(AND(Sales_Daily!$AV9=1,N(Sales_Daily!$P9)&gt;0),1,0)</f>
        <v/>
      </c>
      <c r="B61" s="32">
        <f>IF($A61=1,$E61&amp;"/5","")</f>
        <v/>
      </c>
      <c r="C61" s="32">
        <f>IF($A61=1,"J-"&amp;Sales_Daily!$A9,"")</f>
        <v/>
      </c>
      <c r="D61" s="33">
        <f>IF($A61=1,Sales_Daily!$B9,"")</f>
        <v/>
      </c>
      <c r="E61" s="32">
        <f>IF($A61=1,IF(Sales_Daily!$A9="","",Sales_Daily!$A9),"")</f>
        <v/>
      </c>
      <c r="F61" s="32">
        <f>IF($A61=1,"SAL","")</f>
        <v/>
      </c>
      <c r="G61" s="32">
        <f>IF($A61=1,IF(Sales_Daily!$AO9="","",Sales_Daily!$AO9),"")</f>
        <v/>
      </c>
      <c r="H61" s="32">
        <f>IF($A61=1,IF(COUNTIF(COA!$A:$A,$G61)=0,"حساب غير معرف",INDEX(COA!$B:$B,MATCH($G61,COA!$A:$A,0))),"")</f>
        <v/>
      </c>
      <c r="I61" s="32">
        <f>IF($A61=1,IF(Sales_Daily!$C9="","",Sales_Daily!$C9),"")</f>
        <v/>
      </c>
      <c r="J61" s="32">
        <f>IF($A61=1,"CC10","")</f>
        <v/>
      </c>
      <c r="K61" s="32">
        <f>IF($A61=1,"-","")</f>
        <v/>
      </c>
      <c r="L61" s="32">
        <f>IF($A61=1,"مبيعات - تحصيل INSTA","")</f>
        <v/>
      </c>
      <c r="M61" s="43">
        <f>IF($A61=1,Sales_Daily!$P9,"")</f>
        <v/>
      </c>
      <c r="N61" s="43">
        <f>IF($A61=1,0,"")</f>
        <v/>
      </c>
      <c r="O61" s="32">
        <f>IF($A61=1,Sales_Daily!$S9,"")</f>
        <v/>
      </c>
      <c r="P61" s="32">
        <f>IF($A61=1,IF(Sales_Daily!$AW9="","",Sales_Daily!$AW9),"")</f>
        <v/>
      </c>
      <c r="Q61" s="32">
        <f>IF($A61=1,Sales_Daily!$AY9,"")</f>
        <v/>
      </c>
      <c r="R61" s="32">
        <f>IF($A61=1,IF(AND($Q61=1,COUNTIFS(COA!$A:$A,$G61,COA!$R:$R,1)=1),1,0),"")</f>
        <v/>
      </c>
      <c r="S61" s="43">
        <f>IF($A61=1,IF($R61=1,N($M61),0),"")</f>
        <v/>
      </c>
      <c r="T61" s="43">
        <f>IF($A61=1,IF($R61=1,N($N61),0),"")</f>
        <v/>
      </c>
      <c r="U61" s="32">
        <f>IF($A61=1,YEAR($D61)*100+MONTH($D61),"")</f>
        <v/>
      </c>
      <c r="V61" s="32">
        <f>IF($A61=1,IF(COUNTIF(COA!$A:$A,$G61)=0,0,INDEX(COA!$H:$H,MATCH($G61,COA!$A:$A,0))),"")</f>
        <v/>
      </c>
      <c r="W61" s="32">
        <f>IF($A61=1,"OPERATING","")</f>
        <v/>
      </c>
      <c r="X61" s="32">
        <f>IF($A61=1,IF($R61=1,"",IF($O61=ST_POST,IF($P61&lt;&gt;"",$P61,"حساب غير صالح أو غير نشط"),IF($O61=ST_REV,"معكوس: لا أثر على الدفاتر",IF($O61=ST_CANC,"ملغى",IF($O61=ST_APPR,"معتمد ولم يُرحَّل","مسودة"))))),"")</f>
        <v/>
      </c>
      <c r="Y61" s="32">
        <f>IF($A61=1,IF(AND($R61=1,OR(LG_Acct="",$G61=LG_Acct),OR(LG_Party="",$K61=LG_Party),OR(LG_Loc="ALL",$I61=LG_Loc),OR(LG_CC="ALL",$J61=LG_CC),$D61&gt;=LG_From,$D61&lt;=LG_To),$D61+ROW()/1000000,""),"")</f>
        <v/>
      </c>
      <c r="Z61" s="32">
        <f>IF($A61=1,IF(Sales_Daily!$T9="","",Sales_Daily!$T9),"")</f>
        <v/>
      </c>
      <c r="AA61" s="32">
        <f>IF($A61=1,IF(Sales_Daily!$U9="","",Sales_Daily!$U9),"")</f>
        <v/>
      </c>
      <c r="AB61" s="32">
        <f>IF($A61=1,IF(Sales_Daily!$V9="","",Sales_Daily!$V9),"")</f>
        <v/>
      </c>
      <c r="AC61" s="32">
        <f>IF($A61=1,IF(Sales_Daily!$W9="","",Sales_Daily!$W9),"")</f>
        <v/>
      </c>
      <c r="AD61" s="32">
        <f>IF($A61=1,IF(Sales_Daily!$X9="","",Sales_Daily!$X9),"")</f>
        <v/>
      </c>
      <c r="AE61" s="32">
        <f>IF($A61=1,0,"")</f>
        <v/>
      </c>
      <c r="AF61" s="32" t="inlineStr"/>
    </row>
    <row r="62">
      <c r="A62" s="32">
        <f>IF(AND(Sales_Daily!$AV9=1,N(Sales_Daily!$Q9)&gt;0),1,0)</f>
        <v/>
      </c>
      <c r="B62" s="32">
        <f>IF($A62=1,$E62&amp;"/6","")</f>
        <v/>
      </c>
      <c r="C62" s="32">
        <f>IF($A62=1,"J-"&amp;Sales_Daily!$A9,"")</f>
        <v/>
      </c>
      <c r="D62" s="33">
        <f>IF($A62=1,Sales_Daily!$B9,"")</f>
        <v/>
      </c>
      <c r="E62" s="32">
        <f>IF($A62=1,IF(Sales_Daily!$A9="","",Sales_Daily!$A9),"")</f>
        <v/>
      </c>
      <c r="F62" s="32">
        <f>IF($A62=1,"SAL","")</f>
        <v/>
      </c>
      <c r="G62" s="32">
        <f>IF($A62=1,IF(Sales_Daily!$AP9="","",Sales_Daily!$AP9),"")</f>
        <v/>
      </c>
      <c r="H62" s="32">
        <f>IF($A62=1,IF(COUNTIF(COA!$A:$A,$G62)=0,"حساب غير معرف",INDEX(COA!$B:$B,MATCH($G62,COA!$A:$A,0))),"")</f>
        <v/>
      </c>
      <c r="I62" s="32">
        <f>IF($A62=1,IF(Sales_Daily!$C9="","",Sales_Daily!$C9),"")</f>
        <v/>
      </c>
      <c r="J62" s="32">
        <f>IF($A62=1,"CC10","")</f>
        <v/>
      </c>
      <c r="K62" s="32">
        <f>IF($A62=1,"-","")</f>
        <v/>
      </c>
      <c r="L62" s="32">
        <f>IF($A62=1,"مبيعات - تحصيل OTH","")</f>
        <v/>
      </c>
      <c r="M62" s="43">
        <f>IF($A62=1,Sales_Daily!$Q9,"")</f>
        <v/>
      </c>
      <c r="N62" s="43">
        <f>IF($A62=1,0,"")</f>
        <v/>
      </c>
      <c r="O62" s="32">
        <f>IF($A62=1,Sales_Daily!$S9,"")</f>
        <v/>
      </c>
      <c r="P62" s="32">
        <f>IF($A62=1,IF(Sales_Daily!$AW9="","",Sales_Daily!$AW9),"")</f>
        <v/>
      </c>
      <c r="Q62" s="32">
        <f>IF($A62=1,Sales_Daily!$AY9,"")</f>
        <v/>
      </c>
      <c r="R62" s="32">
        <f>IF($A62=1,IF(AND($Q62=1,COUNTIFS(COA!$A:$A,$G62,COA!$R:$R,1)=1),1,0),"")</f>
        <v/>
      </c>
      <c r="S62" s="43">
        <f>IF($A62=1,IF($R62=1,N($M62),0),"")</f>
        <v/>
      </c>
      <c r="T62" s="43">
        <f>IF($A62=1,IF($R62=1,N($N62),0),"")</f>
        <v/>
      </c>
      <c r="U62" s="32">
        <f>IF($A62=1,YEAR($D62)*100+MONTH($D62),"")</f>
        <v/>
      </c>
      <c r="V62" s="32">
        <f>IF($A62=1,IF(COUNTIF(COA!$A:$A,$G62)=0,0,INDEX(COA!$H:$H,MATCH($G62,COA!$A:$A,0))),"")</f>
        <v/>
      </c>
      <c r="W62" s="32">
        <f>IF($A62=1,"OPERATING","")</f>
        <v/>
      </c>
      <c r="X62" s="32">
        <f>IF($A62=1,IF($R62=1,"",IF($O62=ST_POST,IF($P62&lt;&gt;"",$P62,"حساب غير صالح أو غير نشط"),IF($O62=ST_REV,"معكوس: لا أثر على الدفاتر",IF($O62=ST_CANC,"ملغى",IF($O62=ST_APPR,"معتمد ولم يُرحَّل","مسودة"))))),"")</f>
        <v/>
      </c>
      <c r="Y62" s="32">
        <f>IF($A62=1,IF(AND($R62=1,OR(LG_Acct="",$G62=LG_Acct),OR(LG_Party="",$K62=LG_Party),OR(LG_Loc="ALL",$I62=LG_Loc),OR(LG_CC="ALL",$J62=LG_CC),$D62&gt;=LG_From,$D62&lt;=LG_To),$D62+ROW()/1000000,""),"")</f>
        <v/>
      </c>
      <c r="Z62" s="32">
        <f>IF($A62=1,IF(Sales_Daily!$T9="","",Sales_Daily!$T9),"")</f>
        <v/>
      </c>
      <c r="AA62" s="32">
        <f>IF($A62=1,IF(Sales_Daily!$U9="","",Sales_Daily!$U9),"")</f>
        <v/>
      </c>
      <c r="AB62" s="32">
        <f>IF($A62=1,IF(Sales_Daily!$V9="","",Sales_Daily!$V9),"")</f>
        <v/>
      </c>
      <c r="AC62" s="32">
        <f>IF($A62=1,IF(Sales_Daily!$W9="","",Sales_Daily!$W9),"")</f>
        <v/>
      </c>
      <c r="AD62" s="32">
        <f>IF($A62=1,IF(Sales_Daily!$X9="","",Sales_Daily!$X9),"")</f>
        <v/>
      </c>
      <c r="AE62" s="32">
        <f>IF($A62=1,0,"")</f>
        <v/>
      </c>
      <c r="AF62" s="32" t="inlineStr"/>
    </row>
    <row r="63">
      <c r="A63" s="32">
        <f>IF(AND(Sales_Daily!$AV9=1,N(Sales_Daily!$AH9)&gt;0),1,0)</f>
        <v/>
      </c>
      <c r="B63" s="32">
        <f>IF($A63=1,$E63&amp;"/7","")</f>
        <v/>
      </c>
      <c r="C63" s="32">
        <f>IF($A63=1,"J-"&amp;Sales_Daily!$A9,"")</f>
        <v/>
      </c>
      <c r="D63" s="33">
        <f>IF($A63=1,Sales_Daily!$B9,"")</f>
        <v/>
      </c>
      <c r="E63" s="32">
        <f>IF($A63=1,IF(Sales_Daily!$A9="","",Sales_Daily!$A9),"")</f>
        <v/>
      </c>
      <c r="F63" s="32">
        <f>IF($A63=1,"SAL","")</f>
        <v/>
      </c>
      <c r="G63" s="32">
        <f>IF($A63=1,ACC_DISC,"")</f>
        <v/>
      </c>
      <c r="H63" s="32">
        <f>IF($A63=1,IF(COUNTIF(COA!$A:$A,$G63)=0,"حساب غير معرف",INDEX(COA!$B:$B,MATCH($G63,COA!$A:$A,0))),"")</f>
        <v/>
      </c>
      <c r="I63" s="32">
        <f>IF($A63=1,IF(Sales_Daily!$C9="","",Sales_Daily!$C9),"")</f>
        <v/>
      </c>
      <c r="J63" s="32">
        <f>IF($A63=1,"CC10","")</f>
        <v/>
      </c>
      <c r="K63" s="32">
        <f>IF($A63=1,"-","")</f>
        <v/>
      </c>
      <c r="L63" s="32">
        <f>IF($A63=1,"خصومات المبيعات والعروض","")</f>
        <v/>
      </c>
      <c r="M63" s="43">
        <f>IF($A63=1,Sales_Daily!$AH9,"")</f>
        <v/>
      </c>
      <c r="N63" s="43">
        <f>IF($A63=1,0,"")</f>
        <v/>
      </c>
      <c r="O63" s="32">
        <f>IF($A63=1,Sales_Daily!$S9,"")</f>
        <v/>
      </c>
      <c r="P63" s="32">
        <f>IF($A63=1,IF(Sales_Daily!$AW9="","",Sales_Daily!$AW9),"")</f>
        <v/>
      </c>
      <c r="Q63" s="32">
        <f>IF($A63=1,Sales_Daily!$AY9,"")</f>
        <v/>
      </c>
      <c r="R63" s="32">
        <f>IF($A63=1,IF(AND($Q63=1,COUNTIFS(COA!$A:$A,$G63,COA!$R:$R,1)=1),1,0),"")</f>
        <v/>
      </c>
      <c r="S63" s="43">
        <f>IF($A63=1,IF($R63=1,N($M63),0),"")</f>
        <v/>
      </c>
      <c r="T63" s="43">
        <f>IF($A63=1,IF($R63=1,N($N63),0),"")</f>
        <v/>
      </c>
      <c r="U63" s="32">
        <f>IF($A63=1,YEAR($D63)*100+MONTH($D63),"")</f>
        <v/>
      </c>
      <c r="V63" s="32">
        <f>IF($A63=1,IF(COUNTIF(COA!$A:$A,$G63)=0,0,INDEX(COA!$H:$H,MATCH($G63,COA!$A:$A,0))),"")</f>
        <v/>
      </c>
      <c r="W63" s="32">
        <f>IF($A63=1,"","")</f>
        <v/>
      </c>
      <c r="X63" s="32">
        <f>IF($A63=1,IF($R63=1,"",IF($O63=ST_POST,IF($P63&lt;&gt;"",$P63,"حساب غير صالح أو غير نشط"),IF($O63=ST_REV,"معكوس: لا أثر على الدفاتر",IF($O63=ST_CANC,"ملغى",IF($O63=ST_APPR,"معتمد ولم يُرحَّل","مسودة"))))),"")</f>
        <v/>
      </c>
      <c r="Y63" s="32">
        <f>IF($A63=1,IF(AND($R63=1,OR(LG_Acct="",$G63=LG_Acct),OR(LG_Party="",$K63=LG_Party),OR(LG_Loc="ALL",$I63=LG_Loc),OR(LG_CC="ALL",$J63=LG_CC),$D63&gt;=LG_From,$D63&lt;=LG_To),$D63+ROW()/1000000,""),"")</f>
        <v/>
      </c>
      <c r="Z63" s="32">
        <f>IF($A63=1,IF(Sales_Daily!$T9="","",Sales_Daily!$T9),"")</f>
        <v/>
      </c>
      <c r="AA63" s="32">
        <f>IF($A63=1,IF(Sales_Daily!$U9="","",Sales_Daily!$U9),"")</f>
        <v/>
      </c>
      <c r="AB63" s="32">
        <f>IF($A63=1,IF(Sales_Daily!$V9="","",Sales_Daily!$V9),"")</f>
        <v/>
      </c>
      <c r="AC63" s="32">
        <f>IF($A63=1,IF(Sales_Daily!$W9="","",Sales_Daily!$W9),"")</f>
        <v/>
      </c>
      <c r="AD63" s="32">
        <f>IF($A63=1,IF(Sales_Daily!$X9="","",Sales_Daily!$X9),"")</f>
        <v/>
      </c>
      <c r="AE63" s="32">
        <f>IF($A63=1,0,"")</f>
        <v/>
      </c>
      <c r="AF63" s="32" t="inlineStr"/>
    </row>
    <row r="64">
      <c r="A64" s="32">
        <f>IF(AND(Sales_Daily!$AV9=1,N(Sales_Daily!$AI9)&gt;0),1,0)</f>
        <v/>
      </c>
      <c r="B64" s="32">
        <f>IF($A64=1,$E64&amp;"/8","")</f>
        <v/>
      </c>
      <c r="C64" s="32">
        <f>IF($A64=1,"J-"&amp;Sales_Daily!$A9,"")</f>
        <v/>
      </c>
      <c r="D64" s="33">
        <f>IF($A64=1,Sales_Daily!$B9,"")</f>
        <v/>
      </c>
      <c r="E64" s="32">
        <f>IF($A64=1,IF(Sales_Daily!$A9="","",Sales_Daily!$A9),"")</f>
        <v/>
      </c>
      <c r="F64" s="32">
        <f>IF($A64=1,"SAL","")</f>
        <v/>
      </c>
      <c r="G64" s="32">
        <f>IF($A64=1,ACC_RET,"")</f>
        <v/>
      </c>
      <c r="H64" s="32">
        <f>IF($A64=1,IF(COUNTIF(COA!$A:$A,$G64)=0,"حساب غير معرف",INDEX(COA!$B:$B,MATCH($G64,COA!$A:$A,0))),"")</f>
        <v/>
      </c>
      <c r="I64" s="32">
        <f>IF($A64=1,IF(Sales_Daily!$C9="","",Sales_Daily!$C9),"")</f>
        <v/>
      </c>
      <c r="J64" s="32">
        <f>IF($A64=1,"CC10","")</f>
        <v/>
      </c>
      <c r="K64" s="32">
        <f>IF($A64=1,"-","")</f>
        <v/>
      </c>
      <c r="L64" s="32">
        <f>IF($A64=1,"مرتجعات وإلغاءات المبيعات","")</f>
        <v/>
      </c>
      <c r="M64" s="43">
        <f>IF($A64=1,Sales_Daily!$AI9,"")</f>
        <v/>
      </c>
      <c r="N64" s="43">
        <f>IF($A64=1,0,"")</f>
        <v/>
      </c>
      <c r="O64" s="32">
        <f>IF($A64=1,Sales_Daily!$S9,"")</f>
        <v/>
      </c>
      <c r="P64" s="32">
        <f>IF($A64=1,IF(Sales_Daily!$AW9="","",Sales_Daily!$AW9),"")</f>
        <v/>
      </c>
      <c r="Q64" s="32">
        <f>IF($A64=1,Sales_Daily!$AY9,"")</f>
        <v/>
      </c>
      <c r="R64" s="32">
        <f>IF($A64=1,IF(AND($Q64=1,COUNTIFS(COA!$A:$A,$G64,COA!$R:$R,1)=1),1,0),"")</f>
        <v/>
      </c>
      <c r="S64" s="43">
        <f>IF($A64=1,IF($R64=1,N($M64),0),"")</f>
        <v/>
      </c>
      <c r="T64" s="43">
        <f>IF($A64=1,IF($R64=1,N($N64),0),"")</f>
        <v/>
      </c>
      <c r="U64" s="32">
        <f>IF($A64=1,YEAR($D64)*100+MONTH($D64),"")</f>
        <v/>
      </c>
      <c r="V64" s="32">
        <f>IF($A64=1,IF(COUNTIF(COA!$A:$A,$G64)=0,0,INDEX(COA!$H:$H,MATCH($G64,COA!$A:$A,0))),"")</f>
        <v/>
      </c>
      <c r="W64" s="32">
        <f>IF($A64=1,"","")</f>
        <v/>
      </c>
      <c r="X64" s="32">
        <f>IF($A64=1,IF($R64=1,"",IF($O64=ST_POST,IF($P64&lt;&gt;"",$P64,"حساب غير صالح أو غير نشط"),IF($O64=ST_REV,"معكوس: لا أثر على الدفاتر",IF($O64=ST_CANC,"ملغى",IF($O64=ST_APPR,"معتمد ولم يُرحَّل","مسودة"))))),"")</f>
        <v/>
      </c>
      <c r="Y64" s="32">
        <f>IF($A64=1,IF(AND($R64=1,OR(LG_Acct="",$G64=LG_Acct),OR(LG_Party="",$K64=LG_Party),OR(LG_Loc="ALL",$I64=LG_Loc),OR(LG_CC="ALL",$J64=LG_CC),$D64&gt;=LG_From,$D64&lt;=LG_To),$D64+ROW()/1000000,""),"")</f>
        <v/>
      </c>
      <c r="Z64" s="32">
        <f>IF($A64=1,IF(Sales_Daily!$T9="","",Sales_Daily!$T9),"")</f>
        <v/>
      </c>
      <c r="AA64" s="32">
        <f>IF($A64=1,IF(Sales_Daily!$U9="","",Sales_Daily!$U9),"")</f>
        <v/>
      </c>
      <c r="AB64" s="32">
        <f>IF($A64=1,IF(Sales_Daily!$V9="","",Sales_Daily!$V9),"")</f>
        <v/>
      </c>
      <c r="AC64" s="32">
        <f>IF($A64=1,IF(Sales_Daily!$W9="","",Sales_Daily!$W9),"")</f>
        <v/>
      </c>
      <c r="AD64" s="32">
        <f>IF($A64=1,IF(Sales_Daily!$X9="","",Sales_Daily!$X9),"")</f>
        <v/>
      </c>
      <c r="AE64" s="32">
        <f>IF($A64=1,0,"")</f>
        <v/>
      </c>
      <c r="AF64" s="32" t="inlineStr"/>
    </row>
    <row r="65">
      <c r="A65" s="32">
        <f>IF(AND(Sales_Daily!$AV9=1,N(Sales_Daily!$AD9)&gt;0),1,0)</f>
        <v/>
      </c>
      <c r="B65" s="32">
        <f>IF($A65=1,$E65&amp;"/9","")</f>
        <v/>
      </c>
      <c r="C65" s="32">
        <f>IF($A65=1,"J-"&amp;Sales_Daily!$A9,"")</f>
        <v/>
      </c>
      <c r="D65" s="33">
        <f>IF($A65=1,Sales_Daily!$B9,"")</f>
        <v/>
      </c>
      <c r="E65" s="32">
        <f>IF($A65=1,IF(Sales_Daily!$A9="","",Sales_Daily!$A9),"")</f>
        <v/>
      </c>
      <c r="F65" s="32">
        <f>IF($A65=1,"SAL","")</f>
        <v/>
      </c>
      <c r="G65" s="32">
        <f>IF($A65=1,IF(Sales_Daily!$AQ9="","",Sales_Daily!$AQ9),"")</f>
        <v/>
      </c>
      <c r="H65" s="32">
        <f>IF($A65=1,IF(COUNTIF(COA!$A:$A,$G65)=0,"حساب غير معرف",INDEX(COA!$B:$B,MATCH($G65,COA!$A:$A,0))),"")</f>
        <v/>
      </c>
      <c r="I65" s="32">
        <f>IF($A65=1,IF(Sales_Daily!$C9="","",Sales_Daily!$C9),"")</f>
        <v/>
      </c>
      <c r="J65" s="32">
        <f>IF($A65=1,"CC10","")</f>
        <v/>
      </c>
      <c r="K65" s="32">
        <f>IF($A65=1,"-","")</f>
        <v/>
      </c>
      <c r="L65" s="32">
        <f>IF($A65=1,"إيراد مبيعات - فئة فطير","")</f>
        <v/>
      </c>
      <c r="M65" s="43">
        <f>IF($A65=1,0,"")</f>
        <v/>
      </c>
      <c r="N65" s="43">
        <f>IF($A65=1,Sales_Daily!$AD9,"")</f>
        <v/>
      </c>
      <c r="O65" s="32">
        <f>IF($A65=1,Sales_Daily!$S9,"")</f>
        <v/>
      </c>
      <c r="P65" s="32">
        <f>IF($A65=1,IF(Sales_Daily!$AW9="","",Sales_Daily!$AW9),"")</f>
        <v/>
      </c>
      <c r="Q65" s="32">
        <f>IF($A65=1,Sales_Daily!$AY9,"")</f>
        <v/>
      </c>
      <c r="R65" s="32">
        <f>IF($A65=1,IF(AND($Q65=1,COUNTIFS(COA!$A:$A,$G65,COA!$R:$R,1)=1),1,0),"")</f>
        <v/>
      </c>
      <c r="S65" s="43">
        <f>IF($A65=1,IF($R65=1,N($M65),0),"")</f>
        <v/>
      </c>
      <c r="T65" s="43">
        <f>IF($A65=1,IF($R65=1,N($N65),0),"")</f>
        <v/>
      </c>
      <c r="U65" s="32">
        <f>IF($A65=1,YEAR($D65)*100+MONTH($D65),"")</f>
        <v/>
      </c>
      <c r="V65" s="32">
        <f>IF($A65=1,IF(COUNTIF(COA!$A:$A,$G65)=0,0,INDEX(COA!$H:$H,MATCH($G65,COA!$A:$A,0))),"")</f>
        <v/>
      </c>
      <c r="W65" s="32">
        <f>IF($A65=1,"","")</f>
        <v/>
      </c>
      <c r="X65" s="32">
        <f>IF($A65=1,IF($R65=1,"",IF($O65=ST_POST,IF($P65&lt;&gt;"",$P65,"حساب غير صالح أو غير نشط"),IF($O65=ST_REV,"معكوس: لا أثر على الدفاتر",IF($O65=ST_CANC,"ملغى",IF($O65=ST_APPR,"معتمد ولم يُرحَّل","مسودة"))))),"")</f>
        <v/>
      </c>
      <c r="Y65" s="32">
        <f>IF($A65=1,IF(AND($R65=1,OR(LG_Acct="",$G65=LG_Acct),OR(LG_Party="",$K65=LG_Party),OR(LG_Loc="ALL",$I65=LG_Loc),OR(LG_CC="ALL",$J65=LG_CC),$D65&gt;=LG_From,$D65&lt;=LG_To),$D65+ROW()/1000000,""),"")</f>
        <v/>
      </c>
      <c r="Z65" s="32">
        <f>IF($A65=1,IF(Sales_Daily!$T9="","",Sales_Daily!$T9),"")</f>
        <v/>
      </c>
      <c r="AA65" s="32">
        <f>IF($A65=1,IF(Sales_Daily!$U9="","",Sales_Daily!$U9),"")</f>
        <v/>
      </c>
      <c r="AB65" s="32">
        <f>IF($A65=1,IF(Sales_Daily!$V9="","",Sales_Daily!$V9),"")</f>
        <v/>
      </c>
      <c r="AC65" s="32">
        <f>IF($A65=1,IF(Sales_Daily!$W9="","",Sales_Daily!$W9),"")</f>
        <v/>
      </c>
      <c r="AD65" s="32">
        <f>IF($A65=1,IF(Sales_Daily!$X9="","",Sales_Daily!$X9),"")</f>
        <v/>
      </c>
      <c r="AE65" s="32">
        <f>IF($A65=1,0,"")</f>
        <v/>
      </c>
      <c r="AF65" s="32" t="inlineStr"/>
    </row>
    <row r="66">
      <c r="A66" s="32">
        <f>IF(AND(Sales_Daily!$AV9=1,N(Sales_Daily!$AE9)&gt;0),1,0)</f>
        <v/>
      </c>
      <c r="B66" s="32">
        <f>IF($A66=1,$E66&amp;"/10","")</f>
        <v/>
      </c>
      <c r="C66" s="32">
        <f>IF($A66=1,"J-"&amp;Sales_Daily!$A9,"")</f>
        <v/>
      </c>
      <c r="D66" s="33">
        <f>IF($A66=1,Sales_Daily!$B9,"")</f>
        <v/>
      </c>
      <c r="E66" s="32">
        <f>IF($A66=1,IF(Sales_Daily!$A9="","",Sales_Daily!$A9),"")</f>
        <v/>
      </c>
      <c r="F66" s="32">
        <f>IF($A66=1,"SAL","")</f>
        <v/>
      </c>
      <c r="G66" s="32">
        <f>IF($A66=1,IF(Sales_Daily!$AR9="","",Sales_Daily!$AR9),"")</f>
        <v/>
      </c>
      <c r="H66" s="32">
        <f>IF($A66=1,IF(COUNTIF(COA!$A:$A,$G66)=0,"حساب غير معرف",INDEX(COA!$B:$B,MATCH($G66,COA!$A:$A,0))),"")</f>
        <v/>
      </c>
      <c r="I66" s="32">
        <f>IF($A66=1,IF(Sales_Daily!$C9="","",Sales_Daily!$C9),"")</f>
        <v/>
      </c>
      <c r="J66" s="32">
        <f>IF($A66=1,"CC10","")</f>
        <v/>
      </c>
      <c r="K66" s="32">
        <f>IF($A66=1,"-","")</f>
        <v/>
      </c>
      <c r="L66" s="32">
        <f>IF($A66=1,"إيراد مبيعات - فئة بيتزا","")</f>
        <v/>
      </c>
      <c r="M66" s="43">
        <f>IF($A66=1,0,"")</f>
        <v/>
      </c>
      <c r="N66" s="43">
        <f>IF($A66=1,Sales_Daily!$AE9,"")</f>
        <v/>
      </c>
      <c r="O66" s="32">
        <f>IF($A66=1,Sales_Daily!$S9,"")</f>
        <v/>
      </c>
      <c r="P66" s="32">
        <f>IF($A66=1,IF(Sales_Daily!$AW9="","",Sales_Daily!$AW9),"")</f>
        <v/>
      </c>
      <c r="Q66" s="32">
        <f>IF($A66=1,Sales_Daily!$AY9,"")</f>
        <v/>
      </c>
      <c r="R66" s="32">
        <f>IF($A66=1,IF(AND($Q66=1,COUNTIFS(COA!$A:$A,$G66,COA!$R:$R,1)=1),1,0),"")</f>
        <v/>
      </c>
      <c r="S66" s="43">
        <f>IF($A66=1,IF($R66=1,N($M66),0),"")</f>
        <v/>
      </c>
      <c r="T66" s="43">
        <f>IF($A66=1,IF($R66=1,N($N66),0),"")</f>
        <v/>
      </c>
      <c r="U66" s="32">
        <f>IF($A66=1,YEAR($D66)*100+MONTH($D66),"")</f>
        <v/>
      </c>
      <c r="V66" s="32">
        <f>IF($A66=1,IF(COUNTIF(COA!$A:$A,$G66)=0,0,INDEX(COA!$H:$H,MATCH($G66,COA!$A:$A,0))),"")</f>
        <v/>
      </c>
      <c r="W66" s="32">
        <f>IF($A66=1,"","")</f>
        <v/>
      </c>
      <c r="X66" s="32">
        <f>IF($A66=1,IF($R66=1,"",IF($O66=ST_POST,IF($P66&lt;&gt;"",$P66,"حساب غير صالح أو غير نشط"),IF($O66=ST_REV,"معكوس: لا أثر على الدفاتر",IF($O66=ST_CANC,"ملغى",IF($O66=ST_APPR,"معتمد ولم يُرحَّل","مسودة"))))),"")</f>
        <v/>
      </c>
      <c r="Y66" s="32">
        <f>IF($A66=1,IF(AND($R66=1,OR(LG_Acct="",$G66=LG_Acct),OR(LG_Party="",$K66=LG_Party),OR(LG_Loc="ALL",$I66=LG_Loc),OR(LG_CC="ALL",$J66=LG_CC),$D66&gt;=LG_From,$D66&lt;=LG_To),$D66+ROW()/1000000,""),"")</f>
        <v/>
      </c>
      <c r="Z66" s="32">
        <f>IF($A66=1,IF(Sales_Daily!$T9="","",Sales_Daily!$T9),"")</f>
        <v/>
      </c>
      <c r="AA66" s="32">
        <f>IF($A66=1,IF(Sales_Daily!$U9="","",Sales_Daily!$U9),"")</f>
        <v/>
      </c>
      <c r="AB66" s="32">
        <f>IF($A66=1,IF(Sales_Daily!$V9="","",Sales_Daily!$V9),"")</f>
        <v/>
      </c>
      <c r="AC66" s="32">
        <f>IF($A66=1,IF(Sales_Daily!$W9="","",Sales_Daily!$W9),"")</f>
        <v/>
      </c>
      <c r="AD66" s="32">
        <f>IF($A66=1,IF(Sales_Daily!$X9="","",Sales_Daily!$X9),"")</f>
        <v/>
      </c>
      <c r="AE66" s="32">
        <f>IF($A66=1,0,"")</f>
        <v/>
      </c>
      <c r="AF66" s="32" t="inlineStr"/>
    </row>
    <row r="67">
      <c r="A67" s="32">
        <f>IF(AND(Sales_Daily!$AV9=1,N(Sales_Daily!$AF9)&gt;0),1,0)</f>
        <v/>
      </c>
      <c r="B67" s="32">
        <f>IF($A67=1,$E67&amp;"/11","")</f>
        <v/>
      </c>
      <c r="C67" s="32">
        <f>IF($A67=1,"J-"&amp;Sales_Daily!$A9,"")</f>
        <v/>
      </c>
      <c r="D67" s="33">
        <f>IF($A67=1,Sales_Daily!$B9,"")</f>
        <v/>
      </c>
      <c r="E67" s="32">
        <f>IF($A67=1,IF(Sales_Daily!$A9="","",Sales_Daily!$A9),"")</f>
        <v/>
      </c>
      <c r="F67" s="32">
        <f>IF($A67=1,"SAL","")</f>
        <v/>
      </c>
      <c r="G67" s="32">
        <f>IF($A67=1,IF(Sales_Daily!$AS9="","",Sales_Daily!$AS9),"")</f>
        <v/>
      </c>
      <c r="H67" s="32">
        <f>IF($A67=1,IF(COUNTIF(COA!$A:$A,$G67)=0,"حساب غير معرف",INDEX(COA!$B:$B,MATCH($G67,COA!$A:$A,0))),"")</f>
        <v/>
      </c>
      <c r="I67" s="32">
        <f>IF($A67=1,IF(Sales_Daily!$C9="","",Sales_Daily!$C9),"")</f>
        <v/>
      </c>
      <c r="J67" s="32">
        <f>IF($A67=1,"CC10","")</f>
        <v/>
      </c>
      <c r="K67" s="32">
        <f>IF($A67=1,"-","")</f>
        <v/>
      </c>
      <c r="L67" s="32">
        <f>IF($A67=1,"إيراد مبيعات - فئة مكرونات","")</f>
        <v/>
      </c>
      <c r="M67" s="43">
        <f>IF($A67=1,0,"")</f>
        <v/>
      </c>
      <c r="N67" s="43">
        <f>IF($A67=1,Sales_Daily!$AF9,"")</f>
        <v/>
      </c>
      <c r="O67" s="32">
        <f>IF($A67=1,Sales_Daily!$S9,"")</f>
        <v/>
      </c>
      <c r="P67" s="32">
        <f>IF($A67=1,IF(Sales_Daily!$AW9="","",Sales_Daily!$AW9),"")</f>
        <v/>
      </c>
      <c r="Q67" s="32">
        <f>IF($A67=1,Sales_Daily!$AY9,"")</f>
        <v/>
      </c>
      <c r="R67" s="32">
        <f>IF($A67=1,IF(AND($Q67=1,COUNTIFS(COA!$A:$A,$G67,COA!$R:$R,1)=1),1,0),"")</f>
        <v/>
      </c>
      <c r="S67" s="43">
        <f>IF($A67=1,IF($R67=1,N($M67),0),"")</f>
        <v/>
      </c>
      <c r="T67" s="43">
        <f>IF($A67=1,IF($R67=1,N($N67),0),"")</f>
        <v/>
      </c>
      <c r="U67" s="32">
        <f>IF($A67=1,YEAR($D67)*100+MONTH($D67),"")</f>
        <v/>
      </c>
      <c r="V67" s="32">
        <f>IF($A67=1,IF(COUNTIF(COA!$A:$A,$G67)=0,0,INDEX(COA!$H:$H,MATCH($G67,COA!$A:$A,0))),"")</f>
        <v/>
      </c>
      <c r="W67" s="32">
        <f>IF($A67=1,"","")</f>
        <v/>
      </c>
      <c r="X67" s="32">
        <f>IF($A67=1,IF($R67=1,"",IF($O67=ST_POST,IF($P67&lt;&gt;"",$P67,"حساب غير صالح أو غير نشط"),IF($O67=ST_REV,"معكوس: لا أثر على الدفاتر",IF($O67=ST_CANC,"ملغى",IF($O67=ST_APPR,"معتمد ولم يُرحَّل","مسودة"))))),"")</f>
        <v/>
      </c>
      <c r="Y67" s="32">
        <f>IF($A67=1,IF(AND($R67=1,OR(LG_Acct="",$G67=LG_Acct),OR(LG_Party="",$K67=LG_Party),OR(LG_Loc="ALL",$I67=LG_Loc),OR(LG_CC="ALL",$J67=LG_CC),$D67&gt;=LG_From,$D67&lt;=LG_To),$D67+ROW()/1000000,""),"")</f>
        <v/>
      </c>
      <c r="Z67" s="32">
        <f>IF($A67=1,IF(Sales_Daily!$T9="","",Sales_Daily!$T9),"")</f>
        <v/>
      </c>
      <c r="AA67" s="32">
        <f>IF($A67=1,IF(Sales_Daily!$U9="","",Sales_Daily!$U9),"")</f>
        <v/>
      </c>
      <c r="AB67" s="32">
        <f>IF($A67=1,IF(Sales_Daily!$V9="","",Sales_Daily!$V9),"")</f>
        <v/>
      </c>
      <c r="AC67" s="32">
        <f>IF($A67=1,IF(Sales_Daily!$W9="","",Sales_Daily!$W9),"")</f>
        <v/>
      </c>
      <c r="AD67" s="32">
        <f>IF($A67=1,IF(Sales_Daily!$X9="","",Sales_Daily!$X9),"")</f>
        <v/>
      </c>
      <c r="AE67" s="32">
        <f>IF($A67=1,0,"")</f>
        <v/>
      </c>
      <c r="AF67" s="32" t="inlineStr"/>
    </row>
    <row r="68">
      <c r="A68" s="32">
        <f>IF(AND(Sales_Daily!$AV9=1,N(Sales_Daily!$AG9)&gt;0),1,0)</f>
        <v/>
      </c>
      <c r="B68" s="32">
        <f>IF($A68=1,$E68&amp;"/12","")</f>
        <v/>
      </c>
      <c r="C68" s="32">
        <f>IF($A68=1,"J-"&amp;Sales_Daily!$A9,"")</f>
        <v/>
      </c>
      <c r="D68" s="33">
        <f>IF($A68=1,Sales_Daily!$B9,"")</f>
        <v/>
      </c>
      <c r="E68" s="32">
        <f>IF($A68=1,IF(Sales_Daily!$A9="","",Sales_Daily!$A9),"")</f>
        <v/>
      </c>
      <c r="F68" s="32">
        <f>IF($A68=1,"SAL","")</f>
        <v/>
      </c>
      <c r="G68" s="32">
        <f>IF($A68=1,IF(Sales_Daily!$AT9="","",Sales_Daily!$AT9),"")</f>
        <v/>
      </c>
      <c r="H68" s="32">
        <f>IF($A68=1,IF(COUNTIF(COA!$A:$A,$G68)=0,"حساب غير معرف",INDEX(COA!$B:$B,MATCH($G68,COA!$A:$A,0))),"")</f>
        <v/>
      </c>
      <c r="I68" s="32">
        <f>IF($A68=1,IF(Sales_Daily!$C9="","",Sales_Daily!$C9),"")</f>
        <v/>
      </c>
      <c r="J68" s="32">
        <f>IF($A68=1,"CC10","")</f>
        <v/>
      </c>
      <c r="K68" s="32">
        <f>IF($A68=1,"-","")</f>
        <v/>
      </c>
      <c r="L68" s="32">
        <f>IF($A68=1,"إيراد مبيعات - فئة أخرى","")</f>
        <v/>
      </c>
      <c r="M68" s="43">
        <f>IF($A68=1,0,"")</f>
        <v/>
      </c>
      <c r="N68" s="43">
        <f>IF($A68=1,Sales_Daily!$AG9,"")</f>
        <v/>
      </c>
      <c r="O68" s="32">
        <f>IF($A68=1,Sales_Daily!$S9,"")</f>
        <v/>
      </c>
      <c r="P68" s="32">
        <f>IF($A68=1,IF(Sales_Daily!$AW9="","",Sales_Daily!$AW9),"")</f>
        <v/>
      </c>
      <c r="Q68" s="32">
        <f>IF($A68=1,Sales_Daily!$AY9,"")</f>
        <v/>
      </c>
      <c r="R68" s="32">
        <f>IF($A68=1,IF(AND($Q68=1,COUNTIFS(COA!$A:$A,$G68,COA!$R:$R,1)=1),1,0),"")</f>
        <v/>
      </c>
      <c r="S68" s="43">
        <f>IF($A68=1,IF($R68=1,N($M68),0),"")</f>
        <v/>
      </c>
      <c r="T68" s="43">
        <f>IF($A68=1,IF($R68=1,N($N68),0),"")</f>
        <v/>
      </c>
      <c r="U68" s="32">
        <f>IF($A68=1,YEAR($D68)*100+MONTH($D68),"")</f>
        <v/>
      </c>
      <c r="V68" s="32">
        <f>IF($A68=1,IF(COUNTIF(COA!$A:$A,$G68)=0,0,INDEX(COA!$H:$H,MATCH($G68,COA!$A:$A,0))),"")</f>
        <v/>
      </c>
      <c r="W68" s="32">
        <f>IF($A68=1,"","")</f>
        <v/>
      </c>
      <c r="X68" s="32">
        <f>IF($A68=1,IF($R68=1,"",IF($O68=ST_POST,IF($P68&lt;&gt;"",$P68,"حساب غير صالح أو غير نشط"),IF($O68=ST_REV,"معكوس: لا أثر على الدفاتر",IF($O68=ST_CANC,"ملغى",IF($O68=ST_APPR,"معتمد ولم يُرحَّل","مسودة"))))),"")</f>
        <v/>
      </c>
      <c r="Y68" s="32">
        <f>IF($A68=1,IF(AND($R68=1,OR(LG_Acct="",$G68=LG_Acct),OR(LG_Party="",$K68=LG_Party),OR(LG_Loc="ALL",$I68=LG_Loc),OR(LG_CC="ALL",$J68=LG_CC),$D68&gt;=LG_From,$D68&lt;=LG_To),$D68+ROW()/1000000,""),"")</f>
        <v/>
      </c>
      <c r="Z68" s="32">
        <f>IF($A68=1,IF(Sales_Daily!$T9="","",Sales_Daily!$T9),"")</f>
        <v/>
      </c>
      <c r="AA68" s="32">
        <f>IF($A68=1,IF(Sales_Daily!$U9="","",Sales_Daily!$U9),"")</f>
        <v/>
      </c>
      <c r="AB68" s="32">
        <f>IF($A68=1,IF(Sales_Daily!$V9="","",Sales_Daily!$V9),"")</f>
        <v/>
      </c>
      <c r="AC68" s="32">
        <f>IF($A68=1,IF(Sales_Daily!$W9="","",Sales_Daily!$W9),"")</f>
        <v/>
      </c>
      <c r="AD68" s="32">
        <f>IF($A68=1,IF(Sales_Daily!$X9="","",Sales_Daily!$X9),"")</f>
        <v/>
      </c>
      <c r="AE68" s="32">
        <f>IF($A68=1,0,"")</f>
        <v/>
      </c>
      <c r="AF68" s="32" t="inlineStr"/>
    </row>
    <row r="69">
      <c r="A69" s="32">
        <f>IF(AND(Sales_Daily!$AV9=1,N(Sales_Daily!$AJ9)&gt;0),1,0)</f>
        <v/>
      </c>
      <c r="B69" s="32">
        <f>IF($A69=1,$E69&amp;"/13","")</f>
        <v/>
      </c>
      <c r="C69" s="32">
        <f>IF($A69=1,"J-"&amp;Sales_Daily!$A9,"")</f>
        <v/>
      </c>
      <c r="D69" s="33">
        <f>IF($A69=1,Sales_Daily!$B9,"")</f>
        <v/>
      </c>
      <c r="E69" s="32">
        <f>IF($A69=1,IF(Sales_Daily!$A9="","",Sales_Daily!$A9),"")</f>
        <v/>
      </c>
      <c r="F69" s="32">
        <f>IF($A69=1,"SAL","")</f>
        <v/>
      </c>
      <c r="G69" s="32">
        <f>IF($A69=1,ACC_VAT_OUT,"")</f>
        <v/>
      </c>
      <c r="H69" s="32">
        <f>IF($A69=1,IF(COUNTIF(COA!$A:$A,$G69)=0,"حساب غير معرف",INDEX(COA!$B:$B,MATCH($G69,COA!$A:$A,0))),"")</f>
        <v/>
      </c>
      <c r="I69" s="32">
        <f>IF($A69=1,IF(Sales_Daily!$C9="","",Sales_Daily!$C9),"")</f>
        <v/>
      </c>
      <c r="J69" s="32">
        <f>IF($A69=1,"CC10","")</f>
        <v/>
      </c>
      <c r="K69" s="32">
        <f>IF($A69=1,"-","")</f>
        <v/>
      </c>
      <c r="L69" s="32">
        <f>IF($A69=1,"ضريبة القيمة المضافة - مخرجات","")</f>
        <v/>
      </c>
      <c r="M69" s="43">
        <f>IF($A69=1,0,"")</f>
        <v/>
      </c>
      <c r="N69" s="43">
        <f>IF($A69=1,Sales_Daily!$AJ9,"")</f>
        <v/>
      </c>
      <c r="O69" s="32">
        <f>IF($A69=1,Sales_Daily!$S9,"")</f>
        <v/>
      </c>
      <c r="P69" s="32">
        <f>IF($A69=1,IF(Sales_Daily!$AW9="","",Sales_Daily!$AW9),"")</f>
        <v/>
      </c>
      <c r="Q69" s="32">
        <f>IF($A69=1,Sales_Daily!$AY9,"")</f>
        <v/>
      </c>
      <c r="R69" s="32">
        <f>IF($A69=1,IF(AND($Q69=1,COUNTIFS(COA!$A:$A,$G69,COA!$R:$R,1)=1),1,0),"")</f>
        <v/>
      </c>
      <c r="S69" s="43">
        <f>IF($A69=1,IF($R69=1,N($M69),0),"")</f>
        <v/>
      </c>
      <c r="T69" s="43">
        <f>IF($A69=1,IF($R69=1,N($N69),0),"")</f>
        <v/>
      </c>
      <c r="U69" s="32">
        <f>IF($A69=1,YEAR($D69)*100+MONTH($D69),"")</f>
        <v/>
      </c>
      <c r="V69" s="32">
        <f>IF($A69=1,IF(COUNTIF(COA!$A:$A,$G69)=0,0,INDEX(COA!$H:$H,MATCH($G69,COA!$A:$A,0))),"")</f>
        <v/>
      </c>
      <c r="W69" s="32">
        <f>IF($A69=1,"","")</f>
        <v/>
      </c>
      <c r="X69" s="32">
        <f>IF($A69=1,IF($R69=1,"",IF($O69=ST_POST,IF($P69&lt;&gt;"",$P69,"حساب غير صالح أو غير نشط"),IF($O69=ST_REV,"معكوس: لا أثر على الدفاتر",IF($O69=ST_CANC,"ملغى",IF($O69=ST_APPR,"معتمد ولم يُرحَّل","مسودة"))))),"")</f>
        <v/>
      </c>
      <c r="Y69" s="32">
        <f>IF($A69=1,IF(AND($R69=1,OR(LG_Acct="",$G69=LG_Acct),OR(LG_Party="",$K69=LG_Party),OR(LG_Loc="ALL",$I69=LG_Loc),OR(LG_CC="ALL",$J69=LG_CC),$D69&gt;=LG_From,$D69&lt;=LG_To),$D69+ROW()/1000000,""),"")</f>
        <v/>
      </c>
      <c r="Z69" s="32">
        <f>IF($A69=1,IF(Sales_Daily!$T9="","",Sales_Daily!$T9),"")</f>
        <v/>
      </c>
      <c r="AA69" s="32">
        <f>IF($A69=1,IF(Sales_Daily!$U9="","",Sales_Daily!$U9),"")</f>
        <v/>
      </c>
      <c r="AB69" s="32">
        <f>IF($A69=1,IF(Sales_Daily!$V9="","",Sales_Daily!$V9),"")</f>
        <v/>
      </c>
      <c r="AC69" s="32">
        <f>IF($A69=1,IF(Sales_Daily!$W9="","",Sales_Daily!$W9),"")</f>
        <v/>
      </c>
      <c r="AD69" s="32">
        <f>IF($A69=1,IF(Sales_Daily!$X9="","",Sales_Daily!$X9),"")</f>
        <v/>
      </c>
      <c r="AE69" s="32">
        <f>IF($A69=1,0,"")</f>
        <v/>
      </c>
      <c r="AF69" s="32" t="inlineStr"/>
    </row>
    <row r="70">
      <c r="A70" s="32">
        <f>IF(AND(Sales_Daily!$AV10=1,N(Sales_Daily!$L10)&gt;0),1,0)</f>
        <v/>
      </c>
      <c r="B70" s="32">
        <f>IF($A70=1,$E70&amp;"/1","")</f>
        <v/>
      </c>
      <c r="C70" s="32">
        <f>IF($A70=1,"J-"&amp;Sales_Daily!$A10,"")</f>
        <v/>
      </c>
      <c r="D70" s="33">
        <f>IF($A70=1,Sales_Daily!$B10,"")</f>
        <v/>
      </c>
      <c r="E70" s="32">
        <f>IF($A70=1,IF(Sales_Daily!$A10="","",Sales_Daily!$A10),"")</f>
        <v/>
      </c>
      <c r="F70" s="32">
        <f>IF($A70=1,"SAL","")</f>
        <v/>
      </c>
      <c r="G70" s="32">
        <f>IF($A70=1,IF(Sales_Daily!$AK10="","",Sales_Daily!$AK10),"")</f>
        <v/>
      </c>
      <c r="H70" s="32">
        <f>IF($A70=1,IF(COUNTIF(COA!$A:$A,$G70)=0,"حساب غير معرف",INDEX(COA!$B:$B,MATCH($G70,COA!$A:$A,0))),"")</f>
        <v/>
      </c>
      <c r="I70" s="32">
        <f>IF($A70=1,IF(Sales_Daily!$C10="","",Sales_Daily!$C10),"")</f>
        <v/>
      </c>
      <c r="J70" s="32">
        <f>IF($A70=1,"CC10","")</f>
        <v/>
      </c>
      <c r="K70" s="32">
        <f>IF($A70=1,"-","")</f>
        <v/>
      </c>
      <c r="L70" s="32">
        <f>IF($A70=1,"مبيعات - تحصيل CASH","")</f>
        <v/>
      </c>
      <c r="M70" s="43">
        <f>IF($A70=1,Sales_Daily!$L10,"")</f>
        <v/>
      </c>
      <c r="N70" s="43">
        <f>IF($A70=1,0,"")</f>
        <v/>
      </c>
      <c r="O70" s="32">
        <f>IF($A70=1,Sales_Daily!$S10,"")</f>
        <v/>
      </c>
      <c r="P70" s="32">
        <f>IF($A70=1,IF(Sales_Daily!$AW10="","",Sales_Daily!$AW10),"")</f>
        <v/>
      </c>
      <c r="Q70" s="32">
        <f>IF($A70=1,Sales_Daily!$AY10,"")</f>
        <v/>
      </c>
      <c r="R70" s="32">
        <f>IF($A70=1,IF(AND($Q70=1,COUNTIFS(COA!$A:$A,$G70,COA!$R:$R,1)=1),1,0),"")</f>
        <v/>
      </c>
      <c r="S70" s="43">
        <f>IF($A70=1,IF($R70=1,N($M70),0),"")</f>
        <v/>
      </c>
      <c r="T70" s="43">
        <f>IF($A70=1,IF($R70=1,N($N70),0),"")</f>
        <v/>
      </c>
      <c r="U70" s="32">
        <f>IF($A70=1,YEAR($D70)*100+MONTH($D70),"")</f>
        <v/>
      </c>
      <c r="V70" s="32">
        <f>IF($A70=1,IF(COUNTIF(COA!$A:$A,$G70)=0,0,INDEX(COA!$H:$H,MATCH($G70,COA!$A:$A,0))),"")</f>
        <v/>
      </c>
      <c r="W70" s="32">
        <f>IF($A70=1,"OPERATING","")</f>
        <v/>
      </c>
      <c r="X70" s="32">
        <f>IF($A70=1,IF($R70=1,"",IF($O70=ST_POST,IF($P70&lt;&gt;"",$P70,"حساب غير صالح أو غير نشط"),IF($O70=ST_REV,"معكوس: لا أثر على الدفاتر",IF($O70=ST_CANC,"ملغى",IF($O70=ST_APPR,"معتمد ولم يُرحَّل","مسودة"))))),"")</f>
        <v/>
      </c>
      <c r="Y70" s="32">
        <f>IF($A70=1,IF(AND($R70=1,OR(LG_Acct="",$G70=LG_Acct),OR(LG_Party="",$K70=LG_Party),OR(LG_Loc="ALL",$I70=LG_Loc),OR(LG_CC="ALL",$J70=LG_CC),$D70&gt;=LG_From,$D70&lt;=LG_To),$D70+ROW()/1000000,""),"")</f>
        <v/>
      </c>
      <c r="Z70" s="32">
        <f>IF($A70=1,IF(Sales_Daily!$T10="","",Sales_Daily!$T10),"")</f>
        <v/>
      </c>
      <c r="AA70" s="32">
        <f>IF($A70=1,IF(Sales_Daily!$U10="","",Sales_Daily!$U10),"")</f>
        <v/>
      </c>
      <c r="AB70" s="32">
        <f>IF($A70=1,IF(Sales_Daily!$V10="","",Sales_Daily!$V10),"")</f>
        <v/>
      </c>
      <c r="AC70" s="32">
        <f>IF($A70=1,IF(Sales_Daily!$W10="","",Sales_Daily!$W10),"")</f>
        <v/>
      </c>
      <c r="AD70" s="32">
        <f>IF($A70=1,IF(Sales_Daily!$X10="","",Sales_Daily!$X10),"")</f>
        <v/>
      </c>
      <c r="AE70" s="32">
        <f>IF($A70=1,0,"")</f>
        <v/>
      </c>
      <c r="AF70" s="32" t="inlineStr"/>
    </row>
    <row r="71">
      <c r="A71" s="32">
        <f>IF(AND(Sales_Daily!$AV10=1,N(Sales_Daily!$M10)&gt;0),1,0)</f>
        <v/>
      </c>
      <c r="B71" s="32">
        <f>IF($A71=1,$E71&amp;"/2","")</f>
        <v/>
      </c>
      <c r="C71" s="32">
        <f>IF($A71=1,"J-"&amp;Sales_Daily!$A10,"")</f>
        <v/>
      </c>
      <c r="D71" s="33">
        <f>IF($A71=1,Sales_Daily!$B10,"")</f>
        <v/>
      </c>
      <c r="E71" s="32">
        <f>IF($A71=1,IF(Sales_Daily!$A10="","",Sales_Daily!$A10),"")</f>
        <v/>
      </c>
      <c r="F71" s="32">
        <f>IF($A71=1,"SAL","")</f>
        <v/>
      </c>
      <c r="G71" s="32">
        <f>IF($A71=1,IF(Sales_Daily!$AL10="","",Sales_Daily!$AL10),"")</f>
        <v/>
      </c>
      <c r="H71" s="32">
        <f>IF($A71=1,IF(COUNTIF(COA!$A:$A,$G71)=0,"حساب غير معرف",INDEX(COA!$B:$B,MATCH($G71,COA!$A:$A,0))),"")</f>
        <v/>
      </c>
      <c r="I71" s="32">
        <f>IF($A71=1,IF(Sales_Daily!$C10="","",Sales_Daily!$C10),"")</f>
        <v/>
      </c>
      <c r="J71" s="32">
        <f>IF($A71=1,"CC10","")</f>
        <v/>
      </c>
      <c r="K71" s="32">
        <f>IF($A71=1,"-","")</f>
        <v/>
      </c>
      <c r="L71" s="32">
        <f>IF($A71=1,"مبيعات - تحصيل CARD","")</f>
        <v/>
      </c>
      <c r="M71" s="43">
        <f>IF($A71=1,Sales_Daily!$M10,"")</f>
        <v/>
      </c>
      <c r="N71" s="43">
        <f>IF($A71=1,0,"")</f>
        <v/>
      </c>
      <c r="O71" s="32">
        <f>IF($A71=1,Sales_Daily!$S10,"")</f>
        <v/>
      </c>
      <c r="P71" s="32">
        <f>IF($A71=1,IF(Sales_Daily!$AW10="","",Sales_Daily!$AW10),"")</f>
        <v/>
      </c>
      <c r="Q71" s="32">
        <f>IF($A71=1,Sales_Daily!$AY10,"")</f>
        <v/>
      </c>
      <c r="R71" s="32">
        <f>IF($A71=1,IF(AND($Q71=1,COUNTIFS(COA!$A:$A,$G71,COA!$R:$R,1)=1),1,0),"")</f>
        <v/>
      </c>
      <c r="S71" s="43">
        <f>IF($A71=1,IF($R71=1,N($M71),0),"")</f>
        <v/>
      </c>
      <c r="T71" s="43">
        <f>IF($A71=1,IF($R71=1,N($N71),0),"")</f>
        <v/>
      </c>
      <c r="U71" s="32">
        <f>IF($A71=1,YEAR($D71)*100+MONTH($D71),"")</f>
        <v/>
      </c>
      <c r="V71" s="32">
        <f>IF($A71=1,IF(COUNTIF(COA!$A:$A,$G71)=0,0,INDEX(COA!$H:$H,MATCH($G71,COA!$A:$A,0))),"")</f>
        <v/>
      </c>
      <c r="W71" s="32">
        <f>IF($A71=1,"OPERATING","")</f>
        <v/>
      </c>
      <c r="X71" s="32">
        <f>IF($A71=1,IF($R71=1,"",IF($O71=ST_POST,IF($P71&lt;&gt;"",$P71,"حساب غير صالح أو غير نشط"),IF($O71=ST_REV,"معكوس: لا أثر على الدفاتر",IF($O71=ST_CANC,"ملغى",IF($O71=ST_APPR,"معتمد ولم يُرحَّل","مسودة"))))),"")</f>
        <v/>
      </c>
      <c r="Y71" s="32">
        <f>IF($A71=1,IF(AND($R71=1,OR(LG_Acct="",$G71=LG_Acct),OR(LG_Party="",$K71=LG_Party),OR(LG_Loc="ALL",$I71=LG_Loc),OR(LG_CC="ALL",$J71=LG_CC),$D71&gt;=LG_From,$D71&lt;=LG_To),$D71+ROW()/1000000,""),"")</f>
        <v/>
      </c>
      <c r="Z71" s="32">
        <f>IF($A71=1,IF(Sales_Daily!$T10="","",Sales_Daily!$T10),"")</f>
        <v/>
      </c>
      <c r="AA71" s="32">
        <f>IF($A71=1,IF(Sales_Daily!$U10="","",Sales_Daily!$U10),"")</f>
        <v/>
      </c>
      <c r="AB71" s="32">
        <f>IF($A71=1,IF(Sales_Daily!$V10="","",Sales_Daily!$V10),"")</f>
        <v/>
      </c>
      <c r="AC71" s="32">
        <f>IF($A71=1,IF(Sales_Daily!$W10="","",Sales_Daily!$W10),"")</f>
        <v/>
      </c>
      <c r="AD71" s="32">
        <f>IF($A71=1,IF(Sales_Daily!$X10="","",Sales_Daily!$X10),"")</f>
        <v/>
      </c>
      <c r="AE71" s="32">
        <f>IF($A71=1,0,"")</f>
        <v/>
      </c>
      <c r="AF71" s="32" t="inlineStr"/>
    </row>
    <row r="72">
      <c r="A72" s="32">
        <f>IF(AND(Sales_Daily!$AV10=1,N(Sales_Daily!$N10)&gt;0),1,0)</f>
        <v/>
      </c>
      <c r="B72" s="32">
        <f>IF($A72=1,$E72&amp;"/3","")</f>
        <v/>
      </c>
      <c r="C72" s="32">
        <f>IF($A72=1,"J-"&amp;Sales_Daily!$A10,"")</f>
        <v/>
      </c>
      <c r="D72" s="33">
        <f>IF($A72=1,Sales_Daily!$B10,"")</f>
        <v/>
      </c>
      <c r="E72" s="32">
        <f>IF($A72=1,IF(Sales_Daily!$A10="","",Sales_Daily!$A10),"")</f>
        <v/>
      </c>
      <c r="F72" s="32">
        <f>IF($A72=1,"SAL","")</f>
        <v/>
      </c>
      <c r="G72" s="32">
        <f>IF($A72=1,IF(Sales_Daily!$AM10="","",Sales_Daily!$AM10),"")</f>
        <v/>
      </c>
      <c r="H72" s="32">
        <f>IF($A72=1,IF(COUNTIF(COA!$A:$A,$G72)=0,"حساب غير معرف",INDEX(COA!$B:$B,MATCH($G72,COA!$A:$A,0))),"")</f>
        <v/>
      </c>
      <c r="I72" s="32">
        <f>IF($A72=1,IF(Sales_Daily!$C10="","",Sales_Daily!$C10),"")</f>
        <v/>
      </c>
      <c r="J72" s="32">
        <f>IF($A72=1,"CC10","")</f>
        <v/>
      </c>
      <c r="K72" s="32">
        <f>IF($A72=1,"-","")</f>
        <v/>
      </c>
      <c r="L72" s="32">
        <f>IF($A72=1,"مبيعات - تحصيل TLB","")</f>
        <v/>
      </c>
      <c r="M72" s="43">
        <f>IF($A72=1,Sales_Daily!$N10,"")</f>
        <v/>
      </c>
      <c r="N72" s="43">
        <f>IF($A72=1,0,"")</f>
        <v/>
      </c>
      <c r="O72" s="32">
        <f>IF($A72=1,Sales_Daily!$S10,"")</f>
        <v/>
      </c>
      <c r="P72" s="32">
        <f>IF($A72=1,IF(Sales_Daily!$AW10="","",Sales_Daily!$AW10),"")</f>
        <v/>
      </c>
      <c r="Q72" s="32">
        <f>IF($A72=1,Sales_Daily!$AY10,"")</f>
        <v/>
      </c>
      <c r="R72" s="32">
        <f>IF($A72=1,IF(AND($Q72=1,COUNTIFS(COA!$A:$A,$G72,COA!$R:$R,1)=1),1,0),"")</f>
        <v/>
      </c>
      <c r="S72" s="43">
        <f>IF($A72=1,IF($R72=1,N($M72),0),"")</f>
        <v/>
      </c>
      <c r="T72" s="43">
        <f>IF($A72=1,IF($R72=1,N($N72),0),"")</f>
        <v/>
      </c>
      <c r="U72" s="32">
        <f>IF($A72=1,YEAR($D72)*100+MONTH($D72),"")</f>
        <v/>
      </c>
      <c r="V72" s="32">
        <f>IF($A72=1,IF(COUNTIF(COA!$A:$A,$G72)=0,0,INDEX(COA!$H:$H,MATCH($G72,COA!$A:$A,0))),"")</f>
        <v/>
      </c>
      <c r="W72" s="32">
        <f>IF($A72=1,"OPERATING","")</f>
        <v/>
      </c>
      <c r="X72" s="32">
        <f>IF($A72=1,IF($R72=1,"",IF($O72=ST_POST,IF($P72&lt;&gt;"",$P72,"حساب غير صالح أو غير نشط"),IF($O72=ST_REV,"معكوس: لا أثر على الدفاتر",IF($O72=ST_CANC,"ملغى",IF($O72=ST_APPR,"معتمد ولم يُرحَّل","مسودة"))))),"")</f>
        <v/>
      </c>
      <c r="Y72" s="32">
        <f>IF($A72=1,IF(AND($R72=1,OR(LG_Acct="",$G72=LG_Acct),OR(LG_Party="",$K72=LG_Party),OR(LG_Loc="ALL",$I72=LG_Loc),OR(LG_CC="ALL",$J72=LG_CC),$D72&gt;=LG_From,$D72&lt;=LG_To),$D72+ROW()/1000000,""),"")</f>
        <v/>
      </c>
      <c r="Z72" s="32">
        <f>IF($A72=1,IF(Sales_Daily!$T10="","",Sales_Daily!$T10),"")</f>
        <v/>
      </c>
      <c r="AA72" s="32">
        <f>IF($A72=1,IF(Sales_Daily!$U10="","",Sales_Daily!$U10),"")</f>
        <v/>
      </c>
      <c r="AB72" s="32">
        <f>IF($A72=1,IF(Sales_Daily!$V10="","",Sales_Daily!$V10),"")</f>
        <v/>
      </c>
      <c r="AC72" s="32">
        <f>IF($A72=1,IF(Sales_Daily!$W10="","",Sales_Daily!$W10),"")</f>
        <v/>
      </c>
      <c r="AD72" s="32">
        <f>IF($A72=1,IF(Sales_Daily!$X10="","",Sales_Daily!$X10),"")</f>
        <v/>
      </c>
      <c r="AE72" s="32">
        <f>IF($A72=1,0,"")</f>
        <v/>
      </c>
      <c r="AF72" s="32" t="inlineStr"/>
    </row>
    <row r="73">
      <c r="A73" s="32">
        <f>IF(AND(Sales_Daily!$AV10=1,N(Sales_Daily!$O10)&gt;0),1,0)</f>
        <v/>
      </c>
      <c r="B73" s="32">
        <f>IF($A73=1,$E73&amp;"/4","")</f>
        <v/>
      </c>
      <c r="C73" s="32">
        <f>IF($A73=1,"J-"&amp;Sales_Daily!$A10,"")</f>
        <v/>
      </c>
      <c r="D73" s="33">
        <f>IF($A73=1,Sales_Daily!$B10,"")</f>
        <v/>
      </c>
      <c r="E73" s="32">
        <f>IF($A73=1,IF(Sales_Daily!$A10="","",Sales_Daily!$A10),"")</f>
        <v/>
      </c>
      <c r="F73" s="32">
        <f>IF($A73=1,"SAL","")</f>
        <v/>
      </c>
      <c r="G73" s="32">
        <f>IF($A73=1,IF(Sales_Daily!$AN10="","",Sales_Daily!$AN10),"")</f>
        <v/>
      </c>
      <c r="H73" s="32">
        <f>IF($A73=1,IF(COUNTIF(COA!$A:$A,$G73)=0,"حساب غير معرف",INDEX(COA!$B:$B,MATCH($G73,COA!$A:$A,0))),"")</f>
        <v/>
      </c>
      <c r="I73" s="32">
        <f>IF($A73=1,IF(Sales_Daily!$C10="","",Sales_Daily!$C10),"")</f>
        <v/>
      </c>
      <c r="J73" s="32">
        <f>IF($A73=1,"CC10","")</f>
        <v/>
      </c>
      <c r="K73" s="32">
        <f>IF($A73=1,"-","")</f>
        <v/>
      </c>
      <c r="L73" s="32">
        <f>IF($A73=1,"مبيعات - تحصيل DLV2","")</f>
        <v/>
      </c>
      <c r="M73" s="43">
        <f>IF($A73=1,Sales_Daily!$O10,"")</f>
        <v/>
      </c>
      <c r="N73" s="43">
        <f>IF($A73=1,0,"")</f>
        <v/>
      </c>
      <c r="O73" s="32">
        <f>IF($A73=1,Sales_Daily!$S10,"")</f>
        <v/>
      </c>
      <c r="P73" s="32">
        <f>IF($A73=1,IF(Sales_Daily!$AW10="","",Sales_Daily!$AW10),"")</f>
        <v/>
      </c>
      <c r="Q73" s="32">
        <f>IF($A73=1,Sales_Daily!$AY10,"")</f>
        <v/>
      </c>
      <c r="R73" s="32">
        <f>IF($A73=1,IF(AND($Q73=1,COUNTIFS(COA!$A:$A,$G73,COA!$R:$R,1)=1),1,0),"")</f>
        <v/>
      </c>
      <c r="S73" s="43">
        <f>IF($A73=1,IF($R73=1,N($M73),0),"")</f>
        <v/>
      </c>
      <c r="T73" s="43">
        <f>IF($A73=1,IF($R73=1,N($N73),0),"")</f>
        <v/>
      </c>
      <c r="U73" s="32">
        <f>IF($A73=1,YEAR($D73)*100+MONTH($D73),"")</f>
        <v/>
      </c>
      <c r="V73" s="32">
        <f>IF($A73=1,IF(COUNTIF(COA!$A:$A,$G73)=0,0,INDEX(COA!$H:$H,MATCH($G73,COA!$A:$A,0))),"")</f>
        <v/>
      </c>
      <c r="W73" s="32">
        <f>IF($A73=1,"OPERATING","")</f>
        <v/>
      </c>
      <c r="X73" s="32">
        <f>IF($A73=1,IF($R73=1,"",IF($O73=ST_POST,IF($P73&lt;&gt;"",$P73,"حساب غير صالح أو غير نشط"),IF($O73=ST_REV,"معكوس: لا أثر على الدفاتر",IF($O73=ST_CANC,"ملغى",IF($O73=ST_APPR,"معتمد ولم يُرحَّل","مسودة"))))),"")</f>
        <v/>
      </c>
      <c r="Y73" s="32">
        <f>IF($A73=1,IF(AND($R73=1,OR(LG_Acct="",$G73=LG_Acct),OR(LG_Party="",$K73=LG_Party),OR(LG_Loc="ALL",$I73=LG_Loc),OR(LG_CC="ALL",$J73=LG_CC),$D73&gt;=LG_From,$D73&lt;=LG_To),$D73+ROW()/1000000,""),"")</f>
        <v/>
      </c>
      <c r="Z73" s="32">
        <f>IF($A73=1,IF(Sales_Daily!$T10="","",Sales_Daily!$T10),"")</f>
        <v/>
      </c>
      <c r="AA73" s="32">
        <f>IF($A73=1,IF(Sales_Daily!$U10="","",Sales_Daily!$U10),"")</f>
        <v/>
      </c>
      <c r="AB73" s="32">
        <f>IF($A73=1,IF(Sales_Daily!$V10="","",Sales_Daily!$V10),"")</f>
        <v/>
      </c>
      <c r="AC73" s="32">
        <f>IF($A73=1,IF(Sales_Daily!$W10="","",Sales_Daily!$W10),"")</f>
        <v/>
      </c>
      <c r="AD73" s="32">
        <f>IF($A73=1,IF(Sales_Daily!$X10="","",Sales_Daily!$X10),"")</f>
        <v/>
      </c>
      <c r="AE73" s="32">
        <f>IF($A73=1,0,"")</f>
        <v/>
      </c>
      <c r="AF73" s="32" t="inlineStr"/>
    </row>
    <row r="74">
      <c r="A74" s="32">
        <f>IF(AND(Sales_Daily!$AV10=1,N(Sales_Daily!$P10)&gt;0),1,0)</f>
        <v/>
      </c>
      <c r="B74" s="32">
        <f>IF($A74=1,$E74&amp;"/5","")</f>
        <v/>
      </c>
      <c r="C74" s="32">
        <f>IF($A74=1,"J-"&amp;Sales_Daily!$A10,"")</f>
        <v/>
      </c>
      <c r="D74" s="33">
        <f>IF($A74=1,Sales_Daily!$B10,"")</f>
        <v/>
      </c>
      <c r="E74" s="32">
        <f>IF($A74=1,IF(Sales_Daily!$A10="","",Sales_Daily!$A10),"")</f>
        <v/>
      </c>
      <c r="F74" s="32">
        <f>IF($A74=1,"SAL","")</f>
        <v/>
      </c>
      <c r="G74" s="32">
        <f>IF($A74=1,IF(Sales_Daily!$AO10="","",Sales_Daily!$AO10),"")</f>
        <v/>
      </c>
      <c r="H74" s="32">
        <f>IF($A74=1,IF(COUNTIF(COA!$A:$A,$G74)=0,"حساب غير معرف",INDEX(COA!$B:$B,MATCH($G74,COA!$A:$A,0))),"")</f>
        <v/>
      </c>
      <c r="I74" s="32">
        <f>IF($A74=1,IF(Sales_Daily!$C10="","",Sales_Daily!$C10),"")</f>
        <v/>
      </c>
      <c r="J74" s="32">
        <f>IF($A74=1,"CC10","")</f>
        <v/>
      </c>
      <c r="K74" s="32">
        <f>IF($A74=1,"-","")</f>
        <v/>
      </c>
      <c r="L74" s="32">
        <f>IF($A74=1,"مبيعات - تحصيل INSTA","")</f>
        <v/>
      </c>
      <c r="M74" s="43">
        <f>IF($A74=1,Sales_Daily!$P10,"")</f>
        <v/>
      </c>
      <c r="N74" s="43">
        <f>IF($A74=1,0,"")</f>
        <v/>
      </c>
      <c r="O74" s="32">
        <f>IF($A74=1,Sales_Daily!$S10,"")</f>
        <v/>
      </c>
      <c r="P74" s="32">
        <f>IF($A74=1,IF(Sales_Daily!$AW10="","",Sales_Daily!$AW10),"")</f>
        <v/>
      </c>
      <c r="Q74" s="32">
        <f>IF($A74=1,Sales_Daily!$AY10,"")</f>
        <v/>
      </c>
      <c r="R74" s="32">
        <f>IF($A74=1,IF(AND($Q74=1,COUNTIFS(COA!$A:$A,$G74,COA!$R:$R,1)=1),1,0),"")</f>
        <v/>
      </c>
      <c r="S74" s="43">
        <f>IF($A74=1,IF($R74=1,N($M74),0),"")</f>
        <v/>
      </c>
      <c r="T74" s="43">
        <f>IF($A74=1,IF($R74=1,N($N74),0),"")</f>
        <v/>
      </c>
      <c r="U74" s="32">
        <f>IF($A74=1,YEAR($D74)*100+MONTH($D74),"")</f>
        <v/>
      </c>
      <c r="V74" s="32">
        <f>IF($A74=1,IF(COUNTIF(COA!$A:$A,$G74)=0,0,INDEX(COA!$H:$H,MATCH($G74,COA!$A:$A,0))),"")</f>
        <v/>
      </c>
      <c r="W74" s="32">
        <f>IF($A74=1,"OPERATING","")</f>
        <v/>
      </c>
      <c r="X74" s="32">
        <f>IF($A74=1,IF($R74=1,"",IF($O74=ST_POST,IF($P74&lt;&gt;"",$P74,"حساب غير صالح أو غير نشط"),IF($O74=ST_REV,"معكوس: لا أثر على الدفاتر",IF($O74=ST_CANC,"ملغى",IF($O74=ST_APPR,"معتمد ولم يُرحَّل","مسودة"))))),"")</f>
        <v/>
      </c>
      <c r="Y74" s="32">
        <f>IF($A74=1,IF(AND($R74=1,OR(LG_Acct="",$G74=LG_Acct),OR(LG_Party="",$K74=LG_Party),OR(LG_Loc="ALL",$I74=LG_Loc),OR(LG_CC="ALL",$J74=LG_CC),$D74&gt;=LG_From,$D74&lt;=LG_To),$D74+ROW()/1000000,""),"")</f>
        <v/>
      </c>
      <c r="Z74" s="32">
        <f>IF($A74=1,IF(Sales_Daily!$T10="","",Sales_Daily!$T10),"")</f>
        <v/>
      </c>
      <c r="AA74" s="32">
        <f>IF($A74=1,IF(Sales_Daily!$U10="","",Sales_Daily!$U10),"")</f>
        <v/>
      </c>
      <c r="AB74" s="32">
        <f>IF($A74=1,IF(Sales_Daily!$V10="","",Sales_Daily!$V10),"")</f>
        <v/>
      </c>
      <c r="AC74" s="32">
        <f>IF($A74=1,IF(Sales_Daily!$W10="","",Sales_Daily!$W10),"")</f>
        <v/>
      </c>
      <c r="AD74" s="32">
        <f>IF($A74=1,IF(Sales_Daily!$X10="","",Sales_Daily!$X10),"")</f>
        <v/>
      </c>
      <c r="AE74" s="32">
        <f>IF($A74=1,0,"")</f>
        <v/>
      </c>
      <c r="AF74" s="32" t="inlineStr"/>
    </row>
    <row r="75">
      <c r="A75" s="32">
        <f>IF(AND(Sales_Daily!$AV10=1,N(Sales_Daily!$Q10)&gt;0),1,0)</f>
        <v/>
      </c>
      <c r="B75" s="32">
        <f>IF($A75=1,$E75&amp;"/6","")</f>
        <v/>
      </c>
      <c r="C75" s="32">
        <f>IF($A75=1,"J-"&amp;Sales_Daily!$A10,"")</f>
        <v/>
      </c>
      <c r="D75" s="33">
        <f>IF($A75=1,Sales_Daily!$B10,"")</f>
        <v/>
      </c>
      <c r="E75" s="32">
        <f>IF($A75=1,IF(Sales_Daily!$A10="","",Sales_Daily!$A10),"")</f>
        <v/>
      </c>
      <c r="F75" s="32">
        <f>IF($A75=1,"SAL","")</f>
        <v/>
      </c>
      <c r="G75" s="32">
        <f>IF($A75=1,IF(Sales_Daily!$AP10="","",Sales_Daily!$AP10),"")</f>
        <v/>
      </c>
      <c r="H75" s="32">
        <f>IF($A75=1,IF(COUNTIF(COA!$A:$A,$G75)=0,"حساب غير معرف",INDEX(COA!$B:$B,MATCH($G75,COA!$A:$A,0))),"")</f>
        <v/>
      </c>
      <c r="I75" s="32">
        <f>IF($A75=1,IF(Sales_Daily!$C10="","",Sales_Daily!$C10),"")</f>
        <v/>
      </c>
      <c r="J75" s="32">
        <f>IF($A75=1,"CC10","")</f>
        <v/>
      </c>
      <c r="K75" s="32">
        <f>IF($A75=1,"-","")</f>
        <v/>
      </c>
      <c r="L75" s="32">
        <f>IF($A75=1,"مبيعات - تحصيل OTH","")</f>
        <v/>
      </c>
      <c r="M75" s="43">
        <f>IF($A75=1,Sales_Daily!$Q10,"")</f>
        <v/>
      </c>
      <c r="N75" s="43">
        <f>IF($A75=1,0,"")</f>
        <v/>
      </c>
      <c r="O75" s="32">
        <f>IF($A75=1,Sales_Daily!$S10,"")</f>
        <v/>
      </c>
      <c r="P75" s="32">
        <f>IF($A75=1,IF(Sales_Daily!$AW10="","",Sales_Daily!$AW10),"")</f>
        <v/>
      </c>
      <c r="Q75" s="32">
        <f>IF($A75=1,Sales_Daily!$AY10,"")</f>
        <v/>
      </c>
      <c r="R75" s="32">
        <f>IF($A75=1,IF(AND($Q75=1,COUNTIFS(COA!$A:$A,$G75,COA!$R:$R,1)=1),1,0),"")</f>
        <v/>
      </c>
      <c r="S75" s="43">
        <f>IF($A75=1,IF($R75=1,N($M75),0),"")</f>
        <v/>
      </c>
      <c r="T75" s="43">
        <f>IF($A75=1,IF($R75=1,N($N75),0),"")</f>
        <v/>
      </c>
      <c r="U75" s="32">
        <f>IF($A75=1,YEAR($D75)*100+MONTH($D75),"")</f>
        <v/>
      </c>
      <c r="V75" s="32">
        <f>IF($A75=1,IF(COUNTIF(COA!$A:$A,$G75)=0,0,INDEX(COA!$H:$H,MATCH($G75,COA!$A:$A,0))),"")</f>
        <v/>
      </c>
      <c r="W75" s="32">
        <f>IF($A75=1,"OPERATING","")</f>
        <v/>
      </c>
      <c r="X75" s="32">
        <f>IF($A75=1,IF($R75=1,"",IF($O75=ST_POST,IF($P75&lt;&gt;"",$P75,"حساب غير صالح أو غير نشط"),IF($O75=ST_REV,"معكوس: لا أثر على الدفاتر",IF($O75=ST_CANC,"ملغى",IF($O75=ST_APPR,"معتمد ولم يُرحَّل","مسودة"))))),"")</f>
        <v/>
      </c>
      <c r="Y75" s="32">
        <f>IF($A75=1,IF(AND($R75=1,OR(LG_Acct="",$G75=LG_Acct),OR(LG_Party="",$K75=LG_Party),OR(LG_Loc="ALL",$I75=LG_Loc),OR(LG_CC="ALL",$J75=LG_CC),$D75&gt;=LG_From,$D75&lt;=LG_To),$D75+ROW()/1000000,""),"")</f>
        <v/>
      </c>
      <c r="Z75" s="32">
        <f>IF($A75=1,IF(Sales_Daily!$T10="","",Sales_Daily!$T10),"")</f>
        <v/>
      </c>
      <c r="AA75" s="32">
        <f>IF($A75=1,IF(Sales_Daily!$U10="","",Sales_Daily!$U10),"")</f>
        <v/>
      </c>
      <c r="AB75" s="32">
        <f>IF($A75=1,IF(Sales_Daily!$V10="","",Sales_Daily!$V10),"")</f>
        <v/>
      </c>
      <c r="AC75" s="32">
        <f>IF($A75=1,IF(Sales_Daily!$W10="","",Sales_Daily!$W10),"")</f>
        <v/>
      </c>
      <c r="AD75" s="32">
        <f>IF($A75=1,IF(Sales_Daily!$X10="","",Sales_Daily!$X10),"")</f>
        <v/>
      </c>
      <c r="AE75" s="32">
        <f>IF($A75=1,0,"")</f>
        <v/>
      </c>
      <c r="AF75" s="32" t="inlineStr"/>
    </row>
    <row r="76">
      <c r="A76" s="32">
        <f>IF(AND(Sales_Daily!$AV10=1,N(Sales_Daily!$AH10)&gt;0),1,0)</f>
        <v/>
      </c>
      <c r="B76" s="32">
        <f>IF($A76=1,$E76&amp;"/7","")</f>
        <v/>
      </c>
      <c r="C76" s="32">
        <f>IF($A76=1,"J-"&amp;Sales_Daily!$A10,"")</f>
        <v/>
      </c>
      <c r="D76" s="33">
        <f>IF($A76=1,Sales_Daily!$B10,"")</f>
        <v/>
      </c>
      <c r="E76" s="32">
        <f>IF($A76=1,IF(Sales_Daily!$A10="","",Sales_Daily!$A10),"")</f>
        <v/>
      </c>
      <c r="F76" s="32">
        <f>IF($A76=1,"SAL","")</f>
        <v/>
      </c>
      <c r="G76" s="32">
        <f>IF($A76=1,ACC_DISC,"")</f>
        <v/>
      </c>
      <c r="H76" s="32">
        <f>IF($A76=1,IF(COUNTIF(COA!$A:$A,$G76)=0,"حساب غير معرف",INDEX(COA!$B:$B,MATCH($G76,COA!$A:$A,0))),"")</f>
        <v/>
      </c>
      <c r="I76" s="32">
        <f>IF($A76=1,IF(Sales_Daily!$C10="","",Sales_Daily!$C10),"")</f>
        <v/>
      </c>
      <c r="J76" s="32">
        <f>IF($A76=1,"CC10","")</f>
        <v/>
      </c>
      <c r="K76" s="32">
        <f>IF($A76=1,"-","")</f>
        <v/>
      </c>
      <c r="L76" s="32">
        <f>IF($A76=1,"خصومات المبيعات والعروض","")</f>
        <v/>
      </c>
      <c r="M76" s="43">
        <f>IF($A76=1,Sales_Daily!$AH10,"")</f>
        <v/>
      </c>
      <c r="N76" s="43">
        <f>IF($A76=1,0,"")</f>
        <v/>
      </c>
      <c r="O76" s="32">
        <f>IF($A76=1,Sales_Daily!$S10,"")</f>
        <v/>
      </c>
      <c r="P76" s="32">
        <f>IF($A76=1,IF(Sales_Daily!$AW10="","",Sales_Daily!$AW10),"")</f>
        <v/>
      </c>
      <c r="Q76" s="32">
        <f>IF($A76=1,Sales_Daily!$AY10,"")</f>
        <v/>
      </c>
      <c r="R76" s="32">
        <f>IF($A76=1,IF(AND($Q76=1,COUNTIFS(COA!$A:$A,$G76,COA!$R:$R,1)=1),1,0),"")</f>
        <v/>
      </c>
      <c r="S76" s="43">
        <f>IF($A76=1,IF($R76=1,N($M76),0),"")</f>
        <v/>
      </c>
      <c r="T76" s="43">
        <f>IF($A76=1,IF($R76=1,N($N76),0),"")</f>
        <v/>
      </c>
      <c r="U76" s="32">
        <f>IF($A76=1,YEAR($D76)*100+MONTH($D76),"")</f>
        <v/>
      </c>
      <c r="V76" s="32">
        <f>IF($A76=1,IF(COUNTIF(COA!$A:$A,$G76)=0,0,INDEX(COA!$H:$H,MATCH($G76,COA!$A:$A,0))),"")</f>
        <v/>
      </c>
      <c r="W76" s="32">
        <f>IF($A76=1,"","")</f>
        <v/>
      </c>
      <c r="X76" s="32">
        <f>IF($A76=1,IF($R76=1,"",IF($O76=ST_POST,IF($P76&lt;&gt;"",$P76,"حساب غير صالح أو غير نشط"),IF($O76=ST_REV,"معكوس: لا أثر على الدفاتر",IF($O76=ST_CANC,"ملغى",IF($O76=ST_APPR,"معتمد ولم يُرحَّل","مسودة"))))),"")</f>
        <v/>
      </c>
      <c r="Y76" s="32">
        <f>IF($A76=1,IF(AND($R76=1,OR(LG_Acct="",$G76=LG_Acct),OR(LG_Party="",$K76=LG_Party),OR(LG_Loc="ALL",$I76=LG_Loc),OR(LG_CC="ALL",$J76=LG_CC),$D76&gt;=LG_From,$D76&lt;=LG_To),$D76+ROW()/1000000,""),"")</f>
        <v/>
      </c>
      <c r="Z76" s="32">
        <f>IF($A76=1,IF(Sales_Daily!$T10="","",Sales_Daily!$T10),"")</f>
        <v/>
      </c>
      <c r="AA76" s="32">
        <f>IF($A76=1,IF(Sales_Daily!$U10="","",Sales_Daily!$U10),"")</f>
        <v/>
      </c>
      <c r="AB76" s="32">
        <f>IF($A76=1,IF(Sales_Daily!$V10="","",Sales_Daily!$V10),"")</f>
        <v/>
      </c>
      <c r="AC76" s="32">
        <f>IF($A76=1,IF(Sales_Daily!$W10="","",Sales_Daily!$W10),"")</f>
        <v/>
      </c>
      <c r="AD76" s="32">
        <f>IF($A76=1,IF(Sales_Daily!$X10="","",Sales_Daily!$X10),"")</f>
        <v/>
      </c>
      <c r="AE76" s="32">
        <f>IF($A76=1,0,"")</f>
        <v/>
      </c>
      <c r="AF76" s="32" t="inlineStr"/>
    </row>
    <row r="77">
      <c r="A77" s="32">
        <f>IF(AND(Sales_Daily!$AV10=1,N(Sales_Daily!$AI10)&gt;0),1,0)</f>
        <v/>
      </c>
      <c r="B77" s="32">
        <f>IF($A77=1,$E77&amp;"/8","")</f>
        <v/>
      </c>
      <c r="C77" s="32">
        <f>IF($A77=1,"J-"&amp;Sales_Daily!$A10,"")</f>
        <v/>
      </c>
      <c r="D77" s="33">
        <f>IF($A77=1,Sales_Daily!$B10,"")</f>
        <v/>
      </c>
      <c r="E77" s="32">
        <f>IF($A77=1,IF(Sales_Daily!$A10="","",Sales_Daily!$A10),"")</f>
        <v/>
      </c>
      <c r="F77" s="32">
        <f>IF($A77=1,"SAL","")</f>
        <v/>
      </c>
      <c r="G77" s="32">
        <f>IF($A77=1,ACC_RET,"")</f>
        <v/>
      </c>
      <c r="H77" s="32">
        <f>IF($A77=1,IF(COUNTIF(COA!$A:$A,$G77)=0,"حساب غير معرف",INDEX(COA!$B:$B,MATCH($G77,COA!$A:$A,0))),"")</f>
        <v/>
      </c>
      <c r="I77" s="32">
        <f>IF($A77=1,IF(Sales_Daily!$C10="","",Sales_Daily!$C10),"")</f>
        <v/>
      </c>
      <c r="J77" s="32">
        <f>IF($A77=1,"CC10","")</f>
        <v/>
      </c>
      <c r="K77" s="32">
        <f>IF($A77=1,"-","")</f>
        <v/>
      </c>
      <c r="L77" s="32">
        <f>IF($A77=1,"مرتجعات وإلغاءات المبيعات","")</f>
        <v/>
      </c>
      <c r="M77" s="43">
        <f>IF($A77=1,Sales_Daily!$AI10,"")</f>
        <v/>
      </c>
      <c r="N77" s="43">
        <f>IF($A77=1,0,"")</f>
        <v/>
      </c>
      <c r="O77" s="32">
        <f>IF($A77=1,Sales_Daily!$S10,"")</f>
        <v/>
      </c>
      <c r="P77" s="32">
        <f>IF($A77=1,IF(Sales_Daily!$AW10="","",Sales_Daily!$AW10),"")</f>
        <v/>
      </c>
      <c r="Q77" s="32">
        <f>IF($A77=1,Sales_Daily!$AY10,"")</f>
        <v/>
      </c>
      <c r="R77" s="32">
        <f>IF($A77=1,IF(AND($Q77=1,COUNTIFS(COA!$A:$A,$G77,COA!$R:$R,1)=1),1,0),"")</f>
        <v/>
      </c>
      <c r="S77" s="43">
        <f>IF($A77=1,IF($R77=1,N($M77),0),"")</f>
        <v/>
      </c>
      <c r="T77" s="43">
        <f>IF($A77=1,IF($R77=1,N($N77),0),"")</f>
        <v/>
      </c>
      <c r="U77" s="32">
        <f>IF($A77=1,YEAR($D77)*100+MONTH($D77),"")</f>
        <v/>
      </c>
      <c r="V77" s="32">
        <f>IF($A77=1,IF(COUNTIF(COA!$A:$A,$G77)=0,0,INDEX(COA!$H:$H,MATCH($G77,COA!$A:$A,0))),"")</f>
        <v/>
      </c>
      <c r="W77" s="32">
        <f>IF($A77=1,"","")</f>
        <v/>
      </c>
      <c r="X77" s="32">
        <f>IF($A77=1,IF($R77=1,"",IF($O77=ST_POST,IF($P77&lt;&gt;"",$P77,"حساب غير صالح أو غير نشط"),IF($O77=ST_REV,"معكوس: لا أثر على الدفاتر",IF($O77=ST_CANC,"ملغى",IF($O77=ST_APPR,"معتمد ولم يُرحَّل","مسودة"))))),"")</f>
        <v/>
      </c>
      <c r="Y77" s="32">
        <f>IF($A77=1,IF(AND($R77=1,OR(LG_Acct="",$G77=LG_Acct),OR(LG_Party="",$K77=LG_Party),OR(LG_Loc="ALL",$I77=LG_Loc),OR(LG_CC="ALL",$J77=LG_CC),$D77&gt;=LG_From,$D77&lt;=LG_To),$D77+ROW()/1000000,""),"")</f>
        <v/>
      </c>
      <c r="Z77" s="32">
        <f>IF($A77=1,IF(Sales_Daily!$T10="","",Sales_Daily!$T10),"")</f>
        <v/>
      </c>
      <c r="AA77" s="32">
        <f>IF($A77=1,IF(Sales_Daily!$U10="","",Sales_Daily!$U10),"")</f>
        <v/>
      </c>
      <c r="AB77" s="32">
        <f>IF($A77=1,IF(Sales_Daily!$V10="","",Sales_Daily!$V10),"")</f>
        <v/>
      </c>
      <c r="AC77" s="32">
        <f>IF($A77=1,IF(Sales_Daily!$W10="","",Sales_Daily!$W10),"")</f>
        <v/>
      </c>
      <c r="AD77" s="32">
        <f>IF($A77=1,IF(Sales_Daily!$X10="","",Sales_Daily!$X10),"")</f>
        <v/>
      </c>
      <c r="AE77" s="32">
        <f>IF($A77=1,0,"")</f>
        <v/>
      </c>
      <c r="AF77" s="32" t="inlineStr"/>
    </row>
    <row r="78">
      <c r="A78" s="32">
        <f>IF(AND(Sales_Daily!$AV10=1,N(Sales_Daily!$AD10)&gt;0),1,0)</f>
        <v/>
      </c>
      <c r="B78" s="32">
        <f>IF($A78=1,$E78&amp;"/9","")</f>
        <v/>
      </c>
      <c r="C78" s="32">
        <f>IF($A78=1,"J-"&amp;Sales_Daily!$A10,"")</f>
        <v/>
      </c>
      <c r="D78" s="33">
        <f>IF($A78=1,Sales_Daily!$B10,"")</f>
        <v/>
      </c>
      <c r="E78" s="32">
        <f>IF($A78=1,IF(Sales_Daily!$A10="","",Sales_Daily!$A10),"")</f>
        <v/>
      </c>
      <c r="F78" s="32">
        <f>IF($A78=1,"SAL","")</f>
        <v/>
      </c>
      <c r="G78" s="32">
        <f>IF($A78=1,IF(Sales_Daily!$AQ10="","",Sales_Daily!$AQ10),"")</f>
        <v/>
      </c>
      <c r="H78" s="32">
        <f>IF($A78=1,IF(COUNTIF(COA!$A:$A,$G78)=0,"حساب غير معرف",INDEX(COA!$B:$B,MATCH($G78,COA!$A:$A,0))),"")</f>
        <v/>
      </c>
      <c r="I78" s="32">
        <f>IF($A78=1,IF(Sales_Daily!$C10="","",Sales_Daily!$C10),"")</f>
        <v/>
      </c>
      <c r="J78" s="32">
        <f>IF($A78=1,"CC10","")</f>
        <v/>
      </c>
      <c r="K78" s="32">
        <f>IF($A78=1,"-","")</f>
        <v/>
      </c>
      <c r="L78" s="32">
        <f>IF($A78=1,"إيراد مبيعات - فئة فطير","")</f>
        <v/>
      </c>
      <c r="M78" s="43">
        <f>IF($A78=1,0,"")</f>
        <v/>
      </c>
      <c r="N78" s="43">
        <f>IF($A78=1,Sales_Daily!$AD10,"")</f>
        <v/>
      </c>
      <c r="O78" s="32">
        <f>IF($A78=1,Sales_Daily!$S10,"")</f>
        <v/>
      </c>
      <c r="P78" s="32">
        <f>IF($A78=1,IF(Sales_Daily!$AW10="","",Sales_Daily!$AW10),"")</f>
        <v/>
      </c>
      <c r="Q78" s="32">
        <f>IF($A78=1,Sales_Daily!$AY10,"")</f>
        <v/>
      </c>
      <c r="R78" s="32">
        <f>IF($A78=1,IF(AND($Q78=1,COUNTIFS(COA!$A:$A,$G78,COA!$R:$R,1)=1),1,0),"")</f>
        <v/>
      </c>
      <c r="S78" s="43">
        <f>IF($A78=1,IF($R78=1,N($M78),0),"")</f>
        <v/>
      </c>
      <c r="T78" s="43">
        <f>IF($A78=1,IF($R78=1,N($N78),0),"")</f>
        <v/>
      </c>
      <c r="U78" s="32">
        <f>IF($A78=1,YEAR($D78)*100+MONTH($D78),"")</f>
        <v/>
      </c>
      <c r="V78" s="32">
        <f>IF($A78=1,IF(COUNTIF(COA!$A:$A,$G78)=0,0,INDEX(COA!$H:$H,MATCH($G78,COA!$A:$A,0))),"")</f>
        <v/>
      </c>
      <c r="W78" s="32">
        <f>IF($A78=1,"","")</f>
        <v/>
      </c>
      <c r="X78" s="32">
        <f>IF($A78=1,IF($R78=1,"",IF($O78=ST_POST,IF($P78&lt;&gt;"",$P78,"حساب غير صالح أو غير نشط"),IF($O78=ST_REV,"معكوس: لا أثر على الدفاتر",IF($O78=ST_CANC,"ملغى",IF($O78=ST_APPR,"معتمد ولم يُرحَّل","مسودة"))))),"")</f>
        <v/>
      </c>
      <c r="Y78" s="32">
        <f>IF($A78=1,IF(AND($R78=1,OR(LG_Acct="",$G78=LG_Acct),OR(LG_Party="",$K78=LG_Party),OR(LG_Loc="ALL",$I78=LG_Loc),OR(LG_CC="ALL",$J78=LG_CC),$D78&gt;=LG_From,$D78&lt;=LG_To),$D78+ROW()/1000000,""),"")</f>
        <v/>
      </c>
      <c r="Z78" s="32">
        <f>IF($A78=1,IF(Sales_Daily!$T10="","",Sales_Daily!$T10),"")</f>
        <v/>
      </c>
      <c r="AA78" s="32">
        <f>IF($A78=1,IF(Sales_Daily!$U10="","",Sales_Daily!$U10),"")</f>
        <v/>
      </c>
      <c r="AB78" s="32">
        <f>IF($A78=1,IF(Sales_Daily!$V10="","",Sales_Daily!$V10),"")</f>
        <v/>
      </c>
      <c r="AC78" s="32">
        <f>IF($A78=1,IF(Sales_Daily!$W10="","",Sales_Daily!$W10),"")</f>
        <v/>
      </c>
      <c r="AD78" s="32">
        <f>IF($A78=1,IF(Sales_Daily!$X10="","",Sales_Daily!$X10),"")</f>
        <v/>
      </c>
      <c r="AE78" s="32">
        <f>IF($A78=1,0,"")</f>
        <v/>
      </c>
      <c r="AF78" s="32" t="inlineStr"/>
    </row>
    <row r="79">
      <c r="A79" s="32">
        <f>IF(AND(Sales_Daily!$AV10=1,N(Sales_Daily!$AE10)&gt;0),1,0)</f>
        <v/>
      </c>
      <c r="B79" s="32">
        <f>IF($A79=1,$E79&amp;"/10","")</f>
        <v/>
      </c>
      <c r="C79" s="32">
        <f>IF($A79=1,"J-"&amp;Sales_Daily!$A10,"")</f>
        <v/>
      </c>
      <c r="D79" s="33">
        <f>IF($A79=1,Sales_Daily!$B10,"")</f>
        <v/>
      </c>
      <c r="E79" s="32">
        <f>IF($A79=1,IF(Sales_Daily!$A10="","",Sales_Daily!$A10),"")</f>
        <v/>
      </c>
      <c r="F79" s="32">
        <f>IF($A79=1,"SAL","")</f>
        <v/>
      </c>
      <c r="G79" s="32">
        <f>IF($A79=1,IF(Sales_Daily!$AR10="","",Sales_Daily!$AR10),"")</f>
        <v/>
      </c>
      <c r="H79" s="32">
        <f>IF($A79=1,IF(COUNTIF(COA!$A:$A,$G79)=0,"حساب غير معرف",INDEX(COA!$B:$B,MATCH($G79,COA!$A:$A,0))),"")</f>
        <v/>
      </c>
      <c r="I79" s="32">
        <f>IF($A79=1,IF(Sales_Daily!$C10="","",Sales_Daily!$C10),"")</f>
        <v/>
      </c>
      <c r="J79" s="32">
        <f>IF($A79=1,"CC10","")</f>
        <v/>
      </c>
      <c r="K79" s="32">
        <f>IF($A79=1,"-","")</f>
        <v/>
      </c>
      <c r="L79" s="32">
        <f>IF($A79=1,"إيراد مبيعات - فئة بيتزا","")</f>
        <v/>
      </c>
      <c r="M79" s="43">
        <f>IF($A79=1,0,"")</f>
        <v/>
      </c>
      <c r="N79" s="43">
        <f>IF($A79=1,Sales_Daily!$AE10,"")</f>
        <v/>
      </c>
      <c r="O79" s="32">
        <f>IF($A79=1,Sales_Daily!$S10,"")</f>
        <v/>
      </c>
      <c r="P79" s="32">
        <f>IF($A79=1,IF(Sales_Daily!$AW10="","",Sales_Daily!$AW10),"")</f>
        <v/>
      </c>
      <c r="Q79" s="32">
        <f>IF($A79=1,Sales_Daily!$AY10,"")</f>
        <v/>
      </c>
      <c r="R79" s="32">
        <f>IF($A79=1,IF(AND($Q79=1,COUNTIFS(COA!$A:$A,$G79,COA!$R:$R,1)=1),1,0),"")</f>
        <v/>
      </c>
      <c r="S79" s="43">
        <f>IF($A79=1,IF($R79=1,N($M79),0),"")</f>
        <v/>
      </c>
      <c r="T79" s="43">
        <f>IF($A79=1,IF($R79=1,N($N79),0),"")</f>
        <v/>
      </c>
      <c r="U79" s="32">
        <f>IF($A79=1,YEAR($D79)*100+MONTH($D79),"")</f>
        <v/>
      </c>
      <c r="V79" s="32">
        <f>IF($A79=1,IF(COUNTIF(COA!$A:$A,$G79)=0,0,INDEX(COA!$H:$H,MATCH($G79,COA!$A:$A,0))),"")</f>
        <v/>
      </c>
      <c r="W79" s="32">
        <f>IF($A79=1,"","")</f>
        <v/>
      </c>
      <c r="X79" s="32">
        <f>IF($A79=1,IF($R79=1,"",IF($O79=ST_POST,IF($P79&lt;&gt;"",$P79,"حساب غير صالح أو غير نشط"),IF($O79=ST_REV,"معكوس: لا أثر على الدفاتر",IF($O79=ST_CANC,"ملغى",IF($O79=ST_APPR,"معتمد ولم يُرحَّل","مسودة"))))),"")</f>
        <v/>
      </c>
      <c r="Y79" s="32">
        <f>IF($A79=1,IF(AND($R79=1,OR(LG_Acct="",$G79=LG_Acct),OR(LG_Party="",$K79=LG_Party),OR(LG_Loc="ALL",$I79=LG_Loc),OR(LG_CC="ALL",$J79=LG_CC),$D79&gt;=LG_From,$D79&lt;=LG_To),$D79+ROW()/1000000,""),"")</f>
        <v/>
      </c>
      <c r="Z79" s="32">
        <f>IF($A79=1,IF(Sales_Daily!$T10="","",Sales_Daily!$T10),"")</f>
        <v/>
      </c>
      <c r="AA79" s="32">
        <f>IF($A79=1,IF(Sales_Daily!$U10="","",Sales_Daily!$U10),"")</f>
        <v/>
      </c>
      <c r="AB79" s="32">
        <f>IF($A79=1,IF(Sales_Daily!$V10="","",Sales_Daily!$V10),"")</f>
        <v/>
      </c>
      <c r="AC79" s="32">
        <f>IF($A79=1,IF(Sales_Daily!$W10="","",Sales_Daily!$W10),"")</f>
        <v/>
      </c>
      <c r="AD79" s="32">
        <f>IF($A79=1,IF(Sales_Daily!$X10="","",Sales_Daily!$X10),"")</f>
        <v/>
      </c>
      <c r="AE79" s="32">
        <f>IF($A79=1,0,"")</f>
        <v/>
      </c>
      <c r="AF79" s="32" t="inlineStr"/>
    </row>
    <row r="80">
      <c r="A80" s="32">
        <f>IF(AND(Sales_Daily!$AV10=1,N(Sales_Daily!$AF10)&gt;0),1,0)</f>
        <v/>
      </c>
      <c r="B80" s="32">
        <f>IF($A80=1,$E80&amp;"/11","")</f>
        <v/>
      </c>
      <c r="C80" s="32">
        <f>IF($A80=1,"J-"&amp;Sales_Daily!$A10,"")</f>
        <v/>
      </c>
      <c r="D80" s="33">
        <f>IF($A80=1,Sales_Daily!$B10,"")</f>
        <v/>
      </c>
      <c r="E80" s="32">
        <f>IF($A80=1,IF(Sales_Daily!$A10="","",Sales_Daily!$A10),"")</f>
        <v/>
      </c>
      <c r="F80" s="32">
        <f>IF($A80=1,"SAL","")</f>
        <v/>
      </c>
      <c r="G80" s="32">
        <f>IF($A80=1,IF(Sales_Daily!$AS10="","",Sales_Daily!$AS10),"")</f>
        <v/>
      </c>
      <c r="H80" s="32">
        <f>IF($A80=1,IF(COUNTIF(COA!$A:$A,$G80)=0,"حساب غير معرف",INDEX(COA!$B:$B,MATCH($G80,COA!$A:$A,0))),"")</f>
        <v/>
      </c>
      <c r="I80" s="32">
        <f>IF($A80=1,IF(Sales_Daily!$C10="","",Sales_Daily!$C10),"")</f>
        <v/>
      </c>
      <c r="J80" s="32">
        <f>IF($A80=1,"CC10","")</f>
        <v/>
      </c>
      <c r="K80" s="32">
        <f>IF($A80=1,"-","")</f>
        <v/>
      </c>
      <c r="L80" s="32">
        <f>IF($A80=1,"إيراد مبيعات - فئة مكرونات","")</f>
        <v/>
      </c>
      <c r="M80" s="43">
        <f>IF($A80=1,0,"")</f>
        <v/>
      </c>
      <c r="N80" s="43">
        <f>IF($A80=1,Sales_Daily!$AF10,"")</f>
        <v/>
      </c>
      <c r="O80" s="32">
        <f>IF($A80=1,Sales_Daily!$S10,"")</f>
        <v/>
      </c>
      <c r="P80" s="32">
        <f>IF($A80=1,IF(Sales_Daily!$AW10="","",Sales_Daily!$AW10),"")</f>
        <v/>
      </c>
      <c r="Q80" s="32">
        <f>IF($A80=1,Sales_Daily!$AY10,"")</f>
        <v/>
      </c>
      <c r="R80" s="32">
        <f>IF($A80=1,IF(AND($Q80=1,COUNTIFS(COA!$A:$A,$G80,COA!$R:$R,1)=1),1,0),"")</f>
        <v/>
      </c>
      <c r="S80" s="43">
        <f>IF($A80=1,IF($R80=1,N($M80),0),"")</f>
        <v/>
      </c>
      <c r="T80" s="43">
        <f>IF($A80=1,IF($R80=1,N($N80),0),"")</f>
        <v/>
      </c>
      <c r="U80" s="32">
        <f>IF($A80=1,YEAR($D80)*100+MONTH($D80),"")</f>
        <v/>
      </c>
      <c r="V80" s="32">
        <f>IF($A80=1,IF(COUNTIF(COA!$A:$A,$G80)=0,0,INDEX(COA!$H:$H,MATCH($G80,COA!$A:$A,0))),"")</f>
        <v/>
      </c>
      <c r="W80" s="32">
        <f>IF($A80=1,"","")</f>
        <v/>
      </c>
      <c r="X80" s="32">
        <f>IF($A80=1,IF($R80=1,"",IF($O80=ST_POST,IF($P80&lt;&gt;"",$P80,"حساب غير صالح أو غير نشط"),IF($O80=ST_REV,"معكوس: لا أثر على الدفاتر",IF($O80=ST_CANC,"ملغى",IF($O80=ST_APPR,"معتمد ولم يُرحَّل","مسودة"))))),"")</f>
        <v/>
      </c>
      <c r="Y80" s="32">
        <f>IF($A80=1,IF(AND($R80=1,OR(LG_Acct="",$G80=LG_Acct),OR(LG_Party="",$K80=LG_Party),OR(LG_Loc="ALL",$I80=LG_Loc),OR(LG_CC="ALL",$J80=LG_CC),$D80&gt;=LG_From,$D80&lt;=LG_To),$D80+ROW()/1000000,""),"")</f>
        <v/>
      </c>
      <c r="Z80" s="32">
        <f>IF($A80=1,IF(Sales_Daily!$T10="","",Sales_Daily!$T10),"")</f>
        <v/>
      </c>
      <c r="AA80" s="32">
        <f>IF($A80=1,IF(Sales_Daily!$U10="","",Sales_Daily!$U10),"")</f>
        <v/>
      </c>
      <c r="AB80" s="32">
        <f>IF($A80=1,IF(Sales_Daily!$V10="","",Sales_Daily!$V10),"")</f>
        <v/>
      </c>
      <c r="AC80" s="32">
        <f>IF($A80=1,IF(Sales_Daily!$W10="","",Sales_Daily!$W10),"")</f>
        <v/>
      </c>
      <c r="AD80" s="32">
        <f>IF($A80=1,IF(Sales_Daily!$X10="","",Sales_Daily!$X10),"")</f>
        <v/>
      </c>
      <c r="AE80" s="32">
        <f>IF($A80=1,0,"")</f>
        <v/>
      </c>
      <c r="AF80" s="32" t="inlineStr"/>
    </row>
    <row r="81">
      <c r="A81" s="32">
        <f>IF(AND(Sales_Daily!$AV10=1,N(Sales_Daily!$AG10)&gt;0),1,0)</f>
        <v/>
      </c>
      <c r="B81" s="32">
        <f>IF($A81=1,$E81&amp;"/12","")</f>
        <v/>
      </c>
      <c r="C81" s="32">
        <f>IF($A81=1,"J-"&amp;Sales_Daily!$A10,"")</f>
        <v/>
      </c>
      <c r="D81" s="33">
        <f>IF($A81=1,Sales_Daily!$B10,"")</f>
        <v/>
      </c>
      <c r="E81" s="32">
        <f>IF($A81=1,IF(Sales_Daily!$A10="","",Sales_Daily!$A10),"")</f>
        <v/>
      </c>
      <c r="F81" s="32">
        <f>IF($A81=1,"SAL","")</f>
        <v/>
      </c>
      <c r="G81" s="32">
        <f>IF($A81=1,IF(Sales_Daily!$AT10="","",Sales_Daily!$AT10),"")</f>
        <v/>
      </c>
      <c r="H81" s="32">
        <f>IF($A81=1,IF(COUNTIF(COA!$A:$A,$G81)=0,"حساب غير معرف",INDEX(COA!$B:$B,MATCH($G81,COA!$A:$A,0))),"")</f>
        <v/>
      </c>
      <c r="I81" s="32">
        <f>IF($A81=1,IF(Sales_Daily!$C10="","",Sales_Daily!$C10),"")</f>
        <v/>
      </c>
      <c r="J81" s="32">
        <f>IF($A81=1,"CC10","")</f>
        <v/>
      </c>
      <c r="K81" s="32">
        <f>IF($A81=1,"-","")</f>
        <v/>
      </c>
      <c r="L81" s="32">
        <f>IF($A81=1,"إيراد مبيعات - فئة أخرى","")</f>
        <v/>
      </c>
      <c r="M81" s="43">
        <f>IF($A81=1,0,"")</f>
        <v/>
      </c>
      <c r="N81" s="43">
        <f>IF($A81=1,Sales_Daily!$AG10,"")</f>
        <v/>
      </c>
      <c r="O81" s="32">
        <f>IF($A81=1,Sales_Daily!$S10,"")</f>
        <v/>
      </c>
      <c r="P81" s="32">
        <f>IF($A81=1,IF(Sales_Daily!$AW10="","",Sales_Daily!$AW10),"")</f>
        <v/>
      </c>
      <c r="Q81" s="32">
        <f>IF($A81=1,Sales_Daily!$AY10,"")</f>
        <v/>
      </c>
      <c r="R81" s="32">
        <f>IF($A81=1,IF(AND($Q81=1,COUNTIFS(COA!$A:$A,$G81,COA!$R:$R,1)=1),1,0),"")</f>
        <v/>
      </c>
      <c r="S81" s="43">
        <f>IF($A81=1,IF($R81=1,N($M81),0),"")</f>
        <v/>
      </c>
      <c r="T81" s="43">
        <f>IF($A81=1,IF($R81=1,N($N81),0),"")</f>
        <v/>
      </c>
      <c r="U81" s="32">
        <f>IF($A81=1,YEAR($D81)*100+MONTH($D81),"")</f>
        <v/>
      </c>
      <c r="V81" s="32">
        <f>IF($A81=1,IF(COUNTIF(COA!$A:$A,$G81)=0,0,INDEX(COA!$H:$H,MATCH($G81,COA!$A:$A,0))),"")</f>
        <v/>
      </c>
      <c r="W81" s="32">
        <f>IF($A81=1,"","")</f>
        <v/>
      </c>
      <c r="X81" s="32">
        <f>IF($A81=1,IF($R81=1,"",IF($O81=ST_POST,IF($P81&lt;&gt;"",$P81,"حساب غير صالح أو غير نشط"),IF($O81=ST_REV,"معكوس: لا أثر على الدفاتر",IF($O81=ST_CANC,"ملغى",IF($O81=ST_APPR,"معتمد ولم يُرحَّل","مسودة"))))),"")</f>
        <v/>
      </c>
      <c r="Y81" s="32">
        <f>IF($A81=1,IF(AND($R81=1,OR(LG_Acct="",$G81=LG_Acct),OR(LG_Party="",$K81=LG_Party),OR(LG_Loc="ALL",$I81=LG_Loc),OR(LG_CC="ALL",$J81=LG_CC),$D81&gt;=LG_From,$D81&lt;=LG_To),$D81+ROW()/1000000,""),"")</f>
        <v/>
      </c>
      <c r="Z81" s="32">
        <f>IF($A81=1,IF(Sales_Daily!$T10="","",Sales_Daily!$T10),"")</f>
        <v/>
      </c>
      <c r="AA81" s="32">
        <f>IF($A81=1,IF(Sales_Daily!$U10="","",Sales_Daily!$U10),"")</f>
        <v/>
      </c>
      <c r="AB81" s="32">
        <f>IF($A81=1,IF(Sales_Daily!$V10="","",Sales_Daily!$V10),"")</f>
        <v/>
      </c>
      <c r="AC81" s="32">
        <f>IF($A81=1,IF(Sales_Daily!$W10="","",Sales_Daily!$W10),"")</f>
        <v/>
      </c>
      <c r="AD81" s="32">
        <f>IF($A81=1,IF(Sales_Daily!$X10="","",Sales_Daily!$X10),"")</f>
        <v/>
      </c>
      <c r="AE81" s="32">
        <f>IF($A81=1,0,"")</f>
        <v/>
      </c>
      <c r="AF81" s="32" t="inlineStr"/>
    </row>
    <row r="82">
      <c r="A82" s="32">
        <f>IF(AND(Sales_Daily!$AV10=1,N(Sales_Daily!$AJ10)&gt;0),1,0)</f>
        <v/>
      </c>
      <c r="B82" s="32">
        <f>IF($A82=1,$E82&amp;"/13","")</f>
        <v/>
      </c>
      <c r="C82" s="32">
        <f>IF($A82=1,"J-"&amp;Sales_Daily!$A10,"")</f>
        <v/>
      </c>
      <c r="D82" s="33">
        <f>IF($A82=1,Sales_Daily!$B10,"")</f>
        <v/>
      </c>
      <c r="E82" s="32">
        <f>IF($A82=1,IF(Sales_Daily!$A10="","",Sales_Daily!$A10),"")</f>
        <v/>
      </c>
      <c r="F82" s="32">
        <f>IF($A82=1,"SAL","")</f>
        <v/>
      </c>
      <c r="G82" s="32">
        <f>IF($A82=1,ACC_VAT_OUT,"")</f>
        <v/>
      </c>
      <c r="H82" s="32">
        <f>IF($A82=1,IF(COUNTIF(COA!$A:$A,$G82)=0,"حساب غير معرف",INDEX(COA!$B:$B,MATCH($G82,COA!$A:$A,0))),"")</f>
        <v/>
      </c>
      <c r="I82" s="32">
        <f>IF($A82=1,IF(Sales_Daily!$C10="","",Sales_Daily!$C10),"")</f>
        <v/>
      </c>
      <c r="J82" s="32">
        <f>IF($A82=1,"CC10","")</f>
        <v/>
      </c>
      <c r="K82" s="32">
        <f>IF($A82=1,"-","")</f>
        <v/>
      </c>
      <c r="L82" s="32">
        <f>IF($A82=1,"ضريبة القيمة المضافة - مخرجات","")</f>
        <v/>
      </c>
      <c r="M82" s="43">
        <f>IF($A82=1,0,"")</f>
        <v/>
      </c>
      <c r="N82" s="43">
        <f>IF($A82=1,Sales_Daily!$AJ10,"")</f>
        <v/>
      </c>
      <c r="O82" s="32">
        <f>IF($A82=1,Sales_Daily!$S10,"")</f>
        <v/>
      </c>
      <c r="P82" s="32">
        <f>IF($A82=1,IF(Sales_Daily!$AW10="","",Sales_Daily!$AW10),"")</f>
        <v/>
      </c>
      <c r="Q82" s="32">
        <f>IF($A82=1,Sales_Daily!$AY10,"")</f>
        <v/>
      </c>
      <c r="R82" s="32">
        <f>IF($A82=1,IF(AND($Q82=1,COUNTIFS(COA!$A:$A,$G82,COA!$R:$R,1)=1),1,0),"")</f>
        <v/>
      </c>
      <c r="S82" s="43">
        <f>IF($A82=1,IF($R82=1,N($M82),0),"")</f>
        <v/>
      </c>
      <c r="T82" s="43">
        <f>IF($A82=1,IF($R82=1,N($N82),0),"")</f>
        <v/>
      </c>
      <c r="U82" s="32">
        <f>IF($A82=1,YEAR($D82)*100+MONTH($D82),"")</f>
        <v/>
      </c>
      <c r="V82" s="32">
        <f>IF($A82=1,IF(COUNTIF(COA!$A:$A,$G82)=0,0,INDEX(COA!$H:$H,MATCH($G82,COA!$A:$A,0))),"")</f>
        <v/>
      </c>
      <c r="W82" s="32">
        <f>IF($A82=1,"","")</f>
        <v/>
      </c>
      <c r="X82" s="32">
        <f>IF($A82=1,IF($R82=1,"",IF($O82=ST_POST,IF($P82&lt;&gt;"",$P82,"حساب غير صالح أو غير نشط"),IF($O82=ST_REV,"معكوس: لا أثر على الدفاتر",IF($O82=ST_CANC,"ملغى",IF($O82=ST_APPR,"معتمد ولم يُرحَّل","مسودة"))))),"")</f>
        <v/>
      </c>
      <c r="Y82" s="32">
        <f>IF($A82=1,IF(AND($R82=1,OR(LG_Acct="",$G82=LG_Acct),OR(LG_Party="",$K82=LG_Party),OR(LG_Loc="ALL",$I82=LG_Loc),OR(LG_CC="ALL",$J82=LG_CC),$D82&gt;=LG_From,$D82&lt;=LG_To),$D82+ROW()/1000000,""),"")</f>
        <v/>
      </c>
      <c r="Z82" s="32">
        <f>IF($A82=1,IF(Sales_Daily!$T10="","",Sales_Daily!$T10),"")</f>
        <v/>
      </c>
      <c r="AA82" s="32">
        <f>IF($A82=1,IF(Sales_Daily!$U10="","",Sales_Daily!$U10),"")</f>
        <v/>
      </c>
      <c r="AB82" s="32">
        <f>IF($A82=1,IF(Sales_Daily!$V10="","",Sales_Daily!$V10),"")</f>
        <v/>
      </c>
      <c r="AC82" s="32">
        <f>IF($A82=1,IF(Sales_Daily!$W10="","",Sales_Daily!$W10),"")</f>
        <v/>
      </c>
      <c r="AD82" s="32">
        <f>IF($A82=1,IF(Sales_Daily!$X10="","",Sales_Daily!$X10),"")</f>
        <v/>
      </c>
      <c r="AE82" s="32">
        <f>IF($A82=1,0,"")</f>
        <v/>
      </c>
      <c r="AF82" s="32" t="inlineStr"/>
    </row>
    <row r="83">
      <c r="A83" s="32">
        <f>IF(AND(Sales_Daily!$AV11=1,N(Sales_Daily!$L11)&gt;0),1,0)</f>
        <v/>
      </c>
      <c r="B83" s="32">
        <f>IF($A83=1,$E83&amp;"/1","")</f>
        <v/>
      </c>
      <c r="C83" s="32">
        <f>IF($A83=1,"J-"&amp;Sales_Daily!$A11,"")</f>
        <v/>
      </c>
      <c r="D83" s="33">
        <f>IF($A83=1,Sales_Daily!$B11,"")</f>
        <v/>
      </c>
      <c r="E83" s="32">
        <f>IF($A83=1,IF(Sales_Daily!$A11="","",Sales_Daily!$A11),"")</f>
        <v/>
      </c>
      <c r="F83" s="32">
        <f>IF($A83=1,"SAL","")</f>
        <v/>
      </c>
      <c r="G83" s="32">
        <f>IF($A83=1,IF(Sales_Daily!$AK11="","",Sales_Daily!$AK11),"")</f>
        <v/>
      </c>
      <c r="H83" s="32">
        <f>IF($A83=1,IF(COUNTIF(COA!$A:$A,$G83)=0,"حساب غير معرف",INDEX(COA!$B:$B,MATCH($G83,COA!$A:$A,0))),"")</f>
        <v/>
      </c>
      <c r="I83" s="32">
        <f>IF($A83=1,IF(Sales_Daily!$C11="","",Sales_Daily!$C11),"")</f>
        <v/>
      </c>
      <c r="J83" s="32">
        <f>IF($A83=1,"CC10","")</f>
        <v/>
      </c>
      <c r="K83" s="32">
        <f>IF($A83=1,"-","")</f>
        <v/>
      </c>
      <c r="L83" s="32">
        <f>IF($A83=1,"مبيعات - تحصيل CASH","")</f>
        <v/>
      </c>
      <c r="M83" s="43">
        <f>IF($A83=1,Sales_Daily!$L11,"")</f>
        <v/>
      </c>
      <c r="N83" s="43">
        <f>IF($A83=1,0,"")</f>
        <v/>
      </c>
      <c r="O83" s="32">
        <f>IF($A83=1,Sales_Daily!$S11,"")</f>
        <v/>
      </c>
      <c r="P83" s="32">
        <f>IF($A83=1,IF(Sales_Daily!$AW11="","",Sales_Daily!$AW11),"")</f>
        <v/>
      </c>
      <c r="Q83" s="32">
        <f>IF($A83=1,Sales_Daily!$AY11,"")</f>
        <v/>
      </c>
      <c r="R83" s="32">
        <f>IF($A83=1,IF(AND($Q83=1,COUNTIFS(COA!$A:$A,$G83,COA!$R:$R,1)=1),1,0),"")</f>
        <v/>
      </c>
      <c r="S83" s="43">
        <f>IF($A83=1,IF($R83=1,N($M83),0),"")</f>
        <v/>
      </c>
      <c r="T83" s="43">
        <f>IF($A83=1,IF($R83=1,N($N83),0),"")</f>
        <v/>
      </c>
      <c r="U83" s="32">
        <f>IF($A83=1,YEAR($D83)*100+MONTH($D83),"")</f>
        <v/>
      </c>
      <c r="V83" s="32">
        <f>IF($A83=1,IF(COUNTIF(COA!$A:$A,$G83)=0,0,INDEX(COA!$H:$H,MATCH($G83,COA!$A:$A,0))),"")</f>
        <v/>
      </c>
      <c r="W83" s="32">
        <f>IF($A83=1,"OPERATING","")</f>
        <v/>
      </c>
      <c r="X83" s="32">
        <f>IF($A83=1,IF($R83=1,"",IF($O83=ST_POST,IF($P83&lt;&gt;"",$P83,"حساب غير صالح أو غير نشط"),IF($O83=ST_REV,"معكوس: لا أثر على الدفاتر",IF($O83=ST_CANC,"ملغى",IF($O83=ST_APPR,"معتمد ولم يُرحَّل","مسودة"))))),"")</f>
        <v/>
      </c>
      <c r="Y83" s="32">
        <f>IF($A83=1,IF(AND($R83=1,OR(LG_Acct="",$G83=LG_Acct),OR(LG_Party="",$K83=LG_Party),OR(LG_Loc="ALL",$I83=LG_Loc),OR(LG_CC="ALL",$J83=LG_CC),$D83&gt;=LG_From,$D83&lt;=LG_To),$D83+ROW()/1000000,""),"")</f>
        <v/>
      </c>
      <c r="Z83" s="32">
        <f>IF($A83=1,IF(Sales_Daily!$T11="","",Sales_Daily!$T11),"")</f>
        <v/>
      </c>
      <c r="AA83" s="32">
        <f>IF($A83=1,IF(Sales_Daily!$U11="","",Sales_Daily!$U11),"")</f>
        <v/>
      </c>
      <c r="AB83" s="32">
        <f>IF($A83=1,IF(Sales_Daily!$V11="","",Sales_Daily!$V11),"")</f>
        <v/>
      </c>
      <c r="AC83" s="32">
        <f>IF($A83=1,IF(Sales_Daily!$W11="","",Sales_Daily!$W11),"")</f>
        <v/>
      </c>
      <c r="AD83" s="32">
        <f>IF($A83=1,IF(Sales_Daily!$X11="","",Sales_Daily!$X11),"")</f>
        <v/>
      </c>
      <c r="AE83" s="32">
        <f>IF($A83=1,0,"")</f>
        <v/>
      </c>
      <c r="AF83" s="32" t="inlineStr"/>
    </row>
    <row r="84">
      <c r="A84" s="32">
        <f>IF(AND(Sales_Daily!$AV11=1,N(Sales_Daily!$M11)&gt;0),1,0)</f>
        <v/>
      </c>
      <c r="B84" s="32">
        <f>IF($A84=1,$E84&amp;"/2","")</f>
        <v/>
      </c>
      <c r="C84" s="32">
        <f>IF($A84=1,"J-"&amp;Sales_Daily!$A11,"")</f>
        <v/>
      </c>
      <c r="D84" s="33">
        <f>IF($A84=1,Sales_Daily!$B11,"")</f>
        <v/>
      </c>
      <c r="E84" s="32">
        <f>IF($A84=1,IF(Sales_Daily!$A11="","",Sales_Daily!$A11),"")</f>
        <v/>
      </c>
      <c r="F84" s="32">
        <f>IF($A84=1,"SAL","")</f>
        <v/>
      </c>
      <c r="G84" s="32">
        <f>IF($A84=1,IF(Sales_Daily!$AL11="","",Sales_Daily!$AL11),"")</f>
        <v/>
      </c>
      <c r="H84" s="32">
        <f>IF($A84=1,IF(COUNTIF(COA!$A:$A,$G84)=0,"حساب غير معرف",INDEX(COA!$B:$B,MATCH($G84,COA!$A:$A,0))),"")</f>
        <v/>
      </c>
      <c r="I84" s="32">
        <f>IF($A84=1,IF(Sales_Daily!$C11="","",Sales_Daily!$C11),"")</f>
        <v/>
      </c>
      <c r="J84" s="32">
        <f>IF($A84=1,"CC10","")</f>
        <v/>
      </c>
      <c r="K84" s="32">
        <f>IF($A84=1,"-","")</f>
        <v/>
      </c>
      <c r="L84" s="32">
        <f>IF($A84=1,"مبيعات - تحصيل CARD","")</f>
        <v/>
      </c>
      <c r="M84" s="43">
        <f>IF($A84=1,Sales_Daily!$M11,"")</f>
        <v/>
      </c>
      <c r="N84" s="43">
        <f>IF($A84=1,0,"")</f>
        <v/>
      </c>
      <c r="O84" s="32">
        <f>IF($A84=1,Sales_Daily!$S11,"")</f>
        <v/>
      </c>
      <c r="P84" s="32">
        <f>IF($A84=1,IF(Sales_Daily!$AW11="","",Sales_Daily!$AW11),"")</f>
        <v/>
      </c>
      <c r="Q84" s="32">
        <f>IF($A84=1,Sales_Daily!$AY11,"")</f>
        <v/>
      </c>
      <c r="R84" s="32">
        <f>IF($A84=1,IF(AND($Q84=1,COUNTIFS(COA!$A:$A,$G84,COA!$R:$R,1)=1),1,0),"")</f>
        <v/>
      </c>
      <c r="S84" s="43">
        <f>IF($A84=1,IF($R84=1,N($M84),0),"")</f>
        <v/>
      </c>
      <c r="T84" s="43">
        <f>IF($A84=1,IF($R84=1,N($N84),0),"")</f>
        <v/>
      </c>
      <c r="U84" s="32">
        <f>IF($A84=1,YEAR($D84)*100+MONTH($D84),"")</f>
        <v/>
      </c>
      <c r="V84" s="32">
        <f>IF($A84=1,IF(COUNTIF(COA!$A:$A,$G84)=0,0,INDEX(COA!$H:$H,MATCH($G84,COA!$A:$A,0))),"")</f>
        <v/>
      </c>
      <c r="W84" s="32">
        <f>IF($A84=1,"OPERATING","")</f>
        <v/>
      </c>
      <c r="X84" s="32">
        <f>IF($A84=1,IF($R84=1,"",IF($O84=ST_POST,IF($P84&lt;&gt;"",$P84,"حساب غير صالح أو غير نشط"),IF($O84=ST_REV,"معكوس: لا أثر على الدفاتر",IF($O84=ST_CANC,"ملغى",IF($O84=ST_APPR,"معتمد ولم يُرحَّل","مسودة"))))),"")</f>
        <v/>
      </c>
      <c r="Y84" s="32">
        <f>IF($A84=1,IF(AND($R84=1,OR(LG_Acct="",$G84=LG_Acct),OR(LG_Party="",$K84=LG_Party),OR(LG_Loc="ALL",$I84=LG_Loc),OR(LG_CC="ALL",$J84=LG_CC),$D84&gt;=LG_From,$D84&lt;=LG_To),$D84+ROW()/1000000,""),"")</f>
        <v/>
      </c>
      <c r="Z84" s="32">
        <f>IF($A84=1,IF(Sales_Daily!$T11="","",Sales_Daily!$T11),"")</f>
        <v/>
      </c>
      <c r="AA84" s="32">
        <f>IF($A84=1,IF(Sales_Daily!$U11="","",Sales_Daily!$U11),"")</f>
        <v/>
      </c>
      <c r="AB84" s="32">
        <f>IF($A84=1,IF(Sales_Daily!$V11="","",Sales_Daily!$V11),"")</f>
        <v/>
      </c>
      <c r="AC84" s="32">
        <f>IF($A84=1,IF(Sales_Daily!$W11="","",Sales_Daily!$W11),"")</f>
        <v/>
      </c>
      <c r="AD84" s="32">
        <f>IF($A84=1,IF(Sales_Daily!$X11="","",Sales_Daily!$X11),"")</f>
        <v/>
      </c>
      <c r="AE84" s="32">
        <f>IF($A84=1,0,"")</f>
        <v/>
      </c>
      <c r="AF84" s="32" t="inlineStr"/>
    </row>
    <row r="85">
      <c r="A85" s="32">
        <f>IF(AND(Sales_Daily!$AV11=1,N(Sales_Daily!$N11)&gt;0),1,0)</f>
        <v/>
      </c>
      <c r="B85" s="32">
        <f>IF($A85=1,$E85&amp;"/3","")</f>
        <v/>
      </c>
      <c r="C85" s="32">
        <f>IF($A85=1,"J-"&amp;Sales_Daily!$A11,"")</f>
        <v/>
      </c>
      <c r="D85" s="33">
        <f>IF($A85=1,Sales_Daily!$B11,"")</f>
        <v/>
      </c>
      <c r="E85" s="32">
        <f>IF($A85=1,IF(Sales_Daily!$A11="","",Sales_Daily!$A11),"")</f>
        <v/>
      </c>
      <c r="F85" s="32">
        <f>IF($A85=1,"SAL","")</f>
        <v/>
      </c>
      <c r="G85" s="32">
        <f>IF($A85=1,IF(Sales_Daily!$AM11="","",Sales_Daily!$AM11),"")</f>
        <v/>
      </c>
      <c r="H85" s="32">
        <f>IF($A85=1,IF(COUNTIF(COA!$A:$A,$G85)=0,"حساب غير معرف",INDEX(COA!$B:$B,MATCH($G85,COA!$A:$A,0))),"")</f>
        <v/>
      </c>
      <c r="I85" s="32">
        <f>IF($A85=1,IF(Sales_Daily!$C11="","",Sales_Daily!$C11),"")</f>
        <v/>
      </c>
      <c r="J85" s="32">
        <f>IF($A85=1,"CC10","")</f>
        <v/>
      </c>
      <c r="K85" s="32">
        <f>IF($A85=1,"-","")</f>
        <v/>
      </c>
      <c r="L85" s="32">
        <f>IF($A85=1,"مبيعات - تحصيل TLB","")</f>
        <v/>
      </c>
      <c r="M85" s="43">
        <f>IF($A85=1,Sales_Daily!$N11,"")</f>
        <v/>
      </c>
      <c r="N85" s="43">
        <f>IF($A85=1,0,"")</f>
        <v/>
      </c>
      <c r="O85" s="32">
        <f>IF($A85=1,Sales_Daily!$S11,"")</f>
        <v/>
      </c>
      <c r="P85" s="32">
        <f>IF($A85=1,IF(Sales_Daily!$AW11="","",Sales_Daily!$AW11),"")</f>
        <v/>
      </c>
      <c r="Q85" s="32">
        <f>IF($A85=1,Sales_Daily!$AY11,"")</f>
        <v/>
      </c>
      <c r="R85" s="32">
        <f>IF($A85=1,IF(AND($Q85=1,COUNTIFS(COA!$A:$A,$G85,COA!$R:$R,1)=1),1,0),"")</f>
        <v/>
      </c>
      <c r="S85" s="43">
        <f>IF($A85=1,IF($R85=1,N($M85),0),"")</f>
        <v/>
      </c>
      <c r="T85" s="43">
        <f>IF($A85=1,IF($R85=1,N($N85),0),"")</f>
        <v/>
      </c>
      <c r="U85" s="32">
        <f>IF($A85=1,YEAR($D85)*100+MONTH($D85),"")</f>
        <v/>
      </c>
      <c r="V85" s="32">
        <f>IF($A85=1,IF(COUNTIF(COA!$A:$A,$G85)=0,0,INDEX(COA!$H:$H,MATCH($G85,COA!$A:$A,0))),"")</f>
        <v/>
      </c>
      <c r="W85" s="32">
        <f>IF($A85=1,"OPERATING","")</f>
        <v/>
      </c>
      <c r="X85" s="32">
        <f>IF($A85=1,IF($R85=1,"",IF($O85=ST_POST,IF($P85&lt;&gt;"",$P85,"حساب غير صالح أو غير نشط"),IF($O85=ST_REV,"معكوس: لا أثر على الدفاتر",IF($O85=ST_CANC,"ملغى",IF($O85=ST_APPR,"معتمد ولم يُرحَّل","مسودة"))))),"")</f>
        <v/>
      </c>
      <c r="Y85" s="32">
        <f>IF($A85=1,IF(AND($R85=1,OR(LG_Acct="",$G85=LG_Acct),OR(LG_Party="",$K85=LG_Party),OR(LG_Loc="ALL",$I85=LG_Loc),OR(LG_CC="ALL",$J85=LG_CC),$D85&gt;=LG_From,$D85&lt;=LG_To),$D85+ROW()/1000000,""),"")</f>
        <v/>
      </c>
      <c r="Z85" s="32">
        <f>IF($A85=1,IF(Sales_Daily!$T11="","",Sales_Daily!$T11),"")</f>
        <v/>
      </c>
      <c r="AA85" s="32">
        <f>IF($A85=1,IF(Sales_Daily!$U11="","",Sales_Daily!$U11),"")</f>
        <v/>
      </c>
      <c r="AB85" s="32">
        <f>IF($A85=1,IF(Sales_Daily!$V11="","",Sales_Daily!$V11),"")</f>
        <v/>
      </c>
      <c r="AC85" s="32">
        <f>IF($A85=1,IF(Sales_Daily!$W11="","",Sales_Daily!$W11),"")</f>
        <v/>
      </c>
      <c r="AD85" s="32">
        <f>IF($A85=1,IF(Sales_Daily!$X11="","",Sales_Daily!$X11),"")</f>
        <v/>
      </c>
      <c r="AE85" s="32">
        <f>IF($A85=1,0,"")</f>
        <v/>
      </c>
      <c r="AF85" s="32" t="inlineStr"/>
    </row>
    <row r="86">
      <c r="A86" s="32">
        <f>IF(AND(Sales_Daily!$AV11=1,N(Sales_Daily!$O11)&gt;0),1,0)</f>
        <v/>
      </c>
      <c r="B86" s="32">
        <f>IF($A86=1,$E86&amp;"/4","")</f>
        <v/>
      </c>
      <c r="C86" s="32">
        <f>IF($A86=1,"J-"&amp;Sales_Daily!$A11,"")</f>
        <v/>
      </c>
      <c r="D86" s="33">
        <f>IF($A86=1,Sales_Daily!$B11,"")</f>
        <v/>
      </c>
      <c r="E86" s="32">
        <f>IF($A86=1,IF(Sales_Daily!$A11="","",Sales_Daily!$A11),"")</f>
        <v/>
      </c>
      <c r="F86" s="32">
        <f>IF($A86=1,"SAL","")</f>
        <v/>
      </c>
      <c r="G86" s="32">
        <f>IF($A86=1,IF(Sales_Daily!$AN11="","",Sales_Daily!$AN11),"")</f>
        <v/>
      </c>
      <c r="H86" s="32">
        <f>IF($A86=1,IF(COUNTIF(COA!$A:$A,$G86)=0,"حساب غير معرف",INDEX(COA!$B:$B,MATCH($G86,COA!$A:$A,0))),"")</f>
        <v/>
      </c>
      <c r="I86" s="32">
        <f>IF($A86=1,IF(Sales_Daily!$C11="","",Sales_Daily!$C11),"")</f>
        <v/>
      </c>
      <c r="J86" s="32">
        <f>IF($A86=1,"CC10","")</f>
        <v/>
      </c>
      <c r="K86" s="32">
        <f>IF($A86=1,"-","")</f>
        <v/>
      </c>
      <c r="L86" s="32">
        <f>IF($A86=1,"مبيعات - تحصيل DLV2","")</f>
        <v/>
      </c>
      <c r="M86" s="43">
        <f>IF($A86=1,Sales_Daily!$O11,"")</f>
        <v/>
      </c>
      <c r="N86" s="43">
        <f>IF($A86=1,0,"")</f>
        <v/>
      </c>
      <c r="O86" s="32">
        <f>IF($A86=1,Sales_Daily!$S11,"")</f>
        <v/>
      </c>
      <c r="P86" s="32">
        <f>IF($A86=1,IF(Sales_Daily!$AW11="","",Sales_Daily!$AW11),"")</f>
        <v/>
      </c>
      <c r="Q86" s="32">
        <f>IF($A86=1,Sales_Daily!$AY11,"")</f>
        <v/>
      </c>
      <c r="R86" s="32">
        <f>IF($A86=1,IF(AND($Q86=1,COUNTIFS(COA!$A:$A,$G86,COA!$R:$R,1)=1),1,0),"")</f>
        <v/>
      </c>
      <c r="S86" s="43">
        <f>IF($A86=1,IF($R86=1,N($M86),0),"")</f>
        <v/>
      </c>
      <c r="T86" s="43">
        <f>IF($A86=1,IF($R86=1,N($N86),0),"")</f>
        <v/>
      </c>
      <c r="U86" s="32">
        <f>IF($A86=1,YEAR($D86)*100+MONTH($D86),"")</f>
        <v/>
      </c>
      <c r="V86" s="32">
        <f>IF($A86=1,IF(COUNTIF(COA!$A:$A,$G86)=0,0,INDEX(COA!$H:$H,MATCH($G86,COA!$A:$A,0))),"")</f>
        <v/>
      </c>
      <c r="W86" s="32">
        <f>IF($A86=1,"OPERATING","")</f>
        <v/>
      </c>
      <c r="X86" s="32">
        <f>IF($A86=1,IF($R86=1,"",IF($O86=ST_POST,IF($P86&lt;&gt;"",$P86,"حساب غير صالح أو غير نشط"),IF($O86=ST_REV,"معكوس: لا أثر على الدفاتر",IF($O86=ST_CANC,"ملغى",IF($O86=ST_APPR,"معتمد ولم يُرحَّل","مسودة"))))),"")</f>
        <v/>
      </c>
      <c r="Y86" s="32">
        <f>IF($A86=1,IF(AND($R86=1,OR(LG_Acct="",$G86=LG_Acct),OR(LG_Party="",$K86=LG_Party),OR(LG_Loc="ALL",$I86=LG_Loc),OR(LG_CC="ALL",$J86=LG_CC),$D86&gt;=LG_From,$D86&lt;=LG_To),$D86+ROW()/1000000,""),"")</f>
        <v/>
      </c>
      <c r="Z86" s="32">
        <f>IF($A86=1,IF(Sales_Daily!$T11="","",Sales_Daily!$T11),"")</f>
        <v/>
      </c>
      <c r="AA86" s="32">
        <f>IF($A86=1,IF(Sales_Daily!$U11="","",Sales_Daily!$U11),"")</f>
        <v/>
      </c>
      <c r="AB86" s="32">
        <f>IF($A86=1,IF(Sales_Daily!$V11="","",Sales_Daily!$V11),"")</f>
        <v/>
      </c>
      <c r="AC86" s="32">
        <f>IF($A86=1,IF(Sales_Daily!$W11="","",Sales_Daily!$W11),"")</f>
        <v/>
      </c>
      <c r="AD86" s="32">
        <f>IF($A86=1,IF(Sales_Daily!$X11="","",Sales_Daily!$X11),"")</f>
        <v/>
      </c>
      <c r="AE86" s="32">
        <f>IF($A86=1,0,"")</f>
        <v/>
      </c>
      <c r="AF86" s="32" t="inlineStr"/>
    </row>
    <row r="87">
      <c r="A87" s="32">
        <f>IF(AND(Sales_Daily!$AV11=1,N(Sales_Daily!$P11)&gt;0),1,0)</f>
        <v/>
      </c>
      <c r="B87" s="32">
        <f>IF($A87=1,$E87&amp;"/5","")</f>
        <v/>
      </c>
      <c r="C87" s="32">
        <f>IF($A87=1,"J-"&amp;Sales_Daily!$A11,"")</f>
        <v/>
      </c>
      <c r="D87" s="33">
        <f>IF($A87=1,Sales_Daily!$B11,"")</f>
        <v/>
      </c>
      <c r="E87" s="32">
        <f>IF($A87=1,IF(Sales_Daily!$A11="","",Sales_Daily!$A11),"")</f>
        <v/>
      </c>
      <c r="F87" s="32">
        <f>IF($A87=1,"SAL","")</f>
        <v/>
      </c>
      <c r="G87" s="32">
        <f>IF($A87=1,IF(Sales_Daily!$AO11="","",Sales_Daily!$AO11),"")</f>
        <v/>
      </c>
      <c r="H87" s="32">
        <f>IF($A87=1,IF(COUNTIF(COA!$A:$A,$G87)=0,"حساب غير معرف",INDEX(COA!$B:$B,MATCH($G87,COA!$A:$A,0))),"")</f>
        <v/>
      </c>
      <c r="I87" s="32">
        <f>IF($A87=1,IF(Sales_Daily!$C11="","",Sales_Daily!$C11),"")</f>
        <v/>
      </c>
      <c r="J87" s="32">
        <f>IF($A87=1,"CC10","")</f>
        <v/>
      </c>
      <c r="K87" s="32">
        <f>IF($A87=1,"-","")</f>
        <v/>
      </c>
      <c r="L87" s="32">
        <f>IF($A87=1,"مبيعات - تحصيل INSTA","")</f>
        <v/>
      </c>
      <c r="M87" s="43">
        <f>IF($A87=1,Sales_Daily!$P11,"")</f>
        <v/>
      </c>
      <c r="N87" s="43">
        <f>IF($A87=1,0,"")</f>
        <v/>
      </c>
      <c r="O87" s="32">
        <f>IF($A87=1,Sales_Daily!$S11,"")</f>
        <v/>
      </c>
      <c r="P87" s="32">
        <f>IF($A87=1,IF(Sales_Daily!$AW11="","",Sales_Daily!$AW11),"")</f>
        <v/>
      </c>
      <c r="Q87" s="32">
        <f>IF($A87=1,Sales_Daily!$AY11,"")</f>
        <v/>
      </c>
      <c r="R87" s="32">
        <f>IF($A87=1,IF(AND($Q87=1,COUNTIFS(COA!$A:$A,$G87,COA!$R:$R,1)=1),1,0),"")</f>
        <v/>
      </c>
      <c r="S87" s="43">
        <f>IF($A87=1,IF($R87=1,N($M87),0),"")</f>
        <v/>
      </c>
      <c r="T87" s="43">
        <f>IF($A87=1,IF($R87=1,N($N87),0),"")</f>
        <v/>
      </c>
      <c r="U87" s="32">
        <f>IF($A87=1,YEAR($D87)*100+MONTH($D87),"")</f>
        <v/>
      </c>
      <c r="V87" s="32">
        <f>IF($A87=1,IF(COUNTIF(COA!$A:$A,$G87)=0,0,INDEX(COA!$H:$H,MATCH($G87,COA!$A:$A,0))),"")</f>
        <v/>
      </c>
      <c r="W87" s="32">
        <f>IF($A87=1,"OPERATING","")</f>
        <v/>
      </c>
      <c r="X87" s="32">
        <f>IF($A87=1,IF($R87=1,"",IF($O87=ST_POST,IF($P87&lt;&gt;"",$P87,"حساب غير صالح أو غير نشط"),IF($O87=ST_REV,"معكوس: لا أثر على الدفاتر",IF($O87=ST_CANC,"ملغى",IF($O87=ST_APPR,"معتمد ولم يُرحَّل","مسودة"))))),"")</f>
        <v/>
      </c>
      <c r="Y87" s="32">
        <f>IF($A87=1,IF(AND($R87=1,OR(LG_Acct="",$G87=LG_Acct),OR(LG_Party="",$K87=LG_Party),OR(LG_Loc="ALL",$I87=LG_Loc),OR(LG_CC="ALL",$J87=LG_CC),$D87&gt;=LG_From,$D87&lt;=LG_To),$D87+ROW()/1000000,""),"")</f>
        <v/>
      </c>
      <c r="Z87" s="32">
        <f>IF($A87=1,IF(Sales_Daily!$T11="","",Sales_Daily!$T11),"")</f>
        <v/>
      </c>
      <c r="AA87" s="32">
        <f>IF($A87=1,IF(Sales_Daily!$U11="","",Sales_Daily!$U11),"")</f>
        <v/>
      </c>
      <c r="AB87" s="32">
        <f>IF($A87=1,IF(Sales_Daily!$V11="","",Sales_Daily!$V11),"")</f>
        <v/>
      </c>
      <c r="AC87" s="32">
        <f>IF($A87=1,IF(Sales_Daily!$W11="","",Sales_Daily!$W11),"")</f>
        <v/>
      </c>
      <c r="AD87" s="32">
        <f>IF($A87=1,IF(Sales_Daily!$X11="","",Sales_Daily!$X11),"")</f>
        <v/>
      </c>
      <c r="AE87" s="32">
        <f>IF($A87=1,0,"")</f>
        <v/>
      </c>
      <c r="AF87" s="32" t="inlineStr"/>
    </row>
    <row r="88">
      <c r="A88" s="32">
        <f>IF(AND(Sales_Daily!$AV11=1,N(Sales_Daily!$Q11)&gt;0),1,0)</f>
        <v/>
      </c>
      <c r="B88" s="32">
        <f>IF($A88=1,$E88&amp;"/6","")</f>
        <v/>
      </c>
      <c r="C88" s="32">
        <f>IF($A88=1,"J-"&amp;Sales_Daily!$A11,"")</f>
        <v/>
      </c>
      <c r="D88" s="33">
        <f>IF($A88=1,Sales_Daily!$B11,"")</f>
        <v/>
      </c>
      <c r="E88" s="32">
        <f>IF($A88=1,IF(Sales_Daily!$A11="","",Sales_Daily!$A11),"")</f>
        <v/>
      </c>
      <c r="F88" s="32">
        <f>IF($A88=1,"SAL","")</f>
        <v/>
      </c>
      <c r="G88" s="32">
        <f>IF($A88=1,IF(Sales_Daily!$AP11="","",Sales_Daily!$AP11),"")</f>
        <v/>
      </c>
      <c r="H88" s="32">
        <f>IF($A88=1,IF(COUNTIF(COA!$A:$A,$G88)=0,"حساب غير معرف",INDEX(COA!$B:$B,MATCH($G88,COA!$A:$A,0))),"")</f>
        <v/>
      </c>
      <c r="I88" s="32">
        <f>IF($A88=1,IF(Sales_Daily!$C11="","",Sales_Daily!$C11),"")</f>
        <v/>
      </c>
      <c r="J88" s="32">
        <f>IF($A88=1,"CC10","")</f>
        <v/>
      </c>
      <c r="K88" s="32">
        <f>IF($A88=1,"-","")</f>
        <v/>
      </c>
      <c r="L88" s="32">
        <f>IF($A88=1,"مبيعات - تحصيل OTH","")</f>
        <v/>
      </c>
      <c r="M88" s="43">
        <f>IF($A88=1,Sales_Daily!$Q11,"")</f>
        <v/>
      </c>
      <c r="N88" s="43">
        <f>IF($A88=1,0,"")</f>
        <v/>
      </c>
      <c r="O88" s="32">
        <f>IF($A88=1,Sales_Daily!$S11,"")</f>
        <v/>
      </c>
      <c r="P88" s="32">
        <f>IF($A88=1,IF(Sales_Daily!$AW11="","",Sales_Daily!$AW11),"")</f>
        <v/>
      </c>
      <c r="Q88" s="32">
        <f>IF($A88=1,Sales_Daily!$AY11,"")</f>
        <v/>
      </c>
      <c r="R88" s="32">
        <f>IF($A88=1,IF(AND($Q88=1,COUNTIFS(COA!$A:$A,$G88,COA!$R:$R,1)=1),1,0),"")</f>
        <v/>
      </c>
      <c r="S88" s="43">
        <f>IF($A88=1,IF($R88=1,N($M88),0),"")</f>
        <v/>
      </c>
      <c r="T88" s="43">
        <f>IF($A88=1,IF($R88=1,N($N88),0),"")</f>
        <v/>
      </c>
      <c r="U88" s="32">
        <f>IF($A88=1,YEAR($D88)*100+MONTH($D88),"")</f>
        <v/>
      </c>
      <c r="V88" s="32">
        <f>IF($A88=1,IF(COUNTIF(COA!$A:$A,$G88)=0,0,INDEX(COA!$H:$H,MATCH($G88,COA!$A:$A,0))),"")</f>
        <v/>
      </c>
      <c r="W88" s="32">
        <f>IF($A88=1,"OPERATING","")</f>
        <v/>
      </c>
      <c r="X88" s="32">
        <f>IF($A88=1,IF($R88=1,"",IF($O88=ST_POST,IF($P88&lt;&gt;"",$P88,"حساب غير صالح أو غير نشط"),IF($O88=ST_REV,"معكوس: لا أثر على الدفاتر",IF($O88=ST_CANC,"ملغى",IF($O88=ST_APPR,"معتمد ولم يُرحَّل","مسودة"))))),"")</f>
        <v/>
      </c>
      <c r="Y88" s="32">
        <f>IF($A88=1,IF(AND($R88=1,OR(LG_Acct="",$G88=LG_Acct),OR(LG_Party="",$K88=LG_Party),OR(LG_Loc="ALL",$I88=LG_Loc),OR(LG_CC="ALL",$J88=LG_CC),$D88&gt;=LG_From,$D88&lt;=LG_To),$D88+ROW()/1000000,""),"")</f>
        <v/>
      </c>
      <c r="Z88" s="32">
        <f>IF($A88=1,IF(Sales_Daily!$T11="","",Sales_Daily!$T11),"")</f>
        <v/>
      </c>
      <c r="AA88" s="32">
        <f>IF($A88=1,IF(Sales_Daily!$U11="","",Sales_Daily!$U11),"")</f>
        <v/>
      </c>
      <c r="AB88" s="32">
        <f>IF($A88=1,IF(Sales_Daily!$V11="","",Sales_Daily!$V11),"")</f>
        <v/>
      </c>
      <c r="AC88" s="32">
        <f>IF($A88=1,IF(Sales_Daily!$W11="","",Sales_Daily!$W11),"")</f>
        <v/>
      </c>
      <c r="AD88" s="32">
        <f>IF($A88=1,IF(Sales_Daily!$X11="","",Sales_Daily!$X11),"")</f>
        <v/>
      </c>
      <c r="AE88" s="32">
        <f>IF($A88=1,0,"")</f>
        <v/>
      </c>
      <c r="AF88" s="32" t="inlineStr"/>
    </row>
    <row r="89">
      <c r="A89" s="32">
        <f>IF(AND(Sales_Daily!$AV11=1,N(Sales_Daily!$AH11)&gt;0),1,0)</f>
        <v/>
      </c>
      <c r="B89" s="32">
        <f>IF($A89=1,$E89&amp;"/7","")</f>
        <v/>
      </c>
      <c r="C89" s="32">
        <f>IF($A89=1,"J-"&amp;Sales_Daily!$A11,"")</f>
        <v/>
      </c>
      <c r="D89" s="33">
        <f>IF($A89=1,Sales_Daily!$B11,"")</f>
        <v/>
      </c>
      <c r="E89" s="32">
        <f>IF($A89=1,IF(Sales_Daily!$A11="","",Sales_Daily!$A11),"")</f>
        <v/>
      </c>
      <c r="F89" s="32">
        <f>IF($A89=1,"SAL","")</f>
        <v/>
      </c>
      <c r="G89" s="32">
        <f>IF($A89=1,ACC_DISC,"")</f>
        <v/>
      </c>
      <c r="H89" s="32">
        <f>IF($A89=1,IF(COUNTIF(COA!$A:$A,$G89)=0,"حساب غير معرف",INDEX(COA!$B:$B,MATCH($G89,COA!$A:$A,0))),"")</f>
        <v/>
      </c>
      <c r="I89" s="32">
        <f>IF($A89=1,IF(Sales_Daily!$C11="","",Sales_Daily!$C11),"")</f>
        <v/>
      </c>
      <c r="J89" s="32">
        <f>IF($A89=1,"CC10","")</f>
        <v/>
      </c>
      <c r="K89" s="32">
        <f>IF($A89=1,"-","")</f>
        <v/>
      </c>
      <c r="L89" s="32">
        <f>IF($A89=1,"خصومات المبيعات والعروض","")</f>
        <v/>
      </c>
      <c r="M89" s="43">
        <f>IF($A89=1,Sales_Daily!$AH11,"")</f>
        <v/>
      </c>
      <c r="N89" s="43">
        <f>IF($A89=1,0,"")</f>
        <v/>
      </c>
      <c r="O89" s="32">
        <f>IF($A89=1,Sales_Daily!$S11,"")</f>
        <v/>
      </c>
      <c r="P89" s="32">
        <f>IF($A89=1,IF(Sales_Daily!$AW11="","",Sales_Daily!$AW11),"")</f>
        <v/>
      </c>
      <c r="Q89" s="32">
        <f>IF($A89=1,Sales_Daily!$AY11,"")</f>
        <v/>
      </c>
      <c r="R89" s="32">
        <f>IF($A89=1,IF(AND($Q89=1,COUNTIFS(COA!$A:$A,$G89,COA!$R:$R,1)=1),1,0),"")</f>
        <v/>
      </c>
      <c r="S89" s="43">
        <f>IF($A89=1,IF($R89=1,N($M89),0),"")</f>
        <v/>
      </c>
      <c r="T89" s="43">
        <f>IF($A89=1,IF($R89=1,N($N89),0),"")</f>
        <v/>
      </c>
      <c r="U89" s="32">
        <f>IF($A89=1,YEAR($D89)*100+MONTH($D89),"")</f>
        <v/>
      </c>
      <c r="V89" s="32">
        <f>IF($A89=1,IF(COUNTIF(COA!$A:$A,$G89)=0,0,INDEX(COA!$H:$H,MATCH($G89,COA!$A:$A,0))),"")</f>
        <v/>
      </c>
      <c r="W89" s="32">
        <f>IF($A89=1,"","")</f>
        <v/>
      </c>
      <c r="X89" s="32">
        <f>IF($A89=1,IF($R89=1,"",IF($O89=ST_POST,IF($P89&lt;&gt;"",$P89,"حساب غير صالح أو غير نشط"),IF($O89=ST_REV,"معكوس: لا أثر على الدفاتر",IF($O89=ST_CANC,"ملغى",IF($O89=ST_APPR,"معتمد ولم يُرحَّل","مسودة"))))),"")</f>
        <v/>
      </c>
      <c r="Y89" s="32">
        <f>IF($A89=1,IF(AND($R89=1,OR(LG_Acct="",$G89=LG_Acct),OR(LG_Party="",$K89=LG_Party),OR(LG_Loc="ALL",$I89=LG_Loc),OR(LG_CC="ALL",$J89=LG_CC),$D89&gt;=LG_From,$D89&lt;=LG_To),$D89+ROW()/1000000,""),"")</f>
        <v/>
      </c>
      <c r="Z89" s="32">
        <f>IF($A89=1,IF(Sales_Daily!$T11="","",Sales_Daily!$T11),"")</f>
        <v/>
      </c>
      <c r="AA89" s="32">
        <f>IF($A89=1,IF(Sales_Daily!$U11="","",Sales_Daily!$U11),"")</f>
        <v/>
      </c>
      <c r="AB89" s="32">
        <f>IF($A89=1,IF(Sales_Daily!$V11="","",Sales_Daily!$V11),"")</f>
        <v/>
      </c>
      <c r="AC89" s="32">
        <f>IF($A89=1,IF(Sales_Daily!$W11="","",Sales_Daily!$W11),"")</f>
        <v/>
      </c>
      <c r="AD89" s="32">
        <f>IF($A89=1,IF(Sales_Daily!$X11="","",Sales_Daily!$X11),"")</f>
        <v/>
      </c>
      <c r="AE89" s="32">
        <f>IF($A89=1,0,"")</f>
        <v/>
      </c>
      <c r="AF89" s="32" t="inlineStr"/>
    </row>
    <row r="90">
      <c r="A90" s="32">
        <f>IF(AND(Sales_Daily!$AV11=1,N(Sales_Daily!$AI11)&gt;0),1,0)</f>
        <v/>
      </c>
      <c r="B90" s="32">
        <f>IF($A90=1,$E90&amp;"/8","")</f>
        <v/>
      </c>
      <c r="C90" s="32">
        <f>IF($A90=1,"J-"&amp;Sales_Daily!$A11,"")</f>
        <v/>
      </c>
      <c r="D90" s="33">
        <f>IF($A90=1,Sales_Daily!$B11,"")</f>
        <v/>
      </c>
      <c r="E90" s="32">
        <f>IF($A90=1,IF(Sales_Daily!$A11="","",Sales_Daily!$A11),"")</f>
        <v/>
      </c>
      <c r="F90" s="32">
        <f>IF($A90=1,"SAL","")</f>
        <v/>
      </c>
      <c r="G90" s="32">
        <f>IF($A90=1,ACC_RET,"")</f>
        <v/>
      </c>
      <c r="H90" s="32">
        <f>IF($A90=1,IF(COUNTIF(COA!$A:$A,$G90)=0,"حساب غير معرف",INDEX(COA!$B:$B,MATCH($G90,COA!$A:$A,0))),"")</f>
        <v/>
      </c>
      <c r="I90" s="32">
        <f>IF($A90=1,IF(Sales_Daily!$C11="","",Sales_Daily!$C11),"")</f>
        <v/>
      </c>
      <c r="J90" s="32">
        <f>IF($A90=1,"CC10","")</f>
        <v/>
      </c>
      <c r="K90" s="32">
        <f>IF($A90=1,"-","")</f>
        <v/>
      </c>
      <c r="L90" s="32">
        <f>IF($A90=1,"مرتجعات وإلغاءات المبيعات","")</f>
        <v/>
      </c>
      <c r="M90" s="43">
        <f>IF($A90=1,Sales_Daily!$AI11,"")</f>
        <v/>
      </c>
      <c r="N90" s="43">
        <f>IF($A90=1,0,"")</f>
        <v/>
      </c>
      <c r="O90" s="32">
        <f>IF($A90=1,Sales_Daily!$S11,"")</f>
        <v/>
      </c>
      <c r="P90" s="32">
        <f>IF($A90=1,IF(Sales_Daily!$AW11="","",Sales_Daily!$AW11),"")</f>
        <v/>
      </c>
      <c r="Q90" s="32">
        <f>IF($A90=1,Sales_Daily!$AY11,"")</f>
        <v/>
      </c>
      <c r="R90" s="32">
        <f>IF($A90=1,IF(AND($Q90=1,COUNTIFS(COA!$A:$A,$G90,COA!$R:$R,1)=1),1,0),"")</f>
        <v/>
      </c>
      <c r="S90" s="43">
        <f>IF($A90=1,IF($R90=1,N($M90),0),"")</f>
        <v/>
      </c>
      <c r="T90" s="43">
        <f>IF($A90=1,IF($R90=1,N($N90),0),"")</f>
        <v/>
      </c>
      <c r="U90" s="32">
        <f>IF($A90=1,YEAR($D90)*100+MONTH($D90),"")</f>
        <v/>
      </c>
      <c r="V90" s="32">
        <f>IF($A90=1,IF(COUNTIF(COA!$A:$A,$G90)=0,0,INDEX(COA!$H:$H,MATCH($G90,COA!$A:$A,0))),"")</f>
        <v/>
      </c>
      <c r="W90" s="32">
        <f>IF($A90=1,"","")</f>
        <v/>
      </c>
      <c r="X90" s="32">
        <f>IF($A90=1,IF($R90=1,"",IF($O90=ST_POST,IF($P90&lt;&gt;"",$P90,"حساب غير صالح أو غير نشط"),IF($O90=ST_REV,"معكوس: لا أثر على الدفاتر",IF($O90=ST_CANC,"ملغى",IF($O90=ST_APPR,"معتمد ولم يُرحَّل","مسودة"))))),"")</f>
        <v/>
      </c>
      <c r="Y90" s="32">
        <f>IF($A90=1,IF(AND($R90=1,OR(LG_Acct="",$G90=LG_Acct),OR(LG_Party="",$K90=LG_Party),OR(LG_Loc="ALL",$I90=LG_Loc),OR(LG_CC="ALL",$J90=LG_CC),$D90&gt;=LG_From,$D90&lt;=LG_To),$D90+ROW()/1000000,""),"")</f>
        <v/>
      </c>
      <c r="Z90" s="32">
        <f>IF($A90=1,IF(Sales_Daily!$T11="","",Sales_Daily!$T11),"")</f>
        <v/>
      </c>
      <c r="AA90" s="32">
        <f>IF($A90=1,IF(Sales_Daily!$U11="","",Sales_Daily!$U11),"")</f>
        <v/>
      </c>
      <c r="AB90" s="32">
        <f>IF($A90=1,IF(Sales_Daily!$V11="","",Sales_Daily!$V11),"")</f>
        <v/>
      </c>
      <c r="AC90" s="32">
        <f>IF($A90=1,IF(Sales_Daily!$W11="","",Sales_Daily!$W11),"")</f>
        <v/>
      </c>
      <c r="AD90" s="32">
        <f>IF($A90=1,IF(Sales_Daily!$X11="","",Sales_Daily!$X11),"")</f>
        <v/>
      </c>
      <c r="AE90" s="32">
        <f>IF($A90=1,0,"")</f>
        <v/>
      </c>
      <c r="AF90" s="32" t="inlineStr"/>
    </row>
    <row r="91">
      <c r="A91" s="32">
        <f>IF(AND(Sales_Daily!$AV11=1,N(Sales_Daily!$AD11)&gt;0),1,0)</f>
        <v/>
      </c>
      <c r="B91" s="32">
        <f>IF($A91=1,$E91&amp;"/9","")</f>
        <v/>
      </c>
      <c r="C91" s="32">
        <f>IF($A91=1,"J-"&amp;Sales_Daily!$A11,"")</f>
        <v/>
      </c>
      <c r="D91" s="33">
        <f>IF($A91=1,Sales_Daily!$B11,"")</f>
        <v/>
      </c>
      <c r="E91" s="32">
        <f>IF($A91=1,IF(Sales_Daily!$A11="","",Sales_Daily!$A11),"")</f>
        <v/>
      </c>
      <c r="F91" s="32">
        <f>IF($A91=1,"SAL","")</f>
        <v/>
      </c>
      <c r="G91" s="32">
        <f>IF($A91=1,IF(Sales_Daily!$AQ11="","",Sales_Daily!$AQ11),"")</f>
        <v/>
      </c>
      <c r="H91" s="32">
        <f>IF($A91=1,IF(COUNTIF(COA!$A:$A,$G91)=0,"حساب غير معرف",INDEX(COA!$B:$B,MATCH($G91,COA!$A:$A,0))),"")</f>
        <v/>
      </c>
      <c r="I91" s="32">
        <f>IF($A91=1,IF(Sales_Daily!$C11="","",Sales_Daily!$C11),"")</f>
        <v/>
      </c>
      <c r="J91" s="32">
        <f>IF($A91=1,"CC10","")</f>
        <v/>
      </c>
      <c r="K91" s="32">
        <f>IF($A91=1,"-","")</f>
        <v/>
      </c>
      <c r="L91" s="32">
        <f>IF($A91=1,"إيراد مبيعات - فئة فطير","")</f>
        <v/>
      </c>
      <c r="M91" s="43">
        <f>IF($A91=1,0,"")</f>
        <v/>
      </c>
      <c r="N91" s="43">
        <f>IF($A91=1,Sales_Daily!$AD11,"")</f>
        <v/>
      </c>
      <c r="O91" s="32">
        <f>IF($A91=1,Sales_Daily!$S11,"")</f>
        <v/>
      </c>
      <c r="P91" s="32">
        <f>IF($A91=1,IF(Sales_Daily!$AW11="","",Sales_Daily!$AW11),"")</f>
        <v/>
      </c>
      <c r="Q91" s="32">
        <f>IF($A91=1,Sales_Daily!$AY11,"")</f>
        <v/>
      </c>
      <c r="R91" s="32">
        <f>IF($A91=1,IF(AND($Q91=1,COUNTIFS(COA!$A:$A,$G91,COA!$R:$R,1)=1),1,0),"")</f>
        <v/>
      </c>
      <c r="S91" s="43">
        <f>IF($A91=1,IF($R91=1,N($M91),0),"")</f>
        <v/>
      </c>
      <c r="T91" s="43">
        <f>IF($A91=1,IF($R91=1,N($N91),0),"")</f>
        <v/>
      </c>
      <c r="U91" s="32">
        <f>IF($A91=1,YEAR($D91)*100+MONTH($D91),"")</f>
        <v/>
      </c>
      <c r="V91" s="32">
        <f>IF($A91=1,IF(COUNTIF(COA!$A:$A,$G91)=0,0,INDEX(COA!$H:$H,MATCH($G91,COA!$A:$A,0))),"")</f>
        <v/>
      </c>
      <c r="W91" s="32">
        <f>IF($A91=1,"","")</f>
        <v/>
      </c>
      <c r="X91" s="32">
        <f>IF($A91=1,IF($R91=1,"",IF($O91=ST_POST,IF($P91&lt;&gt;"",$P91,"حساب غير صالح أو غير نشط"),IF($O91=ST_REV,"معكوس: لا أثر على الدفاتر",IF($O91=ST_CANC,"ملغى",IF($O91=ST_APPR,"معتمد ولم يُرحَّل","مسودة"))))),"")</f>
        <v/>
      </c>
      <c r="Y91" s="32">
        <f>IF($A91=1,IF(AND($R91=1,OR(LG_Acct="",$G91=LG_Acct),OR(LG_Party="",$K91=LG_Party),OR(LG_Loc="ALL",$I91=LG_Loc),OR(LG_CC="ALL",$J91=LG_CC),$D91&gt;=LG_From,$D91&lt;=LG_To),$D91+ROW()/1000000,""),"")</f>
        <v/>
      </c>
      <c r="Z91" s="32">
        <f>IF($A91=1,IF(Sales_Daily!$T11="","",Sales_Daily!$T11),"")</f>
        <v/>
      </c>
      <c r="AA91" s="32">
        <f>IF($A91=1,IF(Sales_Daily!$U11="","",Sales_Daily!$U11),"")</f>
        <v/>
      </c>
      <c r="AB91" s="32">
        <f>IF($A91=1,IF(Sales_Daily!$V11="","",Sales_Daily!$V11),"")</f>
        <v/>
      </c>
      <c r="AC91" s="32">
        <f>IF($A91=1,IF(Sales_Daily!$W11="","",Sales_Daily!$W11),"")</f>
        <v/>
      </c>
      <c r="AD91" s="32">
        <f>IF($A91=1,IF(Sales_Daily!$X11="","",Sales_Daily!$X11),"")</f>
        <v/>
      </c>
      <c r="AE91" s="32">
        <f>IF($A91=1,0,"")</f>
        <v/>
      </c>
      <c r="AF91" s="32" t="inlineStr"/>
    </row>
    <row r="92">
      <c r="A92" s="32">
        <f>IF(AND(Sales_Daily!$AV11=1,N(Sales_Daily!$AE11)&gt;0),1,0)</f>
        <v/>
      </c>
      <c r="B92" s="32">
        <f>IF($A92=1,$E92&amp;"/10","")</f>
        <v/>
      </c>
      <c r="C92" s="32">
        <f>IF($A92=1,"J-"&amp;Sales_Daily!$A11,"")</f>
        <v/>
      </c>
      <c r="D92" s="33">
        <f>IF($A92=1,Sales_Daily!$B11,"")</f>
        <v/>
      </c>
      <c r="E92" s="32">
        <f>IF($A92=1,IF(Sales_Daily!$A11="","",Sales_Daily!$A11),"")</f>
        <v/>
      </c>
      <c r="F92" s="32">
        <f>IF($A92=1,"SAL","")</f>
        <v/>
      </c>
      <c r="G92" s="32">
        <f>IF($A92=1,IF(Sales_Daily!$AR11="","",Sales_Daily!$AR11),"")</f>
        <v/>
      </c>
      <c r="H92" s="32">
        <f>IF($A92=1,IF(COUNTIF(COA!$A:$A,$G92)=0,"حساب غير معرف",INDEX(COA!$B:$B,MATCH($G92,COA!$A:$A,0))),"")</f>
        <v/>
      </c>
      <c r="I92" s="32">
        <f>IF($A92=1,IF(Sales_Daily!$C11="","",Sales_Daily!$C11),"")</f>
        <v/>
      </c>
      <c r="J92" s="32">
        <f>IF($A92=1,"CC10","")</f>
        <v/>
      </c>
      <c r="K92" s="32">
        <f>IF($A92=1,"-","")</f>
        <v/>
      </c>
      <c r="L92" s="32">
        <f>IF($A92=1,"إيراد مبيعات - فئة بيتزا","")</f>
        <v/>
      </c>
      <c r="M92" s="43">
        <f>IF($A92=1,0,"")</f>
        <v/>
      </c>
      <c r="N92" s="43">
        <f>IF($A92=1,Sales_Daily!$AE11,"")</f>
        <v/>
      </c>
      <c r="O92" s="32">
        <f>IF($A92=1,Sales_Daily!$S11,"")</f>
        <v/>
      </c>
      <c r="P92" s="32">
        <f>IF($A92=1,IF(Sales_Daily!$AW11="","",Sales_Daily!$AW11),"")</f>
        <v/>
      </c>
      <c r="Q92" s="32">
        <f>IF($A92=1,Sales_Daily!$AY11,"")</f>
        <v/>
      </c>
      <c r="R92" s="32">
        <f>IF($A92=1,IF(AND($Q92=1,COUNTIFS(COA!$A:$A,$G92,COA!$R:$R,1)=1),1,0),"")</f>
        <v/>
      </c>
      <c r="S92" s="43">
        <f>IF($A92=1,IF($R92=1,N($M92),0),"")</f>
        <v/>
      </c>
      <c r="T92" s="43">
        <f>IF($A92=1,IF($R92=1,N($N92),0),"")</f>
        <v/>
      </c>
      <c r="U92" s="32">
        <f>IF($A92=1,YEAR($D92)*100+MONTH($D92),"")</f>
        <v/>
      </c>
      <c r="V92" s="32">
        <f>IF($A92=1,IF(COUNTIF(COA!$A:$A,$G92)=0,0,INDEX(COA!$H:$H,MATCH($G92,COA!$A:$A,0))),"")</f>
        <v/>
      </c>
      <c r="W92" s="32">
        <f>IF($A92=1,"","")</f>
        <v/>
      </c>
      <c r="X92" s="32">
        <f>IF($A92=1,IF($R92=1,"",IF($O92=ST_POST,IF($P92&lt;&gt;"",$P92,"حساب غير صالح أو غير نشط"),IF($O92=ST_REV,"معكوس: لا أثر على الدفاتر",IF($O92=ST_CANC,"ملغى",IF($O92=ST_APPR,"معتمد ولم يُرحَّل","مسودة"))))),"")</f>
        <v/>
      </c>
      <c r="Y92" s="32">
        <f>IF($A92=1,IF(AND($R92=1,OR(LG_Acct="",$G92=LG_Acct),OR(LG_Party="",$K92=LG_Party),OR(LG_Loc="ALL",$I92=LG_Loc),OR(LG_CC="ALL",$J92=LG_CC),$D92&gt;=LG_From,$D92&lt;=LG_To),$D92+ROW()/1000000,""),"")</f>
        <v/>
      </c>
      <c r="Z92" s="32">
        <f>IF($A92=1,IF(Sales_Daily!$T11="","",Sales_Daily!$T11),"")</f>
        <v/>
      </c>
      <c r="AA92" s="32">
        <f>IF($A92=1,IF(Sales_Daily!$U11="","",Sales_Daily!$U11),"")</f>
        <v/>
      </c>
      <c r="AB92" s="32">
        <f>IF($A92=1,IF(Sales_Daily!$V11="","",Sales_Daily!$V11),"")</f>
        <v/>
      </c>
      <c r="AC92" s="32">
        <f>IF($A92=1,IF(Sales_Daily!$W11="","",Sales_Daily!$W11),"")</f>
        <v/>
      </c>
      <c r="AD92" s="32">
        <f>IF($A92=1,IF(Sales_Daily!$X11="","",Sales_Daily!$X11),"")</f>
        <v/>
      </c>
      <c r="AE92" s="32">
        <f>IF($A92=1,0,"")</f>
        <v/>
      </c>
      <c r="AF92" s="32" t="inlineStr"/>
    </row>
    <row r="93">
      <c r="A93" s="32">
        <f>IF(AND(Sales_Daily!$AV11=1,N(Sales_Daily!$AF11)&gt;0),1,0)</f>
        <v/>
      </c>
      <c r="B93" s="32">
        <f>IF($A93=1,$E93&amp;"/11","")</f>
        <v/>
      </c>
      <c r="C93" s="32">
        <f>IF($A93=1,"J-"&amp;Sales_Daily!$A11,"")</f>
        <v/>
      </c>
      <c r="D93" s="33">
        <f>IF($A93=1,Sales_Daily!$B11,"")</f>
        <v/>
      </c>
      <c r="E93" s="32">
        <f>IF($A93=1,IF(Sales_Daily!$A11="","",Sales_Daily!$A11),"")</f>
        <v/>
      </c>
      <c r="F93" s="32">
        <f>IF($A93=1,"SAL","")</f>
        <v/>
      </c>
      <c r="G93" s="32">
        <f>IF($A93=1,IF(Sales_Daily!$AS11="","",Sales_Daily!$AS11),"")</f>
        <v/>
      </c>
      <c r="H93" s="32">
        <f>IF($A93=1,IF(COUNTIF(COA!$A:$A,$G93)=0,"حساب غير معرف",INDEX(COA!$B:$B,MATCH($G93,COA!$A:$A,0))),"")</f>
        <v/>
      </c>
      <c r="I93" s="32">
        <f>IF($A93=1,IF(Sales_Daily!$C11="","",Sales_Daily!$C11),"")</f>
        <v/>
      </c>
      <c r="J93" s="32">
        <f>IF($A93=1,"CC10","")</f>
        <v/>
      </c>
      <c r="K93" s="32">
        <f>IF($A93=1,"-","")</f>
        <v/>
      </c>
      <c r="L93" s="32">
        <f>IF($A93=1,"إيراد مبيعات - فئة مكرونات","")</f>
        <v/>
      </c>
      <c r="M93" s="43">
        <f>IF($A93=1,0,"")</f>
        <v/>
      </c>
      <c r="N93" s="43">
        <f>IF($A93=1,Sales_Daily!$AF11,"")</f>
        <v/>
      </c>
      <c r="O93" s="32">
        <f>IF($A93=1,Sales_Daily!$S11,"")</f>
        <v/>
      </c>
      <c r="P93" s="32">
        <f>IF($A93=1,IF(Sales_Daily!$AW11="","",Sales_Daily!$AW11),"")</f>
        <v/>
      </c>
      <c r="Q93" s="32">
        <f>IF($A93=1,Sales_Daily!$AY11,"")</f>
        <v/>
      </c>
      <c r="R93" s="32">
        <f>IF($A93=1,IF(AND($Q93=1,COUNTIFS(COA!$A:$A,$G93,COA!$R:$R,1)=1),1,0),"")</f>
        <v/>
      </c>
      <c r="S93" s="43">
        <f>IF($A93=1,IF($R93=1,N($M93),0),"")</f>
        <v/>
      </c>
      <c r="T93" s="43">
        <f>IF($A93=1,IF($R93=1,N($N93),0),"")</f>
        <v/>
      </c>
      <c r="U93" s="32">
        <f>IF($A93=1,YEAR($D93)*100+MONTH($D93),"")</f>
        <v/>
      </c>
      <c r="V93" s="32">
        <f>IF($A93=1,IF(COUNTIF(COA!$A:$A,$G93)=0,0,INDEX(COA!$H:$H,MATCH($G93,COA!$A:$A,0))),"")</f>
        <v/>
      </c>
      <c r="W93" s="32">
        <f>IF($A93=1,"","")</f>
        <v/>
      </c>
      <c r="X93" s="32">
        <f>IF($A93=1,IF($R93=1,"",IF($O93=ST_POST,IF($P93&lt;&gt;"",$P93,"حساب غير صالح أو غير نشط"),IF($O93=ST_REV,"معكوس: لا أثر على الدفاتر",IF($O93=ST_CANC,"ملغى",IF($O93=ST_APPR,"معتمد ولم يُرحَّل","مسودة"))))),"")</f>
        <v/>
      </c>
      <c r="Y93" s="32">
        <f>IF($A93=1,IF(AND($R93=1,OR(LG_Acct="",$G93=LG_Acct),OR(LG_Party="",$K93=LG_Party),OR(LG_Loc="ALL",$I93=LG_Loc),OR(LG_CC="ALL",$J93=LG_CC),$D93&gt;=LG_From,$D93&lt;=LG_To),$D93+ROW()/1000000,""),"")</f>
        <v/>
      </c>
      <c r="Z93" s="32">
        <f>IF($A93=1,IF(Sales_Daily!$T11="","",Sales_Daily!$T11),"")</f>
        <v/>
      </c>
      <c r="AA93" s="32">
        <f>IF($A93=1,IF(Sales_Daily!$U11="","",Sales_Daily!$U11),"")</f>
        <v/>
      </c>
      <c r="AB93" s="32">
        <f>IF($A93=1,IF(Sales_Daily!$V11="","",Sales_Daily!$V11),"")</f>
        <v/>
      </c>
      <c r="AC93" s="32">
        <f>IF($A93=1,IF(Sales_Daily!$W11="","",Sales_Daily!$W11),"")</f>
        <v/>
      </c>
      <c r="AD93" s="32">
        <f>IF($A93=1,IF(Sales_Daily!$X11="","",Sales_Daily!$X11),"")</f>
        <v/>
      </c>
      <c r="AE93" s="32">
        <f>IF($A93=1,0,"")</f>
        <v/>
      </c>
      <c r="AF93" s="32" t="inlineStr"/>
    </row>
    <row r="94">
      <c r="A94" s="32">
        <f>IF(AND(Sales_Daily!$AV11=1,N(Sales_Daily!$AG11)&gt;0),1,0)</f>
        <v/>
      </c>
      <c r="B94" s="32">
        <f>IF($A94=1,$E94&amp;"/12","")</f>
        <v/>
      </c>
      <c r="C94" s="32">
        <f>IF($A94=1,"J-"&amp;Sales_Daily!$A11,"")</f>
        <v/>
      </c>
      <c r="D94" s="33">
        <f>IF($A94=1,Sales_Daily!$B11,"")</f>
        <v/>
      </c>
      <c r="E94" s="32">
        <f>IF($A94=1,IF(Sales_Daily!$A11="","",Sales_Daily!$A11),"")</f>
        <v/>
      </c>
      <c r="F94" s="32">
        <f>IF($A94=1,"SAL","")</f>
        <v/>
      </c>
      <c r="G94" s="32">
        <f>IF($A94=1,IF(Sales_Daily!$AT11="","",Sales_Daily!$AT11),"")</f>
        <v/>
      </c>
      <c r="H94" s="32">
        <f>IF($A94=1,IF(COUNTIF(COA!$A:$A,$G94)=0,"حساب غير معرف",INDEX(COA!$B:$B,MATCH($G94,COA!$A:$A,0))),"")</f>
        <v/>
      </c>
      <c r="I94" s="32">
        <f>IF($A94=1,IF(Sales_Daily!$C11="","",Sales_Daily!$C11),"")</f>
        <v/>
      </c>
      <c r="J94" s="32">
        <f>IF($A94=1,"CC10","")</f>
        <v/>
      </c>
      <c r="K94" s="32">
        <f>IF($A94=1,"-","")</f>
        <v/>
      </c>
      <c r="L94" s="32">
        <f>IF($A94=1,"إيراد مبيعات - فئة أخرى","")</f>
        <v/>
      </c>
      <c r="M94" s="43">
        <f>IF($A94=1,0,"")</f>
        <v/>
      </c>
      <c r="N94" s="43">
        <f>IF($A94=1,Sales_Daily!$AG11,"")</f>
        <v/>
      </c>
      <c r="O94" s="32">
        <f>IF($A94=1,Sales_Daily!$S11,"")</f>
        <v/>
      </c>
      <c r="P94" s="32">
        <f>IF($A94=1,IF(Sales_Daily!$AW11="","",Sales_Daily!$AW11),"")</f>
        <v/>
      </c>
      <c r="Q94" s="32">
        <f>IF($A94=1,Sales_Daily!$AY11,"")</f>
        <v/>
      </c>
      <c r="R94" s="32">
        <f>IF($A94=1,IF(AND($Q94=1,COUNTIFS(COA!$A:$A,$G94,COA!$R:$R,1)=1),1,0),"")</f>
        <v/>
      </c>
      <c r="S94" s="43">
        <f>IF($A94=1,IF($R94=1,N($M94),0),"")</f>
        <v/>
      </c>
      <c r="T94" s="43">
        <f>IF($A94=1,IF($R94=1,N($N94),0),"")</f>
        <v/>
      </c>
      <c r="U94" s="32">
        <f>IF($A94=1,YEAR($D94)*100+MONTH($D94),"")</f>
        <v/>
      </c>
      <c r="V94" s="32">
        <f>IF($A94=1,IF(COUNTIF(COA!$A:$A,$G94)=0,0,INDEX(COA!$H:$H,MATCH($G94,COA!$A:$A,0))),"")</f>
        <v/>
      </c>
      <c r="W94" s="32">
        <f>IF($A94=1,"","")</f>
        <v/>
      </c>
      <c r="X94" s="32">
        <f>IF($A94=1,IF($R94=1,"",IF($O94=ST_POST,IF($P94&lt;&gt;"",$P94,"حساب غير صالح أو غير نشط"),IF($O94=ST_REV,"معكوس: لا أثر على الدفاتر",IF($O94=ST_CANC,"ملغى",IF($O94=ST_APPR,"معتمد ولم يُرحَّل","مسودة"))))),"")</f>
        <v/>
      </c>
      <c r="Y94" s="32">
        <f>IF($A94=1,IF(AND($R94=1,OR(LG_Acct="",$G94=LG_Acct),OR(LG_Party="",$K94=LG_Party),OR(LG_Loc="ALL",$I94=LG_Loc),OR(LG_CC="ALL",$J94=LG_CC),$D94&gt;=LG_From,$D94&lt;=LG_To),$D94+ROW()/1000000,""),"")</f>
        <v/>
      </c>
      <c r="Z94" s="32">
        <f>IF($A94=1,IF(Sales_Daily!$T11="","",Sales_Daily!$T11),"")</f>
        <v/>
      </c>
      <c r="AA94" s="32">
        <f>IF($A94=1,IF(Sales_Daily!$U11="","",Sales_Daily!$U11),"")</f>
        <v/>
      </c>
      <c r="AB94" s="32">
        <f>IF($A94=1,IF(Sales_Daily!$V11="","",Sales_Daily!$V11),"")</f>
        <v/>
      </c>
      <c r="AC94" s="32">
        <f>IF($A94=1,IF(Sales_Daily!$W11="","",Sales_Daily!$W11),"")</f>
        <v/>
      </c>
      <c r="AD94" s="32">
        <f>IF($A94=1,IF(Sales_Daily!$X11="","",Sales_Daily!$X11),"")</f>
        <v/>
      </c>
      <c r="AE94" s="32">
        <f>IF($A94=1,0,"")</f>
        <v/>
      </c>
      <c r="AF94" s="32" t="inlineStr"/>
    </row>
    <row r="95">
      <c r="A95" s="32">
        <f>IF(AND(Sales_Daily!$AV11=1,N(Sales_Daily!$AJ11)&gt;0),1,0)</f>
        <v/>
      </c>
      <c r="B95" s="32">
        <f>IF($A95=1,$E95&amp;"/13","")</f>
        <v/>
      </c>
      <c r="C95" s="32">
        <f>IF($A95=1,"J-"&amp;Sales_Daily!$A11,"")</f>
        <v/>
      </c>
      <c r="D95" s="33">
        <f>IF($A95=1,Sales_Daily!$B11,"")</f>
        <v/>
      </c>
      <c r="E95" s="32">
        <f>IF($A95=1,IF(Sales_Daily!$A11="","",Sales_Daily!$A11),"")</f>
        <v/>
      </c>
      <c r="F95" s="32">
        <f>IF($A95=1,"SAL","")</f>
        <v/>
      </c>
      <c r="G95" s="32">
        <f>IF($A95=1,ACC_VAT_OUT,"")</f>
        <v/>
      </c>
      <c r="H95" s="32">
        <f>IF($A95=1,IF(COUNTIF(COA!$A:$A,$G95)=0,"حساب غير معرف",INDEX(COA!$B:$B,MATCH($G95,COA!$A:$A,0))),"")</f>
        <v/>
      </c>
      <c r="I95" s="32">
        <f>IF($A95=1,IF(Sales_Daily!$C11="","",Sales_Daily!$C11),"")</f>
        <v/>
      </c>
      <c r="J95" s="32">
        <f>IF($A95=1,"CC10","")</f>
        <v/>
      </c>
      <c r="K95" s="32">
        <f>IF($A95=1,"-","")</f>
        <v/>
      </c>
      <c r="L95" s="32">
        <f>IF($A95=1,"ضريبة القيمة المضافة - مخرجات","")</f>
        <v/>
      </c>
      <c r="M95" s="43">
        <f>IF($A95=1,0,"")</f>
        <v/>
      </c>
      <c r="N95" s="43">
        <f>IF($A95=1,Sales_Daily!$AJ11,"")</f>
        <v/>
      </c>
      <c r="O95" s="32">
        <f>IF($A95=1,Sales_Daily!$S11,"")</f>
        <v/>
      </c>
      <c r="P95" s="32">
        <f>IF($A95=1,IF(Sales_Daily!$AW11="","",Sales_Daily!$AW11),"")</f>
        <v/>
      </c>
      <c r="Q95" s="32">
        <f>IF($A95=1,Sales_Daily!$AY11,"")</f>
        <v/>
      </c>
      <c r="R95" s="32">
        <f>IF($A95=1,IF(AND($Q95=1,COUNTIFS(COA!$A:$A,$G95,COA!$R:$R,1)=1),1,0),"")</f>
        <v/>
      </c>
      <c r="S95" s="43">
        <f>IF($A95=1,IF($R95=1,N($M95),0),"")</f>
        <v/>
      </c>
      <c r="T95" s="43">
        <f>IF($A95=1,IF($R95=1,N($N95),0),"")</f>
        <v/>
      </c>
      <c r="U95" s="32">
        <f>IF($A95=1,YEAR($D95)*100+MONTH($D95),"")</f>
        <v/>
      </c>
      <c r="V95" s="32">
        <f>IF($A95=1,IF(COUNTIF(COA!$A:$A,$G95)=0,0,INDEX(COA!$H:$H,MATCH($G95,COA!$A:$A,0))),"")</f>
        <v/>
      </c>
      <c r="W95" s="32">
        <f>IF($A95=1,"","")</f>
        <v/>
      </c>
      <c r="X95" s="32">
        <f>IF($A95=1,IF($R95=1,"",IF($O95=ST_POST,IF($P95&lt;&gt;"",$P95,"حساب غير صالح أو غير نشط"),IF($O95=ST_REV,"معكوس: لا أثر على الدفاتر",IF($O95=ST_CANC,"ملغى",IF($O95=ST_APPR,"معتمد ولم يُرحَّل","مسودة"))))),"")</f>
        <v/>
      </c>
      <c r="Y95" s="32">
        <f>IF($A95=1,IF(AND($R95=1,OR(LG_Acct="",$G95=LG_Acct),OR(LG_Party="",$K95=LG_Party),OR(LG_Loc="ALL",$I95=LG_Loc),OR(LG_CC="ALL",$J95=LG_CC),$D95&gt;=LG_From,$D95&lt;=LG_To),$D95+ROW()/1000000,""),"")</f>
        <v/>
      </c>
      <c r="Z95" s="32">
        <f>IF($A95=1,IF(Sales_Daily!$T11="","",Sales_Daily!$T11),"")</f>
        <v/>
      </c>
      <c r="AA95" s="32">
        <f>IF($A95=1,IF(Sales_Daily!$U11="","",Sales_Daily!$U11),"")</f>
        <v/>
      </c>
      <c r="AB95" s="32">
        <f>IF($A95=1,IF(Sales_Daily!$V11="","",Sales_Daily!$V11),"")</f>
        <v/>
      </c>
      <c r="AC95" s="32">
        <f>IF($A95=1,IF(Sales_Daily!$W11="","",Sales_Daily!$W11),"")</f>
        <v/>
      </c>
      <c r="AD95" s="32">
        <f>IF($A95=1,IF(Sales_Daily!$X11="","",Sales_Daily!$X11),"")</f>
        <v/>
      </c>
      <c r="AE95" s="32">
        <f>IF($A95=1,0,"")</f>
        <v/>
      </c>
      <c r="AF95" s="32" t="inlineStr"/>
    </row>
    <row r="96">
      <c r="A96" s="32">
        <f>IF(AND(Sales_Daily!$AV12=1,N(Sales_Daily!$L12)&gt;0),1,0)</f>
        <v/>
      </c>
      <c r="B96" s="32">
        <f>IF($A96=1,$E96&amp;"/1","")</f>
        <v/>
      </c>
      <c r="C96" s="32">
        <f>IF($A96=1,"J-"&amp;Sales_Daily!$A12,"")</f>
        <v/>
      </c>
      <c r="D96" s="33">
        <f>IF($A96=1,Sales_Daily!$B12,"")</f>
        <v/>
      </c>
      <c r="E96" s="32">
        <f>IF($A96=1,IF(Sales_Daily!$A12="","",Sales_Daily!$A12),"")</f>
        <v/>
      </c>
      <c r="F96" s="32">
        <f>IF($A96=1,"SAL","")</f>
        <v/>
      </c>
      <c r="G96" s="32">
        <f>IF($A96=1,IF(Sales_Daily!$AK12="","",Sales_Daily!$AK12),"")</f>
        <v/>
      </c>
      <c r="H96" s="32">
        <f>IF($A96=1,IF(COUNTIF(COA!$A:$A,$G96)=0,"حساب غير معرف",INDEX(COA!$B:$B,MATCH($G96,COA!$A:$A,0))),"")</f>
        <v/>
      </c>
      <c r="I96" s="32">
        <f>IF($A96=1,IF(Sales_Daily!$C12="","",Sales_Daily!$C12),"")</f>
        <v/>
      </c>
      <c r="J96" s="32">
        <f>IF($A96=1,"CC10","")</f>
        <v/>
      </c>
      <c r="K96" s="32">
        <f>IF($A96=1,"-","")</f>
        <v/>
      </c>
      <c r="L96" s="32">
        <f>IF($A96=1,"مبيعات - تحصيل CASH","")</f>
        <v/>
      </c>
      <c r="M96" s="43">
        <f>IF($A96=1,Sales_Daily!$L12,"")</f>
        <v/>
      </c>
      <c r="N96" s="43">
        <f>IF($A96=1,0,"")</f>
        <v/>
      </c>
      <c r="O96" s="32">
        <f>IF($A96=1,Sales_Daily!$S12,"")</f>
        <v/>
      </c>
      <c r="P96" s="32">
        <f>IF($A96=1,IF(Sales_Daily!$AW12="","",Sales_Daily!$AW12),"")</f>
        <v/>
      </c>
      <c r="Q96" s="32">
        <f>IF($A96=1,Sales_Daily!$AY12,"")</f>
        <v/>
      </c>
      <c r="R96" s="32">
        <f>IF($A96=1,IF(AND($Q96=1,COUNTIFS(COA!$A:$A,$G96,COA!$R:$R,1)=1),1,0),"")</f>
        <v/>
      </c>
      <c r="S96" s="43">
        <f>IF($A96=1,IF($R96=1,N($M96),0),"")</f>
        <v/>
      </c>
      <c r="T96" s="43">
        <f>IF($A96=1,IF($R96=1,N($N96),0),"")</f>
        <v/>
      </c>
      <c r="U96" s="32">
        <f>IF($A96=1,YEAR($D96)*100+MONTH($D96),"")</f>
        <v/>
      </c>
      <c r="V96" s="32">
        <f>IF($A96=1,IF(COUNTIF(COA!$A:$A,$G96)=0,0,INDEX(COA!$H:$H,MATCH($G96,COA!$A:$A,0))),"")</f>
        <v/>
      </c>
      <c r="W96" s="32">
        <f>IF($A96=1,"OPERATING","")</f>
        <v/>
      </c>
      <c r="X96" s="32">
        <f>IF($A96=1,IF($R96=1,"",IF($O96=ST_POST,IF($P96&lt;&gt;"",$P96,"حساب غير صالح أو غير نشط"),IF($O96=ST_REV,"معكوس: لا أثر على الدفاتر",IF($O96=ST_CANC,"ملغى",IF($O96=ST_APPR,"معتمد ولم يُرحَّل","مسودة"))))),"")</f>
        <v/>
      </c>
      <c r="Y96" s="32">
        <f>IF($A96=1,IF(AND($R96=1,OR(LG_Acct="",$G96=LG_Acct),OR(LG_Party="",$K96=LG_Party),OR(LG_Loc="ALL",$I96=LG_Loc),OR(LG_CC="ALL",$J96=LG_CC),$D96&gt;=LG_From,$D96&lt;=LG_To),$D96+ROW()/1000000,""),"")</f>
        <v/>
      </c>
      <c r="Z96" s="32">
        <f>IF($A96=1,IF(Sales_Daily!$T12="","",Sales_Daily!$T12),"")</f>
        <v/>
      </c>
      <c r="AA96" s="32">
        <f>IF($A96=1,IF(Sales_Daily!$U12="","",Sales_Daily!$U12),"")</f>
        <v/>
      </c>
      <c r="AB96" s="32">
        <f>IF($A96=1,IF(Sales_Daily!$V12="","",Sales_Daily!$V12),"")</f>
        <v/>
      </c>
      <c r="AC96" s="32">
        <f>IF($A96=1,IF(Sales_Daily!$W12="","",Sales_Daily!$W12),"")</f>
        <v/>
      </c>
      <c r="AD96" s="32">
        <f>IF($A96=1,IF(Sales_Daily!$X12="","",Sales_Daily!$X12),"")</f>
        <v/>
      </c>
      <c r="AE96" s="32">
        <f>IF($A96=1,0,"")</f>
        <v/>
      </c>
      <c r="AF96" s="32" t="inlineStr"/>
    </row>
    <row r="97">
      <c r="A97" s="32">
        <f>IF(AND(Sales_Daily!$AV12=1,N(Sales_Daily!$M12)&gt;0),1,0)</f>
        <v/>
      </c>
      <c r="B97" s="32">
        <f>IF($A97=1,$E97&amp;"/2","")</f>
        <v/>
      </c>
      <c r="C97" s="32">
        <f>IF($A97=1,"J-"&amp;Sales_Daily!$A12,"")</f>
        <v/>
      </c>
      <c r="D97" s="33">
        <f>IF($A97=1,Sales_Daily!$B12,"")</f>
        <v/>
      </c>
      <c r="E97" s="32">
        <f>IF($A97=1,IF(Sales_Daily!$A12="","",Sales_Daily!$A12),"")</f>
        <v/>
      </c>
      <c r="F97" s="32">
        <f>IF($A97=1,"SAL","")</f>
        <v/>
      </c>
      <c r="G97" s="32">
        <f>IF($A97=1,IF(Sales_Daily!$AL12="","",Sales_Daily!$AL12),"")</f>
        <v/>
      </c>
      <c r="H97" s="32">
        <f>IF($A97=1,IF(COUNTIF(COA!$A:$A,$G97)=0,"حساب غير معرف",INDEX(COA!$B:$B,MATCH($G97,COA!$A:$A,0))),"")</f>
        <v/>
      </c>
      <c r="I97" s="32">
        <f>IF($A97=1,IF(Sales_Daily!$C12="","",Sales_Daily!$C12),"")</f>
        <v/>
      </c>
      <c r="J97" s="32">
        <f>IF($A97=1,"CC10","")</f>
        <v/>
      </c>
      <c r="K97" s="32">
        <f>IF($A97=1,"-","")</f>
        <v/>
      </c>
      <c r="L97" s="32">
        <f>IF($A97=1,"مبيعات - تحصيل CARD","")</f>
        <v/>
      </c>
      <c r="M97" s="43">
        <f>IF($A97=1,Sales_Daily!$M12,"")</f>
        <v/>
      </c>
      <c r="N97" s="43">
        <f>IF($A97=1,0,"")</f>
        <v/>
      </c>
      <c r="O97" s="32">
        <f>IF($A97=1,Sales_Daily!$S12,"")</f>
        <v/>
      </c>
      <c r="P97" s="32">
        <f>IF($A97=1,IF(Sales_Daily!$AW12="","",Sales_Daily!$AW12),"")</f>
        <v/>
      </c>
      <c r="Q97" s="32">
        <f>IF($A97=1,Sales_Daily!$AY12,"")</f>
        <v/>
      </c>
      <c r="R97" s="32">
        <f>IF($A97=1,IF(AND($Q97=1,COUNTIFS(COA!$A:$A,$G97,COA!$R:$R,1)=1),1,0),"")</f>
        <v/>
      </c>
      <c r="S97" s="43">
        <f>IF($A97=1,IF($R97=1,N($M97),0),"")</f>
        <v/>
      </c>
      <c r="T97" s="43">
        <f>IF($A97=1,IF($R97=1,N($N97),0),"")</f>
        <v/>
      </c>
      <c r="U97" s="32">
        <f>IF($A97=1,YEAR($D97)*100+MONTH($D97),"")</f>
        <v/>
      </c>
      <c r="V97" s="32">
        <f>IF($A97=1,IF(COUNTIF(COA!$A:$A,$G97)=0,0,INDEX(COA!$H:$H,MATCH($G97,COA!$A:$A,0))),"")</f>
        <v/>
      </c>
      <c r="W97" s="32">
        <f>IF($A97=1,"OPERATING","")</f>
        <v/>
      </c>
      <c r="X97" s="32">
        <f>IF($A97=1,IF($R97=1,"",IF($O97=ST_POST,IF($P97&lt;&gt;"",$P97,"حساب غير صالح أو غير نشط"),IF($O97=ST_REV,"معكوس: لا أثر على الدفاتر",IF($O97=ST_CANC,"ملغى",IF($O97=ST_APPR,"معتمد ولم يُرحَّل","مسودة"))))),"")</f>
        <v/>
      </c>
      <c r="Y97" s="32">
        <f>IF($A97=1,IF(AND($R97=1,OR(LG_Acct="",$G97=LG_Acct),OR(LG_Party="",$K97=LG_Party),OR(LG_Loc="ALL",$I97=LG_Loc),OR(LG_CC="ALL",$J97=LG_CC),$D97&gt;=LG_From,$D97&lt;=LG_To),$D97+ROW()/1000000,""),"")</f>
        <v/>
      </c>
      <c r="Z97" s="32">
        <f>IF($A97=1,IF(Sales_Daily!$T12="","",Sales_Daily!$T12),"")</f>
        <v/>
      </c>
      <c r="AA97" s="32">
        <f>IF($A97=1,IF(Sales_Daily!$U12="","",Sales_Daily!$U12),"")</f>
        <v/>
      </c>
      <c r="AB97" s="32">
        <f>IF($A97=1,IF(Sales_Daily!$V12="","",Sales_Daily!$V12),"")</f>
        <v/>
      </c>
      <c r="AC97" s="32">
        <f>IF($A97=1,IF(Sales_Daily!$W12="","",Sales_Daily!$W12),"")</f>
        <v/>
      </c>
      <c r="AD97" s="32">
        <f>IF($A97=1,IF(Sales_Daily!$X12="","",Sales_Daily!$X12),"")</f>
        <v/>
      </c>
      <c r="AE97" s="32">
        <f>IF($A97=1,0,"")</f>
        <v/>
      </c>
      <c r="AF97" s="32" t="inlineStr"/>
    </row>
    <row r="98">
      <c r="A98" s="32">
        <f>IF(AND(Sales_Daily!$AV12=1,N(Sales_Daily!$N12)&gt;0),1,0)</f>
        <v/>
      </c>
      <c r="B98" s="32">
        <f>IF($A98=1,$E98&amp;"/3","")</f>
        <v/>
      </c>
      <c r="C98" s="32">
        <f>IF($A98=1,"J-"&amp;Sales_Daily!$A12,"")</f>
        <v/>
      </c>
      <c r="D98" s="33">
        <f>IF($A98=1,Sales_Daily!$B12,"")</f>
        <v/>
      </c>
      <c r="E98" s="32">
        <f>IF($A98=1,IF(Sales_Daily!$A12="","",Sales_Daily!$A12),"")</f>
        <v/>
      </c>
      <c r="F98" s="32">
        <f>IF($A98=1,"SAL","")</f>
        <v/>
      </c>
      <c r="G98" s="32">
        <f>IF($A98=1,IF(Sales_Daily!$AM12="","",Sales_Daily!$AM12),"")</f>
        <v/>
      </c>
      <c r="H98" s="32">
        <f>IF($A98=1,IF(COUNTIF(COA!$A:$A,$G98)=0,"حساب غير معرف",INDEX(COA!$B:$B,MATCH($G98,COA!$A:$A,0))),"")</f>
        <v/>
      </c>
      <c r="I98" s="32">
        <f>IF($A98=1,IF(Sales_Daily!$C12="","",Sales_Daily!$C12),"")</f>
        <v/>
      </c>
      <c r="J98" s="32">
        <f>IF($A98=1,"CC10","")</f>
        <v/>
      </c>
      <c r="K98" s="32">
        <f>IF($A98=1,"-","")</f>
        <v/>
      </c>
      <c r="L98" s="32">
        <f>IF($A98=1,"مبيعات - تحصيل TLB","")</f>
        <v/>
      </c>
      <c r="M98" s="43">
        <f>IF($A98=1,Sales_Daily!$N12,"")</f>
        <v/>
      </c>
      <c r="N98" s="43">
        <f>IF($A98=1,0,"")</f>
        <v/>
      </c>
      <c r="O98" s="32">
        <f>IF($A98=1,Sales_Daily!$S12,"")</f>
        <v/>
      </c>
      <c r="P98" s="32">
        <f>IF($A98=1,IF(Sales_Daily!$AW12="","",Sales_Daily!$AW12),"")</f>
        <v/>
      </c>
      <c r="Q98" s="32">
        <f>IF($A98=1,Sales_Daily!$AY12,"")</f>
        <v/>
      </c>
      <c r="R98" s="32">
        <f>IF($A98=1,IF(AND($Q98=1,COUNTIFS(COA!$A:$A,$G98,COA!$R:$R,1)=1),1,0),"")</f>
        <v/>
      </c>
      <c r="S98" s="43">
        <f>IF($A98=1,IF($R98=1,N($M98),0),"")</f>
        <v/>
      </c>
      <c r="T98" s="43">
        <f>IF($A98=1,IF($R98=1,N($N98),0),"")</f>
        <v/>
      </c>
      <c r="U98" s="32">
        <f>IF($A98=1,YEAR($D98)*100+MONTH($D98),"")</f>
        <v/>
      </c>
      <c r="V98" s="32">
        <f>IF($A98=1,IF(COUNTIF(COA!$A:$A,$G98)=0,0,INDEX(COA!$H:$H,MATCH($G98,COA!$A:$A,0))),"")</f>
        <v/>
      </c>
      <c r="W98" s="32">
        <f>IF($A98=1,"OPERATING","")</f>
        <v/>
      </c>
      <c r="X98" s="32">
        <f>IF($A98=1,IF($R98=1,"",IF($O98=ST_POST,IF($P98&lt;&gt;"",$P98,"حساب غير صالح أو غير نشط"),IF($O98=ST_REV,"معكوس: لا أثر على الدفاتر",IF($O98=ST_CANC,"ملغى",IF($O98=ST_APPR,"معتمد ولم يُرحَّل","مسودة"))))),"")</f>
        <v/>
      </c>
      <c r="Y98" s="32">
        <f>IF($A98=1,IF(AND($R98=1,OR(LG_Acct="",$G98=LG_Acct),OR(LG_Party="",$K98=LG_Party),OR(LG_Loc="ALL",$I98=LG_Loc),OR(LG_CC="ALL",$J98=LG_CC),$D98&gt;=LG_From,$D98&lt;=LG_To),$D98+ROW()/1000000,""),"")</f>
        <v/>
      </c>
      <c r="Z98" s="32">
        <f>IF($A98=1,IF(Sales_Daily!$T12="","",Sales_Daily!$T12),"")</f>
        <v/>
      </c>
      <c r="AA98" s="32">
        <f>IF($A98=1,IF(Sales_Daily!$U12="","",Sales_Daily!$U12),"")</f>
        <v/>
      </c>
      <c r="AB98" s="32">
        <f>IF($A98=1,IF(Sales_Daily!$V12="","",Sales_Daily!$V12),"")</f>
        <v/>
      </c>
      <c r="AC98" s="32">
        <f>IF($A98=1,IF(Sales_Daily!$W12="","",Sales_Daily!$W12),"")</f>
        <v/>
      </c>
      <c r="AD98" s="32">
        <f>IF($A98=1,IF(Sales_Daily!$X12="","",Sales_Daily!$X12),"")</f>
        <v/>
      </c>
      <c r="AE98" s="32">
        <f>IF($A98=1,0,"")</f>
        <v/>
      </c>
      <c r="AF98" s="32" t="inlineStr"/>
    </row>
    <row r="99">
      <c r="A99" s="32">
        <f>IF(AND(Sales_Daily!$AV12=1,N(Sales_Daily!$O12)&gt;0),1,0)</f>
        <v/>
      </c>
      <c r="B99" s="32">
        <f>IF($A99=1,$E99&amp;"/4","")</f>
        <v/>
      </c>
      <c r="C99" s="32">
        <f>IF($A99=1,"J-"&amp;Sales_Daily!$A12,"")</f>
        <v/>
      </c>
      <c r="D99" s="33">
        <f>IF($A99=1,Sales_Daily!$B12,"")</f>
        <v/>
      </c>
      <c r="E99" s="32">
        <f>IF($A99=1,IF(Sales_Daily!$A12="","",Sales_Daily!$A12),"")</f>
        <v/>
      </c>
      <c r="F99" s="32">
        <f>IF($A99=1,"SAL","")</f>
        <v/>
      </c>
      <c r="G99" s="32">
        <f>IF($A99=1,IF(Sales_Daily!$AN12="","",Sales_Daily!$AN12),"")</f>
        <v/>
      </c>
      <c r="H99" s="32">
        <f>IF($A99=1,IF(COUNTIF(COA!$A:$A,$G99)=0,"حساب غير معرف",INDEX(COA!$B:$B,MATCH($G99,COA!$A:$A,0))),"")</f>
        <v/>
      </c>
      <c r="I99" s="32">
        <f>IF($A99=1,IF(Sales_Daily!$C12="","",Sales_Daily!$C12),"")</f>
        <v/>
      </c>
      <c r="J99" s="32">
        <f>IF($A99=1,"CC10","")</f>
        <v/>
      </c>
      <c r="K99" s="32">
        <f>IF($A99=1,"-","")</f>
        <v/>
      </c>
      <c r="L99" s="32">
        <f>IF($A99=1,"مبيعات - تحصيل DLV2","")</f>
        <v/>
      </c>
      <c r="M99" s="43">
        <f>IF($A99=1,Sales_Daily!$O12,"")</f>
        <v/>
      </c>
      <c r="N99" s="43">
        <f>IF($A99=1,0,"")</f>
        <v/>
      </c>
      <c r="O99" s="32">
        <f>IF($A99=1,Sales_Daily!$S12,"")</f>
        <v/>
      </c>
      <c r="P99" s="32">
        <f>IF($A99=1,IF(Sales_Daily!$AW12="","",Sales_Daily!$AW12),"")</f>
        <v/>
      </c>
      <c r="Q99" s="32">
        <f>IF($A99=1,Sales_Daily!$AY12,"")</f>
        <v/>
      </c>
      <c r="R99" s="32">
        <f>IF($A99=1,IF(AND($Q99=1,COUNTIFS(COA!$A:$A,$G99,COA!$R:$R,1)=1),1,0),"")</f>
        <v/>
      </c>
      <c r="S99" s="43">
        <f>IF($A99=1,IF($R99=1,N($M99),0),"")</f>
        <v/>
      </c>
      <c r="T99" s="43">
        <f>IF($A99=1,IF($R99=1,N($N99),0),"")</f>
        <v/>
      </c>
      <c r="U99" s="32">
        <f>IF($A99=1,YEAR($D99)*100+MONTH($D99),"")</f>
        <v/>
      </c>
      <c r="V99" s="32">
        <f>IF($A99=1,IF(COUNTIF(COA!$A:$A,$G99)=0,0,INDEX(COA!$H:$H,MATCH($G99,COA!$A:$A,0))),"")</f>
        <v/>
      </c>
      <c r="W99" s="32">
        <f>IF($A99=1,"OPERATING","")</f>
        <v/>
      </c>
      <c r="X99" s="32">
        <f>IF($A99=1,IF($R99=1,"",IF($O99=ST_POST,IF($P99&lt;&gt;"",$P99,"حساب غير صالح أو غير نشط"),IF($O99=ST_REV,"معكوس: لا أثر على الدفاتر",IF($O99=ST_CANC,"ملغى",IF($O99=ST_APPR,"معتمد ولم يُرحَّل","مسودة"))))),"")</f>
        <v/>
      </c>
      <c r="Y99" s="32">
        <f>IF($A99=1,IF(AND($R99=1,OR(LG_Acct="",$G99=LG_Acct),OR(LG_Party="",$K99=LG_Party),OR(LG_Loc="ALL",$I99=LG_Loc),OR(LG_CC="ALL",$J99=LG_CC),$D99&gt;=LG_From,$D99&lt;=LG_To),$D99+ROW()/1000000,""),"")</f>
        <v/>
      </c>
      <c r="Z99" s="32">
        <f>IF($A99=1,IF(Sales_Daily!$T12="","",Sales_Daily!$T12),"")</f>
        <v/>
      </c>
      <c r="AA99" s="32">
        <f>IF($A99=1,IF(Sales_Daily!$U12="","",Sales_Daily!$U12),"")</f>
        <v/>
      </c>
      <c r="AB99" s="32">
        <f>IF($A99=1,IF(Sales_Daily!$V12="","",Sales_Daily!$V12),"")</f>
        <v/>
      </c>
      <c r="AC99" s="32">
        <f>IF($A99=1,IF(Sales_Daily!$W12="","",Sales_Daily!$W12),"")</f>
        <v/>
      </c>
      <c r="AD99" s="32">
        <f>IF($A99=1,IF(Sales_Daily!$X12="","",Sales_Daily!$X12),"")</f>
        <v/>
      </c>
      <c r="AE99" s="32">
        <f>IF($A99=1,0,"")</f>
        <v/>
      </c>
      <c r="AF99" s="32" t="inlineStr"/>
    </row>
    <row r="100">
      <c r="A100" s="32">
        <f>IF(AND(Sales_Daily!$AV12=1,N(Sales_Daily!$P12)&gt;0),1,0)</f>
        <v/>
      </c>
      <c r="B100" s="32">
        <f>IF($A100=1,$E100&amp;"/5","")</f>
        <v/>
      </c>
      <c r="C100" s="32">
        <f>IF($A100=1,"J-"&amp;Sales_Daily!$A12,"")</f>
        <v/>
      </c>
      <c r="D100" s="33">
        <f>IF($A100=1,Sales_Daily!$B12,"")</f>
        <v/>
      </c>
      <c r="E100" s="32">
        <f>IF($A100=1,IF(Sales_Daily!$A12="","",Sales_Daily!$A12),"")</f>
        <v/>
      </c>
      <c r="F100" s="32">
        <f>IF($A100=1,"SAL","")</f>
        <v/>
      </c>
      <c r="G100" s="32">
        <f>IF($A100=1,IF(Sales_Daily!$AO12="","",Sales_Daily!$AO12),"")</f>
        <v/>
      </c>
      <c r="H100" s="32">
        <f>IF($A100=1,IF(COUNTIF(COA!$A:$A,$G100)=0,"حساب غير معرف",INDEX(COA!$B:$B,MATCH($G100,COA!$A:$A,0))),"")</f>
        <v/>
      </c>
      <c r="I100" s="32">
        <f>IF($A100=1,IF(Sales_Daily!$C12="","",Sales_Daily!$C12),"")</f>
        <v/>
      </c>
      <c r="J100" s="32">
        <f>IF($A100=1,"CC10","")</f>
        <v/>
      </c>
      <c r="K100" s="32">
        <f>IF($A100=1,"-","")</f>
        <v/>
      </c>
      <c r="L100" s="32">
        <f>IF($A100=1,"مبيعات - تحصيل INSTA","")</f>
        <v/>
      </c>
      <c r="M100" s="43">
        <f>IF($A100=1,Sales_Daily!$P12,"")</f>
        <v/>
      </c>
      <c r="N100" s="43">
        <f>IF($A100=1,0,"")</f>
        <v/>
      </c>
      <c r="O100" s="32">
        <f>IF($A100=1,Sales_Daily!$S12,"")</f>
        <v/>
      </c>
      <c r="P100" s="32">
        <f>IF($A100=1,IF(Sales_Daily!$AW12="","",Sales_Daily!$AW12),"")</f>
        <v/>
      </c>
      <c r="Q100" s="32">
        <f>IF($A100=1,Sales_Daily!$AY12,"")</f>
        <v/>
      </c>
      <c r="R100" s="32">
        <f>IF($A100=1,IF(AND($Q100=1,COUNTIFS(COA!$A:$A,$G100,COA!$R:$R,1)=1),1,0),"")</f>
        <v/>
      </c>
      <c r="S100" s="43">
        <f>IF($A100=1,IF($R100=1,N($M100),0),"")</f>
        <v/>
      </c>
      <c r="T100" s="43">
        <f>IF($A100=1,IF($R100=1,N($N100),0),"")</f>
        <v/>
      </c>
      <c r="U100" s="32">
        <f>IF($A100=1,YEAR($D100)*100+MONTH($D100),"")</f>
        <v/>
      </c>
      <c r="V100" s="32">
        <f>IF($A100=1,IF(COUNTIF(COA!$A:$A,$G100)=0,0,INDEX(COA!$H:$H,MATCH($G100,COA!$A:$A,0))),"")</f>
        <v/>
      </c>
      <c r="W100" s="32">
        <f>IF($A100=1,"OPERATING","")</f>
        <v/>
      </c>
      <c r="X100" s="32">
        <f>IF($A100=1,IF($R100=1,"",IF($O100=ST_POST,IF($P100&lt;&gt;"",$P100,"حساب غير صالح أو غير نشط"),IF($O100=ST_REV,"معكوس: لا أثر على الدفاتر",IF($O100=ST_CANC,"ملغى",IF($O100=ST_APPR,"معتمد ولم يُرحَّل","مسودة"))))),"")</f>
        <v/>
      </c>
      <c r="Y100" s="32">
        <f>IF($A100=1,IF(AND($R100=1,OR(LG_Acct="",$G100=LG_Acct),OR(LG_Party="",$K100=LG_Party),OR(LG_Loc="ALL",$I100=LG_Loc),OR(LG_CC="ALL",$J100=LG_CC),$D100&gt;=LG_From,$D100&lt;=LG_To),$D100+ROW()/1000000,""),"")</f>
        <v/>
      </c>
      <c r="Z100" s="32">
        <f>IF($A100=1,IF(Sales_Daily!$T12="","",Sales_Daily!$T12),"")</f>
        <v/>
      </c>
      <c r="AA100" s="32">
        <f>IF($A100=1,IF(Sales_Daily!$U12="","",Sales_Daily!$U12),"")</f>
        <v/>
      </c>
      <c r="AB100" s="32">
        <f>IF($A100=1,IF(Sales_Daily!$V12="","",Sales_Daily!$V12),"")</f>
        <v/>
      </c>
      <c r="AC100" s="32">
        <f>IF($A100=1,IF(Sales_Daily!$W12="","",Sales_Daily!$W12),"")</f>
        <v/>
      </c>
      <c r="AD100" s="32">
        <f>IF($A100=1,IF(Sales_Daily!$X12="","",Sales_Daily!$X12),"")</f>
        <v/>
      </c>
      <c r="AE100" s="32">
        <f>IF($A100=1,0,"")</f>
        <v/>
      </c>
      <c r="AF100" s="32" t="inlineStr"/>
    </row>
    <row r="101">
      <c r="A101" s="32">
        <f>IF(AND(Sales_Daily!$AV12=1,N(Sales_Daily!$Q12)&gt;0),1,0)</f>
        <v/>
      </c>
      <c r="B101" s="32">
        <f>IF($A101=1,$E101&amp;"/6","")</f>
        <v/>
      </c>
      <c r="C101" s="32">
        <f>IF($A101=1,"J-"&amp;Sales_Daily!$A12,"")</f>
        <v/>
      </c>
      <c r="D101" s="33">
        <f>IF($A101=1,Sales_Daily!$B12,"")</f>
        <v/>
      </c>
      <c r="E101" s="32">
        <f>IF($A101=1,IF(Sales_Daily!$A12="","",Sales_Daily!$A12),"")</f>
        <v/>
      </c>
      <c r="F101" s="32">
        <f>IF($A101=1,"SAL","")</f>
        <v/>
      </c>
      <c r="G101" s="32">
        <f>IF($A101=1,IF(Sales_Daily!$AP12="","",Sales_Daily!$AP12),"")</f>
        <v/>
      </c>
      <c r="H101" s="32">
        <f>IF($A101=1,IF(COUNTIF(COA!$A:$A,$G101)=0,"حساب غير معرف",INDEX(COA!$B:$B,MATCH($G101,COA!$A:$A,0))),"")</f>
        <v/>
      </c>
      <c r="I101" s="32">
        <f>IF($A101=1,IF(Sales_Daily!$C12="","",Sales_Daily!$C12),"")</f>
        <v/>
      </c>
      <c r="J101" s="32">
        <f>IF($A101=1,"CC10","")</f>
        <v/>
      </c>
      <c r="K101" s="32">
        <f>IF($A101=1,"-","")</f>
        <v/>
      </c>
      <c r="L101" s="32">
        <f>IF($A101=1,"مبيعات - تحصيل OTH","")</f>
        <v/>
      </c>
      <c r="M101" s="43">
        <f>IF($A101=1,Sales_Daily!$Q12,"")</f>
        <v/>
      </c>
      <c r="N101" s="43">
        <f>IF($A101=1,0,"")</f>
        <v/>
      </c>
      <c r="O101" s="32">
        <f>IF($A101=1,Sales_Daily!$S12,"")</f>
        <v/>
      </c>
      <c r="P101" s="32">
        <f>IF($A101=1,IF(Sales_Daily!$AW12="","",Sales_Daily!$AW12),"")</f>
        <v/>
      </c>
      <c r="Q101" s="32">
        <f>IF($A101=1,Sales_Daily!$AY12,"")</f>
        <v/>
      </c>
      <c r="R101" s="32">
        <f>IF($A101=1,IF(AND($Q101=1,COUNTIFS(COA!$A:$A,$G101,COA!$R:$R,1)=1),1,0),"")</f>
        <v/>
      </c>
      <c r="S101" s="43">
        <f>IF($A101=1,IF($R101=1,N($M101),0),"")</f>
        <v/>
      </c>
      <c r="T101" s="43">
        <f>IF($A101=1,IF($R101=1,N($N101),0),"")</f>
        <v/>
      </c>
      <c r="U101" s="32">
        <f>IF($A101=1,YEAR($D101)*100+MONTH($D101),"")</f>
        <v/>
      </c>
      <c r="V101" s="32">
        <f>IF($A101=1,IF(COUNTIF(COA!$A:$A,$G101)=0,0,INDEX(COA!$H:$H,MATCH($G101,COA!$A:$A,0))),"")</f>
        <v/>
      </c>
      <c r="W101" s="32">
        <f>IF($A101=1,"OPERATING","")</f>
        <v/>
      </c>
      <c r="X101" s="32">
        <f>IF($A101=1,IF($R101=1,"",IF($O101=ST_POST,IF($P101&lt;&gt;"",$P101,"حساب غير صالح أو غير نشط"),IF($O101=ST_REV,"معكوس: لا أثر على الدفاتر",IF($O101=ST_CANC,"ملغى",IF($O101=ST_APPR,"معتمد ولم يُرحَّل","مسودة"))))),"")</f>
        <v/>
      </c>
      <c r="Y101" s="32">
        <f>IF($A101=1,IF(AND($R101=1,OR(LG_Acct="",$G101=LG_Acct),OR(LG_Party="",$K101=LG_Party),OR(LG_Loc="ALL",$I101=LG_Loc),OR(LG_CC="ALL",$J101=LG_CC),$D101&gt;=LG_From,$D101&lt;=LG_To),$D101+ROW()/1000000,""),"")</f>
        <v/>
      </c>
      <c r="Z101" s="32">
        <f>IF($A101=1,IF(Sales_Daily!$T12="","",Sales_Daily!$T12),"")</f>
        <v/>
      </c>
      <c r="AA101" s="32">
        <f>IF($A101=1,IF(Sales_Daily!$U12="","",Sales_Daily!$U12),"")</f>
        <v/>
      </c>
      <c r="AB101" s="32">
        <f>IF($A101=1,IF(Sales_Daily!$V12="","",Sales_Daily!$V12),"")</f>
        <v/>
      </c>
      <c r="AC101" s="32">
        <f>IF($A101=1,IF(Sales_Daily!$W12="","",Sales_Daily!$W12),"")</f>
        <v/>
      </c>
      <c r="AD101" s="32">
        <f>IF($A101=1,IF(Sales_Daily!$X12="","",Sales_Daily!$X12),"")</f>
        <v/>
      </c>
      <c r="AE101" s="32">
        <f>IF($A101=1,0,"")</f>
        <v/>
      </c>
      <c r="AF101" s="32" t="inlineStr"/>
    </row>
    <row r="102">
      <c r="A102" s="32">
        <f>IF(AND(Sales_Daily!$AV12=1,N(Sales_Daily!$AH12)&gt;0),1,0)</f>
        <v/>
      </c>
      <c r="B102" s="32">
        <f>IF($A102=1,$E102&amp;"/7","")</f>
        <v/>
      </c>
      <c r="C102" s="32">
        <f>IF($A102=1,"J-"&amp;Sales_Daily!$A12,"")</f>
        <v/>
      </c>
      <c r="D102" s="33">
        <f>IF($A102=1,Sales_Daily!$B12,"")</f>
        <v/>
      </c>
      <c r="E102" s="32">
        <f>IF($A102=1,IF(Sales_Daily!$A12="","",Sales_Daily!$A12),"")</f>
        <v/>
      </c>
      <c r="F102" s="32">
        <f>IF($A102=1,"SAL","")</f>
        <v/>
      </c>
      <c r="G102" s="32">
        <f>IF($A102=1,ACC_DISC,"")</f>
        <v/>
      </c>
      <c r="H102" s="32">
        <f>IF($A102=1,IF(COUNTIF(COA!$A:$A,$G102)=0,"حساب غير معرف",INDEX(COA!$B:$B,MATCH($G102,COA!$A:$A,0))),"")</f>
        <v/>
      </c>
      <c r="I102" s="32">
        <f>IF($A102=1,IF(Sales_Daily!$C12="","",Sales_Daily!$C12),"")</f>
        <v/>
      </c>
      <c r="J102" s="32">
        <f>IF($A102=1,"CC10","")</f>
        <v/>
      </c>
      <c r="K102" s="32">
        <f>IF($A102=1,"-","")</f>
        <v/>
      </c>
      <c r="L102" s="32">
        <f>IF($A102=1,"خصومات المبيعات والعروض","")</f>
        <v/>
      </c>
      <c r="M102" s="43">
        <f>IF($A102=1,Sales_Daily!$AH12,"")</f>
        <v/>
      </c>
      <c r="N102" s="43">
        <f>IF($A102=1,0,"")</f>
        <v/>
      </c>
      <c r="O102" s="32">
        <f>IF($A102=1,Sales_Daily!$S12,"")</f>
        <v/>
      </c>
      <c r="P102" s="32">
        <f>IF($A102=1,IF(Sales_Daily!$AW12="","",Sales_Daily!$AW12),"")</f>
        <v/>
      </c>
      <c r="Q102" s="32">
        <f>IF($A102=1,Sales_Daily!$AY12,"")</f>
        <v/>
      </c>
      <c r="R102" s="32">
        <f>IF($A102=1,IF(AND($Q102=1,COUNTIFS(COA!$A:$A,$G102,COA!$R:$R,1)=1),1,0),"")</f>
        <v/>
      </c>
      <c r="S102" s="43">
        <f>IF($A102=1,IF($R102=1,N($M102),0),"")</f>
        <v/>
      </c>
      <c r="T102" s="43">
        <f>IF($A102=1,IF($R102=1,N($N102),0),"")</f>
        <v/>
      </c>
      <c r="U102" s="32">
        <f>IF($A102=1,YEAR($D102)*100+MONTH($D102),"")</f>
        <v/>
      </c>
      <c r="V102" s="32">
        <f>IF($A102=1,IF(COUNTIF(COA!$A:$A,$G102)=0,0,INDEX(COA!$H:$H,MATCH($G102,COA!$A:$A,0))),"")</f>
        <v/>
      </c>
      <c r="W102" s="32">
        <f>IF($A102=1,"","")</f>
        <v/>
      </c>
      <c r="X102" s="32">
        <f>IF($A102=1,IF($R102=1,"",IF($O102=ST_POST,IF($P102&lt;&gt;"",$P102,"حساب غير صالح أو غير نشط"),IF($O102=ST_REV,"معكوس: لا أثر على الدفاتر",IF($O102=ST_CANC,"ملغى",IF($O102=ST_APPR,"معتمد ولم يُرحَّل","مسودة"))))),"")</f>
        <v/>
      </c>
      <c r="Y102" s="32">
        <f>IF($A102=1,IF(AND($R102=1,OR(LG_Acct="",$G102=LG_Acct),OR(LG_Party="",$K102=LG_Party),OR(LG_Loc="ALL",$I102=LG_Loc),OR(LG_CC="ALL",$J102=LG_CC),$D102&gt;=LG_From,$D102&lt;=LG_To),$D102+ROW()/1000000,""),"")</f>
        <v/>
      </c>
      <c r="Z102" s="32">
        <f>IF($A102=1,IF(Sales_Daily!$T12="","",Sales_Daily!$T12),"")</f>
        <v/>
      </c>
      <c r="AA102" s="32">
        <f>IF($A102=1,IF(Sales_Daily!$U12="","",Sales_Daily!$U12),"")</f>
        <v/>
      </c>
      <c r="AB102" s="32">
        <f>IF($A102=1,IF(Sales_Daily!$V12="","",Sales_Daily!$V12),"")</f>
        <v/>
      </c>
      <c r="AC102" s="32">
        <f>IF($A102=1,IF(Sales_Daily!$W12="","",Sales_Daily!$W12),"")</f>
        <v/>
      </c>
      <c r="AD102" s="32">
        <f>IF($A102=1,IF(Sales_Daily!$X12="","",Sales_Daily!$X12),"")</f>
        <v/>
      </c>
      <c r="AE102" s="32">
        <f>IF($A102=1,0,"")</f>
        <v/>
      </c>
      <c r="AF102" s="32" t="inlineStr"/>
    </row>
    <row r="103">
      <c r="A103" s="32">
        <f>IF(AND(Sales_Daily!$AV12=1,N(Sales_Daily!$AI12)&gt;0),1,0)</f>
        <v/>
      </c>
      <c r="B103" s="32">
        <f>IF($A103=1,$E103&amp;"/8","")</f>
        <v/>
      </c>
      <c r="C103" s="32">
        <f>IF($A103=1,"J-"&amp;Sales_Daily!$A12,"")</f>
        <v/>
      </c>
      <c r="D103" s="33">
        <f>IF($A103=1,Sales_Daily!$B12,"")</f>
        <v/>
      </c>
      <c r="E103" s="32">
        <f>IF($A103=1,IF(Sales_Daily!$A12="","",Sales_Daily!$A12),"")</f>
        <v/>
      </c>
      <c r="F103" s="32">
        <f>IF($A103=1,"SAL","")</f>
        <v/>
      </c>
      <c r="G103" s="32">
        <f>IF($A103=1,ACC_RET,"")</f>
        <v/>
      </c>
      <c r="H103" s="32">
        <f>IF($A103=1,IF(COUNTIF(COA!$A:$A,$G103)=0,"حساب غير معرف",INDEX(COA!$B:$B,MATCH($G103,COA!$A:$A,0))),"")</f>
        <v/>
      </c>
      <c r="I103" s="32">
        <f>IF($A103=1,IF(Sales_Daily!$C12="","",Sales_Daily!$C12),"")</f>
        <v/>
      </c>
      <c r="J103" s="32">
        <f>IF($A103=1,"CC10","")</f>
        <v/>
      </c>
      <c r="K103" s="32">
        <f>IF($A103=1,"-","")</f>
        <v/>
      </c>
      <c r="L103" s="32">
        <f>IF($A103=1,"مرتجعات وإلغاءات المبيعات","")</f>
        <v/>
      </c>
      <c r="M103" s="43">
        <f>IF($A103=1,Sales_Daily!$AI12,"")</f>
        <v/>
      </c>
      <c r="N103" s="43">
        <f>IF($A103=1,0,"")</f>
        <v/>
      </c>
      <c r="O103" s="32">
        <f>IF($A103=1,Sales_Daily!$S12,"")</f>
        <v/>
      </c>
      <c r="P103" s="32">
        <f>IF($A103=1,IF(Sales_Daily!$AW12="","",Sales_Daily!$AW12),"")</f>
        <v/>
      </c>
      <c r="Q103" s="32">
        <f>IF($A103=1,Sales_Daily!$AY12,"")</f>
        <v/>
      </c>
      <c r="R103" s="32">
        <f>IF($A103=1,IF(AND($Q103=1,COUNTIFS(COA!$A:$A,$G103,COA!$R:$R,1)=1),1,0),"")</f>
        <v/>
      </c>
      <c r="S103" s="43">
        <f>IF($A103=1,IF($R103=1,N($M103),0),"")</f>
        <v/>
      </c>
      <c r="T103" s="43">
        <f>IF($A103=1,IF($R103=1,N($N103),0),"")</f>
        <v/>
      </c>
      <c r="U103" s="32">
        <f>IF($A103=1,YEAR($D103)*100+MONTH($D103),"")</f>
        <v/>
      </c>
      <c r="V103" s="32">
        <f>IF($A103=1,IF(COUNTIF(COA!$A:$A,$G103)=0,0,INDEX(COA!$H:$H,MATCH($G103,COA!$A:$A,0))),"")</f>
        <v/>
      </c>
      <c r="W103" s="32">
        <f>IF($A103=1,"","")</f>
        <v/>
      </c>
      <c r="X103" s="32">
        <f>IF($A103=1,IF($R103=1,"",IF($O103=ST_POST,IF($P103&lt;&gt;"",$P103,"حساب غير صالح أو غير نشط"),IF($O103=ST_REV,"معكوس: لا أثر على الدفاتر",IF($O103=ST_CANC,"ملغى",IF($O103=ST_APPR,"معتمد ولم يُرحَّل","مسودة"))))),"")</f>
        <v/>
      </c>
      <c r="Y103" s="32">
        <f>IF($A103=1,IF(AND($R103=1,OR(LG_Acct="",$G103=LG_Acct),OR(LG_Party="",$K103=LG_Party),OR(LG_Loc="ALL",$I103=LG_Loc),OR(LG_CC="ALL",$J103=LG_CC),$D103&gt;=LG_From,$D103&lt;=LG_To),$D103+ROW()/1000000,""),"")</f>
        <v/>
      </c>
      <c r="Z103" s="32">
        <f>IF($A103=1,IF(Sales_Daily!$T12="","",Sales_Daily!$T12),"")</f>
        <v/>
      </c>
      <c r="AA103" s="32">
        <f>IF($A103=1,IF(Sales_Daily!$U12="","",Sales_Daily!$U12),"")</f>
        <v/>
      </c>
      <c r="AB103" s="32">
        <f>IF($A103=1,IF(Sales_Daily!$V12="","",Sales_Daily!$V12),"")</f>
        <v/>
      </c>
      <c r="AC103" s="32">
        <f>IF($A103=1,IF(Sales_Daily!$W12="","",Sales_Daily!$W12),"")</f>
        <v/>
      </c>
      <c r="AD103" s="32">
        <f>IF($A103=1,IF(Sales_Daily!$X12="","",Sales_Daily!$X12),"")</f>
        <v/>
      </c>
      <c r="AE103" s="32">
        <f>IF($A103=1,0,"")</f>
        <v/>
      </c>
      <c r="AF103" s="32" t="inlineStr"/>
    </row>
    <row r="104">
      <c r="A104" s="32">
        <f>IF(AND(Sales_Daily!$AV12=1,N(Sales_Daily!$AD12)&gt;0),1,0)</f>
        <v/>
      </c>
      <c r="B104" s="32">
        <f>IF($A104=1,$E104&amp;"/9","")</f>
        <v/>
      </c>
      <c r="C104" s="32">
        <f>IF($A104=1,"J-"&amp;Sales_Daily!$A12,"")</f>
        <v/>
      </c>
      <c r="D104" s="33">
        <f>IF($A104=1,Sales_Daily!$B12,"")</f>
        <v/>
      </c>
      <c r="E104" s="32">
        <f>IF($A104=1,IF(Sales_Daily!$A12="","",Sales_Daily!$A12),"")</f>
        <v/>
      </c>
      <c r="F104" s="32">
        <f>IF($A104=1,"SAL","")</f>
        <v/>
      </c>
      <c r="G104" s="32">
        <f>IF($A104=1,IF(Sales_Daily!$AQ12="","",Sales_Daily!$AQ12),"")</f>
        <v/>
      </c>
      <c r="H104" s="32">
        <f>IF($A104=1,IF(COUNTIF(COA!$A:$A,$G104)=0,"حساب غير معرف",INDEX(COA!$B:$B,MATCH($G104,COA!$A:$A,0))),"")</f>
        <v/>
      </c>
      <c r="I104" s="32">
        <f>IF($A104=1,IF(Sales_Daily!$C12="","",Sales_Daily!$C12),"")</f>
        <v/>
      </c>
      <c r="J104" s="32">
        <f>IF($A104=1,"CC10","")</f>
        <v/>
      </c>
      <c r="K104" s="32">
        <f>IF($A104=1,"-","")</f>
        <v/>
      </c>
      <c r="L104" s="32">
        <f>IF($A104=1,"إيراد مبيعات - فئة فطير","")</f>
        <v/>
      </c>
      <c r="M104" s="43">
        <f>IF($A104=1,0,"")</f>
        <v/>
      </c>
      <c r="N104" s="43">
        <f>IF($A104=1,Sales_Daily!$AD12,"")</f>
        <v/>
      </c>
      <c r="O104" s="32">
        <f>IF($A104=1,Sales_Daily!$S12,"")</f>
        <v/>
      </c>
      <c r="P104" s="32">
        <f>IF($A104=1,IF(Sales_Daily!$AW12="","",Sales_Daily!$AW12),"")</f>
        <v/>
      </c>
      <c r="Q104" s="32">
        <f>IF($A104=1,Sales_Daily!$AY12,"")</f>
        <v/>
      </c>
      <c r="R104" s="32">
        <f>IF($A104=1,IF(AND($Q104=1,COUNTIFS(COA!$A:$A,$G104,COA!$R:$R,1)=1),1,0),"")</f>
        <v/>
      </c>
      <c r="S104" s="43">
        <f>IF($A104=1,IF($R104=1,N($M104),0),"")</f>
        <v/>
      </c>
      <c r="T104" s="43">
        <f>IF($A104=1,IF($R104=1,N($N104),0),"")</f>
        <v/>
      </c>
      <c r="U104" s="32">
        <f>IF($A104=1,YEAR($D104)*100+MONTH($D104),"")</f>
        <v/>
      </c>
      <c r="V104" s="32">
        <f>IF($A104=1,IF(COUNTIF(COA!$A:$A,$G104)=0,0,INDEX(COA!$H:$H,MATCH($G104,COA!$A:$A,0))),"")</f>
        <v/>
      </c>
      <c r="W104" s="32">
        <f>IF($A104=1,"","")</f>
        <v/>
      </c>
      <c r="X104" s="32">
        <f>IF($A104=1,IF($R104=1,"",IF($O104=ST_POST,IF($P104&lt;&gt;"",$P104,"حساب غير صالح أو غير نشط"),IF($O104=ST_REV,"معكوس: لا أثر على الدفاتر",IF($O104=ST_CANC,"ملغى",IF($O104=ST_APPR,"معتمد ولم يُرحَّل","مسودة"))))),"")</f>
        <v/>
      </c>
      <c r="Y104" s="32">
        <f>IF($A104=1,IF(AND($R104=1,OR(LG_Acct="",$G104=LG_Acct),OR(LG_Party="",$K104=LG_Party),OR(LG_Loc="ALL",$I104=LG_Loc),OR(LG_CC="ALL",$J104=LG_CC),$D104&gt;=LG_From,$D104&lt;=LG_To),$D104+ROW()/1000000,""),"")</f>
        <v/>
      </c>
      <c r="Z104" s="32">
        <f>IF($A104=1,IF(Sales_Daily!$T12="","",Sales_Daily!$T12),"")</f>
        <v/>
      </c>
      <c r="AA104" s="32">
        <f>IF($A104=1,IF(Sales_Daily!$U12="","",Sales_Daily!$U12),"")</f>
        <v/>
      </c>
      <c r="AB104" s="32">
        <f>IF($A104=1,IF(Sales_Daily!$V12="","",Sales_Daily!$V12),"")</f>
        <v/>
      </c>
      <c r="AC104" s="32">
        <f>IF($A104=1,IF(Sales_Daily!$W12="","",Sales_Daily!$W12),"")</f>
        <v/>
      </c>
      <c r="AD104" s="32">
        <f>IF($A104=1,IF(Sales_Daily!$X12="","",Sales_Daily!$X12),"")</f>
        <v/>
      </c>
      <c r="AE104" s="32">
        <f>IF($A104=1,0,"")</f>
        <v/>
      </c>
      <c r="AF104" s="32" t="inlineStr"/>
    </row>
    <row r="105">
      <c r="A105" s="32">
        <f>IF(AND(Sales_Daily!$AV12=1,N(Sales_Daily!$AE12)&gt;0),1,0)</f>
        <v/>
      </c>
      <c r="B105" s="32">
        <f>IF($A105=1,$E105&amp;"/10","")</f>
        <v/>
      </c>
      <c r="C105" s="32">
        <f>IF($A105=1,"J-"&amp;Sales_Daily!$A12,"")</f>
        <v/>
      </c>
      <c r="D105" s="33">
        <f>IF($A105=1,Sales_Daily!$B12,"")</f>
        <v/>
      </c>
      <c r="E105" s="32">
        <f>IF($A105=1,IF(Sales_Daily!$A12="","",Sales_Daily!$A12),"")</f>
        <v/>
      </c>
      <c r="F105" s="32">
        <f>IF($A105=1,"SAL","")</f>
        <v/>
      </c>
      <c r="G105" s="32">
        <f>IF($A105=1,IF(Sales_Daily!$AR12="","",Sales_Daily!$AR12),"")</f>
        <v/>
      </c>
      <c r="H105" s="32">
        <f>IF($A105=1,IF(COUNTIF(COA!$A:$A,$G105)=0,"حساب غير معرف",INDEX(COA!$B:$B,MATCH($G105,COA!$A:$A,0))),"")</f>
        <v/>
      </c>
      <c r="I105" s="32">
        <f>IF($A105=1,IF(Sales_Daily!$C12="","",Sales_Daily!$C12),"")</f>
        <v/>
      </c>
      <c r="J105" s="32">
        <f>IF($A105=1,"CC10","")</f>
        <v/>
      </c>
      <c r="K105" s="32">
        <f>IF($A105=1,"-","")</f>
        <v/>
      </c>
      <c r="L105" s="32">
        <f>IF($A105=1,"إيراد مبيعات - فئة بيتزا","")</f>
        <v/>
      </c>
      <c r="M105" s="43">
        <f>IF($A105=1,0,"")</f>
        <v/>
      </c>
      <c r="N105" s="43">
        <f>IF($A105=1,Sales_Daily!$AE12,"")</f>
        <v/>
      </c>
      <c r="O105" s="32">
        <f>IF($A105=1,Sales_Daily!$S12,"")</f>
        <v/>
      </c>
      <c r="P105" s="32">
        <f>IF($A105=1,IF(Sales_Daily!$AW12="","",Sales_Daily!$AW12),"")</f>
        <v/>
      </c>
      <c r="Q105" s="32">
        <f>IF($A105=1,Sales_Daily!$AY12,"")</f>
        <v/>
      </c>
      <c r="R105" s="32">
        <f>IF($A105=1,IF(AND($Q105=1,COUNTIFS(COA!$A:$A,$G105,COA!$R:$R,1)=1),1,0),"")</f>
        <v/>
      </c>
      <c r="S105" s="43">
        <f>IF($A105=1,IF($R105=1,N($M105),0),"")</f>
        <v/>
      </c>
      <c r="T105" s="43">
        <f>IF($A105=1,IF($R105=1,N($N105),0),"")</f>
        <v/>
      </c>
      <c r="U105" s="32">
        <f>IF($A105=1,YEAR($D105)*100+MONTH($D105),"")</f>
        <v/>
      </c>
      <c r="V105" s="32">
        <f>IF($A105=1,IF(COUNTIF(COA!$A:$A,$G105)=0,0,INDEX(COA!$H:$H,MATCH($G105,COA!$A:$A,0))),"")</f>
        <v/>
      </c>
      <c r="W105" s="32">
        <f>IF($A105=1,"","")</f>
        <v/>
      </c>
      <c r="X105" s="32">
        <f>IF($A105=1,IF($R105=1,"",IF($O105=ST_POST,IF($P105&lt;&gt;"",$P105,"حساب غير صالح أو غير نشط"),IF($O105=ST_REV,"معكوس: لا أثر على الدفاتر",IF($O105=ST_CANC,"ملغى",IF($O105=ST_APPR,"معتمد ولم يُرحَّل","مسودة"))))),"")</f>
        <v/>
      </c>
      <c r="Y105" s="32">
        <f>IF($A105=1,IF(AND($R105=1,OR(LG_Acct="",$G105=LG_Acct),OR(LG_Party="",$K105=LG_Party),OR(LG_Loc="ALL",$I105=LG_Loc),OR(LG_CC="ALL",$J105=LG_CC),$D105&gt;=LG_From,$D105&lt;=LG_To),$D105+ROW()/1000000,""),"")</f>
        <v/>
      </c>
      <c r="Z105" s="32">
        <f>IF($A105=1,IF(Sales_Daily!$T12="","",Sales_Daily!$T12),"")</f>
        <v/>
      </c>
      <c r="AA105" s="32">
        <f>IF($A105=1,IF(Sales_Daily!$U12="","",Sales_Daily!$U12),"")</f>
        <v/>
      </c>
      <c r="AB105" s="32">
        <f>IF($A105=1,IF(Sales_Daily!$V12="","",Sales_Daily!$V12),"")</f>
        <v/>
      </c>
      <c r="AC105" s="32">
        <f>IF($A105=1,IF(Sales_Daily!$W12="","",Sales_Daily!$W12),"")</f>
        <v/>
      </c>
      <c r="AD105" s="32">
        <f>IF($A105=1,IF(Sales_Daily!$X12="","",Sales_Daily!$X12),"")</f>
        <v/>
      </c>
      <c r="AE105" s="32">
        <f>IF($A105=1,0,"")</f>
        <v/>
      </c>
      <c r="AF105" s="32" t="inlineStr"/>
    </row>
    <row r="106">
      <c r="A106" s="32">
        <f>IF(AND(Sales_Daily!$AV12=1,N(Sales_Daily!$AF12)&gt;0),1,0)</f>
        <v/>
      </c>
      <c r="B106" s="32">
        <f>IF($A106=1,$E106&amp;"/11","")</f>
        <v/>
      </c>
      <c r="C106" s="32">
        <f>IF($A106=1,"J-"&amp;Sales_Daily!$A12,"")</f>
        <v/>
      </c>
      <c r="D106" s="33">
        <f>IF($A106=1,Sales_Daily!$B12,"")</f>
        <v/>
      </c>
      <c r="E106" s="32">
        <f>IF($A106=1,IF(Sales_Daily!$A12="","",Sales_Daily!$A12),"")</f>
        <v/>
      </c>
      <c r="F106" s="32">
        <f>IF($A106=1,"SAL","")</f>
        <v/>
      </c>
      <c r="G106" s="32">
        <f>IF($A106=1,IF(Sales_Daily!$AS12="","",Sales_Daily!$AS12),"")</f>
        <v/>
      </c>
      <c r="H106" s="32">
        <f>IF($A106=1,IF(COUNTIF(COA!$A:$A,$G106)=0,"حساب غير معرف",INDEX(COA!$B:$B,MATCH($G106,COA!$A:$A,0))),"")</f>
        <v/>
      </c>
      <c r="I106" s="32">
        <f>IF($A106=1,IF(Sales_Daily!$C12="","",Sales_Daily!$C12),"")</f>
        <v/>
      </c>
      <c r="J106" s="32">
        <f>IF($A106=1,"CC10","")</f>
        <v/>
      </c>
      <c r="K106" s="32">
        <f>IF($A106=1,"-","")</f>
        <v/>
      </c>
      <c r="L106" s="32">
        <f>IF($A106=1,"إيراد مبيعات - فئة مكرونات","")</f>
        <v/>
      </c>
      <c r="M106" s="43">
        <f>IF($A106=1,0,"")</f>
        <v/>
      </c>
      <c r="N106" s="43">
        <f>IF($A106=1,Sales_Daily!$AF12,"")</f>
        <v/>
      </c>
      <c r="O106" s="32">
        <f>IF($A106=1,Sales_Daily!$S12,"")</f>
        <v/>
      </c>
      <c r="P106" s="32">
        <f>IF($A106=1,IF(Sales_Daily!$AW12="","",Sales_Daily!$AW12),"")</f>
        <v/>
      </c>
      <c r="Q106" s="32">
        <f>IF($A106=1,Sales_Daily!$AY12,"")</f>
        <v/>
      </c>
      <c r="R106" s="32">
        <f>IF($A106=1,IF(AND($Q106=1,COUNTIFS(COA!$A:$A,$G106,COA!$R:$R,1)=1),1,0),"")</f>
        <v/>
      </c>
      <c r="S106" s="43">
        <f>IF($A106=1,IF($R106=1,N($M106),0),"")</f>
        <v/>
      </c>
      <c r="T106" s="43">
        <f>IF($A106=1,IF($R106=1,N($N106),0),"")</f>
        <v/>
      </c>
      <c r="U106" s="32">
        <f>IF($A106=1,YEAR($D106)*100+MONTH($D106),"")</f>
        <v/>
      </c>
      <c r="V106" s="32">
        <f>IF($A106=1,IF(COUNTIF(COA!$A:$A,$G106)=0,0,INDEX(COA!$H:$H,MATCH($G106,COA!$A:$A,0))),"")</f>
        <v/>
      </c>
      <c r="W106" s="32">
        <f>IF($A106=1,"","")</f>
        <v/>
      </c>
      <c r="X106" s="32">
        <f>IF($A106=1,IF($R106=1,"",IF($O106=ST_POST,IF($P106&lt;&gt;"",$P106,"حساب غير صالح أو غير نشط"),IF($O106=ST_REV,"معكوس: لا أثر على الدفاتر",IF($O106=ST_CANC,"ملغى",IF($O106=ST_APPR,"معتمد ولم يُرحَّل","مسودة"))))),"")</f>
        <v/>
      </c>
      <c r="Y106" s="32">
        <f>IF($A106=1,IF(AND($R106=1,OR(LG_Acct="",$G106=LG_Acct),OR(LG_Party="",$K106=LG_Party),OR(LG_Loc="ALL",$I106=LG_Loc),OR(LG_CC="ALL",$J106=LG_CC),$D106&gt;=LG_From,$D106&lt;=LG_To),$D106+ROW()/1000000,""),"")</f>
        <v/>
      </c>
      <c r="Z106" s="32">
        <f>IF($A106=1,IF(Sales_Daily!$T12="","",Sales_Daily!$T12),"")</f>
        <v/>
      </c>
      <c r="AA106" s="32">
        <f>IF($A106=1,IF(Sales_Daily!$U12="","",Sales_Daily!$U12),"")</f>
        <v/>
      </c>
      <c r="AB106" s="32">
        <f>IF($A106=1,IF(Sales_Daily!$V12="","",Sales_Daily!$V12),"")</f>
        <v/>
      </c>
      <c r="AC106" s="32">
        <f>IF($A106=1,IF(Sales_Daily!$W12="","",Sales_Daily!$W12),"")</f>
        <v/>
      </c>
      <c r="AD106" s="32">
        <f>IF($A106=1,IF(Sales_Daily!$X12="","",Sales_Daily!$X12),"")</f>
        <v/>
      </c>
      <c r="AE106" s="32">
        <f>IF($A106=1,0,"")</f>
        <v/>
      </c>
      <c r="AF106" s="32" t="inlineStr"/>
    </row>
    <row r="107">
      <c r="A107" s="32">
        <f>IF(AND(Sales_Daily!$AV12=1,N(Sales_Daily!$AG12)&gt;0),1,0)</f>
        <v/>
      </c>
      <c r="B107" s="32">
        <f>IF($A107=1,$E107&amp;"/12","")</f>
        <v/>
      </c>
      <c r="C107" s="32">
        <f>IF($A107=1,"J-"&amp;Sales_Daily!$A12,"")</f>
        <v/>
      </c>
      <c r="D107" s="33">
        <f>IF($A107=1,Sales_Daily!$B12,"")</f>
        <v/>
      </c>
      <c r="E107" s="32">
        <f>IF($A107=1,IF(Sales_Daily!$A12="","",Sales_Daily!$A12),"")</f>
        <v/>
      </c>
      <c r="F107" s="32">
        <f>IF($A107=1,"SAL","")</f>
        <v/>
      </c>
      <c r="G107" s="32">
        <f>IF($A107=1,IF(Sales_Daily!$AT12="","",Sales_Daily!$AT12),"")</f>
        <v/>
      </c>
      <c r="H107" s="32">
        <f>IF($A107=1,IF(COUNTIF(COA!$A:$A,$G107)=0,"حساب غير معرف",INDEX(COA!$B:$B,MATCH($G107,COA!$A:$A,0))),"")</f>
        <v/>
      </c>
      <c r="I107" s="32">
        <f>IF($A107=1,IF(Sales_Daily!$C12="","",Sales_Daily!$C12),"")</f>
        <v/>
      </c>
      <c r="J107" s="32">
        <f>IF($A107=1,"CC10","")</f>
        <v/>
      </c>
      <c r="K107" s="32">
        <f>IF($A107=1,"-","")</f>
        <v/>
      </c>
      <c r="L107" s="32">
        <f>IF($A107=1,"إيراد مبيعات - فئة أخرى","")</f>
        <v/>
      </c>
      <c r="M107" s="43">
        <f>IF($A107=1,0,"")</f>
        <v/>
      </c>
      <c r="N107" s="43">
        <f>IF($A107=1,Sales_Daily!$AG12,"")</f>
        <v/>
      </c>
      <c r="O107" s="32">
        <f>IF($A107=1,Sales_Daily!$S12,"")</f>
        <v/>
      </c>
      <c r="P107" s="32">
        <f>IF($A107=1,IF(Sales_Daily!$AW12="","",Sales_Daily!$AW12),"")</f>
        <v/>
      </c>
      <c r="Q107" s="32">
        <f>IF($A107=1,Sales_Daily!$AY12,"")</f>
        <v/>
      </c>
      <c r="R107" s="32">
        <f>IF($A107=1,IF(AND($Q107=1,COUNTIFS(COA!$A:$A,$G107,COA!$R:$R,1)=1),1,0),"")</f>
        <v/>
      </c>
      <c r="S107" s="43">
        <f>IF($A107=1,IF($R107=1,N($M107),0),"")</f>
        <v/>
      </c>
      <c r="T107" s="43">
        <f>IF($A107=1,IF($R107=1,N($N107),0),"")</f>
        <v/>
      </c>
      <c r="U107" s="32">
        <f>IF($A107=1,YEAR($D107)*100+MONTH($D107),"")</f>
        <v/>
      </c>
      <c r="V107" s="32">
        <f>IF($A107=1,IF(COUNTIF(COA!$A:$A,$G107)=0,0,INDEX(COA!$H:$H,MATCH($G107,COA!$A:$A,0))),"")</f>
        <v/>
      </c>
      <c r="W107" s="32">
        <f>IF($A107=1,"","")</f>
        <v/>
      </c>
      <c r="X107" s="32">
        <f>IF($A107=1,IF($R107=1,"",IF($O107=ST_POST,IF($P107&lt;&gt;"",$P107,"حساب غير صالح أو غير نشط"),IF($O107=ST_REV,"معكوس: لا أثر على الدفاتر",IF($O107=ST_CANC,"ملغى",IF($O107=ST_APPR,"معتمد ولم يُرحَّل","مسودة"))))),"")</f>
        <v/>
      </c>
      <c r="Y107" s="32">
        <f>IF($A107=1,IF(AND($R107=1,OR(LG_Acct="",$G107=LG_Acct),OR(LG_Party="",$K107=LG_Party),OR(LG_Loc="ALL",$I107=LG_Loc),OR(LG_CC="ALL",$J107=LG_CC),$D107&gt;=LG_From,$D107&lt;=LG_To),$D107+ROW()/1000000,""),"")</f>
        <v/>
      </c>
      <c r="Z107" s="32">
        <f>IF($A107=1,IF(Sales_Daily!$T12="","",Sales_Daily!$T12),"")</f>
        <v/>
      </c>
      <c r="AA107" s="32">
        <f>IF($A107=1,IF(Sales_Daily!$U12="","",Sales_Daily!$U12),"")</f>
        <v/>
      </c>
      <c r="AB107" s="32">
        <f>IF($A107=1,IF(Sales_Daily!$V12="","",Sales_Daily!$V12),"")</f>
        <v/>
      </c>
      <c r="AC107" s="32">
        <f>IF($A107=1,IF(Sales_Daily!$W12="","",Sales_Daily!$W12),"")</f>
        <v/>
      </c>
      <c r="AD107" s="32">
        <f>IF($A107=1,IF(Sales_Daily!$X12="","",Sales_Daily!$X12),"")</f>
        <v/>
      </c>
      <c r="AE107" s="32">
        <f>IF($A107=1,0,"")</f>
        <v/>
      </c>
      <c r="AF107" s="32" t="inlineStr"/>
    </row>
    <row r="108">
      <c r="A108" s="32">
        <f>IF(AND(Sales_Daily!$AV12=1,N(Sales_Daily!$AJ12)&gt;0),1,0)</f>
        <v/>
      </c>
      <c r="B108" s="32">
        <f>IF($A108=1,$E108&amp;"/13","")</f>
        <v/>
      </c>
      <c r="C108" s="32">
        <f>IF($A108=1,"J-"&amp;Sales_Daily!$A12,"")</f>
        <v/>
      </c>
      <c r="D108" s="33">
        <f>IF($A108=1,Sales_Daily!$B12,"")</f>
        <v/>
      </c>
      <c r="E108" s="32">
        <f>IF($A108=1,IF(Sales_Daily!$A12="","",Sales_Daily!$A12),"")</f>
        <v/>
      </c>
      <c r="F108" s="32">
        <f>IF($A108=1,"SAL","")</f>
        <v/>
      </c>
      <c r="G108" s="32">
        <f>IF($A108=1,ACC_VAT_OUT,"")</f>
        <v/>
      </c>
      <c r="H108" s="32">
        <f>IF($A108=1,IF(COUNTIF(COA!$A:$A,$G108)=0,"حساب غير معرف",INDEX(COA!$B:$B,MATCH($G108,COA!$A:$A,0))),"")</f>
        <v/>
      </c>
      <c r="I108" s="32">
        <f>IF($A108=1,IF(Sales_Daily!$C12="","",Sales_Daily!$C12),"")</f>
        <v/>
      </c>
      <c r="J108" s="32">
        <f>IF($A108=1,"CC10","")</f>
        <v/>
      </c>
      <c r="K108" s="32">
        <f>IF($A108=1,"-","")</f>
        <v/>
      </c>
      <c r="L108" s="32">
        <f>IF($A108=1,"ضريبة القيمة المضافة - مخرجات","")</f>
        <v/>
      </c>
      <c r="M108" s="43">
        <f>IF($A108=1,0,"")</f>
        <v/>
      </c>
      <c r="N108" s="43">
        <f>IF($A108=1,Sales_Daily!$AJ12,"")</f>
        <v/>
      </c>
      <c r="O108" s="32">
        <f>IF($A108=1,Sales_Daily!$S12,"")</f>
        <v/>
      </c>
      <c r="P108" s="32">
        <f>IF($A108=1,IF(Sales_Daily!$AW12="","",Sales_Daily!$AW12),"")</f>
        <v/>
      </c>
      <c r="Q108" s="32">
        <f>IF($A108=1,Sales_Daily!$AY12,"")</f>
        <v/>
      </c>
      <c r="R108" s="32">
        <f>IF($A108=1,IF(AND($Q108=1,COUNTIFS(COA!$A:$A,$G108,COA!$R:$R,1)=1),1,0),"")</f>
        <v/>
      </c>
      <c r="S108" s="43">
        <f>IF($A108=1,IF($R108=1,N($M108),0),"")</f>
        <v/>
      </c>
      <c r="T108" s="43">
        <f>IF($A108=1,IF($R108=1,N($N108),0),"")</f>
        <v/>
      </c>
      <c r="U108" s="32">
        <f>IF($A108=1,YEAR($D108)*100+MONTH($D108),"")</f>
        <v/>
      </c>
      <c r="V108" s="32">
        <f>IF($A108=1,IF(COUNTIF(COA!$A:$A,$G108)=0,0,INDEX(COA!$H:$H,MATCH($G108,COA!$A:$A,0))),"")</f>
        <v/>
      </c>
      <c r="W108" s="32">
        <f>IF($A108=1,"","")</f>
        <v/>
      </c>
      <c r="X108" s="32">
        <f>IF($A108=1,IF($R108=1,"",IF($O108=ST_POST,IF($P108&lt;&gt;"",$P108,"حساب غير صالح أو غير نشط"),IF($O108=ST_REV,"معكوس: لا أثر على الدفاتر",IF($O108=ST_CANC,"ملغى",IF($O108=ST_APPR,"معتمد ولم يُرحَّل","مسودة"))))),"")</f>
        <v/>
      </c>
      <c r="Y108" s="32">
        <f>IF($A108=1,IF(AND($R108=1,OR(LG_Acct="",$G108=LG_Acct),OR(LG_Party="",$K108=LG_Party),OR(LG_Loc="ALL",$I108=LG_Loc),OR(LG_CC="ALL",$J108=LG_CC),$D108&gt;=LG_From,$D108&lt;=LG_To),$D108+ROW()/1000000,""),"")</f>
        <v/>
      </c>
      <c r="Z108" s="32">
        <f>IF($A108=1,IF(Sales_Daily!$T12="","",Sales_Daily!$T12),"")</f>
        <v/>
      </c>
      <c r="AA108" s="32">
        <f>IF($A108=1,IF(Sales_Daily!$U12="","",Sales_Daily!$U12),"")</f>
        <v/>
      </c>
      <c r="AB108" s="32">
        <f>IF($A108=1,IF(Sales_Daily!$V12="","",Sales_Daily!$V12),"")</f>
        <v/>
      </c>
      <c r="AC108" s="32">
        <f>IF($A108=1,IF(Sales_Daily!$W12="","",Sales_Daily!$W12),"")</f>
        <v/>
      </c>
      <c r="AD108" s="32">
        <f>IF($A108=1,IF(Sales_Daily!$X12="","",Sales_Daily!$X12),"")</f>
        <v/>
      </c>
      <c r="AE108" s="32">
        <f>IF($A108=1,0,"")</f>
        <v/>
      </c>
      <c r="AF108" s="32" t="inlineStr"/>
    </row>
    <row r="109">
      <c r="A109" s="32">
        <f>IF(AND(Sales_Daily!$AV13=1,N(Sales_Daily!$L13)&gt;0),1,0)</f>
        <v/>
      </c>
      <c r="B109" s="32">
        <f>IF($A109=1,$E109&amp;"/1","")</f>
        <v/>
      </c>
      <c r="C109" s="32">
        <f>IF($A109=1,"J-"&amp;Sales_Daily!$A13,"")</f>
        <v/>
      </c>
      <c r="D109" s="33">
        <f>IF($A109=1,Sales_Daily!$B13,"")</f>
        <v/>
      </c>
      <c r="E109" s="32">
        <f>IF($A109=1,IF(Sales_Daily!$A13="","",Sales_Daily!$A13),"")</f>
        <v/>
      </c>
      <c r="F109" s="32">
        <f>IF($A109=1,"SAL","")</f>
        <v/>
      </c>
      <c r="G109" s="32">
        <f>IF($A109=1,IF(Sales_Daily!$AK13="","",Sales_Daily!$AK13),"")</f>
        <v/>
      </c>
      <c r="H109" s="32">
        <f>IF($A109=1,IF(COUNTIF(COA!$A:$A,$G109)=0,"حساب غير معرف",INDEX(COA!$B:$B,MATCH($G109,COA!$A:$A,0))),"")</f>
        <v/>
      </c>
      <c r="I109" s="32">
        <f>IF($A109=1,IF(Sales_Daily!$C13="","",Sales_Daily!$C13),"")</f>
        <v/>
      </c>
      <c r="J109" s="32">
        <f>IF($A109=1,"CC10","")</f>
        <v/>
      </c>
      <c r="K109" s="32">
        <f>IF($A109=1,"-","")</f>
        <v/>
      </c>
      <c r="L109" s="32">
        <f>IF($A109=1,"مبيعات - تحصيل CASH","")</f>
        <v/>
      </c>
      <c r="M109" s="43">
        <f>IF($A109=1,Sales_Daily!$L13,"")</f>
        <v/>
      </c>
      <c r="N109" s="43">
        <f>IF($A109=1,0,"")</f>
        <v/>
      </c>
      <c r="O109" s="32">
        <f>IF($A109=1,Sales_Daily!$S13,"")</f>
        <v/>
      </c>
      <c r="P109" s="32">
        <f>IF($A109=1,IF(Sales_Daily!$AW13="","",Sales_Daily!$AW13),"")</f>
        <v/>
      </c>
      <c r="Q109" s="32">
        <f>IF($A109=1,Sales_Daily!$AY13,"")</f>
        <v/>
      </c>
      <c r="R109" s="32">
        <f>IF($A109=1,IF(AND($Q109=1,COUNTIFS(COA!$A:$A,$G109,COA!$R:$R,1)=1),1,0),"")</f>
        <v/>
      </c>
      <c r="S109" s="43">
        <f>IF($A109=1,IF($R109=1,N($M109),0),"")</f>
        <v/>
      </c>
      <c r="T109" s="43">
        <f>IF($A109=1,IF($R109=1,N($N109),0),"")</f>
        <v/>
      </c>
      <c r="U109" s="32">
        <f>IF($A109=1,YEAR($D109)*100+MONTH($D109),"")</f>
        <v/>
      </c>
      <c r="V109" s="32">
        <f>IF($A109=1,IF(COUNTIF(COA!$A:$A,$G109)=0,0,INDEX(COA!$H:$H,MATCH($G109,COA!$A:$A,0))),"")</f>
        <v/>
      </c>
      <c r="W109" s="32">
        <f>IF($A109=1,"OPERATING","")</f>
        <v/>
      </c>
      <c r="X109" s="32">
        <f>IF($A109=1,IF($R109=1,"",IF($O109=ST_POST,IF($P109&lt;&gt;"",$P109,"حساب غير صالح أو غير نشط"),IF($O109=ST_REV,"معكوس: لا أثر على الدفاتر",IF($O109=ST_CANC,"ملغى",IF($O109=ST_APPR,"معتمد ولم يُرحَّل","مسودة"))))),"")</f>
        <v/>
      </c>
      <c r="Y109" s="32">
        <f>IF($A109=1,IF(AND($R109=1,OR(LG_Acct="",$G109=LG_Acct),OR(LG_Party="",$K109=LG_Party),OR(LG_Loc="ALL",$I109=LG_Loc),OR(LG_CC="ALL",$J109=LG_CC),$D109&gt;=LG_From,$D109&lt;=LG_To),$D109+ROW()/1000000,""),"")</f>
        <v/>
      </c>
      <c r="Z109" s="32">
        <f>IF($A109=1,IF(Sales_Daily!$T13="","",Sales_Daily!$T13),"")</f>
        <v/>
      </c>
      <c r="AA109" s="32">
        <f>IF($A109=1,IF(Sales_Daily!$U13="","",Sales_Daily!$U13),"")</f>
        <v/>
      </c>
      <c r="AB109" s="32">
        <f>IF($A109=1,IF(Sales_Daily!$V13="","",Sales_Daily!$V13),"")</f>
        <v/>
      </c>
      <c r="AC109" s="32">
        <f>IF($A109=1,IF(Sales_Daily!$W13="","",Sales_Daily!$W13),"")</f>
        <v/>
      </c>
      <c r="AD109" s="32">
        <f>IF($A109=1,IF(Sales_Daily!$X13="","",Sales_Daily!$X13),"")</f>
        <v/>
      </c>
      <c r="AE109" s="32">
        <f>IF($A109=1,0,"")</f>
        <v/>
      </c>
      <c r="AF109" s="32" t="inlineStr"/>
    </row>
    <row r="110">
      <c r="A110" s="32">
        <f>IF(AND(Sales_Daily!$AV13=1,N(Sales_Daily!$M13)&gt;0),1,0)</f>
        <v/>
      </c>
      <c r="B110" s="32">
        <f>IF($A110=1,$E110&amp;"/2","")</f>
        <v/>
      </c>
      <c r="C110" s="32">
        <f>IF($A110=1,"J-"&amp;Sales_Daily!$A13,"")</f>
        <v/>
      </c>
      <c r="D110" s="33">
        <f>IF($A110=1,Sales_Daily!$B13,"")</f>
        <v/>
      </c>
      <c r="E110" s="32">
        <f>IF($A110=1,IF(Sales_Daily!$A13="","",Sales_Daily!$A13),"")</f>
        <v/>
      </c>
      <c r="F110" s="32">
        <f>IF($A110=1,"SAL","")</f>
        <v/>
      </c>
      <c r="G110" s="32">
        <f>IF($A110=1,IF(Sales_Daily!$AL13="","",Sales_Daily!$AL13),"")</f>
        <v/>
      </c>
      <c r="H110" s="32">
        <f>IF($A110=1,IF(COUNTIF(COA!$A:$A,$G110)=0,"حساب غير معرف",INDEX(COA!$B:$B,MATCH($G110,COA!$A:$A,0))),"")</f>
        <v/>
      </c>
      <c r="I110" s="32">
        <f>IF($A110=1,IF(Sales_Daily!$C13="","",Sales_Daily!$C13),"")</f>
        <v/>
      </c>
      <c r="J110" s="32">
        <f>IF($A110=1,"CC10","")</f>
        <v/>
      </c>
      <c r="K110" s="32">
        <f>IF($A110=1,"-","")</f>
        <v/>
      </c>
      <c r="L110" s="32">
        <f>IF($A110=1,"مبيعات - تحصيل CARD","")</f>
        <v/>
      </c>
      <c r="M110" s="43">
        <f>IF($A110=1,Sales_Daily!$M13,"")</f>
        <v/>
      </c>
      <c r="N110" s="43">
        <f>IF($A110=1,0,"")</f>
        <v/>
      </c>
      <c r="O110" s="32">
        <f>IF($A110=1,Sales_Daily!$S13,"")</f>
        <v/>
      </c>
      <c r="P110" s="32">
        <f>IF($A110=1,IF(Sales_Daily!$AW13="","",Sales_Daily!$AW13),"")</f>
        <v/>
      </c>
      <c r="Q110" s="32">
        <f>IF($A110=1,Sales_Daily!$AY13,"")</f>
        <v/>
      </c>
      <c r="R110" s="32">
        <f>IF($A110=1,IF(AND($Q110=1,COUNTIFS(COA!$A:$A,$G110,COA!$R:$R,1)=1),1,0),"")</f>
        <v/>
      </c>
      <c r="S110" s="43">
        <f>IF($A110=1,IF($R110=1,N($M110),0),"")</f>
        <v/>
      </c>
      <c r="T110" s="43">
        <f>IF($A110=1,IF($R110=1,N($N110),0),"")</f>
        <v/>
      </c>
      <c r="U110" s="32">
        <f>IF($A110=1,YEAR($D110)*100+MONTH($D110),"")</f>
        <v/>
      </c>
      <c r="V110" s="32">
        <f>IF($A110=1,IF(COUNTIF(COA!$A:$A,$G110)=0,0,INDEX(COA!$H:$H,MATCH($G110,COA!$A:$A,0))),"")</f>
        <v/>
      </c>
      <c r="W110" s="32">
        <f>IF($A110=1,"OPERATING","")</f>
        <v/>
      </c>
      <c r="X110" s="32">
        <f>IF($A110=1,IF($R110=1,"",IF($O110=ST_POST,IF($P110&lt;&gt;"",$P110,"حساب غير صالح أو غير نشط"),IF($O110=ST_REV,"معكوس: لا أثر على الدفاتر",IF($O110=ST_CANC,"ملغى",IF($O110=ST_APPR,"معتمد ولم يُرحَّل","مسودة"))))),"")</f>
        <v/>
      </c>
      <c r="Y110" s="32">
        <f>IF($A110=1,IF(AND($R110=1,OR(LG_Acct="",$G110=LG_Acct),OR(LG_Party="",$K110=LG_Party),OR(LG_Loc="ALL",$I110=LG_Loc),OR(LG_CC="ALL",$J110=LG_CC),$D110&gt;=LG_From,$D110&lt;=LG_To),$D110+ROW()/1000000,""),"")</f>
        <v/>
      </c>
      <c r="Z110" s="32">
        <f>IF($A110=1,IF(Sales_Daily!$T13="","",Sales_Daily!$T13),"")</f>
        <v/>
      </c>
      <c r="AA110" s="32">
        <f>IF($A110=1,IF(Sales_Daily!$U13="","",Sales_Daily!$U13),"")</f>
        <v/>
      </c>
      <c r="AB110" s="32">
        <f>IF($A110=1,IF(Sales_Daily!$V13="","",Sales_Daily!$V13),"")</f>
        <v/>
      </c>
      <c r="AC110" s="32">
        <f>IF($A110=1,IF(Sales_Daily!$W13="","",Sales_Daily!$W13),"")</f>
        <v/>
      </c>
      <c r="AD110" s="32">
        <f>IF($A110=1,IF(Sales_Daily!$X13="","",Sales_Daily!$X13),"")</f>
        <v/>
      </c>
      <c r="AE110" s="32">
        <f>IF($A110=1,0,"")</f>
        <v/>
      </c>
      <c r="AF110" s="32" t="inlineStr"/>
    </row>
    <row r="111">
      <c r="A111" s="32">
        <f>IF(AND(Sales_Daily!$AV13=1,N(Sales_Daily!$N13)&gt;0),1,0)</f>
        <v/>
      </c>
      <c r="B111" s="32">
        <f>IF($A111=1,$E111&amp;"/3","")</f>
        <v/>
      </c>
      <c r="C111" s="32">
        <f>IF($A111=1,"J-"&amp;Sales_Daily!$A13,"")</f>
        <v/>
      </c>
      <c r="D111" s="33">
        <f>IF($A111=1,Sales_Daily!$B13,"")</f>
        <v/>
      </c>
      <c r="E111" s="32">
        <f>IF($A111=1,IF(Sales_Daily!$A13="","",Sales_Daily!$A13),"")</f>
        <v/>
      </c>
      <c r="F111" s="32">
        <f>IF($A111=1,"SAL","")</f>
        <v/>
      </c>
      <c r="G111" s="32">
        <f>IF($A111=1,IF(Sales_Daily!$AM13="","",Sales_Daily!$AM13),"")</f>
        <v/>
      </c>
      <c r="H111" s="32">
        <f>IF($A111=1,IF(COUNTIF(COA!$A:$A,$G111)=0,"حساب غير معرف",INDEX(COA!$B:$B,MATCH($G111,COA!$A:$A,0))),"")</f>
        <v/>
      </c>
      <c r="I111" s="32">
        <f>IF($A111=1,IF(Sales_Daily!$C13="","",Sales_Daily!$C13),"")</f>
        <v/>
      </c>
      <c r="J111" s="32">
        <f>IF($A111=1,"CC10","")</f>
        <v/>
      </c>
      <c r="K111" s="32">
        <f>IF($A111=1,"-","")</f>
        <v/>
      </c>
      <c r="L111" s="32">
        <f>IF($A111=1,"مبيعات - تحصيل TLB","")</f>
        <v/>
      </c>
      <c r="M111" s="43">
        <f>IF($A111=1,Sales_Daily!$N13,"")</f>
        <v/>
      </c>
      <c r="N111" s="43">
        <f>IF($A111=1,0,"")</f>
        <v/>
      </c>
      <c r="O111" s="32">
        <f>IF($A111=1,Sales_Daily!$S13,"")</f>
        <v/>
      </c>
      <c r="P111" s="32">
        <f>IF($A111=1,IF(Sales_Daily!$AW13="","",Sales_Daily!$AW13),"")</f>
        <v/>
      </c>
      <c r="Q111" s="32">
        <f>IF($A111=1,Sales_Daily!$AY13,"")</f>
        <v/>
      </c>
      <c r="R111" s="32">
        <f>IF($A111=1,IF(AND($Q111=1,COUNTIFS(COA!$A:$A,$G111,COA!$R:$R,1)=1),1,0),"")</f>
        <v/>
      </c>
      <c r="S111" s="43">
        <f>IF($A111=1,IF($R111=1,N($M111),0),"")</f>
        <v/>
      </c>
      <c r="T111" s="43">
        <f>IF($A111=1,IF($R111=1,N($N111),0),"")</f>
        <v/>
      </c>
      <c r="U111" s="32">
        <f>IF($A111=1,YEAR($D111)*100+MONTH($D111),"")</f>
        <v/>
      </c>
      <c r="V111" s="32">
        <f>IF($A111=1,IF(COUNTIF(COA!$A:$A,$G111)=0,0,INDEX(COA!$H:$H,MATCH($G111,COA!$A:$A,0))),"")</f>
        <v/>
      </c>
      <c r="W111" s="32">
        <f>IF($A111=1,"OPERATING","")</f>
        <v/>
      </c>
      <c r="X111" s="32">
        <f>IF($A111=1,IF($R111=1,"",IF($O111=ST_POST,IF($P111&lt;&gt;"",$P111,"حساب غير صالح أو غير نشط"),IF($O111=ST_REV,"معكوس: لا أثر على الدفاتر",IF($O111=ST_CANC,"ملغى",IF($O111=ST_APPR,"معتمد ولم يُرحَّل","مسودة"))))),"")</f>
        <v/>
      </c>
      <c r="Y111" s="32">
        <f>IF($A111=1,IF(AND($R111=1,OR(LG_Acct="",$G111=LG_Acct),OR(LG_Party="",$K111=LG_Party),OR(LG_Loc="ALL",$I111=LG_Loc),OR(LG_CC="ALL",$J111=LG_CC),$D111&gt;=LG_From,$D111&lt;=LG_To),$D111+ROW()/1000000,""),"")</f>
        <v/>
      </c>
      <c r="Z111" s="32">
        <f>IF($A111=1,IF(Sales_Daily!$T13="","",Sales_Daily!$T13),"")</f>
        <v/>
      </c>
      <c r="AA111" s="32">
        <f>IF($A111=1,IF(Sales_Daily!$U13="","",Sales_Daily!$U13),"")</f>
        <v/>
      </c>
      <c r="AB111" s="32">
        <f>IF($A111=1,IF(Sales_Daily!$V13="","",Sales_Daily!$V13),"")</f>
        <v/>
      </c>
      <c r="AC111" s="32">
        <f>IF($A111=1,IF(Sales_Daily!$W13="","",Sales_Daily!$W13),"")</f>
        <v/>
      </c>
      <c r="AD111" s="32">
        <f>IF($A111=1,IF(Sales_Daily!$X13="","",Sales_Daily!$X13),"")</f>
        <v/>
      </c>
      <c r="AE111" s="32">
        <f>IF($A111=1,0,"")</f>
        <v/>
      </c>
      <c r="AF111" s="32" t="inlineStr"/>
    </row>
    <row r="112">
      <c r="A112" s="32">
        <f>IF(AND(Sales_Daily!$AV13=1,N(Sales_Daily!$O13)&gt;0),1,0)</f>
        <v/>
      </c>
      <c r="B112" s="32">
        <f>IF($A112=1,$E112&amp;"/4","")</f>
        <v/>
      </c>
      <c r="C112" s="32">
        <f>IF($A112=1,"J-"&amp;Sales_Daily!$A13,"")</f>
        <v/>
      </c>
      <c r="D112" s="33">
        <f>IF($A112=1,Sales_Daily!$B13,"")</f>
        <v/>
      </c>
      <c r="E112" s="32">
        <f>IF($A112=1,IF(Sales_Daily!$A13="","",Sales_Daily!$A13),"")</f>
        <v/>
      </c>
      <c r="F112" s="32">
        <f>IF($A112=1,"SAL","")</f>
        <v/>
      </c>
      <c r="G112" s="32">
        <f>IF($A112=1,IF(Sales_Daily!$AN13="","",Sales_Daily!$AN13),"")</f>
        <v/>
      </c>
      <c r="H112" s="32">
        <f>IF($A112=1,IF(COUNTIF(COA!$A:$A,$G112)=0,"حساب غير معرف",INDEX(COA!$B:$B,MATCH($G112,COA!$A:$A,0))),"")</f>
        <v/>
      </c>
      <c r="I112" s="32">
        <f>IF($A112=1,IF(Sales_Daily!$C13="","",Sales_Daily!$C13),"")</f>
        <v/>
      </c>
      <c r="J112" s="32">
        <f>IF($A112=1,"CC10","")</f>
        <v/>
      </c>
      <c r="K112" s="32">
        <f>IF($A112=1,"-","")</f>
        <v/>
      </c>
      <c r="L112" s="32">
        <f>IF($A112=1,"مبيعات - تحصيل DLV2","")</f>
        <v/>
      </c>
      <c r="M112" s="43">
        <f>IF($A112=1,Sales_Daily!$O13,"")</f>
        <v/>
      </c>
      <c r="N112" s="43">
        <f>IF($A112=1,0,"")</f>
        <v/>
      </c>
      <c r="O112" s="32">
        <f>IF($A112=1,Sales_Daily!$S13,"")</f>
        <v/>
      </c>
      <c r="P112" s="32">
        <f>IF($A112=1,IF(Sales_Daily!$AW13="","",Sales_Daily!$AW13),"")</f>
        <v/>
      </c>
      <c r="Q112" s="32">
        <f>IF($A112=1,Sales_Daily!$AY13,"")</f>
        <v/>
      </c>
      <c r="R112" s="32">
        <f>IF($A112=1,IF(AND($Q112=1,COUNTIFS(COA!$A:$A,$G112,COA!$R:$R,1)=1),1,0),"")</f>
        <v/>
      </c>
      <c r="S112" s="43">
        <f>IF($A112=1,IF($R112=1,N($M112),0),"")</f>
        <v/>
      </c>
      <c r="T112" s="43">
        <f>IF($A112=1,IF($R112=1,N($N112),0),"")</f>
        <v/>
      </c>
      <c r="U112" s="32">
        <f>IF($A112=1,YEAR($D112)*100+MONTH($D112),"")</f>
        <v/>
      </c>
      <c r="V112" s="32">
        <f>IF($A112=1,IF(COUNTIF(COA!$A:$A,$G112)=0,0,INDEX(COA!$H:$H,MATCH($G112,COA!$A:$A,0))),"")</f>
        <v/>
      </c>
      <c r="W112" s="32">
        <f>IF($A112=1,"OPERATING","")</f>
        <v/>
      </c>
      <c r="X112" s="32">
        <f>IF($A112=1,IF($R112=1,"",IF($O112=ST_POST,IF($P112&lt;&gt;"",$P112,"حساب غير صالح أو غير نشط"),IF($O112=ST_REV,"معكوس: لا أثر على الدفاتر",IF($O112=ST_CANC,"ملغى",IF($O112=ST_APPR,"معتمد ولم يُرحَّل","مسودة"))))),"")</f>
        <v/>
      </c>
      <c r="Y112" s="32">
        <f>IF($A112=1,IF(AND($R112=1,OR(LG_Acct="",$G112=LG_Acct),OR(LG_Party="",$K112=LG_Party),OR(LG_Loc="ALL",$I112=LG_Loc),OR(LG_CC="ALL",$J112=LG_CC),$D112&gt;=LG_From,$D112&lt;=LG_To),$D112+ROW()/1000000,""),"")</f>
        <v/>
      </c>
      <c r="Z112" s="32">
        <f>IF($A112=1,IF(Sales_Daily!$T13="","",Sales_Daily!$T13),"")</f>
        <v/>
      </c>
      <c r="AA112" s="32">
        <f>IF($A112=1,IF(Sales_Daily!$U13="","",Sales_Daily!$U13),"")</f>
        <v/>
      </c>
      <c r="AB112" s="32">
        <f>IF($A112=1,IF(Sales_Daily!$V13="","",Sales_Daily!$V13),"")</f>
        <v/>
      </c>
      <c r="AC112" s="32">
        <f>IF($A112=1,IF(Sales_Daily!$W13="","",Sales_Daily!$W13),"")</f>
        <v/>
      </c>
      <c r="AD112" s="32">
        <f>IF($A112=1,IF(Sales_Daily!$X13="","",Sales_Daily!$X13),"")</f>
        <v/>
      </c>
      <c r="AE112" s="32">
        <f>IF($A112=1,0,"")</f>
        <v/>
      </c>
      <c r="AF112" s="32" t="inlineStr"/>
    </row>
    <row r="113">
      <c r="A113" s="32">
        <f>IF(AND(Sales_Daily!$AV13=1,N(Sales_Daily!$P13)&gt;0),1,0)</f>
        <v/>
      </c>
      <c r="B113" s="32">
        <f>IF($A113=1,$E113&amp;"/5","")</f>
        <v/>
      </c>
      <c r="C113" s="32">
        <f>IF($A113=1,"J-"&amp;Sales_Daily!$A13,"")</f>
        <v/>
      </c>
      <c r="D113" s="33">
        <f>IF($A113=1,Sales_Daily!$B13,"")</f>
        <v/>
      </c>
      <c r="E113" s="32">
        <f>IF($A113=1,IF(Sales_Daily!$A13="","",Sales_Daily!$A13),"")</f>
        <v/>
      </c>
      <c r="F113" s="32">
        <f>IF($A113=1,"SAL","")</f>
        <v/>
      </c>
      <c r="G113" s="32">
        <f>IF($A113=1,IF(Sales_Daily!$AO13="","",Sales_Daily!$AO13),"")</f>
        <v/>
      </c>
      <c r="H113" s="32">
        <f>IF($A113=1,IF(COUNTIF(COA!$A:$A,$G113)=0,"حساب غير معرف",INDEX(COA!$B:$B,MATCH($G113,COA!$A:$A,0))),"")</f>
        <v/>
      </c>
      <c r="I113" s="32">
        <f>IF($A113=1,IF(Sales_Daily!$C13="","",Sales_Daily!$C13),"")</f>
        <v/>
      </c>
      <c r="J113" s="32">
        <f>IF($A113=1,"CC10","")</f>
        <v/>
      </c>
      <c r="K113" s="32">
        <f>IF($A113=1,"-","")</f>
        <v/>
      </c>
      <c r="L113" s="32">
        <f>IF($A113=1,"مبيعات - تحصيل INSTA","")</f>
        <v/>
      </c>
      <c r="M113" s="43">
        <f>IF($A113=1,Sales_Daily!$P13,"")</f>
        <v/>
      </c>
      <c r="N113" s="43">
        <f>IF($A113=1,0,"")</f>
        <v/>
      </c>
      <c r="O113" s="32">
        <f>IF($A113=1,Sales_Daily!$S13,"")</f>
        <v/>
      </c>
      <c r="P113" s="32">
        <f>IF($A113=1,IF(Sales_Daily!$AW13="","",Sales_Daily!$AW13),"")</f>
        <v/>
      </c>
      <c r="Q113" s="32">
        <f>IF($A113=1,Sales_Daily!$AY13,"")</f>
        <v/>
      </c>
      <c r="R113" s="32">
        <f>IF($A113=1,IF(AND($Q113=1,COUNTIFS(COA!$A:$A,$G113,COA!$R:$R,1)=1),1,0),"")</f>
        <v/>
      </c>
      <c r="S113" s="43">
        <f>IF($A113=1,IF($R113=1,N($M113),0),"")</f>
        <v/>
      </c>
      <c r="T113" s="43">
        <f>IF($A113=1,IF($R113=1,N($N113),0),"")</f>
        <v/>
      </c>
      <c r="U113" s="32">
        <f>IF($A113=1,YEAR($D113)*100+MONTH($D113),"")</f>
        <v/>
      </c>
      <c r="V113" s="32">
        <f>IF($A113=1,IF(COUNTIF(COA!$A:$A,$G113)=0,0,INDEX(COA!$H:$H,MATCH($G113,COA!$A:$A,0))),"")</f>
        <v/>
      </c>
      <c r="W113" s="32">
        <f>IF($A113=1,"OPERATING","")</f>
        <v/>
      </c>
      <c r="X113" s="32">
        <f>IF($A113=1,IF($R113=1,"",IF($O113=ST_POST,IF($P113&lt;&gt;"",$P113,"حساب غير صالح أو غير نشط"),IF($O113=ST_REV,"معكوس: لا أثر على الدفاتر",IF($O113=ST_CANC,"ملغى",IF($O113=ST_APPR,"معتمد ولم يُرحَّل","مسودة"))))),"")</f>
        <v/>
      </c>
      <c r="Y113" s="32">
        <f>IF($A113=1,IF(AND($R113=1,OR(LG_Acct="",$G113=LG_Acct),OR(LG_Party="",$K113=LG_Party),OR(LG_Loc="ALL",$I113=LG_Loc),OR(LG_CC="ALL",$J113=LG_CC),$D113&gt;=LG_From,$D113&lt;=LG_To),$D113+ROW()/1000000,""),"")</f>
        <v/>
      </c>
      <c r="Z113" s="32">
        <f>IF($A113=1,IF(Sales_Daily!$T13="","",Sales_Daily!$T13),"")</f>
        <v/>
      </c>
      <c r="AA113" s="32">
        <f>IF($A113=1,IF(Sales_Daily!$U13="","",Sales_Daily!$U13),"")</f>
        <v/>
      </c>
      <c r="AB113" s="32">
        <f>IF($A113=1,IF(Sales_Daily!$V13="","",Sales_Daily!$V13),"")</f>
        <v/>
      </c>
      <c r="AC113" s="32">
        <f>IF($A113=1,IF(Sales_Daily!$W13="","",Sales_Daily!$W13),"")</f>
        <v/>
      </c>
      <c r="AD113" s="32">
        <f>IF($A113=1,IF(Sales_Daily!$X13="","",Sales_Daily!$X13),"")</f>
        <v/>
      </c>
      <c r="AE113" s="32">
        <f>IF($A113=1,0,"")</f>
        <v/>
      </c>
      <c r="AF113" s="32" t="inlineStr"/>
    </row>
    <row r="114">
      <c r="A114" s="32">
        <f>IF(AND(Sales_Daily!$AV13=1,N(Sales_Daily!$Q13)&gt;0),1,0)</f>
        <v/>
      </c>
      <c r="B114" s="32">
        <f>IF($A114=1,$E114&amp;"/6","")</f>
        <v/>
      </c>
      <c r="C114" s="32">
        <f>IF($A114=1,"J-"&amp;Sales_Daily!$A13,"")</f>
        <v/>
      </c>
      <c r="D114" s="33">
        <f>IF($A114=1,Sales_Daily!$B13,"")</f>
        <v/>
      </c>
      <c r="E114" s="32">
        <f>IF($A114=1,IF(Sales_Daily!$A13="","",Sales_Daily!$A13),"")</f>
        <v/>
      </c>
      <c r="F114" s="32">
        <f>IF($A114=1,"SAL","")</f>
        <v/>
      </c>
      <c r="G114" s="32">
        <f>IF($A114=1,IF(Sales_Daily!$AP13="","",Sales_Daily!$AP13),"")</f>
        <v/>
      </c>
      <c r="H114" s="32">
        <f>IF($A114=1,IF(COUNTIF(COA!$A:$A,$G114)=0,"حساب غير معرف",INDEX(COA!$B:$B,MATCH($G114,COA!$A:$A,0))),"")</f>
        <v/>
      </c>
      <c r="I114" s="32">
        <f>IF($A114=1,IF(Sales_Daily!$C13="","",Sales_Daily!$C13),"")</f>
        <v/>
      </c>
      <c r="J114" s="32">
        <f>IF($A114=1,"CC10","")</f>
        <v/>
      </c>
      <c r="K114" s="32">
        <f>IF($A114=1,"-","")</f>
        <v/>
      </c>
      <c r="L114" s="32">
        <f>IF($A114=1,"مبيعات - تحصيل OTH","")</f>
        <v/>
      </c>
      <c r="M114" s="43">
        <f>IF($A114=1,Sales_Daily!$Q13,"")</f>
        <v/>
      </c>
      <c r="N114" s="43">
        <f>IF($A114=1,0,"")</f>
        <v/>
      </c>
      <c r="O114" s="32">
        <f>IF($A114=1,Sales_Daily!$S13,"")</f>
        <v/>
      </c>
      <c r="P114" s="32">
        <f>IF($A114=1,IF(Sales_Daily!$AW13="","",Sales_Daily!$AW13),"")</f>
        <v/>
      </c>
      <c r="Q114" s="32">
        <f>IF($A114=1,Sales_Daily!$AY13,"")</f>
        <v/>
      </c>
      <c r="R114" s="32">
        <f>IF($A114=1,IF(AND($Q114=1,COUNTIFS(COA!$A:$A,$G114,COA!$R:$R,1)=1),1,0),"")</f>
        <v/>
      </c>
      <c r="S114" s="43">
        <f>IF($A114=1,IF($R114=1,N($M114),0),"")</f>
        <v/>
      </c>
      <c r="T114" s="43">
        <f>IF($A114=1,IF($R114=1,N($N114),0),"")</f>
        <v/>
      </c>
      <c r="U114" s="32">
        <f>IF($A114=1,YEAR($D114)*100+MONTH($D114),"")</f>
        <v/>
      </c>
      <c r="V114" s="32">
        <f>IF($A114=1,IF(COUNTIF(COA!$A:$A,$G114)=0,0,INDEX(COA!$H:$H,MATCH($G114,COA!$A:$A,0))),"")</f>
        <v/>
      </c>
      <c r="W114" s="32">
        <f>IF($A114=1,"OPERATING","")</f>
        <v/>
      </c>
      <c r="X114" s="32">
        <f>IF($A114=1,IF($R114=1,"",IF($O114=ST_POST,IF($P114&lt;&gt;"",$P114,"حساب غير صالح أو غير نشط"),IF($O114=ST_REV,"معكوس: لا أثر على الدفاتر",IF($O114=ST_CANC,"ملغى",IF($O114=ST_APPR,"معتمد ولم يُرحَّل","مسودة"))))),"")</f>
        <v/>
      </c>
      <c r="Y114" s="32">
        <f>IF($A114=1,IF(AND($R114=1,OR(LG_Acct="",$G114=LG_Acct),OR(LG_Party="",$K114=LG_Party),OR(LG_Loc="ALL",$I114=LG_Loc),OR(LG_CC="ALL",$J114=LG_CC),$D114&gt;=LG_From,$D114&lt;=LG_To),$D114+ROW()/1000000,""),"")</f>
        <v/>
      </c>
      <c r="Z114" s="32">
        <f>IF($A114=1,IF(Sales_Daily!$T13="","",Sales_Daily!$T13),"")</f>
        <v/>
      </c>
      <c r="AA114" s="32">
        <f>IF($A114=1,IF(Sales_Daily!$U13="","",Sales_Daily!$U13),"")</f>
        <v/>
      </c>
      <c r="AB114" s="32">
        <f>IF($A114=1,IF(Sales_Daily!$V13="","",Sales_Daily!$V13),"")</f>
        <v/>
      </c>
      <c r="AC114" s="32">
        <f>IF($A114=1,IF(Sales_Daily!$W13="","",Sales_Daily!$W13),"")</f>
        <v/>
      </c>
      <c r="AD114" s="32">
        <f>IF($A114=1,IF(Sales_Daily!$X13="","",Sales_Daily!$X13),"")</f>
        <v/>
      </c>
      <c r="AE114" s="32">
        <f>IF($A114=1,0,"")</f>
        <v/>
      </c>
      <c r="AF114" s="32" t="inlineStr"/>
    </row>
    <row r="115">
      <c r="A115" s="32">
        <f>IF(AND(Sales_Daily!$AV13=1,N(Sales_Daily!$AH13)&gt;0),1,0)</f>
        <v/>
      </c>
      <c r="B115" s="32">
        <f>IF($A115=1,$E115&amp;"/7","")</f>
        <v/>
      </c>
      <c r="C115" s="32">
        <f>IF($A115=1,"J-"&amp;Sales_Daily!$A13,"")</f>
        <v/>
      </c>
      <c r="D115" s="33">
        <f>IF($A115=1,Sales_Daily!$B13,"")</f>
        <v/>
      </c>
      <c r="E115" s="32">
        <f>IF($A115=1,IF(Sales_Daily!$A13="","",Sales_Daily!$A13),"")</f>
        <v/>
      </c>
      <c r="F115" s="32">
        <f>IF($A115=1,"SAL","")</f>
        <v/>
      </c>
      <c r="G115" s="32">
        <f>IF($A115=1,ACC_DISC,"")</f>
        <v/>
      </c>
      <c r="H115" s="32">
        <f>IF($A115=1,IF(COUNTIF(COA!$A:$A,$G115)=0,"حساب غير معرف",INDEX(COA!$B:$B,MATCH($G115,COA!$A:$A,0))),"")</f>
        <v/>
      </c>
      <c r="I115" s="32">
        <f>IF($A115=1,IF(Sales_Daily!$C13="","",Sales_Daily!$C13),"")</f>
        <v/>
      </c>
      <c r="J115" s="32">
        <f>IF($A115=1,"CC10","")</f>
        <v/>
      </c>
      <c r="K115" s="32">
        <f>IF($A115=1,"-","")</f>
        <v/>
      </c>
      <c r="L115" s="32">
        <f>IF($A115=1,"خصومات المبيعات والعروض","")</f>
        <v/>
      </c>
      <c r="M115" s="43">
        <f>IF($A115=1,Sales_Daily!$AH13,"")</f>
        <v/>
      </c>
      <c r="N115" s="43">
        <f>IF($A115=1,0,"")</f>
        <v/>
      </c>
      <c r="O115" s="32">
        <f>IF($A115=1,Sales_Daily!$S13,"")</f>
        <v/>
      </c>
      <c r="P115" s="32">
        <f>IF($A115=1,IF(Sales_Daily!$AW13="","",Sales_Daily!$AW13),"")</f>
        <v/>
      </c>
      <c r="Q115" s="32">
        <f>IF($A115=1,Sales_Daily!$AY13,"")</f>
        <v/>
      </c>
      <c r="R115" s="32">
        <f>IF($A115=1,IF(AND($Q115=1,COUNTIFS(COA!$A:$A,$G115,COA!$R:$R,1)=1),1,0),"")</f>
        <v/>
      </c>
      <c r="S115" s="43">
        <f>IF($A115=1,IF($R115=1,N($M115),0),"")</f>
        <v/>
      </c>
      <c r="T115" s="43">
        <f>IF($A115=1,IF($R115=1,N($N115),0),"")</f>
        <v/>
      </c>
      <c r="U115" s="32">
        <f>IF($A115=1,YEAR($D115)*100+MONTH($D115),"")</f>
        <v/>
      </c>
      <c r="V115" s="32">
        <f>IF($A115=1,IF(COUNTIF(COA!$A:$A,$G115)=0,0,INDEX(COA!$H:$H,MATCH($G115,COA!$A:$A,0))),"")</f>
        <v/>
      </c>
      <c r="W115" s="32">
        <f>IF($A115=1,"","")</f>
        <v/>
      </c>
      <c r="X115" s="32">
        <f>IF($A115=1,IF($R115=1,"",IF($O115=ST_POST,IF($P115&lt;&gt;"",$P115,"حساب غير صالح أو غير نشط"),IF($O115=ST_REV,"معكوس: لا أثر على الدفاتر",IF($O115=ST_CANC,"ملغى",IF($O115=ST_APPR,"معتمد ولم يُرحَّل","مسودة"))))),"")</f>
        <v/>
      </c>
      <c r="Y115" s="32">
        <f>IF($A115=1,IF(AND($R115=1,OR(LG_Acct="",$G115=LG_Acct),OR(LG_Party="",$K115=LG_Party),OR(LG_Loc="ALL",$I115=LG_Loc),OR(LG_CC="ALL",$J115=LG_CC),$D115&gt;=LG_From,$D115&lt;=LG_To),$D115+ROW()/1000000,""),"")</f>
        <v/>
      </c>
      <c r="Z115" s="32">
        <f>IF($A115=1,IF(Sales_Daily!$T13="","",Sales_Daily!$T13),"")</f>
        <v/>
      </c>
      <c r="AA115" s="32">
        <f>IF($A115=1,IF(Sales_Daily!$U13="","",Sales_Daily!$U13),"")</f>
        <v/>
      </c>
      <c r="AB115" s="32">
        <f>IF($A115=1,IF(Sales_Daily!$V13="","",Sales_Daily!$V13),"")</f>
        <v/>
      </c>
      <c r="AC115" s="32">
        <f>IF($A115=1,IF(Sales_Daily!$W13="","",Sales_Daily!$W13),"")</f>
        <v/>
      </c>
      <c r="AD115" s="32">
        <f>IF($A115=1,IF(Sales_Daily!$X13="","",Sales_Daily!$X13),"")</f>
        <v/>
      </c>
      <c r="AE115" s="32">
        <f>IF($A115=1,0,"")</f>
        <v/>
      </c>
      <c r="AF115" s="32" t="inlineStr"/>
    </row>
    <row r="116">
      <c r="A116" s="32">
        <f>IF(AND(Sales_Daily!$AV13=1,N(Sales_Daily!$AI13)&gt;0),1,0)</f>
        <v/>
      </c>
      <c r="B116" s="32">
        <f>IF($A116=1,$E116&amp;"/8","")</f>
        <v/>
      </c>
      <c r="C116" s="32">
        <f>IF($A116=1,"J-"&amp;Sales_Daily!$A13,"")</f>
        <v/>
      </c>
      <c r="D116" s="33">
        <f>IF($A116=1,Sales_Daily!$B13,"")</f>
        <v/>
      </c>
      <c r="E116" s="32">
        <f>IF($A116=1,IF(Sales_Daily!$A13="","",Sales_Daily!$A13),"")</f>
        <v/>
      </c>
      <c r="F116" s="32">
        <f>IF($A116=1,"SAL","")</f>
        <v/>
      </c>
      <c r="G116" s="32">
        <f>IF($A116=1,ACC_RET,"")</f>
        <v/>
      </c>
      <c r="H116" s="32">
        <f>IF($A116=1,IF(COUNTIF(COA!$A:$A,$G116)=0,"حساب غير معرف",INDEX(COA!$B:$B,MATCH($G116,COA!$A:$A,0))),"")</f>
        <v/>
      </c>
      <c r="I116" s="32">
        <f>IF($A116=1,IF(Sales_Daily!$C13="","",Sales_Daily!$C13),"")</f>
        <v/>
      </c>
      <c r="J116" s="32">
        <f>IF($A116=1,"CC10","")</f>
        <v/>
      </c>
      <c r="K116" s="32">
        <f>IF($A116=1,"-","")</f>
        <v/>
      </c>
      <c r="L116" s="32">
        <f>IF($A116=1,"مرتجعات وإلغاءات المبيعات","")</f>
        <v/>
      </c>
      <c r="M116" s="43">
        <f>IF($A116=1,Sales_Daily!$AI13,"")</f>
        <v/>
      </c>
      <c r="N116" s="43">
        <f>IF($A116=1,0,"")</f>
        <v/>
      </c>
      <c r="O116" s="32">
        <f>IF($A116=1,Sales_Daily!$S13,"")</f>
        <v/>
      </c>
      <c r="P116" s="32">
        <f>IF($A116=1,IF(Sales_Daily!$AW13="","",Sales_Daily!$AW13),"")</f>
        <v/>
      </c>
      <c r="Q116" s="32">
        <f>IF($A116=1,Sales_Daily!$AY13,"")</f>
        <v/>
      </c>
      <c r="R116" s="32">
        <f>IF($A116=1,IF(AND($Q116=1,COUNTIFS(COA!$A:$A,$G116,COA!$R:$R,1)=1),1,0),"")</f>
        <v/>
      </c>
      <c r="S116" s="43">
        <f>IF($A116=1,IF($R116=1,N($M116),0),"")</f>
        <v/>
      </c>
      <c r="T116" s="43">
        <f>IF($A116=1,IF($R116=1,N($N116),0),"")</f>
        <v/>
      </c>
      <c r="U116" s="32">
        <f>IF($A116=1,YEAR($D116)*100+MONTH($D116),"")</f>
        <v/>
      </c>
      <c r="V116" s="32">
        <f>IF($A116=1,IF(COUNTIF(COA!$A:$A,$G116)=0,0,INDEX(COA!$H:$H,MATCH($G116,COA!$A:$A,0))),"")</f>
        <v/>
      </c>
      <c r="W116" s="32">
        <f>IF($A116=1,"","")</f>
        <v/>
      </c>
      <c r="X116" s="32">
        <f>IF($A116=1,IF($R116=1,"",IF($O116=ST_POST,IF($P116&lt;&gt;"",$P116,"حساب غير صالح أو غير نشط"),IF($O116=ST_REV,"معكوس: لا أثر على الدفاتر",IF($O116=ST_CANC,"ملغى",IF($O116=ST_APPR,"معتمد ولم يُرحَّل","مسودة"))))),"")</f>
        <v/>
      </c>
      <c r="Y116" s="32">
        <f>IF($A116=1,IF(AND($R116=1,OR(LG_Acct="",$G116=LG_Acct),OR(LG_Party="",$K116=LG_Party),OR(LG_Loc="ALL",$I116=LG_Loc),OR(LG_CC="ALL",$J116=LG_CC),$D116&gt;=LG_From,$D116&lt;=LG_To),$D116+ROW()/1000000,""),"")</f>
        <v/>
      </c>
      <c r="Z116" s="32">
        <f>IF($A116=1,IF(Sales_Daily!$T13="","",Sales_Daily!$T13),"")</f>
        <v/>
      </c>
      <c r="AA116" s="32">
        <f>IF($A116=1,IF(Sales_Daily!$U13="","",Sales_Daily!$U13),"")</f>
        <v/>
      </c>
      <c r="AB116" s="32">
        <f>IF($A116=1,IF(Sales_Daily!$V13="","",Sales_Daily!$V13),"")</f>
        <v/>
      </c>
      <c r="AC116" s="32">
        <f>IF($A116=1,IF(Sales_Daily!$W13="","",Sales_Daily!$W13),"")</f>
        <v/>
      </c>
      <c r="AD116" s="32">
        <f>IF($A116=1,IF(Sales_Daily!$X13="","",Sales_Daily!$X13),"")</f>
        <v/>
      </c>
      <c r="AE116" s="32">
        <f>IF($A116=1,0,"")</f>
        <v/>
      </c>
      <c r="AF116" s="32" t="inlineStr"/>
    </row>
    <row r="117">
      <c r="A117" s="32">
        <f>IF(AND(Sales_Daily!$AV13=1,N(Sales_Daily!$AD13)&gt;0),1,0)</f>
        <v/>
      </c>
      <c r="B117" s="32">
        <f>IF($A117=1,$E117&amp;"/9","")</f>
        <v/>
      </c>
      <c r="C117" s="32">
        <f>IF($A117=1,"J-"&amp;Sales_Daily!$A13,"")</f>
        <v/>
      </c>
      <c r="D117" s="33">
        <f>IF($A117=1,Sales_Daily!$B13,"")</f>
        <v/>
      </c>
      <c r="E117" s="32">
        <f>IF($A117=1,IF(Sales_Daily!$A13="","",Sales_Daily!$A13),"")</f>
        <v/>
      </c>
      <c r="F117" s="32">
        <f>IF($A117=1,"SAL","")</f>
        <v/>
      </c>
      <c r="G117" s="32">
        <f>IF($A117=1,IF(Sales_Daily!$AQ13="","",Sales_Daily!$AQ13),"")</f>
        <v/>
      </c>
      <c r="H117" s="32">
        <f>IF($A117=1,IF(COUNTIF(COA!$A:$A,$G117)=0,"حساب غير معرف",INDEX(COA!$B:$B,MATCH($G117,COA!$A:$A,0))),"")</f>
        <v/>
      </c>
      <c r="I117" s="32">
        <f>IF($A117=1,IF(Sales_Daily!$C13="","",Sales_Daily!$C13),"")</f>
        <v/>
      </c>
      <c r="J117" s="32">
        <f>IF($A117=1,"CC10","")</f>
        <v/>
      </c>
      <c r="K117" s="32">
        <f>IF($A117=1,"-","")</f>
        <v/>
      </c>
      <c r="L117" s="32">
        <f>IF($A117=1,"إيراد مبيعات - فئة فطير","")</f>
        <v/>
      </c>
      <c r="M117" s="43">
        <f>IF($A117=1,0,"")</f>
        <v/>
      </c>
      <c r="N117" s="43">
        <f>IF($A117=1,Sales_Daily!$AD13,"")</f>
        <v/>
      </c>
      <c r="O117" s="32">
        <f>IF($A117=1,Sales_Daily!$S13,"")</f>
        <v/>
      </c>
      <c r="P117" s="32">
        <f>IF($A117=1,IF(Sales_Daily!$AW13="","",Sales_Daily!$AW13),"")</f>
        <v/>
      </c>
      <c r="Q117" s="32">
        <f>IF($A117=1,Sales_Daily!$AY13,"")</f>
        <v/>
      </c>
      <c r="R117" s="32">
        <f>IF($A117=1,IF(AND($Q117=1,COUNTIFS(COA!$A:$A,$G117,COA!$R:$R,1)=1),1,0),"")</f>
        <v/>
      </c>
      <c r="S117" s="43">
        <f>IF($A117=1,IF($R117=1,N($M117),0),"")</f>
        <v/>
      </c>
      <c r="T117" s="43">
        <f>IF($A117=1,IF($R117=1,N($N117),0),"")</f>
        <v/>
      </c>
      <c r="U117" s="32">
        <f>IF($A117=1,YEAR($D117)*100+MONTH($D117),"")</f>
        <v/>
      </c>
      <c r="V117" s="32">
        <f>IF($A117=1,IF(COUNTIF(COA!$A:$A,$G117)=0,0,INDEX(COA!$H:$H,MATCH($G117,COA!$A:$A,0))),"")</f>
        <v/>
      </c>
      <c r="W117" s="32">
        <f>IF($A117=1,"","")</f>
        <v/>
      </c>
      <c r="X117" s="32">
        <f>IF($A117=1,IF($R117=1,"",IF($O117=ST_POST,IF($P117&lt;&gt;"",$P117,"حساب غير صالح أو غير نشط"),IF($O117=ST_REV,"معكوس: لا أثر على الدفاتر",IF($O117=ST_CANC,"ملغى",IF($O117=ST_APPR,"معتمد ولم يُرحَّل","مسودة"))))),"")</f>
        <v/>
      </c>
      <c r="Y117" s="32">
        <f>IF($A117=1,IF(AND($R117=1,OR(LG_Acct="",$G117=LG_Acct),OR(LG_Party="",$K117=LG_Party),OR(LG_Loc="ALL",$I117=LG_Loc),OR(LG_CC="ALL",$J117=LG_CC),$D117&gt;=LG_From,$D117&lt;=LG_To),$D117+ROW()/1000000,""),"")</f>
        <v/>
      </c>
      <c r="Z117" s="32">
        <f>IF($A117=1,IF(Sales_Daily!$T13="","",Sales_Daily!$T13),"")</f>
        <v/>
      </c>
      <c r="AA117" s="32">
        <f>IF($A117=1,IF(Sales_Daily!$U13="","",Sales_Daily!$U13),"")</f>
        <v/>
      </c>
      <c r="AB117" s="32">
        <f>IF($A117=1,IF(Sales_Daily!$V13="","",Sales_Daily!$V13),"")</f>
        <v/>
      </c>
      <c r="AC117" s="32">
        <f>IF($A117=1,IF(Sales_Daily!$W13="","",Sales_Daily!$W13),"")</f>
        <v/>
      </c>
      <c r="AD117" s="32">
        <f>IF($A117=1,IF(Sales_Daily!$X13="","",Sales_Daily!$X13),"")</f>
        <v/>
      </c>
      <c r="AE117" s="32">
        <f>IF($A117=1,0,"")</f>
        <v/>
      </c>
      <c r="AF117" s="32" t="inlineStr"/>
    </row>
    <row r="118">
      <c r="A118" s="32">
        <f>IF(AND(Sales_Daily!$AV13=1,N(Sales_Daily!$AE13)&gt;0),1,0)</f>
        <v/>
      </c>
      <c r="B118" s="32">
        <f>IF($A118=1,$E118&amp;"/10","")</f>
        <v/>
      </c>
      <c r="C118" s="32">
        <f>IF($A118=1,"J-"&amp;Sales_Daily!$A13,"")</f>
        <v/>
      </c>
      <c r="D118" s="33">
        <f>IF($A118=1,Sales_Daily!$B13,"")</f>
        <v/>
      </c>
      <c r="E118" s="32">
        <f>IF($A118=1,IF(Sales_Daily!$A13="","",Sales_Daily!$A13),"")</f>
        <v/>
      </c>
      <c r="F118" s="32">
        <f>IF($A118=1,"SAL","")</f>
        <v/>
      </c>
      <c r="G118" s="32">
        <f>IF($A118=1,IF(Sales_Daily!$AR13="","",Sales_Daily!$AR13),"")</f>
        <v/>
      </c>
      <c r="H118" s="32">
        <f>IF($A118=1,IF(COUNTIF(COA!$A:$A,$G118)=0,"حساب غير معرف",INDEX(COA!$B:$B,MATCH($G118,COA!$A:$A,0))),"")</f>
        <v/>
      </c>
      <c r="I118" s="32">
        <f>IF($A118=1,IF(Sales_Daily!$C13="","",Sales_Daily!$C13),"")</f>
        <v/>
      </c>
      <c r="J118" s="32">
        <f>IF($A118=1,"CC10","")</f>
        <v/>
      </c>
      <c r="K118" s="32">
        <f>IF($A118=1,"-","")</f>
        <v/>
      </c>
      <c r="L118" s="32">
        <f>IF($A118=1,"إيراد مبيعات - فئة بيتزا","")</f>
        <v/>
      </c>
      <c r="M118" s="43">
        <f>IF($A118=1,0,"")</f>
        <v/>
      </c>
      <c r="N118" s="43">
        <f>IF($A118=1,Sales_Daily!$AE13,"")</f>
        <v/>
      </c>
      <c r="O118" s="32">
        <f>IF($A118=1,Sales_Daily!$S13,"")</f>
        <v/>
      </c>
      <c r="P118" s="32">
        <f>IF($A118=1,IF(Sales_Daily!$AW13="","",Sales_Daily!$AW13),"")</f>
        <v/>
      </c>
      <c r="Q118" s="32">
        <f>IF($A118=1,Sales_Daily!$AY13,"")</f>
        <v/>
      </c>
      <c r="R118" s="32">
        <f>IF($A118=1,IF(AND($Q118=1,COUNTIFS(COA!$A:$A,$G118,COA!$R:$R,1)=1),1,0),"")</f>
        <v/>
      </c>
      <c r="S118" s="43">
        <f>IF($A118=1,IF($R118=1,N($M118),0),"")</f>
        <v/>
      </c>
      <c r="T118" s="43">
        <f>IF($A118=1,IF($R118=1,N($N118),0),"")</f>
        <v/>
      </c>
      <c r="U118" s="32">
        <f>IF($A118=1,YEAR($D118)*100+MONTH($D118),"")</f>
        <v/>
      </c>
      <c r="V118" s="32">
        <f>IF($A118=1,IF(COUNTIF(COA!$A:$A,$G118)=0,0,INDEX(COA!$H:$H,MATCH($G118,COA!$A:$A,0))),"")</f>
        <v/>
      </c>
      <c r="W118" s="32">
        <f>IF($A118=1,"","")</f>
        <v/>
      </c>
      <c r="X118" s="32">
        <f>IF($A118=1,IF($R118=1,"",IF($O118=ST_POST,IF($P118&lt;&gt;"",$P118,"حساب غير صالح أو غير نشط"),IF($O118=ST_REV,"معكوس: لا أثر على الدفاتر",IF($O118=ST_CANC,"ملغى",IF($O118=ST_APPR,"معتمد ولم يُرحَّل","مسودة"))))),"")</f>
        <v/>
      </c>
      <c r="Y118" s="32">
        <f>IF($A118=1,IF(AND($R118=1,OR(LG_Acct="",$G118=LG_Acct),OR(LG_Party="",$K118=LG_Party),OR(LG_Loc="ALL",$I118=LG_Loc),OR(LG_CC="ALL",$J118=LG_CC),$D118&gt;=LG_From,$D118&lt;=LG_To),$D118+ROW()/1000000,""),"")</f>
        <v/>
      </c>
      <c r="Z118" s="32">
        <f>IF($A118=1,IF(Sales_Daily!$T13="","",Sales_Daily!$T13),"")</f>
        <v/>
      </c>
      <c r="AA118" s="32">
        <f>IF($A118=1,IF(Sales_Daily!$U13="","",Sales_Daily!$U13),"")</f>
        <v/>
      </c>
      <c r="AB118" s="32">
        <f>IF($A118=1,IF(Sales_Daily!$V13="","",Sales_Daily!$V13),"")</f>
        <v/>
      </c>
      <c r="AC118" s="32">
        <f>IF($A118=1,IF(Sales_Daily!$W13="","",Sales_Daily!$W13),"")</f>
        <v/>
      </c>
      <c r="AD118" s="32">
        <f>IF($A118=1,IF(Sales_Daily!$X13="","",Sales_Daily!$X13),"")</f>
        <v/>
      </c>
      <c r="AE118" s="32">
        <f>IF($A118=1,0,"")</f>
        <v/>
      </c>
      <c r="AF118" s="32" t="inlineStr"/>
    </row>
    <row r="119">
      <c r="A119" s="32">
        <f>IF(AND(Sales_Daily!$AV13=1,N(Sales_Daily!$AF13)&gt;0),1,0)</f>
        <v/>
      </c>
      <c r="B119" s="32">
        <f>IF($A119=1,$E119&amp;"/11","")</f>
        <v/>
      </c>
      <c r="C119" s="32">
        <f>IF($A119=1,"J-"&amp;Sales_Daily!$A13,"")</f>
        <v/>
      </c>
      <c r="D119" s="33">
        <f>IF($A119=1,Sales_Daily!$B13,"")</f>
        <v/>
      </c>
      <c r="E119" s="32">
        <f>IF($A119=1,IF(Sales_Daily!$A13="","",Sales_Daily!$A13),"")</f>
        <v/>
      </c>
      <c r="F119" s="32">
        <f>IF($A119=1,"SAL","")</f>
        <v/>
      </c>
      <c r="G119" s="32">
        <f>IF($A119=1,IF(Sales_Daily!$AS13="","",Sales_Daily!$AS13),"")</f>
        <v/>
      </c>
      <c r="H119" s="32">
        <f>IF($A119=1,IF(COUNTIF(COA!$A:$A,$G119)=0,"حساب غير معرف",INDEX(COA!$B:$B,MATCH($G119,COA!$A:$A,0))),"")</f>
        <v/>
      </c>
      <c r="I119" s="32">
        <f>IF($A119=1,IF(Sales_Daily!$C13="","",Sales_Daily!$C13),"")</f>
        <v/>
      </c>
      <c r="J119" s="32">
        <f>IF($A119=1,"CC10","")</f>
        <v/>
      </c>
      <c r="K119" s="32">
        <f>IF($A119=1,"-","")</f>
        <v/>
      </c>
      <c r="L119" s="32">
        <f>IF($A119=1,"إيراد مبيعات - فئة مكرونات","")</f>
        <v/>
      </c>
      <c r="M119" s="43">
        <f>IF($A119=1,0,"")</f>
        <v/>
      </c>
      <c r="N119" s="43">
        <f>IF($A119=1,Sales_Daily!$AF13,"")</f>
        <v/>
      </c>
      <c r="O119" s="32">
        <f>IF($A119=1,Sales_Daily!$S13,"")</f>
        <v/>
      </c>
      <c r="P119" s="32">
        <f>IF($A119=1,IF(Sales_Daily!$AW13="","",Sales_Daily!$AW13),"")</f>
        <v/>
      </c>
      <c r="Q119" s="32">
        <f>IF($A119=1,Sales_Daily!$AY13,"")</f>
        <v/>
      </c>
      <c r="R119" s="32">
        <f>IF($A119=1,IF(AND($Q119=1,COUNTIFS(COA!$A:$A,$G119,COA!$R:$R,1)=1),1,0),"")</f>
        <v/>
      </c>
      <c r="S119" s="43">
        <f>IF($A119=1,IF($R119=1,N($M119),0),"")</f>
        <v/>
      </c>
      <c r="T119" s="43">
        <f>IF($A119=1,IF($R119=1,N($N119),0),"")</f>
        <v/>
      </c>
      <c r="U119" s="32">
        <f>IF($A119=1,YEAR($D119)*100+MONTH($D119),"")</f>
        <v/>
      </c>
      <c r="V119" s="32">
        <f>IF($A119=1,IF(COUNTIF(COA!$A:$A,$G119)=0,0,INDEX(COA!$H:$H,MATCH($G119,COA!$A:$A,0))),"")</f>
        <v/>
      </c>
      <c r="W119" s="32">
        <f>IF($A119=1,"","")</f>
        <v/>
      </c>
      <c r="X119" s="32">
        <f>IF($A119=1,IF($R119=1,"",IF($O119=ST_POST,IF($P119&lt;&gt;"",$P119,"حساب غير صالح أو غير نشط"),IF($O119=ST_REV,"معكوس: لا أثر على الدفاتر",IF($O119=ST_CANC,"ملغى",IF($O119=ST_APPR,"معتمد ولم يُرحَّل","مسودة"))))),"")</f>
        <v/>
      </c>
      <c r="Y119" s="32">
        <f>IF($A119=1,IF(AND($R119=1,OR(LG_Acct="",$G119=LG_Acct),OR(LG_Party="",$K119=LG_Party),OR(LG_Loc="ALL",$I119=LG_Loc),OR(LG_CC="ALL",$J119=LG_CC),$D119&gt;=LG_From,$D119&lt;=LG_To),$D119+ROW()/1000000,""),"")</f>
        <v/>
      </c>
      <c r="Z119" s="32">
        <f>IF($A119=1,IF(Sales_Daily!$T13="","",Sales_Daily!$T13),"")</f>
        <v/>
      </c>
      <c r="AA119" s="32">
        <f>IF($A119=1,IF(Sales_Daily!$U13="","",Sales_Daily!$U13),"")</f>
        <v/>
      </c>
      <c r="AB119" s="32">
        <f>IF($A119=1,IF(Sales_Daily!$V13="","",Sales_Daily!$V13),"")</f>
        <v/>
      </c>
      <c r="AC119" s="32">
        <f>IF($A119=1,IF(Sales_Daily!$W13="","",Sales_Daily!$W13),"")</f>
        <v/>
      </c>
      <c r="AD119" s="32">
        <f>IF($A119=1,IF(Sales_Daily!$X13="","",Sales_Daily!$X13),"")</f>
        <v/>
      </c>
      <c r="AE119" s="32">
        <f>IF($A119=1,0,"")</f>
        <v/>
      </c>
      <c r="AF119" s="32" t="inlineStr"/>
    </row>
    <row r="120">
      <c r="A120" s="32">
        <f>IF(AND(Sales_Daily!$AV13=1,N(Sales_Daily!$AG13)&gt;0),1,0)</f>
        <v/>
      </c>
      <c r="B120" s="32">
        <f>IF($A120=1,$E120&amp;"/12","")</f>
        <v/>
      </c>
      <c r="C120" s="32">
        <f>IF($A120=1,"J-"&amp;Sales_Daily!$A13,"")</f>
        <v/>
      </c>
      <c r="D120" s="33">
        <f>IF($A120=1,Sales_Daily!$B13,"")</f>
        <v/>
      </c>
      <c r="E120" s="32">
        <f>IF($A120=1,IF(Sales_Daily!$A13="","",Sales_Daily!$A13),"")</f>
        <v/>
      </c>
      <c r="F120" s="32">
        <f>IF($A120=1,"SAL","")</f>
        <v/>
      </c>
      <c r="G120" s="32">
        <f>IF($A120=1,IF(Sales_Daily!$AT13="","",Sales_Daily!$AT13),"")</f>
        <v/>
      </c>
      <c r="H120" s="32">
        <f>IF($A120=1,IF(COUNTIF(COA!$A:$A,$G120)=0,"حساب غير معرف",INDEX(COA!$B:$B,MATCH($G120,COA!$A:$A,0))),"")</f>
        <v/>
      </c>
      <c r="I120" s="32">
        <f>IF($A120=1,IF(Sales_Daily!$C13="","",Sales_Daily!$C13),"")</f>
        <v/>
      </c>
      <c r="J120" s="32">
        <f>IF($A120=1,"CC10","")</f>
        <v/>
      </c>
      <c r="K120" s="32">
        <f>IF($A120=1,"-","")</f>
        <v/>
      </c>
      <c r="L120" s="32">
        <f>IF($A120=1,"إيراد مبيعات - فئة أخرى","")</f>
        <v/>
      </c>
      <c r="M120" s="43">
        <f>IF($A120=1,0,"")</f>
        <v/>
      </c>
      <c r="N120" s="43">
        <f>IF($A120=1,Sales_Daily!$AG13,"")</f>
        <v/>
      </c>
      <c r="O120" s="32">
        <f>IF($A120=1,Sales_Daily!$S13,"")</f>
        <v/>
      </c>
      <c r="P120" s="32">
        <f>IF($A120=1,IF(Sales_Daily!$AW13="","",Sales_Daily!$AW13),"")</f>
        <v/>
      </c>
      <c r="Q120" s="32">
        <f>IF($A120=1,Sales_Daily!$AY13,"")</f>
        <v/>
      </c>
      <c r="R120" s="32">
        <f>IF($A120=1,IF(AND($Q120=1,COUNTIFS(COA!$A:$A,$G120,COA!$R:$R,1)=1),1,0),"")</f>
        <v/>
      </c>
      <c r="S120" s="43">
        <f>IF($A120=1,IF($R120=1,N($M120),0),"")</f>
        <v/>
      </c>
      <c r="T120" s="43">
        <f>IF($A120=1,IF($R120=1,N($N120),0),"")</f>
        <v/>
      </c>
      <c r="U120" s="32">
        <f>IF($A120=1,YEAR($D120)*100+MONTH($D120),"")</f>
        <v/>
      </c>
      <c r="V120" s="32">
        <f>IF($A120=1,IF(COUNTIF(COA!$A:$A,$G120)=0,0,INDEX(COA!$H:$H,MATCH($G120,COA!$A:$A,0))),"")</f>
        <v/>
      </c>
      <c r="W120" s="32">
        <f>IF($A120=1,"","")</f>
        <v/>
      </c>
      <c r="X120" s="32">
        <f>IF($A120=1,IF($R120=1,"",IF($O120=ST_POST,IF($P120&lt;&gt;"",$P120,"حساب غير صالح أو غير نشط"),IF($O120=ST_REV,"معكوس: لا أثر على الدفاتر",IF($O120=ST_CANC,"ملغى",IF($O120=ST_APPR,"معتمد ولم يُرحَّل","مسودة"))))),"")</f>
        <v/>
      </c>
      <c r="Y120" s="32">
        <f>IF($A120=1,IF(AND($R120=1,OR(LG_Acct="",$G120=LG_Acct),OR(LG_Party="",$K120=LG_Party),OR(LG_Loc="ALL",$I120=LG_Loc),OR(LG_CC="ALL",$J120=LG_CC),$D120&gt;=LG_From,$D120&lt;=LG_To),$D120+ROW()/1000000,""),"")</f>
        <v/>
      </c>
      <c r="Z120" s="32">
        <f>IF($A120=1,IF(Sales_Daily!$T13="","",Sales_Daily!$T13),"")</f>
        <v/>
      </c>
      <c r="AA120" s="32">
        <f>IF($A120=1,IF(Sales_Daily!$U13="","",Sales_Daily!$U13),"")</f>
        <v/>
      </c>
      <c r="AB120" s="32">
        <f>IF($A120=1,IF(Sales_Daily!$V13="","",Sales_Daily!$V13),"")</f>
        <v/>
      </c>
      <c r="AC120" s="32">
        <f>IF($A120=1,IF(Sales_Daily!$W13="","",Sales_Daily!$W13),"")</f>
        <v/>
      </c>
      <c r="AD120" s="32">
        <f>IF($A120=1,IF(Sales_Daily!$X13="","",Sales_Daily!$X13),"")</f>
        <v/>
      </c>
      <c r="AE120" s="32">
        <f>IF($A120=1,0,"")</f>
        <v/>
      </c>
      <c r="AF120" s="32" t="inlineStr"/>
    </row>
    <row r="121">
      <c r="A121" s="32">
        <f>IF(AND(Sales_Daily!$AV13=1,N(Sales_Daily!$AJ13)&gt;0),1,0)</f>
        <v/>
      </c>
      <c r="B121" s="32">
        <f>IF($A121=1,$E121&amp;"/13","")</f>
        <v/>
      </c>
      <c r="C121" s="32">
        <f>IF($A121=1,"J-"&amp;Sales_Daily!$A13,"")</f>
        <v/>
      </c>
      <c r="D121" s="33">
        <f>IF($A121=1,Sales_Daily!$B13,"")</f>
        <v/>
      </c>
      <c r="E121" s="32">
        <f>IF($A121=1,IF(Sales_Daily!$A13="","",Sales_Daily!$A13),"")</f>
        <v/>
      </c>
      <c r="F121" s="32">
        <f>IF($A121=1,"SAL","")</f>
        <v/>
      </c>
      <c r="G121" s="32">
        <f>IF($A121=1,ACC_VAT_OUT,"")</f>
        <v/>
      </c>
      <c r="H121" s="32">
        <f>IF($A121=1,IF(COUNTIF(COA!$A:$A,$G121)=0,"حساب غير معرف",INDEX(COA!$B:$B,MATCH($G121,COA!$A:$A,0))),"")</f>
        <v/>
      </c>
      <c r="I121" s="32">
        <f>IF($A121=1,IF(Sales_Daily!$C13="","",Sales_Daily!$C13),"")</f>
        <v/>
      </c>
      <c r="J121" s="32">
        <f>IF($A121=1,"CC10","")</f>
        <v/>
      </c>
      <c r="K121" s="32">
        <f>IF($A121=1,"-","")</f>
        <v/>
      </c>
      <c r="L121" s="32">
        <f>IF($A121=1,"ضريبة القيمة المضافة - مخرجات","")</f>
        <v/>
      </c>
      <c r="M121" s="43">
        <f>IF($A121=1,0,"")</f>
        <v/>
      </c>
      <c r="N121" s="43">
        <f>IF($A121=1,Sales_Daily!$AJ13,"")</f>
        <v/>
      </c>
      <c r="O121" s="32">
        <f>IF($A121=1,Sales_Daily!$S13,"")</f>
        <v/>
      </c>
      <c r="P121" s="32">
        <f>IF($A121=1,IF(Sales_Daily!$AW13="","",Sales_Daily!$AW13),"")</f>
        <v/>
      </c>
      <c r="Q121" s="32">
        <f>IF($A121=1,Sales_Daily!$AY13,"")</f>
        <v/>
      </c>
      <c r="R121" s="32">
        <f>IF($A121=1,IF(AND($Q121=1,COUNTIFS(COA!$A:$A,$G121,COA!$R:$R,1)=1),1,0),"")</f>
        <v/>
      </c>
      <c r="S121" s="43">
        <f>IF($A121=1,IF($R121=1,N($M121),0),"")</f>
        <v/>
      </c>
      <c r="T121" s="43">
        <f>IF($A121=1,IF($R121=1,N($N121),0),"")</f>
        <v/>
      </c>
      <c r="U121" s="32">
        <f>IF($A121=1,YEAR($D121)*100+MONTH($D121),"")</f>
        <v/>
      </c>
      <c r="V121" s="32">
        <f>IF($A121=1,IF(COUNTIF(COA!$A:$A,$G121)=0,0,INDEX(COA!$H:$H,MATCH($G121,COA!$A:$A,0))),"")</f>
        <v/>
      </c>
      <c r="W121" s="32">
        <f>IF($A121=1,"","")</f>
        <v/>
      </c>
      <c r="X121" s="32">
        <f>IF($A121=1,IF($R121=1,"",IF($O121=ST_POST,IF($P121&lt;&gt;"",$P121,"حساب غير صالح أو غير نشط"),IF($O121=ST_REV,"معكوس: لا أثر على الدفاتر",IF($O121=ST_CANC,"ملغى",IF($O121=ST_APPR,"معتمد ولم يُرحَّل","مسودة"))))),"")</f>
        <v/>
      </c>
      <c r="Y121" s="32">
        <f>IF($A121=1,IF(AND($R121=1,OR(LG_Acct="",$G121=LG_Acct),OR(LG_Party="",$K121=LG_Party),OR(LG_Loc="ALL",$I121=LG_Loc),OR(LG_CC="ALL",$J121=LG_CC),$D121&gt;=LG_From,$D121&lt;=LG_To),$D121+ROW()/1000000,""),"")</f>
        <v/>
      </c>
      <c r="Z121" s="32">
        <f>IF($A121=1,IF(Sales_Daily!$T13="","",Sales_Daily!$T13),"")</f>
        <v/>
      </c>
      <c r="AA121" s="32">
        <f>IF($A121=1,IF(Sales_Daily!$U13="","",Sales_Daily!$U13),"")</f>
        <v/>
      </c>
      <c r="AB121" s="32">
        <f>IF($A121=1,IF(Sales_Daily!$V13="","",Sales_Daily!$V13),"")</f>
        <v/>
      </c>
      <c r="AC121" s="32">
        <f>IF($A121=1,IF(Sales_Daily!$W13="","",Sales_Daily!$W13),"")</f>
        <v/>
      </c>
      <c r="AD121" s="32">
        <f>IF($A121=1,IF(Sales_Daily!$X13="","",Sales_Daily!$X13),"")</f>
        <v/>
      </c>
      <c r="AE121" s="32">
        <f>IF($A121=1,0,"")</f>
        <v/>
      </c>
      <c r="AF121" s="32" t="inlineStr"/>
    </row>
    <row r="122">
      <c r="A122" s="32">
        <f>IF(AND(Sales_Daily!$AV14=1,N(Sales_Daily!$L14)&gt;0),1,0)</f>
        <v/>
      </c>
      <c r="B122" s="32">
        <f>IF($A122=1,$E122&amp;"/1","")</f>
        <v/>
      </c>
      <c r="C122" s="32">
        <f>IF($A122=1,"J-"&amp;Sales_Daily!$A14,"")</f>
        <v/>
      </c>
      <c r="D122" s="33">
        <f>IF($A122=1,Sales_Daily!$B14,"")</f>
        <v/>
      </c>
      <c r="E122" s="32">
        <f>IF($A122=1,IF(Sales_Daily!$A14="","",Sales_Daily!$A14),"")</f>
        <v/>
      </c>
      <c r="F122" s="32">
        <f>IF($A122=1,"SAL","")</f>
        <v/>
      </c>
      <c r="G122" s="32">
        <f>IF($A122=1,IF(Sales_Daily!$AK14="","",Sales_Daily!$AK14),"")</f>
        <v/>
      </c>
      <c r="H122" s="32">
        <f>IF($A122=1,IF(COUNTIF(COA!$A:$A,$G122)=0,"حساب غير معرف",INDEX(COA!$B:$B,MATCH($G122,COA!$A:$A,0))),"")</f>
        <v/>
      </c>
      <c r="I122" s="32">
        <f>IF($A122=1,IF(Sales_Daily!$C14="","",Sales_Daily!$C14),"")</f>
        <v/>
      </c>
      <c r="J122" s="32">
        <f>IF($A122=1,"CC10","")</f>
        <v/>
      </c>
      <c r="K122" s="32">
        <f>IF($A122=1,"-","")</f>
        <v/>
      </c>
      <c r="L122" s="32">
        <f>IF($A122=1,"مبيعات - تحصيل CASH","")</f>
        <v/>
      </c>
      <c r="M122" s="43">
        <f>IF($A122=1,Sales_Daily!$L14,"")</f>
        <v/>
      </c>
      <c r="N122" s="43">
        <f>IF($A122=1,0,"")</f>
        <v/>
      </c>
      <c r="O122" s="32">
        <f>IF($A122=1,Sales_Daily!$S14,"")</f>
        <v/>
      </c>
      <c r="P122" s="32">
        <f>IF($A122=1,IF(Sales_Daily!$AW14="","",Sales_Daily!$AW14),"")</f>
        <v/>
      </c>
      <c r="Q122" s="32">
        <f>IF($A122=1,Sales_Daily!$AY14,"")</f>
        <v/>
      </c>
      <c r="R122" s="32">
        <f>IF($A122=1,IF(AND($Q122=1,COUNTIFS(COA!$A:$A,$G122,COA!$R:$R,1)=1),1,0),"")</f>
        <v/>
      </c>
      <c r="S122" s="43">
        <f>IF($A122=1,IF($R122=1,N($M122),0),"")</f>
        <v/>
      </c>
      <c r="T122" s="43">
        <f>IF($A122=1,IF($R122=1,N($N122),0),"")</f>
        <v/>
      </c>
      <c r="U122" s="32">
        <f>IF($A122=1,YEAR($D122)*100+MONTH($D122),"")</f>
        <v/>
      </c>
      <c r="V122" s="32">
        <f>IF($A122=1,IF(COUNTIF(COA!$A:$A,$G122)=0,0,INDEX(COA!$H:$H,MATCH($G122,COA!$A:$A,0))),"")</f>
        <v/>
      </c>
      <c r="W122" s="32">
        <f>IF($A122=1,"OPERATING","")</f>
        <v/>
      </c>
      <c r="X122" s="32">
        <f>IF($A122=1,IF($R122=1,"",IF($O122=ST_POST,IF($P122&lt;&gt;"",$P122,"حساب غير صالح أو غير نشط"),IF($O122=ST_REV,"معكوس: لا أثر على الدفاتر",IF($O122=ST_CANC,"ملغى",IF($O122=ST_APPR,"معتمد ولم يُرحَّل","مسودة"))))),"")</f>
        <v/>
      </c>
      <c r="Y122" s="32">
        <f>IF($A122=1,IF(AND($R122=1,OR(LG_Acct="",$G122=LG_Acct),OR(LG_Party="",$K122=LG_Party),OR(LG_Loc="ALL",$I122=LG_Loc),OR(LG_CC="ALL",$J122=LG_CC),$D122&gt;=LG_From,$D122&lt;=LG_To),$D122+ROW()/1000000,""),"")</f>
        <v/>
      </c>
      <c r="Z122" s="32">
        <f>IF($A122=1,IF(Sales_Daily!$T14="","",Sales_Daily!$T14),"")</f>
        <v/>
      </c>
      <c r="AA122" s="32">
        <f>IF($A122=1,IF(Sales_Daily!$U14="","",Sales_Daily!$U14),"")</f>
        <v/>
      </c>
      <c r="AB122" s="32">
        <f>IF($A122=1,IF(Sales_Daily!$V14="","",Sales_Daily!$V14),"")</f>
        <v/>
      </c>
      <c r="AC122" s="32">
        <f>IF($A122=1,IF(Sales_Daily!$W14="","",Sales_Daily!$W14),"")</f>
        <v/>
      </c>
      <c r="AD122" s="32">
        <f>IF($A122=1,IF(Sales_Daily!$X14="","",Sales_Daily!$X14),"")</f>
        <v/>
      </c>
      <c r="AE122" s="32">
        <f>IF($A122=1,0,"")</f>
        <v/>
      </c>
      <c r="AF122" s="32" t="inlineStr"/>
    </row>
    <row r="123">
      <c r="A123" s="32">
        <f>IF(AND(Sales_Daily!$AV14=1,N(Sales_Daily!$M14)&gt;0),1,0)</f>
        <v/>
      </c>
      <c r="B123" s="32">
        <f>IF($A123=1,$E123&amp;"/2","")</f>
        <v/>
      </c>
      <c r="C123" s="32">
        <f>IF($A123=1,"J-"&amp;Sales_Daily!$A14,"")</f>
        <v/>
      </c>
      <c r="D123" s="33">
        <f>IF($A123=1,Sales_Daily!$B14,"")</f>
        <v/>
      </c>
      <c r="E123" s="32">
        <f>IF($A123=1,IF(Sales_Daily!$A14="","",Sales_Daily!$A14),"")</f>
        <v/>
      </c>
      <c r="F123" s="32">
        <f>IF($A123=1,"SAL","")</f>
        <v/>
      </c>
      <c r="G123" s="32">
        <f>IF($A123=1,IF(Sales_Daily!$AL14="","",Sales_Daily!$AL14),"")</f>
        <v/>
      </c>
      <c r="H123" s="32">
        <f>IF($A123=1,IF(COUNTIF(COA!$A:$A,$G123)=0,"حساب غير معرف",INDEX(COA!$B:$B,MATCH($G123,COA!$A:$A,0))),"")</f>
        <v/>
      </c>
      <c r="I123" s="32">
        <f>IF($A123=1,IF(Sales_Daily!$C14="","",Sales_Daily!$C14),"")</f>
        <v/>
      </c>
      <c r="J123" s="32">
        <f>IF($A123=1,"CC10","")</f>
        <v/>
      </c>
      <c r="K123" s="32">
        <f>IF($A123=1,"-","")</f>
        <v/>
      </c>
      <c r="L123" s="32">
        <f>IF($A123=1,"مبيعات - تحصيل CARD","")</f>
        <v/>
      </c>
      <c r="M123" s="43">
        <f>IF($A123=1,Sales_Daily!$M14,"")</f>
        <v/>
      </c>
      <c r="N123" s="43">
        <f>IF($A123=1,0,"")</f>
        <v/>
      </c>
      <c r="O123" s="32">
        <f>IF($A123=1,Sales_Daily!$S14,"")</f>
        <v/>
      </c>
      <c r="P123" s="32">
        <f>IF($A123=1,IF(Sales_Daily!$AW14="","",Sales_Daily!$AW14),"")</f>
        <v/>
      </c>
      <c r="Q123" s="32">
        <f>IF($A123=1,Sales_Daily!$AY14,"")</f>
        <v/>
      </c>
      <c r="R123" s="32">
        <f>IF($A123=1,IF(AND($Q123=1,COUNTIFS(COA!$A:$A,$G123,COA!$R:$R,1)=1),1,0),"")</f>
        <v/>
      </c>
      <c r="S123" s="43">
        <f>IF($A123=1,IF($R123=1,N($M123),0),"")</f>
        <v/>
      </c>
      <c r="T123" s="43">
        <f>IF($A123=1,IF($R123=1,N($N123),0),"")</f>
        <v/>
      </c>
      <c r="U123" s="32">
        <f>IF($A123=1,YEAR($D123)*100+MONTH($D123),"")</f>
        <v/>
      </c>
      <c r="V123" s="32">
        <f>IF($A123=1,IF(COUNTIF(COA!$A:$A,$G123)=0,0,INDEX(COA!$H:$H,MATCH($G123,COA!$A:$A,0))),"")</f>
        <v/>
      </c>
      <c r="W123" s="32">
        <f>IF($A123=1,"OPERATING","")</f>
        <v/>
      </c>
      <c r="X123" s="32">
        <f>IF($A123=1,IF($R123=1,"",IF($O123=ST_POST,IF($P123&lt;&gt;"",$P123,"حساب غير صالح أو غير نشط"),IF($O123=ST_REV,"معكوس: لا أثر على الدفاتر",IF($O123=ST_CANC,"ملغى",IF($O123=ST_APPR,"معتمد ولم يُرحَّل","مسودة"))))),"")</f>
        <v/>
      </c>
      <c r="Y123" s="32">
        <f>IF($A123=1,IF(AND($R123=1,OR(LG_Acct="",$G123=LG_Acct),OR(LG_Party="",$K123=LG_Party),OR(LG_Loc="ALL",$I123=LG_Loc),OR(LG_CC="ALL",$J123=LG_CC),$D123&gt;=LG_From,$D123&lt;=LG_To),$D123+ROW()/1000000,""),"")</f>
        <v/>
      </c>
      <c r="Z123" s="32">
        <f>IF($A123=1,IF(Sales_Daily!$T14="","",Sales_Daily!$T14),"")</f>
        <v/>
      </c>
      <c r="AA123" s="32">
        <f>IF($A123=1,IF(Sales_Daily!$U14="","",Sales_Daily!$U14),"")</f>
        <v/>
      </c>
      <c r="AB123" s="32">
        <f>IF($A123=1,IF(Sales_Daily!$V14="","",Sales_Daily!$V14),"")</f>
        <v/>
      </c>
      <c r="AC123" s="32">
        <f>IF($A123=1,IF(Sales_Daily!$W14="","",Sales_Daily!$W14),"")</f>
        <v/>
      </c>
      <c r="AD123" s="32">
        <f>IF($A123=1,IF(Sales_Daily!$X14="","",Sales_Daily!$X14),"")</f>
        <v/>
      </c>
      <c r="AE123" s="32">
        <f>IF($A123=1,0,"")</f>
        <v/>
      </c>
      <c r="AF123" s="32" t="inlineStr"/>
    </row>
    <row r="124">
      <c r="A124" s="32">
        <f>IF(AND(Sales_Daily!$AV14=1,N(Sales_Daily!$N14)&gt;0),1,0)</f>
        <v/>
      </c>
      <c r="B124" s="32">
        <f>IF($A124=1,$E124&amp;"/3","")</f>
        <v/>
      </c>
      <c r="C124" s="32">
        <f>IF($A124=1,"J-"&amp;Sales_Daily!$A14,"")</f>
        <v/>
      </c>
      <c r="D124" s="33">
        <f>IF($A124=1,Sales_Daily!$B14,"")</f>
        <v/>
      </c>
      <c r="E124" s="32">
        <f>IF($A124=1,IF(Sales_Daily!$A14="","",Sales_Daily!$A14),"")</f>
        <v/>
      </c>
      <c r="F124" s="32">
        <f>IF($A124=1,"SAL","")</f>
        <v/>
      </c>
      <c r="G124" s="32">
        <f>IF($A124=1,IF(Sales_Daily!$AM14="","",Sales_Daily!$AM14),"")</f>
        <v/>
      </c>
      <c r="H124" s="32">
        <f>IF($A124=1,IF(COUNTIF(COA!$A:$A,$G124)=0,"حساب غير معرف",INDEX(COA!$B:$B,MATCH($G124,COA!$A:$A,0))),"")</f>
        <v/>
      </c>
      <c r="I124" s="32">
        <f>IF($A124=1,IF(Sales_Daily!$C14="","",Sales_Daily!$C14),"")</f>
        <v/>
      </c>
      <c r="J124" s="32">
        <f>IF($A124=1,"CC10","")</f>
        <v/>
      </c>
      <c r="K124" s="32">
        <f>IF($A124=1,"-","")</f>
        <v/>
      </c>
      <c r="L124" s="32">
        <f>IF($A124=1,"مبيعات - تحصيل TLB","")</f>
        <v/>
      </c>
      <c r="M124" s="43">
        <f>IF($A124=1,Sales_Daily!$N14,"")</f>
        <v/>
      </c>
      <c r="N124" s="43">
        <f>IF($A124=1,0,"")</f>
        <v/>
      </c>
      <c r="O124" s="32">
        <f>IF($A124=1,Sales_Daily!$S14,"")</f>
        <v/>
      </c>
      <c r="P124" s="32">
        <f>IF($A124=1,IF(Sales_Daily!$AW14="","",Sales_Daily!$AW14),"")</f>
        <v/>
      </c>
      <c r="Q124" s="32">
        <f>IF($A124=1,Sales_Daily!$AY14,"")</f>
        <v/>
      </c>
      <c r="R124" s="32">
        <f>IF($A124=1,IF(AND($Q124=1,COUNTIFS(COA!$A:$A,$G124,COA!$R:$R,1)=1),1,0),"")</f>
        <v/>
      </c>
      <c r="S124" s="43">
        <f>IF($A124=1,IF($R124=1,N($M124),0),"")</f>
        <v/>
      </c>
      <c r="T124" s="43">
        <f>IF($A124=1,IF($R124=1,N($N124),0),"")</f>
        <v/>
      </c>
      <c r="U124" s="32">
        <f>IF($A124=1,YEAR($D124)*100+MONTH($D124),"")</f>
        <v/>
      </c>
      <c r="V124" s="32">
        <f>IF($A124=1,IF(COUNTIF(COA!$A:$A,$G124)=0,0,INDEX(COA!$H:$H,MATCH($G124,COA!$A:$A,0))),"")</f>
        <v/>
      </c>
      <c r="W124" s="32">
        <f>IF($A124=1,"OPERATING","")</f>
        <v/>
      </c>
      <c r="X124" s="32">
        <f>IF($A124=1,IF($R124=1,"",IF($O124=ST_POST,IF($P124&lt;&gt;"",$P124,"حساب غير صالح أو غير نشط"),IF($O124=ST_REV,"معكوس: لا أثر على الدفاتر",IF($O124=ST_CANC,"ملغى",IF($O124=ST_APPR,"معتمد ولم يُرحَّل","مسودة"))))),"")</f>
        <v/>
      </c>
      <c r="Y124" s="32">
        <f>IF($A124=1,IF(AND($R124=1,OR(LG_Acct="",$G124=LG_Acct),OR(LG_Party="",$K124=LG_Party),OR(LG_Loc="ALL",$I124=LG_Loc),OR(LG_CC="ALL",$J124=LG_CC),$D124&gt;=LG_From,$D124&lt;=LG_To),$D124+ROW()/1000000,""),"")</f>
        <v/>
      </c>
      <c r="Z124" s="32">
        <f>IF($A124=1,IF(Sales_Daily!$T14="","",Sales_Daily!$T14),"")</f>
        <v/>
      </c>
      <c r="AA124" s="32">
        <f>IF($A124=1,IF(Sales_Daily!$U14="","",Sales_Daily!$U14),"")</f>
        <v/>
      </c>
      <c r="AB124" s="32">
        <f>IF($A124=1,IF(Sales_Daily!$V14="","",Sales_Daily!$V14),"")</f>
        <v/>
      </c>
      <c r="AC124" s="32">
        <f>IF($A124=1,IF(Sales_Daily!$W14="","",Sales_Daily!$W14),"")</f>
        <v/>
      </c>
      <c r="AD124" s="32">
        <f>IF($A124=1,IF(Sales_Daily!$X14="","",Sales_Daily!$X14),"")</f>
        <v/>
      </c>
      <c r="AE124" s="32">
        <f>IF($A124=1,0,"")</f>
        <v/>
      </c>
      <c r="AF124" s="32" t="inlineStr"/>
    </row>
    <row r="125">
      <c r="A125" s="32">
        <f>IF(AND(Sales_Daily!$AV14=1,N(Sales_Daily!$O14)&gt;0),1,0)</f>
        <v/>
      </c>
      <c r="B125" s="32">
        <f>IF($A125=1,$E125&amp;"/4","")</f>
        <v/>
      </c>
      <c r="C125" s="32">
        <f>IF($A125=1,"J-"&amp;Sales_Daily!$A14,"")</f>
        <v/>
      </c>
      <c r="D125" s="33">
        <f>IF($A125=1,Sales_Daily!$B14,"")</f>
        <v/>
      </c>
      <c r="E125" s="32">
        <f>IF($A125=1,IF(Sales_Daily!$A14="","",Sales_Daily!$A14),"")</f>
        <v/>
      </c>
      <c r="F125" s="32">
        <f>IF($A125=1,"SAL","")</f>
        <v/>
      </c>
      <c r="G125" s="32">
        <f>IF($A125=1,IF(Sales_Daily!$AN14="","",Sales_Daily!$AN14),"")</f>
        <v/>
      </c>
      <c r="H125" s="32">
        <f>IF($A125=1,IF(COUNTIF(COA!$A:$A,$G125)=0,"حساب غير معرف",INDEX(COA!$B:$B,MATCH($G125,COA!$A:$A,0))),"")</f>
        <v/>
      </c>
      <c r="I125" s="32">
        <f>IF($A125=1,IF(Sales_Daily!$C14="","",Sales_Daily!$C14),"")</f>
        <v/>
      </c>
      <c r="J125" s="32">
        <f>IF($A125=1,"CC10","")</f>
        <v/>
      </c>
      <c r="K125" s="32">
        <f>IF($A125=1,"-","")</f>
        <v/>
      </c>
      <c r="L125" s="32">
        <f>IF($A125=1,"مبيعات - تحصيل DLV2","")</f>
        <v/>
      </c>
      <c r="M125" s="43">
        <f>IF($A125=1,Sales_Daily!$O14,"")</f>
        <v/>
      </c>
      <c r="N125" s="43">
        <f>IF($A125=1,0,"")</f>
        <v/>
      </c>
      <c r="O125" s="32">
        <f>IF($A125=1,Sales_Daily!$S14,"")</f>
        <v/>
      </c>
      <c r="P125" s="32">
        <f>IF($A125=1,IF(Sales_Daily!$AW14="","",Sales_Daily!$AW14),"")</f>
        <v/>
      </c>
      <c r="Q125" s="32">
        <f>IF($A125=1,Sales_Daily!$AY14,"")</f>
        <v/>
      </c>
      <c r="R125" s="32">
        <f>IF($A125=1,IF(AND($Q125=1,COUNTIFS(COA!$A:$A,$G125,COA!$R:$R,1)=1),1,0),"")</f>
        <v/>
      </c>
      <c r="S125" s="43">
        <f>IF($A125=1,IF($R125=1,N($M125),0),"")</f>
        <v/>
      </c>
      <c r="T125" s="43">
        <f>IF($A125=1,IF($R125=1,N($N125),0),"")</f>
        <v/>
      </c>
      <c r="U125" s="32">
        <f>IF($A125=1,YEAR($D125)*100+MONTH($D125),"")</f>
        <v/>
      </c>
      <c r="V125" s="32">
        <f>IF($A125=1,IF(COUNTIF(COA!$A:$A,$G125)=0,0,INDEX(COA!$H:$H,MATCH($G125,COA!$A:$A,0))),"")</f>
        <v/>
      </c>
      <c r="W125" s="32">
        <f>IF($A125=1,"OPERATING","")</f>
        <v/>
      </c>
      <c r="X125" s="32">
        <f>IF($A125=1,IF($R125=1,"",IF($O125=ST_POST,IF($P125&lt;&gt;"",$P125,"حساب غير صالح أو غير نشط"),IF($O125=ST_REV,"معكوس: لا أثر على الدفاتر",IF($O125=ST_CANC,"ملغى",IF($O125=ST_APPR,"معتمد ولم يُرحَّل","مسودة"))))),"")</f>
        <v/>
      </c>
      <c r="Y125" s="32">
        <f>IF($A125=1,IF(AND($R125=1,OR(LG_Acct="",$G125=LG_Acct),OR(LG_Party="",$K125=LG_Party),OR(LG_Loc="ALL",$I125=LG_Loc),OR(LG_CC="ALL",$J125=LG_CC),$D125&gt;=LG_From,$D125&lt;=LG_To),$D125+ROW()/1000000,""),"")</f>
        <v/>
      </c>
      <c r="Z125" s="32">
        <f>IF($A125=1,IF(Sales_Daily!$T14="","",Sales_Daily!$T14),"")</f>
        <v/>
      </c>
      <c r="AA125" s="32">
        <f>IF($A125=1,IF(Sales_Daily!$U14="","",Sales_Daily!$U14),"")</f>
        <v/>
      </c>
      <c r="AB125" s="32">
        <f>IF($A125=1,IF(Sales_Daily!$V14="","",Sales_Daily!$V14),"")</f>
        <v/>
      </c>
      <c r="AC125" s="32">
        <f>IF($A125=1,IF(Sales_Daily!$W14="","",Sales_Daily!$W14),"")</f>
        <v/>
      </c>
      <c r="AD125" s="32">
        <f>IF($A125=1,IF(Sales_Daily!$X14="","",Sales_Daily!$X14),"")</f>
        <v/>
      </c>
      <c r="AE125" s="32">
        <f>IF($A125=1,0,"")</f>
        <v/>
      </c>
      <c r="AF125" s="32" t="inlineStr"/>
    </row>
    <row r="126">
      <c r="A126" s="32">
        <f>IF(AND(Sales_Daily!$AV14=1,N(Sales_Daily!$P14)&gt;0),1,0)</f>
        <v/>
      </c>
      <c r="B126" s="32">
        <f>IF($A126=1,$E126&amp;"/5","")</f>
        <v/>
      </c>
      <c r="C126" s="32">
        <f>IF($A126=1,"J-"&amp;Sales_Daily!$A14,"")</f>
        <v/>
      </c>
      <c r="D126" s="33">
        <f>IF($A126=1,Sales_Daily!$B14,"")</f>
        <v/>
      </c>
      <c r="E126" s="32">
        <f>IF($A126=1,IF(Sales_Daily!$A14="","",Sales_Daily!$A14),"")</f>
        <v/>
      </c>
      <c r="F126" s="32">
        <f>IF($A126=1,"SAL","")</f>
        <v/>
      </c>
      <c r="G126" s="32">
        <f>IF($A126=1,IF(Sales_Daily!$AO14="","",Sales_Daily!$AO14),"")</f>
        <v/>
      </c>
      <c r="H126" s="32">
        <f>IF($A126=1,IF(COUNTIF(COA!$A:$A,$G126)=0,"حساب غير معرف",INDEX(COA!$B:$B,MATCH($G126,COA!$A:$A,0))),"")</f>
        <v/>
      </c>
      <c r="I126" s="32">
        <f>IF($A126=1,IF(Sales_Daily!$C14="","",Sales_Daily!$C14),"")</f>
        <v/>
      </c>
      <c r="J126" s="32">
        <f>IF($A126=1,"CC10","")</f>
        <v/>
      </c>
      <c r="K126" s="32">
        <f>IF($A126=1,"-","")</f>
        <v/>
      </c>
      <c r="L126" s="32">
        <f>IF($A126=1,"مبيعات - تحصيل INSTA","")</f>
        <v/>
      </c>
      <c r="M126" s="43">
        <f>IF($A126=1,Sales_Daily!$P14,"")</f>
        <v/>
      </c>
      <c r="N126" s="43">
        <f>IF($A126=1,0,"")</f>
        <v/>
      </c>
      <c r="O126" s="32">
        <f>IF($A126=1,Sales_Daily!$S14,"")</f>
        <v/>
      </c>
      <c r="P126" s="32">
        <f>IF($A126=1,IF(Sales_Daily!$AW14="","",Sales_Daily!$AW14),"")</f>
        <v/>
      </c>
      <c r="Q126" s="32">
        <f>IF($A126=1,Sales_Daily!$AY14,"")</f>
        <v/>
      </c>
      <c r="R126" s="32">
        <f>IF($A126=1,IF(AND($Q126=1,COUNTIFS(COA!$A:$A,$G126,COA!$R:$R,1)=1),1,0),"")</f>
        <v/>
      </c>
      <c r="S126" s="43">
        <f>IF($A126=1,IF($R126=1,N($M126),0),"")</f>
        <v/>
      </c>
      <c r="T126" s="43">
        <f>IF($A126=1,IF($R126=1,N($N126),0),"")</f>
        <v/>
      </c>
      <c r="U126" s="32">
        <f>IF($A126=1,YEAR($D126)*100+MONTH($D126),"")</f>
        <v/>
      </c>
      <c r="V126" s="32">
        <f>IF($A126=1,IF(COUNTIF(COA!$A:$A,$G126)=0,0,INDEX(COA!$H:$H,MATCH($G126,COA!$A:$A,0))),"")</f>
        <v/>
      </c>
      <c r="W126" s="32">
        <f>IF($A126=1,"OPERATING","")</f>
        <v/>
      </c>
      <c r="X126" s="32">
        <f>IF($A126=1,IF($R126=1,"",IF($O126=ST_POST,IF($P126&lt;&gt;"",$P126,"حساب غير صالح أو غير نشط"),IF($O126=ST_REV,"معكوس: لا أثر على الدفاتر",IF($O126=ST_CANC,"ملغى",IF($O126=ST_APPR,"معتمد ولم يُرحَّل","مسودة"))))),"")</f>
        <v/>
      </c>
      <c r="Y126" s="32">
        <f>IF($A126=1,IF(AND($R126=1,OR(LG_Acct="",$G126=LG_Acct),OR(LG_Party="",$K126=LG_Party),OR(LG_Loc="ALL",$I126=LG_Loc),OR(LG_CC="ALL",$J126=LG_CC),$D126&gt;=LG_From,$D126&lt;=LG_To),$D126+ROW()/1000000,""),"")</f>
        <v/>
      </c>
      <c r="Z126" s="32">
        <f>IF($A126=1,IF(Sales_Daily!$T14="","",Sales_Daily!$T14),"")</f>
        <v/>
      </c>
      <c r="AA126" s="32">
        <f>IF($A126=1,IF(Sales_Daily!$U14="","",Sales_Daily!$U14),"")</f>
        <v/>
      </c>
      <c r="AB126" s="32">
        <f>IF($A126=1,IF(Sales_Daily!$V14="","",Sales_Daily!$V14),"")</f>
        <v/>
      </c>
      <c r="AC126" s="32">
        <f>IF($A126=1,IF(Sales_Daily!$W14="","",Sales_Daily!$W14),"")</f>
        <v/>
      </c>
      <c r="AD126" s="32">
        <f>IF($A126=1,IF(Sales_Daily!$X14="","",Sales_Daily!$X14),"")</f>
        <v/>
      </c>
      <c r="AE126" s="32">
        <f>IF($A126=1,0,"")</f>
        <v/>
      </c>
      <c r="AF126" s="32" t="inlineStr"/>
    </row>
    <row r="127">
      <c r="A127" s="32">
        <f>IF(AND(Sales_Daily!$AV14=1,N(Sales_Daily!$Q14)&gt;0),1,0)</f>
        <v/>
      </c>
      <c r="B127" s="32">
        <f>IF($A127=1,$E127&amp;"/6","")</f>
        <v/>
      </c>
      <c r="C127" s="32">
        <f>IF($A127=1,"J-"&amp;Sales_Daily!$A14,"")</f>
        <v/>
      </c>
      <c r="D127" s="33">
        <f>IF($A127=1,Sales_Daily!$B14,"")</f>
        <v/>
      </c>
      <c r="E127" s="32">
        <f>IF($A127=1,IF(Sales_Daily!$A14="","",Sales_Daily!$A14),"")</f>
        <v/>
      </c>
      <c r="F127" s="32">
        <f>IF($A127=1,"SAL","")</f>
        <v/>
      </c>
      <c r="G127" s="32">
        <f>IF($A127=1,IF(Sales_Daily!$AP14="","",Sales_Daily!$AP14),"")</f>
        <v/>
      </c>
      <c r="H127" s="32">
        <f>IF($A127=1,IF(COUNTIF(COA!$A:$A,$G127)=0,"حساب غير معرف",INDEX(COA!$B:$B,MATCH($G127,COA!$A:$A,0))),"")</f>
        <v/>
      </c>
      <c r="I127" s="32">
        <f>IF($A127=1,IF(Sales_Daily!$C14="","",Sales_Daily!$C14),"")</f>
        <v/>
      </c>
      <c r="J127" s="32">
        <f>IF($A127=1,"CC10","")</f>
        <v/>
      </c>
      <c r="K127" s="32">
        <f>IF($A127=1,"-","")</f>
        <v/>
      </c>
      <c r="L127" s="32">
        <f>IF($A127=1,"مبيعات - تحصيل OTH","")</f>
        <v/>
      </c>
      <c r="M127" s="43">
        <f>IF($A127=1,Sales_Daily!$Q14,"")</f>
        <v/>
      </c>
      <c r="N127" s="43">
        <f>IF($A127=1,0,"")</f>
        <v/>
      </c>
      <c r="O127" s="32">
        <f>IF($A127=1,Sales_Daily!$S14,"")</f>
        <v/>
      </c>
      <c r="P127" s="32">
        <f>IF($A127=1,IF(Sales_Daily!$AW14="","",Sales_Daily!$AW14),"")</f>
        <v/>
      </c>
      <c r="Q127" s="32">
        <f>IF($A127=1,Sales_Daily!$AY14,"")</f>
        <v/>
      </c>
      <c r="R127" s="32">
        <f>IF($A127=1,IF(AND($Q127=1,COUNTIFS(COA!$A:$A,$G127,COA!$R:$R,1)=1),1,0),"")</f>
        <v/>
      </c>
      <c r="S127" s="43">
        <f>IF($A127=1,IF($R127=1,N($M127),0),"")</f>
        <v/>
      </c>
      <c r="T127" s="43">
        <f>IF($A127=1,IF($R127=1,N($N127),0),"")</f>
        <v/>
      </c>
      <c r="U127" s="32">
        <f>IF($A127=1,YEAR($D127)*100+MONTH($D127),"")</f>
        <v/>
      </c>
      <c r="V127" s="32">
        <f>IF($A127=1,IF(COUNTIF(COA!$A:$A,$G127)=0,0,INDEX(COA!$H:$H,MATCH($G127,COA!$A:$A,0))),"")</f>
        <v/>
      </c>
      <c r="W127" s="32">
        <f>IF($A127=1,"OPERATING","")</f>
        <v/>
      </c>
      <c r="X127" s="32">
        <f>IF($A127=1,IF($R127=1,"",IF($O127=ST_POST,IF($P127&lt;&gt;"",$P127,"حساب غير صالح أو غير نشط"),IF($O127=ST_REV,"معكوس: لا أثر على الدفاتر",IF($O127=ST_CANC,"ملغى",IF($O127=ST_APPR,"معتمد ولم يُرحَّل","مسودة"))))),"")</f>
        <v/>
      </c>
      <c r="Y127" s="32">
        <f>IF($A127=1,IF(AND($R127=1,OR(LG_Acct="",$G127=LG_Acct),OR(LG_Party="",$K127=LG_Party),OR(LG_Loc="ALL",$I127=LG_Loc),OR(LG_CC="ALL",$J127=LG_CC),$D127&gt;=LG_From,$D127&lt;=LG_To),$D127+ROW()/1000000,""),"")</f>
        <v/>
      </c>
      <c r="Z127" s="32">
        <f>IF($A127=1,IF(Sales_Daily!$T14="","",Sales_Daily!$T14),"")</f>
        <v/>
      </c>
      <c r="AA127" s="32">
        <f>IF($A127=1,IF(Sales_Daily!$U14="","",Sales_Daily!$U14),"")</f>
        <v/>
      </c>
      <c r="AB127" s="32">
        <f>IF($A127=1,IF(Sales_Daily!$V14="","",Sales_Daily!$V14),"")</f>
        <v/>
      </c>
      <c r="AC127" s="32">
        <f>IF($A127=1,IF(Sales_Daily!$W14="","",Sales_Daily!$W14),"")</f>
        <v/>
      </c>
      <c r="AD127" s="32">
        <f>IF($A127=1,IF(Sales_Daily!$X14="","",Sales_Daily!$X14),"")</f>
        <v/>
      </c>
      <c r="AE127" s="32">
        <f>IF($A127=1,0,"")</f>
        <v/>
      </c>
      <c r="AF127" s="32" t="inlineStr"/>
    </row>
    <row r="128">
      <c r="A128" s="32">
        <f>IF(AND(Sales_Daily!$AV14=1,N(Sales_Daily!$AH14)&gt;0),1,0)</f>
        <v/>
      </c>
      <c r="B128" s="32">
        <f>IF($A128=1,$E128&amp;"/7","")</f>
        <v/>
      </c>
      <c r="C128" s="32">
        <f>IF($A128=1,"J-"&amp;Sales_Daily!$A14,"")</f>
        <v/>
      </c>
      <c r="D128" s="33">
        <f>IF($A128=1,Sales_Daily!$B14,"")</f>
        <v/>
      </c>
      <c r="E128" s="32">
        <f>IF($A128=1,IF(Sales_Daily!$A14="","",Sales_Daily!$A14),"")</f>
        <v/>
      </c>
      <c r="F128" s="32">
        <f>IF($A128=1,"SAL","")</f>
        <v/>
      </c>
      <c r="G128" s="32">
        <f>IF($A128=1,ACC_DISC,"")</f>
        <v/>
      </c>
      <c r="H128" s="32">
        <f>IF($A128=1,IF(COUNTIF(COA!$A:$A,$G128)=0,"حساب غير معرف",INDEX(COA!$B:$B,MATCH($G128,COA!$A:$A,0))),"")</f>
        <v/>
      </c>
      <c r="I128" s="32">
        <f>IF($A128=1,IF(Sales_Daily!$C14="","",Sales_Daily!$C14),"")</f>
        <v/>
      </c>
      <c r="J128" s="32">
        <f>IF($A128=1,"CC10","")</f>
        <v/>
      </c>
      <c r="K128" s="32">
        <f>IF($A128=1,"-","")</f>
        <v/>
      </c>
      <c r="L128" s="32">
        <f>IF($A128=1,"خصومات المبيعات والعروض","")</f>
        <v/>
      </c>
      <c r="M128" s="43">
        <f>IF($A128=1,Sales_Daily!$AH14,"")</f>
        <v/>
      </c>
      <c r="N128" s="43">
        <f>IF($A128=1,0,"")</f>
        <v/>
      </c>
      <c r="O128" s="32">
        <f>IF($A128=1,Sales_Daily!$S14,"")</f>
        <v/>
      </c>
      <c r="P128" s="32">
        <f>IF($A128=1,IF(Sales_Daily!$AW14="","",Sales_Daily!$AW14),"")</f>
        <v/>
      </c>
      <c r="Q128" s="32">
        <f>IF($A128=1,Sales_Daily!$AY14,"")</f>
        <v/>
      </c>
      <c r="R128" s="32">
        <f>IF($A128=1,IF(AND($Q128=1,COUNTIFS(COA!$A:$A,$G128,COA!$R:$R,1)=1),1,0),"")</f>
        <v/>
      </c>
      <c r="S128" s="43">
        <f>IF($A128=1,IF($R128=1,N($M128),0),"")</f>
        <v/>
      </c>
      <c r="T128" s="43">
        <f>IF($A128=1,IF($R128=1,N($N128),0),"")</f>
        <v/>
      </c>
      <c r="U128" s="32">
        <f>IF($A128=1,YEAR($D128)*100+MONTH($D128),"")</f>
        <v/>
      </c>
      <c r="V128" s="32">
        <f>IF($A128=1,IF(COUNTIF(COA!$A:$A,$G128)=0,0,INDEX(COA!$H:$H,MATCH($G128,COA!$A:$A,0))),"")</f>
        <v/>
      </c>
      <c r="W128" s="32">
        <f>IF($A128=1,"","")</f>
        <v/>
      </c>
      <c r="X128" s="32">
        <f>IF($A128=1,IF($R128=1,"",IF($O128=ST_POST,IF($P128&lt;&gt;"",$P128,"حساب غير صالح أو غير نشط"),IF($O128=ST_REV,"معكوس: لا أثر على الدفاتر",IF($O128=ST_CANC,"ملغى",IF($O128=ST_APPR,"معتمد ولم يُرحَّل","مسودة"))))),"")</f>
        <v/>
      </c>
      <c r="Y128" s="32">
        <f>IF($A128=1,IF(AND($R128=1,OR(LG_Acct="",$G128=LG_Acct),OR(LG_Party="",$K128=LG_Party),OR(LG_Loc="ALL",$I128=LG_Loc),OR(LG_CC="ALL",$J128=LG_CC),$D128&gt;=LG_From,$D128&lt;=LG_To),$D128+ROW()/1000000,""),"")</f>
        <v/>
      </c>
      <c r="Z128" s="32">
        <f>IF($A128=1,IF(Sales_Daily!$T14="","",Sales_Daily!$T14),"")</f>
        <v/>
      </c>
      <c r="AA128" s="32">
        <f>IF($A128=1,IF(Sales_Daily!$U14="","",Sales_Daily!$U14),"")</f>
        <v/>
      </c>
      <c r="AB128" s="32">
        <f>IF($A128=1,IF(Sales_Daily!$V14="","",Sales_Daily!$V14),"")</f>
        <v/>
      </c>
      <c r="AC128" s="32">
        <f>IF($A128=1,IF(Sales_Daily!$W14="","",Sales_Daily!$W14),"")</f>
        <v/>
      </c>
      <c r="AD128" s="32">
        <f>IF($A128=1,IF(Sales_Daily!$X14="","",Sales_Daily!$X14),"")</f>
        <v/>
      </c>
      <c r="AE128" s="32">
        <f>IF($A128=1,0,"")</f>
        <v/>
      </c>
      <c r="AF128" s="32" t="inlineStr"/>
    </row>
    <row r="129">
      <c r="A129" s="32">
        <f>IF(AND(Sales_Daily!$AV14=1,N(Sales_Daily!$AI14)&gt;0),1,0)</f>
        <v/>
      </c>
      <c r="B129" s="32">
        <f>IF($A129=1,$E129&amp;"/8","")</f>
        <v/>
      </c>
      <c r="C129" s="32">
        <f>IF($A129=1,"J-"&amp;Sales_Daily!$A14,"")</f>
        <v/>
      </c>
      <c r="D129" s="33">
        <f>IF($A129=1,Sales_Daily!$B14,"")</f>
        <v/>
      </c>
      <c r="E129" s="32">
        <f>IF($A129=1,IF(Sales_Daily!$A14="","",Sales_Daily!$A14),"")</f>
        <v/>
      </c>
      <c r="F129" s="32">
        <f>IF($A129=1,"SAL","")</f>
        <v/>
      </c>
      <c r="G129" s="32">
        <f>IF($A129=1,ACC_RET,"")</f>
        <v/>
      </c>
      <c r="H129" s="32">
        <f>IF($A129=1,IF(COUNTIF(COA!$A:$A,$G129)=0,"حساب غير معرف",INDEX(COA!$B:$B,MATCH($G129,COA!$A:$A,0))),"")</f>
        <v/>
      </c>
      <c r="I129" s="32">
        <f>IF($A129=1,IF(Sales_Daily!$C14="","",Sales_Daily!$C14),"")</f>
        <v/>
      </c>
      <c r="J129" s="32">
        <f>IF($A129=1,"CC10","")</f>
        <v/>
      </c>
      <c r="K129" s="32">
        <f>IF($A129=1,"-","")</f>
        <v/>
      </c>
      <c r="L129" s="32">
        <f>IF($A129=1,"مرتجعات وإلغاءات المبيعات","")</f>
        <v/>
      </c>
      <c r="M129" s="43">
        <f>IF($A129=1,Sales_Daily!$AI14,"")</f>
        <v/>
      </c>
      <c r="N129" s="43">
        <f>IF($A129=1,0,"")</f>
        <v/>
      </c>
      <c r="O129" s="32">
        <f>IF($A129=1,Sales_Daily!$S14,"")</f>
        <v/>
      </c>
      <c r="P129" s="32">
        <f>IF($A129=1,IF(Sales_Daily!$AW14="","",Sales_Daily!$AW14),"")</f>
        <v/>
      </c>
      <c r="Q129" s="32">
        <f>IF($A129=1,Sales_Daily!$AY14,"")</f>
        <v/>
      </c>
      <c r="R129" s="32">
        <f>IF($A129=1,IF(AND($Q129=1,COUNTIFS(COA!$A:$A,$G129,COA!$R:$R,1)=1),1,0),"")</f>
        <v/>
      </c>
      <c r="S129" s="43">
        <f>IF($A129=1,IF($R129=1,N($M129),0),"")</f>
        <v/>
      </c>
      <c r="T129" s="43">
        <f>IF($A129=1,IF($R129=1,N($N129),0),"")</f>
        <v/>
      </c>
      <c r="U129" s="32">
        <f>IF($A129=1,YEAR($D129)*100+MONTH($D129),"")</f>
        <v/>
      </c>
      <c r="V129" s="32">
        <f>IF($A129=1,IF(COUNTIF(COA!$A:$A,$G129)=0,0,INDEX(COA!$H:$H,MATCH($G129,COA!$A:$A,0))),"")</f>
        <v/>
      </c>
      <c r="W129" s="32">
        <f>IF($A129=1,"","")</f>
        <v/>
      </c>
      <c r="X129" s="32">
        <f>IF($A129=1,IF($R129=1,"",IF($O129=ST_POST,IF($P129&lt;&gt;"",$P129,"حساب غير صالح أو غير نشط"),IF($O129=ST_REV,"معكوس: لا أثر على الدفاتر",IF($O129=ST_CANC,"ملغى",IF($O129=ST_APPR,"معتمد ولم يُرحَّل","مسودة"))))),"")</f>
        <v/>
      </c>
      <c r="Y129" s="32">
        <f>IF($A129=1,IF(AND($R129=1,OR(LG_Acct="",$G129=LG_Acct),OR(LG_Party="",$K129=LG_Party),OR(LG_Loc="ALL",$I129=LG_Loc),OR(LG_CC="ALL",$J129=LG_CC),$D129&gt;=LG_From,$D129&lt;=LG_To),$D129+ROW()/1000000,""),"")</f>
        <v/>
      </c>
      <c r="Z129" s="32">
        <f>IF($A129=1,IF(Sales_Daily!$T14="","",Sales_Daily!$T14),"")</f>
        <v/>
      </c>
      <c r="AA129" s="32">
        <f>IF($A129=1,IF(Sales_Daily!$U14="","",Sales_Daily!$U14),"")</f>
        <v/>
      </c>
      <c r="AB129" s="32">
        <f>IF($A129=1,IF(Sales_Daily!$V14="","",Sales_Daily!$V14),"")</f>
        <v/>
      </c>
      <c r="AC129" s="32">
        <f>IF($A129=1,IF(Sales_Daily!$W14="","",Sales_Daily!$W14),"")</f>
        <v/>
      </c>
      <c r="AD129" s="32">
        <f>IF($A129=1,IF(Sales_Daily!$X14="","",Sales_Daily!$X14),"")</f>
        <v/>
      </c>
      <c r="AE129" s="32">
        <f>IF($A129=1,0,"")</f>
        <v/>
      </c>
      <c r="AF129" s="32" t="inlineStr"/>
    </row>
    <row r="130">
      <c r="A130" s="32">
        <f>IF(AND(Sales_Daily!$AV14=1,N(Sales_Daily!$AD14)&gt;0),1,0)</f>
        <v/>
      </c>
      <c r="B130" s="32">
        <f>IF($A130=1,$E130&amp;"/9","")</f>
        <v/>
      </c>
      <c r="C130" s="32">
        <f>IF($A130=1,"J-"&amp;Sales_Daily!$A14,"")</f>
        <v/>
      </c>
      <c r="D130" s="33">
        <f>IF($A130=1,Sales_Daily!$B14,"")</f>
        <v/>
      </c>
      <c r="E130" s="32">
        <f>IF($A130=1,IF(Sales_Daily!$A14="","",Sales_Daily!$A14),"")</f>
        <v/>
      </c>
      <c r="F130" s="32">
        <f>IF($A130=1,"SAL","")</f>
        <v/>
      </c>
      <c r="G130" s="32">
        <f>IF($A130=1,IF(Sales_Daily!$AQ14="","",Sales_Daily!$AQ14),"")</f>
        <v/>
      </c>
      <c r="H130" s="32">
        <f>IF($A130=1,IF(COUNTIF(COA!$A:$A,$G130)=0,"حساب غير معرف",INDEX(COA!$B:$B,MATCH($G130,COA!$A:$A,0))),"")</f>
        <v/>
      </c>
      <c r="I130" s="32">
        <f>IF($A130=1,IF(Sales_Daily!$C14="","",Sales_Daily!$C14),"")</f>
        <v/>
      </c>
      <c r="J130" s="32">
        <f>IF($A130=1,"CC10","")</f>
        <v/>
      </c>
      <c r="K130" s="32">
        <f>IF($A130=1,"-","")</f>
        <v/>
      </c>
      <c r="L130" s="32">
        <f>IF($A130=1,"إيراد مبيعات - فئة فطير","")</f>
        <v/>
      </c>
      <c r="M130" s="43">
        <f>IF($A130=1,0,"")</f>
        <v/>
      </c>
      <c r="N130" s="43">
        <f>IF($A130=1,Sales_Daily!$AD14,"")</f>
        <v/>
      </c>
      <c r="O130" s="32">
        <f>IF($A130=1,Sales_Daily!$S14,"")</f>
        <v/>
      </c>
      <c r="P130" s="32">
        <f>IF($A130=1,IF(Sales_Daily!$AW14="","",Sales_Daily!$AW14),"")</f>
        <v/>
      </c>
      <c r="Q130" s="32">
        <f>IF($A130=1,Sales_Daily!$AY14,"")</f>
        <v/>
      </c>
      <c r="R130" s="32">
        <f>IF($A130=1,IF(AND($Q130=1,COUNTIFS(COA!$A:$A,$G130,COA!$R:$R,1)=1),1,0),"")</f>
        <v/>
      </c>
      <c r="S130" s="43">
        <f>IF($A130=1,IF($R130=1,N($M130),0),"")</f>
        <v/>
      </c>
      <c r="T130" s="43">
        <f>IF($A130=1,IF($R130=1,N($N130),0),"")</f>
        <v/>
      </c>
      <c r="U130" s="32">
        <f>IF($A130=1,YEAR($D130)*100+MONTH($D130),"")</f>
        <v/>
      </c>
      <c r="V130" s="32">
        <f>IF($A130=1,IF(COUNTIF(COA!$A:$A,$G130)=0,0,INDEX(COA!$H:$H,MATCH($G130,COA!$A:$A,0))),"")</f>
        <v/>
      </c>
      <c r="W130" s="32">
        <f>IF($A130=1,"","")</f>
        <v/>
      </c>
      <c r="X130" s="32">
        <f>IF($A130=1,IF($R130=1,"",IF($O130=ST_POST,IF($P130&lt;&gt;"",$P130,"حساب غير صالح أو غير نشط"),IF($O130=ST_REV,"معكوس: لا أثر على الدفاتر",IF($O130=ST_CANC,"ملغى",IF($O130=ST_APPR,"معتمد ولم يُرحَّل","مسودة"))))),"")</f>
        <v/>
      </c>
      <c r="Y130" s="32">
        <f>IF($A130=1,IF(AND($R130=1,OR(LG_Acct="",$G130=LG_Acct),OR(LG_Party="",$K130=LG_Party),OR(LG_Loc="ALL",$I130=LG_Loc),OR(LG_CC="ALL",$J130=LG_CC),$D130&gt;=LG_From,$D130&lt;=LG_To),$D130+ROW()/1000000,""),"")</f>
        <v/>
      </c>
      <c r="Z130" s="32">
        <f>IF($A130=1,IF(Sales_Daily!$T14="","",Sales_Daily!$T14),"")</f>
        <v/>
      </c>
      <c r="AA130" s="32">
        <f>IF($A130=1,IF(Sales_Daily!$U14="","",Sales_Daily!$U14),"")</f>
        <v/>
      </c>
      <c r="AB130" s="32">
        <f>IF($A130=1,IF(Sales_Daily!$V14="","",Sales_Daily!$V14),"")</f>
        <v/>
      </c>
      <c r="AC130" s="32">
        <f>IF($A130=1,IF(Sales_Daily!$W14="","",Sales_Daily!$W14),"")</f>
        <v/>
      </c>
      <c r="AD130" s="32">
        <f>IF($A130=1,IF(Sales_Daily!$X14="","",Sales_Daily!$X14),"")</f>
        <v/>
      </c>
      <c r="AE130" s="32">
        <f>IF($A130=1,0,"")</f>
        <v/>
      </c>
      <c r="AF130" s="32" t="inlineStr"/>
    </row>
    <row r="131">
      <c r="A131" s="32">
        <f>IF(AND(Sales_Daily!$AV14=1,N(Sales_Daily!$AE14)&gt;0),1,0)</f>
        <v/>
      </c>
      <c r="B131" s="32">
        <f>IF($A131=1,$E131&amp;"/10","")</f>
        <v/>
      </c>
      <c r="C131" s="32">
        <f>IF($A131=1,"J-"&amp;Sales_Daily!$A14,"")</f>
        <v/>
      </c>
      <c r="D131" s="33">
        <f>IF($A131=1,Sales_Daily!$B14,"")</f>
        <v/>
      </c>
      <c r="E131" s="32">
        <f>IF($A131=1,IF(Sales_Daily!$A14="","",Sales_Daily!$A14),"")</f>
        <v/>
      </c>
      <c r="F131" s="32">
        <f>IF($A131=1,"SAL","")</f>
        <v/>
      </c>
      <c r="G131" s="32">
        <f>IF($A131=1,IF(Sales_Daily!$AR14="","",Sales_Daily!$AR14),"")</f>
        <v/>
      </c>
      <c r="H131" s="32">
        <f>IF($A131=1,IF(COUNTIF(COA!$A:$A,$G131)=0,"حساب غير معرف",INDEX(COA!$B:$B,MATCH($G131,COA!$A:$A,0))),"")</f>
        <v/>
      </c>
      <c r="I131" s="32">
        <f>IF($A131=1,IF(Sales_Daily!$C14="","",Sales_Daily!$C14),"")</f>
        <v/>
      </c>
      <c r="J131" s="32">
        <f>IF($A131=1,"CC10","")</f>
        <v/>
      </c>
      <c r="K131" s="32">
        <f>IF($A131=1,"-","")</f>
        <v/>
      </c>
      <c r="L131" s="32">
        <f>IF($A131=1,"إيراد مبيعات - فئة بيتزا","")</f>
        <v/>
      </c>
      <c r="M131" s="43">
        <f>IF($A131=1,0,"")</f>
        <v/>
      </c>
      <c r="N131" s="43">
        <f>IF($A131=1,Sales_Daily!$AE14,"")</f>
        <v/>
      </c>
      <c r="O131" s="32">
        <f>IF($A131=1,Sales_Daily!$S14,"")</f>
        <v/>
      </c>
      <c r="P131" s="32">
        <f>IF($A131=1,IF(Sales_Daily!$AW14="","",Sales_Daily!$AW14),"")</f>
        <v/>
      </c>
      <c r="Q131" s="32">
        <f>IF($A131=1,Sales_Daily!$AY14,"")</f>
        <v/>
      </c>
      <c r="R131" s="32">
        <f>IF($A131=1,IF(AND($Q131=1,COUNTIFS(COA!$A:$A,$G131,COA!$R:$R,1)=1),1,0),"")</f>
        <v/>
      </c>
      <c r="S131" s="43">
        <f>IF($A131=1,IF($R131=1,N($M131),0),"")</f>
        <v/>
      </c>
      <c r="T131" s="43">
        <f>IF($A131=1,IF($R131=1,N($N131),0),"")</f>
        <v/>
      </c>
      <c r="U131" s="32">
        <f>IF($A131=1,YEAR($D131)*100+MONTH($D131),"")</f>
        <v/>
      </c>
      <c r="V131" s="32">
        <f>IF($A131=1,IF(COUNTIF(COA!$A:$A,$G131)=0,0,INDEX(COA!$H:$H,MATCH($G131,COA!$A:$A,0))),"")</f>
        <v/>
      </c>
      <c r="W131" s="32">
        <f>IF($A131=1,"","")</f>
        <v/>
      </c>
      <c r="X131" s="32">
        <f>IF($A131=1,IF($R131=1,"",IF($O131=ST_POST,IF($P131&lt;&gt;"",$P131,"حساب غير صالح أو غير نشط"),IF($O131=ST_REV,"معكوس: لا أثر على الدفاتر",IF($O131=ST_CANC,"ملغى",IF($O131=ST_APPR,"معتمد ولم يُرحَّل","مسودة"))))),"")</f>
        <v/>
      </c>
      <c r="Y131" s="32">
        <f>IF($A131=1,IF(AND($R131=1,OR(LG_Acct="",$G131=LG_Acct),OR(LG_Party="",$K131=LG_Party),OR(LG_Loc="ALL",$I131=LG_Loc),OR(LG_CC="ALL",$J131=LG_CC),$D131&gt;=LG_From,$D131&lt;=LG_To),$D131+ROW()/1000000,""),"")</f>
        <v/>
      </c>
      <c r="Z131" s="32">
        <f>IF($A131=1,IF(Sales_Daily!$T14="","",Sales_Daily!$T14),"")</f>
        <v/>
      </c>
      <c r="AA131" s="32">
        <f>IF($A131=1,IF(Sales_Daily!$U14="","",Sales_Daily!$U14),"")</f>
        <v/>
      </c>
      <c r="AB131" s="32">
        <f>IF($A131=1,IF(Sales_Daily!$V14="","",Sales_Daily!$V14),"")</f>
        <v/>
      </c>
      <c r="AC131" s="32">
        <f>IF($A131=1,IF(Sales_Daily!$W14="","",Sales_Daily!$W14),"")</f>
        <v/>
      </c>
      <c r="AD131" s="32">
        <f>IF($A131=1,IF(Sales_Daily!$X14="","",Sales_Daily!$X14),"")</f>
        <v/>
      </c>
      <c r="AE131" s="32">
        <f>IF($A131=1,0,"")</f>
        <v/>
      </c>
      <c r="AF131" s="32" t="inlineStr"/>
    </row>
    <row r="132">
      <c r="A132" s="32">
        <f>IF(AND(Sales_Daily!$AV14=1,N(Sales_Daily!$AF14)&gt;0),1,0)</f>
        <v/>
      </c>
      <c r="B132" s="32">
        <f>IF($A132=1,$E132&amp;"/11","")</f>
        <v/>
      </c>
      <c r="C132" s="32">
        <f>IF($A132=1,"J-"&amp;Sales_Daily!$A14,"")</f>
        <v/>
      </c>
      <c r="D132" s="33">
        <f>IF($A132=1,Sales_Daily!$B14,"")</f>
        <v/>
      </c>
      <c r="E132" s="32">
        <f>IF($A132=1,IF(Sales_Daily!$A14="","",Sales_Daily!$A14),"")</f>
        <v/>
      </c>
      <c r="F132" s="32">
        <f>IF($A132=1,"SAL","")</f>
        <v/>
      </c>
      <c r="G132" s="32">
        <f>IF($A132=1,IF(Sales_Daily!$AS14="","",Sales_Daily!$AS14),"")</f>
        <v/>
      </c>
      <c r="H132" s="32">
        <f>IF($A132=1,IF(COUNTIF(COA!$A:$A,$G132)=0,"حساب غير معرف",INDEX(COA!$B:$B,MATCH($G132,COA!$A:$A,0))),"")</f>
        <v/>
      </c>
      <c r="I132" s="32">
        <f>IF($A132=1,IF(Sales_Daily!$C14="","",Sales_Daily!$C14),"")</f>
        <v/>
      </c>
      <c r="J132" s="32">
        <f>IF($A132=1,"CC10","")</f>
        <v/>
      </c>
      <c r="K132" s="32">
        <f>IF($A132=1,"-","")</f>
        <v/>
      </c>
      <c r="L132" s="32">
        <f>IF($A132=1,"إيراد مبيعات - فئة مكرونات","")</f>
        <v/>
      </c>
      <c r="M132" s="43">
        <f>IF($A132=1,0,"")</f>
        <v/>
      </c>
      <c r="N132" s="43">
        <f>IF($A132=1,Sales_Daily!$AF14,"")</f>
        <v/>
      </c>
      <c r="O132" s="32">
        <f>IF($A132=1,Sales_Daily!$S14,"")</f>
        <v/>
      </c>
      <c r="P132" s="32">
        <f>IF($A132=1,IF(Sales_Daily!$AW14="","",Sales_Daily!$AW14),"")</f>
        <v/>
      </c>
      <c r="Q132" s="32">
        <f>IF($A132=1,Sales_Daily!$AY14,"")</f>
        <v/>
      </c>
      <c r="R132" s="32">
        <f>IF($A132=1,IF(AND($Q132=1,COUNTIFS(COA!$A:$A,$G132,COA!$R:$R,1)=1),1,0),"")</f>
        <v/>
      </c>
      <c r="S132" s="43">
        <f>IF($A132=1,IF($R132=1,N($M132),0),"")</f>
        <v/>
      </c>
      <c r="T132" s="43">
        <f>IF($A132=1,IF($R132=1,N($N132),0),"")</f>
        <v/>
      </c>
      <c r="U132" s="32">
        <f>IF($A132=1,YEAR($D132)*100+MONTH($D132),"")</f>
        <v/>
      </c>
      <c r="V132" s="32">
        <f>IF($A132=1,IF(COUNTIF(COA!$A:$A,$G132)=0,0,INDEX(COA!$H:$H,MATCH($G132,COA!$A:$A,0))),"")</f>
        <v/>
      </c>
      <c r="W132" s="32">
        <f>IF($A132=1,"","")</f>
        <v/>
      </c>
      <c r="X132" s="32">
        <f>IF($A132=1,IF($R132=1,"",IF($O132=ST_POST,IF($P132&lt;&gt;"",$P132,"حساب غير صالح أو غير نشط"),IF($O132=ST_REV,"معكوس: لا أثر على الدفاتر",IF($O132=ST_CANC,"ملغى",IF($O132=ST_APPR,"معتمد ولم يُرحَّل","مسودة"))))),"")</f>
        <v/>
      </c>
      <c r="Y132" s="32">
        <f>IF($A132=1,IF(AND($R132=1,OR(LG_Acct="",$G132=LG_Acct),OR(LG_Party="",$K132=LG_Party),OR(LG_Loc="ALL",$I132=LG_Loc),OR(LG_CC="ALL",$J132=LG_CC),$D132&gt;=LG_From,$D132&lt;=LG_To),$D132+ROW()/1000000,""),"")</f>
        <v/>
      </c>
      <c r="Z132" s="32">
        <f>IF($A132=1,IF(Sales_Daily!$T14="","",Sales_Daily!$T14),"")</f>
        <v/>
      </c>
      <c r="AA132" s="32">
        <f>IF($A132=1,IF(Sales_Daily!$U14="","",Sales_Daily!$U14),"")</f>
        <v/>
      </c>
      <c r="AB132" s="32">
        <f>IF($A132=1,IF(Sales_Daily!$V14="","",Sales_Daily!$V14),"")</f>
        <v/>
      </c>
      <c r="AC132" s="32">
        <f>IF($A132=1,IF(Sales_Daily!$W14="","",Sales_Daily!$W14),"")</f>
        <v/>
      </c>
      <c r="AD132" s="32">
        <f>IF($A132=1,IF(Sales_Daily!$X14="","",Sales_Daily!$X14),"")</f>
        <v/>
      </c>
      <c r="AE132" s="32">
        <f>IF($A132=1,0,"")</f>
        <v/>
      </c>
      <c r="AF132" s="32" t="inlineStr"/>
    </row>
    <row r="133">
      <c r="A133" s="32">
        <f>IF(AND(Sales_Daily!$AV14=1,N(Sales_Daily!$AG14)&gt;0),1,0)</f>
        <v/>
      </c>
      <c r="B133" s="32">
        <f>IF($A133=1,$E133&amp;"/12","")</f>
        <v/>
      </c>
      <c r="C133" s="32">
        <f>IF($A133=1,"J-"&amp;Sales_Daily!$A14,"")</f>
        <v/>
      </c>
      <c r="D133" s="33">
        <f>IF($A133=1,Sales_Daily!$B14,"")</f>
        <v/>
      </c>
      <c r="E133" s="32">
        <f>IF($A133=1,IF(Sales_Daily!$A14="","",Sales_Daily!$A14),"")</f>
        <v/>
      </c>
      <c r="F133" s="32">
        <f>IF($A133=1,"SAL","")</f>
        <v/>
      </c>
      <c r="G133" s="32">
        <f>IF($A133=1,IF(Sales_Daily!$AT14="","",Sales_Daily!$AT14),"")</f>
        <v/>
      </c>
      <c r="H133" s="32">
        <f>IF($A133=1,IF(COUNTIF(COA!$A:$A,$G133)=0,"حساب غير معرف",INDEX(COA!$B:$B,MATCH($G133,COA!$A:$A,0))),"")</f>
        <v/>
      </c>
      <c r="I133" s="32">
        <f>IF($A133=1,IF(Sales_Daily!$C14="","",Sales_Daily!$C14),"")</f>
        <v/>
      </c>
      <c r="J133" s="32">
        <f>IF($A133=1,"CC10","")</f>
        <v/>
      </c>
      <c r="K133" s="32">
        <f>IF($A133=1,"-","")</f>
        <v/>
      </c>
      <c r="L133" s="32">
        <f>IF($A133=1,"إيراد مبيعات - فئة أخرى","")</f>
        <v/>
      </c>
      <c r="M133" s="43">
        <f>IF($A133=1,0,"")</f>
        <v/>
      </c>
      <c r="N133" s="43">
        <f>IF($A133=1,Sales_Daily!$AG14,"")</f>
        <v/>
      </c>
      <c r="O133" s="32">
        <f>IF($A133=1,Sales_Daily!$S14,"")</f>
        <v/>
      </c>
      <c r="P133" s="32">
        <f>IF($A133=1,IF(Sales_Daily!$AW14="","",Sales_Daily!$AW14),"")</f>
        <v/>
      </c>
      <c r="Q133" s="32">
        <f>IF($A133=1,Sales_Daily!$AY14,"")</f>
        <v/>
      </c>
      <c r="R133" s="32">
        <f>IF($A133=1,IF(AND($Q133=1,COUNTIFS(COA!$A:$A,$G133,COA!$R:$R,1)=1),1,0),"")</f>
        <v/>
      </c>
      <c r="S133" s="43">
        <f>IF($A133=1,IF($R133=1,N($M133),0),"")</f>
        <v/>
      </c>
      <c r="T133" s="43">
        <f>IF($A133=1,IF($R133=1,N($N133),0),"")</f>
        <v/>
      </c>
      <c r="U133" s="32">
        <f>IF($A133=1,YEAR($D133)*100+MONTH($D133),"")</f>
        <v/>
      </c>
      <c r="V133" s="32">
        <f>IF($A133=1,IF(COUNTIF(COA!$A:$A,$G133)=0,0,INDEX(COA!$H:$H,MATCH($G133,COA!$A:$A,0))),"")</f>
        <v/>
      </c>
      <c r="W133" s="32">
        <f>IF($A133=1,"","")</f>
        <v/>
      </c>
      <c r="X133" s="32">
        <f>IF($A133=1,IF($R133=1,"",IF($O133=ST_POST,IF($P133&lt;&gt;"",$P133,"حساب غير صالح أو غير نشط"),IF($O133=ST_REV,"معكوس: لا أثر على الدفاتر",IF($O133=ST_CANC,"ملغى",IF($O133=ST_APPR,"معتمد ولم يُرحَّل","مسودة"))))),"")</f>
        <v/>
      </c>
      <c r="Y133" s="32">
        <f>IF($A133=1,IF(AND($R133=1,OR(LG_Acct="",$G133=LG_Acct),OR(LG_Party="",$K133=LG_Party),OR(LG_Loc="ALL",$I133=LG_Loc),OR(LG_CC="ALL",$J133=LG_CC),$D133&gt;=LG_From,$D133&lt;=LG_To),$D133+ROW()/1000000,""),"")</f>
        <v/>
      </c>
      <c r="Z133" s="32">
        <f>IF($A133=1,IF(Sales_Daily!$T14="","",Sales_Daily!$T14),"")</f>
        <v/>
      </c>
      <c r="AA133" s="32">
        <f>IF($A133=1,IF(Sales_Daily!$U14="","",Sales_Daily!$U14),"")</f>
        <v/>
      </c>
      <c r="AB133" s="32">
        <f>IF($A133=1,IF(Sales_Daily!$V14="","",Sales_Daily!$V14),"")</f>
        <v/>
      </c>
      <c r="AC133" s="32">
        <f>IF($A133=1,IF(Sales_Daily!$W14="","",Sales_Daily!$W14),"")</f>
        <v/>
      </c>
      <c r="AD133" s="32">
        <f>IF($A133=1,IF(Sales_Daily!$X14="","",Sales_Daily!$X14),"")</f>
        <v/>
      </c>
      <c r="AE133" s="32">
        <f>IF($A133=1,0,"")</f>
        <v/>
      </c>
      <c r="AF133" s="32" t="inlineStr"/>
    </row>
    <row r="134">
      <c r="A134" s="32">
        <f>IF(AND(Sales_Daily!$AV14=1,N(Sales_Daily!$AJ14)&gt;0),1,0)</f>
        <v/>
      </c>
      <c r="B134" s="32">
        <f>IF($A134=1,$E134&amp;"/13","")</f>
        <v/>
      </c>
      <c r="C134" s="32">
        <f>IF($A134=1,"J-"&amp;Sales_Daily!$A14,"")</f>
        <v/>
      </c>
      <c r="D134" s="33">
        <f>IF($A134=1,Sales_Daily!$B14,"")</f>
        <v/>
      </c>
      <c r="E134" s="32">
        <f>IF($A134=1,IF(Sales_Daily!$A14="","",Sales_Daily!$A14),"")</f>
        <v/>
      </c>
      <c r="F134" s="32">
        <f>IF($A134=1,"SAL","")</f>
        <v/>
      </c>
      <c r="G134" s="32">
        <f>IF($A134=1,ACC_VAT_OUT,"")</f>
        <v/>
      </c>
      <c r="H134" s="32">
        <f>IF($A134=1,IF(COUNTIF(COA!$A:$A,$G134)=0,"حساب غير معرف",INDEX(COA!$B:$B,MATCH($G134,COA!$A:$A,0))),"")</f>
        <v/>
      </c>
      <c r="I134" s="32">
        <f>IF($A134=1,IF(Sales_Daily!$C14="","",Sales_Daily!$C14),"")</f>
        <v/>
      </c>
      <c r="J134" s="32">
        <f>IF($A134=1,"CC10","")</f>
        <v/>
      </c>
      <c r="K134" s="32">
        <f>IF($A134=1,"-","")</f>
        <v/>
      </c>
      <c r="L134" s="32">
        <f>IF($A134=1,"ضريبة القيمة المضافة - مخرجات","")</f>
        <v/>
      </c>
      <c r="M134" s="43">
        <f>IF($A134=1,0,"")</f>
        <v/>
      </c>
      <c r="N134" s="43">
        <f>IF($A134=1,Sales_Daily!$AJ14,"")</f>
        <v/>
      </c>
      <c r="O134" s="32">
        <f>IF($A134=1,Sales_Daily!$S14,"")</f>
        <v/>
      </c>
      <c r="P134" s="32">
        <f>IF($A134=1,IF(Sales_Daily!$AW14="","",Sales_Daily!$AW14),"")</f>
        <v/>
      </c>
      <c r="Q134" s="32">
        <f>IF($A134=1,Sales_Daily!$AY14,"")</f>
        <v/>
      </c>
      <c r="R134" s="32">
        <f>IF($A134=1,IF(AND($Q134=1,COUNTIFS(COA!$A:$A,$G134,COA!$R:$R,1)=1),1,0),"")</f>
        <v/>
      </c>
      <c r="S134" s="43">
        <f>IF($A134=1,IF($R134=1,N($M134),0),"")</f>
        <v/>
      </c>
      <c r="T134" s="43">
        <f>IF($A134=1,IF($R134=1,N($N134),0),"")</f>
        <v/>
      </c>
      <c r="U134" s="32">
        <f>IF($A134=1,YEAR($D134)*100+MONTH($D134),"")</f>
        <v/>
      </c>
      <c r="V134" s="32">
        <f>IF($A134=1,IF(COUNTIF(COA!$A:$A,$G134)=0,0,INDEX(COA!$H:$H,MATCH($G134,COA!$A:$A,0))),"")</f>
        <v/>
      </c>
      <c r="W134" s="32">
        <f>IF($A134=1,"","")</f>
        <v/>
      </c>
      <c r="X134" s="32">
        <f>IF($A134=1,IF($R134=1,"",IF($O134=ST_POST,IF($P134&lt;&gt;"",$P134,"حساب غير صالح أو غير نشط"),IF($O134=ST_REV,"معكوس: لا أثر على الدفاتر",IF($O134=ST_CANC,"ملغى",IF($O134=ST_APPR,"معتمد ولم يُرحَّل","مسودة"))))),"")</f>
        <v/>
      </c>
      <c r="Y134" s="32">
        <f>IF($A134=1,IF(AND($R134=1,OR(LG_Acct="",$G134=LG_Acct),OR(LG_Party="",$K134=LG_Party),OR(LG_Loc="ALL",$I134=LG_Loc),OR(LG_CC="ALL",$J134=LG_CC),$D134&gt;=LG_From,$D134&lt;=LG_To),$D134+ROW()/1000000,""),"")</f>
        <v/>
      </c>
      <c r="Z134" s="32">
        <f>IF($A134=1,IF(Sales_Daily!$T14="","",Sales_Daily!$T14),"")</f>
        <v/>
      </c>
      <c r="AA134" s="32">
        <f>IF($A134=1,IF(Sales_Daily!$U14="","",Sales_Daily!$U14),"")</f>
        <v/>
      </c>
      <c r="AB134" s="32">
        <f>IF($A134=1,IF(Sales_Daily!$V14="","",Sales_Daily!$V14),"")</f>
        <v/>
      </c>
      <c r="AC134" s="32">
        <f>IF($A134=1,IF(Sales_Daily!$W14="","",Sales_Daily!$W14),"")</f>
        <v/>
      </c>
      <c r="AD134" s="32">
        <f>IF($A134=1,IF(Sales_Daily!$X14="","",Sales_Daily!$X14),"")</f>
        <v/>
      </c>
      <c r="AE134" s="32">
        <f>IF($A134=1,0,"")</f>
        <v/>
      </c>
      <c r="AF134" s="32" t="inlineStr"/>
    </row>
    <row r="135">
      <c r="A135" s="32">
        <f>IF(AND(Sales_Daily!$AV15=1,N(Sales_Daily!$L15)&gt;0),1,0)</f>
        <v/>
      </c>
      <c r="B135" s="32">
        <f>IF($A135=1,$E135&amp;"/1","")</f>
        <v/>
      </c>
      <c r="C135" s="32">
        <f>IF($A135=1,"J-"&amp;Sales_Daily!$A15,"")</f>
        <v/>
      </c>
      <c r="D135" s="33">
        <f>IF($A135=1,Sales_Daily!$B15,"")</f>
        <v/>
      </c>
      <c r="E135" s="32">
        <f>IF($A135=1,IF(Sales_Daily!$A15="","",Sales_Daily!$A15),"")</f>
        <v/>
      </c>
      <c r="F135" s="32">
        <f>IF($A135=1,"SAL","")</f>
        <v/>
      </c>
      <c r="G135" s="32">
        <f>IF($A135=1,IF(Sales_Daily!$AK15="","",Sales_Daily!$AK15),"")</f>
        <v/>
      </c>
      <c r="H135" s="32">
        <f>IF($A135=1,IF(COUNTIF(COA!$A:$A,$G135)=0,"حساب غير معرف",INDEX(COA!$B:$B,MATCH($G135,COA!$A:$A,0))),"")</f>
        <v/>
      </c>
      <c r="I135" s="32">
        <f>IF($A135=1,IF(Sales_Daily!$C15="","",Sales_Daily!$C15),"")</f>
        <v/>
      </c>
      <c r="J135" s="32">
        <f>IF($A135=1,"CC10","")</f>
        <v/>
      </c>
      <c r="K135" s="32">
        <f>IF($A135=1,"-","")</f>
        <v/>
      </c>
      <c r="L135" s="32">
        <f>IF($A135=1,"مبيعات - تحصيل CASH","")</f>
        <v/>
      </c>
      <c r="M135" s="43">
        <f>IF($A135=1,Sales_Daily!$L15,"")</f>
        <v/>
      </c>
      <c r="N135" s="43">
        <f>IF($A135=1,0,"")</f>
        <v/>
      </c>
      <c r="O135" s="32">
        <f>IF($A135=1,Sales_Daily!$S15,"")</f>
        <v/>
      </c>
      <c r="P135" s="32">
        <f>IF($A135=1,IF(Sales_Daily!$AW15="","",Sales_Daily!$AW15),"")</f>
        <v/>
      </c>
      <c r="Q135" s="32">
        <f>IF($A135=1,Sales_Daily!$AY15,"")</f>
        <v/>
      </c>
      <c r="R135" s="32">
        <f>IF($A135=1,IF(AND($Q135=1,COUNTIFS(COA!$A:$A,$G135,COA!$R:$R,1)=1),1,0),"")</f>
        <v/>
      </c>
      <c r="S135" s="43">
        <f>IF($A135=1,IF($R135=1,N($M135),0),"")</f>
        <v/>
      </c>
      <c r="T135" s="43">
        <f>IF($A135=1,IF($R135=1,N($N135),0),"")</f>
        <v/>
      </c>
      <c r="U135" s="32">
        <f>IF($A135=1,YEAR($D135)*100+MONTH($D135),"")</f>
        <v/>
      </c>
      <c r="V135" s="32">
        <f>IF($A135=1,IF(COUNTIF(COA!$A:$A,$G135)=0,0,INDEX(COA!$H:$H,MATCH($G135,COA!$A:$A,0))),"")</f>
        <v/>
      </c>
      <c r="W135" s="32">
        <f>IF($A135=1,"OPERATING","")</f>
        <v/>
      </c>
      <c r="X135" s="32">
        <f>IF($A135=1,IF($R135=1,"",IF($O135=ST_POST,IF($P135&lt;&gt;"",$P135,"حساب غير صالح أو غير نشط"),IF($O135=ST_REV,"معكوس: لا أثر على الدفاتر",IF($O135=ST_CANC,"ملغى",IF($O135=ST_APPR,"معتمد ولم يُرحَّل","مسودة"))))),"")</f>
        <v/>
      </c>
      <c r="Y135" s="32">
        <f>IF($A135=1,IF(AND($R135=1,OR(LG_Acct="",$G135=LG_Acct),OR(LG_Party="",$K135=LG_Party),OR(LG_Loc="ALL",$I135=LG_Loc),OR(LG_CC="ALL",$J135=LG_CC),$D135&gt;=LG_From,$D135&lt;=LG_To),$D135+ROW()/1000000,""),"")</f>
        <v/>
      </c>
      <c r="Z135" s="32">
        <f>IF($A135=1,IF(Sales_Daily!$T15="","",Sales_Daily!$T15),"")</f>
        <v/>
      </c>
      <c r="AA135" s="32">
        <f>IF($A135=1,IF(Sales_Daily!$U15="","",Sales_Daily!$U15),"")</f>
        <v/>
      </c>
      <c r="AB135" s="32">
        <f>IF($A135=1,IF(Sales_Daily!$V15="","",Sales_Daily!$V15),"")</f>
        <v/>
      </c>
      <c r="AC135" s="32">
        <f>IF($A135=1,IF(Sales_Daily!$W15="","",Sales_Daily!$W15),"")</f>
        <v/>
      </c>
      <c r="AD135" s="32">
        <f>IF($A135=1,IF(Sales_Daily!$X15="","",Sales_Daily!$X15),"")</f>
        <v/>
      </c>
      <c r="AE135" s="32">
        <f>IF($A135=1,0,"")</f>
        <v/>
      </c>
      <c r="AF135" s="32" t="inlineStr"/>
    </row>
    <row r="136">
      <c r="A136" s="32">
        <f>IF(AND(Sales_Daily!$AV15=1,N(Sales_Daily!$M15)&gt;0),1,0)</f>
        <v/>
      </c>
      <c r="B136" s="32">
        <f>IF($A136=1,$E136&amp;"/2","")</f>
        <v/>
      </c>
      <c r="C136" s="32">
        <f>IF($A136=1,"J-"&amp;Sales_Daily!$A15,"")</f>
        <v/>
      </c>
      <c r="D136" s="33">
        <f>IF($A136=1,Sales_Daily!$B15,"")</f>
        <v/>
      </c>
      <c r="E136" s="32">
        <f>IF($A136=1,IF(Sales_Daily!$A15="","",Sales_Daily!$A15),"")</f>
        <v/>
      </c>
      <c r="F136" s="32">
        <f>IF($A136=1,"SAL","")</f>
        <v/>
      </c>
      <c r="G136" s="32">
        <f>IF($A136=1,IF(Sales_Daily!$AL15="","",Sales_Daily!$AL15),"")</f>
        <v/>
      </c>
      <c r="H136" s="32">
        <f>IF($A136=1,IF(COUNTIF(COA!$A:$A,$G136)=0,"حساب غير معرف",INDEX(COA!$B:$B,MATCH($G136,COA!$A:$A,0))),"")</f>
        <v/>
      </c>
      <c r="I136" s="32">
        <f>IF($A136=1,IF(Sales_Daily!$C15="","",Sales_Daily!$C15),"")</f>
        <v/>
      </c>
      <c r="J136" s="32">
        <f>IF($A136=1,"CC10","")</f>
        <v/>
      </c>
      <c r="K136" s="32">
        <f>IF($A136=1,"-","")</f>
        <v/>
      </c>
      <c r="L136" s="32">
        <f>IF($A136=1,"مبيعات - تحصيل CARD","")</f>
        <v/>
      </c>
      <c r="M136" s="43">
        <f>IF($A136=1,Sales_Daily!$M15,"")</f>
        <v/>
      </c>
      <c r="N136" s="43">
        <f>IF($A136=1,0,"")</f>
        <v/>
      </c>
      <c r="O136" s="32">
        <f>IF($A136=1,Sales_Daily!$S15,"")</f>
        <v/>
      </c>
      <c r="P136" s="32">
        <f>IF($A136=1,IF(Sales_Daily!$AW15="","",Sales_Daily!$AW15),"")</f>
        <v/>
      </c>
      <c r="Q136" s="32">
        <f>IF($A136=1,Sales_Daily!$AY15,"")</f>
        <v/>
      </c>
      <c r="R136" s="32">
        <f>IF($A136=1,IF(AND($Q136=1,COUNTIFS(COA!$A:$A,$G136,COA!$R:$R,1)=1),1,0),"")</f>
        <v/>
      </c>
      <c r="S136" s="43">
        <f>IF($A136=1,IF($R136=1,N($M136),0),"")</f>
        <v/>
      </c>
      <c r="T136" s="43">
        <f>IF($A136=1,IF($R136=1,N($N136),0),"")</f>
        <v/>
      </c>
      <c r="U136" s="32">
        <f>IF($A136=1,YEAR($D136)*100+MONTH($D136),"")</f>
        <v/>
      </c>
      <c r="V136" s="32">
        <f>IF($A136=1,IF(COUNTIF(COA!$A:$A,$G136)=0,0,INDEX(COA!$H:$H,MATCH($G136,COA!$A:$A,0))),"")</f>
        <v/>
      </c>
      <c r="W136" s="32">
        <f>IF($A136=1,"OPERATING","")</f>
        <v/>
      </c>
      <c r="X136" s="32">
        <f>IF($A136=1,IF($R136=1,"",IF($O136=ST_POST,IF($P136&lt;&gt;"",$P136,"حساب غير صالح أو غير نشط"),IF($O136=ST_REV,"معكوس: لا أثر على الدفاتر",IF($O136=ST_CANC,"ملغى",IF($O136=ST_APPR,"معتمد ولم يُرحَّل","مسودة"))))),"")</f>
        <v/>
      </c>
      <c r="Y136" s="32">
        <f>IF($A136=1,IF(AND($R136=1,OR(LG_Acct="",$G136=LG_Acct),OR(LG_Party="",$K136=LG_Party),OR(LG_Loc="ALL",$I136=LG_Loc),OR(LG_CC="ALL",$J136=LG_CC),$D136&gt;=LG_From,$D136&lt;=LG_To),$D136+ROW()/1000000,""),"")</f>
        <v/>
      </c>
      <c r="Z136" s="32">
        <f>IF($A136=1,IF(Sales_Daily!$T15="","",Sales_Daily!$T15),"")</f>
        <v/>
      </c>
      <c r="AA136" s="32">
        <f>IF($A136=1,IF(Sales_Daily!$U15="","",Sales_Daily!$U15),"")</f>
        <v/>
      </c>
      <c r="AB136" s="32">
        <f>IF($A136=1,IF(Sales_Daily!$V15="","",Sales_Daily!$V15),"")</f>
        <v/>
      </c>
      <c r="AC136" s="32">
        <f>IF($A136=1,IF(Sales_Daily!$W15="","",Sales_Daily!$W15),"")</f>
        <v/>
      </c>
      <c r="AD136" s="32">
        <f>IF($A136=1,IF(Sales_Daily!$X15="","",Sales_Daily!$X15),"")</f>
        <v/>
      </c>
      <c r="AE136" s="32">
        <f>IF($A136=1,0,"")</f>
        <v/>
      </c>
      <c r="AF136" s="32" t="inlineStr"/>
    </row>
    <row r="137">
      <c r="A137" s="32">
        <f>IF(AND(Sales_Daily!$AV15=1,N(Sales_Daily!$N15)&gt;0),1,0)</f>
        <v/>
      </c>
      <c r="B137" s="32">
        <f>IF($A137=1,$E137&amp;"/3","")</f>
        <v/>
      </c>
      <c r="C137" s="32">
        <f>IF($A137=1,"J-"&amp;Sales_Daily!$A15,"")</f>
        <v/>
      </c>
      <c r="D137" s="33">
        <f>IF($A137=1,Sales_Daily!$B15,"")</f>
        <v/>
      </c>
      <c r="E137" s="32">
        <f>IF($A137=1,IF(Sales_Daily!$A15="","",Sales_Daily!$A15),"")</f>
        <v/>
      </c>
      <c r="F137" s="32">
        <f>IF($A137=1,"SAL","")</f>
        <v/>
      </c>
      <c r="G137" s="32">
        <f>IF($A137=1,IF(Sales_Daily!$AM15="","",Sales_Daily!$AM15),"")</f>
        <v/>
      </c>
      <c r="H137" s="32">
        <f>IF($A137=1,IF(COUNTIF(COA!$A:$A,$G137)=0,"حساب غير معرف",INDEX(COA!$B:$B,MATCH($G137,COA!$A:$A,0))),"")</f>
        <v/>
      </c>
      <c r="I137" s="32">
        <f>IF($A137=1,IF(Sales_Daily!$C15="","",Sales_Daily!$C15),"")</f>
        <v/>
      </c>
      <c r="J137" s="32">
        <f>IF($A137=1,"CC10","")</f>
        <v/>
      </c>
      <c r="K137" s="32">
        <f>IF($A137=1,"-","")</f>
        <v/>
      </c>
      <c r="L137" s="32">
        <f>IF($A137=1,"مبيعات - تحصيل TLB","")</f>
        <v/>
      </c>
      <c r="M137" s="43">
        <f>IF($A137=1,Sales_Daily!$N15,"")</f>
        <v/>
      </c>
      <c r="N137" s="43">
        <f>IF($A137=1,0,"")</f>
        <v/>
      </c>
      <c r="O137" s="32">
        <f>IF($A137=1,Sales_Daily!$S15,"")</f>
        <v/>
      </c>
      <c r="P137" s="32">
        <f>IF($A137=1,IF(Sales_Daily!$AW15="","",Sales_Daily!$AW15),"")</f>
        <v/>
      </c>
      <c r="Q137" s="32">
        <f>IF($A137=1,Sales_Daily!$AY15,"")</f>
        <v/>
      </c>
      <c r="R137" s="32">
        <f>IF($A137=1,IF(AND($Q137=1,COUNTIFS(COA!$A:$A,$G137,COA!$R:$R,1)=1),1,0),"")</f>
        <v/>
      </c>
      <c r="S137" s="43">
        <f>IF($A137=1,IF($R137=1,N($M137),0),"")</f>
        <v/>
      </c>
      <c r="T137" s="43">
        <f>IF($A137=1,IF($R137=1,N($N137),0),"")</f>
        <v/>
      </c>
      <c r="U137" s="32">
        <f>IF($A137=1,YEAR($D137)*100+MONTH($D137),"")</f>
        <v/>
      </c>
      <c r="V137" s="32">
        <f>IF($A137=1,IF(COUNTIF(COA!$A:$A,$G137)=0,0,INDEX(COA!$H:$H,MATCH($G137,COA!$A:$A,0))),"")</f>
        <v/>
      </c>
      <c r="W137" s="32">
        <f>IF($A137=1,"OPERATING","")</f>
        <v/>
      </c>
      <c r="X137" s="32">
        <f>IF($A137=1,IF($R137=1,"",IF($O137=ST_POST,IF($P137&lt;&gt;"",$P137,"حساب غير صالح أو غير نشط"),IF($O137=ST_REV,"معكوس: لا أثر على الدفاتر",IF($O137=ST_CANC,"ملغى",IF($O137=ST_APPR,"معتمد ولم يُرحَّل","مسودة"))))),"")</f>
        <v/>
      </c>
      <c r="Y137" s="32">
        <f>IF($A137=1,IF(AND($R137=1,OR(LG_Acct="",$G137=LG_Acct),OR(LG_Party="",$K137=LG_Party),OR(LG_Loc="ALL",$I137=LG_Loc),OR(LG_CC="ALL",$J137=LG_CC),$D137&gt;=LG_From,$D137&lt;=LG_To),$D137+ROW()/1000000,""),"")</f>
        <v/>
      </c>
      <c r="Z137" s="32">
        <f>IF($A137=1,IF(Sales_Daily!$T15="","",Sales_Daily!$T15),"")</f>
        <v/>
      </c>
      <c r="AA137" s="32">
        <f>IF($A137=1,IF(Sales_Daily!$U15="","",Sales_Daily!$U15),"")</f>
        <v/>
      </c>
      <c r="AB137" s="32">
        <f>IF($A137=1,IF(Sales_Daily!$V15="","",Sales_Daily!$V15),"")</f>
        <v/>
      </c>
      <c r="AC137" s="32">
        <f>IF($A137=1,IF(Sales_Daily!$W15="","",Sales_Daily!$W15),"")</f>
        <v/>
      </c>
      <c r="AD137" s="32">
        <f>IF($A137=1,IF(Sales_Daily!$X15="","",Sales_Daily!$X15),"")</f>
        <v/>
      </c>
      <c r="AE137" s="32">
        <f>IF($A137=1,0,"")</f>
        <v/>
      </c>
      <c r="AF137" s="32" t="inlineStr"/>
    </row>
    <row r="138">
      <c r="A138" s="32">
        <f>IF(AND(Sales_Daily!$AV15=1,N(Sales_Daily!$O15)&gt;0),1,0)</f>
        <v/>
      </c>
      <c r="B138" s="32">
        <f>IF($A138=1,$E138&amp;"/4","")</f>
        <v/>
      </c>
      <c r="C138" s="32">
        <f>IF($A138=1,"J-"&amp;Sales_Daily!$A15,"")</f>
        <v/>
      </c>
      <c r="D138" s="33">
        <f>IF($A138=1,Sales_Daily!$B15,"")</f>
        <v/>
      </c>
      <c r="E138" s="32">
        <f>IF($A138=1,IF(Sales_Daily!$A15="","",Sales_Daily!$A15),"")</f>
        <v/>
      </c>
      <c r="F138" s="32">
        <f>IF($A138=1,"SAL","")</f>
        <v/>
      </c>
      <c r="G138" s="32">
        <f>IF($A138=1,IF(Sales_Daily!$AN15="","",Sales_Daily!$AN15),"")</f>
        <v/>
      </c>
      <c r="H138" s="32">
        <f>IF($A138=1,IF(COUNTIF(COA!$A:$A,$G138)=0,"حساب غير معرف",INDEX(COA!$B:$B,MATCH($G138,COA!$A:$A,0))),"")</f>
        <v/>
      </c>
      <c r="I138" s="32">
        <f>IF($A138=1,IF(Sales_Daily!$C15="","",Sales_Daily!$C15),"")</f>
        <v/>
      </c>
      <c r="J138" s="32">
        <f>IF($A138=1,"CC10","")</f>
        <v/>
      </c>
      <c r="K138" s="32">
        <f>IF($A138=1,"-","")</f>
        <v/>
      </c>
      <c r="L138" s="32">
        <f>IF($A138=1,"مبيعات - تحصيل DLV2","")</f>
        <v/>
      </c>
      <c r="M138" s="43">
        <f>IF($A138=1,Sales_Daily!$O15,"")</f>
        <v/>
      </c>
      <c r="N138" s="43">
        <f>IF($A138=1,0,"")</f>
        <v/>
      </c>
      <c r="O138" s="32">
        <f>IF($A138=1,Sales_Daily!$S15,"")</f>
        <v/>
      </c>
      <c r="P138" s="32">
        <f>IF($A138=1,IF(Sales_Daily!$AW15="","",Sales_Daily!$AW15),"")</f>
        <v/>
      </c>
      <c r="Q138" s="32">
        <f>IF($A138=1,Sales_Daily!$AY15,"")</f>
        <v/>
      </c>
      <c r="R138" s="32">
        <f>IF($A138=1,IF(AND($Q138=1,COUNTIFS(COA!$A:$A,$G138,COA!$R:$R,1)=1),1,0),"")</f>
        <v/>
      </c>
      <c r="S138" s="43">
        <f>IF($A138=1,IF($R138=1,N($M138),0),"")</f>
        <v/>
      </c>
      <c r="T138" s="43">
        <f>IF($A138=1,IF($R138=1,N($N138),0),"")</f>
        <v/>
      </c>
      <c r="U138" s="32">
        <f>IF($A138=1,YEAR($D138)*100+MONTH($D138),"")</f>
        <v/>
      </c>
      <c r="V138" s="32">
        <f>IF($A138=1,IF(COUNTIF(COA!$A:$A,$G138)=0,0,INDEX(COA!$H:$H,MATCH($G138,COA!$A:$A,0))),"")</f>
        <v/>
      </c>
      <c r="W138" s="32">
        <f>IF($A138=1,"OPERATING","")</f>
        <v/>
      </c>
      <c r="X138" s="32">
        <f>IF($A138=1,IF($R138=1,"",IF($O138=ST_POST,IF($P138&lt;&gt;"",$P138,"حساب غير صالح أو غير نشط"),IF($O138=ST_REV,"معكوس: لا أثر على الدفاتر",IF($O138=ST_CANC,"ملغى",IF($O138=ST_APPR,"معتمد ولم يُرحَّل","مسودة"))))),"")</f>
        <v/>
      </c>
      <c r="Y138" s="32">
        <f>IF($A138=1,IF(AND($R138=1,OR(LG_Acct="",$G138=LG_Acct),OR(LG_Party="",$K138=LG_Party),OR(LG_Loc="ALL",$I138=LG_Loc),OR(LG_CC="ALL",$J138=LG_CC),$D138&gt;=LG_From,$D138&lt;=LG_To),$D138+ROW()/1000000,""),"")</f>
        <v/>
      </c>
      <c r="Z138" s="32">
        <f>IF($A138=1,IF(Sales_Daily!$T15="","",Sales_Daily!$T15),"")</f>
        <v/>
      </c>
      <c r="AA138" s="32">
        <f>IF($A138=1,IF(Sales_Daily!$U15="","",Sales_Daily!$U15),"")</f>
        <v/>
      </c>
      <c r="AB138" s="32">
        <f>IF($A138=1,IF(Sales_Daily!$V15="","",Sales_Daily!$V15),"")</f>
        <v/>
      </c>
      <c r="AC138" s="32">
        <f>IF($A138=1,IF(Sales_Daily!$W15="","",Sales_Daily!$W15),"")</f>
        <v/>
      </c>
      <c r="AD138" s="32">
        <f>IF($A138=1,IF(Sales_Daily!$X15="","",Sales_Daily!$X15),"")</f>
        <v/>
      </c>
      <c r="AE138" s="32">
        <f>IF($A138=1,0,"")</f>
        <v/>
      </c>
      <c r="AF138" s="32" t="inlineStr"/>
    </row>
    <row r="139">
      <c r="A139" s="32">
        <f>IF(AND(Sales_Daily!$AV15=1,N(Sales_Daily!$P15)&gt;0),1,0)</f>
        <v/>
      </c>
      <c r="B139" s="32">
        <f>IF($A139=1,$E139&amp;"/5","")</f>
        <v/>
      </c>
      <c r="C139" s="32">
        <f>IF($A139=1,"J-"&amp;Sales_Daily!$A15,"")</f>
        <v/>
      </c>
      <c r="D139" s="33">
        <f>IF($A139=1,Sales_Daily!$B15,"")</f>
        <v/>
      </c>
      <c r="E139" s="32">
        <f>IF($A139=1,IF(Sales_Daily!$A15="","",Sales_Daily!$A15),"")</f>
        <v/>
      </c>
      <c r="F139" s="32">
        <f>IF($A139=1,"SAL","")</f>
        <v/>
      </c>
      <c r="G139" s="32">
        <f>IF($A139=1,IF(Sales_Daily!$AO15="","",Sales_Daily!$AO15),"")</f>
        <v/>
      </c>
      <c r="H139" s="32">
        <f>IF($A139=1,IF(COUNTIF(COA!$A:$A,$G139)=0,"حساب غير معرف",INDEX(COA!$B:$B,MATCH($G139,COA!$A:$A,0))),"")</f>
        <v/>
      </c>
      <c r="I139" s="32">
        <f>IF($A139=1,IF(Sales_Daily!$C15="","",Sales_Daily!$C15),"")</f>
        <v/>
      </c>
      <c r="J139" s="32">
        <f>IF($A139=1,"CC10","")</f>
        <v/>
      </c>
      <c r="K139" s="32">
        <f>IF($A139=1,"-","")</f>
        <v/>
      </c>
      <c r="L139" s="32">
        <f>IF($A139=1,"مبيعات - تحصيل INSTA","")</f>
        <v/>
      </c>
      <c r="M139" s="43">
        <f>IF($A139=1,Sales_Daily!$P15,"")</f>
        <v/>
      </c>
      <c r="N139" s="43">
        <f>IF($A139=1,0,"")</f>
        <v/>
      </c>
      <c r="O139" s="32">
        <f>IF($A139=1,Sales_Daily!$S15,"")</f>
        <v/>
      </c>
      <c r="P139" s="32">
        <f>IF($A139=1,IF(Sales_Daily!$AW15="","",Sales_Daily!$AW15),"")</f>
        <v/>
      </c>
      <c r="Q139" s="32">
        <f>IF($A139=1,Sales_Daily!$AY15,"")</f>
        <v/>
      </c>
      <c r="R139" s="32">
        <f>IF($A139=1,IF(AND($Q139=1,COUNTIFS(COA!$A:$A,$G139,COA!$R:$R,1)=1),1,0),"")</f>
        <v/>
      </c>
      <c r="S139" s="43">
        <f>IF($A139=1,IF($R139=1,N($M139),0),"")</f>
        <v/>
      </c>
      <c r="T139" s="43">
        <f>IF($A139=1,IF($R139=1,N($N139),0),"")</f>
        <v/>
      </c>
      <c r="U139" s="32">
        <f>IF($A139=1,YEAR($D139)*100+MONTH($D139),"")</f>
        <v/>
      </c>
      <c r="V139" s="32">
        <f>IF($A139=1,IF(COUNTIF(COA!$A:$A,$G139)=0,0,INDEX(COA!$H:$H,MATCH($G139,COA!$A:$A,0))),"")</f>
        <v/>
      </c>
      <c r="W139" s="32">
        <f>IF($A139=1,"OPERATING","")</f>
        <v/>
      </c>
      <c r="X139" s="32">
        <f>IF($A139=1,IF($R139=1,"",IF($O139=ST_POST,IF($P139&lt;&gt;"",$P139,"حساب غير صالح أو غير نشط"),IF($O139=ST_REV,"معكوس: لا أثر على الدفاتر",IF($O139=ST_CANC,"ملغى",IF($O139=ST_APPR,"معتمد ولم يُرحَّل","مسودة"))))),"")</f>
        <v/>
      </c>
      <c r="Y139" s="32">
        <f>IF($A139=1,IF(AND($R139=1,OR(LG_Acct="",$G139=LG_Acct),OR(LG_Party="",$K139=LG_Party),OR(LG_Loc="ALL",$I139=LG_Loc),OR(LG_CC="ALL",$J139=LG_CC),$D139&gt;=LG_From,$D139&lt;=LG_To),$D139+ROW()/1000000,""),"")</f>
        <v/>
      </c>
      <c r="Z139" s="32">
        <f>IF($A139=1,IF(Sales_Daily!$T15="","",Sales_Daily!$T15),"")</f>
        <v/>
      </c>
      <c r="AA139" s="32">
        <f>IF($A139=1,IF(Sales_Daily!$U15="","",Sales_Daily!$U15),"")</f>
        <v/>
      </c>
      <c r="AB139" s="32">
        <f>IF($A139=1,IF(Sales_Daily!$V15="","",Sales_Daily!$V15),"")</f>
        <v/>
      </c>
      <c r="AC139" s="32">
        <f>IF($A139=1,IF(Sales_Daily!$W15="","",Sales_Daily!$W15),"")</f>
        <v/>
      </c>
      <c r="AD139" s="32">
        <f>IF($A139=1,IF(Sales_Daily!$X15="","",Sales_Daily!$X15),"")</f>
        <v/>
      </c>
      <c r="AE139" s="32">
        <f>IF($A139=1,0,"")</f>
        <v/>
      </c>
      <c r="AF139" s="32" t="inlineStr"/>
    </row>
    <row r="140">
      <c r="A140" s="32">
        <f>IF(AND(Sales_Daily!$AV15=1,N(Sales_Daily!$Q15)&gt;0),1,0)</f>
        <v/>
      </c>
      <c r="B140" s="32">
        <f>IF($A140=1,$E140&amp;"/6","")</f>
        <v/>
      </c>
      <c r="C140" s="32">
        <f>IF($A140=1,"J-"&amp;Sales_Daily!$A15,"")</f>
        <v/>
      </c>
      <c r="D140" s="33">
        <f>IF($A140=1,Sales_Daily!$B15,"")</f>
        <v/>
      </c>
      <c r="E140" s="32">
        <f>IF($A140=1,IF(Sales_Daily!$A15="","",Sales_Daily!$A15),"")</f>
        <v/>
      </c>
      <c r="F140" s="32">
        <f>IF($A140=1,"SAL","")</f>
        <v/>
      </c>
      <c r="G140" s="32">
        <f>IF($A140=1,IF(Sales_Daily!$AP15="","",Sales_Daily!$AP15),"")</f>
        <v/>
      </c>
      <c r="H140" s="32">
        <f>IF($A140=1,IF(COUNTIF(COA!$A:$A,$G140)=0,"حساب غير معرف",INDEX(COA!$B:$B,MATCH($G140,COA!$A:$A,0))),"")</f>
        <v/>
      </c>
      <c r="I140" s="32">
        <f>IF($A140=1,IF(Sales_Daily!$C15="","",Sales_Daily!$C15),"")</f>
        <v/>
      </c>
      <c r="J140" s="32">
        <f>IF($A140=1,"CC10","")</f>
        <v/>
      </c>
      <c r="K140" s="32">
        <f>IF($A140=1,"-","")</f>
        <v/>
      </c>
      <c r="L140" s="32">
        <f>IF($A140=1,"مبيعات - تحصيل OTH","")</f>
        <v/>
      </c>
      <c r="M140" s="43">
        <f>IF($A140=1,Sales_Daily!$Q15,"")</f>
        <v/>
      </c>
      <c r="N140" s="43">
        <f>IF($A140=1,0,"")</f>
        <v/>
      </c>
      <c r="O140" s="32">
        <f>IF($A140=1,Sales_Daily!$S15,"")</f>
        <v/>
      </c>
      <c r="P140" s="32">
        <f>IF($A140=1,IF(Sales_Daily!$AW15="","",Sales_Daily!$AW15),"")</f>
        <v/>
      </c>
      <c r="Q140" s="32">
        <f>IF($A140=1,Sales_Daily!$AY15,"")</f>
        <v/>
      </c>
      <c r="R140" s="32">
        <f>IF($A140=1,IF(AND($Q140=1,COUNTIFS(COA!$A:$A,$G140,COA!$R:$R,1)=1),1,0),"")</f>
        <v/>
      </c>
      <c r="S140" s="43">
        <f>IF($A140=1,IF($R140=1,N($M140),0),"")</f>
        <v/>
      </c>
      <c r="T140" s="43">
        <f>IF($A140=1,IF($R140=1,N($N140),0),"")</f>
        <v/>
      </c>
      <c r="U140" s="32">
        <f>IF($A140=1,YEAR($D140)*100+MONTH($D140),"")</f>
        <v/>
      </c>
      <c r="V140" s="32">
        <f>IF($A140=1,IF(COUNTIF(COA!$A:$A,$G140)=0,0,INDEX(COA!$H:$H,MATCH($G140,COA!$A:$A,0))),"")</f>
        <v/>
      </c>
      <c r="W140" s="32">
        <f>IF($A140=1,"OPERATING","")</f>
        <v/>
      </c>
      <c r="X140" s="32">
        <f>IF($A140=1,IF($R140=1,"",IF($O140=ST_POST,IF($P140&lt;&gt;"",$P140,"حساب غير صالح أو غير نشط"),IF($O140=ST_REV,"معكوس: لا أثر على الدفاتر",IF($O140=ST_CANC,"ملغى",IF($O140=ST_APPR,"معتمد ولم يُرحَّل","مسودة"))))),"")</f>
        <v/>
      </c>
      <c r="Y140" s="32">
        <f>IF($A140=1,IF(AND($R140=1,OR(LG_Acct="",$G140=LG_Acct),OR(LG_Party="",$K140=LG_Party),OR(LG_Loc="ALL",$I140=LG_Loc),OR(LG_CC="ALL",$J140=LG_CC),$D140&gt;=LG_From,$D140&lt;=LG_To),$D140+ROW()/1000000,""),"")</f>
        <v/>
      </c>
      <c r="Z140" s="32">
        <f>IF($A140=1,IF(Sales_Daily!$T15="","",Sales_Daily!$T15),"")</f>
        <v/>
      </c>
      <c r="AA140" s="32">
        <f>IF($A140=1,IF(Sales_Daily!$U15="","",Sales_Daily!$U15),"")</f>
        <v/>
      </c>
      <c r="AB140" s="32">
        <f>IF($A140=1,IF(Sales_Daily!$V15="","",Sales_Daily!$V15),"")</f>
        <v/>
      </c>
      <c r="AC140" s="32">
        <f>IF($A140=1,IF(Sales_Daily!$W15="","",Sales_Daily!$W15),"")</f>
        <v/>
      </c>
      <c r="AD140" s="32">
        <f>IF($A140=1,IF(Sales_Daily!$X15="","",Sales_Daily!$X15),"")</f>
        <v/>
      </c>
      <c r="AE140" s="32">
        <f>IF($A140=1,0,"")</f>
        <v/>
      </c>
      <c r="AF140" s="32" t="inlineStr"/>
    </row>
    <row r="141">
      <c r="A141" s="32">
        <f>IF(AND(Sales_Daily!$AV15=1,N(Sales_Daily!$AH15)&gt;0),1,0)</f>
        <v/>
      </c>
      <c r="B141" s="32">
        <f>IF($A141=1,$E141&amp;"/7","")</f>
        <v/>
      </c>
      <c r="C141" s="32">
        <f>IF($A141=1,"J-"&amp;Sales_Daily!$A15,"")</f>
        <v/>
      </c>
      <c r="D141" s="33">
        <f>IF($A141=1,Sales_Daily!$B15,"")</f>
        <v/>
      </c>
      <c r="E141" s="32">
        <f>IF($A141=1,IF(Sales_Daily!$A15="","",Sales_Daily!$A15),"")</f>
        <v/>
      </c>
      <c r="F141" s="32">
        <f>IF($A141=1,"SAL","")</f>
        <v/>
      </c>
      <c r="G141" s="32">
        <f>IF($A141=1,ACC_DISC,"")</f>
        <v/>
      </c>
      <c r="H141" s="32">
        <f>IF($A141=1,IF(COUNTIF(COA!$A:$A,$G141)=0,"حساب غير معرف",INDEX(COA!$B:$B,MATCH($G141,COA!$A:$A,0))),"")</f>
        <v/>
      </c>
      <c r="I141" s="32">
        <f>IF($A141=1,IF(Sales_Daily!$C15="","",Sales_Daily!$C15),"")</f>
        <v/>
      </c>
      <c r="J141" s="32">
        <f>IF($A141=1,"CC10","")</f>
        <v/>
      </c>
      <c r="K141" s="32">
        <f>IF($A141=1,"-","")</f>
        <v/>
      </c>
      <c r="L141" s="32">
        <f>IF($A141=1,"خصومات المبيعات والعروض","")</f>
        <v/>
      </c>
      <c r="M141" s="43">
        <f>IF($A141=1,Sales_Daily!$AH15,"")</f>
        <v/>
      </c>
      <c r="N141" s="43">
        <f>IF($A141=1,0,"")</f>
        <v/>
      </c>
      <c r="O141" s="32">
        <f>IF($A141=1,Sales_Daily!$S15,"")</f>
        <v/>
      </c>
      <c r="P141" s="32">
        <f>IF($A141=1,IF(Sales_Daily!$AW15="","",Sales_Daily!$AW15),"")</f>
        <v/>
      </c>
      <c r="Q141" s="32">
        <f>IF($A141=1,Sales_Daily!$AY15,"")</f>
        <v/>
      </c>
      <c r="R141" s="32">
        <f>IF($A141=1,IF(AND($Q141=1,COUNTIFS(COA!$A:$A,$G141,COA!$R:$R,1)=1),1,0),"")</f>
        <v/>
      </c>
      <c r="S141" s="43">
        <f>IF($A141=1,IF($R141=1,N($M141),0),"")</f>
        <v/>
      </c>
      <c r="T141" s="43">
        <f>IF($A141=1,IF($R141=1,N($N141),0),"")</f>
        <v/>
      </c>
      <c r="U141" s="32">
        <f>IF($A141=1,YEAR($D141)*100+MONTH($D141),"")</f>
        <v/>
      </c>
      <c r="V141" s="32">
        <f>IF($A141=1,IF(COUNTIF(COA!$A:$A,$G141)=0,0,INDEX(COA!$H:$H,MATCH($G141,COA!$A:$A,0))),"")</f>
        <v/>
      </c>
      <c r="W141" s="32">
        <f>IF($A141=1,"","")</f>
        <v/>
      </c>
      <c r="X141" s="32">
        <f>IF($A141=1,IF($R141=1,"",IF($O141=ST_POST,IF($P141&lt;&gt;"",$P141,"حساب غير صالح أو غير نشط"),IF($O141=ST_REV,"معكوس: لا أثر على الدفاتر",IF($O141=ST_CANC,"ملغى",IF($O141=ST_APPR,"معتمد ولم يُرحَّل","مسودة"))))),"")</f>
        <v/>
      </c>
      <c r="Y141" s="32">
        <f>IF($A141=1,IF(AND($R141=1,OR(LG_Acct="",$G141=LG_Acct),OR(LG_Party="",$K141=LG_Party),OR(LG_Loc="ALL",$I141=LG_Loc),OR(LG_CC="ALL",$J141=LG_CC),$D141&gt;=LG_From,$D141&lt;=LG_To),$D141+ROW()/1000000,""),"")</f>
        <v/>
      </c>
      <c r="Z141" s="32">
        <f>IF($A141=1,IF(Sales_Daily!$T15="","",Sales_Daily!$T15),"")</f>
        <v/>
      </c>
      <c r="AA141" s="32">
        <f>IF($A141=1,IF(Sales_Daily!$U15="","",Sales_Daily!$U15),"")</f>
        <v/>
      </c>
      <c r="AB141" s="32">
        <f>IF($A141=1,IF(Sales_Daily!$V15="","",Sales_Daily!$V15),"")</f>
        <v/>
      </c>
      <c r="AC141" s="32">
        <f>IF($A141=1,IF(Sales_Daily!$W15="","",Sales_Daily!$W15),"")</f>
        <v/>
      </c>
      <c r="AD141" s="32">
        <f>IF($A141=1,IF(Sales_Daily!$X15="","",Sales_Daily!$X15),"")</f>
        <v/>
      </c>
      <c r="AE141" s="32">
        <f>IF($A141=1,0,"")</f>
        <v/>
      </c>
      <c r="AF141" s="32" t="inlineStr"/>
    </row>
    <row r="142">
      <c r="A142" s="32">
        <f>IF(AND(Sales_Daily!$AV15=1,N(Sales_Daily!$AI15)&gt;0),1,0)</f>
        <v/>
      </c>
      <c r="B142" s="32">
        <f>IF($A142=1,$E142&amp;"/8","")</f>
        <v/>
      </c>
      <c r="C142" s="32">
        <f>IF($A142=1,"J-"&amp;Sales_Daily!$A15,"")</f>
        <v/>
      </c>
      <c r="D142" s="33">
        <f>IF($A142=1,Sales_Daily!$B15,"")</f>
        <v/>
      </c>
      <c r="E142" s="32">
        <f>IF($A142=1,IF(Sales_Daily!$A15="","",Sales_Daily!$A15),"")</f>
        <v/>
      </c>
      <c r="F142" s="32">
        <f>IF($A142=1,"SAL","")</f>
        <v/>
      </c>
      <c r="G142" s="32">
        <f>IF($A142=1,ACC_RET,"")</f>
        <v/>
      </c>
      <c r="H142" s="32">
        <f>IF($A142=1,IF(COUNTIF(COA!$A:$A,$G142)=0,"حساب غير معرف",INDEX(COA!$B:$B,MATCH($G142,COA!$A:$A,0))),"")</f>
        <v/>
      </c>
      <c r="I142" s="32">
        <f>IF($A142=1,IF(Sales_Daily!$C15="","",Sales_Daily!$C15),"")</f>
        <v/>
      </c>
      <c r="J142" s="32">
        <f>IF($A142=1,"CC10","")</f>
        <v/>
      </c>
      <c r="K142" s="32">
        <f>IF($A142=1,"-","")</f>
        <v/>
      </c>
      <c r="L142" s="32">
        <f>IF($A142=1,"مرتجعات وإلغاءات المبيعات","")</f>
        <v/>
      </c>
      <c r="M142" s="43">
        <f>IF($A142=1,Sales_Daily!$AI15,"")</f>
        <v/>
      </c>
      <c r="N142" s="43">
        <f>IF($A142=1,0,"")</f>
        <v/>
      </c>
      <c r="O142" s="32">
        <f>IF($A142=1,Sales_Daily!$S15,"")</f>
        <v/>
      </c>
      <c r="P142" s="32">
        <f>IF($A142=1,IF(Sales_Daily!$AW15="","",Sales_Daily!$AW15),"")</f>
        <v/>
      </c>
      <c r="Q142" s="32">
        <f>IF($A142=1,Sales_Daily!$AY15,"")</f>
        <v/>
      </c>
      <c r="R142" s="32">
        <f>IF($A142=1,IF(AND($Q142=1,COUNTIFS(COA!$A:$A,$G142,COA!$R:$R,1)=1),1,0),"")</f>
        <v/>
      </c>
      <c r="S142" s="43">
        <f>IF($A142=1,IF($R142=1,N($M142),0),"")</f>
        <v/>
      </c>
      <c r="T142" s="43">
        <f>IF($A142=1,IF($R142=1,N($N142),0),"")</f>
        <v/>
      </c>
      <c r="U142" s="32">
        <f>IF($A142=1,YEAR($D142)*100+MONTH($D142),"")</f>
        <v/>
      </c>
      <c r="V142" s="32">
        <f>IF($A142=1,IF(COUNTIF(COA!$A:$A,$G142)=0,0,INDEX(COA!$H:$H,MATCH($G142,COA!$A:$A,0))),"")</f>
        <v/>
      </c>
      <c r="W142" s="32">
        <f>IF($A142=1,"","")</f>
        <v/>
      </c>
      <c r="X142" s="32">
        <f>IF($A142=1,IF($R142=1,"",IF($O142=ST_POST,IF($P142&lt;&gt;"",$P142,"حساب غير صالح أو غير نشط"),IF($O142=ST_REV,"معكوس: لا أثر على الدفاتر",IF($O142=ST_CANC,"ملغى",IF($O142=ST_APPR,"معتمد ولم يُرحَّل","مسودة"))))),"")</f>
        <v/>
      </c>
      <c r="Y142" s="32">
        <f>IF($A142=1,IF(AND($R142=1,OR(LG_Acct="",$G142=LG_Acct),OR(LG_Party="",$K142=LG_Party),OR(LG_Loc="ALL",$I142=LG_Loc),OR(LG_CC="ALL",$J142=LG_CC),$D142&gt;=LG_From,$D142&lt;=LG_To),$D142+ROW()/1000000,""),"")</f>
        <v/>
      </c>
      <c r="Z142" s="32">
        <f>IF($A142=1,IF(Sales_Daily!$T15="","",Sales_Daily!$T15),"")</f>
        <v/>
      </c>
      <c r="AA142" s="32">
        <f>IF($A142=1,IF(Sales_Daily!$U15="","",Sales_Daily!$U15),"")</f>
        <v/>
      </c>
      <c r="AB142" s="32">
        <f>IF($A142=1,IF(Sales_Daily!$V15="","",Sales_Daily!$V15),"")</f>
        <v/>
      </c>
      <c r="AC142" s="32">
        <f>IF($A142=1,IF(Sales_Daily!$W15="","",Sales_Daily!$W15),"")</f>
        <v/>
      </c>
      <c r="AD142" s="32">
        <f>IF($A142=1,IF(Sales_Daily!$X15="","",Sales_Daily!$X15),"")</f>
        <v/>
      </c>
      <c r="AE142" s="32">
        <f>IF($A142=1,0,"")</f>
        <v/>
      </c>
      <c r="AF142" s="32" t="inlineStr"/>
    </row>
    <row r="143">
      <c r="A143" s="32">
        <f>IF(AND(Sales_Daily!$AV15=1,N(Sales_Daily!$AD15)&gt;0),1,0)</f>
        <v/>
      </c>
      <c r="B143" s="32">
        <f>IF($A143=1,$E143&amp;"/9","")</f>
        <v/>
      </c>
      <c r="C143" s="32">
        <f>IF($A143=1,"J-"&amp;Sales_Daily!$A15,"")</f>
        <v/>
      </c>
      <c r="D143" s="33">
        <f>IF($A143=1,Sales_Daily!$B15,"")</f>
        <v/>
      </c>
      <c r="E143" s="32">
        <f>IF($A143=1,IF(Sales_Daily!$A15="","",Sales_Daily!$A15),"")</f>
        <v/>
      </c>
      <c r="F143" s="32">
        <f>IF($A143=1,"SAL","")</f>
        <v/>
      </c>
      <c r="G143" s="32">
        <f>IF($A143=1,IF(Sales_Daily!$AQ15="","",Sales_Daily!$AQ15),"")</f>
        <v/>
      </c>
      <c r="H143" s="32">
        <f>IF($A143=1,IF(COUNTIF(COA!$A:$A,$G143)=0,"حساب غير معرف",INDEX(COA!$B:$B,MATCH($G143,COA!$A:$A,0))),"")</f>
        <v/>
      </c>
      <c r="I143" s="32">
        <f>IF($A143=1,IF(Sales_Daily!$C15="","",Sales_Daily!$C15),"")</f>
        <v/>
      </c>
      <c r="J143" s="32">
        <f>IF($A143=1,"CC10","")</f>
        <v/>
      </c>
      <c r="K143" s="32">
        <f>IF($A143=1,"-","")</f>
        <v/>
      </c>
      <c r="L143" s="32">
        <f>IF($A143=1,"إيراد مبيعات - فئة فطير","")</f>
        <v/>
      </c>
      <c r="M143" s="43">
        <f>IF($A143=1,0,"")</f>
        <v/>
      </c>
      <c r="N143" s="43">
        <f>IF($A143=1,Sales_Daily!$AD15,"")</f>
        <v/>
      </c>
      <c r="O143" s="32">
        <f>IF($A143=1,Sales_Daily!$S15,"")</f>
        <v/>
      </c>
      <c r="P143" s="32">
        <f>IF($A143=1,IF(Sales_Daily!$AW15="","",Sales_Daily!$AW15),"")</f>
        <v/>
      </c>
      <c r="Q143" s="32">
        <f>IF($A143=1,Sales_Daily!$AY15,"")</f>
        <v/>
      </c>
      <c r="R143" s="32">
        <f>IF($A143=1,IF(AND($Q143=1,COUNTIFS(COA!$A:$A,$G143,COA!$R:$R,1)=1),1,0),"")</f>
        <v/>
      </c>
      <c r="S143" s="43">
        <f>IF($A143=1,IF($R143=1,N($M143),0),"")</f>
        <v/>
      </c>
      <c r="T143" s="43">
        <f>IF($A143=1,IF($R143=1,N($N143),0),"")</f>
        <v/>
      </c>
      <c r="U143" s="32">
        <f>IF($A143=1,YEAR($D143)*100+MONTH($D143),"")</f>
        <v/>
      </c>
      <c r="V143" s="32">
        <f>IF($A143=1,IF(COUNTIF(COA!$A:$A,$G143)=0,0,INDEX(COA!$H:$H,MATCH($G143,COA!$A:$A,0))),"")</f>
        <v/>
      </c>
      <c r="W143" s="32">
        <f>IF($A143=1,"","")</f>
        <v/>
      </c>
      <c r="X143" s="32">
        <f>IF($A143=1,IF($R143=1,"",IF($O143=ST_POST,IF($P143&lt;&gt;"",$P143,"حساب غير صالح أو غير نشط"),IF($O143=ST_REV,"معكوس: لا أثر على الدفاتر",IF($O143=ST_CANC,"ملغى",IF($O143=ST_APPR,"معتمد ولم يُرحَّل","مسودة"))))),"")</f>
        <v/>
      </c>
      <c r="Y143" s="32">
        <f>IF($A143=1,IF(AND($R143=1,OR(LG_Acct="",$G143=LG_Acct),OR(LG_Party="",$K143=LG_Party),OR(LG_Loc="ALL",$I143=LG_Loc),OR(LG_CC="ALL",$J143=LG_CC),$D143&gt;=LG_From,$D143&lt;=LG_To),$D143+ROW()/1000000,""),"")</f>
        <v/>
      </c>
      <c r="Z143" s="32">
        <f>IF($A143=1,IF(Sales_Daily!$T15="","",Sales_Daily!$T15),"")</f>
        <v/>
      </c>
      <c r="AA143" s="32">
        <f>IF($A143=1,IF(Sales_Daily!$U15="","",Sales_Daily!$U15),"")</f>
        <v/>
      </c>
      <c r="AB143" s="32">
        <f>IF($A143=1,IF(Sales_Daily!$V15="","",Sales_Daily!$V15),"")</f>
        <v/>
      </c>
      <c r="AC143" s="32">
        <f>IF($A143=1,IF(Sales_Daily!$W15="","",Sales_Daily!$W15),"")</f>
        <v/>
      </c>
      <c r="AD143" s="32">
        <f>IF($A143=1,IF(Sales_Daily!$X15="","",Sales_Daily!$X15),"")</f>
        <v/>
      </c>
      <c r="AE143" s="32">
        <f>IF($A143=1,0,"")</f>
        <v/>
      </c>
      <c r="AF143" s="32" t="inlineStr"/>
    </row>
    <row r="144">
      <c r="A144" s="32">
        <f>IF(AND(Sales_Daily!$AV15=1,N(Sales_Daily!$AE15)&gt;0),1,0)</f>
        <v/>
      </c>
      <c r="B144" s="32">
        <f>IF($A144=1,$E144&amp;"/10","")</f>
        <v/>
      </c>
      <c r="C144" s="32">
        <f>IF($A144=1,"J-"&amp;Sales_Daily!$A15,"")</f>
        <v/>
      </c>
      <c r="D144" s="33">
        <f>IF($A144=1,Sales_Daily!$B15,"")</f>
        <v/>
      </c>
      <c r="E144" s="32">
        <f>IF($A144=1,IF(Sales_Daily!$A15="","",Sales_Daily!$A15),"")</f>
        <v/>
      </c>
      <c r="F144" s="32">
        <f>IF($A144=1,"SAL","")</f>
        <v/>
      </c>
      <c r="G144" s="32">
        <f>IF($A144=1,IF(Sales_Daily!$AR15="","",Sales_Daily!$AR15),"")</f>
        <v/>
      </c>
      <c r="H144" s="32">
        <f>IF($A144=1,IF(COUNTIF(COA!$A:$A,$G144)=0,"حساب غير معرف",INDEX(COA!$B:$B,MATCH($G144,COA!$A:$A,0))),"")</f>
        <v/>
      </c>
      <c r="I144" s="32">
        <f>IF($A144=1,IF(Sales_Daily!$C15="","",Sales_Daily!$C15),"")</f>
        <v/>
      </c>
      <c r="J144" s="32">
        <f>IF($A144=1,"CC10","")</f>
        <v/>
      </c>
      <c r="K144" s="32">
        <f>IF($A144=1,"-","")</f>
        <v/>
      </c>
      <c r="L144" s="32">
        <f>IF($A144=1,"إيراد مبيعات - فئة بيتزا","")</f>
        <v/>
      </c>
      <c r="M144" s="43">
        <f>IF($A144=1,0,"")</f>
        <v/>
      </c>
      <c r="N144" s="43">
        <f>IF($A144=1,Sales_Daily!$AE15,"")</f>
        <v/>
      </c>
      <c r="O144" s="32">
        <f>IF($A144=1,Sales_Daily!$S15,"")</f>
        <v/>
      </c>
      <c r="P144" s="32">
        <f>IF($A144=1,IF(Sales_Daily!$AW15="","",Sales_Daily!$AW15),"")</f>
        <v/>
      </c>
      <c r="Q144" s="32">
        <f>IF($A144=1,Sales_Daily!$AY15,"")</f>
        <v/>
      </c>
      <c r="R144" s="32">
        <f>IF($A144=1,IF(AND($Q144=1,COUNTIFS(COA!$A:$A,$G144,COA!$R:$R,1)=1),1,0),"")</f>
        <v/>
      </c>
      <c r="S144" s="43">
        <f>IF($A144=1,IF($R144=1,N($M144),0),"")</f>
        <v/>
      </c>
      <c r="T144" s="43">
        <f>IF($A144=1,IF($R144=1,N($N144),0),"")</f>
        <v/>
      </c>
      <c r="U144" s="32">
        <f>IF($A144=1,YEAR($D144)*100+MONTH($D144),"")</f>
        <v/>
      </c>
      <c r="V144" s="32">
        <f>IF($A144=1,IF(COUNTIF(COA!$A:$A,$G144)=0,0,INDEX(COA!$H:$H,MATCH($G144,COA!$A:$A,0))),"")</f>
        <v/>
      </c>
      <c r="W144" s="32">
        <f>IF($A144=1,"","")</f>
        <v/>
      </c>
      <c r="X144" s="32">
        <f>IF($A144=1,IF($R144=1,"",IF($O144=ST_POST,IF($P144&lt;&gt;"",$P144,"حساب غير صالح أو غير نشط"),IF($O144=ST_REV,"معكوس: لا أثر على الدفاتر",IF($O144=ST_CANC,"ملغى",IF($O144=ST_APPR,"معتمد ولم يُرحَّل","مسودة"))))),"")</f>
        <v/>
      </c>
      <c r="Y144" s="32">
        <f>IF($A144=1,IF(AND($R144=1,OR(LG_Acct="",$G144=LG_Acct),OR(LG_Party="",$K144=LG_Party),OR(LG_Loc="ALL",$I144=LG_Loc),OR(LG_CC="ALL",$J144=LG_CC),$D144&gt;=LG_From,$D144&lt;=LG_To),$D144+ROW()/1000000,""),"")</f>
        <v/>
      </c>
      <c r="Z144" s="32">
        <f>IF($A144=1,IF(Sales_Daily!$T15="","",Sales_Daily!$T15),"")</f>
        <v/>
      </c>
      <c r="AA144" s="32">
        <f>IF($A144=1,IF(Sales_Daily!$U15="","",Sales_Daily!$U15),"")</f>
        <v/>
      </c>
      <c r="AB144" s="32">
        <f>IF($A144=1,IF(Sales_Daily!$V15="","",Sales_Daily!$V15),"")</f>
        <v/>
      </c>
      <c r="AC144" s="32">
        <f>IF($A144=1,IF(Sales_Daily!$W15="","",Sales_Daily!$W15),"")</f>
        <v/>
      </c>
      <c r="AD144" s="32">
        <f>IF($A144=1,IF(Sales_Daily!$X15="","",Sales_Daily!$X15),"")</f>
        <v/>
      </c>
      <c r="AE144" s="32">
        <f>IF($A144=1,0,"")</f>
        <v/>
      </c>
      <c r="AF144" s="32" t="inlineStr"/>
    </row>
    <row r="145">
      <c r="A145" s="32">
        <f>IF(AND(Sales_Daily!$AV15=1,N(Sales_Daily!$AF15)&gt;0),1,0)</f>
        <v/>
      </c>
      <c r="B145" s="32">
        <f>IF($A145=1,$E145&amp;"/11","")</f>
        <v/>
      </c>
      <c r="C145" s="32">
        <f>IF($A145=1,"J-"&amp;Sales_Daily!$A15,"")</f>
        <v/>
      </c>
      <c r="D145" s="33">
        <f>IF($A145=1,Sales_Daily!$B15,"")</f>
        <v/>
      </c>
      <c r="E145" s="32">
        <f>IF($A145=1,IF(Sales_Daily!$A15="","",Sales_Daily!$A15),"")</f>
        <v/>
      </c>
      <c r="F145" s="32">
        <f>IF($A145=1,"SAL","")</f>
        <v/>
      </c>
      <c r="G145" s="32">
        <f>IF($A145=1,IF(Sales_Daily!$AS15="","",Sales_Daily!$AS15),"")</f>
        <v/>
      </c>
      <c r="H145" s="32">
        <f>IF($A145=1,IF(COUNTIF(COA!$A:$A,$G145)=0,"حساب غير معرف",INDEX(COA!$B:$B,MATCH($G145,COA!$A:$A,0))),"")</f>
        <v/>
      </c>
      <c r="I145" s="32">
        <f>IF($A145=1,IF(Sales_Daily!$C15="","",Sales_Daily!$C15),"")</f>
        <v/>
      </c>
      <c r="J145" s="32">
        <f>IF($A145=1,"CC10","")</f>
        <v/>
      </c>
      <c r="K145" s="32">
        <f>IF($A145=1,"-","")</f>
        <v/>
      </c>
      <c r="L145" s="32">
        <f>IF($A145=1,"إيراد مبيعات - فئة مكرونات","")</f>
        <v/>
      </c>
      <c r="M145" s="43">
        <f>IF($A145=1,0,"")</f>
        <v/>
      </c>
      <c r="N145" s="43">
        <f>IF($A145=1,Sales_Daily!$AF15,"")</f>
        <v/>
      </c>
      <c r="O145" s="32">
        <f>IF($A145=1,Sales_Daily!$S15,"")</f>
        <v/>
      </c>
      <c r="P145" s="32">
        <f>IF($A145=1,IF(Sales_Daily!$AW15="","",Sales_Daily!$AW15),"")</f>
        <v/>
      </c>
      <c r="Q145" s="32">
        <f>IF($A145=1,Sales_Daily!$AY15,"")</f>
        <v/>
      </c>
      <c r="R145" s="32">
        <f>IF($A145=1,IF(AND($Q145=1,COUNTIFS(COA!$A:$A,$G145,COA!$R:$R,1)=1),1,0),"")</f>
        <v/>
      </c>
      <c r="S145" s="43">
        <f>IF($A145=1,IF($R145=1,N($M145),0),"")</f>
        <v/>
      </c>
      <c r="T145" s="43">
        <f>IF($A145=1,IF($R145=1,N($N145),0),"")</f>
        <v/>
      </c>
      <c r="U145" s="32">
        <f>IF($A145=1,YEAR($D145)*100+MONTH($D145),"")</f>
        <v/>
      </c>
      <c r="V145" s="32">
        <f>IF($A145=1,IF(COUNTIF(COA!$A:$A,$G145)=0,0,INDEX(COA!$H:$H,MATCH($G145,COA!$A:$A,0))),"")</f>
        <v/>
      </c>
      <c r="W145" s="32">
        <f>IF($A145=1,"","")</f>
        <v/>
      </c>
      <c r="X145" s="32">
        <f>IF($A145=1,IF($R145=1,"",IF($O145=ST_POST,IF($P145&lt;&gt;"",$P145,"حساب غير صالح أو غير نشط"),IF($O145=ST_REV,"معكوس: لا أثر على الدفاتر",IF($O145=ST_CANC,"ملغى",IF($O145=ST_APPR,"معتمد ولم يُرحَّل","مسودة"))))),"")</f>
        <v/>
      </c>
      <c r="Y145" s="32">
        <f>IF($A145=1,IF(AND($R145=1,OR(LG_Acct="",$G145=LG_Acct),OR(LG_Party="",$K145=LG_Party),OR(LG_Loc="ALL",$I145=LG_Loc),OR(LG_CC="ALL",$J145=LG_CC),$D145&gt;=LG_From,$D145&lt;=LG_To),$D145+ROW()/1000000,""),"")</f>
        <v/>
      </c>
      <c r="Z145" s="32">
        <f>IF($A145=1,IF(Sales_Daily!$T15="","",Sales_Daily!$T15),"")</f>
        <v/>
      </c>
      <c r="AA145" s="32">
        <f>IF($A145=1,IF(Sales_Daily!$U15="","",Sales_Daily!$U15),"")</f>
        <v/>
      </c>
      <c r="AB145" s="32">
        <f>IF($A145=1,IF(Sales_Daily!$V15="","",Sales_Daily!$V15),"")</f>
        <v/>
      </c>
      <c r="AC145" s="32">
        <f>IF($A145=1,IF(Sales_Daily!$W15="","",Sales_Daily!$W15),"")</f>
        <v/>
      </c>
      <c r="AD145" s="32">
        <f>IF($A145=1,IF(Sales_Daily!$X15="","",Sales_Daily!$X15),"")</f>
        <v/>
      </c>
      <c r="AE145" s="32">
        <f>IF($A145=1,0,"")</f>
        <v/>
      </c>
      <c r="AF145" s="32" t="inlineStr"/>
    </row>
    <row r="146">
      <c r="A146" s="32">
        <f>IF(AND(Sales_Daily!$AV15=1,N(Sales_Daily!$AG15)&gt;0),1,0)</f>
        <v/>
      </c>
      <c r="B146" s="32">
        <f>IF($A146=1,$E146&amp;"/12","")</f>
        <v/>
      </c>
      <c r="C146" s="32">
        <f>IF($A146=1,"J-"&amp;Sales_Daily!$A15,"")</f>
        <v/>
      </c>
      <c r="D146" s="33">
        <f>IF($A146=1,Sales_Daily!$B15,"")</f>
        <v/>
      </c>
      <c r="E146" s="32">
        <f>IF($A146=1,IF(Sales_Daily!$A15="","",Sales_Daily!$A15),"")</f>
        <v/>
      </c>
      <c r="F146" s="32">
        <f>IF($A146=1,"SAL","")</f>
        <v/>
      </c>
      <c r="G146" s="32">
        <f>IF($A146=1,IF(Sales_Daily!$AT15="","",Sales_Daily!$AT15),"")</f>
        <v/>
      </c>
      <c r="H146" s="32">
        <f>IF($A146=1,IF(COUNTIF(COA!$A:$A,$G146)=0,"حساب غير معرف",INDEX(COA!$B:$B,MATCH($G146,COA!$A:$A,0))),"")</f>
        <v/>
      </c>
      <c r="I146" s="32">
        <f>IF($A146=1,IF(Sales_Daily!$C15="","",Sales_Daily!$C15),"")</f>
        <v/>
      </c>
      <c r="J146" s="32">
        <f>IF($A146=1,"CC10","")</f>
        <v/>
      </c>
      <c r="K146" s="32">
        <f>IF($A146=1,"-","")</f>
        <v/>
      </c>
      <c r="L146" s="32">
        <f>IF($A146=1,"إيراد مبيعات - فئة أخرى","")</f>
        <v/>
      </c>
      <c r="M146" s="43">
        <f>IF($A146=1,0,"")</f>
        <v/>
      </c>
      <c r="N146" s="43">
        <f>IF($A146=1,Sales_Daily!$AG15,"")</f>
        <v/>
      </c>
      <c r="O146" s="32">
        <f>IF($A146=1,Sales_Daily!$S15,"")</f>
        <v/>
      </c>
      <c r="P146" s="32">
        <f>IF($A146=1,IF(Sales_Daily!$AW15="","",Sales_Daily!$AW15),"")</f>
        <v/>
      </c>
      <c r="Q146" s="32">
        <f>IF($A146=1,Sales_Daily!$AY15,"")</f>
        <v/>
      </c>
      <c r="R146" s="32">
        <f>IF($A146=1,IF(AND($Q146=1,COUNTIFS(COA!$A:$A,$G146,COA!$R:$R,1)=1),1,0),"")</f>
        <v/>
      </c>
      <c r="S146" s="43">
        <f>IF($A146=1,IF($R146=1,N($M146),0),"")</f>
        <v/>
      </c>
      <c r="T146" s="43">
        <f>IF($A146=1,IF($R146=1,N($N146),0),"")</f>
        <v/>
      </c>
      <c r="U146" s="32">
        <f>IF($A146=1,YEAR($D146)*100+MONTH($D146),"")</f>
        <v/>
      </c>
      <c r="V146" s="32">
        <f>IF($A146=1,IF(COUNTIF(COA!$A:$A,$G146)=0,0,INDEX(COA!$H:$H,MATCH($G146,COA!$A:$A,0))),"")</f>
        <v/>
      </c>
      <c r="W146" s="32">
        <f>IF($A146=1,"","")</f>
        <v/>
      </c>
      <c r="X146" s="32">
        <f>IF($A146=1,IF($R146=1,"",IF($O146=ST_POST,IF($P146&lt;&gt;"",$P146,"حساب غير صالح أو غير نشط"),IF($O146=ST_REV,"معكوس: لا أثر على الدفاتر",IF($O146=ST_CANC,"ملغى",IF($O146=ST_APPR,"معتمد ولم يُرحَّل","مسودة"))))),"")</f>
        <v/>
      </c>
      <c r="Y146" s="32">
        <f>IF($A146=1,IF(AND($R146=1,OR(LG_Acct="",$G146=LG_Acct),OR(LG_Party="",$K146=LG_Party),OR(LG_Loc="ALL",$I146=LG_Loc),OR(LG_CC="ALL",$J146=LG_CC),$D146&gt;=LG_From,$D146&lt;=LG_To),$D146+ROW()/1000000,""),"")</f>
        <v/>
      </c>
      <c r="Z146" s="32">
        <f>IF($A146=1,IF(Sales_Daily!$T15="","",Sales_Daily!$T15),"")</f>
        <v/>
      </c>
      <c r="AA146" s="32">
        <f>IF($A146=1,IF(Sales_Daily!$U15="","",Sales_Daily!$U15),"")</f>
        <v/>
      </c>
      <c r="AB146" s="32">
        <f>IF($A146=1,IF(Sales_Daily!$V15="","",Sales_Daily!$V15),"")</f>
        <v/>
      </c>
      <c r="AC146" s="32">
        <f>IF($A146=1,IF(Sales_Daily!$W15="","",Sales_Daily!$W15),"")</f>
        <v/>
      </c>
      <c r="AD146" s="32">
        <f>IF($A146=1,IF(Sales_Daily!$X15="","",Sales_Daily!$X15),"")</f>
        <v/>
      </c>
      <c r="AE146" s="32">
        <f>IF($A146=1,0,"")</f>
        <v/>
      </c>
      <c r="AF146" s="32" t="inlineStr"/>
    </row>
    <row r="147">
      <c r="A147" s="32">
        <f>IF(AND(Sales_Daily!$AV15=1,N(Sales_Daily!$AJ15)&gt;0),1,0)</f>
        <v/>
      </c>
      <c r="B147" s="32">
        <f>IF($A147=1,$E147&amp;"/13","")</f>
        <v/>
      </c>
      <c r="C147" s="32">
        <f>IF($A147=1,"J-"&amp;Sales_Daily!$A15,"")</f>
        <v/>
      </c>
      <c r="D147" s="33">
        <f>IF($A147=1,Sales_Daily!$B15,"")</f>
        <v/>
      </c>
      <c r="E147" s="32">
        <f>IF($A147=1,IF(Sales_Daily!$A15="","",Sales_Daily!$A15),"")</f>
        <v/>
      </c>
      <c r="F147" s="32">
        <f>IF($A147=1,"SAL","")</f>
        <v/>
      </c>
      <c r="G147" s="32">
        <f>IF($A147=1,ACC_VAT_OUT,"")</f>
        <v/>
      </c>
      <c r="H147" s="32">
        <f>IF($A147=1,IF(COUNTIF(COA!$A:$A,$G147)=0,"حساب غير معرف",INDEX(COA!$B:$B,MATCH($G147,COA!$A:$A,0))),"")</f>
        <v/>
      </c>
      <c r="I147" s="32">
        <f>IF($A147=1,IF(Sales_Daily!$C15="","",Sales_Daily!$C15),"")</f>
        <v/>
      </c>
      <c r="J147" s="32">
        <f>IF($A147=1,"CC10","")</f>
        <v/>
      </c>
      <c r="K147" s="32">
        <f>IF($A147=1,"-","")</f>
        <v/>
      </c>
      <c r="L147" s="32">
        <f>IF($A147=1,"ضريبة القيمة المضافة - مخرجات","")</f>
        <v/>
      </c>
      <c r="M147" s="43">
        <f>IF($A147=1,0,"")</f>
        <v/>
      </c>
      <c r="N147" s="43">
        <f>IF($A147=1,Sales_Daily!$AJ15,"")</f>
        <v/>
      </c>
      <c r="O147" s="32">
        <f>IF($A147=1,Sales_Daily!$S15,"")</f>
        <v/>
      </c>
      <c r="P147" s="32">
        <f>IF($A147=1,IF(Sales_Daily!$AW15="","",Sales_Daily!$AW15),"")</f>
        <v/>
      </c>
      <c r="Q147" s="32">
        <f>IF($A147=1,Sales_Daily!$AY15,"")</f>
        <v/>
      </c>
      <c r="R147" s="32">
        <f>IF($A147=1,IF(AND($Q147=1,COUNTIFS(COA!$A:$A,$G147,COA!$R:$R,1)=1),1,0),"")</f>
        <v/>
      </c>
      <c r="S147" s="43">
        <f>IF($A147=1,IF($R147=1,N($M147),0),"")</f>
        <v/>
      </c>
      <c r="T147" s="43">
        <f>IF($A147=1,IF($R147=1,N($N147),0),"")</f>
        <v/>
      </c>
      <c r="U147" s="32">
        <f>IF($A147=1,YEAR($D147)*100+MONTH($D147),"")</f>
        <v/>
      </c>
      <c r="V147" s="32">
        <f>IF($A147=1,IF(COUNTIF(COA!$A:$A,$G147)=0,0,INDEX(COA!$H:$H,MATCH($G147,COA!$A:$A,0))),"")</f>
        <v/>
      </c>
      <c r="W147" s="32">
        <f>IF($A147=1,"","")</f>
        <v/>
      </c>
      <c r="X147" s="32">
        <f>IF($A147=1,IF($R147=1,"",IF($O147=ST_POST,IF($P147&lt;&gt;"",$P147,"حساب غير صالح أو غير نشط"),IF($O147=ST_REV,"معكوس: لا أثر على الدفاتر",IF($O147=ST_CANC,"ملغى",IF($O147=ST_APPR,"معتمد ولم يُرحَّل","مسودة"))))),"")</f>
        <v/>
      </c>
      <c r="Y147" s="32">
        <f>IF($A147=1,IF(AND($R147=1,OR(LG_Acct="",$G147=LG_Acct),OR(LG_Party="",$K147=LG_Party),OR(LG_Loc="ALL",$I147=LG_Loc),OR(LG_CC="ALL",$J147=LG_CC),$D147&gt;=LG_From,$D147&lt;=LG_To),$D147+ROW()/1000000,""),"")</f>
        <v/>
      </c>
      <c r="Z147" s="32">
        <f>IF($A147=1,IF(Sales_Daily!$T15="","",Sales_Daily!$T15),"")</f>
        <v/>
      </c>
      <c r="AA147" s="32">
        <f>IF($A147=1,IF(Sales_Daily!$U15="","",Sales_Daily!$U15),"")</f>
        <v/>
      </c>
      <c r="AB147" s="32">
        <f>IF($A147=1,IF(Sales_Daily!$V15="","",Sales_Daily!$V15),"")</f>
        <v/>
      </c>
      <c r="AC147" s="32">
        <f>IF($A147=1,IF(Sales_Daily!$W15="","",Sales_Daily!$W15),"")</f>
        <v/>
      </c>
      <c r="AD147" s="32">
        <f>IF($A147=1,IF(Sales_Daily!$X15="","",Sales_Daily!$X15),"")</f>
        <v/>
      </c>
      <c r="AE147" s="32">
        <f>IF($A147=1,0,"")</f>
        <v/>
      </c>
      <c r="AF147" s="32" t="inlineStr"/>
    </row>
    <row r="148">
      <c r="A148" s="32">
        <f>IF(AND(Sales_Daily!$AV16=1,N(Sales_Daily!$L16)&gt;0),1,0)</f>
        <v/>
      </c>
      <c r="B148" s="32">
        <f>IF($A148=1,$E148&amp;"/1","")</f>
        <v/>
      </c>
      <c r="C148" s="32">
        <f>IF($A148=1,"J-"&amp;Sales_Daily!$A16,"")</f>
        <v/>
      </c>
      <c r="D148" s="33">
        <f>IF($A148=1,Sales_Daily!$B16,"")</f>
        <v/>
      </c>
      <c r="E148" s="32">
        <f>IF($A148=1,IF(Sales_Daily!$A16="","",Sales_Daily!$A16),"")</f>
        <v/>
      </c>
      <c r="F148" s="32">
        <f>IF($A148=1,"SAL","")</f>
        <v/>
      </c>
      <c r="G148" s="32">
        <f>IF($A148=1,IF(Sales_Daily!$AK16="","",Sales_Daily!$AK16),"")</f>
        <v/>
      </c>
      <c r="H148" s="32">
        <f>IF($A148=1,IF(COUNTIF(COA!$A:$A,$G148)=0,"حساب غير معرف",INDEX(COA!$B:$B,MATCH($G148,COA!$A:$A,0))),"")</f>
        <v/>
      </c>
      <c r="I148" s="32">
        <f>IF($A148=1,IF(Sales_Daily!$C16="","",Sales_Daily!$C16),"")</f>
        <v/>
      </c>
      <c r="J148" s="32">
        <f>IF($A148=1,"CC10","")</f>
        <v/>
      </c>
      <c r="K148" s="32">
        <f>IF($A148=1,"-","")</f>
        <v/>
      </c>
      <c r="L148" s="32">
        <f>IF($A148=1,"مبيعات - تحصيل CASH","")</f>
        <v/>
      </c>
      <c r="M148" s="43">
        <f>IF($A148=1,Sales_Daily!$L16,"")</f>
        <v/>
      </c>
      <c r="N148" s="43">
        <f>IF($A148=1,0,"")</f>
        <v/>
      </c>
      <c r="O148" s="32">
        <f>IF($A148=1,Sales_Daily!$S16,"")</f>
        <v/>
      </c>
      <c r="P148" s="32">
        <f>IF($A148=1,IF(Sales_Daily!$AW16="","",Sales_Daily!$AW16),"")</f>
        <v/>
      </c>
      <c r="Q148" s="32">
        <f>IF($A148=1,Sales_Daily!$AY16,"")</f>
        <v/>
      </c>
      <c r="R148" s="32">
        <f>IF($A148=1,IF(AND($Q148=1,COUNTIFS(COA!$A:$A,$G148,COA!$R:$R,1)=1),1,0),"")</f>
        <v/>
      </c>
      <c r="S148" s="43">
        <f>IF($A148=1,IF($R148=1,N($M148),0),"")</f>
        <v/>
      </c>
      <c r="T148" s="43">
        <f>IF($A148=1,IF($R148=1,N($N148),0),"")</f>
        <v/>
      </c>
      <c r="U148" s="32">
        <f>IF($A148=1,YEAR($D148)*100+MONTH($D148),"")</f>
        <v/>
      </c>
      <c r="V148" s="32">
        <f>IF($A148=1,IF(COUNTIF(COA!$A:$A,$G148)=0,0,INDEX(COA!$H:$H,MATCH($G148,COA!$A:$A,0))),"")</f>
        <v/>
      </c>
      <c r="W148" s="32">
        <f>IF($A148=1,"OPERATING","")</f>
        <v/>
      </c>
      <c r="X148" s="32">
        <f>IF($A148=1,IF($R148=1,"",IF($O148=ST_POST,IF($P148&lt;&gt;"",$P148,"حساب غير صالح أو غير نشط"),IF($O148=ST_REV,"معكوس: لا أثر على الدفاتر",IF($O148=ST_CANC,"ملغى",IF($O148=ST_APPR,"معتمد ولم يُرحَّل","مسودة"))))),"")</f>
        <v/>
      </c>
      <c r="Y148" s="32">
        <f>IF($A148=1,IF(AND($R148=1,OR(LG_Acct="",$G148=LG_Acct),OR(LG_Party="",$K148=LG_Party),OR(LG_Loc="ALL",$I148=LG_Loc),OR(LG_CC="ALL",$J148=LG_CC),$D148&gt;=LG_From,$D148&lt;=LG_To),$D148+ROW()/1000000,""),"")</f>
        <v/>
      </c>
      <c r="Z148" s="32">
        <f>IF($A148=1,IF(Sales_Daily!$T16="","",Sales_Daily!$T16),"")</f>
        <v/>
      </c>
      <c r="AA148" s="32">
        <f>IF($A148=1,IF(Sales_Daily!$U16="","",Sales_Daily!$U16),"")</f>
        <v/>
      </c>
      <c r="AB148" s="32">
        <f>IF($A148=1,IF(Sales_Daily!$V16="","",Sales_Daily!$V16),"")</f>
        <v/>
      </c>
      <c r="AC148" s="32">
        <f>IF($A148=1,IF(Sales_Daily!$W16="","",Sales_Daily!$W16),"")</f>
        <v/>
      </c>
      <c r="AD148" s="32">
        <f>IF($A148=1,IF(Sales_Daily!$X16="","",Sales_Daily!$X16),"")</f>
        <v/>
      </c>
      <c r="AE148" s="32">
        <f>IF($A148=1,0,"")</f>
        <v/>
      </c>
      <c r="AF148" s="32" t="inlineStr"/>
    </row>
    <row r="149">
      <c r="A149" s="32">
        <f>IF(AND(Sales_Daily!$AV16=1,N(Sales_Daily!$M16)&gt;0),1,0)</f>
        <v/>
      </c>
      <c r="B149" s="32">
        <f>IF($A149=1,$E149&amp;"/2","")</f>
        <v/>
      </c>
      <c r="C149" s="32">
        <f>IF($A149=1,"J-"&amp;Sales_Daily!$A16,"")</f>
        <v/>
      </c>
      <c r="D149" s="33">
        <f>IF($A149=1,Sales_Daily!$B16,"")</f>
        <v/>
      </c>
      <c r="E149" s="32">
        <f>IF($A149=1,IF(Sales_Daily!$A16="","",Sales_Daily!$A16),"")</f>
        <v/>
      </c>
      <c r="F149" s="32">
        <f>IF($A149=1,"SAL","")</f>
        <v/>
      </c>
      <c r="G149" s="32">
        <f>IF($A149=1,IF(Sales_Daily!$AL16="","",Sales_Daily!$AL16),"")</f>
        <v/>
      </c>
      <c r="H149" s="32">
        <f>IF($A149=1,IF(COUNTIF(COA!$A:$A,$G149)=0,"حساب غير معرف",INDEX(COA!$B:$B,MATCH($G149,COA!$A:$A,0))),"")</f>
        <v/>
      </c>
      <c r="I149" s="32">
        <f>IF($A149=1,IF(Sales_Daily!$C16="","",Sales_Daily!$C16),"")</f>
        <v/>
      </c>
      <c r="J149" s="32">
        <f>IF($A149=1,"CC10","")</f>
        <v/>
      </c>
      <c r="K149" s="32">
        <f>IF($A149=1,"-","")</f>
        <v/>
      </c>
      <c r="L149" s="32">
        <f>IF($A149=1,"مبيعات - تحصيل CARD","")</f>
        <v/>
      </c>
      <c r="M149" s="43">
        <f>IF($A149=1,Sales_Daily!$M16,"")</f>
        <v/>
      </c>
      <c r="N149" s="43">
        <f>IF($A149=1,0,"")</f>
        <v/>
      </c>
      <c r="O149" s="32">
        <f>IF($A149=1,Sales_Daily!$S16,"")</f>
        <v/>
      </c>
      <c r="P149" s="32">
        <f>IF($A149=1,IF(Sales_Daily!$AW16="","",Sales_Daily!$AW16),"")</f>
        <v/>
      </c>
      <c r="Q149" s="32">
        <f>IF($A149=1,Sales_Daily!$AY16,"")</f>
        <v/>
      </c>
      <c r="R149" s="32">
        <f>IF($A149=1,IF(AND($Q149=1,COUNTIFS(COA!$A:$A,$G149,COA!$R:$R,1)=1),1,0),"")</f>
        <v/>
      </c>
      <c r="S149" s="43">
        <f>IF($A149=1,IF($R149=1,N($M149),0),"")</f>
        <v/>
      </c>
      <c r="T149" s="43">
        <f>IF($A149=1,IF($R149=1,N($N149),0),"")</f>
        <v/>
      </c>
      <c r="U149" s="32">
        <f>IF($A149=1,YEAR($D149)*100+MONTH($D149),"")</f>
        <v/>
      </c>
      <c r="V149" s="32">
        <f>IF($A149=1,IF(COUNTIF(COA!$A:$A,$G149)=0,0,INDEX(COA!$H:$H,MATCH($G149,COA!$A:$A,0))),"")</f>
        <v/>
      </c>
      <c r="W149" s="32">
        <f>IF($A149=1,"OPERATING","")</f>
        <v/>
      </c>
      <c r="X149" s="32">
        <f>IF($A149=1,IF($R149=1,"",IF($O149=ST_POST,IF($P149&lt;&gt;"",$P149,"حساب غير صالح أو غير نشط"),IF($O149=ST_REV,"معكوس: لا أثر على الدفاتر",IF($O149=ST_CANC,"ملغى",IF($O149=ST_APPR,"معتمد ولم يُرحَّل","مسودة"))))),"")</f>
        <v/>
      </c>
      <c r="Y149" s="32">
        <f>IF($A149=1,IF(AND($R149=1,OR(LG_Acct="",$G149=LG_Acct),OR(LG_Party="",$K149=LG_Party),OR(LG_Loc="ALL",$I149=LG_Loc),OR(LG_CC="ALL",$J149=LG_CC),$D149&gt;=LG_From,$D149&lt;=LG_To),$D149+ROW()/1000000,""),"")</f>
        <v/>
      </c>
      <c r="Z149" s="32">
        <f>IF($A149=1,IF(Sales_Daily!$T16="","",Sales_Daily!$T16),"")</f>
        <v/>
      </c>
      <c r="AA149" s="32">
        <f>IF($A149=1,IF(Sales_Daily!$U16="","",Sales_Daily!$U16),"")</f>
        <v/>
      </c>
      <c r="AB149" s="32">
        <f>IF($A149=1,IF(Sales_Daily!$V16="","",Sales_Daily!$V16),"")</f>
        <v/>
      </c>
      <c r="AC149" s="32">
        <f>IF($A149=1,IF(Sales_Daily!$W16="","",Sales_Daily!$W16),"")</f>
        <v/>
      </c>
      <c r="AD149" s="32">
        <f>IF($A149=1,IF(Sales_Daily!$X16="","",Sales_Daily!$X16),"")</f>
        <v/>
      </c>
      <c r="AE149" s="32">
        <f>IF($A149=1,0,"")</f>
        <v/>
      </c>
      <c r="AF149" s="32" t="inlineStr"/>
    </row>
    <row r="150">
      <c r="A150" s="32">
        <f>IF(AND(Sales_Daily!$AV16=1,N(Sales_Daily!$N16)&gt;0),1,0)</f>
        <v/>
      </c>
      <c r="B150" s="32">
        <f>IF($A150=1,$E150&amp;"/3","")</f>
        <v/>
      </c>
      <c r="C150" s="32">
        <f>IF($A150=1,"J-"&amp;Sales_Daily!$A16,"")</f>
        <v/>
      </c>
      <c r="D150" s="33">
        <f>IF($A150=1,Sales_Daily!$B16,"")</f>
        <v/>
      </c>
      <c r="E150" s="32">
        <f>IF($A150=1,IF(Sales_Daily!$A16="","",Sales_Daily!$A16),"")</f>
        <v/>
      </c>
      <c r="F150" s="32">
        <f>IF($A150=1,"SAL","")</f>
        <v/>
      </c>
      <c r="G150" s="32">
        <f>IF($A150=1,IF(Sales_Daily!$AM16="","",Sales_Daily!$AM16),"")</f>
        <v/>
      </c>
      <c r="H150" s="32">
        <f>IF($A150=1,IF(COUNTIF(COA!$A:$A,$G150)=0,"حساب غير معرف",INDEX(COA!$B:$B,MATCH($G150,COA!$A:$A,0))),"")</f>
        <v/>
      </c>
      <c r="I150" s="32">
        <f>IF($A150=1,IF(Sales_Daily!$C16="","",Sales_Daily!$C16),"")</f>
        <v/>
      </c>
      <c r="J150" s="32">
        <f>IF($A150=1,"CC10","")</f>
        <v/>
      </c>
      <c r="K150" s="32">
        <f>IF($A150=1,"-","")</f>
        <v/>
      </c>
      <c r="L150" s="32">
        <f>IF($A150=1,"مبيعات - تحصيل TLB","")</f>
        <v/>
      </c>
      <c r="M150" s="43">
        <f>IF($A150=1,Sales_Daily!$N16,"")</f>
        <v/>
      </c>
      <c r="N150" s="43">
        <f>IF($A150=1,0,"")</f>
        <v/>
      </c>
      <c r="O150" s="32">
        <f>IF($A150=1,Sales_Daily!$S16,"")</f>
        <v/>
      </c>
      <c r="P150" s="32">
        <f>IF($A150=1,IF(Sales_Daily!$AW16="","",Sales_Daily!$AW16),"")</f>
        <v/>
      </c>
      <c r="Q150" s="32">
        <f>IF($A150=1,Sales_Daily!$AY16,"")</f>
        <v/>
      </c>
      <c r="R150" s="32">
        <f>IF($A150=1,IF(AND($Q150=1,COUNTIFS(COA!$A:$A,$G150,COA!$R:$R,1)=1),1,0),"")</f>
        <v/>
      </c>
      <c r="S150" s="43">
        <f>IF($A150=1,IF($R150=1,N($M150),0),"")</f>
        <v/>
      </c>
      <c r="T150" s="43">
        <f>IF($A150=1,IF($R150=1,N($N150),0),"")</f>
        <v/>
      </c>
      <c r="U150" s="32">
        <f>IF($A150=1,YEAR($D150)*100+MONTH($D150),"")</f>
        <v/>
      </c>
      <c r="V150" s="32">
        <f>IF($A150=1,IF(COUNTIF(COA!$A:$A,$G150)=0,0,INDEX(COA!$H:$H,MATCH($G150,COA!$A:$A,0))),"")</f>
        <v/>
      </c>
      <c r="W150" s="32">
        <f>IF($A150=1,"OPERATING","")</f>
        <v/>
      </c>
      <c r="X150" s="32">
        <f>IF($A150=1,IF($R150=1,"",IF($O150=ST_POST,IF($P150&lt;&gt;"",$P150,"حساب غير صالح أو غير نشط"),IF($O150=ST_REV,"معكوس: لا أثر على الدفاتر",IF($O150=ST_CANC,"ملغى",IF($O150=ST_APPR,"معتمد ولم يُرحَّل","مسودة"))))),"")</f>
        <v/>
      </c>
      <c r="Y150" s="32">
        <f>IF($A150=1,IF(AND($R150=1,OR(LG_Acct="",$G150=LG_Acct),OR(LG_Party="",$K150=LG_Party),OR(LG_Loc="ALL",$I150=LG_Loc),OR(LG_CC="ALL",$J150=LG_CC),$D150&gt;=LG_From,$D150&lt;=LG_To),$D150+ROW()/1000000,""),"")</f>
        <v/>
      </c>
      <c r="Z150" s="32">
        <f>IF($A150=1,IF(Sales_Daily!$T16="","",Sales_Daily!$T16),"")</f>
        <v/>
      </c>
      <c r="AA150" s="32">
        <f>IF($A150=1,IF(Sales_Daily!$U16="","",Sales_Daily!$U16),"")</f>
        <v/>
      </c>
      <c r="AB150" s="32">
        <f>IF($A150=1,IF(Sales_Daily!$V16="","",Sales_Daily!$V16),"")</f>
        <v/>
      </c>
      <c r="AC150" s="32">
        <f>IF($A150=1,IF(Sales_Daily!$W16="","",Sales_Daily!$W16),"")</f>
        <v/>
      </c>
      <c r="AD150" s="32">
        <f>IF($A150=1,IF(Sales_Daily!$X16="","",Sales_Daily!$X16),"")</f>
        <v/>
      </c>
      <c r="AE150" s="32">
        <f>IF($A150=1,0,"")</f>
        <v/>
      </c>
      <c r="AF150" s="32" t="inlineStr"/>
    </row>
    <row r="151">
      <c r="A151" s="32">
        <f>IF(AND(Sales_Daily!$AV16=1,N(Sales_Daily!$O16)&gt;0),1,0)</f>
        <v/>
      </c>
      <c r="B151" s="32">
        <f>IF($A151=1,$E151&amp;"/4","")</f>
        <v/>
      </c>
      <c r="C151" s="32">
        <f>IF($A151=1,"J-"&amp;Sales_Daily!$A16,"")</f>
        <v/>
      </c>
      <c r="D151" s="33">
        <f>IF($A151=1,Sales_Daily!$B16,"")</f>
        <v/>
      </c>
      <c r="E151" s="32">
        <f>IF($A151=1,IF(Sales_Daily!$A16="","",Sales_Daily!$A16),"")</f>
        <v/>
      </c>
      <c r="F151" s="32">
        <f>IF($A151=1,"SAL","")</f>
        <v/>
      </c>
      <c r="G151" s="32">
        <f>IF($A151=1,IF(Sales_Daily!$AN16="","",Sales_Daily!$AN16),"")</f>
        <v/>
      </c>
      <c r="H151" s="32">
        <f>IF($A151=1,IF(COUNTIF(COA!$A:$A,$G151)=0,"حساب غير معرف",INDEX(COA!$B:$B,MATCH($G151,COA!$A:$A,0))),"")</f>
        <v/>
      </c>
      <c r="I151" s="32">
        <f>IF($A151=1,IF(Sales_Daily!$C16="","",Sales_Daily!$C16),"")</f>
        <v/>
      </c>
      <c r="J151" s="32">
        <f>IF($A151=1,"CC10","")</f>
        <v/>
      </c>
      <c r="K151" s="32">
        <f>IF($A151=1,"-","")</f>
        <v/>
      </c>
      <c r="L151" s="32">
        <f>IF($A151=1,"مبيعات - تحصيل DLV2","")</f>
        <v/>
      </c>
      <c r="M151" s="43">
        <f>IF($A151=1,Sales_Daily!$O16,"")</f>
        <v/>
      </c>
      <c r="N151" s="43">
        <f>IF($A151=1,0,"")</f>
        <v/>
      </c>
      <c r="O151" s="32">
        <f>IF($A151=1,Sales_Daily!$S16,"")</f>
        <v/>
      </c>
      <c r="P151" s="32">
        <f>IF($A151=1,IF(Sales_Daily!$AW16="","",Sales_Daily!$AW16),"")</f>
        <v/>
      </c>
      <c r="Q151" s="32">
        <f>IF($A151=1,Sales_Daily!$AY16,"")</f>
        <v/>
      </c>
      <c r="R151" s="32">
        <f>IF($A151=1,IF(AND($Q151=1,COUNTIFS(COA!$A:$A,$G151,COA!$R:$R,1)=1),1,0),"")</f>
        <v/>
      </c>
      <c r="S151" s="43">
        <f>IF($A151=1,IF($R151=1,N($M151),0),"")</f>
        <v/>
      </c>
      <c r="T151" s="43">
        <f>IF($A151=1,IF($R151=1,N($N151),0),"")</f>
        <v/>
      </c>
      <c r="U151" s="32">
        <f>IF($A151=1,YEAR($D151)*100+MONTH($D151),"")</f>
        <v/>
      </c>
      <c r="V151" s="32">
        <f>IF($A151=1,IF(COUNTIF(COA!$A:$A,$G151)=0,0,INDEX(COA!$H:$H,MATCH($G151,COA!$A:$A,0))),"")</f>
        <v/>
      </c>
      <c r="W151" s="32">
        <f>IF($A151=1,"OPERATING","")</f>
        <v/>
      </c>
      <c r="X151" s="32">
        <f>IF($A151=1,IF($R151=1,"",IF($O151=ST_POST,IF($P151&lt;&gt;"",$P151,"حساب غير صالح أو غير نشط"),IF($O151=ST_REV,"معكوس: لا أثر على الدفاتر",IF($O151=ST_CANC,"ملغى",IF($O151=ST_APPR,"معتمد ولم يُرحَّل","مسودة"))))),"")</f>
        <v/>
      </c>
      <c r="Y151" s="32">
        <f>IF($A151=1,IF(AND($R151=1,OR(LG_Acct="",$G151=LG_Acct),OR(LG_Party="",$K151=LG_Party),OR(LG_Loc="ALL",$I151=LG_Loc),OR(LG_CC="ALL",$J151=LG_CC),$D151&gt;=LG_From,$D151&lt;=LG_To),$D151+ROW()/1000000,""),"")</f>
        <v/>
      </c>
      <c r="Z151" s="32">
        <f>IF($A151=1,IF(Sales_Daily!$T16="","",Sales_Daily!$T16),"")</f>
        <v/>
      </c>
      <c r="AA151" s="32">
        <f>IF($A151=1,IF(Sales_Daily!$U16="","",Sales_Daily!$U16),"")</f>
        <v/>
      </c>
      <c r="AB151" s="32">
        <f>IF($A151=1,IF(Sales_Daily!$V16="","",Sales_Daily!$V16),"")</f>
        <v/>
      </c>
      <c r="AC151" s="32">
        <f>IF($A151=1,IF(Sales_Daily!$W16="","",Sales_Daily!$W16),"")</f>
        <v/>
      </c>
      <c r="AD151" s="32">
        <f>IF($A151=1,IF(Sales_Daily!$X16="","",Sales_Daily!$X16),"")</f>
        <v/>
      </c>
      <c r="AE151" s="32">
        <f>IF($A151=1,0,"")</f>
        <v/>
      </c>
      <c r="AF151" s="32" t="inlineStr"/>
    </row>
    <row r="152">
      <c r="A152" s="32">
        <f>IF(AND(Sales_Daily!$AV16=1,N(Sales_Daily!$P16)&gt;0),1,0)</f>
        <v/>
      </c>
      <c r="B152" s="32">
        <f>IF($A152=1,$E152&amp;"/5","")</f>
        <v/>
      </c>
      <c r="C152" s="32">
        <f>IF($A152=1,"J-"&amp;Sales_Daily!$A16,"")</f>
        <v/>
      </c>
      <c r="D152" s="33">
        <f>IF($A152=1,Sales_Daily!$B16,"")</f>
        <v/>
      </c>
      <c r="E152" s="32">
        <f>IF($A152=1,IF(Sales_Daily!$A16="","",Sales_Daily!$A16),"")</f>
        <v/>
      </c>
      <c r="F152" s="32">
        <f>IF($A152=1,"SAL","")</f>
        <v/>
      </c>
      <c r="G152" s="32">
        <f>IF($A152=1,IF(Sales_Daily!$AO16="","",Sales_Daily!$AO16),"")</f>
        <v/>
      </c>
      <c r="H152" s="32">
        <f>IF($A152=1,IF(COUNTIF(COA!$A:$A,$G152)=0,"حساب غير معرف",INDEX(COA!$B:$B,MATCH($G152,COA!$A:$A,0))),"")</f>
        <v/>
      </c>
      <c r="I152" s="32">
        <f>IF($A152=1,IF(Sales_Daily!$C16="","",Sales_Daily!$C16),"")</f>
        <v/>
      </c>
      <c r="J152" s="32">
        <f>IF($A152=1,"CC10","")</f>
        <v/>
      </c>
      <c r="K152" s="32">
        <f>IF($A152=1,"-","")</f>
        <v/>
      </c>
      <c r="L152" s="32">
        <f>IF($A152=1,"مبيعات - تحصيل INSTA","")</f>
        <v/>
      </c>
      <c r="M152" s="43">
        <f>IF($A152=1,Sales_Daily!$P16,"")</f>
        <v/>
      </c>
      <c r="N152" s="43">
        <f>IF($A152=1,0,"")</f>
        <v/>
      </c>
      <c r="O152" s="32">
        <f>IF($A152=1,Sales_Daily!$S16,"")</f>
        <v/>
      </c>
      <c r="P152" s="32">
        <f>IF($A152=1,IF(Sales_Daily!$AW16="","",Sales_Daily!$AW16),"")</f>
        <v/>
      </c>
      <c r="Q152" s="32">
        <f>IF($A152=1,Sales_Daily!$AY16,"")</f>
        <v/>
      </c>
      <c r="R152" s="32">
        <f>IF($A152=1,IF(AND($Q152=1,COUNTIFS(COA!$A:$A,$G152,COA!$R:$R,1)=1),1,0),"")</f>
        <v/>
      </c>
      <c r="S152" s="43">
        <f>IF($A152=1,IF($R152=1,N($M152),0),"")</f>
        <v/>
      </c>
      <c r="T152" s="43">
        <f>IF($A152=1,IF($R152=1,N($N152),0),"")</f>
        <v/>
      </c>
      <c r="U152" s="32">
        <f>IF($A152=1,YEAR($D152)*100+MONTH($D152),"")</f>
        <v/>
      </c>
      <c r="V152" s="32">
        <f>IF($A152=1,IF(COUNTIF(COA!$A:$A,$G152)=0,0,INDEX(COA!$H:$H,MATCH($G152,COA!$A:$A,0))),"")</f>
        <v/>
      </c>
      <c r="W152" s="32">
        <f>IF($A152=1,"OPERATING","")</f>
        <v/>
      </c>
      <c r="X152" s="32">
        <f>IF($A152=1,IF($R152=1,"",IF($O152=ST_POST,IF($P152&lt;&gt;"",$P152,"حساب غير صالح أو غير نشط"),IF($O152=ST_REV,"معكوس: لا أثر على الدفاتر",IF($O152=ST_CANC,"ملغى",IF($O152=ST_APPR,"معتمد ولم يُرحَّل","مسودة"))))),"")</f>
        <v/>
      </c>
      <c r="Y152" s="32">
        <f>IF($A152=1,IF(AND($R152=1,OR(LG_Acct="",$G152=LG_Acct),OR(LG_Party="",$K152=LG_Party),OR(LG_Loc="ALL",$I152=LG_Loc),OR(LG_CC="ALL",$J152=LG_CC),$D152&gt;=LG_From,$D152&lt;=LG_To),$D152+ROW()/1000000,""),"")</f>
        <v/>
      </c>
      <c r="Z152" s="32">
        <f>IF($A152=1,IF(Sales_Daily!$T16="","",Sales_Daily!$T16),"")</f>
        <v/>
      </c>
      <c r="AA152" s="32">
        <f>IF($A152=1,IF(Sales_Daily!$U16="","",Sales_Daily!$U16),"")</f>
        <v/>
      </c>
      <c r="AB152" s="32">
        <f>IF($A152=1,IF(Sales_Daily!$V16="","",Sales_Daily!$V16),"")</f>
        <v/>
      </c>
      <c r="AC152" s="32">
        <f>IF($A152=1,IF(Sales_Daily!$W16="","",Sales_Daily!$W16),"")</f>
        <v/>
      </c>
      <c r="AD152" s="32">
        <f>IF($A152=1,IF(Sales_Daily!$X16="","",Sales_Daily!$X16),"")</f>
        <v/>
      </c>
      <c r="AE152" s="32">
        <f>IF($A152=1,0,"")</f>
        <v/>
      </c>
      <c r="AF152" s="32" t="inlineStr"/>
    </row>
    <row r="153">
      <c r="A153" s="32">
        <f>IF(AND(Sales_Daily!$AV16=1,N(Sales_Daily!$Q16)&gt;0),1,0)</f>
        <v/>
      </c>
      <c r="B153" s="32">
        <f>IF($A153=1,$E153&amp;"/6","")</f>
        <v/>
      </c>
      <c r="C153" s="32">
        <f>IF($A153=1,"J-"&amp;Sales_Daily!$A16,"")</f>
        <v/>
      </c>
      <c r="D153" s="33">
        <f>IF($A153=1,Sales_Daily!$B16,"")</f>
        <v/>
      </c>
      <c r="E153" s="32">
        <f>IF($A153=1,IF(Sales_Daily!$A16="","",Sales_Daily!$A16),"")</f>
        <v/>
      </c>
      <c r="F153" s="32">
        <f>IF($A153=1,"SAL","")</f>
        <v/>
      </c>
      <c r="G153" s="32">
        <f>IF($A153=1,IF(Sales_Daily!$AP16="","",Sales_Daily!$AP16),"")</f>
        <v/>
      </c>
      <c r="H153" s="32">
        <f>IF($A153=1,IF(COUNTIF(COA!$A:$A,$G153)=0,"حساب غير معرف",INDEX(COA!$B:$B,MATCH($G153,COA!$A:$A,0))),"")</f>
        <v/>
      </c>
      <c r="I153" s="32">
        <f>IF($A153=1,IF(Sales_Daily!$C16="","",Sales_Daily!$C16),"")</f>
        <v/>
      </c>
      <c r="J153" s="32">
        <f>IF($A153=1,"CC10","")</f>
        <v/>
      </c>
      <c r="K153" s="32">
        <f>IF($A153=1,"-","")</f>
        <v/>
      </c>
      <c r="L153" s="32">
        <f>IF($A153=1,"مبيعات - تحصيل OTH","")</f>
        <v/>
      </c>
      <c r="M153" s="43">
        <f>IF($A153=1,Sales_Daily!$Q16,"")</f>
        <v/>
      </c>
      <c r="N153" s="43">
        <f>IF($A153=1,0,"")</f>
        <v/>
      </c>
      <c r="O153" s="32">
        <f>IF($A153=1,Sales_Daily!$S16,"")</f>
        <v/>
      </c>
      <c r="P153" s="32">
        <f>IF($A153=1,IF(Sales_Daily!$AW16="","",Sales_Daily!$AW16),"")</f>
        <v/>
      </c>
      <c r="Q153" s="32">
        <f>IF($A153=1,Sales_Daily!$AY16,"")</f>
        <v/>
      </c>
      <c r="R153" s="32">
        <f>IF($A153=1,IF(AND($Q153=1,COUNTIFS(COA!$A:$A,$G153,COA!$R:$R,1)=1),1,0),"")</f>
        <v/>
      </c>
      <c r="S153" s="43">
        <f>IF($A153=1,IF($R153=1,N($M153),0),"")</f>
        <v/>
      </c>
      <c r="T153" s="43">
        <f>IF($A153=1,IF($R153=1,N($N153),0),"")</f>
        <v/>
      </c>
      <c r="U153" s="32">
        <f>IF($A153=1,YEAR($D153)*100+MONTH($D153),"")</f>
        <v/>
      </c>
      <c r="V153" s="32">
        <f>IF($A153=1,IF(COUNTIF(COA!$A:$A,$G153)=0,0,INDEX(COA!$H:$H,MATCH($G153,COA!$A:$A,0))),"")</f>
        <v/>
      </c>
      <c r="W153" s="32">
        <f>IF($A153=1,"OPERATING","")</f>
        <v/>
      </c>
      <c r="X153" s="32">
        <f>IF($A153=1,IF($R153=1,"",IF($O153=ST_POST,IF($P153&lt;&gt;"",$P153,"حساب غير صالح أو غير نشط"),IF($O153=ST_REV,"معكوس: لا أثر على الدفاتر",IF($O153=ST_CANC,"ملغى",IF($O153=ST_APPR,"معتمد ولم يُرحَّل","مسودة"))))),"")</f>
        <v/>
      </c>
      <c r="Y153" s="32">
        <f>IF($A153=1,IF(AND($R153=1,OR(LG_Acct="",$G153=LG_Acct),OR(LG_Party="",$K153=LG_Party),OR(LG_Loc="ALL",$I153=LG_Loc),OR(LG_CC="ALL",$J153=LG_CC),$D153&gt;=LG_From,$D153&lt;=LG_To),$D153+ROW()/1000000,""),"")</f>
        <v/>
      </c>
      <c r="Z153" s="32">
        <f>IF($A153=1,IF(Sales_Daily!$T16="","",Sales_Daily!$T16),"")</f>
        <v/>
      </c>
      <c r="AA153" s="32">
        <f>IF($A153=1,IF(Sales_Daily!$U16="","",Sales_Daily!$U16),"")</f>
        <v/>
      </c>
      <c r="AB153" s="32">
        <f>IF($A153=1,IF(Sales_Daily!$V16="","",Sales_Daily!$V16),"")</f>
        <v/>
      </c>
      <c r="AC153" s="32">
        <f>IF($A153=1,IF(Sales_Daily!$W16="","",Sales_Daily!$W16),"")</f>
        <v/>
      </c>
      <c r="AD153" s="32">
        <f>IF($A153=1,IF(Sales_Daily!$X16="","",Sales_Daily!$X16),"")</f>
        <v/>
      </c>
      <c r="AE153" s="32">
        <f>IF($A153=1,0,"")</f>
        <v/>
      </c>
      <c r="AF153" s="32" t="inlineStr"/>
    </row>
    <row r="154">
      <c r="A154" s="32">
        <f>IF(AND(Sales_Daily!$AV16=1,N(Sales_Daily!$AH16)&gt;0),1,0)</f>
        <v/>
      </c>
      <c r="B154" s="32">
        <f>IF($A154=1,$E154&amp;"/7","")</f>
        <v/>
      </c>
      <c r="C154" s="32">
        <f>IF($A154=1,"J-"&amp;Sales_Daily!$A16,"")</f>
        <v/>
      </c>
      <c r="D154" s="33">
        <f>IF($A154=1,Sales_Daily!$B16,"")</f>
        <v/>
      </c>
      <c r="E154" s="32">
        <f>IF($A154=1,IF(Sales_Daily!$A16="","",Sales_Daily!$A16),"")</f>
        <v/>
      </c>
      <c r="F154" s="32">
        <f>IF($A154=1,"SAL","")</f>
        <v/>
      </c>
      <c r="G154" s="32">
        <f>IF($A154=1,ACC_DISC,"")</f>
        <v/>
      </c>
      <c r="H154" s="32">
        <f>IF($A154=1,IF(COUNTIF(COA!$A:$A,$G154)=0,"حساب غير معرف",INDEX(COA!$B:$B,MATCH($G154,COA!$A:$A,0))),"")</f>
        <v/>
      </c>
      <c r="I154" s="32">
        <f>IF($A154=1,IF(Sales_Daily!$C16="","",Sales_Daily!$C16),"")</f>
        <v/>
      </c>
      <c r="J154" s="32">
        <f>IF($A154=1,"CC10","")</f>
        <v/>
      </c>
      <c r="K154" s="32">
        <f>IF($A154=1,"-","")</f>
        <v/>
      </c>
      <c r="L154" s="32">
        <f>IF($A154=1,"خصومات المبيعات والعروض","")</f>
        <v/>
      </c>
      <c r="M154" s="43">
        <f>IF($A154=1,Sales_Daily!$AH16,"")</f>
        <v/>
      </c>
      <c r="N154" s="43">
        <f>IF($A154=1,0,"")</f>
        <v/>
      </c>
      <c r="O154" s="32">
        <f>IF($A154=1,Sales_Daily!$S16,"")</f>
        <v/>
      </c>
      <c r="P154" s="32">
        <f>IF($A154=1,IF(Sales_Daily!$AW16="","",Sales_Daily!$AW16),"")</f>
        <v/>
      </c>
      <c r="Q154" s="32">
        <f>IF($A154=1,Sales_Daily!$AY16,"")</f>
        <v/>
      </c>
      <c r="R154" s="32">
        <f>IF($A154=1,IF(AND($Q154=1,COUNTIFS(COA!$A:$A,$G154,COA!$R:$R,1)=1),1,0),"")</f>
        <v/>
      </c>
      <c r="S154" s="43">
        <f>IF($A154=1,IF($R154=1,N($M154),0),"")</f>
        <v/>
      </c>
      <c r="T154" s="43">
        <f>IF($A154=1,IF($R154=1,N($N154),0),"")</f>
        <v/>
      </c>
      <c r="U154" s="32">
        <f>IF($A154=1,YEAR($D154)*100+MONTH($D154),"")</f>
        <v/>
      </c>
      <c r="V154" s="32">
        <f>IF($A154=1,IF(COUNTIF(COA!$A:$A,$G154)=0,0,INDEX(COA!$H:$H,MATCH($G154,COA!$A:$A,0))),"")</f>
        <v/>
      </c>
      <c r="W154" s="32">
        <f>IF($A154=1,"","")</f>
        <v/>
      </c>
      <c r="X154" s="32">
        <f>IF($A154=1,IF($R154=1,"",IF($O154=ST_POST,IF($P154&lt;&gt;"",$P154,"حساب غير صالح أو غير نشط"),IF($O154=ST_REV,"معكوس: لا أثر على الدفاتر",IF($O154=ST_CANC,"ملغى",IF($O154=ST_APPR,"معتمد ولم يُرحَّل","مسودة"))))),"")</f>
        <v/>
      </c>
      <c r="Y154" s="32">
        <f>IF($A154=1,IF(AND($R154=1,OR(LG_Acct="",$G154=LG_Acct),OR(LG_Party="",$K154=LG_Party),OR(LG_Loc="ALL",$I154=LG_Loc),OR(LG_CC="ALL",$J154=LG_CC),$D154&gt;=LG_From,$D154&lt;=LG_To),$D154+ROW()/1000000,""),"")</f>
        <v/>
      </c>
      <c r="Z154" s="32">
        <f>IF($A154=1,IF(Sales_Daily!$T16="","",Sales_Daily!$T16),"")</f>
        <v/>
      </c>
      <c r="AA154" s="32">
        <f>IF($A154=1,IF(Sales_Daily!$U16="","",Sales_Daily!$U16),"")</f>
        <v/>
      </c>
      <c r="AB154" s="32">
        <f>IF($A154=1,IF(Sales_Daily!$V16="","",Sales_Daily!$V16),"")</f>
        <v/>
      </c>
      <c r="AC154" s="32">
        <f>IF($A154=1,IF(Sales_Daily!$W16="","",Sales_Daily!$W16),"")</f>
        <v/>
      </c>
      <c r="AD154" s="32">
        <f>IF($A154=1,IF(Sales_Daily!$X16="","",Sales_Daily!$X16),"")</f>
        <v/>
      </c>
      <c r="AE154" s="32">
        <f>IF($A154=1,0,"")</f>
        <v/>
      </c>
      <c r="AF154" s="32" t="inlineStr"/>
    </row>
    <row r="155">
      <c r="A155" s="32">
        <f>IF(AND(Sales_Daily!$AV16=1,N(Sales_Daily!$AI16)&gt;0),1,0)</f>
        <v/>
      </c>
      <c r="B155" s="32">
        <f>IF($A155=1,$E155&amp;"/8","")</f>
        <v/>
      </c>
      <c r="C155" s="32">
        <f>IF($A155=1,"J-"&amp;Sales_Daily!$A16,"")</f>
        <v/>
      </c>
      <c r="D155" s="33">
        <f>IF($A155=1,Sales_Daily!$B16,"")</f>
        <v/>
      </c>
      <c r="E155" s="32">
        <f>IF($A155=1,IF(Sales_Daily!$A16="","",Sales_Daily!$A16),"")</f>
        <v/>
      </c>
      <c r="F155" s="32">
        <f>IF($A155=1,"SAL","")</f>
        <v/>
      </c>
      <c r="G155" s="32">
        <f>IF($A155=1,ACC_RET,"")</f>
        <v/>
      </c>
      <c r="H155" s="32">
        <f>IF($A155=1,IF(COUNTIF(COA!$A:$A,$G155)=0,"حساب غير معرف",INDEX(COA!$B:$B,MATCH($G155,COA!$A:$A,0))),"")</f>
        <v/>
      </c>
      <c r="I155" s="32">
        <f>IF($A155=1,IF(Sales_Daily!$C16="","",Sales_Daily!$C16),"")</f>
        <v/>
      </c>
      <c r="J155" s="32">
        <f>IF($A155=1,"CC10","")</f>
        <v/>
      </c>
      <c r="K155" s="32">
        <f>IF($A155=1,"-","")</f>
        <v/>
      </c>
      <c r="L155" s="32">
        <f>IF($A155=1,"مرتجعات وإلغاءات المبيعات","")</f>
        <v/>
      </c>
      <c r="M155" s="43">
        <f>IF($A155=1,Sales_Daily!$AI16,"")</f>
        <v/>
      </c>
      <c r="N155" s="43">
        <f>IF($A155=1,0,"")</f>
        <v/>
      </c>
      <c r="O155" s="32">
        <f>IF($A155=1,Sales_Daily!$S16,"")</f>
        <v/>
      </c>
      <c r="P155" s="32">
        <f>IF($A155=1,IF(Sales_Daily!$AW16="","",Sales_Daily!$AW16),"")</f>
        <v/>
      </c>
      <c r="Q155" s="32">
        <f>IF($A155=1,Sales_Daily!$AY16,"")</f>
        <v/>
      </c>
      <c r="R155" s="32">
        <f>IF($A155=1,IF(AND($Q155=1,COUNTIFS(COA!$A:$A,$G155,COA!$R:$R,1)=1),1,0),"")</f>
        <v/>
      </c>
      <c r="S155" s="43">
        <f>IF($A155=1,IF($R155=1,N($M155),0),"")</f>
        <v/>
      </c>
      <c r="T155" s="43">
        <f>IF($A155=1,IF($R155=1,N($N155),0),"")</f>
        <v/>
      </c>
      <c r="U155" s="32">
        <f>IF($A155=1,YEAR($D155)*100+MONTH($D155),"")</f>
        <v/>
      </c>
      <c r="V155" s="32">
        <f>IF($A155=1,IF(COUNTIF(COA!$A:$A,$G155)=0,0,INDEX(COA!$H:$H,MATCH($G155,COA!$A:$A,0))),"")</f>
        <v/>
      </c>
      <c r="W155" s="32">
        <f>IF($A155=1,"","")</f>
        <v/>
      </c>
      <c r="X155" s="32">
        <f>IF($A155=1,IF($R155=1,"",IF($O155=ST_POST,IF($P155&lt;&gt;"",$P155,"حساب غير صالح أو غير نشط"),IF($O155=ST_REV,"معكوس: لا أثر على الدفاتر",IF($O155=ST_CANC,"ملغى",IF($O155=ST_APPR,"معتمد ولم يُرحَّل","مسودة"))))),"")</f>
        <v/>
      </c>
      <c r="Y155" s="32">
        <f>IF($A155=1,IF(AND($R155=1,OR(LG_Acct="",$G155=LG_Acct),OR(LG_Party="",$K155=LG_Party),OR(LG_Loc="ALL",$I155=LG_Loc),OR(LG_CC="ALL",$J155=LG_CC),$D155&gt;=LG_From,$D155&lt;=LG_To),$D155+ROW()/1000000,""),"")</f>
        <v/>
      </c>
      <c r="Z155" s="32">
        <f>IF($A155=1,IF(Sales_Daily!$T16="","",Sales_Daily!$T16),"")</f>
        <v/>
      </c>
      <c r="AA155" s="32">
        <f>IF($A155=1,IF(Sales_Daily!$U16="","",Sales_Daily!$U16),"")</f>
        <v/>
      </c>
      <c r="AB155" s="32">
        <f>IF($A155=1,IF(Sales_Daily!$V16="","",Sales_Daily!$V16),"")</f>
        <v/>
      </c>
      <c r="AC155" s="32">
        <f>IF($A155=1,IF(Sales_Daily!$W16="","",Sales_Daily!$W16),"")</f>
        <v/>
      </c>
      <c r="AD155" s="32">
        <f>IF($A155=1,IF(Sales_Daily!$X16="","",Sales_Daily!$X16),"")</f>
        <v/>
      </c>
      <c r="AE155" s="32">
        <f>IF($A155=1,0,"")</f>
        <v/>
      </c>
      <c r="AF155" s="32" t="inlineStr"/>
    </row>
    <row r="156">
      <c r="A156" s="32">
        <f>IF(AND(Sales_Daily!$AV16=1,N(Sales_Daily!$AD16)&gt;0),1,0)</f>
        <v/>
      </c>
      <c r="B156" s="32">
        <f>IF($A156=1,$E156&amp;"/9","")</f>
        <v/>
      </c>
      <c r="C156" s="32">
        <f>IF($A156=1,"J-"&amp;Sales_Daily!$A16,"")</f>
        <v/>
      </c>
      <c r="D156" s="33">
        <f>IF($A156=1,Sales_Daily!$B16,"")</f>
        <v/>
      </c>
      <c r="E156" s="32">
        <f>IF($A156=1,IF(Sales_Daily!$A16="","",Sales_Daily!$A16),"")</f>
        <v/>
      </c>
      <c r="F156" s="32">
        <f>IF($A156=1,"SAL","")</f>
        <v/>
      </c>
      <c r="G156" s="32">
        <f>IF($A156=1,IF(Sales_Daily!$AQ16="","",Sales_Daily!$AQ16),"")</f>
        <v/>
      </c>
      <c r="H156" s="32">
        <f>IF($A156=1,IF(COUNTIF(COA!$A:$A,$G156)=0,"حساب غير معرف",INDEX(COA!$B:$B,MATCH($G156,COA!$A:$A,0))),"")</f>
        <v/>
      </c>
      <c r="I156" s="32">
        <f>IF($A156=1,IF(Sales_Daily!$C16="","",Sales_Daily!$C16),"")</f>
        <v/>
      </c>
      <c r="J156" s="32">
        <f>IF($A156=1,"CC10","")</f>
        <v/>
      </c>
      <c r="K156" s="32">
        <f>IF($A156=1,"-","")</f>
        <v/>
      </c>
      <c r="L156" s="32">
        <f>IF($A156=1,"إيراد مبيعات - فئة فطير","")</f>
        <v/>
      </c>
      <c r="M156" s="43">
        <f>IF($A156=1,0,"")</f>
        <v/>
      </c>
      <c r="N156" s="43">
        <f>IF($A156=1,Sales_Daily!$AD16,"")</f>
        <v/>
      </c>
      <c r="O156" s="32">
        <f>IF($A156=1,Sales_Daily!$S16,"")</f>
        <v/>
      </c>
      <c r="P156" s="32">
        <f>IF($A156=1,IF(Sales_Daily!$AW16="","",Sales_Daily!$AW16),"")</f>
        <v/>
      </c>
      <c r="Q156" s="32">
        <f>IF($A156=1,Sales_Daily!$AY16,"")</f>
        <v/>
      </c>
      <c r="R156" s="32">
        <f>IF($A156=1,IF(AND($Q156=1,COUNTIFS(COA!$A:$A,$G156,COA!$R:$R,1)=1),1,0),"")</f>
        <v/>
      </c>
      <c r="S156" s="43">
        <f>IF($A156=1,IF($R156=1,N($M156),0),"")</f>
        <v/>
      </c>
      <c r="T156" s="43">
        <f>IF($A156=1,IF($R156=1,N($N156),0),"")</f>
        <v/>
      </c>
      <c r="U156" s="32">
        <f>IF($A156=1,YEAR($D156)*100+MONTH($D156),"")</f>
        <v/>
      </c>
      <c r="V156" s="32">
        <f>IF($A156=1,IF(COUNTIF(COA!$A:$A,$G156)=0,0,INDEX(COA!$H:$H,MATCH($G156,COA!$A:$A,0))),"")</f>
        <v/>
      </c>
      <c r="W156" s="32">
        <f>IF($A156=1,"","")</f>
        <v/>
      </c>
      <c r="X156" s="32">
        <f>IF($A156=1,IF($R156=1,"",IF($O156=ST_POST,IF($P156&lt;&gt;"",$P156,"حساب غير صالح أو غير نشط"),IF($O156=ST_REV,"معكوس: لا أثر على الدفاتر",IF($O156=ST_CANC,"ملغى",IF($O156=ST_APPR,"معتمد ولم يُرحَّل","مسودة"))))),"")</f>
        <v/>
      </c>
      <c r="Y156" s="32">
        <f>IF($A156=1,IF(AND($R156=1,OR(LG_Acct="",$G156=LG_Acct),OR(LG_Party="",$K156=LG_Party),OR(LG_Loc="ALL",$I156=LG_Loc),OR(LG_CC="ALL",$J156=LG_CC),$D156&gt;=LG_From,$D156&lt;=LG_To),$D156+ROW()/1000000,""),"")</f>
        <v/>
      </c>
      <c r="Z156" s="32">
        <f>IF($A156=1,IF(Sales_Daily!$T16="","",Sales_Daily!$T16),"")</f>
        <v/>
      </c>
      <c r="AA156" s="32">
        <f>IF($A156=1,IF(Sales_Daily!$U16="","",Sales_Daily!$U16),"")</f>
        <v/>
      </c>
      <c r="AB156" s="32">
        <f>IF($A156=1,IF(Sales_Daily!$V16="","",Sales_Daily!$V16),"")</f>
        <v/>
      </c>
      <c r="AC156" s="32">
        <f>IF($A156=1,IF(Sales_Daily!$W16="","",Sales_Daily!$W16),"")</f>
        <v/>
      </c>
      <c r="AD156" s="32">
        <f>IF($A156=1,IF(Sales_Daily!$X16="","",Sales_Daily!$X16),"")</f>
        <v/>
      </c>
      <c r="AE156" s="32">
        <f>IF($A156=1,0,"")</f>
        <v/>
      </c>
      <c r="AF156" s="32" t="inlineStr"/>
    </row>
    <row r="157">
      <c r="A157" s="32">
        <f>IF(AND(Sales_Daily!$AV16=1,N(Sales_Daily!$AE16)&gt;0),1,0)</f>
        <v/>
      </c>
      <c r="B157" s="32">
        <f>IF($A157=1,$E157&amp;"/10","")</f>
        <v/>
      </c>
      <c r="C157" s="32">
        <f>IF($A157=1,"J-"&amp;Sales_Daily!$A16,"")</f>
        <v/>
      </c>
      <c r="D157" s="33">
        <f>IF($A157=1,Sales_Daily!$B16,"")</f>
        <v/>
      </c>
      <c r="E157" s="32">
        <f>IF($A157=1,IF(Sales_Daily!$A16="","",Sales_Daily!$A16),"")</f>
        <v/>
      </c>
      <c r="F157" s="32">
        <f>IF($A157=1,"SAL","")</f>
        <v/>
      </c>
      <c r="G157" s="32">
        <f>IF($A157=1,IF(Sales_Daily!$AR16="","",Sales_Daily!$AR16),"")</f>
        <v/>
      </c>
      <c r="H157" s="32">
        <f>IF($A157=1,IF(COUNTIF(COA!$A:$A,$G157)=0,"حساب غير معرف",INDEX(COA!$B:$B,MATCH($G157,COA!$A:$A,0))),"")</f>
        <v/>
      </c>
      <c r="I157" s="32">
        <f>IF($A157=1,IF(Sales_Daily!$C16="","",Sales_Daily!$C16),"")</f>
        <v/>
      </c>
      <c r="J157" s="32">
        <f>IF($A157=1,"CC10","")</f>
        <v/>
      </c>
      <c r="K157" s="32">
        <f>IF($A157=1,"-","")</f>
        <v/>
      </c>
      <c r="L157" s="32">
        <f>IF($A157=1,"إيراد مبيعات - فئة بيتزا","")</f>
        <v/>
      </c>
      <c r="M157" s="43">
        <f>IF($A157=1,0,"")</f>
        <v/>
      </c>
      <c r="N157" s="43">
        <f>IF($A157=1,Sales_Daily!$AE16,"")</f>
        <v/>
      </c>
      <c r="O157" s="32">
        <f>IF($A157=1,Sales_Daily!$S16,"")</f>
        <v/>
      </c>
      <c r="P157" s="32">
        <f>IF($A157=1,IF(Sales_Daily!$AW16="","",Sales_Daily!$AW16),"")</f>
        <v/>
      </c>
      <c r="Q157" s="32">
        <f>IF($A157=1,Sales_Daily!$AY16,"")</f>
        <v/>
      </c>
      <c r="R157" s="32">
        <f>IF($A157=1,IF(AND($Q157=1,COUNTIFS(COA!$A:$A,$G157,COA!$R:$R,1)=1),1,0),"")</f>
        <v/>
      </c>
      <c r="S157" s="43">
        <f>IF($A157=1,IF($R157=1,N($M157),0),"")</f>
        <v/>
      </c>
      <c r="T157" s="43">
        <f>IF($A157=1,IF($R157=1,N($N157),0),"")</f>
        <v/>
      </c>
      <c r="U157" s="32">
        <f>IF($A157=1,YEAR($D157)*100+MONTH($D157),"")</f>
        <v/>
      </c>
      <c r="V157" s="32">
        <f>IF($A157=1,IF(COUNTIF(COA!$A:$A,$G157)=0,0,INDEX(COA!$H:$H,MATCH($G157,COA!$A:$A,0))),"")</f>
        <v/>
      </c>
      <c r="W157" s="32">
        <f>IF($A157=1,"","")</f>
        <v/>
      </c>
      <c r="X157" s="32">
        <f>IF($A157=1,IF($R157=1,"",IF($O157=ST_POST,IF($P157&lt;&gt;"",$P157,"حساب غير صالح أو غير نشط"),IF($O157=ST_REV,"معكوس: لا أثر على الدفاتر",IF($O157=ST_CANC,"ملغى",IF($O157=ST_APPR,"معتمد ولم يُرحَّل","مسودة"))))),"")</f>
        <v/>
      </c>
      <c r="Y157" s="32">
        <f>IF($A157=1,IF(AND($R157=1,OR(LG_Acct="",$G157=LG_Acct),OR(LG_Party="",$K157=LG_Party),OR(LG_Loc="ALL",$I157=LG_Loc),OR(LG_CC="ALL",$J157=LG_CC),$D157&gt;=LG_From,$D157&lt;=LG_To),$D157+ROW()/1000000,""),"")</f>
        <v/>
      </c>
      <c r="Z157" s="32">
        <f>IF($A157=1,IF(Sales_Daily!$T16="","",Sales_Daily!$T16),"")</f>
        <v/>
      </c>
      <c r="AA157" s="32">
        <f>IF($A157=1,IF(Sales_Daily!$U16="","",Sales_Daily!$U16),"")</f>
        <v/>
      </c>
      <c r="AB157" s="32">
        <f>IF($A157=1,IF(Sales_Daily!$V16="","",Sales_Daily!$V16),"")</f>
        <v/>
      </c>
      <c r="AC157" s="32">
        <f>IF($A157=1,IF(Sales_Daily!$W16="","",Sales_Daily!$W16),"")</f>
        <v/>
      </c>
      <c r="AD157" s="32">
        <f>IF($A157=1,IF(Sales_Daily!$X16="","",Sales_Daily!$X16),"")</f>
        <v/>
      </c>
      <c r="AE157" s="32">
        <f>IF($A157=1,0,"")</f>
        <v/>
      </c>
      <c r="AF157" s="32" t="inlineStr"/>
    </row>
    <row r="158">
      <c r="A158" s="32">
        <f>IF(AND(Sales_Daily!$AV16=1,N(Sales_Daily!$AF16)&gt;0),1,0)</f>
        <v/>
      </c>
      <c r="B158" s="32">
        <f>IF($A158=1,$E158&amp;"/11","")</f>
        <v/>
      </c>
      <c r="C158" s="32">
        <f>IF($A158=1,"J-"&amp;Sales_Daily!$A16,"")</f>
        <v/>
      </c>
      <c r="D158" s="33">
        <f>IF($A158=1,Sales_Daily!$B16,"")</f>
        <v/>
      </c>
      <c r="E158" s="32">
        <f>IF($A158=1,IF(Sales_Daily!$A16="","",Sales_Daily!$A16),"")</f>
        <v/>
      </c>
      <c r="F158" s="32">
        <f>IF($A158=1,"SAL","")</f>
        <v/>
      </c>
      <c r="G158" s="32">
        <f>IF($A158=1,IF(Sales_Daily!$AS16="","",Sales_Daily!$AS16),"")</f>
        <v/>
      </c>
      <c r="H158" s="32">
        <f>IF($A158=1,IF(COUNTIF(COA!$A:$A,$G158)=0,"حساب غير معرف",INDEX(COA!$B:$B,MATCH($G158,COA!$A:$A,0))),"")</f>
        <v/>
      </c>
      <c r="I158" s="32">
        <f>IF($A158=1,IF(Sales_Daily!$C16="","",Sales_Daily!$C16),"")</f>
        <v/>
      </c>
      <c r="J158" s="32">
        <f>IF($A158=1,"CC10","")</f>
        <v/>
      </c>
      <c r="K158" s="32">
        <f>IF($A158=1,"-","")</f>
        <v/>
      </c>
      <c r="L158" s="32">
        <f>IF($A158=1,"إيراد مبيعات - فئة مكرونات","")</f>
        <v/>
      </c>
      <c r="M158" s="43">
        <f>IF($A158=1,0,"")</f>
        <v/>
      </c>
      <c r="N158" s="43">
        <f>IF($A158=1,Sales_Daily!$AF16,"")</f>
        <v/>
      </c>
      <c r="O158" s="32">
        <f>IF($A158=1,Sales_Daily!$S16,"")</f>
        <v/>
      </c>
      <c r="P158" s="32">
        <f>IF($A158=1,IF(Sales_Daily!$AW16="","",Sales_Daily!$AW16),"")</f>
        <v/>
      </c>
      <c r="Q158" s="32">
        <f>IF($A158=1,Sales_Daily!$AY16,"")</f>
        <v/>
      </c>
      <c r="R158" s="32">
        <f>IF($A158=1,IF(AND($Q158=1,COUNTIFS(COA!$A:$A,$G158,COA!$R:$R,1)=1),1,0),"")</f>
        <v/>
      </c>
      <c r="S158" s="43">
        <f>IF($A158=1,IF($R158=1,N($M158),0),"")</f>
        <v/>
      </c>
      <c r="T158" s="43">
        <f>IF($A158=1,IF($R158=1,N($N158),0),"")</f>
        <v/>
      </c>
      <c r="U158" s="32">
        <f>IF($A158=1,YEAR($D158)*100+MONTH($D158),"")</f>
        <v/>
      </c>
      <c r="V158" s="32">
        <f>IF($A158=1,IF(COUNTIF(COA!$A:$A,$G158)=0,0,INDEX(COA!$H:$H,MATCH($G158,COA!$A:$A,0))),"")</f>
        <v/>
      </c>
      <c r="W158" s="32">
        <f>IF($A158=1,"","")</f>
        <v/>
      </c>
      <c r="X158" s="32">
        <f>IF($A158=1,IF($R158=1,"",IF($O158=ST_POST,IF($P158&lt;&gt;"",$P158,"حساب غير صالح أو غير نشط"),IF($O158=ST_REV,"معكوس: لا أثر على الدفاتر",IF($O158=ST_CANC,"ملغى",IF($O158=ST_APPR,"معتمد ولم يُرحَّل","مسودة"))))),"")</f>
        <v/>
      </c>
      <c r="Y158" s="32">
        <f>IF($A158=1,IF(AND($R158=1,OR(LG_Acct="",$G158=LG_Acct),OR(LG_Party="",$K158=LG_Party),OR(LG_Loc="ALL",$I158=LG_Loc),OR(LG_CC="ALL",$J158=LG_CC),$D158&gt;=LG_From,$D158&lt;=LG_To),$D158+ROW()/1000000,""),"")</f>
        <v/>
      </c>
      <c r="Z158" s="32">
        <f>IF($A158=1,IF(Sales_Daily!$T16="","",Sales_Daily!$T16),"")</f>
        <v/>
      </c>
      <c r="AA158" s="32">
        <f>IF($A158=1,IF(Sales_Daily!$U16="","",Sales_Daily!$U16),"")</f>
        <v/>
      </c>
      <c r="AB158" s="32">
        <f>IF($A158=1,IF(Sales_Daily!$V16="","",Sales_Daily!$V16),"")</f>
        <v/>
      </c>
      <c r="AC158" s="32">
        <f>IF($A158=1,IF(Sales_Daily!$W16="","",Sales_Daily!$W16),"")</f>
        <v/>
      </c>
      <c r="AD158" s="32">
        <f>IF($A158=1,IF(Sales_Daily!$X16="","",Sales_Daily!$X16),"")</f>
        <v/>
      </c>
      <c r="AE158" s="32">
        <f>IF($A158=1,0,"")</f>
        <v/>
      </c>
      <c r="AF158" s="32" t="inlineStr"/>
    </row>
    <row r="159">
      <c r="A159" s="32">
        <f>IF(AND(Sales_Daily!$AV16=1,N(Sales_Daily!$AG16)&gt;0),1,0)</f>
        <v/>
      </c>
      <c r="B159" s="32">
        <f>IF($A159=1,$E159&amp;"/12","")</f>
        <v/>
      </c>
      <c r="C159" s="32">
        <f>IF($A159=1,"J-"&amp;Sales_Daily!$A16,"")</f>
        <v/>
      </c>
      <c r="D159" s="33">
        <f>IF($A159=1,Sales_Daily!$B16,"")</f>
        <v/>
      </c>
      <c r="E159" s="32">
        <f>IF($A159=1,IF(Sales_Daily!$A16="","",Sales_Daily!$A16),"")</f>
        <v/>
      </c>
      <c r="F159" s="32">
        <f>IF($A159=1,"SAL","")</f>
        <v/>
      </c>
      <c r="G159" s="32">
        <f>IF($A159=1,IF(Sales_Daily!$AT16="","",Sales_Daily!$AT16),"")</f>
        <v/>
      </c>
      <c r="H159" s="32">
        <f>IF($A159=1,IF(COUNTIF(COA!$A:$A,$G159)=0,"حساب غير معرف",INDEX(COA!$B:$B,MATCH($G159,COA!$A:$A,0))),"")</f>
        <v/>
      </c>
      <c r="I159" s="32">
        <f>IF($A159=1,IF(Sales_Daily!$C16="","",Sales_Daily!$C16),"")</f>
        <v/>
      </c>
      <c r="J159" s="32">
        <f>IF($A159=1,"CC10","")</f>
        <v/>
      </c>
      <c r="K159" s="32">
        <f>IF($A159=1,"-","")</f>
        <v/>
      </c>
      <c r="L159" s="32">
        <f>IF($A159=1,"إيراد مبيعات - فئة أخرى","")</f>
        <v/>
      </c>
      <c r="M159" s="43">
        <f>IF($A159=1,0,"")</f>
        <v/>
      </c>
      <c r="N159" s="43">
        <f>IF($A159=1,Sales_Daily!$AG16,"")</f>
        <v/>
      </c>
      <c r="O159" s="32">
        <f>IF($A159=1,Sales_Daily!$S16,"")</f>
        <v/>
      </c>
      <c r="P159" s="32">
        <f>IF($A159=1,IF(Sales_Daily!$AW16="","",Sales_Daily!$AW16),"")</f>
        <v/>
      </c>
      <c r="Q159" s="32">
        <f>IF($A159=1,Sales_Daily!$AY16,"")</f>
        <v/>
      </c>
      <c r="R159" s="32">
        <f>IF($A159=1,IF(AND($Q159=1,COUNTIFS(COA!$A:$A,$G159,COA!$R:$R,1)=1),1,0),"")</f>
        <v/>
      </c>
      <c r="S159" s="43">
        <f>IF($A159=1,IF($R159=1,N($M159),0),"")</f>
        <v/>
      </c>
      <c r="T159" s="43">
        <f>IF($A159=1,IF($R159=1,N($N159),0),"")</f>
        <v/>
      </c>
      <c r="U159" s="32">
        <f>IF($A159=1,YEAR($D159)*100+MONTH($D159),"")</f>
        <v/>
      </c>
      <c r="V159" s="32">
        <f>IF($A159=1,IF(COUNTIF(COA!$A:$A,$G159)=0,0,INDEX(COA!$H:$H,MATCH($G159,COA!$A:$A,0))),"")</f>
        <v/>
      </c>
      <c r="W159" s="32">
        <f>IF($A159=1,"","")</f>
        <v/>
      </c>
      <c r="X159" s="32">
        <f>IF($A159=1,IF($R159=1,"",IF($O159=ST_POST,IF($P159&lt;&gt;"",$P159,"حساب غير صالح أو غير نشط"),IF($O159=ST_REV,"معكوس: لا أثر على الدفاتر",IF($O159=ST_CANC,"ملغى",IF($O159=ST_APPR,"معتمد ولم يُرحَّل","مسودة"))))),"")</f>
        <v/>
      </c>
      <c r="Y159" s="32">
        <f>IF($A159=1,IF(AND($R159=1,OR(LG_Acct="",$G159=LG_Acct),OR(LG_Party="",$K159=LG_Party),OR(LG_Loc="ALL",$I159=LG_Loc),OR(LG_CC="ALL",$J159=LG_CC),$D159&gt;=LG_From,$D159&lt;=LG_To),$D159+ROW()/1000000,""),"")</f>
        <v/>
      </c>
      <c r="Z159" s="32">
        <f>IF($A159=1,IF(Sales_Daily!$T16="","",Sales_Daily!$T16),"")</f>
        <v/>
      </c>
      <c r="AA159" s="32">
        <f>IF($A159=1,IF(Sales_Daily!$U16="","",Sales_Daily!$U16),"")</f>
        <v/>
      </c>
      <c r="AB159" s="32">
        <f>IF($A159=1,IF(Sales_Daily!$V16="","",Sales_Daily!$V16),"")</f>
        <v/>
      </c>
      <c r="AC159" s="32">
        <f>IF($A159=1,IF(Sales_Daily!$W16="","",Sales_Daily!$W16),"")</f>
        <v/>
      </c>
      <c r="AD159" s="32">
        <f>IF($A159=1,IF(Sales_Daily!$X16="","",Sales_Daily!$X16),"")</f>
        <v/>
      </c>
      <c r="AE159" s="32">
        <f>IF($A159=1,0,"")</f>
        <v/>
      </c>
      <c r="AF159" s="32" t="inlineStr"/>
    </row>
    <row r="160">
      <c r="A160" s="32">
        <f>IF(AND(Sales_Daily!$AV16=1,N(Sales_Daily!$AJ16)&gt;0),1,0)</f>
        <v/>
      </c>
      <c r="B160" s="32">
        <f>IF($A160=1,$E160&amp;"/13","")</f>
        <v/>
      </c>
      <c r="C160" s="32">
        <f>IF($A160=1,"J-"&amp;Sales_Daily!$A16,"")</f>
        <v/>
      </c>
      <c r="D160" s="33">
        <f>IF($A160=1,Sales_Daily!$B16,"")</f>
        <v/>
      </c>
      <c r="E160" s="32">
        <f>IF($A160=1,IF(Sales_Daily!$A16="","",Sales_Daily!$A16),"")</f>
        <v/>
      </c>
      <c r="F160" s="32">
        <f>IF($A160=1,"SAL","")</f>
        <v/>
      </c>
      <c r="G160" s="32">
        <f>IF($A160=1,ACC_VAT_OUT,"")</f>
        <v/>
      </c>
      <c r="H160" s="32">
        <f>IF($A160=1,IF(COUNTIF(COA!$A:$A,$G160)=0,"حساب غير معرف",INDEX(COA!$B:$B,MATCH($G160,COA!$A:$A,0))),"")</f>
        <v/>
      </c>
      <c r="I160" s="32">
        <f>IF($A160=1,IF(Sales_Daily!$C16="","",Sales_Daily!$C16),"")</f>
        <v/>
      </c>
      <c r="J160" s="32">
        <f>IF($A160=1,"CC10","")</f>
        <v/>
      </c>
      <c r="K160" s="32">
        <f>IF($A160=1,"-","")</f>
        <v/>
      </c>
      <c r="L160" s="32">
        <f>IF($A160=1,"ضريبة القيمة المضافة - مخرجات","")</f>
        <v/>
      </c>
      <c r="M160" s="43">
        <f>IF($A160=1,0,"")</f>
        <v/>
      </c>
      <c r="N160" s="43">
        <f>IF($A160=1,Sales_Daily!$AJ16,"")</f>
        <v/>
      </c>
      <c r="O160" s="32">
        <f>IF($A160=1,Sales_Daily!$S16,"")</f>
        <v/>
      </c>
      <c r="P160" s="32">
        <f>IF($A160=1,IF(Sales_Daily!$AW16="","",Sales_Daily!$AW16),"")</f>
        <v/>
      </c>
      <c r="Q160" s="32">
        <f>IF($A160=1,Sales_Daily!$AY16,"")</f>
        <v/>
      </c>
      <c r="R160" s="32">
        <f>IF($A160=1,IF(AND($Q160=1,COUNTIFS(COA!$A:$A,$G160,COA!$R:$R,1)=1),1,0),"")</f>
        <v/>
      </c>
      <c r="S160" s="43">
        <f>IF($A160=1,IF($R160=1,N($M160),0),"")</f>
        <v/>
      </c>
      <c r="T160" s="43">
        <f>IF($A160=1,IF($R160=1,N($N160),0),"")</f>
        <v/>
      </c>
      <c r="U160" s="32">
        <f>IF($A160=1,YEAR($D160)*100+MONTH($D160),"")</f>
        <v/>
      </c>
      <c r="V160" s="32">
        <f>IF($A160=1,IF(COUNTIF(COA!$A:$A,$G160)=0,0,INDEX(COA!$H:$H,MATCH($G160,COA!$A:$A,0))),"")</f>
        <v/>
      </c>
      <c r="W160" s="32">
        <f>IF($A160=1,"","")</f>
        <v/>
      </c>
      <c r="X160" s="32">
        <f>IF($A160=1,IF($R160=1,"",IF($O160=ST_POST,IF($P160&lt;&gt;"",$P160,"حساب غير صالح أو غير نشط"),IF($O160=ST_REV,"معكوس: لا أثر على الدفاتر",IF($O160=ST_CANC,"ملغى",IF($O160=ST_APPR,"معتمد ولم يُرحَّل","مسودة"))))),"")</f>
        <v/>
      </c>
      <c r="Y160" s="32">
        <f>IF($A160=1,IF(AND($R160=1,OR(LG_Acct="",$G160=LG_Acct),OR(LG_Party="",$K160=LG_Party),OR(LG_Loc="ALL",$I160=LG_Loc),OR(LG_CC="ALL",$J160=LG_CC),$D160&gt;=LG_From,$D160&lt;=LG_To),$D160+ROW()/1000000,""),"")</f>
        <v/>
      </c>
      <c r="Z160" s="32">
        <f>IF($A160=1,IF(Sales_Daily!$T16="","",Sales_Daily!$T16),"")</f>
        <v/>
      </c>
      <c r="AA160" s="32">
        <f>IF($A160=1,IF(Sales_Daily!$U16="","",Sales_Daily!$U16),"")</f>
        <v/>
      </c>
      <c r="AB160" s="32">
        <f>IF($A160=1,IF(Sales_Daily!$V16="","",Sales_Daily!$V16),"")</f>
        <v/>
      </c>
      <c r="AC160" s="32">
        <f>IF($A160=1,IF(Sales_Daily!$W16="","",Sales_Daily!$W16),"")</f>
        <v/>
      </c>
      <c r="AD160" s="32">
        <f>IF($A160=1,IF(Sales_Daily!$X16="","",Sales_Daily!$X16),"")</f>
        <v/>
      </c>
      <c r="AE160" s="32">
        <f>IF($A160=1,0,"")</f>
        <v/>
      </c>
      <c r="AF160" s="32" t="inlineStr"/>
    </row>
    <row r="161">
      <c r="A161" s="32">
        <f>IF(AND(Sales_Daily!$AV17=1,N(Sales_Daily!$L17)&gt;0),1,0)</f>
        <v/>
      </c>
      <c r="B161" s="32">
        <f>IF($A161=1,$E161&amp;"/1","")</f>
        <v/>
      </c>
      <c r="C161" s="32">
        <f>IF($A161=1,"J-"&amp;Sales_Daily!$A17,"")</f>
        <v/>
      </c>
      <c r="D161" s="33">
        <f>IF($A161=1,Sales_Daily!$B17,"")</f>
        <v/>
      </c>
      <c r="E161" s="32">
        <f>IF($A161=1,IF(Sales_Daily!$A17="","",Sales_Daily!$A17),"")</f>
        <v/>
      </c>
      <c r="F161" s="32">
        <f>IF($A161=1,"SAL","")</f>
        <v/>
      </c>
      <c r="G161" s="32">
        <f>IF($A161=1,IF(Sales_Daily!$AK17="","",Sales_Daily!$AK17),"")</f>
        <v/>
      </c>
      <c r="H161" s="32">
        <f>IF($A161=1,IF(COUNTIF(COA!$A:$A,$G161)=0,"حساب غير معرف",INDEX(COA!$B:$B,MATCH($G161,COA!$A:$A,0))),"")</f>
        <v/>
      </c>
      <c r="I161" s="32">
        <f>IF($A161=1,IF(Sales_Daily!$C17="","",Sales_Daily!$C17),"")</f>
        <v/>
      </c>
      <c r="J161" s="32">
        <f>IF($A161=1,"CC10","")</f>
        <v/>
      </c>
      <c r="K161" s="32">
        <f>IF($A161=1,"-","")</f>
        <v/>
      </c>
      <c r="L161" s="32">
        <f>IF($A161=1,"مبيعات - تحصيل CASH","")</f>
        <v/>
      </c>
      <c r="M161" s="43">
        <f>IF($A161=1,Sales_Daily!$L17,"")</f>
        <v/>
      </c>
      <c r="N161" s="43">
        <f>IF($A161=1,0,"")</f>
        <v/>
      </c>
      <c r="O161" s="32">
        <f>IF($A161=1,Sales_Daily!$S17,"")</f>
        <v/>
      </c>
      <c r="P161" s="32">
        <f>IF($A161=1,IF(Sales_Daily!$AW17="","",Sales_Daily!$AW17),"")</f>
        <v/>
      </c>
      <c r="Q161" s="32">
        <f>IF($A161=1,Sales_Daily!$AY17,"")</f>
        <v/>
      </c>
      <c r="R161" s="32">
        <f>IF($A161=1,IF(AND($Q161=1,COUNTIFS(COA!$A:$A,$G161,COA!$R:$R,1)=1),1,0),"")</f>
        <v/>
      </c>
      <c r="S161" s="43">
        <f>IF($A161=1,IF($R161=1,N($M161),0),"")</f>
        <v/>
      </c>
      <c r="T161" s="43">
        <f>IF($A161=1,IF($R161=1,N($N161),0),"")</f>
        <v/>
      </c>
      <c r="U161" s="32">
        <f>IF($A161=1,YEAR($D161)*100+MONTH($D161),"")</f>
        <v/>
      </c>
      <c r="V161" s="32">
        <f>IF($A161=1,IF(COUNTIF(COA!$A:$A,$G161)=0,0,INDEX(COA!$H:$H,MATCH($G161,COA!$A:$A,0))),"")</f>
        <v/>
      </c>
      <c r="W161" s="32">
        <f>IF($A161=1,"OPERATING","")</f>
        <v/>
      </c>
      <c r="X161" s="32">
        <f>IF($A161=1,IF($R161=1,"",IF($O161=ST_POST,IF($P161&lt;&gt;"",$P161,"حساب غير صالح أو غير نشط"),IF($O161=ST_REV,"معكوس: لا أثر على الدفاتر",IF($O161=ST_CANC,"ملغى",IF($O161=ST_APPR,"معتمد ولم يُرحَّل","مسودة"))))),"")</f>
        <v/>
      </c>
      <c r="Y161" s="32">
        <f>IF($A161=1,IF(AND($R161=1,OR(LG_Acct="",$G161=LG_Acct),OR(LG_Party="",$K161=LG_Party),OR(LG_Loc="ALL",$I161=LG_Loc),OR(LG_CC="ALL",$J161=LG_CC),$D161&gt;=LG_From,$D161&lt;=LG_To),$D161+ROW()/1000000,""),"")</f>
        <v/>
      </c>
      <c r="Z161" s="32">
        <f>IF($A161=1,IF(Sales_Daily!$T17="","",Sales_Daily!$T17),"")</f>
        <v/>
      </c>
      <c r="AA161" s="32">
        <f>IF($A161=1,IF(Sales_Daily!$U17="","",Sales_Daily!$U17),"")</f>
        <v/>
      </c>
      <c r="AB161" s="32">
        <f>IF($A161=1,IF(Sales_Daily!$V17="","",Sales_Daily!$V17),"")</f>
        <v/>
      </c>
      <c r="AC161" s="32">
        <f>IF($A161=1,IF(Sales_Daily!$W17="","",Sales_Daily!$W17),"")</f>
        <v/>
      </c>
      <c r="AD161" s="32">
        <f>IF($A161=1,IF(Sales_Daily!$X17="","",Sales_Daily!$X17),"")</f>
        <v/>
      </c>
      <c r="AE161" s="32">
        <f>IF($A161=1,0,"")</f>
        <v/>
      </c>
      <c r="AF161" s="32" t="inlineStr"/>
    </row>
    <row r="162">
      <c r="A162" s="32">
        <f>IF(AND(Sales_Daily!$AV17=1,N(Sales_Daily!$M17)&gt;0),1,0)</f>
        <v/>
      </c>
      <c r="B162" s="32">
        <f>IF($A162=1,$E162&amp;"/2","")</f>
        <v/>
      </c>
      <c r="C162" s="32">
        <f>IF($A162=1,"J-"&amp;Sales_Daily!$A17,"")</f>
        <v/>
      </c>
      <c r="D162" s="33">
        <f>IF($A162=1,Sales_Daily!$B17,"")</f>
        <v/>
      </c>
      <c r="E162" s="32">
        <f>IF($A162=1,IF(Sales_Daily!$A17="","",Sales_Daily!$A17),"")</f>
        <v/>
      </c>
      <c r="F162" s="32">
        <f>IF($A162=1,"SAL","")</f>
        <v/>
      </c>
      <c r="G162" s="32">
        <f>IF($A162=1,IF(Sales_Daily!$AL17="","",Sales_Daily!$AL17),"")</f>
        <v/>
      </c>
      <c r="H162" s="32">
        <f>IF($A162=1,IF(COUNTIF(COA!$A:$A,$G162)=0,"حساب غير معرف",INDEX(COA!$B:$B,MATCH($G162,COA!$A:$A,0))),"")</f>
        <v/>
      </c>
      <c r="I162" s="32">
        <f>IF($A162=1,IF(Sales_Daily!$C17="","",Sales_Daily!$C17),"")</f>
        <v/>
      </c>
      <c r="J162" s="32">
        <f>IF($A162=1,"CC10","")</f>
        <v/>
      </c>
      <c r="K162" s="32">
        <f>IF($A162=1,"-","")</f>
        <v/>
      </c>
      <c r="L162" s="32">
        <f>IF($A162=1,"مبيعات - تحصيل CARD","")</f>
        <v/>
      </c>
      <c r="M162" s="43">
        <f>IF($A162=1,Sales_Daily!$M17,"")</f>
        <v/>
      </c>
      <c r="N162" s="43">
        <f>IF($A162=1,0,"")</f>
        <v/>
      </c>
      <c r="O162" s="32">
        <f>IF($A162=1,Sales_Daily!$S17,"")</f>
        <v/>
      </c>
      <c r="P162" s="32">
        <f>IF($A162=1,IF(Sales_Daily!$AW17="","",Sales_Daily!$AW17),"")</f>
        <v/>
      </c>
      <c r="Q162" s="32">
        <f>IF($A162=1,Sales_Daily!$AY17,"")</f>
        <v/>
      </c>
      <c r="R162" s="32">
        <f>IF($A162=1,IF(AND($Q162=1,COUNTIFS(COA!$A:$A,$G162,COA!$R:$R,1)=1),1,0),"")</f>
        <v/>
      </c>
      <c r="S162" s="43">
        <f>IF($A162=1,IF($R162=1,N($M162),0),"")</f>
        <v/>
      </c>
      <c r="T162" s="43">
        <f>IF($A162=1,IF($R162=1,N($N162),0),"")</f>
        <v/>
      </c>
      <c r="U162" s="32">
        <f>IF($A162=1,YEAR($D162)*100+MONTH($D162),"")</f>
        <v/>
      </c>
      <c r="V162" s="32">
        <f>IF($A162=1,IF(COUNTIF(COA!$A:$A,$G162)=0,0,INDEX(COA!$H:$H,MATCH($G162,COA!$A:$A,0))),"")</f>
        <v/>
      </c>
      <c r="W162" s="32">
        <f>IF($A162=1,"OPERATING","")</f>
        <v/>
      </c>
      <c r="X162" s="32">
        <f>IF($A162=1,IF($R162=1,"",IF($O162=ST_POST,IF($P162&lt;&gt;"",$P162,"حساب غير صالح أو غير نشط"),IF($O162=ST_REV,"معكوس: لا أثر على الدفاتر",IF($O162=ST_CANC,"ملغى",IF($O162=ST_APPR,"معتمد ولم يُرحَّل","مسودة"))))),"")</f>
        <v/>
      </c>
      <c r="Y162" s="32">
        <f>IF($A162=1,IF(AND($R162=1,OR(LG_Acct="",$G162=LG_Acct),OR(LG_Party="",$K162=LG_Party),OR(LG_Loc="ALL",$I162=LG_Loc),OR(LG_CC="ALL",$J162=LG_CC),$D162&gt;=LG_From,$D162&lt;=LG_To),$D162+ROW()/1000000,""),"")</f>
        <v/>
      </c>
      <c r="Z162" s="32">
        <f>IF($A162=1,IF(Sales_Daily!$T17="","",Sales_Daily!$T17),"")</f>
        <v/>
      </c>
      <c r="AA162" s="32">
        <f>IF($A162=1,IF(Sales_Daily!$U17="","",Sales_Daily!$U17),"")</f>
        <v/>
      </c>
      <c r="AB162" s="32">
        <f>IF($A162=1,IF(Sales_Daily!$V17="","",Sales_Daily!$V17),"")</f>
        <v/>
      </c>
      <c r="AC162" s="32">
        <f>IF($A162=1,IF(Sales_Daily!$W17="","",Sales_Daily!$W17),"")</f>
        <v/>
      </c>
      <c r="AD162" s="32">
        <f>IF($A162=1,IF(Sales_Daily!$X17="","",Sales_Daily!$X17),"")</f>
        <v/>
      </c>
      <c r="AE162" s="32">
        <f>IF($A162=1,0,"")</f>
        <v/>
      </c>
      <c r="AF162" s="32" t="inlineStr"/>
    </row>
    <row r="163">
      <c r="A163" s="32">
        <f>IF(AND(Sales_Daily!$AV17=1,N(Sales_Daily!$N17)&gt;0),1,0)</f>
        <v/>
      </c>
      <c r="B163" s="32">
        <f>IF($A163=1,$E163&amp;"/3","")</f>
        <v/>
      </c>
      <c r="C163" s="32">
        <f>IF($A163=1,"J-"&amp;Sales_Daily!$A17,"")</f>
        <v/>
      </c>
      <c r="D163" s="33">
        <f>IF($A163=1,Sales_Daily!$B17,"")</f>
        <v/>
      </c>
      <c r="E163" s="32">
        <f>IF($A163=1,IF(Sales_Daily!$A17="","",Sales_Daily!$A17),"")</f>
        <v/>
      </c>
      <c r="F163" s="32">
        <f>IF($A163=1,"SAL","")</f>
        <v/>
      </c>
      <c r="G163" s="32">
        <f>IF($A163=1,IF(Sales_Daily!$AM17="","",Sales_Daily!$AM17),"")</f>
        <v/>
      </c>
      <c r="H163" s="32">
        <f>IF($A163=1,IF(COUNTIF(COA!$A:$A,$G163)=0,"حساب غير معرف",INDEX(COA!$B:$B,MATCH($G163,COA!$A:$A,0))),"")</f>
        <v/>
      </c>
      <c r="I163" s="32">
        <f>IF($A163=1,IF(Sales_Daily!$C17="","",Sales_Daily!$C17),"")</f>
        <v/>
      </c>
      <c r="J163" s="32">
        <f>IF($A163=1,"CC10","")</f>
        <v/>
      </c>
      <c r="K163" s="32">
        <f>IF($A163=1,"-","")</f>
        <v/>
      </c>
      <c r="L163" s="32">
        <f>IF($A163=1,"مبيعات - تحصيل TLB","")</f>
        <v/>
      </c>
      <c r="M163" s="43">
        <f>IF($A163=1,Sales_Daily!$N17,"")</f>
        <v/>
      </c>
      <c r="N163" s="43">
        <f>IF($A163=1,0,"")</f>
        <v/>
      </c>
      <c r="O163" s="32">
        <f>IF($A163=1,Sales_Daily!$S17,"")</f>
        <v/>
      </c>
      <c r="P163" s="32">
        <f>IF($A163=1,IF(Sales_Daily!$AW17="","",Sales_Daily!$AW17),"")</f>
        <v/>
      </c>
      <c r="Q163" s="32">
        <f>IF($A163=1,Sales_Daily!$AY17,"")</f>
        <v/>
      </c>
      <c r="R163" s="32">
        <f>IF($A163=1,IF(AND($Q163=1,COUNTIFS(COA!$A:$A,$G163,COA!$R:$R,1)=1),1,0),"")</f>
        <v/>
      </c>
      <c r="S163" s="43">
        <f>IF($A163=1,IF($R163=1,N($M163),0),"")</f>
        <v/>
      </c>
      <c r="T163" s="43">
        <f>IF($A163=1,IF($R163=1,N($N163),0),"")</f>
        <v/>
      </c>
      <c r="U163" s="32">
        <f>IF($A163=1,YEAR($D163)*100+MONTH($D163),"")</f>
        <v/>
      </c>
      <c r="V163" s="32">
        <f>IF($A163=1,IF(COUNTIF(COA!$A:$A,$G163)=0,0,INDEX(COA!$H:$H,MATCH($G163,COA!$A:$A,0))),"")</f>
        <v/>
      </c>
      <c r="W163" s="32">
        <f>IF($A163=1,"OPERATING","")</f>
        <v/>
      </c>
      <c r="X163" s="32">
        <f>IF($A163=1,IF($R163=1,"",IF($O163=ST_POST,IF($P163&lt;&gt;"",$P163,"حساب غير صالح أو غير نشط"),IF($O163=ST_REV,"معكوس: لا أثر على الدفاتر",IF($O163=ST_CANC,"ملغى",IF($O163=ST_APPR,"معتمد ولم يُرحَّل","مسودة"))))),"")</f>
        <v/>
      </c>
      <c r="Y163" s="32">
        <f>IF($A163=1,IF(AND($R163=1,OR(LG_Acct="",$G163=LG_Acct),OR(LG_Party="",$K163=LG_Party),OR(LG_Loc="ALL",$I163=LG_Loc),OR(LG_CC="ALL",$J163=LG_CC),$D163&gt;=LG_From,$D163&lt;=LG_To),$D163+ROW()/1000000,""),"")</f>
        <v/>
      </c>
      <c r="Z163" s="32">
        <f>IF($A163=1,IF(Sales_Daily!$T17="","",Sales_Daily!$T17),"")</f>
        <v/>
      </c>
      <c r="AA163" s="32">
        <f>IF($A163=1,IF(Sales_Daily!$U17="","",Sales_Daily!$U17),"")</f>
        <v/>
      </c>
      <c r="AB163" s="32">
        <f>IF($A163=1,IF(Sales_Daily!$V17="","",Sales_Daily!$V17),"")</f>
        <v/>
      </c>
      <c r="AC163" s="32">
        <f>IF($A163=1,IF(Sales_Daily!$W17="","",Sales_Daily!$W17),"")</f>
        <v/>
      </c>
      <c r="AD163" s="32">
        <f>IF($A163=1,IF(Sales_Daily!$X17="","",Sales_Daily!$X17),"")</f>
        <v/>
      </c>
      <c r="AE163" s="32">
        <f>IF($A163=1,0,"")</f>
        <v/>
      </c>
      <c r="AF163" s="32" t="inlineStr"/>
    </row>
    <row r="164">
      <c r="A164" s="32">
        <f>IF(AND(Sales_Daily!$AV17=1,N(Sales_Daily!$O17)&gt;0),1,0)</f>
        <v/>
      </c>
      <c r="B164" s="32">
        <f>IF($A164=1,$E164&amp;"/4","")</f>
        <v/>
      </c>
      <c r="C164" s="32">
        <f>IF($A164=1,"J-"&amp;Sales_Daily!$A17,"")</f>
        <v/>
      </c>
      <c r="D164" s="33">
        <f>IF($A164=1,Sales_Daily!$B17,"")</f>
        <v/>
      </c>
      <c r="E164" s="32">
        <f>IF($A164=1,IF(Sales_Daily!$A17="","",Sales_Daily!$A17),"")</f>
        <v/>
      </c>
      <c r="F164" s="32">
        <f>IF($A164=1,"SAL","")</f>
        <v/>
      </c>
      <c r="G164" s="32">
        <f>IF($A164=1,IF(Sales_Daily!$AN17="","",Sales_Daily!$AN17),"")</f>
        <v/>
      </c>
      <c r="H164" s="32">
        <f>IF($A164=1,IF(COUNTIF(COA!$A:$A,$G164)=0,"حساب غير معرف",INDEX(COA!$B:$B,MATCH($G164,COA!$A:$A,0))),"")</f>
        <v/>
      </c>
      <c r="I164" s="32">
        <f>IF($A164=1,IF(Sales_Daily!$C17="","",Sales_Daily!$C17),"")</f>
        <v/>
      </c>
      <c r="J164" s="32">
        <f>IF($A164=1,"CC10","")</f>
        <v/>
      </c>
      <c r="K164" s="32">
        <f>IF($A164=1,"-","")</f>
        <v/>
      </c>
      <c r="L164" s="32">
        <f>IF($A164=1,"مبيعات - تحصيل DLV2","")</f>
        <v/>
      </c>
      <c r="M164" s="43">
        <f>IF($A164=1,Sales_Daily!$O17,"")</f>
        <v/>
      </c>
      <c r="N164" s="43">
        <f>IF($A164=1,0,"")</f>
        <v/>
      </c>
      <c r="O164" s="32">
        <f>IF($A164=1,Sales_Daily!$S17,"")</f>
        <v/>
      </c>
      <c r="P164" s="32">
        <f>IF($A164=1,IF(Sales_Daily!$AW17="","",Sales_Daily!$AW17),"")</f>
        <v/>
      </c>
      <c r="Q164" s="32">
        <f>IF($A164=1,Sales_Daily!$AY17,"")</f>
        <v/>
      </c>
      <c r="R164" s="32">
        <f>IF($A164=1,IF(AND($Q164=1,COUNTIFS(COA!$A:$A,$G164,COA!$R:$R,1)=1),1,0),"")</f>
        <v/>
      </c>
      <c r="S164" s="43">
        <f>IF($A164=1,IF($R164=1,N($M164),0),"")</f>
        <v/>
      </c>
      <c r="T164" s="43">
        <f>IF($A164=1,IF($R164=1,N($N164),0),"")</f>
        <v/>
      </c>
      <c r="U164" s="32">
        <f>IF($A164=1,YEAR($D164)*100+MONTH($D164),"")</f>
        <v/>
      </c>
      <c r="V164" s="32">
        <f>IF($A164=1,IF(COUNTIF(COA!$A:$A,$G164)=0,0,INDEX(COA!$H:$H,MATCH($G164,COA!$A:$A,0))),"")</f>
        <v/>
      </c>
      <c r="W164" s="32">
        <f>IF($A164=1,"OPERATING","")</f>
        <v/>
      </c>
      <c r="X164" s="32">
        <f>IF($A164=1,IF($R164=1,"",IF($O164=ST_POST,IF($P164&lt;&gt;"",$P164,"حساب غير صالح أو غير نشط"),IF($O164=ST_REV,"معكوس: لا أثر على الدفاتر",IF($O164=ST_CANC,"ملغى",IF($O164=ST_APPR,"معتمد ولم يُرحَّل","مسودة"))))),"")</f>
        <v/>
      </c>
      <c r="Y164" s="32">
        <f>IF($A164=1,IF(AND($R164=1,OR(LG_Acct="",$G164=LG_Acct),OR(LG_Party="",$K164=LG_Party),OR(LG_Loc="ALL",$I164=LG_Loc),OR(LG_CC="ALL",$J164=LG_CC),$D164&gt;=LG_From,$D164&lt;=LG_To),$D164+ROW()/1000000,""),"")</f>
        <v/>
      </c>
      <c r="Z164" s="32">
        <f>IF($A164=1,IF(Sales_Daily!$T17="","",Sales_Daily!$T17),"")</f>
        <v/>
      </c>
      <c r="AA164" s="32">
        <f>IF($A164=1,IF(Sales_Daily!$U17="","",Sales_Daily!$U17),"")</f>
        <v/>
      </c>
      <c r="AB164" s="32">
        <f>IF($A164=1,IF(Sales_Daily!$V17="","",Sales_Daily!$V17),"")</f>
        <v/>
      </c>
      <c r="AC164" s="32">
        <f>IF($A164=1,IF(Sales_Daily!$W17="","",Sales_Daily!$W17),"")</f>
        <v/>
      </c>
      <c r="AD164" s="32">
        <f>IF($A164=1,IF(Sales_Daily!$X17="","",Sales_Daily!$X17),"")</f>
        <v/>
      </c>
      <c r="AE164" s="32">
        <f>IF($A164=1,0,"")</f>
        <v/>
      </c>
      <c r="AF164" s="32" t="inlineStr"/>
    </row>
    <row r="165">
      <c r="A165" s="32">
        <f>IF(AND(Sales_Daily!$AV17=1,N(Sales_Daily!$P17)&gt;0),1,0)</f>
        <v/>
      </c>
      <c r="B165" s="32">
        <f>IF($A165=1,$E165&amp;"/5","")</f>
        <v/>
      </c>
      <c r="C165" s="32">
        <f>IF($A165=1,"J-"&amp;Sales_Daily!$A17,"")</f>
        <v/>
      </c>
      <c r="D165" s="33">
        <f>IF($A165=1,Sales_Daily!$B17,"")</f>
        <v/>
      </c>
      <c r="E165" s="32">
        <f>IF($A165=1,IF(Sales_Daily!$A17="","",Sales_Daily!$A17),"")</f>
        <v/>
      </c>
      <c r="F165" s="32">
        <f>IF($A165=1,"SAL","")</f>
        <v/>
      </c>
      <c r="G165" s="32">
        <f>IF($A165=1,IF(Sales_Daily!$AO17="","",Sales_Daily!$AO17),"")</f>
        <v/>
      </c>
      <c r="H165" s="32">
        <f>IF($A165=1,IF(COUNTIF(COA!$A:$A,$G165)=0,"حساب غير معرف",INDEX(COA!$B:$B,MATCH($G165,COA!$A:$A,0))),"")</f>
        <v/>
      </c>
      <c r="I165" s="32">
        <f>IF($A165=1,IF(Sales_Daily!$C17="","",Sales_Daily!$C17),"")</f>
        <v/>
      </c>
      <c r="J165" s="32">
        <f>IF($A165=1,"CC10","")</f>
        <v/>
      </c>
      <c r="K165" s="32">
        <f>IF($A165=1,"-","")</f>
        <v/>
      </c>
      <c r="L165" s="32">
        <f>IF($A165=1,"مبيعات - تحصيل INSTA","")</f>
        <v/>
      </c>
      <c r="M165" s="43">
        <f>IF($A165=1,Sales_Daily!$P17,"")</f>
        <v/>
      </c>
      <c r="N165" s="43">
        <f>IF($A165=1,0,"")</f>
        <v/>
      </c>
      <c r="O165" s="32">
        <f>IF($A165=1,Sales_Daily!$S17,"")</f>
        <v/>
      </c>
      <c r="P165" s="32">
        <f>IF($A165=1,IF(Sales_Daily!$AW17="","",Sales_Daily!$AW17),"")</f>
        <v/>
      </c>
      <c r="Q165" s="32">
        <f>IF($A165=1,Sales_Daily!$AY17,"")</f>
        <v/>
      </c>
      <c r="R165" s="32">
        <f>IF($A165=1,IF(AND($Q165=1,COUNTIFS(COA!$A:$A,$G165,COA!$R:$R,1)=1),1,0),"")</f>
        <v/>
      </c>
      <c r="S165" s="43">
        <f>IF($A165=1,IF($R165=1,N($M165),0),"")</f>
        <v/>
      </c>
      <c r="T165" s="43">
        <f>IF($A165=1,IF($R165=1,N($N165),0),"")</f>
        <v/>
      </c>
      <c r="U165" s="32">
        <f>IF($A165=1,YEAR($D165)*100+MONTH($D165),"")</f>
        <v/>
      </c>
      <c r="V165" s="32">
        <f>IF($A165=1,IF(COUNTIF(COA!$A:$A,$G165)=0,0,INDEX(COA!$H:$H,MATCH($G165,COA!$A:$A,0))),"")</f>
        <v/>
      </c>
      <c r="W165" s="32">
        <f>IF($A165=1,"OPERATING","")</f>
        <v/>
      </c>
      <c r="X165" s="32">
        <f>IF($A165=1,IF($R165=1,"",IF($O165=ST_POST,IF($P165&lt;&gt;"",$P165,"حساب غير صالح أو غير نشط"),IF($O165=ST_REV,"معكوس: لا أثر على الدفاتر",IF($O165=ST_CANC,"ملغى",IF($O165=ST_APPR,"معتمد ولم يُرحَّل","مسودة"))))),"")</f>
        <v/>
      </c>
      <c r="Y165" s="32">
        <f>IF($A165=1,IF(AND($R165=1,OR(LG_Acct="",$G165=LG_Acct),OR(LG_Party="",$K165=LG_Party),OR(LG_Loc="ALL",$I165=LG_Loc),OR(LG_CC="ALL",$J165=LG_CC),$D165&gt;=LG_From,$D165&lt;=LG_To),$D165+ROW()/1000000,""),"")</f>
        <v/>
      </c>
      <c r="Z165" s="32">
        <f>IF($A165=1,IF(Sales_Daily!$T17="","",Sales_Daily!$T17),"")</f>
        <v/>
      </c>
      <c r="AA165" s="32">
        <f>IF($A165=1,IF(Sales_Daily!$U17="","",Sales_Daily!$U17),"")</f>
        <v/>
      </c>
      <c r="AB165" s="32">
        <f>IF($A165=1,IF(Sales_Daily!$V17="","",Sales_Daily!$V17),"")</f>
        <v/>
      </c>
      <c r="AC165" s="32">
        <f>IF($A165=1,IF(Sales_Daily!$W17="","",Sales_Daily!$W17),"")</f>
        <v/>
      </c>
      <c r="AD165" s="32">
        <f>IF($A165=1,IF(Sales_Daily!$X17="","",Sales_Daily!$X17),"")</f>
        <v/>
      </c>
      <c r="AE165" s="32">
        <f>IF($A165=1,0,"")</f>
        <v/>
      </c>
      <c r="AF165" s="32" t="inlineStr"/>
    </row>
    <row r="166">
      <c r="A166" s="32">
        <f>IF(AND(Sales_Daily!$AV17=1,N(Sales_Daily!$Q17)&gt;0),1,0)</f>
        <v/>
      </c>
      <c r="B166" s="32">
        <f>IF($A166=1,$E166&amp;"/6","")</f>
        <v/>
      </c>
      <c r="C166" s="32">
        <f>IF($A166=1,"J-"&amp;Sales_Daily!$A17,"")</f>
        <v/>
      </c>
      <c r="D166" s="33">
        <f>IF($A166=1,Sales_Daily!$B17,"")</f>
        <v/>
      </c>
      <c r="E166" s="32">
        <f>IF($A166=1,IF(Sales_Daily!$A17="","",Sales_Daily!$A17),"")</f>
        <v/>
      </c>
      <c r="F166" s="32">
        <f>IF($A166=1,"SAL","")</f>
        <v/>
      </c>
      <c r="G166" s="32">
        <f>IF($A166=1,IF(Sales_Daily!$AP17="","",Sales_Daily!$AP17),"")</f>
        <v/>
      </c>
      <c r="H166" s="32">
        <f>IF($A166=1,IF(COUNTIF(COA!$A:$A,$G166)=0,"حساب غير معرف",INDEX(COA!$B:$B,MATCH($G166,COA!$A:$A,0))),"")</f>
        <v/>
      </c>
      <c r="I166" s="32">
        <f>IF($A166=1,IF(Sales_Daily!$C17="","",Sales_Daily!$C17),"")</f>
        <v/>
      </c>
      <c r="J166" s="32">
        <f>IF($A166=1,"CC10","")</f>
        <v/>
      </c>
      <c r="K166" s="32">
        <f>IF($A166=1,"-","")</f>
        <v/>
      </c>
      <c r="L166" s="32">
        <f>IF($A166=1,"مبيعات - تحصيل OTH","")</f>
        <v/>
      </c>
      <c r="M166" s="43">
        <f>IF($A166=1,Sales_Daily!$Q17,"")</f>
        <v/>
      </c>
      <c r="N166" s="43">
        <f>IF($A166=1,0,"")</f>
        <v/>
      </c>
      <c r="O166" s="32">
        <f>IF($A166=1,Sales_Daily!$S17,"")</f>
        <v/>
      </c>
      <c r="P166" s="32">
        <f>IF($A166=1,IF(Sales_Daily!$AW17="","",Sales_Daily!$AW17),"")</f>
        <v/>
      </c>
      <c r="Q166" s="32">
        <f>IF($A166=1,Sales_Daily!$AY17,"")</f>
        <v/>
      </c>
      <c r="R166" s="32">
        <f>IF($A166=1,IF(AND($Q166=1,COUNTIFS(COA!$A:$A,$G166,COA!$R:$R,1)=1),1,0),"")</f>
        <v/>
      </c>
      <c r="S166" s="43">
        <f>IF($A166=1,IF($R166=1,N($M166),0),"")</f>
        <v/>
      </c>
      <c r="T166" s="43">
        <f>IF($A166=1,IF($R166=1,N($N166),0),"")</f>
        <v/>
      </c>
      <c r="U166" s="32">
        <f>IF($A166=1,YEAR($D166)*100+MONTH($D166),"")</f>
        <v/>
      </c>
      <c r="V166" s="32">
        <f>IF($A166=1,IF(COUNTIF(COA!$A:$A,$G166)=0,0,INDEX(COA!$H:$H,MATCH($G166,COA!$A:$A,0))),"")</f>
        <v/>
      </c>
      <c r="W166" s="32">
        <f>IF($A166=1,"OPERATING","")</f>
        <v/>
      </c>
      <c r="X166" s="32">
        <f>IF($A166=1,IF($R166=1,"",IF($O166=ST_POST,IF($P166&lt;&gt;"",$P166,"حساب غير صالح أو غير نشط"),IF($O166=ST_REV,"معكوس: لا أثر على الدفاتر",IF($O166=ST_CANC,"ملغى",IF($O166=ST_APPR,"معتمد ولم يُرحَّل","مسودة"))))),"")</f>
        <v/>
      </c>
      <c r="Y166" s="32">
        <f>IF($A166=1,IF(AND($R166=1,OR(LG_Acct="",$G166=LG_Acct),OR(LG_Party="",$K166=LG_Party),OR(LG_Loc="ALL",$I166=LG_Loc),OR(LG_CC="ALL",$J166=LG_CC),$D166&gt;=LG_From,$D166&lt;=LG_To),$D166+ROW()/1000000,""),"")</f>
        <v/>
      </c>
      <c r="Z166" s="32">
        <f>IF($A166=1,IF(Sales_Daily!$T17="","",Sales_Daily!$T17),"")</f>
        <v/>
      </c>
      <c r="AA166" s="32">
        <f>IF($A166=1,IF(Sales_Daily!$U17="","",Sales_Daily!$U17),"")</f>
        <v/>
      </c>
      <c r="AB166" s="32">
        <f>IF($A166=1,IF(Sales_Daily!$V17="","",Sales_Daily!$V17),"")</f>
        <v/>
      </c>
      <c r="AC166" s="32">
        <f>IF($A166=1,IF(Sales_Daily!$W17="","",Sales_Daily!$W17),"")</f>
        <v/>
      </c>
      <c r="AD166" s="32">
        <f>IF($A166=1,IF(Sales_Daily!$X17="","",Sales_Daily!$X17),"")</f>
        <v/>
      </c>
      <c r="AE166" s="32">
        <f>IF($A166=1,0,"")</f>
        <v/>
      </c>
      <c r="AF166" s="32" t="inlineStr"/>
    </row>
    <row r="167">
      <c r="A167" s="32">
        <f>IF(AND(Sales_Daily!$AV17=1,N(Sales_Daily!$AH17)&gt;0),1,0)</f>
        <v/>
      </c>
      <c r="B167" s="32">
        <f>IF($A167=1,$E167&amp;"/7","")</f>
        <v/>
      </c>
      <c r="C167" s="32">
        <f>IF($A167=1,"J-"&amp;Sales_Daily!$A17,"")</f>
        <v/>
      </c>
      <c r="D167" s="33">
        <f>IF($A167=1,Sales_Daily!$B17,"")</f>
        <v/>
      </c>
      <c r="E167" s="32">
        <f>IF($A167=1,IF(Sales_Daily!$A17="","",Sales_Daily!$A17),"")</f>
        <v/>
      </c>
      <c r="F167" s="32">
        <f>IF($A167=1,"SAL","")</f>
        <v/>
      </c>
      <c r="G167" s="32">
        <f>IF($A167=1,ACC_DISC,"")</f>
        <v/>
      </c>
      <c r="H167" s="32">
        <f>IF($A167=1,IF(COUNTIF(COA!$A:$A,$G167)=0,"حساب غير معرف",INDEX(COA!$B:$B,MATCH($G167,COA!$A:$A,0))),"")</f>
        <v/>
      </c>
      <c r="I167" s="32">
        <f>IF($A167=1,IF(Sales_Daily!$C17="","",Sales_Daily!$C17),"")</f>
        <v/>
      </c>
      <c r="J167" s="32">
        <f>IF($A167=1,"CC10","")</f>
        <v/>
      </c>
      <c r="K167" s="32">
        <f>IF($A167=1,"-","")</f>
        <v/>
      </c>
      <c r="L167" s="32">
        <f>IF($A167=1,"خصومات المبيعات والعروض","")</f>
        <v/>
      </c>
      <c r="M167" s="43">
        <f>IF($A167=1,Sales_Daily!$AH17,"")</f>
        <v/>
      </c>
      <c r="N167" s="43">
        <f>IF($A167=1,0,"")</f>
        <v/>
      </c>
      <c r="O167" s="32">
        <f>IF($A167=1,Sales_Daily!$S17,"")</f>
        <v/>
      </c>
      <c r="P167" s="32">
        <f>IF($A167=1,IF(Sales_Daily!$AW17="","",Sales_Daily!$AW17),"")</f>
        <v/>
      </c>
      <c r="Q167" s="32">
        <f>IF($A167=1,Sales_Daily!$AY17,"")</f>
        <v/>
      </c>
      <c r="R167" s="32">
        <f>IF($A167=1,IF(AND($Q167=1,COUNTIFS(COA!$A:$A,$G167,COA!$R:$R,1)=1),1,0),"")</f>
        <v/>
      </c>
      <c r="S167" s="43">
        <f>IF($A167=1,IF($R167=1,N($M167),0),"")</f>
        <v/>
      </c>
      <c r="T167" s="43">
        <f>IF($A167=1,IF($R167=1,N($N167),0),"")</f>
        <v/>
      </c>
      <c r="U167" s="32">
        <f>IF($A167=1,YEAR($D167)*100+MONTH($D167),"")</f>
        <v/>
      </c>
      <c r="V167" s="32">
        <f>IF($A167=1,IF(COUNTIF(COA!$A:$A,$G167)=0,0,INDEX(COA!$H:$H,MATCH($G167,COA!$A:$A,0))),"")</f>
        <v/>
      </c>
      <c r="W167" s="32">
        <f>IF($A167=1,"","")</f>
        <v/>
      </c>
      <c r="X167" s="32">
        <f>IF($A167=1,IF($R167=1,"",IF($O167=ST_POST,IF($P167&lt;&gt;"",$P167,"حساب غير صالح أو غير نشط"),IF($O167=ST_REV,"معكوس: لا أثر على الدفاتر",IF($O167=ST_CANC,"ملغى",IF($O167=ST_APPR,"معتمد ولم يُرحَّل","مسودة"))))),"")</f>
        <v/>
      </c>
      <c r="Y167" s="32">
        <f>IF($A167=1,IF(AND($R167=1,OR(LG_Acct="",$G167=LG_Acct),OR(LG_Party="",$K167=LG_Party),OR(LG_Loc="ALL",$I167=LG_Loc),OR(LG_CC="ALL",$J167=LG_CC),$D167&gt;=LG_From,$D167&lt;=LG_To),$D167+ROW()/1000000,""),"")</f>
        <v/>
      </c>
      <c r="Z167" s="32">
        <f>IF($A167=1,IF(Sales_Daily!$T17="","",Sales_Daily!$T17),"")</f>
        <v/>
      </c>
      <c r="AA167" s="32">
        <f>IF($A167=1,IF(Sales_Daily!$U17="","",Sales_Daily!$U17),"")</f>
        <v/>
      </c>
      <c r="AB167" s="32">
        <f>IF($A167=1,IF(Sales_Daily!$V17="","",Sales_Daily!$V17),"")</f>
        <v/>
      </c>
      <c r="AC167" s="32">
        <f>IF($A167=1,IF(Sales_Daily!$W17="","",Sales_Daily!$W17),"")</f>
        <v/>
      </c>
      <c r="AD167" s="32">
        <f>IF($A167=1,IF(Sales_Daily!$X17="","",Sales_Daily!$X17),"")</f>
        <v/>
      </c>
      <c r="AE167" s="32">
        <f>IF($A167=1,0,"")</f>
        <v/>
      </c>
      <c r="AF167" s="32" t="inlineStr"/>
    </row>
    <row r="168">
      <c r="A168" s="32">
        <f>IF(AND(Sales_Daily!$AV17=1,N(Sales_Daily!$AI17)&gt;0),1,0)</f>
        <v/>
      </c>
      <c r="B168" s="32">
        <f>IF($A168=1,$E168&amp;"/8","")</f>
        <v/>
      </c>
      <c r="C168" s="32">
        <f>IF($A168=1,"J-"&amp;Sales_Daily!$A17,"")</f>
        <v/>
      </c>
      <c r="D168" s="33">
        <f>IF($A168=1,Sales_Daily!$B17,"")</f>
        <v/>
      </c>
      <c r="E168" s="32">
        <f>IF($A168=1,IF(Sales_Daily!$A17="","",Sales_Daily!$A17),"")</f>
        <v/>
      </c>
      <c r="F168" s="32">
        <f>IF($A168=1,"SAL","")</f>
        <v/>
      </c>
      <c r="G168" s="32">
        <f>IF($A168=1,ACC_RET,"")</f>
        <v/>
      </c>
      <c r="H168" s="32">
        <f>IF($A168=1,IF(COUNTIF(COA!$A:$A,$G168)=0,"حساب غير معرف",INDEX(COA!$B:$B,MATCH($G168,COA!$A:$A,0))),"")</f>
        <v/>
      </c>
      <c r="I168" s="32">
        <f>IF($A168=1,IF(Sales_Daily!$C17="","",Sales_Daily!$C17),"")</f>
        <v/>
      </c>
      <c r="J168" s="32">
        <f>IF($A168=1,"CC10","")</f>
        <v/>
      </c>
      <c r="K168" s="32">
        <f>IF($A168=1,"-","")</f>
        <v/>
      </c>
      <c r="L168" s="32">
        <f>IF($A168=1,"مرتجعات وإلغاءات المبيعات","")</f>
        <v/>
      </c>
      <c r="M168" s="43">
        <f>IF($A168=1,Sales_Daily!$AI17,"")</f>
        <v/>
      </c>
      <c r="N168" s="43">
        <f>IF($A168=1,0,"")</f>
        <v/>
      </c>
      <c r="O168" s="32">
        <f>IF($A168=1,Sales_Daily!$S17,"")</f>
        <v/>
      </c>
      <c r="P168" s="32">
        <f>IF($A168=1,IF(Sales_Daily!$AW17="","",Sales_Daily!$AW17),"")</f>
        <v/>
      </c>
      <c r="Q168" s="32">
        <f>IF($A168=1,Sales_Daily!$AY17,"")</f>
        <v/>
      </c>
      <c r="R168" s="32">
        <f>IF($A168=1,IF(AND($Q168=1,COUNTIFS(COA!$A:$A,$G168,COA!$R:$R,1)=1),1,0),"")</f>
        <v/>
      </c>
      <c r="S168" s="43">
        <f>IF($A168=1,IF($R168=1,N($M168),0),"")</f>
        <v/>
      </c>
      <c r="T168" s="43">
        <f>IF($A168=1,IF($R168=1,N($N168),0),"")</f>
        <v/>
      </c>
      <c r="U168" s="32">
        <f>IF($A168=1,YEAR($D168)*100+MONTH($D168),"")</f>
        <v/>
      </c>
      <c r="V168" s="32">
        <f>IF($A168=1,IF(COUNTIF(COA!$A:$A,$G168)=0,0,INDEX(COA!$H:$H,MATCH($G168,COA!$A:$A,0))),"")</f>
        <v/>
      </c>
      <c r="W168" s="32">
        <f>IF($A168=1,"","")</f>
        <v/>
      </c>
      <c r="X168" s="32">
        <f>IF($A168=1,IF($R168=1,"",IF($O168=ST_POST,IF($P168&lt;&gt;"",$P168,"حساب غير صالح أو غير نشط"),IF($O168=ST_REV,"معكوس: لا أثر على الدفاتر",IF($O168=ST_CANC,"ملغى",IF($O168=ST_APPR,"معتمد ولم يُرحَّل","مسودة"))))),"")</f>
        <v/>
      </c>
      <c r="Y168" s="32">
        <f>IF($A168=1,IF(AND($R168=1,OR(LG_Acct="",$G168=LG_Acct),OR(LG_Party="",$K168=LG_Party),OR(LG_Loc="ALL",$I168=LG_Loc),OR(LG_CC="ALL",$J168=LG_CC),$D168&gt;=LG_From,$D168&lt;=LG_To),$D168+ROW()/1000000,""),"")</f>
        <v/>
      </c>
      <c r="Z168" s="32">
        <f>IF($A168=1,IF(Sales_Daily!$T17="","",Sales_Daily!$T17),"")</f>
        <v/>
      </c>
      <c r="AA168" s="32">
        <f>IF($A168=1,IF(Sales_Daily!$U17="","",Sales_Daily!$U17),"")</f>
        <v/>
      </c>
      <c r="AB168" s="32">
        <f>IF($A168=1,IF(Sales_Daily!$V17="","",Sales_Daily!$V17),"")</f>
        <v/>
      </c>
      <c r="AC168" s="32">
        <f>IF($A168=1,IF(Sales_Daily!$W17="","",Sales_Daily!$W17),"")</f>
        <v/>
      </c>
      <c r="AD168" s="32">
        <f>IF($A168=1,IF(Sales_Daily!$X17="","",Sales_Daily!$X17),"")</f>
        <v/>
      </c>
      <c r="AE168" s="32">
        <f>IF($A168=1,0,"")</f>
        <v/>
      </c>
      <c r="AF168" s="32" t="inlineStr"/>
    </row>
    <row r="169">
      <c r="A169" s="32">
        <f>IF(AND(Sales_Daily!$AV17=1,N(Sales_Daily!$AD17)&gt;0),1,0)</f>
        <v/>
      </c>
      <c r="B169" s="32">
        <f>IF($A169=1,$E169&amp;"/9","")</f>
        <v/>
      </c>
      <c r="C169" s="32">
        <f>IF($A169=1,"J-"&amp;Sales_Daily!$A17,"")</f>
        <v/>
      </c>
      <c r="D169" s="33">
        <f>IF($A169=1,Sales_Daily!$B17,"")</f>
        <v/>
      </c>
      <c r="E169" s="32">
        <f>IF($A169=1,IF(Sales_Daily!$A17="","",Sales_Daily!$A17),"")</f>
        <v/>
      </c>
      <c r="F169" s="32">
        <f>IF($A169=1,"SAL","")</f>
        <v/>
      </c>
      <c r="G169" s="32">
        <f>IF($A169=1,IF(Sales_Daily!$AQ17="","",Sales_Daily!$AQ17),"")</f>
        <v/>
      </c>
      <c r="H169" s="32">
        <f>IF($A169=1,IF(COUNTIF(COA!$A:$A,$G169)=0,"حساب غير معرف",INDEX(COA!$B:$B,MATCH($G169,COA!$A:$A,0))),"")</f>
        <v/>
      </c>
      <c r="I169" s="32">
        <f>IF($A169=1,IF(Sales_Daily!$C17="","",Sales_Daily!$C17),"")</f>
        <v/>
      </c>
      <c r="J169" s="32">
        <f>IF($A169=1,"CC10","")</f>
        <v/>
      </c>
      <c r="K169" s="32">
        <f>IF($A169=1,"-","")</f>
        <v/>
      </c>
      <c r="L169" s="32">
        <f>IF($A169=1,"إيراد مبيعات - فئة فطير","")</f>
        <v/>
      </c>
      <c r="M169" s="43">
        <f>IF($A169=1,0,"")</f>
        <v/>
      </c>
      <c r="N169" s="43">
        <f>IF($A169=1,Sales_Daily!$AD17,"")</f>
        <v/>
      </c>
      <c r="O169" s="32">
        <f>IF($A169=1,Sales_Daily!$S17,"")</f>
        <v/>
      </c>
      <c r="P169" s="32">
        <f>IF($A169=1,IF(Sales_Daily!$AW17="","",Sales_Daily!$AW17),"")</f>
        <v/>
      </c>
      <c r="Q169" s="32">
        <f>IF($A169=1,Sales_Daily!$AY17,"")</f>
        <v/>
      </c>
      <c r="R169" s="32">
        <f>IF($A169=1,IF(AND($Q169=1,COUNTIFS(COA!$A:$A,$G169,COA!$R:$R,1)=1),1,0),"")</f>
        <v/>
      </c>
      <c r="S169" s="43">
        <f>IF($A169=1,IF($R169=1,N($M169),0),"")</f>
        <v/>
      </c>
      <c r="T169" s="43">
        <f>IF($A169=1,IF($R169=1,N($N169),0),"")</f>
        <v/>
      </c>
      <c r="U169" s="32">
        <f>IF($A169=1,YEAR($D169)*100+MONTH($D169),"")</f>
        <v/>
      </c>
      <c r="V169" s="32">
        <f>IF($A169=1,IF(COUNTIF(COA!$A:$A,$G169)=0,0,INDEX(COA!$H:$H,MATCH($G169,COA!$A:$A,0))),"")</f>
        <v/>
      </c>
      <c r="W169" s="32">
        <f>IF($A169=1,"","")</f>
        <v/>
      </c>
      <c r="X169" s="32">
        <f>IF($A169=1,IF($R169=1,"",IF($O169=ST_POST,IF($P169&lt;&gt;"",$P169,"حساب غير صالح أو غير نشط"),IF($O169=ST_REV,"معكوس: لا أثر على الدفاتر",IF($O169=ST_CANC,"ملغى",IF($O169=ST_APPR,"معتمد ولم يُرحَّل","مسودة"))))),"")</f>
        <v/>
      </c>
      <c r="Y169" s="32">
        <f>IF($A169=1,IF(AND($R169=1,OR(LG_Acct="",$G169=LG_Acct),OR(LG_Party="",$K169=LG_Party),OR(LG_Loc="ALL",$I169=LG_Loc),OR(LG_CC="ALL",$J169=LG_CC),$D169&gt;=LG_From,$D169&lt;=LG_To),$D169+ROW()/1000000,""),"")</f>
        <v/>
      </c>
      <c r="Z169" s="32">
        <f>IF($A169=1,IF(Sales_Daily!$T17="","",Sales_Daily!$T17),"")</f>
        <v/>
      </c>
      <c r="AA169" s="32">
        <f>IF($A169=1,IF(Sales_Daily!$U17="","",Sales_Daily!$U17),"")</f>
        <v/>
      </c>
      <c r="AB169" s="32">
        <f>IF($A169=1,IF(Sales_Daily!$V17="","",Sales_Daily!$V17),"")</f>
        <v/>
      </c>
      <c r="AC169" s="32">
        <f>IF($A169=1,IF(Sales_Daily!$W17="","",Sales_Daily!$W17),"")</f>
        <v/>
      </c>
      <c r="AD169" s="32">
        <f>IF($A169=1,IF(Sales_Daily!$X17="","",Sales_Daily!$X17),"")</f>
        <v/>
      </c>
      <c r="AE169" s="32">
        <f>IF($A169=1,0,"")</f>
        <v/>
      </c>
      <c r="AF169" s="32" t="inlineStr"/>
    </row>
    <row r="170">
      <c r="A170" s="32">
        <f>IF(AND(Sales_Daily!$AV17=1,N(Sales_Daily!$AE17)&gt;0),1,0)</f>
        <v/>
      </c>
      <c r="B170" s="32">
        <f>IF($A170=1,$E170&amp;"/10","")</f>
        <v/>
      </c>
      <c r="C170" s="32">
        <f>IF($A170=1,"J-"&amp;Sales_Daily!$A17,"")</f>
        <v/>
      </c>
      <c r="D170" s="33">
        <f>IF($A170=1,Sales_Daily!$B17,"")</f>
        <v/>
      </c>
      <c r="E170" s="32">
        <f>IF($A170=1,IF(Sales_Daily!$A17="","",Sales_Daily!$A17),"")</f>
        <v/>
      </c>
      <c r="F170" s="32">
        <f>IF($A170=1,"SAL","")</f>
        <v/>
      </c>
      <c r="G170" s="32">
        <f>IF($A170=1,IF(Sales_Daily!$AR17="","",Sales_Daily!$AR17),"")</f>
        <v/>
      </c>
      <c r="H170" s="32">
        <f>IF($A170=1,IF(COUNTIF(COA!$A:$A,$G170)=0,"حساب غير معرف",INDEX(COA!$B:$B,MATCH($G170,COA!$A:$A,0))),"")</f>
        <v/>
      </c>
      <c r="I170" s="32">
        <f>IF($A170=1,IF(Sales_Daily!$C17="","",Sales_Daily!$C17),"")</f>
        <v/>
      </c>
      <c r="J170" s="32">
        <f>IF($A170=1,"CC10","")</f>
        <v/>
      </c>
      <c r="K170" s="32">
        <f>IF($A170=1,"-","")</f>
        <v/>
      </c>
      <c r="L170" s="32">
        <f>IF($A170=1,"إيراد مبيعات - فئة بيتزا","")</f>
        <v/>
      </c>
      <c r="M170" s="43">
        <f>IF($A170=1,0,"")</f>
        <v/>
      </c>
      <c r="N170" s="43">
        <f>IF($A170=1,Sales_Daily!$AE17,"")</f>
        <v/>
      </c>
      <c r="O170" s="32">
        <f>IF($A170=1,Sales_Daily!$S17,"")</f>
        <v/>
      </c>
      <c r="P170" s="32">
        <f>IF($A170=1,IF(Sales_Daily!$AW17="","",Sales_Daily!$AW17),"")</f>
        <v/>
      </c>
      <c r="Q170" s="32">
        <f>IF($A170=1,Sales_Daily!$AY17,"")</f>
        <v/>
      </c>
      <c r="R170" s="32">
        <f>IF($A170=1,IF(AND($Q170=1,COUNTIFS(COA!$A:$A,$G170,COA!$R:$R,1)=1),1,0),"")</f>
        <v/>
      </c>
      <c r="S170" s="43">
        <f>IF($A170=1,IF($R170=1,N($M170),0),"")</f>
        <v/>
      </c>
      <c r="T170" s="43">
        <f>IF($A170=1,IF($R170=1,N($N170),0),"")</f>
        <v/>
      </c>
      <c r="U170" s="32">
        <f>IF($A170=1,YEAR($D170)*100+MONTH($D170),"")</f>
        <v/>
      </c>
      <c r="V170" s="32">
        <f>IF($A170=1,IF(COUNTIF(COA!$A:$A,$G170)=0,0,INDEX(COA!$H:$H,MATCH($G170,COA!$A:$A,0))),"")</f>
        <v/>
      </c>
      <c r="W170" s="32">
        <f>IF($A170=1,"","")</f>
        <v/>
      </c>
      <c r="X170" s="32">
        <f>IF($A170=1,IF($R170=1,"",IF($O170=ST_POST,IF($P170&lt;&gt;"",$P170,"حساب غير صالح أو غير نشط"),IF($O170=ST_REV,"معكوس: لا أثر على الدفاتر",IF($O170=ST_CANC,"ملغى",IF($O170=ST_APPR,"معتمد ولم يُرحَّل","مسودة"))))),"")</f>
        <v/>
      </c>
      <c r="Y170" s="32">
        <f>IF($A170=1,IF(AND($R170=1,OR(LG_Acct="",$G170=LG_Acct),OR(LG_Party="",$K170=LG_Party),OR(LG_Loc="ALL",$I170=LG_Loc),OR(LG_CC="ALL",$J170=LG_CC),$D170&gt;=LG_From,$D170&lt;=LG_To),$D170+ROW()/1000000,""),"")</f>
        <v/>
      </c>
      <c r="Z170" s="32">
        <f>IF($A170=1,IF(Sales_Daily!$T17="","",Sales_Daily!$T17),"")</f>
        <v/>
      </c>
      <c r="AA170" s="32">
        <f>IF($A170=1,IF(Sales_Daily!$U17="","",Sales_Daily!$U17),"")</f>
        <v/>
      </c>
      <c r="AB170" s="32">
        <f>IF($A170=1,IF(Sales_Daily!$V17="","",Sales_Daily!$V17),"")</f>
        <v/>
      </c>
      <c r="AC170" s="32">
        <f>IF($A170=1,IF(Sales_Daily!$W17="","",Sales_Daily!$W17),"")</f>
        <v/>
      </c>
      <c r="AD170" s="32">
        <f>IF($A170=1,IF(Sales_Daily!$X17="","",Sales_Daily!$X17),"")</f>
        <v/>
      </c>
      <c r="AE170" s="32">
        <f>IF($A170=1,0,"")</f>
        <v/>
      </c>
      <c r="AF170" s="32" t="inlineStr"/>
    </row>
    <row r="171">
      <c r="A171" s="32">
        <f>IF(AND(Sales_Daily!$AV17=1,N(Sales_Daily!$AF17)&gt;0),1,0)</f>
        <v/>
      </c>
      <c r="B171" s="32">
        <f>IF($A171=1,$E171&amp;"/11","")</f>
        <v/>
      </c>
      <c r="C171" s="32">
        <f>IF($A171=1,"J-"&amp;Sales_Daily!$A17,"")</f>
        <v/>
      </c>
      <c r="D171" s="33">
        <f>IF($A171=1,Sales_Daily!$B17,"")</f>
        <v/>
      </c>
      <c r="E171" s="32">
        <f>IF($A171=1,IF(Sales_Daily!$A17="","",Sales_Daily!$A17),"")</f>
        <v/>
      </c>
      <c r="F171" s="32">
        <f>IF($A171=1,"SAL","")</f>
        <v/>
      </c>
      <c r="G171" s="32">
        <f>IF($A171=1,IF(Sales_Daily!$AS17="","",Sales_Daily!$AS17),"")</f>
        <v/>
      </c>
      <c r="H171" s="32">
        <f>IF($A171=1,IF(COUNTIF(COA!$A:$A,$G171)=0,"حساب غير معرف",INDEX(COA!$B:$B,MATCH($G171,COA!$A:$A,0))),"")</f>
        <v/>
      </c>
      <c r="I171" s="32">
        <f>IF($A171=1,IF(Sales_Daily!$C17="","",Sales_Daily!$C17),"")</f>
        <v/>
      </c>
      <c r="J171" s="32">
        <f>IF($A171=1,"CC10","")</f>
        <v/>
      </c>
      <c r="K171" s="32">
        <f>IF($A171=1,"-","")</f>
        <v/>
      </c>
      <c r="L171" s="32">
        <f>IF($A171=1,"إيراد مبيعات - فئة مكرونات","")</f>
        <v/>
      </c>
      <c r="M171" s="43">
        <f>IF($A171=1,0,"")</f>
        <v/>
      </c>
      <c r="N171" s="43">
        <f>IF($A171=1,Sales_Daily!$AF17,"")</f>
        <v/>
      </c>
      <c r="O171" s="32">
        <f>IF($A171=1,Sales_Daily!$S17,"")</f>
        <v/>
      </c>
      <c r="P171" s="32">
        <f>IF($A171=1,IF(Sales_Daily!$AW17="","",Sales_Daily!$AW17),"")</f>
        <v/>
      </c>
      <c r="Q171" s="32">
        <f>IF($A171=1,Sales_Daily!$AY17,"")</f>
        <v/>
      </c>
      <c r="R171" s="32">
        <f>IF($A171=1,IF(AND($Q171=1,COUNTIFS(COA!$A:$A,$G171,COA!$R:$R,1)=1),1,0),"")</f>
        <v/>
      </c>
      <c r="S171" s="43">
        <f>IF($A171=1,IF($R171=1,N($M171),0),"")</f>
        <v/>
      </c>
      <c r="T171" s="43">
        <f>IF($A171=1,IF($R171=1,N($N171),0),"")</f>
        <v/>
      </c>
      <c r="U171" s="32">
        <f>IF($A171=1,YEAR($D171)*100+MONTH($D171),"")</f>
        <v/>
      </c>
      <c r="V171" s="32">
        <f>IF($A171=1,IF(COUNTIF(COA!$A:$A,$G171)=0,0,INDEX(COA!$H:$H,MATCH($G171,COA!$A:$A,0))),"")</f>
        <v/>
      </c>
      <c r="W171" s="32">
        <f>IF($A171=1,"","")</f>
        <v/>
      </c>
      <c r="X171" s="32">
        <f>IF($A171=1,IF($R171=1,"",IF($O171=ST_POST,IF($P171&lt;&gt;"",$P171,"حساب غير صالح أو غير نشط"),IF($O171=ST_REV,"معكوس: لا أثر على الدفاتر",IF($O171=ST_CANC,"ملغى",IF($O171=ST_APPR,"معتمد ولم يُرحَّل","مسودة"))))),"")</f>
        <v/>
      </c>
      <c r="Y171" s="32">
        <f>IF($A171=1,IF(AND($R171=1,OR(LG_Acct="",$G171=LG_Acct),OR(LG_Party="",$K171=LG_Party),OR(LG_Loc="ALL",$I171=LG_Loc),OR(LG_CC="ALL",$J171=LG_CC),$D171&gt;=LG_From,$D171&lt;=LG_To),$D171+ROW()/1000000,""),"")</f>
        <v/>
      </c>
      <c r="Z171" s="32">
        <f>IF($A171=1,IF(Sales_Daily!$T17="","",Sales_Daily!$T17),"")</f>
        <v/>
      </c>
      <c r="AA171" s="32">
        <f>IF($A171=1,IF(Sales_Daily!$U17="","",Sales_Daily!$U17),"")</f>
        <v/>
      </c>
      <c r="AB171" s="32">
        <f>IF($A171=1,IF(Sales_Daily!$V17="","",Sales_Daily!$V17),"")</f>
        <v/>
      </c>
      <c r="AC171" s="32">
        <f>IF($A171=1,IF(Sales_Daily!$W17="","",Sales_Daily!$W17),"")</f>
        <v/>
      </c>
      <c r="AD171" s="32">
        <f>IF($A171=1,IF(Sales_Daily!$X17="","",Sales_Daily!$X17),"")</f>
        <v/>
      </c>
      <c r="AE171" s="32">
        <f>IF($A171=1,0,"")</f>
        <v/>
      </c>
      <c r="AF171" s="32" t="inlineStr"/>
    </row>
    <row r="172">
      <c r="A172" s="32">
        <f>IF(AND(Sales_Daily!$AV17=1,N(Sales_Daily!$AG17)&gt;0),1,0)</f>
        <v/>
      </c>
      <c r="B172" s="32">
        <f>IF($A172=1,$E172&amp;"/12","")</f>
        <v/>
      </c>
      <c r="C172" s="32">
        <f>IF($A172=1,"J-"&amp;Sales_Daily!$A17,"")</f>
        <v/>
      </c>
      <c r="D172" s="33">
        <f>IF($A172=1,Sales_Daily!$B17,"")</f>
        <v/>
      </c>
      <c r="E172" s="32">
        <f>IF($A172=1,IF(Sales_Daily!$A17="","",Sales_Daily!$A17),"")</f>
        <v/>
      </c>
      <c r="F172" s="32">
        <f>IF($A172=1,"SAL","")</f>
        <v/>
      </c>
      <c r="G172" s="32">
        <f>IF($A172=1,IF(Sales_Daily!$AT17="","",Sales_Daily!$AT17),"")</f>
        <v/>
      </c>
      <c r="H172" s="32">
        <f>IF($A172=1,IF(COUNTIF(COA!$A:$A,$G172)=0,"حساب غير معرف",INDEX(COA!$B:$B,MATCH($G172,COA!$A:$A,0))),"")</f>
        <v/>
      </c>
      <c r="I172" s="32">
        <f>IF($A172=1,IF(Sales_Daily!$C17="","",Sales_Daily!$C17),"")</f>
        <v/>
      </c>
      <c r="J172" s="32">
        <f>IF($A172=1,"CC10","")</f>
        <v/>
      </c>
      <c r="K172" s="32">
        <f>IF($A172=1,"-","")</f>
        <v/>
      </c>
      <c r="L172" s="32">
        <f>IF($A172=1,"إيراد مبيعات - فئة أخرى","")</f>
        <v/>
      </c>
      <c r="M172" s="43">
        <f>IF($A172=1,0,"")</f>
        <v/>
      </c>
      <c r="N172" s="43">
        <f>IF($A172=1,Sales_Daily!$AG17,"")</f>
        <v/>
      </c>
      <c r="O172" s="32">
        <f>IF($A172=1,Sales_Daily!$S17,"")</f>
        <v/>
      </c>
      <c r="P172" s="32">
        <f>IF($A172=1,IF(Sales_Daily!$AW17="","",Sales_Daily!$AW17),"")</f>
        <v/>
      </c>
      <c r="Q172" s="32">
        <f>IF($A172=1,Sales_Daily!$AY17,"")</f>
        <v/>
      </c>
      <c r="R172" s="32">
        <f>IF($A172=1,IF(AND($Q172=1,COUNTIFS(COA!$A:$A,$G172,COA!$R:$R,1)=1),1,0),"")</f>
        <v/>
      </c>
      <c r="S172" s="43">
        <f>IF($A172=1,IF($R172=1,N($M172),0),"")</f>
        <v/>
      </c>
      <c r="T172" s="43">
        <f>IF($A172=1,IF($R172=1,N($N172),0),"")</f>
        <v/>
      </c>
      <c r="U172" s="32">
        <f>IF($A172=1,YEAR($D172)*100+MONTH($D172),"")</f>
        <v/>
      </c>
      <c r="V172" s="32">
        <f>IF($A172=1,IF(COUNTIF(COA!$A:$A,$G172)=0,0,INDEX(COA!$H:$H,MATCH($G172,COA!$A:$A,0))),"")</f>
        <v/>
      </c>
      <c r="W172" s="32">
        <f>IF($A172=1,"","")</f>
        <v/>
      </c>
      <c r="X172" s="32">
        <f>IF($A172=1,IF($R172=1,"",IF($O172=ST_POST,IF($P172&lt;&gt;"",$P172,"حساب غير صالح أو غير نشط"),IF($O172=ST_REV,"معكوس: لا أثر على الدفاتر",IF($O172=ST_CANC,"ملغى",IF($O172=ST_APPR,"معتمد ولم يُرحَّل","مسودة"))))),"")</f>
        <v/>
      </c>
      <c r="Y172" s="32">
        <f>IF($A172=1,IF(AND($R172=1,OR(LG_Acct="",$G172=LG_Acct),OR(LG_Party="",$K172=LG_Party),OR(LG_Loc="ALL",$I172=LG_Loc),OR(LG_CC="ALL",$J172=LG_CC),$D172&gt;=LG_From,$D172&lt;=LG_To),$D172+ROW()/1000000,""),"")</f>
        <v/>
      </c>
      <c r="Z172" s="32">
        <f>IF($A172=1,IF(Sales_Daily!$T17="","",Sales_Daily!$T17),"")</f>
        <v/>
      </c>
      <c r="AA172" s="32">
        <f>IF($A172=1,IF(Sales_Daily!$U17="","",Sales_Daily!$U17),"")</f>
        <v/>
      </c>
      <c r="AB172" s="32">
        <f>IF($A172=1,IF(Sales_Daily!$V17="","",Sales_Daily!$V17),"")</f>
        <v/>
      </c>
      <c r="AC172" s="32">
        <f>IF($A172=1,IF(Sales_Daily!$W17="","",Sales_Daily!$W17),"")</f>
        <v/>
      </c>
      <c r="AD172" s="32">
        <f>IF($A172=1,IF(Sales_Daily!$X17="","",Sales_Daily!$X17),"")</f>
        <v/>
      </c>
      <c r="AE172" s="32">
        <f>IF($A172=1,0,"")</f>
        <v/>
      </c>
      <c r="AF172" s="32" t="inlineStr"/>
    </row>
    <row r="173">
      <c r="A173" s="32">
        <f>IF(AND(Sales_Daily!$AV17=1,N(Sales_Daily!$AJ17)&gt;0),1,0)</f>
        <v/>
      </c>
      <c r="B173" s="32">
        <f>IF($A173=1,$E173&amp;"/13","")</f>
        <v/>
      </c>
      <c r="C173" s="32">
        <f>IF($A173=1,"J-"&amp;Sales_Daily!$A17,"")</f>
        <v/>
      </c>
      <c r="D173" s="33">
        <f>IF($A173=1,Sales_Daily!$B17,"")</f>
        <v/>
      </c>
      <c r="E173" s="32">
        <f>IF($A173=1,IF(Sales_Daily!$A17="","",Sales_Daily!$A17),"")</f>
        <v/>
      </c>
      <c r="F173" s="32">
        <f>IF($A173=1,"SAL","")</f>
        <v/>
      </c>
      <c r="G173" s="32">
        <f>IF($A173=1,ACC_VAT_OUT,"")</f>
        <v/>
      </c>
      <c r="H173" s="32">
        <f>IF($A173=1,IF(COUNTIF(COA!$A:$A,$G173)=0,"حساب غير معرف",INDEX(COA!$B:$B,MATCH($G173,COA!$A:$A,0))),"")</f>
        <v/>
      </c>
      <c r="I173" s="32">
        <f>IF($A173=1,IF(Sales_Daily!$C17="","",Sales_Daily!$C17),"")</f>
        <v/>
      </c>
      <c r="J173" s="32">
        <f>IF($A173=1,"CC10","")</f>
        <v/>
      </c>
      <c r="K173" s="32">
        <f>IF($A173=1,"-","")</f>
        <v/>
      </c>
      <c r="L173" s="32">
        <f>IF($A173=1,"ضريبة القيمة المضافة - مخرجات","")</f>
        <v/>
      </c>
      <c r="M173" s="43">
        <f>IF($A173=1,0,"")</f>
        <v/>
      </c>
      <c r="N173" s="43">
        <f>IF($A173=1,Sales_Daily!$AJ17,"")</f>
        <v/>
      </c>
      <c r="O173" s="32">
        <f>IF($A173=1,Sales_Daily!$S17,"")</f>
        <v/>
      </c>
      <c r="P173" s="32">
        <f>IF($A173=1,IF(Sales_Daily!$AW17="","",Sales_Daily!$AW17),"")</f>
        <v/>
      </c>
      <c r="Q173" s="32">
        <f>IF($A173=1,Sales_Daily!$AY17,"")</f>
        <v/>
      </c>
      <c r="R173" s="32">
        <f>IF($A173=1,IF(AND($Q173=1,COUNTIFS(COA!$A:$A,$G173,COA!$R:$R,1)=1),1,0),"")</f>
        <v/>
      </c>
      <c r="S173" s="43">
        <f>IF($A173=1,IF($R173=1,N($M173),0),"")</f>
        <v/>
      </c>
      <c r="T173" s="43">
        <f>IF($A173=1,IF($R173=1,N($N173),0),"")</f>
        <v/>
      </c>
      <c r="U173" s="32">
        <f>IF($A173=1,YEAR($D173)*100+MONTH($D173),"")</f>
        <v/>
      </c>
      <c r="V173" s="32">
        <f>IF($A173=1,IF(COUNTIF(COA!$A:$A,$G173)=0,0,INDEX(COA!$H:$H,MATCH($G173,COA!$A:$A,0))),"")</f>
        <v/>
      </c>
      <c r="W173" s="32">
        <f>IF($A173=1,"","")</f>
        <v/>
      </c>
      <c r="X173" s="32">
        <f>IF($A173=1,IF($R173=1,"",IF($O173=ST_POST,IF($P173&lt;&gt;"",$P173,"حساب غير صالح أو غير نشط"),IF($O173=ST_REV,"معكوس: لا أثر على الدفاتر",IF($O173=ST_CANC,"ملغى",IF($O173=ST_APPR,"معتمد ولم يُرحَّل","مسودة"))))),"")</f>
        <v/>
      </c>
      <c r="Y173" s="32">
        <f>IF($A173=1,IF(AND($R173=1,OR(LG_Acct="",$G173=LG_Acct),OR(LG_Party="",$K173=LG_Party),OR(LG_Loc="ALL",$I173=LG_Loc),OR(LG_CC="ALL",$J173=LG_CC),$D173&gt;=LG_From,$D173&lt;=LG_To),$D173+ROW()/1000000,""),"")</f>
        <v/>
      </c>
      <c r="Z173" s="32">
        <f>IF($A173=1,IF(Sales_Daily!$T17="","",Sales_Daily!$T17),"")</f>
        <v/>
      </c>
      <c r="AA173" s="32">
        <f>IF($A173=1,IF(Sales_Daily!$U17="","",Sales_Daily!$U17),"")</f>
        <v/>
      </c>
      <c r="AB173" s="32">
        <f>IF($A173=1,IF(Sales_Daily!$V17="","",Sales_Daily!$V17),"")</f>
        <v/>
      </c>
      <c r="AC173" s="32">
        <f>IF($A173=1,IF(Sales_Daily!$W17="","",Sales_Daily!$W17),"")</f>
        <v/>
      </c>
      <c r="AD173" s="32">
        <f>IF($A173=1,IF(Sales_Daily!$X17="","",Sales_Daily!$X17),"")</f>
        <v/>
      </c>
      <c r="AE173" s="32">
        <f>IF($A173=1,0,"")</f>
        <v/>
      </c>
      <c r="AF173" s="32" t="inlineStr"/>
    </row>
    <row r="174">
      <c r="A174" s="32">
        <f>IF(AND(Sales_Daily!$AV18=1,N(Sales_Daily!$L18)&gt;0),1,0)</f>
        <v/>
      </c>
      <c r="B174" s="32">
        <f>IF($A174=1,$E174&amp;"/1","")</f>
        <v/>
      </c>
      <c r="C174" s="32">
        <f>IF($A174=1,"J-"&amp;Sales_Daily!$A18,"")</f>
        <v/>
      </c>
      <c r="D174" s="33">
        <f>IF($A174=1,Sales_Daily!$B18,"")</f>
        <v/>
      </c>
      <c r="E174" s="32">
        <f>IF($A174=1,IF(Sales_Daily!$A18="","",Sales_Daily!$A18),"")</f>
        <v/>
      </c>
      <c r="F174" s="32">
        <f>IF($A174=1,"SAL","")</f>
        <v/>
      </c>
      <c r="G174" s="32">
        <f>IF($A174=1,IF(Sales_Daily!$AK18="","",Sales_Daily!$AK18),"")</f>
        <v/>
      </c>
      <c r="H174" s="32">
        <f>IF($A174=1,IF(COUNTIF(COA!$A:$A,$G174)=0,"حساب غير معرف",INDEX(COA!$B:$B,MATCH($G174,COA!$A:$A,0))),"")</f>
        <v/>
      </c>
      <c r="I174" s="32">
        <f>IF($A174=1,IF(Sales_Daily!$C18="","",Sales_Daily!$C18),"")</f>
        <v/>
      </c>
      <c r="J174" s="32">
        <f>IF($A174=1,"CC10","")</f>
        <v/>
      </c>
      <c r="K174" s="32">
        <f>IF($A174=1,"-","")</f>
        <v/>
      </c>
      <c r="L174" s="32">
        <f>IF($A174=1,"مبيعات - تحصيل CASH","")</f>
        <v/>
      </c>
      <c r="M174" s="43">
        <f>IF($A174=1,Sales_Daily!$L18,"")</f>
        <v/>
      </c>
      <c r="N174" s="43">
        <f>IF($A174=1,0,"")</f>
        <v/>
      </c>
      <c r="O174" s="32">
        <f>IF($A174=1,Sales_Daily!$S18,"")</f>
        <v/>
      </c>
      <c r="P174" s="32">
        <f>IF($A174=1,IF(Sales_Daily!$AW18="","",Sales_Daily!$AW18),"")</f>
        <v/>
      </c>
      <c r="Q174" s="32">
        <f>IF($A174=1,Sales_Daily!$AY18,"")</f>
        <v/>
      </c>
      <c r="R174" s="32">
        <f>IF($A174=1,IF(AND($Q174=1,COUNTIFS(COA!$A:$A,$G174,COA!$R:$R,1)=1),1,0),"")</f>
        <v/>
      </c>
      <c r="S174" s="43">
        <f>IF($A174=1,IF($R174=1,N($M174),0),"")</f>
        <v/>
      </c>
      <c r="T174" s="43">
        <f>IF($A174=1,IF($R174=1,N($N174),0),"")</f>
        <v/>
      </c>
      <c r="U174" s="32">
        <f>IF($A174=1,YEAR($D174)*100+MONTH($D174),"")</f>
        <v/>
      </c>
      <c r="V174" s="32">
        <f>IF($A174=1,IF(COUNTIF(COA!$A:$A,$G174)=0,0,INDEX(COA!$H:$H,MATCH($G174,COA!$A:$A,0))),"")</f>
        <v/>
      </c>
      <c r="W174" s="32">
        <f>IF($A174=1,"OPERATING","")</f>
        <v/>
      </c>
      <c r="X174" s="32">
        <f>IF($A174=1,IF($R174=1,"",IF($O174=ST_POST,IF($P174&lt;&gt;"",$P174,"حساب غير صالح أو غير نشط"),IF($O174=ST_REV,"معكوس: لا أثر على الدفاتر",IF($O174=ST_CANC,"ملغى",IF($O174=ST_APPR,"معتمد ولم يُرحَّل","مسودة"))))),"")</f>
        <v/>
      </c>
      <c r="Y174" s="32">
        <f>IF($A174=1,IF(AND($R174=1,OR(LG_Acct="",$G174=LG_Acct),OR(LG_Party="",$K174=LG_Party),OR(LG_Loc="ALL",$I174=LG_Loc),OR(LG_CC="ALL",$J174=LG_CC),$D174&gt;=LG_From,$D174&lt;=LG_To),$D174+ROW()/1000000,""),"")</f>
        <v/>
      </c>
      <c r="Z174" s="32">
        <f>IF($A174=1,IF(Sales_Daily!$T18="","",Sales_Daily!$T18),"")</f>
        <v/>
      </c>
      <c r="AA174" s="32">
        <f>IF($A174=1,IF(Sales_Daily!$U18="","",Sales_Daily!$U18),"")</f>
        <v/>
      </c>
      <c r="AB174" s="32">
        <f>IF($A174=1,IF(Sales_Daily!$V18="","",Sales_Daily!$V18),"")</f>
        <v/>
      </c>
      <c r="AC174" s="32">
        <f>IF($A174=1,IF(Sales_Daily!$W18="","",Sales_Daily!$W18),"")</f>
        <v/>
      </c>
      <c r="AD174" s="32">
        <f>IF($A174=1,IF(Sales_Daily!$X18="","",Sales_Daily!$X18),"")</f>
        <v/>
      </c>
      <c r="AE174" s="32">
        <f>IF($A174=1,0,"")</f>
        <v/>
      </c>
      <c r="AF174" s="32" t="inlineStr"/>
    </row>
    <row r="175">
      <c r="A175" s="32">
        <f>IF(AND(Sales_Daily!$AV18=1,N(Sales_Daily!$M18)&gt;0),1,0)</f>
        <v/>
      </c>
      <c r="B175" s="32">
        <f>IF($A175=1,$E175&amp;"/2","")</f>
        <v/>
      </c>
      <c r="C175" s="32">
        <f>IF($A175=1,"J-"&amp;Sales_Daily!$A18,"")</f>
        <v/>
      </c>
      <c r="D175" s="33">
        <f>IF($A175=1,Sales_Daily!$B18,"")</f>
        <v/>
      </c>
      <c r="E175" s="32">
        <f>IF($A175=1,IF(Sales_Daily!$A18="","",Sales_Daily!$A18),"")</f>
        <v/>
      </c>
      <c r="F175" s="32">
        <f>IF($A175=1,"SAL","")</f>
        <v/>
      </c>
      <c r="G175" s="32">
        <f>IF($A175=1,IF(Sales_Daily!$AL18="","",Sales_Daily!$AL18),"")</f>
        <v/>
      </c>
      <c r="H175" s="32">
        <f>IF($A175=1,IF(COUNTIF(COA!$A:$A,$G175)=0,"حساب غير معرف",INDEX(COA!$B:$B,MATCH($G175,COA!$A:$A,0))),"")</f>
        <v/>
      </c>
      <c r="I175" s="32">
        <f>IF($A175=1,IF(Sales_Daily!$C18="","",Sales_Daily!$C18),"")</f>
        <v/>
      </c>
      <c r="J175" s="32">
        <f>IF($A175=1,"CC10","")</f>
        <v/>
      </c>
      <c r="K175" s="32">
        <f>IF($A175=1,"-","")</f>
        <v/>
      </c>
      <c r="L175" s="32">
        <f>IF($A175=1,"مبيعات - تحصيل CARD","")</f>
        <v/>
      </c>
      <c r="M175" s="43">
        <f>IF($A175=1,Sales_Daily!$M18,"")</f>
        <v/>
      </c>
      <c r="N175" s="43">
        <f>IF($A175=1,0,"")</f>
        <v/>
      </c>
      <c r="O175" s="32">
        <f>IF($A175=1,Sales_Daily!$S18,"")</f>
        <v/>
      </c>
      <c r="P175" s="32">
        <f>IF($A175=1,IF(Sales_Daily!$AW18="","",Sales_Daily!$AW18),"")</f>
        <v/>
      </c>
      <c r="Q175" s="32">
        <f>IF($A175=1,Sales_Daily!$AY18,"")</f>
        <v/>
      </c>
      <c r="R175" s="32">
        <f>IF($A175=1,IF(AND($Q175=1,COUNTIFS(COA!$A:$A,$G175,COA!$R:$R,1)=1),1,0),"")</f>
        <v/>
      </c>
      <c r="S175" s="43">
        <f>IF($A175=1,IF($R175=1,N($M175),0),"")</f>
        <v/>
      </c>
      <c r="T175" s="43">
        <f>IF($A175=1,IF($R175=1,N($N175),0),"")</f>
        <v/>
      </c>
      <c r="U175" s="32">
        <f>IF($A175=1,YEAR($D175)*100+MONTH($D175),"")</f>
        <v/>
      </c>
      <c r="V175" s="32">
        <f>IF($A175=1,IF(COUNTIF(COA!$A:$A,$G175)=0,0,INDEX(COA!$H:$H,MATCH($G175,COA!$A:$A,0))),"")</f>
        <v/>
      </c>
      <c r="W175" s="32">
        <f>IF($A175=1,"OPERATING","")</f>
        <v/>
      </c>
      <c r="X175" s="32">
        <f>IF($A175=1,IF($R175=1,"",IF($O175=ST_POST,IF($P175&lt;&gt;"",$P175,"حساب غير صالح أو غير نشط"),IF($O175=ST_REV,"معكوس: لا أثر على الدفاتر",IF($O175=ST_CANC,"ملغى",IF($O175=ST_APPR,"معتمد ولم يُرحَّل","مسودة"))))),"")</f>
        <v/>
      </c>
      <c r="Y175" s="32">
        <f>IF($A175=1,IF(AND($R175=1,OR(LG_Acct="",$G175=LG_Acct),OR(LG_Party="",$K175=LG_Party),OR(LG_Loc="ALL",$I175=LG_Loc),OR(LG_CC="ALL",$J175=LG_CC),$D175&gt;=LG_From,$D175&lt;=LG_To),$D175+ROW()/1000000,""),"")</f>
        <v/>
      </c>
      <c r="Z175" s="32">
        <f>IF($A175=1,IF(Sales_Daily!$T18="","",Sales_Daily!$T18),"")</f>
        <v/>
      </c>
      <c r="AA175" s="32">
        <f>IF($A175=1,IF(Sales_Daily!$U18="","",Sales_Daily!$U18),"")</f>
        <v/>
      </c>
      <c r="AB175" s="32">
        <f>IF($A175=1,IF(Sales_Daily!$V18="","",Sales_Daily!$V18),"")</f>
        <v/>
      </c>
      <c r="AC175" s="32">
        <f>IF($A175=1,IF(Sales_Daily!$W18="","",Sales_Daily!$W18),"")</f>
        <v/>
      </c>
      <c r="AD175" s="32">
        <f>IF($A175=1,IF(Sales_Daily!$X18="","",Sales_Daily!$X18),"")</f>
        <v/>
      </c>
      <c r="AE175" s="32">
        <f>IF($A175=1,0,"")</f>
        <v/>
      </c>
      <c r="AF175" s="32" t="inlineStr"/>
    </row>
    <row r="176">
      <c r="A176" s="32">
        <f>IF(AND(Sales_Daily!$AV18=1,N(Sales_Daily!$N18)&gt;0),1,0)</f>
        <v/>
      </c>
      <c r="B176" s="32">
        <f>IF($A176=1,$E176&amp;"/3","")</f>
        <v/>
      </c>
      <c r="C176" s="32">
        <f>IF($A176=1,"J-"&amp;Sales_Daily!$A18,"")</f>
        <v/>
      </c>
      <c r="D176" s="33">
        <f>IF($A176=1,Sales_Daily!$B18,"")</f>
        <v/>
      </c>
      <c r="E176" s="32">
        <f>IF($A176=1,IF(Sales_Daily!$A18="","",Sales_Daily!$A18),"")</f>
        <v/>
      </c>
      <c r="F176" s="32">
        <f>IF($A176=1,"SAL","")</f>
        <v/>
      </c>
      <c r="G176" s="32">
        <f>IF($A176=1,IF(Sales_Daily!$AM18="","",Sales_Daily!$AM18),"")</f>
        <v/>
      </c>
      <c r="H176" s="32">
        <f>IF($A176=1,IF(COUNTIF(COA!$A:$A,$G176)=0,"حساب غير معرف",INDEX(COA!$B:$B,MATCH($G176,COA!$A:$A,0))),"")</f>
        <v/>
      </c>
      <c r="I176" s="32">
        <f>IF($A176=1,IF(Sales_Daily!$C18="","",Sales_Daily!$C18),"")</f>
        <v/>
      </c>
      <c r="J176" s="32">
        <f>IF($A176=1,"CC10","")</f>
        <v/>
      </c>
      <c r="K176" s="32">
        <f>IF($A176=1,"-","")</f>
        <v/>
      </c>
      <c r="L176" s="32">
        <f>IF($A176=1,"مبيعات - تحصيل TLB","")</f>
        <v/>
      </c>
      <c r="M176" s="43">
        <f>IF($A176=1,Sales_Daily!$N18,"")</f>
        <v/>
      </c>
      <c r="N176" s="43">
        <f>IF($A176=1,0,"")</f>
        <v/>
      </c>
      <c r="O176" s="32">
        <f>IF($A176=1,Sales_Daily!$S18,"")</f>
        <v/>
      </c>
      <c r="P176" s="32">
        <f>IF($A176=1,IF(Sales_Daily!$AW18="","",Sales_Daily!$AW18),"")</f>
        <v/>
      </c>
      <c r="Q176" s="32">
        <f>IF($A176=1,Sales_Daily!$AY18,"")</f>
        <v/>
      </c>
      <c r="R176" s="32">
        <f>IF($A176=1,IF(AND($Q176=1,COUNTIFS(COA!$A:$A,$G176,COA!$R:$R,1)=1),1,0),"")</f>
        <v/>
      </c>
      <c r="S176" s="43">
        <f>IF($A176=1,IF($R176=1,N($M176),0),"")</f>
        <v/>
      </c>
      <c r="T176" s="43">
        <f>IF($A176=1,IF($R176=1,N($N176),0),"")</f>
        <v/>
      </c>
      <c r="U176" s="32">
        <f>IF($A176=1,YEAR($D176)*100+MONTH($D176),"")</f>
        <v/>
      </c>
      <c r="V176" s="32">
        <f>IF($A176=1,IF(COUNTIF(COA!$A:$A,$G176)=0,0,INDEX(COA!$H:$H,MATCH($G176,COA!$A:$A,0))),"")</f>
        <v/>
      </c>
      <c r="W176" s="32">
        <f>IF($A176=1,"OPERATING","")</f>
        <v/>
      </c>
      <c r="X176" s="32">
        <f>IF($A176=1,IF($R176=1,"",IF($O176=ST_POST,IF($P176&lt;&gt;"",$P176,"حساب غير صالح أو غير نشط"),IF($O176=ST_REV,"معكوس: لا أثر على الدفاتر",IF($O176=ST_CANC,"ملغى",IF($O176=ST_APPR,"معتمد ولم يُرحَّل","مسودة"))))),"")</f>
        <v/>
      </c>
      <c r="Y176" s="32">
        <f>IF($A176=1,IF(AND($R176=1,OR(LG_Acct="",$G176=LG_Acct),OR(LG_Party="",$K176=LG_Party),OR(LG_Loc="ALL",$I176=LG_Loc),OR(LG_CC="ALL",$J176=LG_CC),$D176&gt;=LG_From,$D176&lt;=LG_To),$D176+ROW()/1000000,""),"")</f>
        <v/>
      </c>
      <c r="Z176" s="32">
        <f>IF($A176=1,IF(Sales_Daily!$T18="","",Sales_Daily!$T18),"")</f>
        <v/>
      </c>
      <c r="AA176" s="32">
        <f>IF($A176=1,IF(Sales_Daily!$U18="","",Sales_Daily!$U18),"")</f>
        <v/>
      </c>
      <c r="AB176" s="32">
        <f>IF($A176=1,IF(Sales_Daily!$V18="","",Sales_Daily!$V18),"")</f>
        <v/>
      </c>
      <c r="AC176" s="32">
        <f>IF($A176=1,IF(Sales_Daily!$W18="","",Sales_Daily!$W18),"")</f>
        <v/>
      </c>
      <c r="AD176" s="32">
        <f>IF($A176=1,IF(Sales_Daily!$X18="","",Sales_Daily!$X18),"")</f>
        <v/>
      </c>
      <c r="AE176" s="32">
        <f>IF($A176=1,0,"")</f>
        <v/>
      </c>
      <c r="AF176" s="32" t="inlineStr"/>
    </row>
    <row r="177">
      <c r="A177" s="32">
        <f>IF(AND(Sales_Daily!$AV18=1,N(Sales_Daily!$O18)&gt;0),1,0)</f>
        <v/>
      </c>
      <c r="B177" s="32">
        <f>IF($A177=1,$E177&amp;"/4","")</f>
        <v/>
      </c>
      <c r="C177" s="32">
        <f>IF($A177=1,"J-"&amp;Sales_Daily!$A18,"")</f>
        <v/>
      </c>
      <c r="D177" s="33">
        <f>IF($A177=1,Sales_Daily!$B18,"")</f>
        <v/>
      </c>
      <c r="E177" s="32">
        <f>IF($A177=1,IF(Sales_Daily!$A18="","",Sales_Daily!$A18),"")</f>
        <v/>
      </c>
      <c r="F177" s="32">
        <f>IF($A177=1,"SAL","")</f>
        <v/>
      </c>
      <c r="G177" s="32">
        <f>IF($A177=1,IF(Sales_Daily!$AN18="","",Sales_Daily!$AN18),"")</f>
        <v/>
      </c>
      <c r="H177" s="32">
        <f>IF($A177=1,IF(COUNTIF(COA!$A:$A,$G177)=0,"حساب غير معرف",INDEX(COA!$B:$B,MATCH($G177,COA!$A:$A,0))),"")</f>
        <v/>
      </c>
      <c r="I177" s="32">
        <f>IF($A177=1,IF(Sales_Daily!$C18="","",Sales_Daily!$C18),"")</f>
        <v/>
      </c>
      <c r="J177" s="32">
        <f>IF($A177=1,"CC10","")</f>
        <v/>
      </c>
      <c r="K177" s="32">
        <f>IF($A177=1,"-","")</f>
        <v/>
      </c>
      <c r="L177" s="32">
        <f>IF($A177=1,"مبيعات - تحصيل DLV2","")</f>
        <v/>
      </c>
      <c r="M177" s="43">
        <f>IF($A177=1,Sales_Daily!$O18,"")</f>
        <v/>
      </c>
      <c r="N177" s="43">
        <f>IF($A177=1,0,"")</f>
        <v/>
      </c>
      <c r="O177" s="32">
        <f>IF($A177=1,Sales_Daily!$S18,"")</f>
        <v/>
      </c>
      <c r="P177" s="32">
        <f>IF($A177=1,IF(Sales_Daily!$AW18="","",Sales_Daily!$AW18),"")</f>
        <v/>
      </c>
      <c r="Q177" s="32">
        <f>IF($A177=1,Sales_Daily!$AY18,"")</f>
        <v/>
      </c>
      <c r="R177" s="32">
        <f>IF($A177=1,IF(AND($Q177=1,COUNTIFS(COA!$A:$A,$G177,COA!$R:$R,1)=1),1,0),"")</f>
        <v/>
      </c>
      <c r="S177" s="43">
        <f>IF($A177=1,IF($R177=1,N($M177),0),"")</f>
        <v/>
      </c>
      <c r="T177" s="43">
        <f>IF($A177=1,IF($R177=1,N($N177),0),"")</f>
        <v/>
      </c>
      <c r="U177" s="32">
        <f>IF($A177=1,YEAR($D177)*100+MONTH($D177),"")</f>
        <v/>
      </c>
      <c r="V177" s="32">
        <f>IF($A177=1,IF(COUNTIF(COA!$A:$A,$G177)=0,0,INDEX(COA!$H:$H,MATCH($G177,COA!$A:$A,0))),"")</f>
        <v/>
      </c>
      <c r="W177" s="32">
        <f>IF($A177=1,"OPERATING","")</f>
        <v/>
      </c>
      <c r="X177" s="32">
        <f>IF($A177=1,IF($R177=1,"",IF($O177=ST_POST,IF($P177&lt;&gt;"",$P177,"حساب غير صالح أو غير نشط"),IF($O177=ST_REV,"معكوس: لا أثر على الدفاتر",IF($O177=ST_CANC,"ملغى",IF($O177=ST_APPR,"معتمد ولم يُرحَّل","مسودة"))))),"")</f>
        <v/>
      </c>
      <c r="Y177" s="32">
        <f>IF($A177=1,IF(AND($R177=1,OR(LG_Acct="",$G177=LG_Acct),OR(LG_Party="",$K177=LG_Party),OR(LG_Loc="ALL",$I177=LG_Loc),OR(LG_CC="ALL",$J177=LG_CC),$D177&gt;=LG_From,$D177&lt;=LG_To),$D177+ROW()/1000000,""),"")</f>
        <v/>
      </c>
      <c r="Z177" s="32">
        <f>IF($A177=1,IF(Sales_Daily!$T18="","",Sales_Daily!$T18),"")</f>
        <v/>
      </c>
      <c r="AA177" s="32">
        <f>IF($A177=1,IF(Sales_Daily!$U18="","",Sales_Daily!$U18),"")</f>
        <v/>
      </c>
      <c r="AB177" s="32">
        <f>IF($A177=1,IF(Sales_Daily!$V18="","",Sales_Daily!$V18),"")</f>
        <v/>
      </c>
      <c r="AC177" s="32">
        <f>IF($A177=1,IF(Sales_Daily!$W18="","",Sales_Daily!$W18),"")</f>
        <v/>
      </c>
      <c r="AD177" s="32">
        <f>IF($A177=1,IF(Sales_Daily!$X18="","",Sales_Daily!$X18),"")</f>
        <v/>
      </c>
      <c r="AE177" s="32">
        <f>IF($A177=1,0,"")</f>
        <v/>
      </c>
      <c r="AF177" s="32" t="inlineStr"/>
    </row>
    <row r="178">
      <c r="A178" s="32">
        <f>IF(AND(Sales_Daily!$AV18=1,N(Sales_Daily!$P18)&gt;0),1,0)</f>
        <v/>
      </c>
      <c r="B178" s="32">
        <f>IF($A178=1,$E178&amp;"/5","")</f>
        <v/>
      </c>
      <c r="C178" s="32">
        <f>IF($A178=1,"J-"&amp;Sales_Daily!$A18,"")</f>
        <v/>
      </c>
      <c r="D178" s="33">
        <f>IF($A178=1,Sales_Daily!$B18,"")</f>
        <v/>
      </c>
      <c r="E178" s="32">
        <f>IF($A178=1,IF(Sales_Daily!$A18="","",Sales_Daily!$A18),"")</f>
        <v/>
      </c>
      <c r="F178" s="32">
        <f>IF($A178=1,"SAL","")</f>
        <v/>
      </c>
      <c r="G178" s="32">
        <f>IF($A178=1,IF(Sales_Daily!$AO18="","",Sales_Daily!$AO18),"")</f>
        <v/>
      </c>
      <c r="H178" s="32">
        <f>IF($A178=1,IF(COUNTIF(COA!$A:$A,$G178)=0,"حساب غير معرف",INDEX(COA!$B:$B,MATCH($G178,COA!$A:$A,0))),"")</f>
        <v/>
      </c>
      <c r="I178" s="32">
        <f>IF($A178=1,IF(Sales_Daily!$C18="","",Sales_Daily!$C18),"")</f>
        <v/>
      </c>
      <c r="J178" s="32">
        <f>IF($A178=1,"CC10","")</f>
        <v/>
      </c>
      <c r="K178" s="32">
        <f>IF($A178=1,"-","")</f>
        <v/>
      </c>
      <c r="L178" s="32">
        <f>IF($A178=1,"مبيعات - تحصيل INSTA","")</f>
        <v/>
      </c>
      <c r="M178" s="43">
        <f>IF($A178=1,Sales_Daily!$P18,"")</f>
        <v/>
      </c>
      <c r="N178" s="43">
        <f>IF($A178=1,0,"")</f>
        <v/>
      </c>
      <c r="O178" s="32">
        <f>IF($A178=1,Sales_Daily!$S18,"")</f>
        <v/>
      </c>
      <c r="P178" s="32">
        <f>IF($A178=1,IF(Sales_Daily!$AW18="","",Sales_Daily!$AW18),"")</f>
        <v/>
      </c>
      <c r="Q178" s="32">
        <f>IF($A178=1,Sales_Daily!$AY18,"")</f>
        <v/>
      </c>
      <c r="R178" s="32">
        <f>IF($A178=1,IF(AND($Q178=1,COUNTIFS(COA!$A:$A,$G178,COA!$R:$R,1)=1),1,0),"")</f>
        <v/>
      </c>
      <c r="S178" s="43">
        <f>IF($A178=1,IF($R178=1,N($M178),0),"")</f>
        <v/>
      </c>
      <c r="T178" s="43">
        <f>IF($A178=1,IF($R178=1,N($N178),0),"")</f>
        <v/>
      </c>
      <c r="U178" s="32">
        <f>IF($A178=1,YEAR($D178)*100+MONTH($D178),"")</f>
        <v/>
      </c>
      <c r="V178" s="32">
        <f>IF($A178=1,IF(COUNTIF(COA!$A:$A,$G178)=0,0,INDEX(COA!$H:$H,MATCH($G178,COA!$A:$A,0))),"")</f>
        <v/>
      </c>
      <c r="W178" s="32">
        <f>IF($A178=1,"OPERATING","")</f>
        <v/>
      </c>
      <c r="X178" s="32">
        <f>IF($A178=1,IF($R178=1,"",IF($O178=ST_POST,IF($P178&lt;&gt;"",$P178,"حساب غير صالح أو غير نشط"),IF($O178=ST_REV,"معكوس: لا أثر على الدفاتر",IF($O178=ST_CANC,"ملغى",IF($O178=ST_APPR,"معتمد ولم يُرحَّل","مسودة"))))),"")</f>
        <v/>
      </c>
      <c r="Y178" s="32">
        <f>IF($A178=1,IF(AND($R178=1,OR(LG_Acct="",$G178=LG_Acct),OR(LG_Party="",$K178=LG_Party),OR(LG_Loc="ALL",$I178=LG_Loc),OR(LG_CC="ALL",$J178=LG_CC),$D178&gt;=LG_From,$D178&lt;=LG_To),$D178+ROW()/1000000,""),"")</f>
        <v/>
      </c>
      <c r="Z178" s="32">
        <f>IF($A178=1,IF(Sales_Daily!$T18="","",Sales_Daily!$T18),"")</f>
        <v/>
      </c>
      <c r="AA178" s="32">
        <f>IF($A178=1,IF(Sales_Daily!$U18="","",Sales_Daily!$U18),"")</f>
        <v/>
      </c>
      <c r="AB178" s="32">
        <f>IF($A178=1,IF(Sales_Daily!$V18="","",Sales_Daily!$V18),"")</f>
        <v/>
      </c>
      <c r="AC178" s="32">
        <f>IF($A178=1,IF(Sales_Daily!$W18="","",Sales_Daily!$W18),"")</f>
        <v/>
      </c>
      <c r="AD178" s="32">
        <f>IF($A178=1,IF(Sales_Daily!$X18="","",Sales_Daily!$X18),"")</f>
        <v/>
      </c>
      <c r="AE178" s="32">
        <f>IF($A178=1,0,"")</f>
        <v/>
      </c>
      <c r="AF178" s="32" t="inlineStr"/>
    </row>
    <row r="179">
      <c r="A179" s="32">
        <f>IF(AND(Sales_Daily!$AV18=1,N(Sales_Daily!$Q18)&gt;0),1,0)</f>
        <v/>
      </c>
      <c r="B179" s="32">
        <f>IF($A179=1,$E179&amp;"/6","")</f>
        <v/>
      </c>
      <c r="C179" s="32">
        <f>IF($A179=1,"J-"&amp;Sales_Daily!$A18,"")</f>
        <v/>
      </c>
      <c r="D179" s="33">
        <f>IF($A179=1,Sales_Daily!$B18,"")</f>
        <v/>
      </c>
      <c r="E179" s="32">
        <f>IF($A179=1,IF(Sales_Daily!$A18="","",Sales_Daily!$A18),"")</f>
        <v/>
      </c>
      <c r="F179" s="32">
        <f>IF($A179=1,"SAL","")</f>
        <v/>
      </c>
      <c r="G179" s="32">
        <f>IF($A179=1,IF(Sales_Daily!$AP18="","",Sales_Daily!$AP18),"")</f>
        <v/>
      </c>
      <c r="H179" s="32">
        <f>IF($A179=1,IF(COUNTIF(COA!$A:$A,$G179)=0,"حساب غير معرف",INDEX(COA!$B:$B,MATCH($G179,COA!$A:$A,0))),"")</f>
        <v/>
      </c>
      <c r="I179" s="32">
        <f>IF($A179=1,IF(Sales_Daily!$C18="","",Sales_Daily!$C18),"")</f>
        <v/>
      </c>
      <c r="J179" s="32">
        <f>IF($A179=1,"CC10","")</f>
        <v/>
      </c>
      <c r="K179" s="32">
        <f>IF($A179=1,"-","")</f>
        <v/>
      </c>
      <c r="L179" s="32">
        <f>IF($A179=1,"مبيعات - تحصيل OTH","")</f>
        <v/>
      </c>
      <c r="M179" s="43">
        <f>IF($A179=1,Sales_Daily!$Q18,"")</f>
        <v/>
      </c>
      <c r="N179" s="43">
        <f>IF($A179=1,0,"")</f>
        <v/>
      </c>
      <c r="O179" s="32">
        <f>IF($A179=1,Sales_Daily!$S18,"")</f>
        <v/>
      </c>
      <c r="P179" s="32">
        <f>IF($A179=1,IF(Sales_Daily!$AW18="","",Sales_Daily!$AW18),"")</f>
        <v/>
      </c>
      <c r="Q179" s="32">
        <f>IF($A179=1,Sales_Daily!$AY18,"")</f>
        <v/>
      </c>
      <c r="R179" s="32">
        <f>IF($A179=1,IF(AND($Q179=1,COUNTIFS(COA!$A:$A,$G179,COA!$R:$R,1)=1),1,0),"")</f>
        <v/>
      </c>
      <c r="S179" s="43">
        <f>IF($A179=1,IF($R179=1,N($M179),0),"")</f>
        <v/>
      </c>
      <c r="T179" s="43">
        <f>IF($A179=1,IF($R179=1,N($N179),0),"")</f>
        <v/>
      </c>
      <c r="U179" s="32">
        <f>IF($A179=1,YEAR($D179)*100+MONTH($D179),"")</f>
        <v/>
      </c>
      <c r="V179" s="32">
        <f>IF($A179=1,IF(COUNTIF(COA!$A:$A,$G179)=0,0,INDEX(COA!$H:$H,MATCH($G179,COA!$A:$A,0))),"")</f>
        <v/>
      </c>
      <c r="W179" s="32">
        <f>IF($A179=1,"OPERATING","")</f>
        <v/>
      </c>
      <c r="X179" s="32">
        <f>IF($A179=1,IF($R179=1,"",IF($O179=ST_POST,IF($P179&lt;&gt;"",$P179,"حساب غير صالح أو غير نشط"),IF($O179=ST_REV,"معكوس: لا أثر على الدفاتر",IF($O179=ST_CANC,"ملغى",IF($O179=ST_APPR,"معتمد ولم يُرحَّل","مسودة"))))),"")</f>
        <v/>
      </c>
      <c r="Y179" s="32">
        <f>IF($A179=1,IF(AND($R179=1,OR(LG_Acct="",$G179=LG_Acct),OR(LG_Party="",$K179=LG_Party),OR(LG_Loc="ALL",$I179=LG_Loc),OR(LG_CC="ALL",$J179=LG_CC),$D179&gt;=LG_From,$D179&lt;=LG_To),$D179+ROW()/1000000,""),"")</f>
        <v/>
      </c>
      <c r="Z179" s="32">
        <f>IF($A179=1,IF(Sales_Daily!$T18="","",Sales_Daily!$T18),"")</f>
        <v/>
      </c>
      <c r="AA179" s="32">
        <f>IF($A179=1,IF(Sales_Daily!$U18="","",Sales_Daily!$U18),"")</f>
        <v/>
      </c>
      <c r="AB179" s="32">
        <f>IF($A179=1,IF(Sales_Daily!$V18="","",Sales_Daily!$V18),"")</f>
        <v/>
      </c>
      <c r="AC179" s="32">
        <f>IF($A179=1,IF(Sales_Daily!$W18="","",Sales_Daily!$W18),"")</f>
        <v/>
      </c>
      <c r="AD179" s="32">
        <f>IF($A179=1,IF(Sales_Daily!$X18="","",Sales_Daily!$X18),"")</f>
        <v/>
      </c>
      <c r="AE179" s="32">
        <f>IF($A179=1,0,"")</f>
        <v/>
      </c>
      <c r="AF179" s="32" t="inlineStr"/>
    </row>
    <row r="180">
      <c r="A180" s="32">
        <f>IF(AND(Sales_Daily!$AV18=1,N(Sales_Daily!$AH18)&gt;0),1,0)</f>
        <v/>
      </c>
      <c r="B180" s="32">
        <f>IF($A180=1,$E180&amp;"/7","")</f>
        <v/>
      </c>
      <c r="C180" s="32">
        <f>IF($A180=1,"J-"&amp;Sales_Daily!$A18,"")</f>
        <v/>
      </c>
      <c r="D180" s="33">
        <f>IF($A180=1,Sales_Daily!$B18,"")</f>
        <v/>
      </c>
      <c r="E180" s="32">
        <f>IF($A180=1,IF(Sales_Daily!$A18="","",Sales_Daily!$A18),"")</f>
        <v/>
      </c>
      <c r="F180" s="32">
        <f>IF($A180=1,"SAL","")</f>
        <v/>
      </c>
      <c r="G180" s="32">
        <f>IF($A180=1,ACC_DISC,"")</f>
        <v/>
      </c>
      <c r="H180" s="32">
        <f>IF($A180=1,IF(COUNTIF(COA!$A:$A,$G180)=0,"حساب غير معرف",INDEX(COA!$B:$B,MATCH($G180,COA!$A:$A,0))),"")</f>
        <v/>
      </c>
      <c r="I180" s="32">
        <f>IF($A180=1,IF(Sales_Daily!$C18="","",Sales_Daily!$C18),"")</f>
        <v/>
      </c>
      <c r="J180" s="32">
        <f>IF($A180=1,"CC10","")</f>
        <v/>
      </c>
      <c r="K180" s="32">
        <f>IF($A180=1,"-","")</f>
        <v/>
      </c>
      <c r="L180" s="32">
        <f>IF($A180=1,"خصومات المبيعات والعروض","")</f>
        <v/>
      </c>
      <c r="M180" s="43">
        <f>IF($A180=1,Sales_Daily!$AH18,"")</f>
        <v/>
      </c>
      <c r="N180" s="43">
        <f>IF($A180=1,0,"")</f>
        <v/>
      </c>
      <c r="O180" s="32">
        <f>IF($A180=1,Sales_Daily!$S18,"")</f>
        <v/>
      </c>
      <c r="P180" s="32">
        <f>IF($A180=1,IF(Sales_Daily!$AW18="","",Sales_Daily!$AW18),"")</f>
        <v/>
      </c>
      <c r="Q180" s="32">
        <f>IF($A180=1,Sales_Daily!$AY18,"")</f>
        <v/>
      </c>
      <c r="R180" s="32">
        <f>IF($A180=1,IF(AND($Q180=1,COUNTIFS(COA!$A:$A,$G180,COA!$R:$R,1)=1),1,0),"")</f>
        <v/>
      </c>
      <c r="S180" s="43">
        <f>IF($A180=1,IF($R180=1,N($M180),0),"")</f>
        <v/>
      </c>
      <c r="T180" s="43">
        <f>IF($A180=1,IF($R180=1,N($N180),0),"")</f>
        <v/>
      </c>
      <c r="U180" s="32">
        <f>IF($A180=1,YEAR($D180)*100+MONTH($D180),"")</f>
        <v/>
      </c>
      <c r="V180" s="32">
        <f>IF($A180=1,IF(COUNTIF(COA!$A:$A,$G180)=0,0,INDEX(COA!$H:$H,MATCH($G180,COA!$A:$A,0))),"")</f>
        <v/>
      </c>
      <c r="W180" s="32">
        <f>IF($A180=1,"","")</f>
        <v/>
      </c>
      <c r="X180" s="32">
        <f>IF($A180=1,IF($R180=1,"",IF($O180=ST_POST,IF($P180&lt;&gt;"",$P180,"حساب غير صالح أو غير نشط"),IF($O180=ST_REV,"معكوس: لا أثر على الدفاتر",IF($O180=ST_CANC,"ملغى",IF($O180=ST_APPR,"معتمد ولم يُرحَّل","مسودة"))))),"")</f>
        <v/>
      </c>
      <c r="Y180" s="32">
        <f>IF($A180=1,IF(AND($R180=1,OR(LG_Acct="",$G180=LG_Acct),OR(LG_Party="",$K180=LG_Party),OR(LG_Loc="ALL",$I180=LG_Loc),OR(LG_CC="ALL",$J180=LG_CC),$D180&gt;=LG_From,$D180&lt;=LG_To),$D180+ROW()/1000000,""),"")</f>
        <v/>
      </c>
      <c r="Z180" s="32">
        <f>IF($A180=1,IF(Sales_Daily!$T18="","",Sales_Daily!$T18),"")</f>
        <v/>
      </c>
      <c r="AA180" s="32">
        <f>IF($A180=1,IF(Sales_Daily!$U18="","",Sales_Daily!$U18),"")</f>
        <v/>
      </c>
      <c r="AB180" s="32">
        <f>IF($A180=1,IF(Sales_Daily!$V18="","",Sales_Daily!$V18),"")</f>
        <v/>
      </c>
      <c r="AC180" s="32">
        <f>IF($A180=1,IF(Sales_Daily!$W18="","",Sales_Daily!$W18),"")</f>
        <v/>
      </c>
      <c r="AD180" s="32">
        <f>IF($A180=1,IF(Sales_Daily!$X18="","",Sales_Daily!$X18),"")</f>
        <v/>
      </c>
      <c r="AE180" s="32">
        <f>IF($A180=1,0,"")</f>
        <v/>
      </c>
      <c r="AF180" s="32" t="inlineStr"/>
    </row>
    <row r="181">
      <c r="A181" s="32">
        <f>IF(AND(Sales_Daily!$AV18=1,N(Sales_Daily!$AI18)&gt;0),1,0)</f>
        <v/>
      </c>
      <c r="B181" s="32">
        <f>IF($A181=1,$E181&amp;"/8","")</f>
        <v/>
      </c>
      <c r="C181" s="32">
        <f>IF($A181=1,"J-"&amp;Sales_Daily!$A18,"")</f>
        <v/>
      </c>
      <c r="D181" s="33">
        <f>IF($A181=1,Sales_Daily!$B18,"")</f>
        <v/>
      </c>
      <c r="E181" s="32">
        <f>IF($A181=1,IF(Sales_Daily!$A18="","",Sales_Daily!$A18),"")</f>
        <v/>
      </c>
      <c r="F181" s="32">
        <f>IF($A181=1,"SAL","")</f>
        <v/>
      </c>
      <c r="G181" s="32">
        <f>IF($A181=1,ACC_RET,"")</f>
        <v/>
      </c>
      <c r="H181" s="32">
        <f>IF($A181=1,IF(COUNTIF(COA!$A:$A,$G181)=0,"حساب غير معرف",INDEX(COA!$B:$B,MATCH($G181,COA!$A:$A,0))),"")</f>
        <v/>
      </c>
      <c r="I181" s="32">
        <f>IF($A181=1,IF(Sales_Daily!$C18="","",Sales_Daily!$C18),"")</f>
        <v/>
      </c>
      <c r="J181" s="32">
        <f>IF($A181=1,"CC10","")</f>
        <v/>
      </c>
      <c r="K181" s="32">
        <f>IF($A181=1,"-","")</f>
        <v/>
      </c>
      <c r="L181" s="32">
        <f>IF($A181=1,"مرتجعات وإلغاءات المبيعات","")</f>
        <v/>
      </c>
      <c r="M181" s="43">
        <f>IF($A181=1,Sales_Daily!$AI18,"")</f>
        <v/>
      </c>
      <c r="N181" s="43">
        <f>IF($A181=1,0,"")</f>
        <v/>
      </c>
      <c r="O181" s="32">
        <f>IF($A181=1,Sales_Daily!$S18,"")</f>
        <v/>
      </c>
      <c r="P181" s="32">
        <f>IF($A181=1,IF(Sales_Daily!$AW18="","",Sales_Daily!$AW18),"")</f>
        <v/>
      </c>
      <c r="Q181" s="32">
        <f>IF($A181=1,Sales_Daily!$AY18,"")</f>
        <v/>
      </c>
      <c r="R181" s="32">
        <f>IF($A181=1,IF(AND($Q181=1,COUNTIFS(COA!$A:$A,$G181,COA!$R:$R,1)=1),1,0),"")</f>
        <v/>
      </c>
      <c r="S181" s="43">
        <f>IF($A181=1,IF($R181=1,N($M181),0),"")</f>
        <v/>
      </c>
      <c r="T181" s="43">
        <f>IF($A181=1,IF($R181=1,N($N181),0),"")</f>
        <v/>
      </c>
      <c r="U181" s="32">
        <f>IF($A181=1,YEAR($D181)*100+MONTH($D181),"")</f>
        <v/>
      </c>
      <c r="V181" s="32">
        <f>IF($A181=1,IF(COUNTIF(COA!$A:$A,$G181)=0,0,INDEX(COA!$H:$H,MATCH($G181,COA!$A:$A,0))),"")</f>
        <v/>
      </c>
      <c r="W181" s="32">
        <f>IF($A181=1,"","")</f>
        <v/>
      </c>
      <c r="X181" s="32">
        <f>IF($A181=1,IF($R181=1,"",IF($O181=ST_POST,IF($P181&lt;&gt;"",$P181,"حساب غير صالح أو غير نشط"),IF($O181=ST_REV,"معكوس: لا أثر على الدفاتر",IF($O181=ST_CANC,"ملغى",IF($O181=ST_APPR,"معتمد ولم يُرحَّل","مسودة"))))),"")</f>
        <v/>
      </c>
      <c r="Y181" s="32">
        <f>IF($A181=1,IF(AND($R181=1,OR(LG_Acct="",$G181=LG_Acct),OR(LG_Party="",$K181=LG_Party),OR(LG_Loc="ALL",$I181=LG_Loc),OR(LG_CC="ALL",$J181=LG_CC),$D181&gt;=LG_From,$D181&lt;=LG_To),$D181+ROW()/1000000,""),"")</f>
        <v/>
      </c>
      <c r="Z181" s="32">
        <f>IF($A181=1,IF(Sales_Daily!$T18="","",Sales_Daily!$T18),"")</f>
        <v/>
      </c>
      <c r="AA181" s="32">
        <f>IF($A181=1,IF(Sales_Daily!$U18="","",Sales_Daily!$U18),"")</f>
        <v/>
      </c>
      <c r="AB181" s="32">
        <f>IF($A181=1,IF(Sales_Daily!$V18="","",Sales_Daily!$V18),"")</f>
        <v/>
      </c>
      <c r="AC181" s="32">
        <f>IF($A181=1,IF(Sales_Daily!$W18="","",Sales_Daily!$W18),"")</f>
        <v/>
      </c>
      <c r="AD181" s="32">
        <f>IF($A181=1,IF(Sales_Daily!$X18="","",Sales_Daily!$X18),"")</f>
        <v/>
      </c>
      <c r="AE181" s="32">
        <f>IF($A181=1,0,"")</f>
        <v/>
      </c>
      <c r="AF181" s="32" t="inlineStr"/>
    </row>
    <row r="182">
      <c r="A182" s="32">
        <f>IF(AND(Sales_Daily!$AV18=1,N(Sales_Daily!$AD18)&gt;0),1,0)</f>
        <v/>
      </c>
      <c r="B182" s="32">
        <f>IF($A182=1,$E182&amp;"/9","")</f>
        <v/>
      </c>
      <c r="C182" s="32">
        <f>IF($A182=1,"J-"&amp;Sales_Daily!$A18,"")</f>
        <v/>
      </c>
      <c r="D182" s="33">
        <f>IF($A182=1,Sales_Daily!$B18,"")</f>
        <v/>
      </c>
      <c r="E182" s="32">
        <f>IF($A182=1,IF(Sales_Daily!$A18="","",Sales_Daily!$A18),"")</f>
        <v/>
      </c>
      <c r="F182" s="32">
        <f>IF($A182=1,"SAL","")</f>
        <v/>
      </c>
      <c r="G182" s="32">
        <f>IF($A182=1,IF(Sales_Daily!$AQ18="","",Sales_Daily!$AQ18),"")</f>
        <v/>
      </c>
      <c r="H182" s="32">
        <f>IF($A182=1,IF(COUNTIF(COA!$A:$A,$G182)=0,"حساب غير معرف",INDEX(COA!$B:$B,MATCH($G182,COA!$A:$A,0))),"")</f>
        <v/>
      </c>
      <c r="I182" s="32">
        <f>IF($A182=1,IF(Sales_Daily!$C18="","",Sales_Daily!$C18),"")</f>
        <v/>
      </c>
      <c r="J182" s="32">
        <f>IF($A182=1,"CC10","")</f>
        <v/>
      </c>
      <c r="K182" s="32">
        <f>IF($A182=1,"-","")</f>
        <v/>
      </c>
      <c r="L182" s="32">
        <f>IF($A182=1,"إيراد مبيعات - فئة فطير","")</f>
        <v/>
      </c>
      <c r="M182" s="43">
        <f>IF($A182=1,0,"")</f>
        <v/>
      </c>
      <c r="N182" s="43">
        <f>IF($A182=1,Sales_Daily!$AD18,"")</f>
        <v/>
      </c>
      <c r="O182" s="32">
        <f>IF($A182=1,Sales_Daily!$S18,"")</f>
        <v/>
      </c>
      <c r="P182" s="32">
        <f>IF($A182=1,IF(Sales_Daily!$AW18="","",Sales_Daily!$AW18),"")</f>
        <v/>
      </c>
      <c r="Q182" s="32">
        <f>IF($A182=1,Sales_Daily!$AY18,"")</f>
        <v/>
      </c>
      <c r="R182" s="32">
        <f>IF($A182=1,IF(AND($Q182=1,COUNTIFS(COA!$A:$A,$G182,COA!$R:$R,1)=1),1,0),"")</f>
        <v/>
      </c>
      <c r="S182" s="43">
        <f>IF($A182=1,IF($R182=1,N($M182),0),"")</f>
        <v/>
      </c>
      <c r="T182" s="43">
        <f>IF($A182=1,IF($R182=1,N($N182),0),"")</f>
        <v/>
      </c>
      <c r="U182" s="32">
        <f>IF($A182=1,YEAR($D182)*100+MONTH($D182),"")</f>
        <v/>
      </c>
      <c r="V182" s="32">
        <f>IF($A182=1,IF(COUNTIF(COA!$A:$A,$G182)=0,0,INDEX(COA!$H:$H,MATCH($G182,COA!$A:$A,0))),"")</f>
        <v/>
      </c>
      <c r="W182" s="32">
        <f>IF($A182=1,"","")</f>
        <v/>
      </c>
      <c r="X182" s="32">
        <f>IF($A182=1,IF($R182=1,"",IF($O182=ST_POST,IF($P182&lt;&gt;"",$P182,"حساب غير صالح أو غير نشط"),IF($O182=ST_REV,"معكوس: لا أثر على الدفاتر",IF($O182=ST_CANC,"ملغى",IF($O182=ST_APPR,"معتمد ولم يُرحَّل","مسودة"))))),"")</f>
        <v/>
      </c>
      <c r="Y182" s="32">
        <f>IF($A182=1,IF(AND($R182=1,OR(LG_Acct="",$G182=LG_Acct),OR(LG_Party="",$K182=LG_Party),OR(LG_Loc="ALL",$I182=LG_Loc),OR(LG_CC="ALL",$J182=LG_CC),$D182&gt;=LG_From,$D182&lt;=LG_To),$D182+ROW()/1000000,""),"")</f>
        <v/>
      </c>
      <c r="Z182" s="32">
        <f>IF($A182=1,IF(Sales_Daily!$T18="","",Sales_Daily!$T18),"")</f>
        <v/>
      </c>
      <c r="AA182" s="32">
        <f>IF($A182=1,IF(Sales_Daily!$U18="","",Sales_Daily!$U18),"")</f>
        <v/>
      </c>
      <c r="AB182" s="32">
        <f>IF($A182=1,IF(Sales_Daily!$V18="","",Sales_Daily!$V18),"")</f>
        <v/>
      </c>
      <c r="AC182" s="32">
        <f>IF($A182=1,IF(Sales_Daily!$W18="","",Sales_Daily!$W18),"")</f>
        <v/>
      </c>
      <c r="AD182" s="32">
        <f>IF($A182=1,IF(Sales_Daily!$X18="","",Sales_Daily!$X18),"")</f>
        <v/>
      </c>
      <c r="AE182" s="32">
        <f>IF($A182=1,0,"")</f>
        <v/>
      </c>
      <c r="AF182" s="32" t="inlineStr"/>
    </row>
    <row r="183">
      <c r="A183" s="32">
        <f>IF(AND(Sales_Daily!$AV18=1,N(Sales_Daily!$AE18)&gt;0),1,0)</f>
        <v/>
      </c>
      <c r="B183" s="32">
        <f>IF($A183=1,$E183&amp;"/10","")</f>
        <v/>
      </c>
      <c r="C183" s="32">
        <f>IF($A183=1,"J-"&amp;Sales_Daily!$A18,"")</f>
        <v/>
      </c>
      <c r="D183" s="33">
        <f>IF($A183=1,Sales_Daily!$B18,"")</f>
        <v/>
      </c>
      <c r="E183" s="32">
        <f>IF($A183=1,IF(Sales_Daily!$A18="","",Sales_Daily!$A18),"")</f>
        <v/>
      </c>
      <c r="F183" s="32">
        <f>IF($A183=1,"SAL","")</f>
        <v/>
      </c>
      <c r="G183" s="32">
        <f>IF($A183=1,IF(Sales_Daily!$AR18="","",Sales_Daily!$AR18),"")</f>
        <v/>
      </c>
      <c r="H183" s="32">
        <f>IF($A183=1,IF(COUNTIF(COA!$A:$A,$G183)=0,"حساب غير معرف",INDEX(COA!$B:$B,MATCH($G183,COA!$A:$A,0))),"")</f>
        <v/>
      </c>
      <c r="I183" s="32">
        <f>IF($A183=1,IF(Sales_Daily!$C18="","",Sales_Daily!$C18),"")</f>
        <v/>
      </c>
      <c r="J183" s="32">
        <f>IF($A183=1,"CC10","")</f>
        <v/>
      </c>
      <c r="K183" s="32">
        <f>IF($A183=1,"-","")</f>
        <v/>
      </c>
      <c r="L183" s="32">
        <f>IF($A183=1,"إيراد مبيعات - فئة بيتزا","")</f>
        <v/>
      </c>
      <c r="M183" s="43">
        <f>IF($A183=1,0,"")</f>
        <v/>
      </c>
      <c r="N183" s="43">
        <f>IF($A183=1,Sales_Daily!$AE18,"")</f>
        <v/>
      </c>
      <c r="O183" s="32">
        <f>IF($A183=1,Sales_Daily!$S18,"")</f>
        <v/>
      </c>
      <c r="P183" s="32">
        <f>IF($A183=1,IF(Sales_Daily!$AW18="","",Sales_Daily!$AW18),"")</f>
        <v/>
      </c>
      <c r="Q183" s="32">
        <f>IF($A183=1,Sales_Daily!$AY18,"")</f>
        <v/>
      </c>
      <c r="R183" s="32">
        <f>IF($A183=1,IF(AND($Q183=1,COUNTIFS(COA!$A:$A,$G183,COA!$R:$R,1)=1),1,0),"")</f>
        <v/>
      </c>
      <c r="S183" s="43">
        <f>IF($A183=1,IF($R183=1,N($M183),0),"")</f>
        <v/>
      </c>
      <c r="T183" s="43">
        <f>IF($A183=1,IF($R183=1,N($N183),0),"")</f>
        <v/>
      </c>
      <c r="U183" s="32">
        <f>IF($A183=1,YEAR($D183)*100+MONTH($D183),"")</f>
        <v/>
      </c>
      <c r="V183" s="32">
        <f>IF($A183=1,IF(COUNTIF(COA!$A:$A,$G183)=0,0,INDEX(COA!$H:$H,MATCH($G183,COA!$A:$A,0))),"")</f>
        <v/>
      </c>
      <c r="W183" s="32">
        <f>IF($A183=1,"","")</f>
        <v/>
      </c>
      <c r="X183" s="32">
        <f>IF($A183=1,IF($R183=1,"",IF($O183=ST_POST,IF($P183&lt;&gt;"",$P183,"حساب غير صالح أو غير نشط"),IF($O183=ST_REV,"معكوس: لا أثر على الدفاتر",IF($O183=ST_CANC,"ملغى",IF($O183=ST_APPR,"معتمد ولم يُرحَّل","مسودة"))))),"")</f>
        <v/>
      </c>
      <c r="Y183" s="32">
        <f>IF($A183=1,IF(AND($R183=1,OR(LG_Acct="",$G183=LG_Acct),OR(LG_Party="",$K183=LG_Party),OR(LG_Loc="ALL",$I183=LG_Loc),OR(LG_CC="ALL",$J183=LG_CC),$D183&gt;=LG_From,$D183&lt;=LG_To),$D183+ROW()/1000000,""),"")</f>
        <v/>
      </c>
      <c r="Z183" s="32">
        <f>IF($A183=1,IF(Sales_Daily!$T18="","",Sales_Daily!$T18),"")</f>
        <v/>
      </c>
      <c r="AA183" s="32">
        <f>IF($A183=1,IF(Sales_Daily!$U18="","",Sales_Daily!$U18),"")</f>
        <v/>
      </c>
      <c r="AB183" s="32">
        <f>IF($A183=1,IF(Sales_Daily!$V18="","",Sales_Daily!$V18),"")</f>
        <v/>
      </c>
      <c r="AC183" s="32">
        <f>IF($A183=1,IF(Sales_Daily!$W18="","",Sales_Daily!$W18),"")</f>
        <v/>
      </c>
      <c r="AD183" s="32">
        <f>IF($A183=1,IF(Sales_Daily!$X18="","",Sales_Daily!$X18),"")</f>
        <v/>
      </c>
      <c r="AE183" s="32">
        <f>IF($A183=1,0,"")</f>
        <v/>
      </c>
      <c r="AF183" s="32" t="inlineStr"/>
    </row>
    <row r="184">
      <c r="A184" s="32">
        <f>IF(AND(Sales_Daily!$AV18=1,N(Sales_Daily!$AF18)&gt;0),1,0)</f>
        <v/>
      </c>
      <c r="B184" s="32">
        <f>IF($A184=1,$E184&amp;"/11","")</f>
        <v/>
      </c>
      <c r="C184" s="32">
        <f>IF($A184=1,"J-"&amp;Sales_Daily!$A18,"")</f>
        <v/>
      </c>
      <c r="D184" s="33">
        <f>IF($A184=1,Sales_Daily!$B18,"")</f>
        <v/>
      </c>
      <c r="E184" s="32">
        <f>IF($A184=1,IF(Sales_Daily!$A18="","",Sales_Daily!$A18),"")</f>
        <v/>
      </c>
      <c r="F184" s="32">
        <f>IF($A184=1,"SAL","")</f>
        <v/>
      </c>
      <c r="G184" s="32">
        <f>IF($A184=1,IF(Sales_Daily!$AS18="","",Sales_Daily!$AS18),"")</f>
        <v/>
      </c>
      <c r="H184" s="32">
        <f>IF($A184=1,IF(COUNTIF(COA!$A:$A,$G184)=0,"حساب غير معرف",INDEX(COA!$B:$B,MATCH($G184,COA!$A:$A,0))),"")</f>
        <v/>
      </c>
      <c r="I184" s="32">
        <f>IF($A184=1,IF(Sales_Daily!$C18="","",Sales_Daily!$C18),"")</f>
        <v/>
      </c>
      <c r="J184" s="32">
        <f>IF($A184=1,"CC10","")</f>
        <v/>
      </c>
      <c r="K184" s="32">
        <f>IF($A184=1,"-","")</f>
        <v/>
      </c>
      <c r="L184" s="32">
        <f>IF($A184=1,"إيراد مبيعات - فئة مكرونات","")</f>
        <v/>
      </c>
      <c r="M184" s="43">
        <f>IF($A184=1,0,"")</f>
        <v/>
      </c>
      <c r="N184" s="43">
        <f>IF($A184=1,Sales_Daily!$AF18,"")</f>
        <v/>
      </c>
      <c r="O184" s="32">
        <f>IF($A184=1,Sales_Daily!$S18,"")</f>
        <v/>
      </c>
      <c r="P184" s="32">
        <f>IF($A184=1,IF(Sales_Daily!$AW18="","",Sales_Daily!$AW18),"")</f>
        <v/>
      </c>
      <c r="Q184" s="32">
        <f>IF($A184=1,Sales_Daily!$AY18,"")</f>
        <v/>
      </c>
      <c r="R184" s="32">
        <f>IF($A184=1,IF(AND($Q184=1,COUNTIFS(COA!$A:$A,$G184,COA!$R:$R,1)=1),1,0),"")</f>
        <v/>
      </c>
      <c r="S184" s="43">
        <f>IF($A184=1,IF($R184=1,N($M184),0),"")</f>
        <v/>
      </c>
      <c r="T184" s="43">
        <f>IF($A184=1,IF($R184=1,N($N184),0),"")</f>
        <v/>
      </c>
      <c r="U184" s="32">
        <f>IF($A184=1,YEAR($D184)*100+MONTH($D184),"")</f>
        <v/>
      </c>
      <c r="V184" s="32">
        <f>IF($A184=1,IF(COUNTIF(COA!$A:$A,$G184)=0,0,INDEX(COA!$H:$H,MATCH($G184,COA!$A:$A,0))),"")</f>
        <v/>
      </c>
      <c r="W184" s="32">
        <f>IF($A184=1,"","")</f>
        <v/>
      </c>
      <c r="X184" s="32">
        <f>IF($A184=1,IF($R184=1,"",IF($O184=ST_POST,IF($P184&lt;&gt;"",$P184,"حساب غير صالح أو غير نشط"),IF($O184=ST_REV,"معكوس: لا أثر على الدفاتر",IF($O184=ST_CANC,"ملغى",IF($O184=ST_APPR,"معتمد ولم يُرحَّل","مسودة"))))),"")</f>
        <v/>
      </c>
      <c r="Y184" s="32">
        <f>IF($A184=1,IF(AND($R184=1,OR(LG_Acct="",$G184=LG_Acct),OR(LG_Party="",$K184=LG_Party),OR(LG_Loc="ALL",$I184=LG_Loc),OR(LG_CC="ALL",$J184=LG_CC),$D184&gt;=LG_From,$D184&lt;=LG_To),$D184+ROW()/1000000,""),"")</f>
        <v/>
      </c>
      <c r="Z184" s="32">
        <f>IF($A184=1,IF(Sales_Daily!$T18="","",Sales_Daily!$T18),"")</f>
        <v/>
      </c>
      <c r="AA184" s="32">
        <f>IF($A184=1,IF(Sales_Daily!$U18="","",Sales_Daily!$U18),"")</f>
        <v/>
      </c>
      <c r="AB184" s="32">
        <f>IF($A184=1,IF(Sales_Daily!$V18="","",Sales_Daily!$V18),"")</f>
        <v/>
      </c>
      <c r="AC184" s="32">
        <f>IF($A184=1,IF(Sales_Daily!$W18="","",Sales_Daily!$W18),"")</f>
        <v/>
      </c>
      <c r="AD184" s="32">
        <f>IF($A184=1,IF(Sales_Daily!$X18="","",Sales_Daily!$X18),"")</f>
        <v/>
      </c>
      <c r="AE184" s="32">
        <f>IF($A184=1,0,"")</f>
        <v/>
      </c>
      <c r="AF184" s="32" t="inlineStr"/>
    </row>
    <row r="185">
      <c r="A185" s="32">
        <f>IF(AND(Sales_Daily!$AV18=1,N(Sales_Daily!$AG18)&gt;0),1,0)</f>
        <v/>
      </c>
      <c r="B185" s="32">
        <f>IF($A185=1,$E185&amp;"/12","")</f>
        <v/>
      </c>
      <c r="C185" s="32">
        <f>IF($A185=1,"J-"&amp;Sales_Daily!$A18,"")</f>
        <v/>
      </c>
      <c r="D185" s="33">
        <f>IF($A185=1,Sales_Daily!$B18,"")</f>
        <v/>
      </c>
      <c r="E185" s="32">
        <f>IF($A185=1,IF(Sales_Daily!$A18="","",Sales_Daily!$A18),"")</f>
        <v/>
      </c>
      <c r="F185" s="32">
        <f>IF($A185=1,"SAL","")</f>
        <v/>
      </c>
      <c r="G185" s="32">
        <f>IF($A185=1,IF(Sales_Daily!$AT18="","",Sales_Daily!$AT18),"")</f>
        <v/>
      </c>
      <c r="H185" s="32">
        <f>IF($A185=1,IF(COUNTIF(COA!$A:$A,$G185)=0,"حساب غير معرف",INDEX(COA!$B:$B,MATCH($G185,COA!$A:$A,0))),"")</f>
        <v/>
      </c>
      <c r="I185" s="32">
        <f>IF($A185=1,IF(Sales_Daily!$C18="","",Sales_Daily!$C18),"")</f>
        <v/>
      </c>
      <c r="J185" s="32">
        <f>IF($A185=1,"CC10","")</f>
        <v/>
      </c>
      <c r="K185" s="32">
        <f>IF($A185=1,"-","")</f>
        <v/>
      </c>
      <c r="L185" s="32">
        <f>IF($A185=1,"إيراد مبيعات - فئة أخرى","")</f>
        <v/>
      </c>
      <c r="M185" s="43">
        <f>IF($A185=1,0,"")</f>
        <v/>
      </c>
      <c r="N185" s="43">
        <f>IF($A185=1,Sales_Daily!$AG18,"")</f>
        <v/>
      </c>
      <c r="O185" s="32">
        <f>IF($A185=1,Sales_Daily!$S18,"")</f>
        <v/>
      </c>
      <c r="P185" s="32">
        <f>IF($A185=1,IF(Sales_Daily!$AW18="","",Sales_Daily!$AW18),"")</f>
        <v/>
      </c>
      <c r="Q185" s="32">
        <f>IF($A185=1,Sales_Daily!$AY18,"")</f>
        <v/>
      </c>
      <c r="R185" s="32">
        <f>IF($A185=1,IF(AND($Q185=1,COUNTIFS(COA!$A:$A,$G185,COA!$R:$R,1)=1),1,0),"")</f>
        <v/>
      </c>
      <c r="S185" s="43">
        <f>IF($A185=1,IF($R185=1,N($M185),0),"")</f>
        <v/>
      </c>
      <c r="T185" s="43">
        <f>IF($A185=1,IF($R185=1,N($N185),0),"")</f>
        <v/>
      </c>
      <c r="U185" s="32">
        <f>IF($A185=1,YEAR($D185)*100+MONTH($D185),"")</f>
        <v/>
      </c>
      <c r="V185" s="32">
        <f>IF($A185=1,IF(COUNTIF(COA!$A:$A,$G185)=0,0,INDEX(COA!$H:$H,MATCH($G185,COA!$A:$A,0))),"")</f>
        <v/>
      </c>
      <c r="W185" s="32">
        <f>IF($A185=1,"","")</f>
        <v/>
      </c>
      <c r="X185" s="32">
        <f>IF($A185=1,IF($R185=1,"",IF($O185=ST_POST,IF($P185&lt;&gt;"",$P185,"حساب غير صالح أو غير نشط"),IF($O185=ST_REV,"معكوس: لا أثر على الدفاتر",IF($O185=ST_CANC,"ملغى",IF($O185=ST_APPR,"معتمد ولم يُرحَّل","مسودة"))))),"")</f>
        <v/>
      </c>
      <c r="Y185" s="32">
        <f>IF($A185=1,IF(AND($R185=1,OR(LG_Acct="",$G185=LG_Acct),OR(LG_Party="",$K185=LG_Party),OR(LG_Loc="ALL",$I185=LG_Loc),OR(LG_CC="ALL",$J185=LG_CC),$D185&gt;=LG_From,$D185&lt;=LG_To),$D185+ROW()/1000000,""),"")</f>
        <v/>
      </c>
      <c r="Z185" s="32">
        <f>IF($A185=1,IF(Sales_Daily!$T18="","",Sales_Daily!$T18),"")</f>
        <v/>
      </c>
      <c r="AA185" s="32">
        <f>IF($A185=1,IF(Sales_Daily!$U18="","",Sales_Daily!$U18),"")</f>
        <v/>
      </c>
      <c r="AB185" s="32">
        <f>IF($A185=1,IF(Sales_Daily!$V18="","",Sales_Daily!$V18),"")</f>
        <v/>
      </c>
      <c r="AC185" s="32">
        <f>IF($A185=1,IF(Sales_Daily!$W18="","",Sales_Daily!$W18),"")</f>
        <v/>
      </c>
      <c r="AD185" s="32">
        <f>IF($A185=1,IF(Sales_Daily!$X18="","",Sales_Daily!$X18),"")</f>
        <v/>
      </c>
      <c r="AE185" s="32">
        <f>IF($A185=1,0,"")</f>
        <v/>
      </c>
      <c r="AF185" s="32" t="inlineStr"/>
    </row>
    <row r="186">
      <c r="A186" s="32">
        <f>IF(AND(Sales_Daily!$AV18=1,N(Sales_Daily!$AJ18)&gt;0),1,0)</f>
        <v/>
      </c>
      <c r="B186" s="32">
        <f>IF($A186=1,$E186&amp;"/13","")</f>
        <v/>
      </c>
      <c r="C186" s="32">
        <f>IF($A186=1,"J-"&amp;Sales_Daily!$A18,"")</f>
        <v/>
      </c>
      <c r="D186" s="33">
        <f>IF($A186=1,Sales_Daily!$B18,"")</f>
        <v/>
      </c>
      <c r="E186" s="32">
        <f>IF($A186=1,IF(Sales_Daily!$A18="","",Sales_Daily!$A18),"")</f>
        <v/>
      </c>
      <c r="F186" s="32">
        <f>IF($A186=1,"SAL","")</f>
        <v/>
      </c>
      <c r="G186" s="32">
        <f>IF($A186=1,ACC_VAT_OUT,"")</f>
        <v/>
      </c>
      <c r="H186" s="32">
        <f>IF($A186=1,IF(COUNTIF(COA!$A:$A,$G186)=0,"حساب غير معرف",INDEX(COA!$B:$B,MATCH($G186,COA!$A:$A,0))),"")</f>
        <v/>
      </c>
      <c r="I186" s="32">
        <f>IF($A186=1,IF(Sales_Daily!$C18="","",Sales_Daily!$C18),"")</f>
        <v/>
      </c>
      <c r="J186" s="32">
        <f>IF($A186=1,"CC10","")</f>
        <v/>
      </c>
      <c r="K186" s="32">
        <f>IF($A186=1,"-","")</f>
        <v/>
      </c>
      <c r="L186" s="32">
        <f>IF($A186=1,"ضريبة القيمة المضافة - مخرجات","")</f>
        <v/>
      </c>
      <c r="M186" s="43">
        <f>IF($A186=1,0,"")</f>
        <v/>
      </c>
      <c r="N186" s="43">
        <f>IF($A186=1,Sales_Daily!$AJ18,"")</f>
        <v/>
      </c>
      <c r="O186" s="32">
        <f>IF($A186=1,Sales_Daily!$S18,"")</f>
        <v/>
      </c>
      <c r="P186" s="32">
        <f>IF($A186=1,IF(Sales_Daily!$AW18="","",Sales_Daily!$AW18),"")</f>
        <v/>
      </c>
      <c r="Q186" s="32">
        <f>IF($A186=1,Sales_Daily!$AY18,"")</f>
        <v/>
      </c>
      <c r="R186" s="32">
        <f>IF($A186=1,IF(AND($Q186=1,COUNTIFS(COA!$A:$A,$G186,COA!$R:$R,1)=1),1,0),"")</f>
        <v/>
      </c>
      <c r="S186" s="43">
        <f>IF($A186=1,IF($R186=1,N($M186),0),"")</f>
        <v/>
      </c>
      <c r="T186" s="43">
        <f>IF($A186=1,IF($R186=1,N($N186),0),"")</f>
        <v/>
      </c>
      <c r="U186" s="32">
        <f>IF($A186=1,YEAR($D186)*100+MONTH($D186),"")</f>
        <v/>
      </c>
      <c r="V186" s="32">
        <f>IF($A186=1,IF(COUNTIF(COA!$A:$A,$G186)=0,0,INDEX(COA!$H:$H,MATCH($G186,COA!$A:$A,0))),"")</f>
        <v/>
      </c>
      <c r="W186" s="32">
        <f>IF($A186=1,"","")</f>
        <v/>
      </c>
      <c r="X186" s="32">
        <f>IF($A186=1,IF($R186=1,"",IF($O186=ST_POST,IF($P186&lt;&gt;"",$P186,"حساب غير صالح أو غير نشط"),IF($O186=ST_REV,"معكوس: لا أثر على الدفاتر",IF($O186=ST_CANC,"ملغى",IF($O186=ST_APPR,"معتمد ولم يُرحَّل","مسودة"))))),"")</f>
        <v/>
      </c>
      <c r="Y186" s="32">
        <f>IF($A186=1,IF(AND($R186=1,OR(LG_Acct="",$G186=LG_Acct),OR(LG_Party="",$K186=LG_Party),OR(LG_Loc="ALL",$I186=LG_Loc),OR(LG_CC="ALL",$J186=LG_CC),$D186&gt;=LG_From,$D186&lt;=LG_To),$D186+ROW()/1000000,""),"")</f>
        <v/>
      </c>
      <c r="Z186" s="32">
        <f>IF($A186=1,IF(Sales_Daily!$T18="","",Sales_Daily!$T18),"")</f>
        <v/>
      </c>
      <c r="AA186" s="32">
        <f>IF($A186=1,IF(Sales_Daily!$U18="","",Sales_Daily!$U18),"")</f>
        <v/>
      </c>
      <c r="AB186" s="32">
        <f>IF($A186=1,IF(Sales_Daily!$V18="","",Sales_Daily!$V18),"")</f>
        <v/>
      </c>
      <c r="AC186" s="32">
        <f>IF($A186=1,IF(Sales_Daily!$W18="","",Sales_Daily!$W18),"")</f>
        <v/>
      </c>
      <c r="AD186" s="32">
        <f>IF($A186=1,IF(Sales_Daily!$X18="","",Sales_Daily!$X18),"")</f>
        <v/>
      </c>
      <c r="AE186" s="32">
        <f>IF($A186=1,0,"")</f>
        <v/>
      </c>
      <c r="AF186" s="32" t="inlineStr"/>
    </row>
    <row r="187">
      <c r="A187" s="32">
        <f>IF(AND(Sales_Daily!$AV19=1,N(Sales_Daily!$L19)&gt;0),1,0)</f>
        <v/>
      </c>
      <c r="B187" s="32">
        <f>IF($A187=1,$E187&amp;"/1","")</f>
        <v/>
      </c>
      <c r="C187" s="32">
        <f>IF($A187=1,"J-"&amp;Sales_Daily!$A19,"")</f>
        <v/>
      </c>
      <c r="D187" s="33">
        <f>IF($A187=1,Sales_Daily!$B19,"")</f>
        <v/>
      </c>
      <c r="E187" s="32">
        <f>IF($A187=1,IF(Sales_Daily!$A19="","",Sales_Daily!$A19),"")</f>
        <v/>
      </c>
      <c r="F187" s="32">
        <f>IF($A187=1,"SAL","")</f>
        <v/>
      </c>
      <c r="G187" s="32">
        <f>IF($A187=1,IF(Sales_Daily!$AK19="","",Sales_Daily!$AK19),"")</f>
        <v/>
      </c>
      <c r="H187" s="32">
        <f>IF($A187=1,IF(COUNTIF(COA!$A:$A,$G187)=0,"حساب غير معرف",INDEX(COA!$B:$B,MATCH($G187,COA!$A:$A,0))),"")</f>
        <v/>
      </c>
      <c r="I187" s="32">
        <f>IF($A187=1,IF(Sales_Daily!$C19="","",Sales_Daily!$C19),"")</f>
        <v/>
      </c>
      <c r="J187" s="32">
        <f>IF($A187=1,"CC10","")</f>
        <v/>
      </c>
      <c r="K187" s="32">
        <f>IF($A187=1,"-","")</f>
        <v/>
      </c>
      <c r="L187" s="32">
        <f>IF($A187=1,"مبيعات - تحصيل CASH","")</f>
        <v/>
      </c>
      <c r="M187" s="43">
        <f>IF($A187=1,Sales_Daily!$L19,"")</f>
        <v/>
      </c>
      <c r="N187" s="43">
        <f>IF($A187=1,0,"")</f>
        <v/>
      </c>
      <c r="O187" s="32">
        <f>IF($A187=1,Sales_Daily!$S19,"")</f>
        <v/>
      </c>
      <c r="P187" s="32">
        <f>IF($A187=1,IF(Sales_Daily!$AW19="","",Sales_Daily!$AW19),"")</f>
        <v/>
      </c>
      <c r="Q187" s="32">
        <f>IF($A187=1,Sales_Daily!$AY19,"")</f>
        <v/>
      </c>
      <c r="R187" s="32">
        <f>IF($A187=1,IF(AND($Q187=1,COUNTIFS(COA!$A:$A,$G187,COA!$R:$R,1)=1),1,0),"")</f>
        <v/>
      </c>
      <c r="S187" s="43">
        <f>IF($A187=1,IF($R187=1,N($M187),0),"")</f>
        <v/>
      </c>
      <c r="T187" s="43">
        <f>IF($A187=1,IF($R187=1,N($N187),0),"")</f>
        <v/>
      </c>
      <c r="U187" s="32">
        <f>IF($A187=1,YEAR($D187)*100+MONTH($D187),"")</f>
        <v/>
      </c>
      <c r="V187" s="32">
        <f>IF($A187=1,IF(COUNTIF(COA!$A:$A,$G187)=0,0,INDEX(COA!$H:$H,MATCH($G187,COA!$A:$A,0))),"")</f>
        <v/>
      </c>
      <c r="W187" s="32">
        <f>IF($A187=1,"OPERATING","")</f>
        <v/>
      </c>
      <c r="X187" s="32">
        <f>IF($A187=1,IF($R187=1,"",IF($O187=ST_POST,IF($P187&lt;&gt;"",$P187,"حساب غير صالح أو غير نشط"),IF($O187=ST_REV,"معكوس: لا أثر على الدفاتر",IF($O187=ST_CANC,"ملغى",IF($O187=ST_APPR,"معتمد ولم يُرحَّل","مسودة"))))),"")</f>
        <v/>
      </c>
      <c r="Y187" s="32">
        <f>IF($A187=1,IF(AND($R187=1,OR(LG_Acct="",$G187=LG_Acct),OR(LG_Party="",$K187=LG_Party),OR(LG_Loc="ALL",$I187=LG_Loc),OR(LG_CC="ALL",$J187=LG_CC),$D187&gt;=LG_From,$D187&lt;=LG_To),$D187+ROW()/1000000,""),"")</f>
        <v/>
      </c>
      <c r="Z187" s="32">
        <f>IF($A187=1,IF(Sales_Daily!$T19="","",Sales_Daily!$T19),"")</f>
        <v/>
      </c>
      <c r="AA187" s="32">
        <f>IF($A187=1,IF(Sales_Daily!$U19="","",Sales_Daily!$U19),"")</f>
        <v/>
      </c>
      <c r="AB187" s="32">
        <f>IF($A187=1,IF(Sales_Daily!$V19="","",Sales_Daily!$V19),"")</f>
        <v/>
      </c>
      <c r="AC187" s="32">
        <f>IF($A187=1,IF(Sales_Daily!$W19="","",Sales_Daily!$W19),"")</f>
        <v/>
      </c>
      <c r="AD187" s="32">
        <f>IF($A187=1,IF(Sales_Daily!$X19="","",Sales_Daily!$X19),"")</f>
        <v/>
      </c>
      <c r="AE187" s="32">
        <f>IF($A187=1,0,"")</f>
        <v/>
      </c>
      <c r="AF187" s="32" t="inlineStr"/>
    </row>
    <row r="188">
      <c r="A188" s="32">
        <f>IF(AND(Sales_Daily!$AV19=1,N(Sales_Daily!$M19)&gt;0),1,0)</f>
        <v/>
      </c>
      <c r="B188" s="32">
        <f>IF($A188=1,$E188&amp;"/2","")</f>
        <v/>
      </c>
      <c r="C188" s="32">
        <f>IF($A188=1,"J-"&amp;Sales_Daily!$A19,"")</f>
        <v/>
      </c>
      <c r="D188" s="33">
        <f>IF($A188=1,Sales_Daily!$B19,"")</f>
        <v/>
      </c>
      <c r="E188" s="32">
        <f>IF($A188=1,IF(Sales_Daily!$A19="","",Sales_Daily!$A19),"")</f>
        <v/>
      </c>
      <c r="F188" s="32">
        <f>IF($A188=1,"SAL","")</f>
        <v/>
      </c>
      <c r="G188" s="32">
        <f>IF($A188=1,IF(Sales_Daily!$AL19="","",Sales_Daily!$AL19),"")</f>
        <v/>
      </c>
      <c r="H188" s="32">
        <f>IF($A188=1,IF(COUNTIF(COA!$A:$A,$G188)=0,"حساب غير معرف",INDEX(COA!$B:$B,MATCH($G188,COA!$A:$A,0))),"")</f>
        <v/>
      </c>
      <c r="I188" s="32">
        <f>IF($A188=1,IF(Sales_Daily!$C19="","",Sales_Daily!$C19),"")</f>
        <v/>
      </c>
      <c r="J188" s="32">
        <f>IF($A188=1,"CC10","")</f>
        <v/>
      </c>
      <c r="K188" s="32">
        <f>IF($A188=1,"-","")</f>
        <v/>
      </c>
      <c r="L188" s="32">
        <f>IF($A188=1,"مبيعات - تحصيل CARD","")</f>
        <v/>
      </c>
      <c r="M188" s="43">
        <f>IF($A188=1,Sales_Daily!$M19,"")</f>
        <v/>
      </c>
      <c r="N188" s="43">
        <f>IF($A188=1,0,"")</f>
        <v/>
      </c>
      <c r="O188" s="32">
        <f>IF($A188=1,Sales_Daily!$S19,"")</f>
        <v/>
      </c>
      <c r="P188" s="32">
        <f>IF($A188=1,IF(Sales_Daily!$AW19="","",Sales_Daily!$AW19),"")</f>
        <v/>
      </c>
      <c r="Q188" s="32">
        <f>IF($A188=1,Sales_Daily!$AY19,"")</f>
        <v/>
      </c>
      <c r="R188" s="32">
        <f>IF($A188=1,IF(AND($Q188=1,COUNTIFS(COA!$A:$A,$G188,COA!$R:$R,1)=1),1,0),"")</f>
        <v/>
      </c>
      <c r="S188" s="43">
        <f>IF($A188=1,IF($R188=1,N($M188),0),"")</f>
        <v/>
      </c>
      <c r="T188" s="43">
        <f>IF($A188=1,IF($R188=1,N($N188),0),"")</f>
        <v/>
      </c>
      <c r="U188" s="32">
        <f>IF($A188=1,YEAR($D188)*100+MONTH($D188),"")</f>
        <v/>
      </c>
      <c r="V188" s="32">
        <f>IF($A188=1,IF(COUNTIF(COA!$A:$A,$G188)=0,0,INDEX(COA!$H:$H,MATCH($G188,COA!$A:$A,0))),"")</f>
        <v/>
      </c>
      <c r="W188" s="32">
        <f>IF($A188=1,"OPERATING","")</f>
        <v/>
      </c>
      <c r="X188" s="32">
        <f>IF($A188=1,IF($R188=1,"",IF($O188=ST_POST,IF($P188&lt;&gt;"",$P188,"حساب غير صالح أو غير نشط"),IF($O188=ST_REV,"معكوس: لا أثر على الدفاتر",IF($O188=ST_CANC,"ملغى",IF($O188=ST_APPR,"معتمد ولم يُرحَّل","مسودة"))))),"")</f>
        <v/>
      </c>
      <c r="Y188" s="32">
        <f>IF($A188=1,IF(AND($R188=1,OR(LG_Acct="",$G188=LG_Acct),OR(LG_Party="",$K188=LG_Party),OR(LG_Loc="ALL",$I188=LG_Loc),OR(LG_CC="ALL",$J188=LG_CC),$D188&gt;=LG_From,$D188&lt;=LG_To),$D188+ROW()/1000000,""),"")</f>
        <v/>
      </c>
      <c r="Z188" s="32">
        <f>IF($A188=1,IF(Sales_Daily!$T19="","",Sales_Daily!$T19),"")</f>
        <v/>
      </c>
      <c r="AA188" s="32">
        <f>IF($A188=1,IF(Sales_Daily!$U19="","",Sales_Daily!$U19),"")</f>
        <v/>
      </c>
      <c r="AB188" s="32">
        <f>IF($A188=1,IF(Sales_Daily!$V19="","",Sales_Daily!$V19),"")</f>
        <v/>
      </c>
      <c r="AC188" s="32">
        <f>IF($A188=1,IF(Sales_Daily!$W19="","",Sales_Daily!$W19),"")</f>
        <v/>
      </c>
      <c r="AD188" s="32">
        <f>IF($A188=1,IF(Sales_Daily!$X19="","",Sales_Daily!$X19),"")</f>
        <v/>
      </c>
      <c r="AE188" s="32">
        <f>IF($A188=1,0,"")</f>
        <v/>
      </c>
      <c r="AF188" s="32" t="inlineStr"/>
    </row>
    <row r="189">
      <c r="A189" s="32">
        <f>IF(AND(Sales_Daily!$AV19=1,N(Sales_Daily!$N19)&gt;0),1,0)</f>
        <v/>
      </c>
      <c r="B189" s="32">
        <f>IF($A189=1,$E189&amp;"/3","")</f>
        <v/>
      </c>
      <c r="C189" s="32">
        <f>IF($A189=1,"J-"&amp;Sales_Daily!$A19,"")</f>
        <v/>
      </c>
      <c r="D189" s="33">
        <f>IF($A189=1,Sales_Daily!$B19,"")</f>
        <v/>
      </c>
      <c r="E189" s="32">
        <f>IF($A189=1,IF(Sales_Daily!$A19="","",Sales_Daily!$A19),"")</f>
        <v/>
      </c>
      <c r="F189" s="32">
        <f>IF($A189=1,"SAL","")</f>
        <v/>
      </c>
      <c r="G189" s="32">
        <f>IF($A189=1,IF(Sales_Daily!$AM19="","",Sales_Daily!$AM19),"")</f>
        <v/>
      </c>
      <c r="H189" s="32">
        <f>IF($A189=1,IF(COUNTIF(COA!$A:$A,$G189)=0,"حساب غير معرف",INDEX(COA!$B:$B,MATCH($G189,COA!$A:$A,0))),"")</f>
        <v/>
      </c>
      <c r="I189" s="32">
        <f>IF($A189=1,IF(Sales_Daily!$C19="","",Sales_Daily!$C19),"")</f>
        <v/>
      </c>
      <c r="J189" s="32">
        <f>IF($A189=1,"CC10","")</f>
        <v/>
      </c>
      <c r="K189" s="32">
        <f>IF($A189=1,"-","")</f>
        <v/>
      </c>
      <c r="L189" s="32">
        <f>IF($A189=1,"مبيعات - تحصيل TLB","")</f>
        <v/>
      </c>
      <c r="M189" s="43">
        <f>IF($A189=1,Sales_Daily!$N19,"")</f>
        <v/>
      </c>
      <c r="N189" s="43">
        <f>IF($A189=1,0,"")</f>
        <v/>
      </c>
      <c r="O189" s="32">
        <f>IF($A189=1,Sales_Daily!$S19,"")</f>
        <v/>
      </c>
      <c r="P189" s="32">
        <f>IF($A189=1,IF(Sales_Daily!$AW19="","",Sales_Daily!$AW19),"")</f>
        <v/>
      </c>
      <c r="Q189" s="32">
        <f>IF($A189=1,Sales_Daily!$AY19,"")</f>
        <v/>
      </c>
      <c r="R189" s="32">
        <f>IF($A189=1,IF(AND($Q189=1,COUNTIFS(COA!$A:$A,$G189,COA!$R:$R,1)=1),1,0),"")</f>
        <v/>
      </c>
      <c r="S189" s="43">
        <f>IF($A189=1,IF($R189=1,N($M189),0),"")</f>
        <v/>
      </c>
      <c r="T189" s="43">
        <f>IF($A189=1,IF($R189=1,N($N189),0),"")</f>
        <v/>
      </c>
      <c r="U189" s="32">
        <f>IF($A189=1,YEAR($D189)*100+MONTH($D189),"")</f>
        <v/>
      </c>
      <c r="V189" s="32">
        <f>IF($A189=1,IF(COUNTIF(COA!$A:$A,$G189)=0,0,INDEX(COA!$H:$H,MATCH($G189,COA!$A:$A,0))),"")</f>
        <v/>
      </c>
      <c r="W189" s="32">
        <f>IF($A189=1,"OPERATING","")</f>
        <v/>
      </c>
      <c r="X189" s="32">
        <f>IF($A189=1,IF($R189=1,"",IF($O189=ST_POST,IF($P189&lt;&gt;"",$P189,"حساب غير صالح أو غير نشط"),IF($O189=ST_REV,"معكوس: لا أثر على الدفاتر",IF($O189=ST_CANC,"ملغى",IF($O189=ST_APPR,"معتمد ولم يُرحَّل","مسودة"))))),"")</f>
        <v/>
      </c>
      <c r="Y189" s="32">
        <f>IF($A189=1,IF(AND($R189=1,OR(LG_Acct="",$G189=LG_Acct),OR(LG_Party="",$K189=LG_Party),OR(LG_Loc="ALL",$I189=LG_Loc),OR(LG_CC="ALL",$J189=LG_CC),$D189&gt;=LG_From,$D189&lt;=LG_To),$D189+ROW()/1000000,""),"")</f>
        <v/>
      </c>
      <c r="Z189" s="32">
        <f>IF($A189=1,IF(Sales_Daily!$T19="","",Sales_Daily!$T19),"")</f>
        <v/>
      </c>
      <c r="AA189" s="32">
        <f>IF($A189=1,IF(Sales_Daily!$U19="","",Sales_Daily!$U19),"")</f>
        <v/>
      </c>
      <c r="AB189" s="32">
        <f>IF($A189=1,IF(Sales_Daily!$V19="","",Sales_Daily!$V19),"")</f>
        <v/>
      </c>
      <c r="AC189" s="32">
        <f>IF($A189=1,IF(Sales_Daily!$W19="","",Sales_Daily!$W19),"")</f>
        <v/>
      </c>
      <c r="AD189" s="32">
        <f>IF($A189=1,IF(Sales_Daily!$X19="","",Sales_Daily!$X19),"")</f>
        <v/>
      </c>
      <c r="AE189" s="32">
        <f>IF($A189=1,0,"")</f>
        <v/>
      </c>
      <c r="AF189" s="32" t="inlineStr"/>
    </row>
    <row r="190">
      <c r="A190" s="32">
        <f>IF(AND(Sales_Daily!$AV19=1,N(Sales_Daily!$O19)&gt;0),1,0)</f>
        <v/>
      </c>
      <c r="B190" s="32">
        <f>IF($A190=1,$E190&amp;"/4","")</f>
        <v/>
      </c>
      <c r="C190" s="32">
        <f>IF($A190=1,"J-"&amp;Sales_Daily!$A19,"")</f>
        <v/>
      </c>
      <c r="D190" s="33">
        <f>IF($A190=1,Sales_Daily!$B19,"")</f>
        <v/>
      </c>
      <c r="E190" s="32">
        <f>IF($A190=1,IF(Sales_Daily!$A19="","",Sales_Daily!$A19),"")</f>
        <v/>
      </c>
      <c r="F190" s="32">
        <f>IF($A190=1,"SAL","")</f>
        <v/>
      </c>
      <c r="G190" s="32">
        <f>IF($A190=1,IF(Sales_Daily!$AN19="","",Sales_Daily!$AN19),"")</f>
        <v/>
      </c>
      <c r="H190" s="32">
        <f>IF($A190=1,IF(COUNTIF(COA!$A:$A,$G190)=0,"حساب غير معرف",INDEX(COA!$B:$B,MATCH($G190,COA!$A:$A,0))),"")</f>
        <v/>
      </c>
      <c r="I190" s="32">
        <f>IF($A190=1,IF(Sales_Daily!$C19="","",Sales_Daily!$C19),"")</f>
        <v/>
      </c>
      <c r="J190" s="32">
        <f>IF($A190=1,"CC10","")</f>
        <v/>
      </c>
      <c r="K190" s="32">
        <f>IF($A190=1,"-","")</f>
        <v/>
      </c>
      <c r="L190" s="32">
        <f>IF($A190=1,"مبيعات - تحصيل DLV2","")</f>
        <v/>
      </c>
      <c r="M190" s="43">
        <f>IF($A190=1,Sales_Daily!$O19,"")</f>
        <v/>
      </c>
      <c r="N190" s="43">
        <f>IF($A190=1,0,"")</f>
        <v/>
      </c>
      <c r="O190" s="32">
        <f>IF($A190=1,Sales_Daily!$S19,"")</f>
        <v/>
      </c>
      <c r="P190" s="32">
        <f>IF($A190=1,IF(Sales_Daily!$AW19="","",Sales_Daily!$AW19),"")</f>
        <v/>
      </c>
      <c r="Q190" s="32">
        <f>IF($A190=1,Sales_Daily!$AY19,"")</f>
        <v/>
      </c>
      <c r="R190" s="32">
        <f>IF($A190=1,IF(AND($Q190=1,COUNTIFS(COA!$A:$A,$G190,COA!$R:$R,1)=1),1,0),"")</f>
        <v/>
      </c>
      <c r="S190" s="43">
        <f>IF($A190=1,IF($R190=1,N($M190),0),"")</f>
        <v/>
      </c>
      <c r="T190" s="43">
        <f>IF($A190=1,IF($R190=1,N($N190),0),"")</f>
        <v/>
      </c>
      <c r="U190" s="32">
        <f>IF($A190=1,YEAR($D190)*100+MONTH($D190),"")</f>
        <v/>
      </c>
      <c r="V190" s="32">
        <f>IF($A190=1,IF(COUNTIF(COA!$A:$A,$G190)=0,0,INDEX(COA!$H:$H,MATCH($G190,COA!$A:$A,0))),"")</f>
        <v/>
      </c>
      <c r="W190" s="32">
        <f>IF($A190=1,"OPERATING","")</f>
        <v/>
      </c>
      <c r="X190" s="32">
        <f>IF($A190=1,IF($R190=1,"",IF($O190=ST_POST,IF($P190&lt;&gt;"",$P190,"حساب غير صالح أو غير نشط"),IF($O190=ST_REV,"معكوس: لا أثر على الدفاتر",IF($O190=ST_CANC,"ملغى",IF($O190=ST_APPR,"معتمد ولم يُرحَّل","مسودة"))))),"")</f>
        <v/>
      </c>
      <c r="Y190" s="32">
        <f>IF($A190=1,IF(AND($R190=1,OR(LG_Acct="",$G190=LG_Acct),OR(LG_Party="",$K190=LG_Party),OR(LG_Loc="ALL",$I190=LG_Loc),OR(LG_CC="ALL",$J190=LG_CC),$D190&gt;=LG_From,$D190&lt;=LG_To),$D190+ROW()/1000000,""),"")</f>
        <v/>
      </c>
      <c r="Z190" s="32">
        <f>IF($A190=1,IF(Sales_Daily!$T19="","",Sales_Daily!$T19),"")</f>
        <v/>
      </c>
      <c r="AA190" s="32">
        <f>IF($A190=1,IF(Sales_Daily!$U19="","",Sales_Daily!$U19),"")</f>
        <v/>
      </c>
      <c r="AB190" s="32">
        <f>IF($A190=1,IF(Sales_Daily!$V19="","",Sales_Daily!$V19),"")</f>
        <v/>
      </c>
      <c r="AC190" s="32">
        <f>IF($A190=1,IF(Sales_Daily!$W19="","",Sales_Daily!$W19),"")</f>
        <v/>
      </c>
      <c r="AD190" s="32">
        <f>IF($A190=1,IF(Sales_Daily!$X19="","",Sales_Daily!$X19),"")</f>
        <v/>
      </c>
      <c r="AE190" s="32">
        <f>IF($A190=1,0,"")</f>
        <v/>
      </c>
      <c r="AF190" s="32" t="inlineStr"/>
    </row>
    <row r="191">
      <c r="A191" s="32">
        <f>IF(AND(Sales_Daily!$AV19=1,N(Sales_Daily!$P19)&gt;0),1,0)</f>
        <v/>
      </c>
      <c r="B191" s="32">
        <f>IF($A191=1,$E191&amp;"/5","")</f>
        <v/>
      </c>
      <c r="C191" s="32">
        <f>IF($A191=1,"J-"&amp;Sales_Daily!$A19,"")</f>
        <v/>
      </c>
      <c r="D191" s="33">
        <f>IF($A191=1,Sales_Daily!$B19,"")</f>
        <v/>
      </c>
      <c r="E191" s="32">
        <f>IF($A191=1,IF(Sales_Daily!$A19="","",Sales_Daily!$A19),"")</f>
        <v/>
      </c>
      <c r="F191" s="32">
        <f>IF($A191=1,"SAL","")</f>
        <v/>
      </c>
      <c r="G191" s="32">
        <f>IF($A191=1,IF(Sales_Daily!$AO19="","",Sales_Daily!$AO19),"")</f>
        <v/>
      </c>
      <c r="H191" s="32">
        <f>IF($A191=1,IF(COUNTIF(COA!$A:$A,$G191)=0,"حساب غير معرف",INDEX(COA!$B:$B,MATCH($G191,COA!$A:$A,0))),"")</f>
        <v/>
      </c>
      <c r="I191" s="32">
        <f>IF($A191=1,IF(Sales_Daily!$C19="","",Sales_Daily!$C19),"")</f>
        <v/>
      </c>
      <c r="J191" s="32">
        <f>IF($A191=1,"CC10","")</f>
        <v/>
      </c>
      <c r="K191" s="32">
        <f>IF($A191=1,"-","")</f>
        <v/>
      </c>
      <c r="L191" s="32">
        <f>IF($A191=1,"مبيعات - تحصيل INSTA","")</f>
        <v/>
      </c>
      <c r="M191" s="43">
        <f>IF($A191=1,Sales_Daily!$P19,"")</f>
        <v/>
      </c>
      <c r="N191" s="43">
        <f>IF($A191=1,0,"")</f>
        <v/>
      </c>
      <c r="O191" s="32">
        <f>IF($A191=1,Sales_Daily!$S19,"")</f>
        <v/>
      </c>
      <c r="P191" s="32">
        <f>IF($A191=1,IF(Sales_Daily!$AW19="","",Sales_Daily!$AW19),"")</f>
        <v/>
      </c>
      <c r="Q191" s="32">
        <f>IF($A191=1,Sales_Daily!$AY19,"")</f>
        <v/>
      </c>
      <c r="R191" s="32">
        <f>IF($A191=1,IF(AND($Q191=1,COUNTIFS(COA!$A:$A,$G191,COA!$R:$R,1)=1),1,0),"")</f>
        <v/>
      </c>
      <c r="S191" s="43">
        <f>IF($A191=1,IF($R191=1,N($M191),0),"")</f>
        <v/>
      </c>
      <c r="T191" s="43">
        <f>IF($A191=1,IF($R191=1,N($N191),0),"")</f>
        <v/>
      </c>
      <c r="U191" s="32">
        <f>IF($A191=1,YEAR($D191)*100+MONTH($D191),"")</f>
        <v/>
      </c>
      <c r="V191" s="32">
        <f>IF($A191=1,IF(COUNTIF(COA!$A:$A,$G191)=0,0,INDEX(COA!$H:$H,MATCH($G191,COA!$A:$A,0))),"")</f>
        <v/>
      </c>
      <c r="W191" s="32">
        <f>IF($A191=1,"OPERATING","")</f>
        <v/>
      </c>
      <c r="X191" s="32">
        <f>IF($A191=1,IF($R191=1,"",IF($O191=ST_POST,IF($P191&lt;&gt;"",$P191,"حساب غير صالح أو غير نشط"),IF($O191=ST_REV,"معكوس: لا أثر على الدفاتر",IF($O191=ST_CANC,"ملغى",IF($O191=ST_APPR,"معتمد ولم يُرحَّل","مسودة"))))),"")</f>
        <v/>
      </c>
      <c r="Y191" s="32">
        <f>IF($A191=1,IF(AND($R191=1,OR(LG_Acct="",$G191=LG_Acct),OR(LG_Party="",$K191=LG_Party),OR(LG_Loc="ALL",$I191=LG_Loc),OR(LG_CC="ALL",$J191=LG_CC),$D191&gt;=LG_From,$D191&lt;=LG_To),$D191+ROW()/1000000,""),"")</f>
        <v/>
      </c>
      <c r="Z191" s="32">
        <f>IF($A191=1,IF(Sales_Daily!$T19="","",Sales_Daily!$T19),"")</f>
        <v/>
      </c>
      <c r="AA191" s="32">
        <f>IF($A191=1,IF(Sales_Daily!$U19="","",Sales_Daily!$U19),"")</f>
        <v/>
      </c>
      <c r="AB191" s="32">
        <f>IF($A191=1,IF(Sales_Daily!$V19="","",Sales_Daily!$V19),"")</f>
        <v/>
      </c>
      <c r="AC191" s="32">
        <f>IF($A191=1,IF(Sales_Daily!$W19="","",Sales_Daily!$W19),"")</f>
        <v/>
      </c>
      <c r="AD191" s="32">
        <f>IF($A191=1,IF(Sales_Daily!$X19="","",Sales_Daily!$X19),"")</f>
        <v/>
      </c>
      <c r="AE191" s="32">
        <f>IF($A191=1,0,"")</f>
        <v/>
      </c>
      <c r="AF191" s="32" t="inlineStr"/>
    </row>
    <row r="192">
      <c r="A192" s="32">
        <f>IF(AND(Sales_Daily!$AV19=1,N(Sales_Daily!$Q19)&gt;0),1,0)</f>
        <v/>
      </c>
      <c r="B192" s="32">
        <f>IF($A192=1,$E192&amp;"/6","")</f>
        <v/>
      </c>
      <c r="C192" s="32">
        <f>IF($A192=1,"J-"&amp;Sales_Daily!$A19,"")</f>
        <v/>
      </c>
      <c r="D192" s="33">
        <f>IF($A192=1,Sales_Daily!$B19,"")</f>
        <v/>
      </c>
      <c r="E192" s="32">
        <f>IF($A192=1,IF(Sales_Daily!$A19="","",Sales_Daily!$A19),"")</f>
        <v/>
      </c>
      <c r="F192" s="32">
        <f>IF($A192=1,"SAL","")</f>
        <v/>
      </c>
      <c r="G192" s="32">
        <f>IF($A192=1,IF(Sales_Daily!$AP19="","",Sales_Daily!$AP19),"")</f>
        <v/>
      </c>
      <c r="H192" s="32">
        <f>IF($A192=1,IF(COUNTIF(COA!$A:$A,$G192)=0,"حساب غير معرف",INDEX(COA!$B:$B,MATCH($G192,COA!$A:$A,0))),"")</f>
        <v/>
      </c>
      <c r="I192" s="32">
        <f>IF($A192=1,IF(Sales_Daily!$C19="","",Sales_Daily!$C19),"")</f>
        <v/>
      </c>
      <c r="J192" s="32">
        <f>IF($A192=1,"CC10","")</f>
        <v/>
      </c>
      <c r="K192" s="32">
        <f>IF($A192=1,"-","")</f>
        <v/>
      </c>
      <c r="L192" s="32">
        <f>IF($A192=1,"مبيعات - تحصيل OTH","")</f>
        <v/>
      </c>
      <c r="M192" s="43">
        <f>IF($A192=1,Sales_Daily!$Q19,"")</f>
        <v/>
      </c>
      <c r="N192" s="43">
        <f>IF($A192=1,0,"")</f>
        <v/>
      </c>
      <c r="O192" s="32">
        <f>IF($A192=1,Sales_Daily!$S19,"")</f>
        <v/>
      </c>
      <c r="P192" s="32">
        <f>IF($A192=1,IF(Sales_Daily!$AW19="","",Sales_Daily!$AW19),"")</f>
        <v/>
      </c>
      <c r="Q192" s="32">
        <f>IF($A192=1,Sales_Daily!$AY19,"")</f>
        <v/>
      </c>
      <c r="R192" s="32">
        <f>IF($A192=1,IF(AND($Q192=1,COUNTIFS(COA!$A:$A,$G192,COA!$R:$R,1)=1),1,0),"")</f>
        <v/>
      </c>
      <c r="S192" s="43">
        <f>IF($A192=1,IF($R192=1,N($M192),0),"")</f>
        <v/>
      </c>
      <c r="T192" s="43">
        <f>IF($A192=1,IF($R192=1,N($N192),0),"")</f>
        <v/>
      </c>
      <c r="U192" s="32">
        <f>IF($A192=1,YEAR($D192)*100+MONTH($D192),"")</f>
        <v/>
      </c>
      <c r="V192" s="32">
        <f>IF($A192=1,IF(COUNTIF(COA!$A:$A,$G192)=0,0,INDEX(COA!$H:$H,MATCH($G192,COA!$A:$A,0))),"")</f>
        <v/>
      </c>
      <c r="W192" s="32">
        <f>IF($A192=1,"OPERATING","")</f>
        <v/>
      </c>
      <c r="X192" s="32">
        <f>IF($A192=1,IF($R192=1,"",IF($O192=ST_POST,IF($P192&lt;&gt;"",$P192,"حساب غير صالح أو غير نشط"),IF($O192=ST_REV,"معكوس: لا أثر على الدفاتر",IF($O192=ST_CANC,"ملغى",IF($O192=ST_APPR,"معتمد ولم يُرحَّل","مسودة"))))),"")</f>
        <v/>
      </c>
      <c r="Y192" s="32">
        <f>IF($A192=1,IF(AND($R192=1,OR(LG_Acct="",$G192=LG_Acct),OR(LG_Party="",$K192=LG_Party),OR(LG_Loc="ALL",$I192=LG_Loc),OR(LG_CC="ALL",$J192=LG_CC),$D192&gt;=LG_From,$D192&lt;=LG_To),$D192+ROW()/1000000,""),"")</f>
        <v/>
      </c>
      <c r="Z192" s="32">
        <f>IF($A192=1,IF(Sales_Daily!$T19="","",Sales_Daily!$T19),"")</f>
        <v/>
      </c>
      <c r="AA192" s="32">
        <f>IF($A192=1,IF(Sales_Daily!$U19="","",Sales_Daily!$U19),"")</f>
        <v/>
      </c>
      <c r="AB192" s="32">
        <f>IF($A192=1,IF(Sales_Daily!$V19="","",Sales_Daily!$V19),"")</f>
        <v/>
      </c>
      <c r="AC192" s="32">
        <f>IF($A192=1,IF(Sales_Daily!$W19="","",Sales_Daily!$W19),"")</f>
        <v/>
      </c>
      <c r="AD192" s="32">
        <f>IF($A192=1,IF(Sales_Daily!$X19="","",Sales_Daily!$X19),"")</f>
        <v/>
      </c>
      <c r="AE192" s="32">
        <f>IF($A192=1,0,"")</f>
        <v/>
      </c>
      <c r="AF192" s="32" t="inlineStr"/>
    </row>
    <row r="193">
      <c r="A193" s="32">
        <f>IF(AND(Sales_Daily!$AV19=1,N(Sales_Daily!$AH19)&gt;0),1,0)</f>
        <v/>
      </c>
      <c r="B193" s="32">
        <f>IF($A193=1,$E193&amp;"/7","")</f>
        <v/>
      </c>
      <c r="C193" s="32">
        <f>IF($A193=1,"J-"&amp;Sales_Daily!$A19,"")</f>
        <v/>
      </c>
      <c r="D193" s="33">
        <f>IF($A193=1,Sales_Daily!$B19,"")</f>
        <v/>
      </c>
      <c r="E193" s="32">
        <f>IF($A193=1,IF(Sales_Daily!$A19="","",Sales_Daily!$A19),"")</f>
        <v/>
      </c>
      <c r="F193" s="32">
        <f>IF($A193=1,"SAL","")</f>
        <v/>
      </c>
      <c r="G193" s="32">
        <f>IF($A193=1,ACC_DISC,"")</f>
        <v/>
      </c>
      <c r="H193" s="32">
        <f>IF($A193=1,IF(COUNTIF(COA!$A:$A,$G193)=0,"حساب غير معرف",INDEX(COA!$B:$B,MATCH($G193,COA!$A:$A,0))),"")</f>
        <v/>
      </c>
      <c r="I193" s="32">
        <f>IF($A193=1,IF(Sales_Daily!$C19="","",Sales_Daily!$C19),"")</f>
        <v/>
      </c>
      <c r="J193" s="32">
        <f>IF($A193=1,"CC10","")</f>
        <v/>
      </c>
      <c r="K193" s="32">
        <f>IF($A193=1,"-","")</f>
        <v/>
      </c>
      <c r="L193" s="32">
        <f>IF($A193=1,"خصومات المبيعات والعروض","")</f>
        <v/>
      </c>
      <c r="M193" s="43">
        <f>IF($A193=1,Sales_Daily!$AH19,"")</f>
        <v/>
      </c>
      <c r="N193" s="43">
        <f>IF($A193=1,0,"")</f>
        <v/>
      </c>
      <c r="O193" s="32">
        <f>IF($A193=1,Sales_Daily!$S19,"")</f>
        <v/>
      </c>
      <c r="P193" s="32">
        <f>IF($A193=1,IF(Sales_Daily!$AW19="","",Sales_Daily!$AW19),"")</f>
        <v/>
      </c>
      <c r="Q193" s="32">
        <f>IF($A193=1,Sales_Daily!$AY19,"")</f>
        <v/>
      </c>
      <c r="R193" s="32">
        <f>IF($A193=1,IF(AND($Q193=1,COUNTIFS(COA!$A:$A,$G193,COA!$R:$R,1)=1),1,0),"")</f>
        <v/>
      </c>
      <c r="S193" s="43">
        <f>IF($A193=1,IF($R193=1,N($M193),0),"")</f>
        <v/>
      </c>
      <c r="T193" s="43">
        <f>IF($A193=1,IF($R193=1,N($N193),0),"")</f>
        <v/>
      </c>
      <c r="U193" s="32">
        <f>IF($A193=1,YEAR($D193)*100+MONTH($D193),"")</f>
        <v/>
      </c>
      <c r="V193" s="32">
        <f>IF($A193=1,IF(COUNTIF(COA!$A:$A,$G193)=0,0,INDEX(COA!$H:$H,MATCH($G193,COA!$A:$A,0))),"")</f>
        <v/>
      </c>
      <c r="W193" s="32">
        <f>IF($A193=1,"","")</f>
        <v/>
      </c>
      <c r="X193" s="32">
        <f>IF($A193=1,IF($R193=1,"",IF($O193=ST_POST,IF($P193&lt;&gt;"",$P193,"حساب غير صالح أو غير نشط"),IF($O193=ST_REV,"معكوس: لا أثر على الدفاتر",IF($O193=ST_CANC,"ملغى",IF($O193=ST_APPR,"معتمد ولم يُرحَّل","مسودة"))))),"")</f>
        <v/>
      </c>
      <c r="Y193" s="32">
        <f>IF($A193=1,IF(AND($R193=1,OR(LG_Acct="",$G193=LG_Acct),OR(LG_Party="",$K193=LG_Party),OR(LG_Loc="ALL",$I193=LG_Loc),OR(LG_CC="ALL",$J193=LG_CC),$D193&gt;=LG_From,$D193&lt;=LG_To),$D193+ROW()/1000000,""),"")</f>
        <v/>
      </c>
      <c r="Z193" s="32">
        <f>IF($A193=1,IF(Sales_Daily!$T19="","",Sales_Daily!$T19),"")</f>
        <v/>
      </c>
      <c r="AA193" s="32">
        <f>IF($A193=1,IF(Sales_Daily!$U19="","",Sales_Daily!$U19),"")</f>
        <v/>
      </c>
      <c r="AB193" s="32">
        <f>IF($A193=1,IF(Sales_Daily!$V19="","",Sales_Daily!$V19),"")</f>
        <v/>
      </c>
      <c r="AC193" s="32">
        <f>IF($A193=1,IF(Sales_Daily!$W19="","",Sales_Daily!$W19),"")</f>
        <v/>
      </c>
      <c r="AD193" s="32">
        <f>IF($A193=1,IF(Sales_Daily!$X19="","",Sales_Daily!$X19),"")</f>
        <v/>
      </c>
      <c r="AE193" s="32">
        <f>IF($A193=1,0,"")</f>
        <v/>
      </c>
      <c r="AF193" s="32" t="inlineStr"/>
    </row>
    <row r="194">
      <c r="A194" s="32">
        <f>IF(AND(Sales_Daily!$AV19=1,N(Sales_Daily!$AI19)&gt;0),1,0)</f>
        <v/>
      </c>
      <c r="B194" s="32">
        <f>IF($A194=1,$E194&amp;"/8","")</f>
        <v/>
      </c>
      <c r="C194" s="32">
        <f>IF($A194=1,"J-"&amp;Sales_Daily!$A19,"")</f>
        <v/>
      </c>
      <c r="D194" s="33">
        <f>IF($A194=1,Sales_Daily!$B19,"")</f>
        <v/>
      </c>
      <c r="E194" s="32">
        <f>IF($A194=1,IF(Sales_Daily!$A19="","",Sales_Daily!$A19),"")</f>
        <v/>
      </c>
      <c r="F194" s="32">
        <f>IF($A194=1,"SAL","")</f>
        <v/>
      </c>
      <c r="G194" s="32">
        <f>IF($A194=1,ACC_RET,"")</f>
        <v/>
      </c>
      <c r="H194" s="32">
        <f>IF($A194=1,IF(COUNTIF(COA!$A:$A,$G194)=0,"حساب غير معرف",INDEX(COA!$B:$B,MATCH($G194,COA!$A:$A,0))),"")</f>
        <v/>
      </c>
      <c r="I194" s="32">
        <f>IF($A194=1,IF(Sales_Daily!$C19="","",Sales_Daily!$C19),"")</f>
        <v/>
      </c>
      <c r="J194" s="32">
        <f>IF($A194=1,"CC10","")</f>
        <v/>
      </c>
      <c r="K194" s="32">
        <f>IF($A194=1,"-","")</f>
        <v/>
      </c>
      <c r="L194" s="32">
        <f>IF($A194=1,"مرتجعات وإلغاءات المبيعات","")</f>
        <v/>
      </c>
      <c r="M194" s="43">
        <f>IF($A194=1,Sales_Daily!$AI19,"")</f>
        <v/>
      </c>
      <c r="N194" s="43">
        <f>IF($A194=1,0,"")</f>
        <v/>
      </c>
      <c r="O194" s="32">
        <f>IF($A194=1,Sales_Daily!$S19,"")</f>
        <v/>
      </c>
      <c r="P194" s="32">
        <f>IF($A194=1,IF(Sales_Daily!$AW19="","",Sales_Daily!$AW19),"")</f>
        <v/>
      </c>
      <c r="Q194" s="32">
        <f>IF($A194=1,Sales_Daily!$AY19,"")</f>
        <v/>
      </c>
      <c r="R194" s="32">
        <f>IF($A194=1,IF(AND($Q194=1,COUNTIFS(COA!$A:$A,$G194,COA!$R:$R,1)=1),1,0),"")</f>
        <v/>
      </c>
      <c r="S194" s="43">
        <f>IF($A194=1,IF($R194=1,N($M194),0),"")</f>
        <v/>
      </c>
      <c r="T194" s="43">
        <f>IF($A194=1,IF($R194=1,N($N194),0),"")</f>
        <v/>
      </c>
      <c r="U194" s="32">
        <f>IF($A194=1,YEAR($D194)*100+MONTH($D194),"")</f>
        <v/>
      </c>
      <c r="V194" s="32">
        <f>IF($A194=1,IF(COUNTIF(COA!$A:$A,$G194)=0,0,INDEX(COA!$H:$H,MATCH($G194,COA!$A:$A,0))),"")</f>
        <v/>
      </c>
      <c r="W194" s="32">
        <f>IF($A194=1,"","")</f>
        <v/>
      </c>
      <c r="X194" s="32">
        <f>IF($A194=1,IF($R194=1,"",IF($O194=ST_POST,IF($P194&lt;&gt;"",$P194,"حساب غير صالح أو غير نشط"),IF($O194=ST_REV,"معكوس: لا أثر على الدفاتر",IF($O194=ST_CANC,"ملغى",IF($O194=ST_APPR,"معتمد ولم يُرحَّل","مسودة"))))),"")</f>
        <v/>
      </c>
      <c r="Y194" s="32">
        <f>IF($A194=1,IF(AND($R194=1,OR(LG_Acct="",$G194=LG_Acct),OR(LG_Party="",$K194=LG_Party),OR(LG_Loc="ALL",$I194=LG_Loc),OR(LG_CC="ALL",$J194=LG_CC),$D194&gt;=LG_From,$D194&lt;=LG_To),$D194+ROW()/1000000,""),"")</f>
        <v/>
      </c>
      <c r="Z194" s="32">
        <f>IF($A194=1,IF(Sales_Daily!$T19="","",Sales_Daily!$T19),"")</f>
        <v/>
      </c>
      <c r="AA194" s="32">
        <f>IF($A194=1,IF(Sales_Daily!$U19="","",Sales_Daily!$U19),"")</f>
        <v/>
      </c>
      <c r="AB194" s="32">
        <f>IF($A194=1,IF(Sales_Daily!$V19="","",Sales_Daily!$V19),"")</f>
        <v/>
      </c>
      <c r="AC194" s="32">
        <f>IF($A194=1,IF(Sales_Daily!$W19="","",Sales_Daily!$W19),"")</f>
        <v/>
      </c>
      <c r="AD194" s="32">
        <f>IF($A194=1,IF(Sales_Daily!$X19="","",Sales_Daily!$X19),"")</f>
        <v/>
      </c>
      <c r="AE194" s="32">
        <f>IF($A194=1,0,"")</f>
        <v/>
      </c>
      <c r="AF194" s="32" t="inlineStr"/>
    </row>
    <row r="195">
      <c r="A195" s="32">
        <f>IF(AND(Sales_Daily!$AV19=1,N(Sales_Daily!$AD19)&gt;0),1,0)</f>
        <v/>
      </c>
      <c r="B195" s="32">
        <f>IF($A195=1,$E195&amp;"/9","")</f>
        <v/>
      </c>
      <c r="C195" s="32">
        <f>IF($A195=1,"J-"&amp;Sales_Daily!$A19,"")</f>
        <v/>
      </c>
      <c r="D195" s="33">
        <f>IF($A195=1,Sales_Daily!$B19,"")</f>
        <v/>
      </c>
      <c r="E195" s="32">
        <f>IF($A195=1,IF(Sales_Daily!$A19="","",Sales_Daily!$A19),"")</f>
        <v/>
      </c>
      <c r="F195" s="32">
        <f>IF($A195=1,"SAL","")</f>
        <v/>
      </c>
      <c r="G195" s="32">
        <f>IF($A195=1,IF(Sales_Daily!$AQ19="","",Sales_Daily!$AQ19),"")</f>
        <v/>
      </c>
      <c r="H195" s="32">
        <f>IF($A195=1,IF(COUNTIF(COA!$A:$A,$G195)=0,"حساب غير معرف",INDEX(COA!$B:$B,MATCH($G195,COA!$A:$A,0))),"")</f>
        <v/>
      </c>
      <c r="I195" s="32">
        <f>IF($A195=1,IF(Sales_Daily!$C19="","",Sales_Daily!$C19),"")</f>
        <v/>
      </c>
      <c r="J195" s="32">
        <f>IF($A195=1,"CC10","")</f>
        <v/>
      </c>
      <c r="K195" s="32">
        <f>IF($A195=1,"-","")</f>
        <v/>
      </c>
      <c r="L195" s="32">
        <f>IF($A195=1,"إيراد مبيعات - فئة فطير","")</f>
        <v/>
      </c>
      <c r="M195" s="43">
        <f>IF($A195=1,0,"")</f>
        <v/>
      </c>
      <c r="N195" s="43">
        <f>IF($A195=1,Sales_Daily!$AD19,"")</f>
        <v/>
      </c>
      <c r="O195" s="32">
        <f>IF($A195=1,Sales_Daily!$S19,"")</f>
        <v/>
      </c>
      <c r="P195" s="32">
        <f>IF($A195=1,IF(Sales_Daily!$AW19="","",Sales_Daily!$AW19),"")</f>
        <v/>
      </c>
      <c r="Q195" s="32">
        <f>IF($A195=1,Sales_Daily!$AY19,"")</f>
        <v/>
      </c>
      <c r="R195" s="32">
        <f>IF($A195=1,IF(AND($Q195=1,COUNTIFS(COA!$A:$A,$G195,COA!$R:$R,1)=1),1,0),"")</f>
        <v/>
      </c>
      <c r="S195" s="43">
        <f>IF($A195=1,IF($R195=1,N($M195),0),"")</f>
        <v/>
      </c>
      <c r="T195" s="43">
        <f>IF($A195=1,IF($R195=1,N($N195),0),"")</f>
        <v/>
      </c>
      <c r="U195" s="32">
        <f>IF($A195=1,YEAR($D195)*100+MONTH($D195),"")</f>
        <v/>
      </c>
      <c r="V195" s="32">
        <f>IF($A195=1,IF(COUNTIF(COA!$A:$A,$G195)=0,0,INDEX(COA!$H:$H,MATCH($G195,COA!$A:$A,0))),"")</f>
        <v/>
      </c>
      <c r="W195" s="32">
        <f>IF($A195=1,"","")</f>
        <v/>
      </c>
      <c r="X195" s="32">
        <f>IF($A195=1,IF($R195=1,"",IF($O195=ST_POST,IF($P195&lt;&gt;"",$P195,"حساب غير صالح أو غير نشط"),IF($O195=ST_REV,"معكوس: لا أثر على الدفاتر",IF($O195=ST_CANC,"ملغى",IF($O195=ST_APPR,"معتمد ولم يُرحَّل","مسودة"))))),"")</f>
        <v/>
      </c>
      <c r="Y195" s="32">
        <f>IF($A195=1,IF(AND($R195=1,OR(LG_Acct="",$G195=LG_Acct),OR(LG_Party="",$K195=LG_Party),OR(LG_Loc="ALL",$I195=LG_Loc),OR(LG_CC="ALL",$J195=LG_CC),$D195&gt;=LG_From,$D195&lt;=LG_To),$D195+ROW()/1000000,""),"")</f>
        <v/>
      </c>
      <c r="Z195" s="32">
        <f>IF($A195=1,IF(Sales_Daily!$T19="","",Sales_Daily!$T19),"")</f>
        <v/>
      </c>
      <c r="AA195" s="32">
        <f>IF($A195=1,IF(Sales_Daily!$U19="","",Sales_Daily!$U19),"")</f>
        <v/>
      </c>
      <c r="AB195" s="32">
        <f>IF($A195=1,IF(Sales_Daily!$V19="","",Sales_Daily!$V19),"")</f>
        <v/>
      </c>
      <c r="AC195" s="32">
        <f>IF($A195=1,IF(Sales_Daily!$W19="","",Sales_Daily!$W19),"")</f>
        <v/>
      </c>
      <c r="AD195" s="32">
        <f>IF($A195=1,IF(Sales_Daily!$X19="","",Sales_Daily!$X19),"")</f>
        <v/>
      </c>
      <c r="AE195" s="32">
        <f>IF($A195=1,0,"")</f>
        <v/>
      </c>
      <c r="AF195" s="32" t="inlineStr"/>
    </row>
    <row r="196">
      <c r="A196" s="32">
        <f>IF(AND(Sales_Daily!$AV19=1,N(Sales_Daily!$AE19)&gt;0),1,0)</f>
        <v/>
      </c>
      <c r="B196" s="32">
        <f>IF($A196=1,$E196&amp;"/10","")</f>
        <v/>
      </c>
      <c r="C196" s="32">
        <f>IF($A196=1,"J-"&amp;Sales_Daily!$A19,"")</f>
        <v/>
      </c>
      <c r="D196" s="33">
        <f>IF($A196=1,Sales_Daily!$B19,"")</f>
        <v/>
      </c>
      <c r="E196" s="32">
        <f>IF($A196=1,IF(Sales_Daily!$A19="","",Sales_Daily!$A19),"")</f>
        <v/>
      </c>
      <c r="F196" s="32">
        <f>IF($A196=1,"SAL","")</f>
        <v/>
      </c>
      <c r="G196" s="32">
        <f>IF($A196=1,IF(Sales_Daily!$AR19="","",Sales_Daily!$AR19),"")</f>
        <v/>
      </c>
      <c r="H196" s="32">
        <f>IF($A196=1,IF(COUNTIF(COA!$A:$A,$G196)=0,"حساب غير معرف",INDEX(COA!$B:$B,MATCH($G196,COA!$A:$A,0))),"")</f>
        <v/>
      </c>
      <c r="I196" s="32">
        <f>IF($A196=1,IF(Sales_Daily!$C19="","",Sales_Daily!$C19),"")</f>
        <v/>
      </c>
      <c r="J196" s="32">
        <f>IF($A196=1,"CC10","")</f>
        <v/>
      </c>
      <c r="K196" s="32">
        <f>IF($A196=1,"-","")</f>
        <v/>
      </c>
      <c r="L196" s="32">
        <f>IF($A196=1,"إيراد مبيعات - فئة بيتزا","")</f>
        <v/>
      </c>
      <c r="M196" s="43">
        <f>IF($A196=1,0,"")</f>
        <v/>
      </c>
      <c r="N196" s="43">
        <f>IF($A196=1,Sales_Daily!$AE19,"")</f>
        <v/>
      </c>
      <c r="O196" s="32">
        <f>IF($A196=1,Sales_Daily!$S19,"")</f>
        <v/>
      </c>
      <c r="P196" s="32">
        <f>IF($A196=1,IF(Sales_Daily!$AW19="","",Sales_Daily!$AW19),"")</f>
        <v/>
      </c>
      <c r="Q196" s="32">
        <f>IF($A196=1,Sales_Daily!$AY19,"")</f>
        <v/>
      </c>
      <c r="R196" s="32">
        <f>IF($A196=1,IF(AND($Q196=1,COUNTIFS(COA!$A:$A,$G196,COA!$R:$R,1)=1),1,0),"")</f>
        <v/>
      </c>
      <c r="S196" s="43">
        <f>IF($A196=1,IF($R196=1,N($M196),0),"")</f>
        <v/>
      </c>
      <c r="T196" s="43">
        <f>IF($A196=1,IF($R196=1,N($N196),0),"")</f>
        <v/>
      </c>
      <c r="U196" s="32">
        <f>IF($A196=1,YEAR($D196)*100+MONTH($D196),"")</f>
        <v/>
      </c>
      <c r="V196" s="32">
        <f>IF($A196=1,IF(COUNTIF(COA!$A:$A,$G196)=0,0,INDEX(COA!$H:$H,MATCH($G196,COA!$A:$A,0))),"")</f>
        <v/>
      </c>
      <c r="W196" s="32">
        <f>IF($A196=1,"","")</f>
        <v/>
      </c>
      <c r="X196" s="32">
        <f>IF($A196=1,IF($R196=1,"",IF($O196=ST_POST,IF($P196&lt;&gt;"",$P196,"حساب غير صالح أو غير نشط"),IF($O196=ST_REV,"معكوس: لا أثر على الدفاتر",IF($O196=ST_CANC,"ملغى",IF($O196=ST_APPR,"معتمد ولم يُرحَّل","مسودة"))))),"")</f>
        <v/>
      </c>
      <c r="Y196" s="32">
        <f>IF($A196=1,IF(AND($R196=1,OR(LG_Acct="",$G196=LG_Acct),OR(LG_Party="",$K196=LG_Party),OR(LG_Loc="ALL",$I196=LG_Loc),OR(LG_CC="ALL",$J196=LG_CC),$D196&gt;=LG_From,$D196&lt;=LG_To),$D196+ROW()/1000000,""),"")</f>
        <v/>
      </c>
      <c r="Z196" s="32">
        <f>IF($A196=1,IF(Sales_Daily!$T19="","",Sales_Daily!$T19),"")</f>
        <v/>
      </c>
      <c r="AA196" s="32">
        <f>IF($A196=1,IF(Sales_Daily!$U19="","",Sales_Daily!$U19),"")</f>
        <v/>
      </c>
      <c r="AB196" s="32">
        <f>IF($A196=1,IF(Sales_Daily!$V19="","",Sales_Daily!$V19),"")</f>
        <v/>
      </c>
      <c r="AC196" s="32">
        <f>IF($A196=1,IF(Sales_Daily!$W19="","",Sales_Daily!$W19),"")</f>
        <v/>
      </c>
      <c r="AD196" s="32">
        <f>IF($A196=1,IF(Sales_Daily!$X19="","",Sales_Daily!$X19),"")</f>
        <v/>
      </c>
      <c r="AE196" s="32">
        <f>IF($A196=1,0,"")</f>
        <v/>
      </c>
      <c r="AF196" s="32" t="inlineStr"/>
    </row>
    <row r="197">
      <c r="A197" s="32">
        <f>IF(AND(Sales_Daily!$AV19=1,N(Sales_Daily!$AF19)&gt;0),1,0)</f>
        <v/>
      </c>
      <c r="B197" s="32">
        <f>IF($A197=1,$E197&amp;"/11","")</f>
        <v/>
      </c>
      <c r="C197" s="32">
        <f>IF($A197=1,"J-"&amp;Sales_Daily!$A19,"")</f>
        <v/>
      </c>
      <c r="D197" s="33">
        <f>IF($A197=1,Sales_Daily!$B19,"")</f>
        <v/>
      </c>
      <c r="E197" s="32">
        <f>IF($A197=1,IF(Sales_Daily!$A19="","",Sales_Daily!$A19),"")</f>
        <v/>
      </c>
      <c r="F197" s="32">
        <f>IF($A197=1,"SAL","")</f>
        <v/>
      </c>
      <c r="G197" s="32">
        <f>IF($A197=1,IF(Sales_Daily!$AS19="","",Sales_Daily!$AS19),"")</f>
        <v/>
      </c>
      <c r="H197" s="32">
        <f>IF($A197=1,IF(COUNTIF(COA!$A:$A,$G197)=0,"حساب غير معرف",INDEX(COA!$B:$B,MATCH($G197,COA!$A:$A,0))),"")</f>
        <v/>
      </c>
      <c r="I197" s="32">
        <f>IF($A197=1,IF(Sales_Daily!$C19="","",Sales_Daily!$C19),"")</f>
        <v/>
      </c>
      <c r="J197" s="32">
        <f>IF($A197=1,"CC10","")</f>
        <v/>
      </c>
      <c r="K197" s="32">
        <f>IF($A197=1,"-","")</f>
        <v/>
      </c>
      <c r="L197" s="32">
        <f>IF($A197=1,"إيراد مبيعات - فئة مكرونات","")</f>
        <v/>
      </c>
      <c r="M197" s="43">
        <f>IF($A197=1,0,"")</f>
        <v/>
      </c>
      <c r="N197" s="43">
        <f>IF($A197=1,Sales_Daily!$AF19,"")</f>
        <v/>
      </c>
      <c r="O197" s="32">
        <f>IF($A197=1,Sales_Daily!$S19,"")</f>
        <v/>
      </c>
      <c r="P197" s="32">
        <f>IF($A197=1,IF(Sales_Daily!$AW19="","",Sales_Daily!$AW19),"")</f>
        <v/>
      </c>
      <c r="Q197" s="32">
        <f>IF($A197=1,Sales_Daily!$AY19,"")</f>
        <v/>
      </c>
      <c r="R197" s="32">
        <f>IF($A197=1,IF(AND($Q197=1,COUNTIFS(COA!$A:$A,$G197,COA!$R:$R,1)=1),1,0),"")</f>
        <v/>
      </c>
      <c r="S197" s="43">
        <f>IF($A197=1,IF($R197=1,N($M197),0),"")</f>
        <v/>
      </c>
      <c r="T197" s="43">
        <f>IF($A197=1,IF($R197=1,N($N197),0),"")</f>
        <v/>
      </c>
      <c r="U197" s="32">
        <f>IF($A197=1,YEAR($D197)*100+MONTH($D197),"")</f>
        <v/>
      </c>
      <c r="V197" s="32">
        <f>IF($A197=1,IF(COUNTIF(COA!$A:$A,$G197)=0,0,INDEX(COA!$H:$H,MATCH($G197,COA!$A:$A,0))),"")</f>
        <v/>
      </c>
      <c r="W197" s="32">
        <f>IF($A197=1,"","")</f>
        <v/>
      </c>
      <c r="X197" s="32">
        <f>IF($A197=1,IF($R197=1,"",IF($O197=ST_POST,IF($P197&lt;&gt;"",$P197,"حساب غير صالح أو غير نشط"),IF($O197=ST_REV,"معكوس: لا أثر على الدفاتر",IF($O197=ST_CANC,"ملغى",IF($O197=ST_APPR,"معتمد ولم يُرحَّل","مسودة"))))),"")</f>
        <v/>
      </c>
      <c r="Y197" s="32">
        <f>IF($A197=1,IF(AND($R197=1,OR(LG_Acct="",$G197=LG_Acct),OR(LG_Party="",$K197=LG_Party),OR(LG_Loc="ALL",$I197=LG_Loc),OR(LG_CC="ALL",$J197=LG_CC),$D197&gt;=LG_From,$D197&lt;=LG_To),$D197+ROW()/1000000,""),"")</f>
        <v/>
      </c>
      <c r="Z197" s="32">
        <f>IF($A197=1,IF(Sales_Daily!$T19="","",Sales_Daily!$T19),"")</f>
        <v/>
      </c>
      <c r="AA197" s="32">
        <f>IF($A197=1,IF(Sales_Daily!$U19="","",Sales_Daily!$U19),"")</f>
        <v/>
      </c>
      <c r="AB197" s="32">
        <f>IF($A197=1,IF(Sales_Daily!$V19="","",Sales_Daily!$V19),"")</f>
        <v/>
      </c>
      <c r="AC197" s="32">
        <f>IF($A197=1,IF(Sales_Daily!$W19="","",Sales_Daily!$W19),"")</f>
        <v/>
      </c>
      <c r="AD197" s="32">
        <f>IF($A197=1,IF(Sales_Daily!$X19="","",Sales_Daily!$X19),"")</f>
        <v/>
      </c>
      <c r="AE197" s="32">
        <f>IF($A197=1,0,"")</f>
        <v/>
      </c>
      <c r="AF197" s="32" t="inlineStr"/>
    </row>
    <row r="198">
      <c r="A198" s="32">
        <f>IF(AND(Sales_Daily!$AV19=1,N(Sales_Daily!$AG19)&gt;0),1,0)</f>
        <v/>
      </c>
      <c r="B198" s="32">
        <f>IF($A198=1,$E198&amp;"/12","")</f>
        <v/>
      </c>
      <c r="C198" s="32">
        <f>IF($A198=1,"J-"&amp;Sales_Daily!$A19,"")</f>
        <v/>
      </c>
      <c r="D198" s="33">
        <f>IF($A198=1,Sales_Daily!$B19,"")</f>
        <v/>
      </c>
      <c r="E198" s="32">
        <f>IF($A198=1,IF(Sales_Daily!$A19="","",Sales_Daily!$A19),"")</f>
        <v/>
      </c>
      <c r="F198" s="32">
        <f>IF($A198=1,"SAL","")</f>
        <v/>
      </c>
      <c r="G198" s="32">
        <f>IF($A198=1,IF(Sales_Daily!$AT19="","",Sales_Daily!$AT19),"")</f>
        <v/>
      </c>
      <c r="H198" s="32">
        <f>IF($A198=1,IF(COUNTIF(COA!$A:$A,$G198)=0,"حساب غير معرف",INDEX(COA!$B:$B,MATCH($G198,COA!$A:$A,0))),"")</f>
        <v/>
      </c>
      <c r="I198" s="32">
        <f>IF($A198=1,IF(Sales_Daily!$C19="","",Sales_Daily!$C19),"")</f>
        <v/>
      </c>
      <c r="J198" s="32">
        <f>IF($A198=1,"CC10","")</f>
        <v/>
      </c>
      <c r="K198" s="32">
        <f>IF($A198=1,"-","")</f>
        <v/>
      </c>
      <c r="L198" s="32">
        <f>IF($A198=1,"إيراد مبيعات - فئة أخرى","")</f>
        <v/>
      </c>
      <c r="M198" s="43">
        <f>IF($A198=1,0,"")</f>
        <v/>
      </c>
      <c r="N198" s="43">
        <f>IF($A198=1,Sales_Daily!$AG19,"")</f>
        <v/>
      </c>
      <c r="O198" s="32">
        <f>IF($A198=1,Sales_Daily!$S19,"")</f>
        <v/>
      </c>
      <c r="P198" s="32">
        <f>IF($A198=1,IF(Sales_Daily!$AW19="","",Sales_Daily!$AW19),"")</f>
        <v/>
      </c>
      <c r="Q198" s="32">
        <f>IF($A198=1,Sales_Daily!$AY19,"")</f>
        <v/>
      </c>
      <c r="R198" s="32">
        <f>IF($A198=1,IF(AND($Q198=1,COUNTIFS(COA!$A:$A,$G198,COA!$R:$R,1)=1),1,0),"")</f>
        <v/>
      </c>
      <c r="S198" s="43">
        <f>IF($A198=1,IF($R198=1,N($M198),0),"")</f>
        <v/>
      </c>
      <c r="T198" s="43">
        <f>IF($A198=1,IF($R198=1,N($N198),0),"")</f>
        <v/>
      </c>
      <c r="U198" s="32">
        <f>IF($A198=1,YEAR($D198)*100+MONTH($D198),"")</f>
        <v/>
      </c>
      <c r="V198" s="32">
        <f>IF($A198=1,IF(COUNTIF(COA!$A:$A,$G198)=0,0,INDEX(COA!$H:$H,MATCH($G198,COA!$A:$A,0))),"")</f>
        <v/>
      </c>
      <c r="W198" s="32">
        <f>IF($A198=1,"","")</f>
        <v/>
      </c>
      <c r="X198" s="32">
        <f>IF($A198=1,IF($R198=1,"",IF($O198=ST_POST,IF($P198&lt;&gt;"",$P198,"حساب غير صالح أو غير نشط"),IF($O198=ST_REV,"معكوس: لا أثر على الدفاتر",IF($O198=ST_CANC,"ملغى",IF($O198=ST_APPR,"معتمد ولم يُرحَّل","مسودة"))))),"")</f>
        <v/>
      </c>
      <c r="Y198" s="32">
        <f>IF($A198=1,IF(AND($R198=1,OR(LG_Acct="",$G198=LG_Acct),OR(LG_Party="",$K198=LG_Party),OR(LG_Loc="ALL",$I198=LG_Loc),OR(LG_CC="ALL",$J198=LG_CC),$D198&gt;=LG_From,$D198&lt;=LG_To),$D198+ROW()/1000000,""),"")</f>
        <v/>
      </c>
      <c r="Z198" s="32">
        <f>IF($A198=1,IF(Sales_Daily!$T19="","",Sales_Daily!$T19),"")</f>
        <v/>
      </c>
      <c r="AA198" s="32">
        <f>IF($A198=1,IF(Sales_Daily!$U19="","",Sales_Daily!$U19),"")</f>
        <v/>
      </c>
      <c r="AB198" s="32">
        <f>IF($A198=1,IF(Sales_Daily!$V19="","",Sales_Daily!$V19),"")</f>
        <v/>
      </c>
      <c r="AC198" s="32">
        <f>IF($A198=1,IF(Sales_Daily!$W19="","",Sales_Daily!$W19),"")</f>
        <v/>
      </c>
      <c r="AD198" s="32">
        <f>IF($A198=1,IF(Sales_Daily!$X19="","",Sales_Daily!$X19),"")</f>
        <v/>
      </c>
      <c r="AE198" s="32">
        <f>IF($A198=1,0,"")</f>
        <v/>
      </c>
      <c r="AF198" s="32" t="inlineStr"/>
    </row>
    <row r="199">
      <c r="A199" s="32">
        <f>IF(AND(Sales_Daily!$AV19=1,N(Sales_Daily!$AJ19)&gt;0),1,0)</f>
        <v/>
      </c>
      <c r="B199" s="32">
        <f>IF($A199=1,$E199&amp;"/13","")</f>
        <v/>
      </c>
      <c r="C199" s="32">
        <f>IF($A199=1,"J-"&amp;Sales_Daily!$A19,"")</f>
        <v/>
      </c>
      <c r="D199" s="33">
        <f>IF($A199=1,Sales_Daily!$B19,"")</f>
        <v/>
      </c>
      <c r="E199" s="32">
        <f>IF($A199=1,IF(Sales_Daily!$A19="","",Sales_Daily!$A19),"")</f>
        <v/>
      </c>
      <c r="F199" s="32">
        <f>IF($A199=1,"SAL","")</f>
        <v/>
      </c>
      <c r="G199" s="32">
        <f>IF($A199=1,ACC_VAT_OUT,"")</f>
        <v/>
      </c>
      <c r="H199" s="32">
        <f>IF($A199=1,IF(COUNTIF(COA!$A:$A,$G199)=0,"حساب غير معرف",INDEX(COA!$B:$B,MATCH($G199,COA!$A:$A,0))),"")</f>
        <v/>
      </c>
      <c r="I199" s="32">
        <f>IF($A199=1,IF(Sales_Daily!$C19="","",Sales_Daily!$C19),"")</f>
        <v/>
      </c>
      <c r="J199" s="32">
        <f>IF($A199=1,"CC10","")</f>
        <v/>
      </c>
      <c r="K199" s="32">
        <f>IF($A199=1,"-","")</f>
        <v/>
      </c>
      <c r="L199" s="32">
        <f>IF($A199=1,"ضريبة القيمة المضافة - مخرجات","")</f>
        <v/>
      </c>
      <c r="M199" s="43">
        <f>IF($A199=1,0,"")</f>
        <v/>
      </c>
      <c r="N199" s="43">
        <f>IF($A199=1,Sales_Daily!$AJ19,"")</f>
        <v/>
      </c>
      <c r="O199" s="32">
        <f>IF($A199=1,Sales_Daily!$S19,"")</f>
        <v/>
      </c>
      <c r="P199" s="32">
        <f>IF($A199=1,IF(Sales_Daily!$AW19="","",Sales_Daily!$AW19),"")</f>
        <v/>
      </c>
      <c r="Q199" s="32">
        <f>IF($A199=1,Sales_Daily!$AY19,"")</f>
        <v/>
      </c>
      <c r="R199" s="32">
        <f>IF($A199=1,IF(AND($Q199=1,COUNTIFS(COA!$A:$A,$G199,COA!$R:$R,1)=1),1,0),"")</f>
        <v/>
      </c>
      <c r="S199" s="43">
        <f>IF($A199=1,IF($R199=1,N($M199),0),"")</f>
        <v/>
      </c>
      <c r="T199" s="43">
        <f>IF($A199=1,IF($R199=1,N($N199),0),"")</f>
        <v/>
      </c>
      <c r="U199" s="32">
        <f>IF($A199=1,YEAR($D199)*100+MONTH($D199),"")</f>
        <v/>
      </c>
      <c r="V199" s="32">
        <f>IF($A199=1,IF(COUNTIF(COA!$A:$A,$G199)=0,0,INDEX(COA!$H:$H,MATCH($G199,COA!$A:$A,0))),"")</f>
        <v/>
      </c>
      <c r="W199" s="32">
        <f>IF($A199=1,"","")</f>
        <v/>
      </c>
      <c r="X199" s="32">
        <f>IF($A199=1,IF($R199=1,"",IF($O199=ST_POST,IF($P199&lt;&gt;"",$P199,"حساب غير صالح أو غير نشط"),IF($O199=ST_REV,"معكوس: لا أثر على الدفاتر",IF($O199=ST_CANC,"ملغى",IF($O199=ST_APPR,"معتمد ولم يُرحَّل","مسودة"))))),"")</f>
        <v/>
      </c>
      <c r="Y199" s="32">
        <f>IF($A199=1,IF(AND($R199=1,OR(LG_Acct="",$G199=LG_Acct),OR(LG_Party="",$K199=LG_Party),OR(LG_Loc="ALL",$I199=LG_Loc),OR(LG_CC="ALL",$J199=LG_CC),$D199&gt;=LG_From,$D199&lt;=LG_To),$D199+ROW()/1000000,""),"")</f>
        <v/>
      </c>
      <c r="Z199" s="32">
        <f>IF($A199=1,IF(Sales_Daily!$T19="","",Sales_Daily!$T19),"")</f>
        <v/>
      </c>
      <c r="AA199" s="32">
        <f>IF($A199=1,IF(Sales_Daily!$U19="","",Sales_Daily!$U19),"")</f>
        <v/>
      </c>
      <c r="AB199" s="32">
        <f>IF($A199=1,IF(Sales_Daily!$V19="","",Sales_Daily!$V19),"")</f>
        <v/>
      </c>
      <c r="AC199" s="32">
        <f>IF($A199=1,IF(Sales_Daily!$W19="","",Sales_Daily!$W19),"")</f>
        <v/>
      </c>
      <c r="AD199" s="32">
        <f>IF($A199=1,IF(Sales_Daily!$X19="","",Sales_Daily!$X19),"")</f>
        <v/>
      </c>
      <c r="AE199" s="32">
        <f>IF($A199=1,0,"")</f>
        <v/>
      </c>
      <c r="AF199" s="32" t="inlineStr"/>
    </row>
    <row r="200">
      <c r="A200" s="32">
        <f>IF(AND(Sales_Daily!$AV20=1,N(Sales_Daily!$L20)&gt;0),1,0)</f>
        <v/>
      </c>
      <c r="B200" s="32">
        <f>IF($A200=1,$E200&amp;"/1","")</f>
        <v/>
      </c>
      <c r="C200" s="32">
        <f>IF($A200=1,"J-"&amp;Sales_Daily!$A20,"")</f>
        <v/>
      </c>
      <c r="D200" s="33">
        <f>IF($A200=1,Sales_Daily!$B20,"")</f>
        <v/>
      </c>
      <c r="E200" s="32">
        <f>IF($A200=1,IF(Sales_Daily!$A20="","",Sales_Daily!$A20),"")</f>
        <v/>
      </c>
      <c r="F200" s="32">
        <f>IF($A200=1,"SAL","")</f>
        <v/>
      </c>
      <c r="G200" s="32">
        <f>IF($A200=1,IF(Sales_Daily!$AK20="","",Sales_Daily!$AK20),"")</f>
        <v/>
      </c>
      <c r="H200" s="32">
        <f>IF($A200=1,IF(COUNTIF(COA!$A:$A,$G200)=0,"حساب غير معرف",INDEX(COA!$B:$B,MATCH($G200,COA!$A:$A,0))),"")</f>
        <v/>
      </c>
      <c r="I200" s="32">
        <f>IF($A200=1,IF(Sales_Daily!$C20="","",Sales_Daily!$C20),"")</f>
        <v/>
      </c>
      <c r="J200" s="32">
        <f>IF($A200=1,"CC10","")</f>
        <v/>
      </c>
      <c r="K200" s="32">
        <f>IF($A200=1,"-","")</f>
        <v/>
      </c>
      <c r="L200" s="32">
        <f>IF($A200=1,"مبيعات - تحصيل CASH","")</f>
        <v/>
      </c>
      <c r="M200" s="43">
        <f>IF($A200=1,Sales_Daily!$L20,"")</f>
        <v/>
      </c>
      <c r="N200" s="43">
        <f>IF($A200=1,0,"")</f>
        <v/>
      </c>
      <c r="O200" s="32">
        <f>IF($A200=1,Sales_Daily!$S20,"")</f>
        <v/>
      </c>
      <c r="P200" s="32">
        <f>IF($A200=1,IF(Sales_Daily!$AW20="","",Sales_Daily!$AW20),"")</f>
        <v/>
      </c>
      <c r="Q200" s="32">
        <f>IF($A200=1,Sales_Daily!$AY20,"")</f>
        <v/>
      </c>
      <c r="R200" s="32">
        <f>IF($A200=1,IF(AND($Q200=1,COUNTIFS(COA!$A:$A,$G200,COA!$R:$R,1)=1),1,0),"")</f>
        <v/>
      </c>
      <c r="S200" s="43">
        <f>IF($A200=1,IF($R200=1,N($M200),0),"")</f>
        <v/>
      </c>
      <c r="T200" s="43">
        <f>IF($A200=1,IF($R200=1,N($N200),0),"")</f>
        <v/>
      </c>
      <c r="U200" s="32">
        <f>IF($A200=1,YEAR($D200)*100+MONTH($D200),"")</f>
        <v/>
      </c>
      <c r="V200" s="32">
        <f>IF($A200=1,IF(COUNTIF(COA!$A:$A,$G200)=0,0,INDEX(COA!$H:$H,MATCH($G200,COA!$A:$A,0))),"")</f>
        <v/>
      </c>
      <c r="W200" s="32">
        <f>IF($A200=1,"OPERATING","")</f>
        <v/>
      </c>
      <c r="X200" s="32">
        <f>IF($A200=1,IF($R200=1,"",IF($O200=ST_POST,IF($P200&lt;&gt;"",$P200,"حساب غير صالح أو غير نشط"),IF($O200=ST_REV,"معكوس: لا أثر على الدفاتر",IF($O200=ST_CANC,"ملغى",IF($O200=ST_APPR,"معتمد ولم يُرحَّل","مسودة"))))),"")</f>
        <v/>
      </c>
      <c r="Y200" s="32">
        <f>IF($A200=1,IF(AND($R200=1,OR(LG_Acct="",$G200=LG_Acct),OR(LG_Party="",$K200=LG_Party),OR(LG_Loc="ALL",$I200=LG_Loc),OR(LG_CC="ALL",$J200=LG_CC),$D200&gt;=LG_From,$D200&lt;=LG_To),$D200+ROW()/1000000,""),"")</f>
        <v/>
      </c>
      <c r="Z200" s="32">
        <f>IF($A200=1,IF(Sales_Daily!$T20="","",Sales_Daily!$T20),"")</f>
        <v/>
      </c>
      <c r="AA200" s="32">
        <f>IF($A200=1,IF(Sales_Daily!$U20="","",Sales_Daily!$U20),"")</f>
        <v/>
      </c>
      <c r="AB200" s="32">
        <f>IF($A200=1,IF(Sales_Daily!$V20="","",Sales_Daily!$V20),"")</f>
        <v/>
      </c>
      <c r="AC200" s="32">
        <f>IF($A200=1,IF(Sales_Daily!$W20="","",Sales_Daily!$W20),"")</f>
        <v/>
      </c>
      <c r="AD200" s="32">
        <f>IF($A200=1,IF(Sales_Daily!$X20="","",Sales_Daily!$X20),"")</f>
        <v/>
      </c>
      <c r="AE200" s="32">
        <f>IF($A200=1,0,"")</f>
        <v/>
      </c>
      <c r="AF200" s="32" t="inlineStr"/>
    </row>
    <row r="201">
      <c r="A201" s="32">
        <f>IF(AND(Sales_Daily!$AV20=1,N(Sales_Daily!$M20)&gt;0),1,0)</f>
        <v/>
      </c>
      <c r="B201" s="32">
        <f>IF($A201=1,$E201&amp;"/2","")</f>
        <v/>
      </c>
      <c r="C201" s="32">
        <f>IF($A201=1,"J-"&amp;Sales_Daily!$A20,"")</f>
        <v/>
      </c>
      <c r="D201" s="33">
        <f>IF($A201=1,Sales_Daily!$B20,"")</f>
        <v/>
      </c>
      <c r="E201" s="32">
        <f>IF($A201=1,IF(Sales_Daily!$A20="","",Sales_Daily!$A20),"")</f>
        <v/>
      </c>
      <c r="F201" s="32">
        <f>IF($A201=1,"SAL","")</f>
        <v/>
      </c>
      <c r="G201" s="32">
        <f>IF($A201=1,IF(Sales_Daily!$AL20="","",Sales_Daily!$AL20),"")</f>
        <v/>
      </c>
      <c r="H201" s="32">
        <f>IF($A201=1,IF(COUNTIF(COA!$A:$A,$G201)=0,"حساب غير معرف",INDEX(COA!$B:$B,MATCH($G201,COA!$A:$A,0))),"")</f>
        <v/>
      </c>
      <c r="I201" s="32">
        <f>IF($A201=1,IF(Sales_Daily!$C20="","",Sales_Daily!$C20),"")</f>
        <v/>
      </c>
      <c r="J201" s="32">
        <f>IF($A201=1,"CC10","")</f>
        <v/>
      </c>
      <c r="K201" s="32">
        <f>IF($A201=1,"-","")</f>
        <v/>
      </c>
      <c r="L201" s="32">
        <f>IF($A201=1,"مبيعات - تحصيل CARD","")</f>
        <v/>
      </c>
      <c r="M201" s="43">
        <f>IF($A201=1,Sales_Daily!$M20,"")</f>
        <v/>
      </c>
      <c r="N201" s="43">
        <f>IF($A201=1,0,"")</f>
        <v/>
      </c>
      <c r="O201" s="32">
        <f>IF($A201=1,Sales_Daily!$S20,"")</f>
        <v/>
      </c>
      <c r="P201" s="32">
        <f>IF($A201=1,IF(Sales_Daily!$AW20="","",Sales_Daily!$AW20),"")</f>
        <v/>
      </c>
      <c r="Q201" s="32">
        <f>IF($A201=1,Sales_Daily!$AY20,"")</f>
        <v/>
      </c>
      <c r="R201" s="32">
        <f>IF($A201=1,IF(AND($Q201=1,COUNTIFS(COA!$A:$A,$G201,COA!$R:$R,1)=1),1,0),"")</f>
        <v/>
      </c>
      <c r="S201" s="43">
        <f>IF($A201=1,IF($R201=1,N($M201),0),"")</f>
        <v/>
      </c>
      <c r="T201" s="43">
        <f>IF($A201=1,IF($R201=1,N($N201),0),"")</f>
        <v/>
      </c>
      <c r="U201" s="32">
        <f>IF($A201=1,YEAR($D201)*100+MONTH($D201),"")</f>
        <v/>
      </c>
      <c r="V201" s="32">
        <f>IF($A201=1,IF(COUNTIF(COA!$A:$A,$G201)=0,0,INDEX(COA!$H:$H,MATCH($G201,COA!$A:$A,0))),"")</f>
        <v/>
      </c>
      <c r="W201" s="32">
        <f>IF($A201=1,"OPERATING","")</f>
        <v/>
      </c>
      <c r="X201" s="32">
        <f>IF($A201=1,IF($R201=1,"",IF($O201=ST_POST,IF($P201&lt;&gt;"",$P201,"حساب غير صالح أو غير نشط"),IF($O201=ST_REV,"معكوس: لا أثر على الدفاتر",IF($O201=ST_CANC,"ملغى",IF($O201=ST_APPR,"معتمد ولم يُرحَّل","مسودة"))))),"")</f>
        <v/>
      </c>
      <c r="Y201" s="32">
        <f>IF($A201=1,IF(AND($R201=1,OR(LG_Acct="",$G201=LG_Acct),OR(LG_Party="",$K201=LG_Party),OR(LG_Loc="ALL",$I201=LG_Loc),OR(LG_CC="ALL",$J201=LG_CC),$D201&gt;=LG_From,$D201&lt;=LG_To),$D201+ROW()/1000000,""),"")</f>
        <v/>
      </c>
      <c r="Z201" s="32">
        <f>IF($A201=1,IF(Sales_Daily!$T20="","",Sales_Daily!$T20),"")</f>
        <v/>
      </c>
      <c r="AA201" s="32">
        <f>IF($A201=1,IF(Sales_Daily!$U20="","",Sales_Daily!$U20),"")</f>
        <v/>
      </c>
      <c r="AB201" s="32">
        <f>IF($A201=1,IF(Sales_Daily!$V20="","",Sales_Daily!$V20),"")</f>
        <v/>
      </c>
      <c r="AC201" s="32">
        <f>IF($A201=1,IF(Sales_Daily!$W20="","",Sales_Daily!$W20),"")</f>
        <v/>
      </c>
      <c r="AD201" s="32">
        <f>IF($A201=1,IF(Sales_Daily!$X20="","",Sales_Daily!$X20),"")</f>
        <v/>
      </c>
      <c r="AE201" s="32">
        <f>IF($A201=1,0,"")</f>
        <v/>
      </c>
      <c r="AF201" s="32" t="inlineStr"/>
    </row>
    <row r="202">
      <c r="A202" s="32">
        <f>IF(AND(Sales_Daily!$AV20=1,N(Sales_Daily!$N20)&gt;0),1,0)</f>
        <v/>
      </c>
      <c r="B202" s="32">
        <f>IF($A202=1,$E202&amp;"/3","")</f>
        <v/>
      </c>
      <c r="C202" s="32">
        <f>IF($A202=1,"J-"&amp;Sales_Daily!$A20,"")</f>
        <v/>
      </c>
      <c r="D202" s="33">
        <f>IF($A202=1,Sales_Daily!$B20,"")</f>
        <v/>
      </c>
      <c r="E202" s="32">
        <f>IF($A202=1,IF(Sales_Daily!$A20="","",Sales_Daily!$A20),"")</f>
        <v/>
      </c>
      <c r="F202" s="32">
        <f>IF($A202=1,"SAL","")</f>
        <v/>
      </c>
      <c r="G202" s="32">
        <f>IF($A202=1,IF(Sales_Daily!$AM20="","",Sales_Daily!$AM20),"")</f>
        <v/>
      </c>
      <c r="H202" s="32">
        <f>IF($A202=1,IF(COUNTIF(COA!$A:$A,$G202)=0,"حساب غير معرف",INDEX(COA!$B:$B,MATCH($G202,COA!$A:$A,0))),"")</f>
        <v/>
      </c>
      <c r="I202" s="32">
        <f>IF($A202=1,IF(Sales_Daily!$C20="","",Sales_Daily!$C20),"")</f>
        <v/>
      </c>
      <c r="J202" s="32">
        <f>IF($A202=1,"CC10","")</f>
        <v/>
      </c>
      <c r="K202" s="32">
        <f>IF($A202=1,"-","")</f>
        <v/>
      </c>
      <c r="L202" s="32">
        <f>IF($A202=1,"مبيعات - تحصيل TLB","")</f>
        <v/>
      </c>
      <c r="M202" s="43">
        <f>IF($A202=1,Sales_Daily!$N20,"")</f>
        <v/>
      </c>
      <c r="N202" s="43">
        <f>IF($A202=1,0,"")</f>
        <v/>
      </c>
      <c r="O202" s="32">
        <f>IF($A202=1,Sales_Daily!$S20,"")</f>
        <v/>
      </c>
      <c r="P202" s="32">
        <f>IF($A202=1,IF(Sales_Daily!$AW20="","",Sales_Daily!$AW20),"")</f>
        <v/>
      </c>
      <c r="Q202" s="32">
        <f>IF($A202=1,Sales_Daily!$AY20,"")</f>
        <v/>
      </c>
      <c r="R202" s="32">
        <f>IF($A202=1,IF(AND($Q202=1,COUNTIFS(COA!$A:$A,$G202,COA!$R:$R,1)=1),1,0),"")</f>
        <v/>
      </c>
      <c r="S202" s="43">
        <f>IF($A202=1,IF($R202=1,N($M202),0),"")</f>
        <v/>
      </c>
      <c r="T202" s="43">
        <f>IF($A202=1,IF($R202=1,N($N202),0),"")</f>
        <v/>
      </c>
      <c r="U202" s="32">
        <f>IF($A202=1,YEAR($D202)*100+MONTH($D202),"")</f>
        <v/>
      </c>
      <c r="V202" s="32">
        <f>IF($A202=1,IF(COUNTIF(COA!$A:$A,$G202)=0,0,INDEX(COA!$H:$H,MATCH($G202,COA!$A:$A,0))),"")</f>
        <v/>
      </c>
      <c r="W202" s="32">
        <f>IF($A202=1,"OPERATING","")</f>
        <v/>
      </c>
      <c r="X202" s="32">
        <f>IF($A202=1,IF($R202=1,"",IF($O202=ST_POST,IF($P202&lt;&gt;"",$P202,"حساب غير صالح أو غير نشط"),IF($O202=ST_REV,"معكوس: لا أثر على الدفاتر",IF($O202=ST_CANC,"ملغى",IF($O202=ST_APPR,"معتمد ولم يُرحَّل","مسودة"))))),"")</f>
        <v/>
      </c>
      <c r="Y202" s="32">
        <f>IF($A202=1,IF(AND($R202=1,OR(LG_Acct="",$G202=LG_Acct),OR(LG_Party="",$K202=LG_Party),OR(LG_Loc="ALL",$I202=LG_Loc),OR(LG_CC="ALL",$J202=LG_CC),$D202&gt;=LG_From,$D202&lt;=LG_To),$D202+ROW()/1000000,""),"")</f>
        <v/>
      </c>
      <c r="Z202" s="32">
        <f>IF($A202=1,IF(Sales_Daily!$T20="","",Sales_Daily!$T20),"")</f>
        <v/>
      </c>
      <c r="AA202" s="32">
        <f>IF($A202=1,IF(Sales_Daily!$U20="","",Sales_Daily!$U20),"")</f>
        <v/>
      </c>
      <c r="AB202" s="32">
        <f>IF($A202=1,IF(Sales_Daily!$V20="","",Sales_Daily!$V20),"")</f>
        <v/>
      </c>
      <c r="AC202" s="32">
        <f>IF($A202=1,IF(Sales_Daily!$W20="","",Sales_Daily!$W20),"")</f>
        <v/>
      </c>
      <c r="AD202" s="32">
        <f>IF($A202=1,IF(Sales_Daily!$X20="","",Sales_Daily!$X20),"")</f>
        <v/>
      </c>
      <c r="AE202" s="32">
        <f>IF($A202=1,0,"")</f>
        <v/>
      </c>
      <c r="AF202" s="32" t="inlineStr"/>
    </row>
    <row r="203">
      <c r="A203" s="32">
        <f>IF(AND(Sales_Daily!$AV20=1,N(Sales_Daily!$O20)&gt;0),1,0)</f>
        <v/>
      </c>
      <c r="B203" s="32">
        <f>IF($A203=1,$E203&amp;"/4","")</f>
        <v/>
      </c>
      <c r="C203" s="32">
        <f>IF($A203=1,"J-"&amp;Sales_Daily!$A20,"")</f>
        <v/>
      </c>
      <c r="D203" s="33">
        <f>IF($A203=1,Sales_Daily!$B20,"")</f>
        <v/>
      </c>
      <c r="E203" s="32">
        <f>IF($A203=1,IF(Sales_Daily!$A20="","",Sales_Daily!$A20),"")</f>
        <v/>
      </c>
      <c r="F203" s="32">
        <f>IF($A203=1,"SAL","")</f>
        <v/>
      </c>
      <c r="G203" s="32">
        <f>IF($A203=1,IF(Sales_Daily!$AN20="","",Sales_Daily!$AN20),"")</f>
        <v/>
      </c>
      <c r="H203" s="32">
        <f>IF($A203=1,IF(COUNTIF(COA!$A:$A,$G203)=0,"حساب غير معرف",INDEX(COA!$B:$B,MATCH($G203,COA!$A:$A,0))),"")</f>
        <v/>
      </c>
      <c r="I203" s="32">
        <f>IF($A203=1,IF(Sales_Daily!$C20="","",Sales_Daily!$C20),"")</f>
        <v/>
      </c>
      <c r="J203" s="32">
        <f>IF($A203=1,"CC10","")</f>
        <v/>
      </c>
      <c r="K203" s="32">
        <f>IF($A203=1,"-","")</f>
        <v/>
      </c>
      <c r="L203" s="32">
        <f>IF($A203=1,"مبيعات - تحصيل DLV2","")</f>
        <v/>
      </c>
      <c r="M203" s="43">
        <f>IF($A203=1,Sales_Daily!$O20,"")</f>
        <v/>
      </c>
      <c r="N203" s="43">
        <f>IF($A203=1,0,"")</f>
        <v/>
      </c>
      <c r="O203" s="32">
        <f>IF($A203=1,Sales_Daily!$S20,"")</f>
        <v/>
      </c>
      <c r="P203" s="32">
        <f>IF($A203=1,IF(Sales_Daily!$AW20="","",Sales_Daily!$AW20),"")</f>
        <v/>
      </c>
      <c r="Q203" s="32">
        <f>IF($A203=1,Sales_Daily!$AY20,"")</f>
        <v/>
      </c>
      <c r="R203" s="32">
        <f>IF($A203=1,IF(AND($Q203=1,COUNTIFS(COA!$A:$A,$G203,COA!$R:$R,1)=1),1,0),"")</f>
        <v/>
      </c>
      <c r="S203" s="43">
        <f>IF($A203=1,IF($R203=1,N($M203),0),"")</f>
        <v/>
      </c>
      <c r="T203" s="43">
        <f>IF($A203=1,IF($R203=1,N($N203),0),"")</f>
        <v/>
      </c>
      <c r="U203" s="32">
        <f>IF($A203=1,YEAR($D203)*100+MONTH($D203),"")</f>
        <v/>
      </c>
      <c r="V203" s="32">
        <f>IF($A203=1,IF(COUNTIF(COA!$A:$A,$G203)=0,0,INDEX(COA!$H:$H,MATCH($G203,COA!$A:$A,0))),"")</f>
        <v/>
      </c>
      <c r="W203" s="32">
        <f>IF($A203=1,"OPERATING","")</f>
        <v/>
      </c>
      <c r="X203" s="32">
        <f>IF($A203=1,IF($R203=1,"",IF($O203=ST_POST,IF($P203&lt;&gt;"",$P203,"حساب غير صالح أو غير نشط"),IF($O203=ST_REV,"معكوس: لا أثر على الدفاتر",IF($O203=ST_CANC,"ملغى",IF($O203=ST_APPR,"معتمد ولم يُرحَّل","مسودة"))))),"")</f>
        <v/>
      </c>
      <c r="Y203" s="32">
        <f>IF($A203=1,IF(AND($R203=1,OR(LG_Acct="",$G203=LG_Acct),OR(LG_Party="",$K203=LG_Party),OR(LG_Loc="ALL",$I203=LG_Loc),OR(LG_CC="ALL",$J203=LG_CC),$D203&gt;=LG_From,$D203&lt;=LG_To),$D203+ROW()/1000000,""),"")</f>
        <v/>
      </c>
      <c r="Z203" s="32">
        <f>IF($A203=1,IF(Sales_Daily!$T20="","",Sales_Daily!$T20),"")</f>
        <v/>
      </c>
      <c r="AA203" s="32">
        <f>IF($A203=1,IF(Sales_Daily!$U20="","",Sales_Daily!$U20),"")</f>
        <v/>
      </c>
      <c r="AB203" s="32">
        <f>IF($A203=1,IF(Sales_Daily!$V20="","",Sales_Daily!$V20),"")</f>
        <v/>
      </c>
      <c r="AC203" s="32">
        <f>IF($A203=1,IF(Sales_Daily!$W20="","",Sales_Daily!$W20),"")</f>
        <v/>
      </c>
      <c r="AD203" s="32">
        <f>IF($A203=1,IF(Sales_Daily!$X20="","",Sales_Daily!$X20),"")</f>
        <v/>
      </c>
      <c r="AE203" s="32">
        <f>IF($A203=1,0,"")</f>
        <v/>
      </c>
      <c r="AF203" s="32" t="inlineStr"/>
    </row>
    <row r="204">
      <c r="A204" s="32">
        <f>IF(AND(Sales_Daily!$AV20=1,N(Sales_Daily!$P20)&gt;0),1,0)</f>
        <v/>
      </c>
      <c r="B204" s="32">
        <f>IF($A204=1,$E204&amp;"/5","")</f>
        <v/>
      </c>
      <c r="C204" s="32">
        <f>IF($A204=1,"J-"&amp;Sales_Daily!$A20,"")</f>
        <v/>
      </c>
      <c r="D204" s="33">
        <f>IF($A204=1,Sales_Daily!$B20,"")</f>
        <v/>
      </c>
      <c r="E204" s="32">
        <f>IF($A204=1,IF(Sales_Daily!$A20="","",Sales_Daily!$A20),"")</f>
        <v/>
      </c>
      <c r="F204" s="32">
        <f>IF($A204=1,"SAL","")</f>
        <v/>
      </c>
      <c r="G204" s="32">
        <f>IF($A204=1,IF(Sales_Daily!$AO20="","",Sales_Daily!$AO20),"")</f>
        <v/>
      </c>
      <c r="H204" s="32">
        <f>IF($A204=1,IF(COUNTIF(COA!$A:$A,$G204)=0,"حساب غير معرف",INDEX(COA!$B:$B,MATCH($G204,COA!$A:$A,0))),"")</f>
        <v/>
      </c>
      <c r="I204" s="32">
        <f>IF($A204=1,IF(Sales_Daily!$C20="","",Sales_Daily!$C20),"")</f>
        <v/>
      </c>
      <c r="J204" s="32">
        <f>IF($A204=1,"CC10","")</f>
        <v/>
      </c>
      <c r="K204" s="32">
        <f>IF($A204=1,"-","")</f>
        <v/>
      </c>
      <c r="L204" s="32">
        <f>IF($A204=1,"مبيعات - تحصيل INSTA","")</f>
        <v/>
      </c>
      <c r="M204" s="43">
        <f>IF($A204=1,Sales_Daily!$P20,"")</f>
        <v/>
      </c>
      <c r="N204" s="43">
        <f>IF($A204=1,0,"")</f>
        <v/>
      </c>
      <c r="O204" s="32">
        <f>IF($A204=1,Sales_Daily!$S20,"")</f>
        <v/>
      </c>
      <c r="P204" s="32">
        <f>IF($A204=1,IF(Sales_Daily!$AW20="","",Sales_Daily!$AW20),"")</f>
        <v/>
      </c>
      <c r="Q204" s="32">
        <f>IF($A204=1,Sales_Daily!$AY20,"")</f>
        <v/>
      </c>
      <c r="R204" s="32">
        <f>IF($A204=1,IF(AND($Q204=1,COUNTIFS(COA!$A:$A,$G204,COA!$R:$R,1)=1),1,0),"")</f>
        <v/>
      </c>
      <c r="S204" s="43">
        <f>IF($A204=1,IF($R204=1,N($M204),0),"")</f>
        <v/>
      </c>
      <c r="T204" s="43">
        <f>IF($A204=1,IF($R204=1,N($N204),0),"")</f>
        <v/>
      </c>
      <c r="U204" s="32">
        <f>IF($A204=1,YEAR($D204)*100+MONTH($D204),"")</f>
        <v/>
      </c>
      <c r="V204" s="32">
        <f>IF($A204=1,IF(COUNTIF(COA!$A:$A,$G204)=0,0,INDEX(COA!$H:$H,MATCH($G204,COA!$A:$A,0))),"")</f>
        <v/>
      </c>
      <c r="W204" s="32">
        <f>IF($A204=1,"OPERATING","")</f>
        <v/>
      </c>
      <c r="X204" s="32">
        <f>IF($A204=1,IF($R204=1,"",IF($O204=ST_POST,IF($P204&lt;&gt;"",$P204,"حساب غير صالح أو غير نشط"),IF($O204=ST_REV,"معكوس: لا أثر على الدفاتر",IF($O204=ST_CANC,"ملغى",IF($O204=ST_APPR,"معتمد ولم يُرحَّل","مسودة"))))),"")</f>
        <v/>
      </c>
      <c r="Y204" s="32">
        <f>IF($A204=1,IF(AND($R204=1,OR(LG_Acct="",$G204=LG_Acct),OR(LG_Party="",$K204=LG_Party),OR(LG_Loc="ALL",$I204=LG_Loc),OR(LG_CC="ALL",$J204=LG_CC),$D204&gt;=LG_From,$D204&lt;=LG_To),$D204+ROW()/1000000,""),"")</f>
        <v/>
      </c>
      <c r="Z204" s="32">
        <f>IF($A204=1,IF(Sales_Daily!$T20="","",Sales_Daily!$T20),"")</f>
        <v/>
      </c>
      <c r="AA204" s="32">
        <f>IF($A204=1,IF(Sales_Daily!$U20="","",Sales_Daily!$U20),"")</f>
        <v/>
      </c>
      <c r="AB204" s="32">
        <f>IF($A204=1,IF(Sales_Daily!$V20="","",Sales_Daily!$V20),"")</f>
        <v/>
      </c>
      <c r="AC204" s="32">
        <f>IF($A204=1,IF(Sales_Daily!$W20="","",Sales_Daily!$W20),"")</f>
        <v/>
      </c>
      <c r="AD204" s="32">
        <f>IF($A204=1,IF(Sales_Daily!$X20="","",Sales_Daily!$X20),"")</f>
        <v/>
      </c>
      <c r="AE204" s="32">
        <f>IF($A204=1,0,"")</f>
        <v/>
      </c>
      <c r="AF204" s="32" t="inlineStr"/>
    </row>
    <row r="205">
      <c r="A205" s="32">
        <f>IF(AND(Sales_Daily!$AV20=1,N(Sales_Daily!$Q20)&gt;0),1,0)</f>
        <v/>
      </c>
      <c r="B205" s="32">
        <f>IF($A205=1,$E205&amp;"/6","")</f>
        <v/>
      </c>
      <c r="C205" s="32">
        <f>IF($A205=1,"J-"&amp;Sales_Daily!$A20,"")</f>
        <v/>
      </c>
      <c r="D205" s="33">
        <f>IF($A205=1,Sales_Daily!$B20,"")</f>
        <v/>
      </c>
      <c r="E205" s="32">
        <f>IF($A205=1,IF(Sales_Daily!$A20="","",Sales_Daily!$A20),"")</f>
        <v/>
      </c>
      <c r="F205" s="32">
        <f>IF($A205=1,"SAL","")</f>
        <v/>
      </c>
      <c r="G205" s="32">
        <f>IF($A205=1,IF(Sales_Daily!$AP20="","",Sales_Daily!$AP20),"")</f>
        <v/>
      </c>
      <c r="H205" s="32">
        <f>IF($A205=1,IF(COUNTIF(COA!$A:$A,$G205)=0,"حساب غير معرف",INDEX(COA!$B:$B,MATCH($G205,COA!$A:$A,0))),"")</f>
        <v/>
      </c>
      <c r="I205" s="32">
        <f>IF($A205=1,IF(Sales_Daily!$C20="","",Sales_Daily!$C20),"")</f>
        <v/>
      </c>
      <c r="J205" s="32">
        <f>IF($A205=1,"CC10","")</f>
        <v/>
      </c>
      <c r="K205" s="32">
        <f>IF($A205=1,"-","")</f>
        <v/>
      </c>
      <c r="L205" s="32">
        <f>IF($A205=1,"مبيعات - تحصيل OTH","")</f>
        <v/>
      </c>
      <c r="M205" s="43">
        <f>IF($A205=1,Sales_Daily!$Q20,"")</f>
        <v/>
      </c>
      <c r="N205" s="43">
        <f>IF($A205=1,0,"")</f>
        <v/>
      </c>
      <c r="O205" s="32">
        <f>IF($A205=1,Sales_Daily!$S20,"")</f>
        <v/>
      </c>
      <c r="P205" s="32">
        <f>IF($A205=1,IF(Sales_Daily!$AW20="","",Sales_Daily!$AW20),"")</f>
        <v/>
      </c>
      <c r="Q205" s="32">
        <f>IF($A205=1,Sales_Daily!$AY20,"")</f>
        <v/>
      </c>
      <c r="R205" s="32">
        <f>IF($A205=1,IF(AND($Q205=1,COUNTIFS(COA!$A:$A,$G205,COA!$R:$R,1)=1),1,0),"")</f>
        <v/>
      </c>
      <c r="S205" s="43">
        <f>IF($A205=1,IF($R205=1,N($M205),0),"")</f>
        <v/>
      </c>
      <c r="T205" s="43">
        <f>IF($A205=1,IF($R205=1,N($N205),0),"")</f>
        <v/>
      </c>
      <c r="U205" s="32">
        <f>IF($A205=1,YEAR($D205)*100+MONTH($D205),"")</f>
        <v/>
      </c>
      <c r="V205" s="32">
        <f>IF($A205=1,IF(COUNTIF(COA!$A:$A,$G205)=0,0,INDEX(COA!$H:$H,MATCH($G205,COA!$A:$A,0))),"")</f>
        <v/>
      </c>
      <c r="W205" s="32">
        <f>IF($A205=1,"OPERATING","")</f>
        <v/>
      </c>
      <c r="X205" s="32">
        <f>IF($A205=1,IF($R205=1,"",IF($O205=ST_POST,IF($P205&lt;&gt;"",$P205,"حساب غير صالح أو غير نشط"),IF($O205=ST_REV,"معكوس: لا أثر على الدفاتر",IF($O205=ST_CANC,"ملغى",IF($O205=ST_APPR,"معتمد ولم يُرحَّل","مسودة"))))),"")</f>
        <v/>
      </c>
      <c r="Y205" s="32">
        <f>IF($A205=1,IF(AND($R205=1,OR(LG_Acct="",$G205=LG_Acct),OR(LG_Party="",$K205=LG_Party),OR(LG_Loc="ALL",$I205=LG_Loc),OR(LG_CC="ALL",$J205=LG_CC),$D205&gt;=LG_From,$D205&lt;=LG_To),$D205+ROW()/1000000,""),"")</f>
        <v/>
      </c>
      <c r="Z205" s="32">
        <f>IF($A205=1,IF(Sales_Daily!$T20="","",Sales_Daily!$T20),"")</f>
        <v/>
      </c>
      <c r="AA205" s="32">
        <f>IF($A205=1,IF(Sales_Daily!$U20="","",Sales_Daily!$U20),"")</f>
        <v/>
      </c>
      <c r="AB205" s="32">
        <f>IF($A205=1,IF(Sales_Daily!$V20="","",Sales_Daily!$V20),"")</f>
        <v/>
      </c>
      <c r="AC205" s="32">
        <f>IF($A205=1,IF(Sales_Daily!$W20="","",Sales_Daily!$W20),"")</f>
        <v/>
      </c>
      <c r="AD205" s="32">
        <f>IF($A205=1,IF(Sales_Daily!$X20="","",Sales_Daily!$X20),"")</f>
        <v/>
      </c>
      <c r="AE205" s="32">
        <f>IF($A205=1,0,"")</f>
        <v/>
      </c>
      <c r="AF205" s="32" t="inlineStr"/>
    </row>
    <row r="206">
      <c r="A206" s="32">
        <f>IF(AND(Sales_Daily!$AV20=1,N(Sales_Daily!$AH20)&gt;0),1,0)</f>
        <v/>
      </c>
      <c r="B206" s="32">
        <f>IF($A206=1,$E206&amp;"/7","")</f>
        <v/>
      </c>
      <c r="C206" s="32">
        <f>IF($A206=1,"J-"&amp;Sales_Daily!$A20,"")</f>
        <v/>
      </c>
      <c r="D206" s="33">
        <f>IF($A206=1,Sales_Daily!$B20,"")</f>
        <v/>
      </c>
      <c r="E206" s="32">
        <f>IF($A206=1,IF(Sales_Daily!$A20="","",Sales_Daily!$A20),"")</f>
        <v/>
      </c>
      <c r="F206" s="32">
        <f>IF($A206=1,"SAL","")</f>
        <v/>
      </c>
      <c r="G206" s="32">
        <f>IF($A206=1,ACC_DISC,"")</f>
        <v/>
      </c>
      <c r="H206" s="32">
        <f>IF($A206=1,IF(COUNTIF(COA!$A:$A,$G206)=0,"حساب غير معرف",INDEX(COA!$B:$B,MATCH($G206,COA!$A:$A,0))),"")</f>
        <v/>
      </c>
      <c r="I206" s="32">
        <f>IF($A206=1,IF(Sales_Daily!$C20="","",Sales_Daily!$C20),"")</f>
        <v/>
      </c>
      <c r="J206" s="32">
        <f>IF($A206=1,"CC10","")</f>
        <v/>
      </c>
      <c r="K206" s="32">
        <f>IF($A206=1,"-","")</f>
        <v/>
      </c>
      <c r="L206" s="32">
        <f>IF($A206=1,"خصومات المبيعات والعروض","")</f>
        <v/>
      </c>
      <c r="M206" s="43">
        <f>IF($A206=1,Sales_Daily!$AH20,"")</f>
        <v/>
      </c>
      <c r="N206" s="43">
        <f>IF($A206=1,0,"")</f>
        <v/>
      </c>
      <c r="O206" s="32">
        <f>IF($A206=1,Sales_Daily!$S20,"")</f>
        <v/>
      </c>
      <c r="P206" s="32">
        <f>IF($A206=1,IF(Sales_Daily!$AW20="","",Sales_Daily!$AW20),"")</f>
        <v/>
      </c>
      <c r="Q206" s="32">
        <f>IF($A206=1,Sales_Daily!$AY20,"")</f>
        <v/>
      </c>
      <c r="R206" s="32">
        <f>IF($A206=1,IF(AND($Q206=1,COUNTIFS(COA!$A:$A,$G206,COA!$R:$R,1)=1),1,0),"")</f>
        <v/>
      </c>
      <c r="S206" s="43">
        <f>IF($A206=1,IF($R206=1,N($M206),0),"")</f>
        <v/>
      </c>
      <c r="T206" s="43">
        <f>IF($A206=1,IF($R206=1,N($N206),0),"")</f>
        <v/>
      </c>
      <c r="U206" s="32">
        <f>IF($A206=1,YEAR($D206)*100+MONTH($D206),"")</f>
        <v/>
      </c>
      <c r="V206" s="32">
        <f>IF($A206=1,IF(COUNTIF(COA!$A:$A,$G206)=0,0,INDEX(COA!$H:$H,MATCH($G206,COA!$A:$A,0))),"")</f>
        <v/>
      </c>
      <c r="W206" s="32">
        <f>IF($A206=1,"","")</f>
        <v/>
      </c>
      <c r="X206" s="32">
        <f>IF($A206=1,IF($R206=1,"",IF($O206=ST_POST,IF($P206&lt;&gt;"",$P206,"حساب غير صالح أو غير نشط"),IF($O206=ST_REV,"معكوس: لا أثر على الدفاتر",IF($O206=ST_CANC,"ملغى",IF($O206=ST_APPR,"معتمد ولم يُرحَّل","مسودة"))))),"")</f>
        <v/>
      </c>
      <c r="Y206" s="32">
        <f>IF($A206=1,IF(AND($R206=1,OR(LG_Acct="",$G206=LG_Acct),OR(LG_Party="",$K206=LG_Party),OR(LG_Loc="ALL",$I206=LG_Loc),OR(LG_CC="ALL",$J206=LG_CC),$D206&gt;=LG_From,$D206&lt;=LG_To),$D206+ROW()/1000000,""),"")</f>
        <v/>
      </c>
      <c r="Z206" s="32">
        <f>IF($A206=1,IF(Sales_Daily!$T20="","",Sales_Daily!$T20),"")</f>
        <v/>
      </c>
      <c r="AA206" s="32">
        <f>IF($A206=1,IF(Sales_Daily!$U20="","",Sales_Daily!$U20),"")</f>
        <v/>
      </c>
      <c r="AB206" s="32">
        <f>IF($A206=1,IF(Sales_Daily!$V20="","",Sales_Daily!$V20),"")</f>
        <v/>
      </c>
      <c r="AC206" s="32">
        <f>IF($A206=1,IF(Sales_Daily!$W20="","",Sales_Daily!$W20),"")</f>
        <v/>
      </c>
      <c r="AD206" s="32">
        <f>IF($A206=1,IF(Sales_Daily!$X20="","",Sales_Daily!$X20),"")</f>
        <v/>
      </c>
      <c r="AE206" s="32">
        <f>IF($A206=1,0,"")</f>
        <v/>
      </c>
      <c r="AF206" s="32" t="inlineStr"/>
    </row>
    <row r="207">
      <c r="A207" s="32">
        <f>IF(AND(Sales_Daily!$AV20=1,N(Sales_Daily!$AI20)&gt;0),1,0)</f>
        <v/>
      </c>
      <c r="B207" s="32">
        <f>IF($A207=1,$E207&amp;"/8","")</f>
        <v/>
      </c>
      <c r="C207" s="32">
        <f>IF($A207=1,"J-"&amp;Sales_Daily!$A20,"")</f>
        <v/>
      </c>
      <c r="D207" s="33">
        <f>IF($A207=1,Sales_Daily!$B20,"")</f>
        <v/>
      </c>
      <c r="E207" s="32">
        <f>IF($A207=1,IF(Sales_Daily!$A20="","",Sales_Daily!$A20),"")</f>
        <v/>
      </c>
      <c r="F207" s="32">
        <f>IF($A207=1,"SAL","")</f>
        <v/>
      </c>
      <c r="G207" s="32">
        <f>IF($A207=1,ACC_RET,"")</f>
        <v/>
      </c>
      <c r="H207" s="32">
        <f>IF($A207=1,IF(COUNTIF(COA!$A:$A,$G207)=0,"حساب غير معرف",INDEX(COA!$B:$B,MATCH($G207,COA!$A:$A,0))),"")</f>
        <v/>
      </c>
      <c r="I207" s="32">
        <f>IF($A207=1,IF(Sales_Daily!$C20="","",Sales_Daily!$C20),"")</f>
        <v/>
      </c>
      <c r="J207" s="32">
        <f>IF($A207=1,"CC10","")</f>
        <v/>
      </c>
      <c r="K207" s="32">
        <f>IF($A207=1,"-","")</f>
        <v/>
      </c>
      <c r="L207" s="32">
        <f>IF($A207=1,"مرتجعات وإلغاءات المبيعات","")</f>
        <v/>
      </c>
      <c r="M207" s="43">
        <f>IF($A207=1,Sales_Daily!$AI20,"")</f>
        <v/>
      </c>
      <c r="N207" s="43">
        <f>IF($A207=1,0,"")</f>
        <v/>
      </c>
      <c r="O207" s="32">
        <f>IF($A207=1,Sales_Daily!$S20,"")</f>
        <v/>
      </c>
      <c r="P207" s="32">
        <f>IF($A207=1,IF(Sales_Daily!$AW20="","",Sales_Daily!$AW20),"")</f>
        <v/>
      </c>
      <c r="Q207" s="32">
        <f>IF($A207=1,Sales_Daily!$AY20,"")</f>
        <v/>
      </c>
      <c r="R207" s="32">
        <f>IF($A207=1,IF(AND($Q207=1,COUNTIFS(COA!$A:$A,$G207,COA!$R:$R,1)=1),1,0),"")</f>
        <v/>
      </c>
      <c r="S207" s="43">
        <f>IF($A207=1,IF($R207=1,N($M207),0),"")</f>
        <v/>
      </c>
      <c r="T207" s="43">
        <f>IF($A207=1,IF($R207=1,N($N207),0),"")</f>
        <v/>
      </c>
      <c r="U207" s="32">
        <f>IF($A207=1,YEAR($D207)*100+MONTH($D207),"")</f>
        <v/>
      </c>
      <c r="V207" s="32">
        <f>IF($A207=1,IF(COUNTIF(COA!$A:$A,$G207)=0,0,INDEX(COA!$H:$H,MATCH($G207,COA!$A:$A,0))),"")</f>
        <v/>
      </c>
      <c r="W207" s="32">
        <f>IF($A207=1,"","")</f>
        <v/>
      </c>
      <c r="X207" s="32">
        <f>IF($A207=1,IF($R207=1,"",IF($O207=ST_POST,IF($P207&lt;&gt;"",$P207,"حساب غير صالح أو غير نشط"),IF($O207=ST_REV,"معكوس: لا أثر على الدفاتر",IF($O207=ST_CANC,"ملغى",IF($O207=ST_APPR,"معتمد ولم يُرحَّل","مسودة"))))),"")</f>
        <v/>
      </c>
      <c r="Y207" s="32">
        <f>IF($A207=1,IF(AND($R207=1,OR(LG_Acct="",$G207=LG_Acct),OR(LG_Party="",$K207=LG_Party),OR(LG_Loc="ALL",$I207=LG_Loc),OR(LG_CC="ALL",$J207=LG_CC),$D207&gt;=LG_From,$D207&lt;=LG_To),$D207+ROW()/1000000,""),"")</f>
        <v/>
      </c>
      <c r="Z207" s="32">
        <f>IF($A207=1,IF(Sales_Daily!$T20="","",Sales_Daily!$T20),"")</f>
        <v/>
      </c>
      <c r="AA207" s="32">
        <f>IF($A207=1,IF(Sales_Daily!$U20="","",Sales_Daily!$U20),"")</f>
        <v/>
      </c>
      <c r="AB207" s="32">
        <f>IF($A207=1,IF(Sales_Daily!$V20="","",Sales_Daily!$V20),"")</f>
        <v/>
      </c>
      <c r="AC207" s="32">
        <f>IF($A207=1,IF(Sales_Daily!$W20="","",Sales_Daily!$W20),"")</f>
        <v/>
      </c>
      <c r="AD207" s="32">
        <f>IF($A207=1,IF(Sales_Daily!$X20="","",Sales_Daily!$X20),"")</f>
        <v/>
      </c>
      <c r="AE207" s="32">
        <f>IF($A207=1,0,"")</f>
        <v/>
      </c>
      <c r="AF207" s="32" t="inlineStr"/>
    </row>
    <row r="208">
      <c r="A208" s="32">
        <f>IF(AND(Sales_Daily!$AV20=1,N(Sales_Daily!$AD20)&gt;0),1,0)</f>
        <v/>
      </c>
      <c r="B208" s="32">
        <f>IF($A208=1,$E208&amp;"/9","")</f>
        <v/>
      </c>
      <c r="C208" s="32">
        <f>IF($A208=1,"J-"&amp;Sales_Daily!$A20,"")</f>
        <v/>
      </c>
      <c r="D208" s="33">
        <f>IF($A208=1,Sales_Daily!$B20,"")</f>
        <v/>
      </c>
      <c r="E208" s="32">
        <f>IF($A208=1,IF(Sales_Daily!$A20="","",Sales_Daily!$A20),"")</f>
        <v/>
      </c>
      <c r="F208" s="32">
        <f>IF($A208=1,"SAL","")</f>
        <v/>
      </c>
      <c r="G208" s="32">
        <f>IF($A208=1,IF(Sales_Daily!$AQ20="","",Sales_Daily!$AQ20),"")</f>
        <v/>
      </c>
      <c r="H208" s="32">
        <f>IF($A208=1,IF(COUNTIF(COA!$A:$A,$G208)=0,"حساب غير معرف",INDEX(COA!$B:$B,MATCH($G208,COA!$A:$A,0))),"")</f>
        <v/>
      </c>
      <c r="I208" s="32">
        <f>IF($A208=1,IF(Sales_Daily!$C20="","",Sales_Daily!$C20),"")</f>
        <v/>
      </c>
      <c r="J208" s="32">
        <f>IF($A208=1,"CC10","")</f>
        <v/>
      </c>
      <c r="K208" s="32">
        <f>IF($A208=1,"-","")</f>
        <v/>
      </c>
      <c r="L208" s="32">
        <f>IF($A208=1,"إيراد مبيعات - فئة فطير","")</f>
        <v/>
      </c>
      <c r="M208" s="43">
        <f>IF($A208=1,0,"")</f>
        <v/>
      </c>
      <c r="N208" s="43">
        <f>IF($A208=1,Sales_Daily!$AD20,"")</f>
        <v/>
      </c>
      <c r="O208" s="32">
        <f>IF($A208=1,Sales_Daily!$S20,"")</f>
        <v/>
      </c>
      <c r="P208" s="32">
        <f>IF($A208=1,IF(Sales_Daily!$AW20="","",Sales_Daily!$AW20),"")</f>
        <v/>
      </c>
      <c r="Q208" s="32">
        <f>IF($A208=1,Sales_Daily!$AY20,"")</f>
        <v/>
      </c>
      <c r="R208" s="32">
        <f>IF($A208=1,IF(AND($Q208=1,COUNTIFS(COA!$A:$A,$G208,COA!$R:$R,1)=1),1,0),"")</f>
        <v/>
      </c>
      <c r="S208" s="43">
        <f>IF($A208=1,IF($R208=1,N($M208),0),"")</f>
        <v/>
      </c>
      <c r="T208" s="43">
        <f>IF($A208=1,IF($R208=1,N($N208),0),"")</f>
        <v/>
      </c>
      <c r="U208" s="32">
        <f>IF($A208=1,YEAR($D208)*100+MONTH($D208),"")</f>
        <v/>
      </c>
      <c r="V208" s="32">
        <f>IF($A208=1,IF(COUNTIF(COA!$A:$A,$G208)=0,0,INDEX(COA!$H:$H,MATCH($G208,COA!$A:$A,0))),"")</f>
        <v/>
      </c>
      <c r="W208" s="32">
        <f>IF($A208=1,"","")</f>
        <v/>
      </c>
      <c r="X208" s="32">
        <f>IF($A208=1,IF($R208=1,"",IF($O208=ST_POST,IF($P208&lt;&gt;"",$P208,"حساب غير صالح أو غير نشط"),IF($O208=ST_REV,"معكوس: لا أثر على الدفاتر",IF($O208=ST_CANC,"ملغى",IF($O208=ST_APPR,"معتمد ولم يُرحَّل","مسودة"))))),"")</f>
        <v/>
      </c>
      <c r="Y208" s="32">
        <f>IF($A208=1,IF(AND($R208=1,OR(LG_Acct="",$G208=LG_Acct),OR(LG_Party="",$K208=LG_Party),OR(LG_Loc="ALL",$I208=LG_Loc),OR(LG_CC="ALL",$J208=LG_CC),$D208&gt;=LG_From,$D208&lt;=LG_To),$D208+ROW()/1000000,""),"")</f>
        <v/>
      </c>
      <c r="Z208" s="32">
        <f>IF($A208=1,IF(Sales_Daily!$T20="","",Sales_Daily!$T20),"")</f>
        <v/>
      </c>
      <c r="AA208" s="32">
        <f>IF($A208=1,IF(Sales_Daily!$U20="","",Sales_Daily!$U20),"")</f>
        <v/>
      </c>
      <c r="AB208" s="32">
        <f>IF($A208=1,IF(Sales_Daily!$V20="","",Sales_Daily!$V20),"")</f>
        <v/>
      </c>
      <c r="AC208" s="32">
        <f>IF($A208=1,IF(Sales_Daily!$W20="","",Sales_Daily!$W20),"")</f>
        <v/>
      </c>
      <c r="AD208" s="32">
        <f>IF($A208=1,IF(Sales_Daily!$X20="","",Sales_Daily!$X20),"")</f>
        <v/>
      </c>
      <c r="AE208" s="32">
        <f>IF($A208=1,0,"")</f>
        <v/>
      </c>
      <c r="AF208" s="32" t="inlineStr"/>
    </row>
    <row r="209">
      <c r="A209" s="32">
        <f>IF(AND(Sales_Daily!$AV20=1,N(Sales_Daily!$AE20)&gt;0),1,0)</f>
        <v/>
      </c>
      <c r="B209" s="32">
        <f>IF($A209=1,$E209&amp;"/10","")</f>
        <v/>
      </c>
      <c r="C209" s="32">
        <f>IF($A209=1,"J-"&amp;Sales_Daily!$A20,"")</f>
        <v/>
      </c>
      <c r="D209" s="33">
        <f>IF($A209=1,Sales_Daily!$B20,"")</f>
        <v/>
      </c>
      <c r="E209" s="32">
        <f>IF($A209=1,IF(Sales_Daily!$A20="","",Sales_Daily!$A20),"")</f>
        <v/>
      </c>
      <c r="F209" s="32">
        <f>IF($A209=1,"SAL","")</f>
        <v/>
      </c>
      <c r="G209" s="32">
        <f>IF($A209=1,IF(Sales_Daily!$AR20="","",Sales_Daily!$AR20),"")</f>
        <v/>
      </c>
      <c r="H209" s="32">
        <f>IF($A209=1,IF(COUNTIF(COA!$A:$A,$G209)=0,"حساب غير معرف",INDEX(COA!$B:$B,MATCH($G209,COA!$A:$A,0))),"")</f>
        <v/>
      </c>
      <c r="I209" s="32">
        <f>IF($A209=1,IF(Sales_Daily!$C20="","",Sales_Daily!$C20),"")</f>
        <v/>
      </c>
      <c r="J209" s="32">
        <f>IF($A209=1,"CC10","")</f>
        <v/>
      </c>
      <c r="K209" s="32">
        <f>IF($A209=1,"-","")</f>
        <v/>
      </c>
      <c r="L209" s="32">
        <f>IF($A209=1,"إيراد مبيعات - فئة بيتزا","")</f>
        <v/>
      </c>
      <c r="M209" s="43">
        <f>IF($A209=1,0,"")</f>
        <v/>
      </c>
      <c r="N209" s="43">
        <f>IF($A209=1,Sales_Daily!$AE20,"")</f>
        <v/>
      </c>
      <c r="O209" s="32">
        <f>IF($A209=1,Sales_Daily!$S20,"")</f>
        <v/>
      </c>
      <c r="P209" s="32">
        <f>IF($A209=1,IF(Sales_Daily!$AW20="","",Sales_Daily!$AW20),"")</f>
        <v/>
      </c>
      <c r="Q209" s="32">
        <f>IF($A209=1,Sales_Daily!$AY20,"")</f>
        <v/>
      </c>
      <c r="R209" s="32">
        <f>IF($A209=1,IF(AND($Q209=1,COUNTIFS(COA!$A:$A,$G209,COA!$R:$R,1)=1),1,0),"")</f>
        <v/>
      </c>
      <c r="S209" s="43">
        <f>IF($A209=1,IF($R209=1,N($M209),0),"")</f>
        <v/>
      </c>
      <c r="T209" s="43">
        <f>IF($A209=1,IF($R209=1,N($N209),0),"")</f>
        <v/>
      </c>
      <c r="U209" s="32">
        <f>IF($A209=1,YEAR($D209)*100+MONTH($D209),"")</f>
        <v/>
      </c>
      <c r="V209" s="32">
        <f>IF($A209=1,IF(COUNTIF(COA!$A:$A,$G209)=0,0,INDEX(COA!$H:$H,MATCH($G209,COA!$A:$A,0))),"")</f>
        <v/>
      </c>
      <c r="W209" s="32">
        <f>IF($A209=1,"","")</f>
        <v/>
      </c>
      <c r="X209" s="32">
        <f>IF($A209=1,IF($R209=1,"",IF($O209=ST_POST,IF($P209&lt;&gt;"",$P209,"حساب غير صالح أو غير نشط"),IF($O209=ST_REV,"معكوس: لا أثر على الدفاتر",IF($O209=ST_CANC,"ملغى",IF($O209=ST_APPR,"معتمد ولم يُرحَّل","مسودة"))))),"")</f>
        <v/>
      </c>
      <c r="Y209" s="32">
        <f>IF($A209=1,IF(AND($R209=1,OR(LG_Acct="",$G209=LG_Acct),OR(LG_Party="",$K209=LG_Party),OR(LG_Loc="ALL",$I209=LG_Loc),OR(LG_CC="ALL",$J209=LG_CC),$D209&gt;=LG_From,$D209&lt;=LG_To),$D209+ROW()/1000000,""),"")</f>
        <v/>
      </c>
      <c r="Z209" s="32">
        <f>IF($A209=1,IF(Sales_Daily!$T20="","",Sales_Daily!$T20),"")</f>
        <v/>
      </c>
      <c r="AA209" s="32">
        <f>IF($A209=1,IF(Sales_Daily!$U20="","",Sales_Daily!$U20),"")</f>
        <v/>
      </c>
      <c r="AB209" s="32">
        <f>IF($A209=1,IF(Sales_Daily!$V20="","",Sales_Daily!$V20),"")</f>
        <v/>
      </c>
      <c r="AC209" s="32">
        <f>IF($A209=1,IF(Sales_Daily!$W20="","",Sales_Daily!$W20),"")</f>
        <v/>
      </c>
      <c r="AD209" s="32">
        <f>IF($A209=1,IF(Sales_Daily!$X20="","",Sales_Daily!$X20),"")</f>
        <v/>
      </c>
      <c r="AE209" s="32">
        <f>IF($A209=1,0,"")</f>
        <v/>
      </c>
      <c r="AF209" s="32" t="inlineStr"/>
    </row>
    <row r="210">
      <c r="A210" s="32">
        <f>IF(AND(Sales_Daily!$AV20=1,N(Sales_Daily!$AF20)&gt;0),1,0)</f>
        <v/>
      </c>
      <c r="B210" s="32">
        <f>IF($A210=1,$E210&amp;"/11","")</f>
        <v/>
      </c>
      <c r="C210" s="32">
        <f>IF($A210=1,"J-"&amp;Sales_Daily!$A20,"")</f>
        <v/>
      </c>
      <c r="D210" s="33">
        <f>IF($A210=1,Sales_Daily!$B20,"")</f>
        <v/>
      </c>
      <c r="E210" s="32">
        <f>IF($A210=1,IF(Sales_Daily!$A20="","",Sales_Daily!$A20),"")</f>
        <v/>
      </c>
      <c r="F210" s="32">
        <f>IF($A210=1,"SAL","")</f>
        <v/>
      </c>
      <c r="G210" s="32">
        <f>IF($A210=1,IF(Sales_Daily!$AS20="","",Sales_Daily!$AS20),"")</f>
        <v/>
      </c>
      <c r="H210" s="32">
        <f>IF($A210=1,IF(COUNTIF(COA!$A:$A,$G210)=0,"حساب غير معرف",INDEX(COA!$B:$B,MATCH($G210,COA!$A:$A,0))),"")</f>
        <v/>
      </c>
      <c r="I210" s="32">
        <f>IF($A210=1,IF(Sales_Daily!$C20="","",Sales_Daily!$C20),"")</f>
        <v/>
      </c>
      <c r="J210" s="32">
        <f>IF($A210=1,"CC10","")</f>
        <v/>
      </c>
      <c r="K210" s="32">
        <f>IF($A210=1,"-","")</f>
        <v/>
      </c>
      <c r="L210" s="32">
        <f>IF($A210=1,"إيراد مبيعات - فئة مكرونات","")</f>
        <v/>
      </c>
      <c r="M210" s="43">
        <f>IF($A210=1,0,"")</f>
        <v/>
      </c>
      <c r="N210" s="43">
        <f>IF($A210=1,Sales_Daily!$AF20,"")</f>
        <v/>
      </c>
      <c r="O210" s="32">
        <f>IF($A210=1,Sales_Daily!$S20,"")</f>
        <v/>
      </c>
      <c r="P210" s="32">
        <f>IF($A210=1,IF(Sales_Daily!$AW20="","",Sales_Daily!$AW20),"")</f>
        <v/>
      </c>
      <c r="Q210" s="32">
        <f>IF($A210=1,Sales_Daily!$AY20,"")</f>
        <v/>
      </c>
      <c r="R210" s="32">
        <f>IF($A210=1,IF(AND($Q210=1,COUNTIFS(COA!$A:$A,$G210,COA!$R:$R,1)=1),1,0),"")</f>
        <v/>
      </c>
      <c r="S210" s="43">
        <f>IF($A210=1,IF($R210=1,N($M210),0),"")</f>
        <v/>
      </c>
      <c r="T210" s="43">
        <f>IF($A210=1,IF($R210=1,N($N210),0),"")</f>
        <v/>
      </c>
      <c r="U210" s="32">
        <f>IF($A210=1,YEAR($D210)*100+MONTH($D210),"")</f>
        <v/>
      </c>
      <c r="V210" s="32">
        <f>IF($A210=1,IF(COUNTIF(COA!$A:$A,$G210)=0,0,INDEX(COA!$H:$H,MATCH($G210,COA!$A:$A,0))),"")</f>
        <v/>
      </c>
      <c r="W210" s="32">
        <f>IF($A210=1,"","")</f>
        <v/>
      </c>
      <c r="X210" s="32">
        <f>IF($A210=1,IF($R210=1,"",IF($O210=ST_POST,IF($P210&lt;&gt;"",$P210,"حساب غير صالح أو غير نشط"),IF($O210=ST_REV,"معكوس: لا أثر على الدفاتر",IF($O210=ST_CANC,"ملغى",IF($O210=ST_APPR,"معتمد ولم يُرحَّل","مسودة"))))),"")</f>
        <v/>
      </c>
      <c r="Y210" s="32">
        <f>IF($A210=1,IF(AND($R210=1,OR(LG_Acct="",$G210=LG_Acct),OR(LG_Party="",$K210=LG_Party),OR(LG_Loc="ALL",$I210=LG_Loc),OR(LG_CC="ALL",$J210=LG_CC),$D210&gt;=LG_From,$D210&lt;=LG_To),$D210+ROW()/1000000,""),"")</f>
        <v/>
      </c>
      <c r="Z210" s="32">
        <f>IF($A210=1,IF(Sales_Daily!$T20="","",Sales_Daily!$T20),"")</f>
        <v/>
      </c>
      <c r="AA210" s="32">
        <f>IF($A210=1,IF(Sales_Daily!$U20="","",Sales_Daily!$U20),"")</f>
        <v/>
      </c>
      <c r="AB210" s="32">
        <f>IF($A210=1,IF(Sales_Daily!$V20="","",Sales_Daily!$V20),"")</f>
        <v/>
      </c>
      <c r="AC210" s="32">
        <f>IF($A210=1,IF(Sales_Daily!$W20="","",Sales_Daily!$W20),"")</f>
        <v/>
      </c>
      <c r="AD210" s="32">
        <f>IF($A210=1,IF(Sales_Daily!$X20="","",Sales_Daily!$X20),"")</f>
        <v/>
      </c>
      <c r="AE210" s="32">
        <f>IF($A210=1,0,"")</f>
        <v/>
      </c>
      <c r="AF210" s="32" t="inlineStr"/>
    </row>
    <row r="211">
      <c r="A211" s="32">
        <f>IF(AND(Sales_Daily!$AV20=1,N(Sales_Daily!$AG20)&gt;0),1,0)</f>
        <v/>
      </c>
      <c r="B211" s="32">
        <f>IF($A211=1,$E211&amp;"/12","")</f>
        <v/>
      </c>
      <c r="C211" s="32">
        <f>IF($A211=1,"J-"&amp;Sales_Daily!$A20,"")</f>
        <v/>
      </c>
      <c r="D211" s="33">
        <f>IF($A211=1,Sales_Daily!$B20,"")</f>
        <v/>
      </c>
      <c r="E211" s="32">
        <f>IF($A211=1,IF(Sales_Daily!$A20="","",Sales_Daily!$A20),"")</f>
        <v/>
      </c>
      <c r="F211" s="32">
        <f>IF($A211=1,"SAL","")</f>
        <v/>
      </c>
      <c r="G211" s="32">
        <f>IF($A211=1,IF(Sales_Daily!$AT20="","",Sales_Daily!$AT20),"")</f>
        <v/>
      </c>
      <c r="H211" s="32">
        <f>IF($A211=1,IF(COUNTIF(COA!$A:$A,$G211)=0,"حساب غير معرف",INDEX(COA!$B:$B,MATCH($G211,COA!$A:$A,0))),"")</f>
        <v/>
      </c>
      <c r="I211" s="32">
        <f>IF($A211=1,IF(Sales_Daily!$C20="","",Sales_Daily!$C20),"")</f>
        <v/>
      </c>
      <c r="J211" s="32">
        <f>IF($A211=1,"CC10","")</f>
        <v/>
      </c>
      <c r="K211" s="32">
        <f>IF($A211=1,"-","")</f>
        <v/>
      </c>
      <c r="L211" s="32">
        <f>IF($A211=1,"إيراد مبيعات - فئة أخرى","")</f>
        <v/>
      </c>
      <c r="M211" s="43">
        <f>IF($A211=1,0,"")</f>
        <v/>
      </c>
      <c r="N211" s="43">
        <f>IF($A211=1,Sales_Daily!$AG20,"")</f>
        <v/>
      </c>
      <c r="O211" s="32">
        <f>IF($A211=1,Sales_Daily!$S20,"")</f>
        <v/>
      </c>
      <c r="P211" s="32">
        <f>IF($A211=1,IF(Sales_Daily!$AW20="","",Sales_Daily!$AW20),"")</f>
        <v/>
      </c>
      <c r="Q211" s="32">
        <f>IF($A211=1,Sales_Daily!$AY20,"")</f>
        <v/>
      </c>
      <c r="R211" s="32">
        <f>IF($A211=1,IF(AND($Q211=1,COUNTIFS(COA!$A:$A,$G211,COA!$R:$R,1)=1),1,0),"")</f>
        <v/>
      </c>
      <c r="S211" s="43">
        <f>IF($A211=1,IF($R211=1,N($M211),0),"")</f>
        <v/>
      </c>
      <c r="T211" s="43">
        <f>IF($A211=1,IF($R211=1,N($N211),0),"")</f>
        <v/>
      </c>
      <c r="U211" s="32">
        <f>IF($A211=1,YEAR($D211)*100+MONTH($D211),"")</f>
        <v/>
      </c>
      <c r="V211" s="32">
        <f>IF($A211=1,IF(COUNTIF(COA!$A:$A,$G211)=0,0,INDEX(COA!$H:$H,MATCH($G211,COA!$A:$A,0))),"")</f>
        <v/>
      </c>
      <c r="W211" s="32">
        <f>IF($A211=1,"","")</f>
        <v/>
      </c>
      <c r="X211" s="32">
        <f>IF($A211=1,IF($R211=1,"",IF($O211=ST_POST,IF($P211&lt;&gt;"",$P211,"حساب غير صالح أو غير نشط"),IF($O211=ST_REV,"معكوس: لا أثر على الدفاتر",IF($O211=ST_CANC,"ملغى",IF($O211=ST_APPR,"معتمد ولم يُرحَّل","مسودة"))))),"")</f>
        <v/>
      </c>
      <c r="Y211" s="32">
        <f>IF($A211=1,IF(AND($R211=1,OR(LG_Acct="",$G211=LG_Acct),OR(LG_Party="",$K211=LG_Party),OR(LG_Loc="ALL",$I211=LG_Loc),OR(LG_CC="ALL",$J211=LG_CC),$D211&gt;=LG_From,$D211&lt;=LG_To),$D211+ROW()/1000000,""),"")</f>
        <v/>
      </c>
      <c r="Z211" s="32">
        <f>IF($A211=1,IF(Sales_Daily!$T20="","",Sales_Daily!$T20),"")</f>
        <v/>
      </c>
      <c r="AA211" s="32">
        <f>IF($A211=1,IF(Sales_Daily!$U20="","",Sales_Daily!$U20),"")</f>
        <v/>
      </c>
      <c r="AB211" s="32">
        <f>IF($A211=1,IF(Sales_Daily!$V20="","",Sales_Daily!$V20),"")</f>
        <v/>
      </c>
      <c r="AC211" s="32">
        <f>IF($A211=1,IF(Sales_Daily!$W20="","",Sales_Daily!$W20),"")</f>
        <v/>
      </c>
      <c r="AD211" s="32">
        <f>IF($A211=1,IF(Sales_Daily!$X20="","",Sales_Daily!$X20),"")</f>
        <v/>
      </c>
      <c r="AE211" s="32">
        <f>IF($A211=1,0,"")</f>
        <v/>
      </c>
      <c r="AF211" s="32" t="inlineStr"/>
    </row>
    <row r="212">
      <c r="A212" s="32">
        <f>IF(AND(Sales_Daily!$AV20=1,N(Sales_Daily!$AJ20)&gt;0),1,0)</f>
        <v/>
      </c>
      <c r="B212" s="32">
        <f>IF($A212=1,$E212&amp;"/13","")</f>
        <v/>
      </c>
      <c r="C212" s="32">
        <f>IF($A212=1,"J-"&amp;Sales_Daily!$A20,"")</f>
        <v/>
      </c>
      <c r="D212" s="33">
        <f>IF($A212=1,Sales_Daily!$B20,"")</f>
        <v/>
      </c>
      <c r="E212" s="32">
        <f>IF($A212=1,IF(Sales_Daily!$A20="","",Sales_Daily!$A20),"")</f>
        <v/>
      </c>
      <c r="F212" s="32">
        <f>IF($A212=1,"SAL","")</f>
        <v/>
      </c>
      <c r="G212" s="32">
        <f>IF($A212=1,ACC_VAT_OUT,"")</f>
        <v/>
      </c>
      <c r="H212" s="32">
        <f>IF($A212=1,IF(COUNTIF(COA!$A:$A,$G212)=0,"حساب غير معرف",INDEX(COA!$B:$B,MATCH($G212,COA!$A:$A,0))),"")</f>
        <v/>
      </c>
      <c r="I212" s="32">
        <f>IF($A212=1,IF(Sales_Daily!$C20="","",Sales_Daily!$C20),"")</f>
        <v/>
      </c>
      <c r="J212" s="32">
        <f>IF($A212=1,"CC10","")</f>
        <v/>
      </c>
      <c r="K212" s="32">
        <f>IF($A212=1,"-","")</f>
        <v/>
      </c>
      <c r="L212" s="32">
        <f>IF($A212=1,"ضريبة القيمة المضافة - مخرجات","")</f>
        <v/>
      </c>
      <c r="M212" s="43">
        <f>IF($A212=1,0,"")</f>
        <v/>
      </c>
      <c r="N212" s="43">
        <f>IF($A212=1,Sales_Daily!$AJ20,"")</f>
        <v/>
      </c>
      <c r="O212" s="32">
        <f>IF($A212=1,Sales_Daily!$S20,"")</f>
        <v/>
      </c>
      <c r="P212" s="32">
        <f>IF($A212=1,IF(Sales_Daily!$AW20="","",Sales_Daily!$AW20),"")</f>
        <v/>
      </c>
      <c r="Q212" s="32">
        <f>IF($A212=1,Sales_Daily!$AY20,"")</f>
        <v/>
      </c>
      <c r="R212" s="32">
        <f>IF($A212=1,IF(AND($Q212=1,COUNTIFS(COA!$A:$A,$G212,COA!$R:$R,1)=1),1,0),"")</f>
        <v/>
      </c>
      <c r="S212" s="43">
        <f>IF($A212=1,IF($R212=1,N($M212),0),"")</f>
        <v/>
      </c>
      <c r="T212" s="43">
        <f>IF($A212=1,IF($R212=1,N($N212),0),"")</f>
        <v/>
      </c>
      <c r="U212" s="32">
        <f>IF($A212=1,YEAR($D212)*100+MONTH($D212),"")</f>
        <v/>
      </c>
      <c r="V212" s="32">
        <f>IF($A212=1,IF(COUNTIF(COA!$A:$A,$G212)=0,0,INDEX(COA!$H:$H,MATCH($G212,COA!$A:$A,0))),"")</f>
        <v/>
      </c>
      <c r="W212" s="32">
        <f>IF($A212=1,"","")</f>
        <v/>
      </c>
      <c r="X212" s="32">
        <f>IF($A212=1,IF($R212=1,"",IF($O212=ST_POST,IF($P212&lt;&gt;"",$P212,"حساب غير صالح أو غير نشط"),IF($O212=ST_REV,"معكوس: لا أثر على الدفاتر",IF($O212=ST_CANC,"ملغى",IF($O212=ST_APPR,"معتمد ولم يُرحَّل","مسودة"))))),"")</f>
        <v/>
      </c>
      <c r="Y212" s="32">
        <f>IF($A212=1,IF(AND($R212=1,OR(LG_Acct="",$G212=LG_Acct),OR(LG_Party="",$K212=LG_Party),OR(LG_Loc="ALL",$I212=LG_Loc),OR(LG_CC="ALL",$J212=LG_CC),$D212&gt;=LG_From,$D212&lt;=LG_To),$D212+ROW()/1000000,""),"")</f>
        <v/>
      </c>
      <c r="Z212" s="32">
        <f>IF($A212=1,IF(Sales_Daily!$T20="","",Sales_Daily!$T20),"")</f>
        <v/>
      </c>
      <c r="AA212" s="32">
        <f>IF($A212=1,IF(Sales_Daily!$U20="","",Sales_Daily!$U20),"")</f>
        <v/>
      </c>
      <c r="AB212" s="32">
        <f>IF($A212=1,IF(Sales_Daily!$V20="","",Sales_Daily!$V20),"")</f>
        <v/>
      </c>
      <c r="AC212" s="32">
        <f>IF($A212=1,IF(Sales_Daily!$W20="","",Sales_Daily!$W20),"")</f>
        <v/>
      </c>
      <c r="AD212" s="32">
        <f>IF($A212=1,IF(Sales_Daily!$X20="","",Sales_Daily!$X20),"")</f>
        <v/>
      </c>
      <c r="AE212" s="32">
        <f>IF($A212=1,0,"")</f>
        <v/>
      </c>
      <c r="AF212" s="32" t="inlineStr"/>
    </row>
    <row r="213">
      <c r="A213" s="32">
        <f>IF(AND(Sales_Daily!$AV21=1,N(Sales_Daily!$L21)&gt;0),1,0)</f>
        <v/>
      </c>
      <c r="B213" s="32">
        <f>IF($A213=1,$E213&amp;"/1","")</f>
        <v/>
      </c>
      <c r="C213" s="32">
        <f>IF($A213=1,"J-"&amp;Sales_Daily!$A21,"")</f>
        <v/>
      </c>
      <c r="D213" s="33">
        <f>IF($A213=1,Sales_Daily!$B21,"")</f>
        <v/>
      </c>
      <c r="E213" s="32">
        <f>IF($A213=1,IF(Sales_Daily!$A21="","",Sales_Daily!$A21),"")</f>
        <v/>
      </c>
      <c r="F213" s="32">
        <f>IF($A213=1,"SAL","")</f>
        <v/>
      </c>
      <c r="G213" s="32">
        <f>IF($A213=1,IF(Sales_Daily!$AK21="","",Sales_Daily!$AK21),"")</f>
        <v/>
      </c>
      <c r="H213" s="32">
        <f>IF($A213=1,IF(COUNTIF(COA!$A:$A,$G213)=0,"حساب غير معرف",INDEX(COA!$B:$B,MATCH($G213,COA!$A:$A,0))),"")</f>
        <v/>
      </c>
      <c r="I213" s="32">
        <f>IF($A213=1,IF(Sales_Daily!$C21="","",Sales_Daily!$C21),"")</f>
        <v/>
      </c>
      <c r="J213" s="32">
        <f>IF($A213=1,"CC10","")</f>
        <v/>
      </c>
      <c r="K213" s="32">
        <f>IF($A213=1,"-","")</f>
        <v/>
      </c>
      <c r="L213" s="32">
        <f>IF($A213=1,"مبيعات - تحصيل CASH","")</f>
        <v/>
      </c>
      <c r="M213" s="43">
        <f>IF($A213=1,Sales_Daily!$L21,"")</f>
        <v/>
      </c>
      <c r="N213" s="43">
        <f>IF($A213=1,0,"")</f>
        <v/>
      </c>
      <c r="O213" s="32">
        <f>IF($A213=1,Sales_Daily!$S21,"")</f>
        <v/>
      </c>
      <c r="P213" s="32">
        <f>IF($A213=1,IF(Sales_Daily!$AW21="","",Sales_Daily!$AW21),"")</f>
        <v/>
      </c>
      <c r="Q213" s="32">
        <f>IF($A213=1,Sales_Daily!$AY21,"")</f>
        <v/>
      </c>
      <c r="R213" s="32">
        <f>IF($A213=1,IF(AND($Q213=1,COUNTIFS(COA!$A:$A,$G213,COA!$R:$R,1)=1),1,0),"")</f>
        <v/>
      </c>
      <c r="S213" s="43">
        <f>IF($A213=1,IF($R213=1,N($M213),0),"")</f>
        <v/>
      </c>
      <c r="T213" s="43">
        <f>IF($A213=1,IF($R213=1,N($N213),0),"")</f>
        <v/>
      </c>
      <c r="U213" s="32">
        <f>IF($A213=1,YEAR($D213)*100+MONTH($D213),"")</f>
        <v/>
      </c>
      <c r="V213" s="32">
        <f>IF($A213=1,IF(COUNTIF(COA!$A:$A,$G213)=0,0,INDEX(COA!$H:$H,MATCH($G213,COA!$A:$A,0))),"")</f>
        <v/>
      </c>
      <c r="W213" s="32">
        <f>IF($A213=1,"OPERATING","")</f>
        <v/>
      </c>
      <c r="X213" s="32">
        <f>IF($A213=1,IF($R213=1,"",IF($O213=ST_POST,IF($P213&lt;&gt;"",$P213,"حساب غير صالح أو غير نشط"),IF($O213=ST_REV,"معكوس: لا أثر على الدفاتر",IF($O213=ST_CANC,"ملغى",IF($O213=ST_APPR,"معتمد ولم يُرحَّل","مسودة"))))),"")</f>
        <v/>
      </c>
      <c r="Y213" s="32">
        <f>IF($A213=1,IF(AND($R213=1,OR(LG_Acct="",$G213=LG_Acct),OR(LG_Party="",$K213=LG_Party),OR(LG_Loc="ALL",$I213=LG_Loc),OR(LG_CC="ALL",$J213=LG_CC),$D213&gt;=LG_From,$D213&lt;=LG_To),$D213+ROW()/1000000,""),"")</f>
        <v/>
      </c>
      <c r="Z213" s="32">
        <f>IF($A213=1,IF(Sales_Daily!$T21="","",Sales_Daily!$T21),"")</f>
        <v/>
      </c>
      <c r="AA213" s="32">
        <f>IF($A213=1,IF(Sales_Daily!$U21="","",Sales_Daily!$U21),"")</f>
        <v/>
      </c>
      <c r="AB213" s="32">
        <f>IF($A213=1,IF(Sales_Daily!$V21="","",Sales_Daily!$V21),"")</f>
        <v/>
      </c>
      <c r="AC213" s="32">
        <f>IF($A213=1,IF(Sales_Daily!$W21="","",Sales_Daily!$W21),"")</f>
        <v/>
      </c>
      <c r="AD213" s="32">
        <f>IF($A213=1,IF(Sales_Daily!$X21="","",Sales_Daily!$X21),"")</f>
        <v/>
      </c>
      <c r="AE213" s="32">
        <f>IF($A213=1,0,"")</f>
        <v/>
      </c>
      <c r="AF213" s="32" t="inlineStr"/>
    </row>
    <row r="214">
      <c r="A214" s="32">
        <f>IF(AND(Sales_Daily!$AV21=1,N(Sales_Daily!$M21)&gt;0),1,0)</f>
        <v/>
      </c>
      <c r="B214" s="32">
        <f>IF($A214=1,$E214&amp;"/2","")</f>
        <v/>
      </c>
      <c r="C214" s="32">
        <f>IF($A214=1,"J-"&amp;Sales_Daily!$A21,"")</f>
        <v/>
      </c>
      <c r="D214" s="33">
        <f>IF($A214=1,Sales_Daily!$B21,"")</f>
        <v/>
      </c>
      <c r="E214" s="32">
        <f>IF($A214=1,IF(Sales_Daily!$A21="","",Sales_Daily!$A21),"")</f>
        <v/>
      </c>
      <c r="F214" s="32">
        <f>IF($A214=1,"SAL","")</f>
        <v/>
      </c>
      <c r="G214" s="32">
        <f>IF($A214=1,IF(Sales_Daily!$AL21="","",Sales_Daily!$AL21),"")</f>
        <v/>
      </c>
      <c r="H214" s="32">
        <f>IF($A214=1,IF(COUNTIF(COA!$A:$A,$G214)=0,"حساب غير معرف",INDEX(COA!$B:$B,MATCH($G214,COA!$A:$A,0))),"")</f>
        <v/>
      </c>
      <c r="I214" s="32">
        <f>IF($A214=1,IF(Sales_Daily!$C21="","",Sales_Daily!$C21),"")</f>
        <v/>
      </c>
      <c r="J214" s="32">
        <f>IF($A214=1,"CC10","")</f>
        <v/>
      </c>
      <c r="K214" s="32">
        <f>IF($A214=1,"-","")</f>
        <v/>
      </c>
      <c r="L214" s="32">
        <f>IF($A214=1,"مبيعات - تحصيل CARD","")</f>
        <v/>
      </c>
      <c r="M214" s="43">
        <f>IF($A214=1,Sales_Daily!$M21,"")</f>
        <v/>
      </c>
      <c r="N214" s="43">
        <f>IF($A214=1,0,"")</f>
        <v/>
      </c>
      <c r="O214" s="32">
        <f>IF($A214=1,Sales_Daily!$S21,"")</f>
        <v/>
      </c>
      <c r="P214" s="32">
        <f>IF($A214=1,IF(Sales_Daily!$AW21="","",Sales_Daily!$AW21),"")</f>
        <v/>
      </c>
      <c r="Q214" s="32">
        <f>IF($A214=1,Sales_Daily!$AY21,"")</f>
        <v/>
      </c>
      <c r="R214" s="32">
        <f>IF($A214=1,IF(AND($Q214=1,COUNTIFS(COA!$A:$A,$G214,COA!$R:$R,1)=1),1,0),"")</f>
        <v/>
      </c>
      <c r="S214" s="43">
        <f>IF($A214=1,IF($R214=1,N($M214),0),"")</f>
        <v/>
      </c>
      <c r="T214" s="43">
        <f>IF($A214=1,IF($R214=1,N($N214),0),"")</f>
        <v/>
      </c>
      <c r="U214" s="32">
        <f>IF($A214=1,YEAR($D214)*100+MONTH($D214),"")</f>
        <v/>
      </c>
      <c r="V214" s="32">
        <f>IF($A214=1,IF(COUNTIF(COA!$A:$A,$G214)=0,0,INDEX(COA!$H:$H,MATCH($G214,COA!$A:$A,0))),"")</f>
        <v/>
      </c>
      <c r="W214" s="32">
        <f>IF($A214=1,"OPERATING","")</f>
        <v/>
      </c>
      <c r="X214" s="32">
        <f>IF($A214=1,IF($R214=1,"",IF($O214=ST_POST,IF($P214&lt;&gt;"",$P214,"حساب غير صالح أو غير نشط"),IF($O214=ST_REV,"معكوس: لا أثر على الدفاتر",IF($O214=ST_CANC,"ملغى",IF($O214=ST_APPR,"معتمد ولم يُرحَّل","مسودة"))))),"")</f>
        <v/>
      </c>
      <c r="Y214" s="32">
        <f>IF($A214=1,IF(AND($R214=1,OR(LG_Acct="",$G214=LG_Acct),OR(LG_Party="",$K214=LG_Party),OR(LG_Loc="ALL",$I214=LG_Loc),OR(LG_CC="ALL",$J214=LG_CC),$D214&gt;=LG_From,$D214&lt;=LG_To),$D214+ROW()/1000000,""),"")</f>
        <v/>
      </c>
      <c r="Z214" s="32">
        <f>IF($A214=1,IF(Sales_Daily!$T21="","",Sales_Daily!$T21),"")</f>
        <v/>
      </c>
      <c r="AA214" s="32">
        <f>IF($A214=1,IF(Sales_Daily!$U21="","",Sales_Daily!$U21),"")</f>
        <v/>
      </c>
      <c r="AB214" s="32">
        <f>IF($A214=1,IF(Sales_Daily!$V21="","",Sales_Daily!$V21),"")</f>
        <v/>
      </c>
      <c r="AC214" s="32">
        <f>IF($A214=1,IF(Sales_Daily!$W21="","",Sales_Daily!$W21),"")</f>
        <v/>
      </c>
      <c r="AD214" s="32">
        <f>IF($A214=1,IF(Sales_Daily!$X21="","",Sales_Daily!$X21),"")</f>
        <v/>
      </c>
      <c r="AE214" s="32">
        <f>IF($A214=1,0,"")</f>
        <v/>
      </c>
      <c r="AF214" s="32" t="inlineStr"/>
    </row>
    <row r="215">
      <c r="A215" s="32">
        <f>IF(AND(Sales_Daily!$AV21=1,N(Sales_Daily!$N21)&gt;0),1,0)</f>
        <v/>
      </c>
      <c r="B215" s="32">
        <f>IF($A215=1,$E215&amp;"/3","")</f>
        <v/>
      </c>
      <c r="C215" s="32">
        <f>IF($A215=1,"J-"&amp;Sales_Daily!$A21,"")</f>
        <v/>
      </c>
      <c r="D215" s="33">
        <f>IF($A215=1,Sales_Daily!$B21,"")</f>
        <v/>
      </c>
      <c r="E215" s="32">
        <f>IF($A215=1,IF(Sales_Daily!$A21="","",Sales_Daily!$A21),"")</f>
        <v/>
      </c>
      <c r="F215" s="32">
        <f>IF($A215=1,"SAL","")</f>
        <v/>
      </c>
      <c r="G215" s="32">
        <f>IF($A215=1,IF(Sales_Daily!$AM21="","",Sales_Daily!$AM21),"")</f>
        <v/>
      </c>
      <c r="H215" s="32">
        <f>IF($A215=1,IF(COUNTIF(COA!$A:$A,$G215)=0,"حساب غير معرف",INDEX(COA!$B:$B,MATCH($G215,COA!$A:$A,0))),"")</f>
        <v/>
      </c>
      <c r="I215" s="32">
        <f>IF($A215=1,IF(Sales_Daily!$C21="","",Sales_Daily!$C21),"")</f>
        <v/>
      </c>
      <c r="J215" s="32">
        <f>IF($A215=1,"CC10","")</f>
        <v/>
      </c>
      <c r="K215" s="32">
        <f>IF($A215=1,"-","")</f>
        <v/>
      </c>
      <c r="L215" s="32">
        <f>IF($A215=1,"مبيعات - تحصيل TLB","")</f>
        <v/>
      </c>
      <c r="M215" s="43">
        <f>IF($A215=1,Sales_Daily!$N21,"")</f>
        <v/>
      </c>
      <c r="N215" s="43">
        <f>IF($A215=1,0,"")</f>
        <v/>
      </c>
      <c r="O215" s="32">
        <f>IF($A215=1,Sales_Daily!$S21,"")</f>
        <v/>
      </c>
      <c r="P215" s="32">
        <f>IF($A215=1,IF(Sales_Daily!$AW21="","",Sales_Daily!$AW21),"")</f>
        <v/>
      </c>
      <c r="Q215" s="32">
        <f>IF($A215=1,Sales_Daily!$AY21,"")</f>
        <v/>
      </c>
      <c r="R215" s="32">
        <f>IF($A215=1,IF(AND($Q215=1,COUNTIFS(COA!$A:$A,$G215,COA!$R:$R,1)=1),1,0),"")</f>
        <v/>
      </c>
      <c r="S215" s="43">
        <f>IF($A215=1,IF($R215=1,N($M215),0),"")</f>
        <v/>
      </c>
      <c r="T215" s="43">
        <f>IF($A215=1,IF($R215=1,N($N215),0),"")</f>
        <v/>
      </c>
      <c r="U215" s="32">
        <f>IF($A215=1,YEAR($D215)*100+MONTH($D215),"")</f>
        <v/>
      </c>
      <c r="V215" s="32">
        <f>IF($A215=1,IF(COUNTIF(COA!$A:$A,$G215)=0,0,INDEX(COA!$H:$H,MATCH($G215,COA!$A:$A,0))),"")</f>
        <v/>
      </c>
      <c r="W215" s="32">
        <f>IF($A215=1,"OPERATING","")</f>
        <v/>
      </c>
      <c r="X215" s="32">
        <f>IF($A215=1,IF($R215=1,"",IF($O215=ST_POST,IF($P215&lt;&gt;"",$P215,"حساب غير صالح أو غير نشط"),IF($O215=ST_REV,"معكوس: لا أثر على الدفاتر",IF($O215=ST_CANC,"ملغى",IF($O215=ST_APPR,"معتمد ولم يُرحَّل","مسودة"))))),"")</f>
        <v/>
      </c>
      <c r="Y215" s="32">
        <f>IF($A215=1,IF(AND($R215=1,OR(LG_Acct="",$G215=LG_Acct),OR(LG_Party="",$K215=LG_Party),OR(LG_Loc="ALL",$I215=LG_Loc),OR(LG_CC="ALL",$J215=LG_CC),$D215&gt;=LG_From,$D215&lt;=LG_To),$D215+ROW()/1000000,""),"")</f>
        <v/>
      </c>
      <c r="Z215" s="32">
        <f>IF($A215=1,IF(Sales_Daily!$T21="","",Sales_Daily!$T21),"")</f>
        <v/>
      </c>
      <c r="AA215" s="32">
        <f>IF($A215=1,IF(Sales_Daily!$U21="","",Sales_Daily!$U21),"")</f>
        <v/>
      </c>
      <c r="AB215" s="32">
        <f>IF($A215=1,IF(Sales_Daily!$V21="","",Sales_Daily!$V21),"")</f>
        <v/>
      </c>
      <c r="AC215" s="32">
        <f>IF($A215=1,IF(Sales_Daily!$W21="","",Sales_Daily!$W21),"")</f>
        <v/>
      </c>
      <c r="AD215" s="32">
        <f>IF($A215=1,IF(Sales_Daily!$X21="","",Sales_Daily!$X21),"")</f>
        <v/>
      </c>
      <c r="AE215" s="32">
        <f>IF($A215=1,0,"")</f>
        <v/>
      </c>
      <c r="AF215" s="32" t="inlineStr"/>
    </row>
    <row r="216">
      <c r="A216" s="32">
        <f>IF(AND(Sales_Daily!$AV21=1,N(Sales_Daily!$O21)&gt;0),1,0)</f>
        <v/>
      </c>
      <c r="B216" s="32">
        <f>IF($A216=1,$E216&amp;"/4","")</f>
        <v/>
      </c>
      <c r="C216" s="32">
        <f>IF($A216=1,"J-"&amp;Sales_Daily!$A21,"")</f>
        <v/>
      </c>
      <c r="D216" s="33">
        <f>IF($A216=1,Sales_Daily!$B21,"")</f>
        <v/>
      </c>
      <c r="E216" s="32">
        <f>IF($A216=1,IF(Sales_Daily!$A21="","",Sales_Daily!$A21),"")</f>
        <v/>
      </c>
      <c r="F216" s="32">
        <f>IF($A216=1,"SAL","")</f>
        <v/>
      </c>
      <c r="G216" s="32">
        <f>IF($A216=1,IF(Sales_Daily!$AN21="","",Sales_Daily!$AN21),"")</f>
        <v/>
      </c>
      <c r="H216" s="32">
        <f>IF($A216=1,IF(COUNTIF(COA!$A:$A,$G216)=0,"حساب غير معرف",INDEX(COA!$B:$B,MATCH($G216,COA!$A:$A,0))),"")</f>
        <v/>
      </c>
      <c r="I216" s="32">
        <f>IF($A216=1,IF(Sales_Daily!$C21="","",Sales_Daily!$C21),"")</f>
        <v/>
      </c>
      <c r="J216" s="32">
        <f>IF($A216=1,"CC10","")</f>
        <v/>
      </c>
      <c r="K216" s="32">
        <f>IF($A216=1,"-","")</f>
        <v/>
      </c>
      <c r="L216" s="32">
        <f>IF($A216=1,"مبيعات - تحصيل DLV2","")</f>
        <v/>
      </c>
      <c r="M216" s="43">
        <f>IF($A216=1,Sales_Daily!$O21,"")</f>
        <v/>
      </c>
      <c r="N216" s="43">
        <f>IF($A216=1,0,"")</f>
        <v/>
      </c>
      <c r="O216" s="32">
        <f>IF($A216=1,Sales_Daily!$S21,"")</f>
        <v/>
      </c>
      <c r="P216" s="32">
        <f>IF($A216=1,IF(Sales_Daily!$AW21="","",Sales_Daily!$AW21),"")</f>
        <v/>
      </c>
      <c r="Q216" s="32">
        <f>IF($A216=1,Sales_Daily!$AY21,"")</f>
        <v/>
      </c>
      <c r="R216" s="32">
        <f>IF($A216=1,IF(AND($Q216=1,COUNTIFS(COA!$A:$A,$G216,COA!$R:$R,1)=1),1,0),"")</f>
        <v/>
      </c>
      <c r="S216" s="43">
        <f>IF($A216=1,IF($R216=1,N($M216),0),"")</f>
        <v/>
      </c>
      <c r="T216" s="43">
        <f>IF($A216=1,IF($R216=1,N($N216),0),"")</f>
        <v/>
      </c>
      <c r="U216" s="32">
        <f>IF($A216=1,YEAR($D216)*100+MONTH($D216),"")</f>
        <v/>
      </c>
      <c r="V216" s="32">
        <f>IF($A216=1,IF(COUNTIF(COA!$A:$A,$G216)=0,0,INDEX(COA!$H:$H,MATCH($G216,COA!$A:$A,0))),"")</f>
        <v/>
      </c>
      <c r="W216" s="32">
        <f>IF($A216=1,"OPERATING","")</f>
        <v/>
      </c>
      <c r="X216" s="32">
        <f>IF($A216=1,IF($R216=1,"",IF($O216=ST_POST,IF($P216&lt;&gt;"",$P216,"حساب غير صالح أو غير نشط"),IF($O216=ST_REV,"معكوس: لا أثر على الدفاتر",IF($O216=ST_CANC,"ملغى",IF($O216=ST_APPR,"معتمد ولم يُرحَّل","مسودة"))))),"")</f>
        <v/>
      </c>
      <c r="Y216" s="32">
        <f>IF($A216=1,IF(AND($R216=1,OR(LG_Acct="",$G216=LG_Acct),OR(LG_Party="",$K216=LG_Party),OR(LG_Loc="ALL",$I216=LG_Loc),OR(LG_CC="ALL",$J216=LG_CC),$D216&gt;=LG_From,$D216&lt;=LG_To),$D216+ROW()/1000000,""),"")</f>
        <v/>
      </c>
      <c r="Z216" s="32">
        <f>IF($A216=1,IF(Sales_Daily!$T21="","",Sales_Daily!$T21),"")</f>
        <v/>
      </c>
      <c r="AA216" s="32">
        <f>IF($A216=1,IF(Sales_Daily!$U21="","",Sales_Daily!$U21),"")</f>
        <v/>
      </c>
      <c r="AB216" s="32">
        <f>IF($A216=1,IF(Sales_Daily!$V21="","",Sales_Daily!$V21),"")</f>
        <v/>
      </c>
      <c r="AC216" s="32">
        <f>IF($A216=1,IF(Sales_Daily!$W21="","",Sales_Daily!$W21),"")</f>
        <v/>
      </c>
      <c r="AD216" s="32">
        <f>IF($A216=1,IF(Sales_Daily!$X21="","",Sales_Daily!$X21),"")</f>
        <v/>
      </c>
      <c r="AE216" s="32">
        <f>IF($A216=1,0,"")</f>
        <v/>
      </c>
      <c r="AF216" s="32" t="inlineStr"/>
    </row>
    <row r="217">
      <c r="A217" s="32">
        <f>IF(AND(Sales_Daily!$AV21=1,N(Sales_Daily!$P21)&gt;0),1,0)</f>
        <v/>
      </c>
      <c r="B217" s="32">
        <f>IF($A217=1,$E217&amp;"/5","")</f>
        <v/>
      </c>
      <c r="C217" s="32">
        <f>IF($A217=1,"J-"&amp;Sales_Daily!$A21,"")</f>
        <v/>
      </c>
      <c r="D217" s="33">
        <f>IF($A217=1,Sales_Daily!$B21,"")</f>
        <v/>
      </c>
      <c r="E217" s="32">
        <f>IF($A217=1,IF(Sales_Daily!$A21="","",Sales_Daily!$A21),"")</f>
        <v/>
      </c>
      <c r="F217" s="32">
        <f>IF($A217=1,"SAL","")</f>
        <v/>
      </c>
      <c r="G217" s="32">
        <f>IF($A217=1,IF(Sales_Daily!$AO21="","",Sales_Daily!$AO21),"")</f>
        <v/>
      </c>
      <c r="H217" s="32">
        <f>IF($A217=1,IF(COUNTIF(COA!$A:$A,$G217)=0,"حساب غير معرف",INDEX(COA!$B:$B,MATCH($G217,COA!$A:$A,0))),"")</f>
        <v/>
      </c>
      <c r="I217" s="32">
        <f>IF($A217=1,IF(Sales_Daily!$C21="","",Sales_Daily!$C21),"")</f>
        <v/>
      </c>
      <c r="J217" s="32">
        <f>IF($A217=1,"CC10","")</f>
        <v/>
      </c>
      <c r="K217" s="32">
        <f>IF($A217=1,"-","")</f>
        <v/>
      </c>
      <c r="L217" s="32">
        <f>IF($A217=1,"مبيعات - تحصيل INSTA","")</f>
        <v/>
      </c>
      <c r="M217" s="43">
        <f>IF($A217=1,Sales_Daily!$P21,"")</f>
        <v/>
      </c>
      <c r="N217" s="43">
        <f>IF($A217=1,0,"")</f>
        <v/>
      </c>
      <c r="O217" s="32">
        <f>IF($A217=1,Sales_Daily!$S21,"")</f>
        <v/>
      </c>
      <c r="P217" s="32">
        <f>IF($A217=1,IF(Sales_Daily!$AW21="","",Sales_Daily!$AW21),"")</f>
        <v/>
      </c>
      <c r="Q217" s="32">
        <f>IF($A217=1,Sales_Daily!$AY21,"")</f>
        <v/>
      </c>
      <c r="R217" s="32">
        <f>IF($A217=1,IF(AND($Q217=1,COUNTIFS(COA!$A:$A,$G217,COA!$R:$R,1)=1),1,0),"")</f>
        <v/>
      </c>
      <c r="S217" s="43">
        <f>IF($A217=1,IF($R217=1,N($M217),0),"")</f>
        <v/>
      </c>
      <c r="T217" s="43">
        <f>IF($A217=1,IF($R217=1,N($N217),0),"")</f>
        <v/>
      </c>
      <c r="U217" s="32">
        <f>IF($A217=1,YEAR($D217)*100+MONTH($D217),"")</f>
        <v/>
      </c>
      <c r="V217" s="32">
        <f>IF($A217=1,IF(COUNTIF(COA!$A:$A,$G217)=0,0,INDEX(COA!$H:$H,MATCH($G217,COA!$A:$A,0))),"")</f>
        <v/>
      </c>
      <c r="W217" s="32">
        <f>IF($A217=1,"OPERATING","")</f>
        <v/>
      </c>
      <c r="X217" s="32">
        <f>IF($A217=1,IF($R217=1,"",IF($O217=ST_POST,IF($P217&lt;&gt;"",$P217,"حساب غير صالح أو غير نشط"),IF($O217=ST_REV,"معكوس: لا أثر على الدفاتر",IF($O217=ST_CANC,"ملغى",IF($O217=ST_APPR,"معتمد ولم يُرحَّل","مسودة"))))),"")</f>
        <v/>
      </c>
      <c r="Y217" s="32">
        <f>IF($A217=1,IF(AND($R217=1,OR(LG_Acct="",$G217=LG_Acct),OR(LG_Party="",$K217=LG_Party),OR(LG_Loc="ALL",$I217=LG_Loc),OR(LG_CC="ALL",$J217=LG_CC),$D217&gt;=LG_From,$D217&lt;=LG_To),$D217+ROW()/1000000,""),"")</f>
        <v/>
      </c>
      <c r="Z217" s="32">
        <f>IF($A217=1,IF(Sales_Daily!$T21="","",Sales_Daily!$T21),"")</f>
        <v/>
      </c>
      <c r="AA217" s="32">
        <f>IF($A217=1,IF(Sales_Daily!$U21="","",Sales_Daily!$U21),"")</f>
        <v/>
      </c>
      <c r="AB217" s="32">
        <f>IF($A217=1,IF(Sales_Daily!$V21="","",Sales_Daily!$V21),"")</f>
        <v/>
      </c>
      <c r="AC217" s="32">
        <f>IF($A217=1,IF(Sales_Daily!$W21="","",Sales_Daily!$W21),"")</f>
        <v/>
      </c>
      <c r="AD217" s="32">
        <f>IF($A217=1,IF(Sales_Daily!$X21="","",Sales_Daily!$X21),"")</f>
        <v/>
      </c>
      <c r="AE217" s="32">
        <f>IF($A217=1,0,"")</f>
        <v/>
      </c>
      <c r="AF217" s="32" t="inlineStr"/>
    </row>
    <row r="218">
      <c r="A218" s="32">
        <f>IF(AND(Sales_Daily!$AV21=1,N(Sales_Daily!$Q21)&gt;0),1,0)</f>
        <v/>
      </c>
      <c r="B218" s="32">
        <f>IF($A218=1,$E218&amp;"/6","")</f>
        <v/>
      </c>
      <c r="C218" s="32">
        <f>IF($A218=1,"J-"&amp;Sales_Daily!$A21,"")</f>
        <v/>
      </c>
      <c r="D218" s="33">
        <f>IF($A218=1,Sales_Daily!$B21,"")</f>
        <v/>
      </c>
      <c r="E218" s="32">
        <f>IF($A218=1,IF(Sales_Daily!$A21="","",Sales_Daily!$A21),"")</f>
        <v/>
      </c>
      <c r="F218" s="32">
        <f>IF($A218=1,"SAL","")</f>
        <v/>
      </c>
      <c r="G218" s="32">
        <f>IF($A218=1,IF(Sales_Daily!$AP21="","",Sales_Daily!$AP21),"")</f>
        <v/>
      </c>
      <c r="H218" s="32">
        <f>IF($A218=1,IF(COUNTIF(COA!$A:$A,$G218)=0,"حساب غير معرف",INDEX(COA!$B:$B,MATCH($G218,COA!$A:$A,0))),"")</f>
        <v/>
      </c>
      <c r="I218" s="32">
        <f>IF($A218=1,IF(Sales_Daily!$C21="","",Sales_Daily!$C21),"")</f>
        <v/>
      </c>
      <c r="J218" s="32">
        <f>IF($A218=1,"CC10","")</f>
        <v/>
      </c>
      <c r="K218" s="32">
        <f>IF($A218=1,"-","")</f>
        <v/>
      </c>
      <c r="L218" s="32">
        <f>IF($A218=1,"مبيعات - تحصيل OTH","")</f>
        <v/>
      </c>
      <c r="M218" s="43">
        <f>IF($A218=1,Sales_Daily!$Q21,"")</f>
        <v/>
      </c>
      <c r="N218" s="43">
        <f>IF($A218=1,0,"")</f>
        <v/>
      </c>
      <c r="O218" s="32">
        <f>IF($A218=1,Sales_Daily!$S21,"")</f>
        <v/>
      </c>
      <c r="P218" s="32">
        <f>IF($A218=1,IF(Sales_Daily!$AW21="","",Sales_Daily!$AW21),"")</f>
        <v/>
      </c>
      <c r="Q218" s="32">
        <f>IF($A218=1,Sales_Daily!$AY21,"")</f>
        <v/>
      </c>
      <c r="R218" s="32">
        <f>IF($A218=1,IF(AND($Q218=1,COUNTIFS(COA!$A:$A,$G218,COA!$R:$R,1)=1),1,0),"")</f>
        <v/>
      </c>
      <c r="S218" s="43">
        <f>IF($A218=1,IF($R218=1,N($M218),0),"")</f>
        <v/>
      </c>
      <c r="T218" s="43">
        <f>IF($A218=1,IF($R218=1,N($N218),0),"")</f>
        <v/>
      </c>
      <c r="U218" s="32">
        <f>IF($A218=1,YEAR($D218)*100+MONTH($D218),"")</f>
        <v/>
      </c>
      <c r="V218" s="32">
        <f>IF($A218=1,IF(COUNTIF(COA!$A:$A,$G218)=0,0,INDEX(COA!$H:$H,MATCH($G218,COA!$A:$A,0))),"")</f>
        <v/>
      </c>
      <c r="W218" s="32">
        <f>IF($A218=1,"OPERATING","")</f>
        <v/>
      </c>
      <c r="X218" s="32">
        <f>IF($A218=1,IF($R218=1,"",IF($O218=ST_POST,IF($P218&lt;&gt;"",$P218,"حساب غير صالح أو غير نشط"),IF($O218=ST_REV,"معكوس: لا أثر على الدفاتر",IF($O218=ST_CANC,"ملغى",IF($O218=ST_APPR,"معتمد ولم يُرحَّل","مسودة"))))),"")</f>
        <v/>
      </c>
      <c r="Y218" s="32">
        <f>IF($A218=1,IF(AND($R218=1,OR(LG_Acct="",$G218=LG_Acct),OR(LG_Party="",$K218=LG_Party),OR(LG_Loc="ALL",$I218=LG_Loc),OR(LG_CC="ALL",$J218=LG_CC),$D218&gt;=LG_From,$D218&lt;=LG_To),$D218+ROW()/1000000,""),"")</f>
        <v/>
      </c>
      <c r="Z218" s="32">
        <f>IF($A218=1,IF(Sales_Daily!$T21="","",Sales_Daily!$T21),"")</f>
        <v/>
      </c>
      <c r="AA218" s="32">
        <f>IF($A218=1,IF(Sales_Daily!$U21="","",Sales_Daily!$U21),"")</f>
        <v/>
      </c>
      <c r="AB218" s="32">
        <f>IF($A218=1,IF(Sales_Daily!$V21="","",Sales_Daily!$V21),"")</f>
        <v/>
      </c>
      <c r="AC218" s="32">
        <f>IF($A218=1,IF(Sales_Daily!$W21="","",Sales_Daily!$W21),"")</f>
        <v/>
      </c>
      <c r="AD218" s="32">
        <f>IF($A218=1,IF(Sales_Daily!$X21="","",Sales_Daily!$X21),"")</f>
        <v/>
      </c>
      <c r="AE218" s="32">
        <f>IF($A218=1,0,"")</f>
        <v/>
      </c>
      <c r="AF218" s="32" t="inlineStr"/>
    </row>
    <row r="219">
      <c r="A219" s="32">
        <f>IF(AND(Sales_Daily!$AV21=1,N(Sales_Daily!$AH21)&gt;0),1,0)</f>
        <v/>
      </c>
      <c r="B219" s="32">
        <f>IF($A219=1,$E219&amp;"/7","")</f>
        <v/>
      </c>
      <c r="C219" s="32">
        <f>IF($A219=1,"J-"&amp;Sales_Daily!$A21,"")</f>
        <v/>
      </c>
      <c r="D219" s="33">
        <f>IF($A219=1,Sales_Daily!$B21,"")</f>
        <v/>
      </c>
      <c r="E219" s="32">
        <f>IF($A219=1,IF(Sales_Daily!$A21="","",Sales_Daily!$A21),"")</f>
        <v/>
      </c>
      <c r="F219" s="32">
        <f>IF($A219=1,"SAL","")</f>
        <v/>
      </c>
      <c r="G219" s="32">
        <f>IF($A219=1,ACC_DISC,"")</f>
        <v/>
      </c>
      <c r="H219" s="32">
        <f>IF($A219=1,IF(COUNTIF(COA!$A:$A,$G219)=0,"حساب غير معرف",INDEX(COA!$B:$B,MATCH($G219,COA!$A:$A,0))),"")</f>
        <v/>
      </c>
      <c r="I219" s="32">
        <f>IF($A219=1,IF(Sales_Daily!$C21="","",Sales_Daily!$C21),"")</f>
        <v/>
      </c>
      <c r="J219" s="32">
        <f>IF($A219=1,"CC10","")</f>
        <v/>
      </c>
      <c r="K219" s="32">
        <f>IF($A219=1,"-","")</f>
        <v/>
      </c>
      <c r="L219" s="32">
        <f>IF($A219=1,"خصومات المبيعات والعروض","")</f>
        <v/>
      </c>
      <c r="M219" s="43">
        <f>IF($A219=1,Sales_Daily!$AH21,"")</f>
        <v/>
      </c>
      <c r="N219" s="43">
        <f>IF($A219=1,0,"")</f>
        <v/>
      </c>
      <c r="O219" s="32">
        <f>IF($A219=1,Sales_Daily!$S21,"")</f>
        <v/>
      </c>
      <c r="P219" s="32">
        <f>IF($A219=1,IF(Sales_Daily!$AW21="","",Sales_Daily!$AW21),"")</f>
        <v/>
      </c>
      <c r="Q219" s="32">
        <f>IF($A219=1,Sales_Daily!$AY21,"")</f>
        <v/>
      </c>
      <c r="R219" s="32">
        <f>IF($A219=1,IF(AND($Q219=1,COUNTIFS(COA!$A:$A,$G219,COA!$R:$R,1)=1),1,0),"")</f>
        <v/>
      </c>
      <c r="S219" s="43">
        <f>IF($A219=1,IF($R219=1,N($M219),0),"")</f>
        <v/>
      </c>
      <c r="T219" s="43">
        <f>IF($A219=1,IF($R219=1,N($N219),0),"")</f>
        <v/>
      </c>
      <c r="U219" s="32">
        <f>IF($A219=1,YEAR($D219)*100+MONTH($D219),"")</f>
        <v/>
      </c>
      <c r="V219" s="32">
        <f>IF($A219=1,IF(COUNTIF(COA!$A:$A,$G219)=0,0,INDEX(COA!$H:$H,MATCH($G219,COA!$A:$A,0))),"")</f>
        <v/>
      </c>
      <c r="W219" s="32">
        <f>IF($A219=1,"","")</f>
        <v/>
      </c>
      <c r="X219" s="32">
        <f>IF($A219=1,IF($R219=1,"",IF($O219=ST_POST,IF($P219&lt;&gt;"",$P219,"حساب غير صالح أو غير نشط"),IF($O219=ST_REV,"معكوس: لا أثر على الدفاتر",IF($O219=ST_CANC,"ملغى",IF($O219=ST_APPR,"معتمد ولم يُرحَّل","مسودة"))))),"")</f>
        <v/>
      </c>
      <c r="Y219" s="32">
        <f>IF($A219=1,IF(AND($R219=1,OR(LG_Acct="",$G219=LG_Acct),OR(LG_Party="",$K219=LG_Party),OR(LG_Loc="ALL",$I219=LG_Loc),OR(LG_CC="ALL",$J219=LG_CC),$D219&gt;=LG_From,$D219&lt;=LG_To),$D219+ROW()/1000000,""),"")</f>
        <v/>
      </c>
      <c r="Z219" s="32">
        <f>IF($A219=1,IF(Sales_Daily!$T21="","",Sales_Daily!$T21),"")</f>
        <v/>
      </c>
      <c r="AA219" s="32">
        <f>IF($A219=1,IF(Sales_Daily!$U21="","",Sales_Daily!$U21),"")</f>
        <v/>
      </c>
      <c r="AB219" s="32">
        <f>IF($A219=1,IF(Sales_Daily!$V21="","",Sales_Daily!$V21),"")</f>
        <v/>
      </c>
      <c r="AC219" s="32">
        <f>IF($A219=1,IF(Sales_Daily!$W21="","",Sales_Daily!$W21),"")</f>
        <v/>
      </c>
      <c r="AD219" s="32">
        <f>IF($A219=1,IF(Sales_Daily!$X21="","",Sales_Daily!$X21),"")</f>
        <v/>
      </c>
      <c r="AE219" s="32">
        <f>IF($A219=1,0,"")</f>
        <v/>
      </c>
      <c r="AF219" s="32" t="inlineStr"/>
    </row>
    <row r="220">
      <c r="A220" s="32">
        <f>IF(AND(Sales_Daily!$AV21=1,N(Sales_Daily!$AI21)&gt;0),1,0)</f>
        <v/>
      </c>
      <c r="B220" s="32">
        <f>IF($A220=1,$E220&amp;"/8","")</f>
        <v/>
      </c>
      <c r="C220" s="32">
        <f>IF($A220=1,"J-"&amp;Sales_Daily!$A21,"")</f>
        <v/>
      </c>
      <c r="D220" s="33">
        <f>IF($A220=1,Sales_Daily!$B21,"")</f>
        <v/>
      </c>
      <c r="E220" s="32">
        <f>IF($A220=1,IF(Sales_Daily!$A21="","",Sales_Daily!$A21),"")</f>
        <v/>
      </c>
      <c r="F220" s="32">
        <f>IF($A220=1,"SAL","")</f>
        <v/>
      </c>
      <c r="G220" s="32">
        <f>IF($A220=1,ACC_RET,"")</f>
        <v/>
      </c>
      <c r="H220" s="32">
        <f>IF($A220=1,IF(COUNTIF(COA!$A:$A,$G220)=0,"حساب غير معرف",INDEX(COA!$B:$B,MATCH($G220,COA!$A:$A,0))),"")</f>
        <v/>
      </c>
      <c r="I220" s="32">
        <f>IF($A220=1,IF(Sales_Daily!$C21="","",Sales_Daily!$C21),"")</f>
        <v/>
      </c>
      <c r="J220" s="32">
        <f>IF($A220=1,"CC10","")</f>
        <v/>
      </c>
      <c r="K220" s="32">
        <f>IF($A220=1,"-","")</f>
        <v/>
      </c>
      <c r="L220" s="32">
        <f>IF($A220=1,"مرتجعات وإلغاءات المبيعات","")</f>
        <v/>
      </c>
      <c r="M220" s="43">
        <f>IF($A220=1,Sales_Daily!$AI21,"")</f>
        <v/>
      </c>
      <c r="N220" s="43">
        <f>IF($A220=1,0,"")</f>
        <v/>
      </c>
      <c r="O220" s="32">
        <f>IF($A220=1,Sales_Daily!$S21,"")</f>
        <v/>
      </c>
      <c r="P220" s="32">
        <f>IF($A220=1,IF(Sales_Daily!$AW21="","",Sales_Daily!$AW21),"")</f>
        <v/>
      </c>
      <c r="Q220" s="32">
        <f>IF($A220=1,Sales_Daily!$AY21,"")</f>
        <v/>
      </c>
      <c r="R220" s="32">
        <f>IF($A220=1,IF(AND($Q220=1,COUNTIFS(COA!$A:$A,$G220,COA!$R:$R,1)=1),1,0),"")</f>
        <v/>
      </c>
      <c r="S220" s="43">
        <f>IF($A220=1,IF($R220=1,N($M220),0),"")</f>
        <v/>
      </c>
      <c r="T220" s="43">
        <f>IF($A220=1,IF($R220=1,N($N220),0),"")</f>
        <v/>
      </c>
      <c r="U220" s="32">
        <f>IF($A220=1,YEAR($D220)*100+MONTH($D220),"")</f>
        <v/>
      </c>
      <c r="V220" s="32">
        <f>IF($A220=1,IF(COUNTIF(COA!$A:$A,$G220)=0,0,INDEX(COA!$H:$H,MATCH($G220,COA!$A:$A,0))),"")</f>
        <v/>
      </c>
      <c r="W220" s="32">
        <f>IF($A220=1,"","")</f>
        <v/>
      </c>
      <c r="X220" s="32">
        <f>IF($A220=1,IF($R220=1,"",IF($O220=ST_POST,IF($P220&lt;&gt;"",$P220,"حساب غير صالح أو غير نشط"),IF($O220=ST_REV,"معكوس: لا أثر على الدفاتر",IF($O220=ST_CANC,"ملغى",IF($O220=ST_APPR,"معتمد ولم يُرحَّل","مسودة"))))),"")</f>
        <v/>
      </c>
      <c r="Y220" s="32">
        <f>IF($A220=1,IF(AND($R220=1,OR(LG_Acct="",$G220=LG_Acct),OR(LG_Party="",$K220=LG_Party),OR(LG_Loc="ALL",$I220=LG_Loc),OR(LG_CC="ALL",$J220=LG_CC),$D220&gt;=LG_From,$D220&lt;=LG_To),$D220+ROW()/1000000,""),"")</f>
        <v/>
      </c>
      <c r="Z220" s="32">
        <f>IF($A220=1,IF(Sales_Daily!$T21="","",Sales_Daily!$T21),"")</f>
        <v/>
      </c>
      <c r="AA220" s="32">
        <f>IF($A220=1,IF(Sales_Daily!$U21="","",Sales_Daily!$U21),"")</f>
        <v/>
      </c>
      <c r="AB220" s="32">
        <f>IF($A220=1,IF(Sales_Daily!$V21="","",Sales_Daily!$V21),"")</f>
        <v/>
      </c>
      <c r="AC220" s="32">
        <f>IF($A220=1,IF(Sales_Daily!$W21="","",Sales_Daily!$W21),"")</f>
        <v/>
      </c>
      <c r="AD220" s="32">
        <f>IF($A220=1,IF(Sales_Daily!$X21="","",Sales_Daily!$X21),"")</f>
        <v/>
      </c>
      <c r="AE220" s="32">
        <f>IF($A220=1,0,"")</f>
        <v/>
      </c>
      <c r="AF220" s="32" t="inlineStr"/>
    </row>
    <row r="221">
      <c r="A221" s="32">
        <f>IF(AND(Sales_Daily!$AV21=1,N(Sales_Daily!$AD21)&gt;0),1,0)</f>
        <v/>
      </c>
      <c r="B221" s="32">
        <f>IF($A221=1,$E221&amp;"/9","")</f>
        <v/>
      </c>
      <c r="C221" s="32">
        <f>IF($A221=1,"J-"&amp;Sales_Daily!$A21,"")</f>
        <v/>
      </c>
      <c r="D221" s="33">
        <f>IF($A221=1,Sales_Daily!$B21,"")</f>
        <v/>
      </c>
      <c r="E221" s="32">
        <f>IF($A221=1,IF(Sales_Daily!$A21="","",Sales_Daily!$A21),"")</f>
        <v/>
      </c>
      <c r="F221" s="32">
        <f>IF($A221=1,"SAL","")</f>
        <v/>
      </c>
      <c r="G221" s="32">
        <f>IF($A221=1,IF(Sales_Daily!$AQ21="","",Sales_Daily!$AQ21),"")</f>
        <v/>
      </c>
      <c r="H221" s="32">
        <f>IF($A221=1,IF(COUNTIF(COA!$A:$A,$G221)=0,"حساب غير معرف",INDEX(COA!$B:$B,MATCH($G221,COA!$A:$A,0))),"")</f>
        <v/>
      </c>
      <c r="I221" s="32">
        <f>IF($A221=1,IF(Sales_Daily!$C21="","",Sales_Daily!$C21),"")</f>
        <v/>
      </c>
      <c r="J221" s="32">
        <f>IF($A221=1,"CC10","")</f>
        <v/>
      </c>
      <c r="K221" s="32">
        <f>IF($A221=1,"-","")</f>
        <v/>
      </c>
      <c r="L221" s="32">
        <f>IF($A221=1,"إيراد مبيعات - فئة فطير","")</f>
        <v/>
      </c>
      <c r="M221" s="43">
        <f>IF($A221=1,0,"")</f>
        <v/>
      </c>
      <c r="N221" s="43">
        <f>IF($A221=1,Sales_Daily!$AD21,"")</f>
        <v/>
      </c>
      <c r="O221" s="32">
        <f>IF($A221=1,Sales_Daily!$S21,"")</f>
        <v/>
      </c>
      <c r="P221" s="32">
        <f>IF($A221=1,IF(Sales_Daily!$AW21="","",Sales_Daily!$AW21),"")</f>
        <v/>
      </c>
      <c r="Q221" s="32">
        <f>IF($A221=1,Sales_Daily!$AY21,"")</f>
        <v/>
      </c>
      <c r="R221" s="32">
        <f>IF($A221=1,IF(AND($Q221=1,COUNTIFS(COA!$A:$A,$G221,COA!$R:$R,1)=1),1,0),"")</f>
        <v/>
      </c>
      <c r="S221" s="43">
        <f>IF($A221=1,IF($R221=1,N($M221),0),"")</f>
        <v/>
      </c>
      <c r="T221" s="43">
        <f>IF($A221=1,IF($R221=1,N($N221),0),"")</f>
        <v/>
      </c>
      <c r="U221" s="32">
        <f>IF($A221=1,YEAR($D221)*100+MONTH($D221),"")</f>
        <v/>
      </c>
      <c r="V221" s="32">
        <f>IF($A221=1,IF(COUNTIF(COA!$A:$A,$G221)=0,0,INDEX(COA!$H:$H,MATCH($G221,COA!$A:$A,0))),"")</f>
        <v/>
      </c>
      <c r="W221" s="32">
        <f>IF($A221=1,"","")</f>
        <v/>
      </c>
      <c r="X221" s="32">
        <f>IF($A221=1,IF($R221=1,"",IF($O221=ST_POST,IF($P221&lt;&gt;"",$P221,"حساب غير صالح أو غير نشط"),IF($O221=ST_REV,"معكوس: لا أثر على الدفاتر",IF($O221=ST_CANC,"ملغى",IF($O221=ST_APPR,"معتمد ولم يُرحَّل","مسودة"))))),"")</f>
        <v/>
      </c>
      <c r="Y221" s="32">
        <f>IF($A221=1,IF(AND($R221=1,OR(LG_Acct="",$G221=LG_Acct),OR(LG_Party="",$K221=LG_Party),OR(LG_Loc="ALL",$I221=LG_Loc),OR(LG_CC="ALL",$J221=LG_CC),$D221&gt;=LG_From,$D221&lt;=LG_To),$D221+ROW()/1000000,""),"")</f>
        <v/>
      </c>
      <c r="Z221" s="32">
        <f>IF($A221=1,IF(Sales_Daily!$T21="","",Sales_Daily!$T21),"")</f>
        <v/>
      </c>
      <c r="AA221" s="32">
        <f>IF($A221=1,IF(Sales_Daily!$U21="","",Sales_Daily!$U21),"")</f>
        <v/>
      </c>
      <c r="AB221" s="32">
        <f>IF($A221=1,IF(Sales_Daily!$V21="","",Sales_Daily!$V21),"")</f>
        <v/>
      </c>
      <c r="AC221" s="32">
        <f>IF($A221=1,IF(Sales_Daily!$W21="","",Sales_Daily!$W21),"")</f>
        <v/>
      </c>
      <c r="AD221" s="32">
        <f>IF($A221=1,IF(Sales_Daily!$X21="","",Sales_Daily!$X21),"")</f>
        <v/>
      </c>
      <c r="AE221" s="32">
        <f>IF($A221=1,0,"")</f>
        <v/>
      </c>
      <c r="AF221" s="32" t="inlineStr"/>
    </row>
    <row r="222">
      <c r="A222" s="32">
        <f>IF(AND(Sales_Daily!$AV21=1,N(Sales_Daily!$AE21)&gt;0),1,0)</f>
        <v/>
      </c>
      <c r="B222" s="32">
        <f>IF($A222=1,$E222&amp;"/10","")</f>
        <v/>
      </c>
      <c r="C222" s="32">
        <f>IF($A222=1,"J-"&amp;Sales_Daily!$A21,"")</f>
        <v/>
      </c>
      <c r="D222" s="33">
        <f>IF($A222=1,Sales_Daily!$B21,"")</f>
        <v/>
      </c>
      <c r="E222" s="32">
        <f>IF($A222=1,IF(Sales_Daily!$A21="","",Sales_Daily!$A21),"")</f>
        <v/>
      </c>
      <c r="F222" s="32">
        <f>IF($A222=1,"SAL","")</f>
        <v/>
      </c>
      <c r="G222" s="32">
        <f>IF($A222=1,IF(Sales_Daily!$AR21="","",Sales_Daily!$AR21),"")</f>
        <v/>
      </c>
      <c r="H222" s="32">
        <f>IF($A222=1,IF(COUNTIF(COA!$A:$A,$G222)=0,"حساب غير معرف",INDEX(COA!$B:$B,MATCH($G222,COA!$A:$A,0))),"")</f>
        <v/>
      </c>
      <c r="I222" s="32">
        <f>IF($A222=1,IF(Sales_Daily!$C21="","",Sales_Daily!$C21),"")</f>
        <v/>
      </c>
      <c r="J222" s="32">
        <f>IF($A222=1,"CC10","")</f>
        <v/>
      </c>
      <c r="K222" s="32">
        <f>IF($A222=1,"-","")</f>
        <v/>
      </c>
      <c r="L222" s="32">
        <f>IF($A222=1,"إيراد مبيعات - فئة بيتزا","")</f>
        <v/>
      </c>
      <c r="M222" s="43">
        <f>IF($A222=1,0,"")</f>
        <v/>
      </c>
      <c r="N222" s="43">
        <f>IF($A222=1,Sales_Daily!$AE21,"")</f>
        <v/>
      </c>
      <c r="O222" s="32">
        <f>IF($A222=1,Sales_Daily!$S21,"")</f>
        <v/>
      </c>
      <c r="P222" s="32">
        <f>IF($A222=1,IF(Sales_Daily!$AW21="","",Sales_Daily!$AW21),"")</f>
        <v/>
      </c>
      <c r="Q222" s="32">
        <f>IF($A222=1,Sales_Daily!$AY21,"")</f>
        <v/>
      </c>
      <c r="R222" s="32">
        <f>IF($A222=1,IF(AND($Q222=1,COUNTIFS(COA!$A:$A,$G222,COA!$R:$R,1)=1),1,0),"")</f>
        <v/>
      </c>
      <c r="S222" s="43">
        <f>IF($A222=1,IF($R222=1,N($M222),0),"")</f>
        <v/>
      </c>
      <c r="T222" s="43">
        <f>IF($A222=1,IF($R222=1,N($N222),0),"")</f>
        <v/>
      </c>
      <c r="U222" s="32">
        <f>IF($A222=1,YEAR($D222)*100+MONTH($D222),"")</f>
        <v/>
      </c>
      <c r="V222" s="32">
        <f>IF($A222=1,IF(COUNTIF(COA!$A:$A,$G222)=0,0,INDEX(COA!$H:$H,MATCH($G222,COA!$A:$A,0))),"")</f>
        <v/>
      </c>
      <c r="W222" s="32">
        <f>IF($A222=1,"","")</f>
        <v/>
      </c>
      <c r="X222" s="32">
        <f>IF($A222=1,IF($R222=1,"",IF($O222=ST_POST,IF($P222&lt;&gt;"",$P222,"حساب غير صالح أو غير نشط"),IF($O222=ST_REV,"معكوس: لا أثر على الدفاتر",IF($O222=ST_CANC,"ملغى",IF($O222=ST_APPR,"معتمد ولم يُرحَّل","مسودة"))))),"")</f>
        <v/>
      </c>
      <c r="Y222" s="32">
        <f>IF($A222=1,IF(AND($R222=1,OR(LG_Acct="",$G222=LG_Acct),OR(LG_Party="",$K222=LG_Party),OR(LG_Loc="ALL",$I222=LG_Loc),OR(LG_CC="ALL",$J222=LG_CC),$D222&gt;=LG_From,$D222&lt;=LG_To),$D222+ROW()/1000000,""),"")</f>
        <v/>
      </c>
      <c r="Z222" s="32">
        <f>IF($A222=1,IF(Sales_Daily!$T21="","",Sales_Daily!$T21),"")</f>
        <v/>
      </c>
      <c r="AA222" s="32">
        <f>IF($A222=1,IF(Sales_Daily!$U21="","",Sales_Daily!$U21),"")</f>
        <v/>
      </c>
      <c r="AB222" s="32">
        <f>IF($A222=1,IF(Sales_Daily!$V21="","",Sales_Daily!$V21),"")</f>
        <v/>
      </c>
      <c r="AC222" s="32">
        <f>IF($A222=1,IF(Sales_Daily!$W21="","",Sales_Daily!$W21),"")</f>
        <v/>
      </c>
      <c r="AD222" s="32">
        <f>IF($A222=1,IF(Sales_Daily!$X21="","",Sales_Daily!$X21),"")</f>
        <v/>
      </c>
      <c r="AE222" s="32">
        <f>IF($A222=1,0,"")</f>
        <v/>
      </c>
      <c r="AF222" s="32" t="inlineStr"/>
    </row>
    <row r="223">
      <c r="A223" s="32">
        <f>IF(AND(Sales_Daily!$AV21=1,N(Sales_Daily!$AF21)&gt;0),1,0)</f>
        <v/>
      </c>
      <c r="B223" s="32">
        <f>IF($A223=1,$E223&amp;"/11","")</f>
        <v/>
      </c>
      <c r="C223" s="32">
        <f>IF($A223=1,"J-"&amp;Sales_Daily!$A21,"")</f>
        <v/>
      </c>
      <c r="D223" s="33">
        <f>IF($A223=1,Sales_Daily!$B21,"")</f>
        <v/>
      </c>
      <c r="E223" s="32">
        <f>IF($A223=1,IF(Sales_Daily!$A21="","",Sales_Daily!$A21),"")</f>
        <v/>
      </c>
      <c r="F223" s="32">
        <f>IF($A223=1,"SAL","")</f>
        <v/>
      </c>
      <c r="G223" s="32">
        <f>IF($A223=1,IF(Sales_Daily!$AS21="","",Sales_Daily!$AS21),"")</f>
        <v/>
      </c>
      <c r="H223" s="32">
        <f>IF($A223=1,IF(COUNTIF(COA!$A:$A,$G223)=0,"حساب غير معرف",INDEX(COA!$B:$B,MATCH($G223,COA!$A:$A,0))),"")</f>
        <v/>
      </c>
      <c r="I223" s="32">
        <f>IF($A223=1,IF(Sales_Daily!$C21="","",Sales_Daily!$C21),"")</f>
        <v/>
      </c>
      <c r="J223" s="32">
        <f>IF($A223=1,"CC10","")</f>
        <v/>
      </c>
      <c r="K223" s="32">
        <f>IF($A223=1,"-","")</f>
        <v/>
      </c>
      <c r="L223" s="32">
        <f>IF($A223=1,"إيراد مبيعات - فئة مكرونات","")</f>
        <v/>
      </c>
      <c r="M223" s="43">
        <f>IF($A223=1,0,"")</f>
        <v/>
      </c>
      <c r="N223" s="43">
        <f>IF($A223=1,Sales_Daily!$AF21,"")</f>
        <v/>
      </c>
      <c r="O223" s="32">
        <f>IF($A223=1,Sales_Daily!$S21,"")</f>
        <v/>
      </c>
      <c r="P223" s="32">
        <f>IF($A223=1,IF(Sales_Daily!$AW21="","",Sales_Daily!$AW21),"")</f>
        <v/>
      </c>
      <c r="Q223" s="32">
        <f>IF($A223=1,Sales_Daily!$AY21,"")</f>
        <v/>
      </c>
      <c r="R223" s="32">
        <f>IF($A223=1,IF(AND($Q223=1,COUNTIFS(COA!$A:$A,$G223,COA!$R:$R,1)=1),1,0),"")</f>
        <v/>
      </c>
      <c r="S223" s="43">
        <f>IF($A223=1,IF($R223=1,N($M223),0),"")</f>
        <v/>
      </c>
      <c r="T223" s="43">
        <f>IF($A223=1,IF($R223=1,N($N223),0),"")</f>
        <v/>
      </c>
      <c r="U223" s="32">
        <f>IF($A223=1,YEAR($D223)*100+MONTH($D223),"")</f>
        <v/>
      </c>
      <c r="V223" s="32">
        <f>IF($A223=1,IF(COUNTIF(COA!$A:$A,$G223)=0,0,INDEX(COA!$H:$H,MATCH($G223,COA!$A:$A,0))),"")</f>
        <v/>
      </c>
      <c r="W223" s="32">
        <f>IF($A223=1,"","")</f>
        <v/>
      </c>
      <c r="X223" s="32">
        <f>IF($A223=1,IF($R223=1,"",IF($O223=ST_POST,IF($P223&lt;&gt;"",$P223,"حساب غير صالح أو غير نشط"),IF($O223=ST_REV,"معكوس: لا أثر على الدفاتر",IF($O223=ST_CANC,"ملغى",IF($O223=ST_APPR,"معتمد ولم يُرحَّل","مسودة"))))),"")</f>
        <v/>
      </c>
      <c r="Y223" s="32">
        <f>IF($A223=1,IF(AND($R223=1,OR(LG_Acct="",$G223=LG_Acct),OR(LG_Party="",$K223=LG_Party),OR(LG_Loc="ALL",$I223=LG_Loc),OR(LG_CC="ALL",$J223=LG_CC),$D223&gt;=LG_From,$D223&lt;=LG_To),$D223+ROW()/1000000,""),"")</f>
        <v/>
      </c>
      <c r="Z223" s="32">
        <f>IF($A223=1,IF(Sales_Daily!$T21="","",Sales_Daily!$T21),"")</f>
        <v/>
      </c>
      <c r="AA223" s="32">
        <f>IF($A223=1,IF(Sales_Daily!$U21="","",Sales_Daily!$U21),"")</f>
        <v/>
      </c>
      <c r="AB223" s="32">
        <f>IF($A223=1,IF(Sales_Daily!$V21="","",Sales_Daily!$V21),"")</f>
        <v/>
      </c>
      <c r="AC223" s="32">
        <f>IF($A223=1,IF(Sales_Daily!$W21="","",Sales_Daily!$W21),"")</f>
        <v/>
      </c>
      <c r="AD223" s="32">
        <f>IF($A223=1,IF(Sales_Daily!$X21="","",Sales_Daily!$X21),"")</f>
        <v/>
      </c>
      <c r="AE223" s="32">
        <f>IF($A223=1,0,"")</f>
        <v/>
      </c>
      <c r="AF223" s="32" t="inlineStr"/>
    </row>
    <row r="224">
      <c r="A224" s="32">
        <f>IF(AND(Sales_Daily!$AV21=1,N(Sales_Daily!$AG21)&gt;0),1,0)</f>
        <v/>
      </c>
      <c r="B224" s="32">
        <f>IF($A224=1,$E224&amp;"/12","")</f>
        <v/>
      </c>
      <c r="C224" s="32">
        <f>IF($A224=1,"J-"&amp;Sales_Daily!$A21,"")</f>
        <v/>
      </c>
      <c r="D224" s="33">
        <f>IF($A224=1,Sales_Daily!$B21,"")</f>
        <v/>
      </c>
      <c r="E224" s="32">
        <f>IF($A224=1,IF(Sales_Daily!$A21="","",Sales_Daily!$A21),"")</f>
        <v/>
      </c>
      <c r="F224" s="32">
        <f>IF($A224=1,"SAL","")</f>
        <v/>
      </c>
      <c r="G224" s="32">
        <f>IF($A224=1,IF(Sales_Daily!$AT21="","",Sales_Daily!$AT21),"")</f>
        <v/>
      </c>
      <c r="H224" s="32">
        <f>IF($A224=1,IF(COUNTIF(COA!$A:$A,$G224)=0,"حساب غير معرف",INDEX(COA!$B:$B,MATCH($G224,COA!$A:$A,0))),"")</f>
        <v/>
      </c>
      <c r="I224" s="32">
        <f>IF($A224=1,IF(Sales_Daily!$C21="","",Sales_Daily!$C21),"")</f>
        <v/>
      </c>
      <c r="J224" s="32">
        <f>IF($A224=1,"CC10","")</f>
        <v/>
      </c>
      <c r="K224" s="32">
        <f>IF($A224=1,"-","")</f>
        <v/>
      </c>
      <c r="L224" s="32">
        <f>IF($A224=1,"إيراد مبيعات - فئة أخرى","")</f>
        <v/>
      </c>
      <c r="M224" s="43">
        <f>IF($A224=1,0,"")</f>
        <v/>
      </c>
      <c r="N224" s="43">
        <f>IF($A224=1,Sales_Daily!$AG21,"")</f>
        <v/>
      </c>
      <c r="O224" s="32">
        <f>IF($A224=1,Sales_Daily!$S21,"")</f>
        <v/>
      </c>
      <c r="P224" s="32">
        <f>IF($A224=1,IF(Sales_Daily!$AW21="","",Sales_Daily!$AW21),"")</f>
        <v/>
      </c>
      <c r="Q224" s="32">
        <f>IF($A224=1,Sales_Daily!$AY21,"")</f>
        <v/>
      </c>
      <c r="R224" s="32">
        <f>IF($A224=1,IF(AND($Q224=1,COUNTIFS(COA!$A:$A,$G224,COA!$R:$R,1)=1),1,0),"")</f>
        <v/>
      </c>
      <c r="S224" s="43">
        <f>IF($A224=1,IF($R224=1,N($M224),0),"")</f>
        <v/>
      </c>
      <c r="T224" s="43">
        <f>IF($A224=1,IF($R224=1,N($N224),0),"")</f>
        <v/>
      </c>
      <c r="U224" s="32">
        <f>IF($A224=1,YEAR($D224)*100+MONTH($D224),"")</f>
        <v/>
      </c>
      <c r="V224" s="32">
        <f>IF($A224=1,IF(COUNTIF(COA!$A:$A,$G224)=0,0,INDEX(COA!$H:$H,MATCH($G224,COA!$A:$A,0))),"")</f>
        <v/>
      </c>
      <c r="W224" s="32">
        <f>IF($A224=1,"","")</f>
        <v/>
      </c>
      <c r="X224" s="32">
        <f>IF($A224=1,IF($R224=1,"",IF($O224=ST_POST,IF($P224&lt;&gt;"",$P224,"حساب غير صالح أو غير نشط"),IF($O224=ST_REV,"معكوس: لا أثر على الدفاتر",IF($O224=ST_CANC,"ملغى",IF($O224=ST_APPR,"معتمد ولم يُرحَّل","مسودة"))))),"")</f>
        <v/>
      </c>
      <c r="Y224" s="32">
        <f>IF($A224=1,IF(AND($R224=1,OR(LG_Acct="",$G224=LG_Acct),OR(LG_Party="",$K224=LG_Party),OR(LG_Loc="ALL",$I224=LG_Loc),OR(LG_CC="ALL",$J224=LG_CC),$D224&gt;=LG_From,$D224&lt;=LG_To),$D224+ROW()/1000000,""),"")</f>
        <v/>
      </c>
      <c r="Z224" s="32">
        <f>IF($A224=1,IF(Sales_Daily!$T21="","",Sales_Daily!$T21),"")</f>
        <v/>
      </c>
      <c r="AA224" s="32">
        <f>IF($A224=1,IF(Sales_Daily!$U21="","",Sales_Daily!$U21),"")</f>
        <v/>
      </c>
      <c r="AB224" s="32">
        <f>IF($A224=1,IF(Sales_Daily!$V21="","",Sales_Daily!$V21),"")</f>
        <v/>
      </c>
      <c r="AC224" s="32">
        <f>IF($A224=1,IF(Sales_Daily!$W21="","",Sales_Daily!$W21),"")</f>
        <v/>
      </c>
      <c r="AD224" s="32">
        <f>IF($A224=1,IF(Sales_Daily!$X21="","",Sales_Daily!$X21),"")</f>
        <v/>
      </c>
      <c r="AE224" s="32">
        <f>IF($A224=1,0,"")</f>
        <v/>
      </c>
      <c r="AF224" s="32" t="inlineStr"/>
    </row>
    <row r="225">
      <c r="A225" s="32">
        <f>IF(AND(Sales_Daily!$AV21=1,N(Sales_Daily!$AJ21)&gt;0),1,0)</f>
        <v/>
      </c>
      <c r="B225" s="32">
        <f>IF($A225=1,$E225&amp;"/13","")</f>
        <v/>
      </c>
      <c r="C225" s="32">
        <f>IF($A225=1,"J-"&amp;Sales_Daily!$A21,"")</f>
        <v/>
      </c>
      <c r="D225" s="33">
        <f>IF($A225=1,Sales_Daily!$B21,"")</f>
        <v/>
      </c>
      <c r="E225" s="32">
        <f>IF($A225=1,IF(Sales_Daily!$A21="","",Sales_Daily!$A21),"")</f>
        <v/>
      </c>
      <c r="F225" s="32">
        <f>IF($A225=1,"SAL","")</f>
        <v/>
      </c>
      <c r="G225" s="32">
        <f>IF($A225=1,ACC_VAT_OUT,"")</f>
        <v/>
      </c>
      <c r="H225" s="32">
        <f>IF($A225=1,IF(COUNTIF(COA!$A:$A,$G225)=0,"حساب غير معرف",INDEX(COA!$B:$B,MATCH($G225,COA!$A:$A,0))),"")</f>
        <v/>
      </c>
      <c r="I225" s="32">
        <f>IF($A225=1,IF(Sales_Daily!$C21="","",Sales_Daily!$C21),"")</f>
        <v/>
      </c>
      <c r="J225" s="32">
        <f>IF($A225=1,"CC10","")</f>
        <v/>
      </c>
      <c r="K225" s="32">
        <f>IF($A225=1,"-","")</f>
        <v/>
      </c>
      <c r="L225" s="32">
        <f>IF($A225=1,"ضريبة القيمة المضافة - مخرجات","")</f>
        <v/>
      </c>
      <c r="M225" s="43">
        <f>IF($A225=1,0,"")</f>
        <v/>
      </c>
      <c r="N225" s="43">
        <f>IF($A225=1,Sales_Daily!$AJ21,"")</f>
        <v/>
      </c>
      <c r="O225" s="32">
        <f>IF($A225=1,Sales_Daily!$S21,"")</f>
        <v/>
      </c>
      <c r="P225" s="32">
        <f>IF($A225=1,IF(Sales_Daily!$AW21="","",Sales_Daily!$AW21),"")</f>
        <v/>
      </c>
      <c r="Q225" s="32">
        <f>IF($A225=1,Sales_Daily!$AY21,"")</f>
        <v/>
      </c>
      <c r="R225" s="32">
        <f>IF($A225=1,IF(AND($Q225=1,COUNTIFS(COA!$A:$A,$G225,COA!$R:$R,1)=1),1,0),"")</f>
        <v/>
      </c>
      <c r="S225" s="43">
        <f>IF($A225=1,IF($R225=1,N($M225),0),"")</f>
        <v/>
      </c>
      <c r="T225" s="43">
        <f>IF($A225=1,IF($R225=1,N($N225),0),"")</f>
        <v/>
      </c>
      <c r="U225" s="32">
        <f>IF($A225=1,YEAR($D225)*100+MONTH($D225),"")</f>
        <v/>
      </c>
      <c r="V225" s="32">
        <f>IF($A225=1,IF(COUNTIF(COA!$A:$A,$G225)=0,0,INDEX(COA!$H:$H,MATCH($G225,COA!$A:$A,0))),"")</f>
        <v/>
      </c>
      <c r="W225" s="32">
        <f>IF($A225=1,"","")</f>
        <v/>
      </c>
      <c r="X225" s="32">
        <f>IF($A225=1,IF($R225=1,"",IF($O225=ST_POST,IF($P225&lt;&gt;"",$P225,"حساب غير صالح أو غير نشط"),IF($O225=ST_REV,"معكوس: لا أثر على الدفاتر",IF($O225=ST_CANC,"ملغى",IF($O225=ST_APPR,"معتمد ولم يُرحَّل","مسودة"))))),"")</f>
        <v/>
      </c>
      <c r="Y225" s="32">
        <f>IF($A225=1,IF(AND($R225=1,OR(LG_Acct="",$G225=LG_Acct),OR(LG_Party="",$K225=LG_Party),OR(LG_Loc="ALL",$I225=LG_Loc),OR(LG_CC="ALL",$J225=LG_CC),$D225&gt;=LG_From,$D225&lt;=LG_To),$D225+ROW()/1000000,""),"")</f>
        <v/>
      </c>
      <c r="Z225" s="32">
        <f>IF($A225=1,IF(Sales_Daily!$T21="","",Sales_Daily!$T21),"")</f>
        <v/>
      </c>
      <c r="AA225" s="32">
        <f>IF($A225=1,IF(Sales_Daily!$U21="","",Sales_Daily!$U21),"")</f>
        <v/>
      </c>
      <c r="AB225" s="32">
        <f>IF($A225=1,IF(Sales_Daily!$V21="","",Sales_Daily!$V21),"")</f>
        <v/>
      </c>
      <c r="AC225" s="32">
        <f>IF($A225=1,IF(Sales_Daily!$W21="","",Sales_Daily!$W21),"")</f>
        <v/>
      </c>
      <c r="AD225" s="32">
        <f>IF($A225=1,IF(Sales_Daily!$X21="","",Sales_Daily!$X21),"")</f>
        <v/>
      </c>
      <c r="AE225" s="32">
        <f>IF($A225=1,0,"")</f>
        <v/>
      </c>
      <c r="AF225" s="32" t="inlineStr"/>
    </row>
    <row r="226">
      <c r="A226" s="32">
        <f>IF(AND(Sales_Daily!$AV22=1,N(Sales_Daily!$L22)&gt;0),1,0)</f>
        <v/>
      </c>
      <c r="B226" s="32">
        <f>IF($A226=1,$E226&amp;"/1","")</f>
        <v/>
      </c>
      <c r="C226" s="32">
        <f>IF($A226=1,"J-"&amp;Sales_Daily!$A22,"")</f>
        <v/>
      </c>
      <c r="D226" s="33">
        <f>IF($A226=1,Sales_Daily!$B22,"")</f>
        <v/>
      </c>
      <c r="E226" s="32">
        <f>IF($A226=1,IF(Sales_Daily!$A22="","",Sales_Daily!$A22),"")</f>
        <v/>
      </c>
      <c r="F226" s="32">
        <f>IF($A226=1,"SAL","")</f>
        <v/>
      </c>
      <c r="G226" s="32">
        <f>IF($A226=1,IF(Sales_Daily!$AK22="","",Sales_Daily!$AK22),"")</f>
        <v/>
      </c>
      <c r="H226" s="32">
        <f>IF($A226=1,IF(COUNTIF(COA!$A:$A,$G226)=0,"حساب غير معرف",INDEX(COA!$B:$B,MATCH($G226,COA!$A:$A,0))),"")</f>
        <v/>
      </c>
      <c r="I226" s="32">
        <f>IF($A226=1,IF(Sales_Daily!$C22="","",Sales_Daily!$C22),"")</f>
        <v/>
      </c>
      <c r="J226" s="32">
        <f>IF($A226=1,"CC10","")</f>
        <v/>
      </c>
      <c r="K226" s="32">
        <f>IF($A226=1,"-","")</f>
        <v/>
      </c>
      <c r="L226" s="32">
        <f>IF($A226=1,"مبيعات - تحصيل CASH","")</f>
        <v/>
      </c>
      <c r="M226" s="43">
        <f>IF($A226=1,Sales_Daily!$L22,"")</f>
        <v/>
      </c>
      <c r="N226" s="43">
        <f>IF($A226=1,0,"")</f>
        <v/>
      </c>
      <c r="O226" s="32">
        <f>IF($A226=1,Sales_Daily!$S22,"")</f>
        <v/>
      </c>
      <c r="P226" s="32">
        <f>IF($A226=1,IF(Sales_Daily!$AW22="","",Sales_Daily!$AW22),"")</f>
        <v/>
      </c>
      <c r="Q226" s="32">
        <f>IF($A226=1,Sales_Daily!$AY22,"")</f>
        <v/>
      </c>
      <c r="R226" s="32">
        <f>IF($A226=1,IF(AND($Q226=1,COUNTIFS(COA!$A:$A,$G226,COA!$R:$R,1)=1),1,0),"")</f>
        <v/>
      </c>
      <c r="S226" s="43">
        <f>IF($A226=1,IF($R226=1,N($M226),0),"")</f>
        <v/>
      </c>
      <c r="T226" s="43">
        <f>IF($A226=1,IF($R226=1,N($N226),0),"")</f>
        <v/>
      </c>
      <c r="U226" s="32">
        <f>IF($A226=1,YEAR($D226)*100+MONTH($D226),"")</f>
        <v/>
      </c>
      <c r="V226" s="32">
        <f>IF($A226=1,IF(COUNTIF(COA!$A:$A,$G226)=0,0,INDEX(COA!$H:$H,MATCH($G226,COA!$A:$A,0))),"")</f>
        <v/>
      </c>
      <c r="W226" s="32">
        <f>IF($A226=1,"OPERATING","")</f>
        <v/>
      </c>
      <c r="X226" s="32">
        <f>IF($A226=1,IF($R226=1,"",IF($O226=ST_POST,IF($P226&lt;&gt;"",$P226,"حساب غير صالح أو غير نشط"),IF($O226=ST_REV,"معكوس: لا أثر على الدفاتر",IF($O226=ST_CANC,"ملغى",IF($O226=ST_APPR,"معتمد ولم يُرحَّل","مسودة"))))),"")</f>
        <v/>
      </c>
      <c r="Y226" s="32">
        <f>IF($A226=1,IF(AND($R226=1,OR(LG_Acct="",$G226=LG_Acct),OR(LG_Party="",$K226=LG_Party),OR(LG_Loc="ALL",$I226=LG_Loc),OR(LG_CC="ALL",$J226=LG_CC),$D226&gt;=LG_From,$D226&lt;=LG_To),$D226+ROW()/1000000,""),"")</f>
        <v/>
      </c>
      <c r="Z226" s="32">
        <f>IF($A226=1,IF(Sales_Daily!$T22="","",Sales_Daily!$T22),"")</f>
        <v/>
      </c>
      <c r="AA226" s="32">
        <f>IF($A226=1,IF(Sales_Daily!$U22="","",Sales_Daily!$U22),"")</f>
        <v/>
      </c>
      <c r="AB226" s="32">
        <f>IF($A226=1,IF(Sales_Daily!$V22="","",Sales_Daily!$V22),"")</f>
        <v/>
      </c>
      <c r="AC226" s="32">
        <f>IF($A226=1,IF(Sales_Daily!$W22="","",Sales_Daily!$W22),"")</f>
        <v/>
      </c>
      <c r="AD226" s="32">
        <f>IF($A226=1,IF(Sales_Daily!$X22="","",Sales_Daily!$X22),"")</f>
        <v/>
      </c>
      <c r="AE226" s="32">
        <f>IF($A226=1,0,"")</f>
        <v/>
      </c>
      <c r="AF226" s="32" t="inlineStr"/>
    </row>
    <row r="227">
      <c r="A227" s="32">
        <f>IF(AND(Sales_Daily!$AV22=1,N(Sales_Daily!$M22)&gt;0),1,0)</f>
        <v/>
      </c>
      <c r="B227" s="32">
        <f>IF($A227=1,$E227&amp;"/2","")</f>
        <v/>
      </c>
      <c r="C227" s="32">
        <f>IF($A227=1,"J-"&amp;Sales_Daily!$A22,"")</f>
        <v/>
      </c>
      <c r="D227" s="33">
        <f>IF($A227=1,Sales_Daily!$B22,"")</f>
        <v/>
      </c>
      <c r="E227" s="32">
        <f>IF($A227=1,IF(Sales_Daily!$A22="","",Sales_Daily!$A22),"")</f>
        <v/>
      </c>
      <c r="F227" s="32">
        <f>IF($A227=1,"SAL","")</f>
        <v/>
      </c>
      <c r="G227" s="32">
        <f>IF($A227=1,IF(Sales_Daily!$AL22="","",Sales_Daily!$AL22),"")</f>
        <v/>
      </c>
      <c r="H227" s="32">
        <f>IF($A227=1,IF(COUNTIF(COA!$A:$A,$G227)=0,"حساب غير معرف",INDEX(COA!$B:$B,MATCH($G227,COA!$A:$A,0))),"")</f>
        <v/>
      </c>
      <c r="I227" s="32">
        <f>IF($A227=1,IF(Sales_Daily!$C22="","",Sales_Daily!$C22),"")</f>
        <v/>
      </c>
      <c r="J227" s="32">
        <f>IF($A227=1,"CC10","")</f>
        <v/>
      </c>
      <c r="K227" s="32">
        <f>IF($A227=1,"-","")</f>
        <v/>
      </c>
      <c r="L227" s="32">
        <f>IF($A227=1,"مبيعات - تحصيل CARD","")</f>
        <v/>
      </c>
      <c r="M227" s="43">
        <f>IF($A227=1,Sales_Daily!$M22,"")</f>
        <v/>
      </c>
      <c r="N227" s="43">
        <f>IF($A227=1,0,"")</f>
        <v/>
      </c>
      <c r="O227" s="32">
        <f>IF($A227=1,Sales_Daily!$S22,"")</f>
        <v/>
      </c>
      <c r="P227" s="32">
        <f>IF($A227=1,IF(Sales_Daily!$AW22="","",Sales_Daily!$AW22),"")</f>
        <v/>
      </c>
      <c r="Q227" s="32">
        <f>IF($A227=1,Sales_Daily!$AY22,"")</f>
        <v/>
      </c>
      <c r="R227" s="32">
        <f>IF($A227=1,IF(AND($Q227=1,COUNTIFS(COA!$A:$A,$G227,COA!$R:$R,1)=1),1,0),"")</f>
        <v/>
      </c>
      <c r="S227" s="43">
        <f>IF($A227=1,IF($R227=1,N($M227),0),"")</f>
        <v/>
      </c>
      <c r="T227" s="43">
        <f>IF($A227=1,IF($R227=1,N($N227),0),"")</f>
        <v/>
      </c>
      <c r="U227" s="32">
        <f>IF($A227=1,YEAR($D227)*100+MONTH($D227),"")</f>
        <v/>
      </c>
      <c r="V227" s="32">
        <f>IF($A227=1,IF(COUNTIF(COA!$A:$A,$G227)=0,0,INDEX(COA!$H:$H,MATCH($G227,COA!$A:$A,0))),"")</f>
        <v/>
      </c>
      <c r="W227" s="32">
        <f>IF($A227=1,"OPERATING","")</f>
        <v/>
      </c>
      <c r="X227" s="32">
        <f>IF($A227=1,IF($R227=1,"",IF($O227=ST_POST,IF($P227&lt;&gt;"",$P227,"حساب غير صالح أو غير نشط"),IF($O227=ST_REV,"معكوس: لا أثر على الدفاتر",IF($O227=ST_CANC,"ملغى",IF($O227=ST_APPR,"معتمد ولم يُرحَّل","مسودة"))))),"")</f>
        <v/>
      </c>
      <c r="Y227" s="32">
        <f>IF($A227=1,IF(AND($R227=1,OR(LG_Acct="",$G227=LG_Acct),OR(LG_Party="",$K227=LG_Party),OR(LG_Loc="ALL",$I227=LG_Loc),OR(LG_CC="ALL",$J227=LG_CC),$D227&gt;=LG_From,$D227&lt;=LG_To),$D227+ROW()/1000000,""),"")</f>
        <v/>
      </c>
      <c r="Z227" s="32">
        <f>IF($A227=1,IF(Sales_Daily!$T22="","",Sales_Daily!$T22),"")</f>
        <v/>
      </c>
      <c r="AA227" s="32">
        <f>IF($A227=1,IF(Sales_Daily!$U22="","",Sales_Daily!$U22),"")</f>
        <v/>
      </c>
      <c r="AB227" s="32">
        <f>IF($A227=1,IF(Sales_Daily!$V22="","",Sales_Daily!$V22),"")</f>
        <v/>
      </c>
      <c r="AC227" s="32">
        <f>IF($A227=1,IF(Sales_Daily!$W22="","",Sales_Daily!$W22),"")</f>
        <v/>
      </c>
      <c r="AD227" s="32">
        <f>IF($A227=1,IF(Sales_Daily!$X22="","",Sales_Daily!$X22),"")</f>
        <v/>
      </c>
      <c r="AE227" s="32">
        <f>IF($A227=1,0,"")</f>
        <v/>
      </c>
      <c r="AF227" s="32" t="inlineStr"/>
    </row>
    <row r="228">
      <c r="A228" s="32">
        <f>IF(AND(Sales_Daily!$AV22=1,N(Sales_Daily!$N22)&gt;0),1,0)</f>
        <v/>
      </c>
      <c r="B228" s="32">
        <f>IF($A228=1,$E228&amp;"/3","")</f>
        <v/>
      </c>
      <c r="C228" s="32">
        <f>IF($A228=1,"J-"&amp;Sales_Daily!$A22,"")</f>
        <v/>
      </c>
      <c r="D228" s="33">
        <f>IF($A228=1,Sales_Daily!$B22,"")</f>
        <v/>
      </c>
      <c r="E228" s="32">
        <f>IF($A228=1,IF(Sales_Daily!$A22="","",Sales_Daily!$A22),"")</f>
        <v/>
      </c>
      <c r="F228" s="32">
        <f>IF($A228=1,"SAL","")</f>
        <v/>
      </c>
      <c r="G228" s="32">
        <f>IF($A228=1,IF(Sales_Daily!$AM22="","",Sales_Daily!$AM22),"")</f>
        <v/>
      </c>
      <c r="H228" s="32">
        <f>IF($A228=1,IF(COUNTIF(COA!$A:$A,$G228)=0,"حساب غير معرف",INDEX(COA!$B:$B,MATCH($G228,COA!$A:$A,0))),"")</f>
        <v/>
      </c>
      <c r="I228" s="32">
        <f>IF($A228=1,IF(Sales_Daily!$C22="","",Sales_Daily!$C22),"")</f>
        <v/>
      </c>
      <c r="J228" s="32">
        <f>IF($A228=1,"CC10","")</f>
        <v/>
      </c>
      <c r="K228" s="32">
        <f>IF($A228=1,"-","")</f>
        <v/>
      </c>
      <c r="L228" s="32">
        <f>IF($A228=1,"مبيعات - تحصيل TLB","")</f>
        <v/>
      </c>
      <c r="M228" s="43">
        <f>IF($A228=1,Sales_Daily!$N22,"")</f>
        <v/>
      </c>
      <c r="N228" s="43">
        <f>IF($A228=1,0,"")</f>
        <v/>
      </c>
      <c r="O228" s="32">
        <f>IF($A228=1,Sales_Daily!$S22,"")</f>
        <v/>
      </c>
      <c r="P228" s="32">
        <f>IF($A228=1,IF(Sales_Daily!$AW22="","",Sales_Daily!$AW22),"")</f>
        <v/>
      </c>
      <c r="Q228" s="32">
        <f>IF($A228=1,Sales_Daily!$AY22,"")</f>
        <v/>
      </c>
      <c r="R228" s="32">
        <f>IF($A228=1,IF(AND($Q228=1,COUNTIFS(COA!$A:$A,$G228,COA!$R:$R,1)=1),1,0),"")</f>
        <v/>
      </c>
      <c r="S228" s="43">
        <f>IF($A228=1,IF($R228=1,N($M228),0),"")</f>
        <v/>
      </c>
      <c r="T228" s="43">
        <f>IF($A228=1,IF($R228=1,N($N228),0),"")</f>
        <v/>
      </c>
      <c r="U228" s="32">
        <f>IF($A228=1,YEAR($D228)*100+MONTH($D228),"")</f>
        <v/>
      </c>
      <c r="V228" s="32">
        <f>IF($A228=1,IF(COUNTIF(COA!$A:$A,$G228)=0,0,INDEX(COA!$H:$H,MATCH($G228,COA!$A:$A,0))),"")</f>
        <v/>
      </c>
      <c r="W228" s="32">
        <f>IF($A228=1,"OPERATING","")</f>
        <v/>
      </c>
      <c r="X228" s="32">
        <f>IF($A228=1,IF($R228=1,"",IF($O228=ST_POST,IF($P228&lt;&gt;"",$P228,"حساب غير صالح أو غير نشط"),IF($O228=ST_REV,"معكوس: لا أثر على الدفاتر",IF($O228=ST_CANC,"ملغى",IF($O228=ST_APPR,"معتمد ولم يُرحَّل","مسودة"))))),"")</f>
        <v/>
      </c>
      <c r="Y228" s="32">
        <f>IF($A228=1,IF(AND($R228=1,OR(LG_Acct="",$G228=LG_Acct),OR(LG_Party="",$K228=LG_Party),OR(LG_Loc="ALL",$I228=LG_Loc),OR(LG_CC="ALL",$J228=LG_CC),$D228&gt;=LG_From,$D228&lt;=LG_To),$D228+ROW()/1000000,""),"")</f>
        <v/>
      </c>
      <c r="Z228" s="32">
        <f>IF($A228=1,IF(Sales_Daily!$T22="","",Sales_Daily!$T22),"")</f>
        <v/>
      </c>
      <c r="AA228" s="32">
        <f>IF($A228=1,IF(Sales_Daily!$U22="","",Sales_Daily!$U22),"")</f>
        <v/>
      </c>
      <c r="AB228" s="32">
        <f>IF($A228=1,IF(Sales_Daily!$V22="","",Sales_Daily!$V22),"")</f>
        <v/>
      </c>
      <c r="AC228" s="32">
        <f>IF($A228=1,IF(Sales_Daily!$W22="","",Sales_Daily!$W22),"")</f>
        <v/>
      </c>
      <c r="AD228" s="32">
        <f>IF($A228=1,IF(Sales_Daily!$X22="","",Sales_Daily!$X22),"")</f>
        <v/>
      </c>
      <c r="AE228" s="32">
        <f>IF($A228=1,0,"")</f>
        <v/>
      </c>
      <c r="AF228" s="32" t="inlineStr"/>
    </row>
    <row r="229">
      <c r="A229" s="32">
        <f>IF(AND(Sales_Daily!$AV22=1,N(Sales_Daily!$O22)&gt;0),1,0)</f>
        <v/>
      </c>
      <c r="B229" s="32">
        <f>IF($A229=1,$E229&amp;"/4","")</f>
        <v/>
      </c>
      <c r="C229" s="32">
        <f>IF($A229=1,"J-"&amp;Sales_Daily!$A22,"")</f>
        <v/>
      </c>
      <c r="D229" s="33">
        <f>IF($A229=1,Sales_Daily!$B22,"")</f>
        <v/>
      </c>
      <c r="E229" s="32">
        <f>IF($A229=1,IF(Sales_Daily!$A22="","",Sales_Daily!$A22),"")</f>
        <v/>
      </c>
      <c r="F229" s="32">
        <f>IF($A229=1,"SAL","")</f>
        <v/>
      </c>
      <c r="G229" s="32">
        <f>IF($A229=1,IF(Sales_Daily!$AN22="","",Sales_Daily!$AN22),"")</f>
        <v/>
      </c>
      <c r="H229" s="32">
        <f>IF($A229=1,IF(COUNTIF(COA!$A:$A,$G229)=0,"حساب غير معرف",INDEX(COA!$B:$B,MATCH($G229,COA!$A:$A,0))),"")</f>
        <v/>
      </c>
      <c r="I229" s="32">
        <f>IF($A229=1,IF(Sales_Daily!$C22="","",Sales_Daily!$C22),"")</f>
        <v/>
      </c>
      <c r="J229" s="32">
        <f>IF($A229=1,"CC10","")</f>
        <v/>
      </c>
      <c r="K229" s="32">
        <f>IF($A229=1,"-","")</f>
        <v/>
      </c>
      <c r="L229" s="32">
        <f>IF($A229=1,"مبيعات - تحصيل DLV2","")</f>
        <v/>
      </c>
      <c r="M229" s="43">
        <f>IF($A229=1,Sales_Daily!$O22,"")</f>
        <v/>
      </c>
      <c r="N229" s="43">
        <f>IF($A229=1,0,"")</f>
        <v/>
      </c>
      <c r="O229" s="32">
        <f>IF($A229=1,Sales_Daily!$S22,"")</f>
        <v/>
      </c>
      <c r="P229" s="32">
        <f>IF($A229=1,IF(Sales_Daily!$AW22="","",Sales_Daily!$AW22),"")</f>
        <v/>
      </c>
      <c r="Q229" s="32">
        <f>IF($A229=1,Sales_Daily!$AY22,"")</f>
        <v/>
      </c>
      <c r="R229" s="32">
        <f>IF($A229=1,IF(AND($Q229=1,COUNTIFS(COA!$A:$A,$G229,COA!$R:$R,1)=1),1,0),"")</f>
        <v/>
      </c>
      <c r="S229" s="43">
        <f>IF($A229=1,IF($R229=1,N($M229),0),"")</f>
        <v/>
      </c>
      <c r="T229" s="43">
        <f>IF($A229=1,IF($R229=1,N($N229),0),"")</f>
        <v/>
      </c>
      <c r="U229" s="32">
        <f>IF($A229=1,YEAR($D229)*100+MONTH($D229),"")</f>
        <v/>
      </c>
      <c r="V229" s="32">
        <f>IF($A229=1,IF(COUNTIF(COA!$A:$A,$G229)=0,0,INDEX(COA!$H:$H,MATCH($G229,COA!$A:$A,0))),"")</f>
        <v/>
      </c>
      <c r="W229" s="32">
        <f>IF($A229=1,"OPERATING","")</f>
        <v/>
      </c>
      <c r="X229" s="32">
        <f>IF($A229=1,IF($R229=1,"",IF($O229=ST_POST,IF($P229&lt;&gt;"",$P229,"حساب غير صالح أو غير نشط"),IF($O229=ST_REV,"معكوس: لا أثر على الدفاتر",IF($O229=ST_CANC,"ملغى",IF($O229=ST_APPR,"معتمد ولم يُرحَّل","مسودة"))))),"")</f>
        <v/>
      </c>
      <c r="Y229" s="32">
        <f>IF($A229=1,IF(AND($R229=1,OR(LG_Acct="",$G229=LG_Acct),OR(LG_Party="",$K229=LG_Party),OR(LG_Loc="ALL",$I229=LG_Loc),OR(LG_CC="ALL",$J229=LG_CC),$D229&gt;=LG_From,$D229&lt;=LG_To),$D229+ROW()/1000000,""),"")</f>
        <v/>
      </c>
      <c r="Z229" s="32">
        <f>IF($A229=1,IF(Sales_Daily!$T22="","",Sales_Daily!$T22),"")</f>
        <v/>
      </c>
      <c r="AA229" s="32">
        <f>IF($A229=1,IF(Sales_Daily!$U22="","",Sales_Daily!$U22),"")</f>
        <v/>
      </c>
      <c r="AB229" s="32">
        <f>IF($A229=1,IF(Sales_Daily!$V22="","",Sales_Daily!$V22),"")</f>
        <v/>
      </c>
      <c r="AC229" s="32">
        <f>IF($A229=1,IF(Sales_Daily!$W22="","",Sales_Daily!$W22),"")</f>
        <v/>
      </c>
      <c r="AD229" s="32">
        <f>IF($A229=1,IF(Sales_Daily!$X22="","",Sales_Daily!$X22),"")</f>
        <v/>
      </c>
      <c r="AE229" s="32">
        <f>IF($A229=1,0,"")</f>
        <v/>
      </c>
      <c r="AF229" s="32" t="inlineStr"/>
    </row>
    <row r="230">
      <c r="A230" s="32">
        <f>IF(AND(Sales_Daily!$AV22=1,N(Sales_Daily!$P22)&gt;0),1,0)</f>
        <v/>
      </c>
      <c r="B230" s="32">
        <f>IF($A230=1,$E230&amp;"/5","")</f>
        <v/>
      </c>
      <c r="C230" s="32">
        <f>IF($A230=1,"J-"&amp;Sales_Daily!$A22,"")</f>
        <v/>
      </c>
      <c r="D230" s="33">
        <f>IF($A230=1,Sales_Daily!$B22,"")</f>
        <v/>
      </c>
      <c r="E230" s="32">
        <f>IF($A230=1,IF(Sales_Daily!$A22="","",Sales_Daily!$A22),"")</f>
        <v/>
      </c>
      <c r="F230" s="32">
        <f>IF($A230=1,"SAL","")</f>
        <v/>
      </c>
      <c r="G230" s="32">
        <f>IF($A230=1,IF(Sales_Daily!$AO22="","",Sales_Daily!$AO22),"")</f>
        <v/>
      </c>
      <c r="H230" s="32">
        <f>IF($A230=1,IF(COUNTIF(COA!$A:$A,$G230)=0,"حساب غير معرف",INDEX(COA!$B:$B,MATCH($G230,COA!$A:$A,0))),"")</f>
        <v/>
      </c>
      <c r="I230" s="32">
        <f>IF($A230=1,IF(Sales_Daily!$C22="","",Sales_Daily!$C22),"")</f>
        <v/>
      </c>
      <c r="J230" s="32">
        <f>IF($A230=1,"CC10","")</f>
        <v/>
      </c>
      <c r="K230" s="32">
        <f>IF($A230=1,"-","")</f>
        <v/>
      </c>
      <c r="L230" s="32">
        <f>IF($A230=1,"مبيعات - تحصيل INSTA","")</f>
        <v/>
      </c>
      <c r="M230" s="43">
        <f>IF($A230=1,Sales_Daily!$P22,"")</f>
        <v/>
      </c>
      <c r="N230" s="43">
        <f>IF($A230=1,0,"")</f>
        <v/>
      </c>
      <c r="O230" s="32">
        <f>IF($A230=1,Sales_Daily!$S22,"")</f>
        <v/>
      </c>
      <c r="P230" s="32">
        <f>IF($A230=1,IF(Sales_Daily!$AW22="","",Sales_Daily!$AW22),"")</f>
        <v/>
      </c>
      <c r="Q230" s="32">
        <f>IF($A230=1,Sales_Daily!$AY22,"")</f>
        <v/>
      </c>
      <c r="R230" s="32">
        <f>IF($A230=1,IF(AND($Q230=1,COUNTIFS(COA!$A:$A,$G230,COA!$R:$R,1)=1),1,0),"")</f>
        <v/>
      </c>
      <c r="S230" s="43">
        <f>IF($A230=1,IF($R230=1,N($M230),0),"")</f>
        <v/>
      </c>
      <c r="T230" s="43">
        <f>IF($A230=1,IF($R230=1,N($N230),0),"")</f>
        <v/>
      </c>
      <c r="U230" s="32">
        <f>IF($A230=1,YEAR($D230)*100+MONTH($D230),"")</f>
        <v/>
      </c>
      <c r="V230" s="32">
        <f>IF($A230=1,IF(COUNTIF(COA!$A:$A,$G230)=0,0,INDEX(COA!$H:$H,MATCH($G230,COA!$A:$A,0))),"")</f>
        <v/>
      </c>
      <c r="W230" s="32">
        <f>IF($A230=1,"OPERATING","")</f>
        <v/>
      </c>
      <c r="X230" s="32">
        <f>IF($A230=1,IF($R230=1,"",IF($O230=ST_POST,IF($P230&lt;&gt;"",$P230,"حساب غير صالح أو غير نشط"),IF($O230=ST_REV,"معكوس: لا أثر على الدفاتر",IF($O230=ST_CANC,"ملغى",IF($O230=ST_APPR,"معتمد ولم يُرحَّل","مسودة"))))),"")</f>
        <v/>
      </c>
      <c r="Y230" s="32">
        <f>IF($A230=1,IF(AND($R230=1,OR(LG_Acct="",$G230=LG_Acct),OR(LG_Party="",$K230=LG_Party),OR(LG_Loc="ALL",$I230=LG_Loc),OR(LG_CC="ALL",$J230=LG_CC),$D230&gt;=LG_From,$D230&lt;=LG_To),$D230+ROW()/1000000,""),"")</f>
        <v/>
      </c>
      <c r="Z230" s="32">
        <f>IF($A230=1,IF(Sales_Daily!$T22="","",Sales_Daily!$T22),"")</f>
        <v/>
      </c>
      <c r="AA230" s="32">
        <f>IF($A230=1,IF(Sales_Daily!$U22="","",Sales_Daily!$U22),"")</f>
        <v/>
      </c>
      <c r="AB230" s="32">
        <f>IF($A230=1,IF(Sales_Daily!$V22="","",Sales_Daily!$V22),"")</f>
        <v/>
      </c>
      <c r="AC230" s="32">
        <f>IF($A230=1,IF(Sales_Daily!$W22="","",Sales_Daily!$W22),"")</f>
        <v/>
      </c>
      <c r="AD230" s="32">
        <f>IF($A230=1,IF(Sales_Daily!$X22="","",Sales_Daily!$X22),"")</f>
        <v/>
      </c>
      <c r="AE230" s="32">
        <f>IF($A230=1,0,"")</f>
        <v/>
      </c>
      <c r="AF230" s="32" t="inlineStr"/>
    </row>
    <row r="231">
      <c r="A231" s="32">
        <f>IF(AND(Sales_Daily!$AV22=1,N(Sales_Daily!$Q22)&gt;0),1,0)</f>
        <v/>
      </c>
      <c r="B231" s="32">
        <f>IF($A231=1,$E231&amp;"/6","")</f>
        <v/>
      </c>
      <c r="C231" s="32">
        <f>IF($A231=1,"J-"&amp;Sales_Daily!$A22,"")</f>
        <v/>
      </c>
      <c r="D231" s="33">
        <f>IF($A231=1,Sales_Daily!$B22,"")</f>
        <v/>
      </c>
      <c r="E231" s="32">
        <f>IF($A231=1,IF(Sales_Daily!$A22="","",Sales_Daily!$A22),"")</f>
        <v/>
      </c>
      <c r="F231" s="32">
        <f>IF($A231=1,"SAL","")</f>
        <v/>
      </c>
      <c r="G231" s="32">
        <f>IF($A231=1,IF(Sales_Daily!$AP22="","",Sales_Daily!$AP22),"")</f>
        <v/>
      </c>
      <c r="H231" s="32">
        <f>IF($A231=1,IF(COUNTIF(COA!$A:$A,$G231)=0,"حساب غير معرف",INDEX(COA!$B:$B,MATCH($G231,COA!$A:$A,0))),"")</f>
        <v/>
      </c>
      <c r="I231" s="32">
        <f>IF($A231=1,IF(Sales_Daily!$C22="","",Sales_Daily!$C22),"")</f>
        <v/>
      </c>
      <c r="J231" s="32">
        <f>IF($A231=1,"CC10","")</f>
        <v/>
      </c>
      <c r="K231" s="32">
        <f>IF($A231=1,"-","")</f>
        <v/>
      </c>
      <c r="L231" s="32">
        <f>IF($A231=1,"مبيعات - تحصيل OTH","")</f>
        <v/>
      </c>
      <c r="M231" s="43">
        <f>IF($A231=1,Sales_Daily!$Q22,"")</f>
        <v/>
      </c>
      <c r="N231" s="43">
        <f>IF($A231=1,0,"")</f>
        <v/>
      </c>
      <c r="O231" s="32">
        <f>IF($A231=1,Sales_Daily!$S22,"")</f>
        <v/>
      </c>
      <c r="P231" s="32">
        <f>IF($A231=1,IF(Sales_Daily!$AW22="","",Sales_Daily!$AW22),"")</f>
        <v/>
      </c>
      <c r="Q231" s="32">
        <f>IF($A231=1,Sales_Daily!$AY22,"")</f>
        <v/>
      </c>
      <c r="R231" s="32">
        <f>IF($A231=1,IF(AND($Q231=1,COUNTIFS(COA!$A:$A,$G231,COA!$R:$R,1)=1),1,0),"")</f>
        <v/>
      </c>
      <c r="S231" s="43">
        <f>IF($A231=1,IF($R231=1,N($M231),0),"")</f>
        <v/>
      </c>
      <c r="T231" s="43">
        <f>IF($A231=1,IF($R231=1,N($N231),0),"")</f>
        <v/>
      </c>
      <c r="U231" s="32">
        <f>IF($A231=1,YEAR($D231)*100+MONTH($D231),"")</f>
        <v/>
      </c>
      <c r="V231" s="32">
        <f>IF($A231=1,IF(COUNTIF(COA!$A:$A,$G231)=0,0,INDEX(COA!$H:$H,MATCH($G231,COA!$A:$A,0))),"")</f>
        <v/>
      </c>
      <c r="W231" s="32">
        <f>IF($A231=1,"OPERATING","")</f>
        <v/>
      </c>
      <c r="X231" s="32">
        <f>IF($A231=1,IF($R231=1,"",IF($O231=ST_POST,IF($P231&lt;&gt;"",$P231,"حساب غير صالح أو غير نشط"),IF($O231=ST_REV,"معكوس: لا أثر على الدفاتر",IF($O231=ST_CANC,"ملغى",IF($O231=ST_APPR,"معتمد ولم يُرحَّل","مسودة"))))),"")</f>
        <v/>
      </c>
      <c r="Y231" s="32">
        <f>IF($A231=1,IF(AND($R231=1,OR(LG_Acct="",$G231=LG_Acct),OR(LG_Party="",$K231=LG_Party),OR(LG_Loc="ALL",$I231=LG_Loc),OR(LG_CC="ALL",$J231=LG_CC),$D231&gt;=LG_From,$D231&lt;=LG_To),$D231+ROW()/1000000,""),"")</f>
        <v/>
      </c>
      <c r="Z231" s="32">
        <f>IF($A231=1,IF(Sales_Daily!$T22="","",Sales_Daily!$T22),"")</f>
        <v/>
      </c>
      <c r="AA231" s="32">
        <f>IF($A231=1,IF(Sales_Daily!$U22="","",Sales_Daily!$U22),"")</f>
        <v/>
      </c>
      <c r="AB231" s="32">
        <f>IF($A231=1,IF(Sales_Daily!$V22="","",Sales_Daily!$V22),"")</f>
        <v/>
      </c>
      <c r="AC231" s="32">
        <f>IF($A231=1,IF(Sales_Daily!$W22="","",Sales_Daily!$W22),"")</f>
        <v/>
      </c>
      <c r="AD231" s="32">
        <f>IF($A231=1,IF(Sales_Daily!$X22="","",Sales_Daily!$X22),"")</f>
        <v/>
      </c>
      <c r="AE231" s="32">
        <f>IF($A231=1,0,"")</f>
        <v/>
      </c>
      <c r="AF231" s="32" t="inlineStr"/>
    </row>
    <row r="232">
      <c r="A232" s="32">
        <f>IF(AND(Sales_Daily!$AV22=1,N(Sales_Daily!$AH22)&gt;0),1,0)</f>
        <v/>
      </c>
      <c r="B232" s="32">
        <f>IF($A232=1,$E232&amp;"/7","")</f>
        <v/>
      </c>
      <c r="C232" s="32">
        <f>IF($A232=1,"J-"&amp;Sales_Daily!$A22,"")</f>
        <v/>
      </c>
      <c r="D232" s="33">
        <f>IF($A232=1,Sales_Daily!$B22,"")</f>
        <v/>
      </c>
      <c r="E232" s="32">
        <f>IF($A232=1,IF(Sales_Daily!$A22="","",Sales_Daily!$A22),"")</f>
        <v/>
      </c>
      <c r="F232" s="32">
        <f>IF($A232=1,"SAL","")</f>
        <v/>
      </c>
      <c r="G232" s="32">
        <f>IF($A232=1,ACC_DISC,"")</f>
        <v/>
      </c>
      <c r="H232" s="32">
        <f>IF($A232=1,IF(COUNTIF(COA!$A:$A,$G232)=0,"حساب غير معرف",INDEX(COA!$B:$B,MATCH($G232,COA!$A:$A,0))),"")</f>
        <v/>
      </c>
      <c r="I232" s="32">
        <f>IF($A232=1,IF(Sales_Daily!$C22="","",Sales_Daily!$C22),"")</f>
        <v/>
      </c>
      <c r="J232" s="32">
        <f>IF($A232=1,"CC10","")</f>
        <v/>
      </c>
      <c r="K232" s="32">
        <f>IF($A232=1,"-","")</f>
        <v/>
      </c>
      <c r="L232" s="32">
        <f>IF($A232=1,"خصومات المبيعات والعروض","")</f>
        <v/>
      </c>
      <c r="M232" s="43">
        <f>IF($A232=1,Sales_Daily!$AH22,"")</f>
        <v/>
      </c>
      <c r="N232" s="43">
        <f>IF($A232=1,0,"")</f>
        <v/>
      </c>
      <c r="O232" s="32">
        <f>IF($A232=1,Sales_Daily!$S22,"")</f>
        <v/>
      </c>
      <c r="P232" s="32">
        <f>IF($A232=1,IF(Sales_Daily!$AW22="","",Sales_Daily!$AW22),"")</f>
        <v/>
      </c>
      <c r="Q232" s="32">
        <f>IF($A232=1,Sales_Daily!$AY22,"")</f>
        <v/>
      </c>
      <c r="R232" s="32">
        <f>IF($A232=1,IF(AND($Q232=1,COUNTIFS(COA!$A:$A,$G232,COA!$R:$R,1)=1),1,0),"")</f>
        <v/>
      </c>
      <c r="S232" s="43">
        <f>IF($A232=1,IF($R232=1,N($M232),0),"")</f>
        <v/>
      </c>
      <c r="T232" s="43">
        <f>IF($A232=1,IF($R232=1,N($N232),0),"")</f>
        <v/>
      </c>
      <c r="U232" s="32">
        <f>IF($A232=1,YEAR($D232)*100+MONTH($D232),"")</f>
        <v/>
      </c>
      <c r="V232" s="32">
        <f>IF($A232=1,IF(COUNTIF(COA!$A:$A,$G232)=0,0,INDEX(COA!$H:$H,MATCH($G232,COA!$A:$A,0))),"")</f>
        <v/>
      </c>
      <c r="W232" s="32">
        <f>IF($A232=1,"","")</f>
        <v/>
      </c>
      <c r="X232" s="32">
        <f>IF($A232=1,IF($R232=1,"",IF($O232=ST_POST,IF($P232&lt;&gt;"",$P232,"حساب غير صالح أو غير نشط"),IF($O232=ST_REV,"معكوس: لا أثر على الدفاتر",IF($O232=ST_CANC,"ملغى",IF($O232=ST_APPR,"معتمد ولم يُرحَّل","مسودة"))))),"")</f>
        <v/>
      </c>
      <c r="Y232" s="32">
        <f>IF($A232=1,IF(AND($R232=1,OR(LG_Acct="",$G232=LG_Acct),OR(LG_Party="",$K232=LG_Party),OR(LG_Loc="ALL",$I232=LG_Loc),OR(LG_CC="ALL",$J232=LG_CC),$D232&gt;=LG_From,$D232&lt;=LG_To),$D232+ROW()/1000000,""),"")</f>
        <v/>
      </c>
      <c r="Z232" s="32">
        <f>IF($A232=1,IF(Sales_Daily!$T22="","",Sales_Daily!$T22),"")</f>
        <v/>
      </c>
      <c r="AA232" s="32">
        <f>IF($A232=1,IF(Sales_Daily!$U22="","",Sales_Daily!$U22),"")</f>
        <v/>
      </c>
      <c r="AB232" s="32">
        <f>IF($A232=1,IF(Sales_Daily!$V22="","",Sales_Daily!$V22),"")</f>
        <v/>
      </c>
      <c r="AC232" s="32">
        <f>IF($A232=1,IF(Sales_Daily!$W22="","",Sales_Daily!$W22),"")</f>
        <v/>
      </c>
      <c r="AD232" s="32">
        <f>IF($A232=1,IF(Sales_Daily!$X22="","",Sales_Daily!$X22),"")</f>
        <v/>
      </c>
      <c r="AE232" s="32">
        <f>IF($A232=1,0,"")</f>
        <v/>
      </c>
      <c r="AF232" s="32" t="inlineStr"/>
    </row>
    <row r="233">
      <c r="A233" s="32">
        <f>IF(AND(Sales_Daily!$AV22=1,N(Sales_Daily!$AI22)&gt;0),1,0)</f>
        <v/>
      </c>
      <c r="B233" s="32">
        <f>IF($A233=1,$E233&amp;"/8","")</f>
        <v/>
      </c>
      <c r="C233" s="32">
        <f>IF($A233=1,"J-"&amp;Sales_Daily!$A22,"")</f>
        <v/>
      </c>
      <c r="D233" s="33">
        <f>IF($A233=1,Sales_Daily!$B22,"")</f>
        <v/>
      </c>
      <c r="E233" s="32">
        <f>IF($A233=1,IF(Sales_Daily!$A22="","",Sales_Daily!$A22),"")</f>
        <v/>
      </c>
      <c r="F233" s="32">
        <f>IF($A233=1,"SAL","")</f>
        <v/>
      </c>
      <c r="G233" s="32">
        <f>IF($A233=1,ACC_RET,"")</f>
        <v/>
      </c>
      <c r="H233" s="32">
        <f>IF($A233=1,IF(COUNTIF(COA!$A:$A,$G233)=0,"حساب غير معرف",INDEX(COA!$B:$B,MATCH($G233,COA!$A:$A,0))),"")</f>
        <v/>
      </c>
      <c r="I233" s="32">
        <f>IF($A233=1,IF(Sales_Daily!$C22="","",Sales_Daily!$C22),"")</f>
        <v/>
      </c>
      <c r="J233" s="32">
        <f>IF($A233=1,"CC10","")</f>
        <v/>
      </c>
      <c r="K233" s="32">
        <f>IF($A233=1,"-","")</f>
        <v/>
      </c>
      <c r="L233" s="32">
        <f>IF($A233=1,"مرتجعات وإلغاءات المبيعات","")</f>
        <v/>
      </c>
      <c r="M233" s="43">
        <f>IF($A233=1,Sales_Daily!$AI22,"")</f>
        <v/>
      </c>
      <c r="N233" s="43">
        <f>IF($A233=1,0,"")</f>
        <v/>
      </c>
      <c r="O233" s="32">
        <f>IF($A233=1,Sales_Daily!$S22,"")</f>
        <v/>
      </c>
      <c r="P233" s="32">
        <f>IF($A233=1,IF(Sales_Daily!$AW22="","",Sales_Daily!$AW22),"")</f>
        <v/>
      </c>
      <c r="Q233" s="32">
        <f>IF($A233=1,Sales_Daily!$AY22,"")</f>
        <v/>
      </c>
      <c r="R233" s="32">
        <f>IF($A233=1,IF(AND($Q233=1,COUNTIFS(COA!$A:$A,$G233,COA!$R:$R,1)=1),1,0),"")</f>
        <v/>
      </c>
      <c r="S233" s="43">
        <f>IF($A233=1,IF($R233=1,N($M233),0),"")</f>
        <v/>
      </c>
      <c r="T233" s="43">
        <f>IF($A233=1,IF($R233=1,N($N233),0),"")</f>
        <v/>
      </c>
      <c r="U233" s="32">
        <f>IF($A233=1,YEAR($D233)*100+MONTH($D233),"")</f>
        <v/>
      </c>
      <c r="V233" s="32">
        <f>IF($A233=1,IF(COUNTIF(COA!$A:$A,$G233)=0,0,INDEX(COA!$H:$H,MATCH($G233,COA!$A:$A,0))),"")</f>
        <v/>
      </c>
      <c r="W233" s="32">
        <f>IF($A233=1,"","")</f>
        <v/>
      </c>
      <c r="X233" s="32">
        <f>IF($A233=1,IF($R233=1,"",IF($O233=ST_POST,IF($P233&lt;&gt;"",$P233,"حساب غير صالح أو غير نشط"),IF($O233=ST_REV,"معكوس: لا أثر على الدفاتر",IF($O233=ST_CANC,"ملغى",IF($O233=ST_APPR,"معتمد ولم يُرحَّل","مسودة"))))),"")</f>
        <v/>
      </c>
      <c r="Y233" s="32">
        <f>IF($A233=1,IF(AND($R233=1,OR(LG_Acct="",$G233=LG_Acct),OR(LG_Party="",$K233=LG_Party),OR(LG_Loc="ALL",$I233=LG_Loc),OR(LG_CC="ALL",$J233=LG_CC),$D233&gt;=LG_From,$D233&lt;=LG_To),$D233+ROW()/1000000,""),"")</f>
        <v/>
      </c>
      <c r="Z233" s="32">
        <f>IF($A233=1,IF(Sales_Daily!$T22="","",Sales_Daily!$T22),"")</f>
        <v/>
      </c>
      <c r="AA233" s="32">
        <f>IF($A233=1,IF(Sales_Daily!$U22="","",Sales_Daily!$U22),"")</f>
        <v/>
      </c>
      <c r="AB233" s="32">
        <f>IF($A233=1,IF(Sales_Daily!$V22="","",Sales_Daily!$V22),"")</f>
        <v/>
      </c>
      <c r="AC233" s="32">
        <f>IF($A233=1,IF(Sales_Daily!$W22="","",Sales_Daily!$W22),"")</f>
        <v/>
      </c>
      <c r="AD233" s="32">
        <f>IF($A233=1,IF(Sales_Daily!$X22="","",Sales_Daily!$X22),"")</f>
        <v/>
      </c>
      <c r="AE233" s="32">
        <f>IF($A233=1,0,"")</f>
        <v/>
      </c>
      <c r="AF233" s="32" t="inlineStr"/>
    </row>
    <row r="234">
      <c r="A234" s="32">
        <f>IF(AND(Sales_Daily!$AV22=1,N(Sales_Daily!$AD22)&gt;0),1,0)</f>
        <v/>
      </c>
      <c r="B234" s="32">
        <f>IF($A234=1,$E234&amp;"/9","")</f>
        <v/>
      </c>
      <c r="C234" s="32">
        <f>IF($A234=1,"J-"&amp;Sales_Daily!$A22,"")</f>
        <v/>
      </c>
      <c r="D234" s="33">
        <f>IF($A234=1,Sales_Daily!$B22,"")</f>
        <v/>
      </c>
      <c r="E234" s="32">
        <f>IF($A234=1,IF(Sales_Daily!$A22="","",Sales_Daily!$A22),"")</f>
        <v/>
      </c>
      <c r="F234" s="32">
        <f>IF($A234=1,"SAL","")</f>
        <v/>
      </c>
      <c r="G234" s="32">
        <f>IF($A234=1,IF(Sales_Daily!$AQ22="","",Sales_Daily!$AQ22),"")</f>
        <v/>
      </c>
      <c r="H234" s="32">
        <f>IF($A234=1,IF(COUNTIF(COA!$A:$A,$G234)=0,"حساب غير معرف",INDEX(COA!$B:$B,MATCH($G234,COA!$A:$A,0))),"")</f>
        <v/>
      </c>
      <c r="I234" s="32">
        <f>IF($A234=1,IF(Sales_Daily!$C22="","",Sales_Daily!$C22),"")</f>
        <v/>
      </c>
      <c r="J234" s="32">
        <f>IF($A234=1,"CC10","")</f>
        <v/>
      </c>
      <c r="K234" s="32">
        <f>IF($A234=1,"-","")</f>
        <v/>
      </c>
      <c r="L234" s="32">
        <f>IF($A234=1,"إيراد مبيعات - فئة فطير","")</f>
        <v/>
      </c>
      <c r="M234" s="43">
        <f>IF($A234=1,0,"")</f>
        <v/>
      </c>
      <c r="N234" s="43">
        <f>IF($A234=1,Sales_Daily!$AD22,"")</f>
        <v/>
      </c>
      <c r="O234" s="32">
        <f>IF($A234=1,Sales_Daily!$S22,"")</f>
        <v/>
      </c>
      <c r="P234" s="32">
        <f>IF($A234=1,IF(Sales_Daily!$AW22="","",Sales_Daily!$AW22),"")</f>
        <v/>
      </c>
      <c r="Q234" s="32">
        <f>IF($A234=1,Sales_Daily!$AY22,"")</f>
        <v/>
      </c>
      <c r="R234" s="32">
        <f>IF($A234=1,IF(AND($Q234=1,COUNTIFS(COA!$A:$A,$G234,COA!$R:$R,1)=1),1,0),"")</f>
        <v/>
      </c>
      <c r="S234" s="43">
        <f>IF($A234=1,IF($R234=1,N($M234),0),"")</f>
        <v/>
      </c>
      <c r="T234" s="43">
        <f>IF($A234=1,IF($R234=1,N($N234),0),"")</f>
        <v/>
      </c>
      <c r="U234" s="32">
        <f>IF($A234=1,YEAR($D234)*100+MONTH($D234),"")</f>
        <v/>
      </c>
      <c r="V234" s="32">
        <f>IF($A234=1,IF(COUNTIF(COA!$A:$A,$G234)=0,0,INDEX(COA!$H:$H,MATCH($G234,COA!$A:$A,0))),"")</f>
        <v/>
      </c>
      <c r="W234" s="32">
        <f>IF($A234=1,"","")</f>
        <v/>
      </c>
      <c r="X234" s="32">
        <f>IF($A234=1,IF($R234=1,"",IF($O234=ST_POST,IF($P234&lt;&gt;"",$P234,"حساب غير صالح أو غير نشط"),IF($O234=ST_REV,"معكوس: لا أثر على الدفاتر",IF($O234=ST_CANC,"ملغى",IF($O234=ST_APPR,"معتمد ولم يُرحَّل","مسودة"))))),"")</f>
        <v/>
      </c>
      <c r="Y234" s="32">
        <f>IF($A234=1,IF(AND($R234=1,OR(LG_Acct="",$G234=LG_Acct),OR(LG_Party="",$K234=LG_Party),OR(LG_Loc="ALL",$I234=LG_Loc),OR(LG_CC="ALL",$J234=LG_CC),$D234&gt;=LG_From,$D234&lt;=LG_To),$D234+ROW()/1000000,""),"")</f>
        <v/>
      </c>
      <c r="Z234" s="32">
        <f>IF($A234=1,IF(Sales_Daily!$T22="","",Sales_Daily!$T22),"")</f>
        <v/>
      </c>
      <c r="AA234" s="32">
        <f>IF($A234=1,IF(Sales_Daily!$U22="","",Sales_Daily!$U22),"")</f>
        <v/>
      </c>
      <c r="AB234" s="32">
        <f>IF($A234=1,IF(Sales_Daily!$V22="","",Sales_Daily!$V22),"")</f>
        <v/>
      </c>
      <c r="AC234" s="32">
        <f>IF($A234=1,IF(Sales_Daily!$W22="","",Sales_Daily!$W22),"")</f>
        <v/>
      </c>
      <c r="AD234" s="32">
        <f>IF($A234=1,IF(Sales_Daily!$X22="","",Sales_Daily!$X22),"")</f>
        <v/>
      </c>
      <c r="AE234" s="32">
        <f>IF($A234=1,0,"")</f>
        <v/>
      </c>
      <c r="AF234" s="32" t="inlineStr"/>
    </row>
    <row r="235">
      <c r="A235" s="32">
        <f>IF(AND(Sales_Daily!$AV22=1,N(Sales_Daily!$AE22)&gt;0),1,0)</f>
        <v/>
      </c>
      <c r="B235" s="32">
        <f>IF($A235=1,$E235&amp;"/10","")</f>
        <v/>
      </c>
      <c r="C235" s="32">
        <f>IF($A235=1,"J-"&amp;Sales_Daily!$A22,"")</f>
        <v/>
      </c>
      <c r="D235" s="33">
        <f>IF($A235=1,Sales_Daily!$B22,"")</f>
        <v/>
      </c>
      <c r="E235" s="32">
        <f>IF($A235=1,IF(Sales_Daily!$A22="","",Sales_Daily!$A22),"")</f>
        <v/>
      </c>
      <c r="F235" s="32">
        <f>IF($A235=1,"SAL","")</f>
        <v/>
      </c>
      <c r="G235" s="32">
        <f>IF($A235=1,IF(Sales_Daily!$AR22="","",Sales_Daily!$AR22),"")</f>
        <v/>
      </c>
      <c r="H235" s="32">
        <f>IF($A235=1,IF(COUNTIF(COA!$A:$A,$G235)=0,"حساب غير معرف",INDEX(COA!$B:$B,MATCH($G235,COA!$A:$A,0))),"")</f>
        <v/>
      </c>
      <c r="I235" s="32">
        <f>IF($A235=1,IF(Sales_Daily!$C22="","",Sales_Daily!$C22),"")</f>
        <v/>
      </c>
      <c r="J235" s="32">
        <f>IF($A235=1,"CC10","")</f>
        <v/>
      </c>
      <c r="K235" s="32">
        <f>IF($A235=1,"-","")</f>
        <v/>
      </c>
      <c r="L235" s="32">
        <f>IF($A235=1,"إيراد مبيعات - فئة بيتزا","")</f>
        <v/>
      </c>
      <c r="M235" s="43">
        <f>IF($A235=1,0,"")</f>
        <v/>
      </c>
      <c r="N235" s="43">
        <f>IF($A235=1,Sales_Daily!$AE22,"")</f>
        <v/>
      </c>
      <c r="O235" s="32">
        <f>IF($A235=1,Sales_Daily!$S22,"")</f>
        <v/>
      </c>
      <c r="P235" s="32">
        <f>IF($A235=1,IF(Sales_Daily!$AW22="","",Sales_Daily!$AW22),"")</f>
        <v/>
      </c>
      <c r="Q235" s="32">
        <f>IF($A235=1,Sales_Daily!$AY22,"")</f>
        <v/>
      </c>
      <c r="R235" s="32">
        <f>IF($A235=1,IF(AND($Q235=1,COUNTIFS(COA!$A:$A,$G235,COA!$R:$R,1)=1),1,0),"")</f>
        <v/>
      </c>
      <c r="S235" s="43">
        <f>IF($A235=1,IF($R235=1,N($M235),0),"")</f>
        <v/>
      </c>
      <c r="T235" s="43">
        <f>IF($A235=1,IF($R235=1,N($N235),0),"")</f>
        <v/>
      </c>
      <c r="U235" s="32">
        <f>IF($A235=1,YEAR($D235)*100+MONTH($D235),"")</f>
        <v/>
      </c>
      <c r="V235" s="32">
        <f>IF($A235=1,IF(COUNTIF(COA!$A:$A,$G235)=0,0,INDEX(COA!$H:$H,MATCH($G235,COA!$A:$A,0))),"")</f>
        <v/>
      </c>
      <c r="W235" s="32">
        <f>IF($A235=1,"","")</f>
        <v/>
      </c>
      <c r="X235" s="32">
        <f>IF($A235=1,IF($R235=1,"",IF($O235=ST_POST,IF($P235&lt;&gt;"",$P235,"حساب غير صالح أو غير نشط"),IF($O235=ST_REV,"معكوس: لا أثر على الدفاتر",IF($O235=ST_CANC,"ملغى",IF($O235=ST_APPR,"معتمد ولم يُرحَّل","مسودة"))))),"")</f>
        <v/>
      </c>
      <c r="Y235" s="32">
        <f>IF($A235=1,IF(AND($R235=1,OR(LG_Acct="",$G235=LG_Acct),OR(LG_Party="",$K235=LG_Party),OR(LG_Loc="ALL",$I235=LG_Loc),OR(LG_CC="ALL",$J235=LG_CC),$D235&gt;=LG_From,$D235&lt;=LG_To),$D235+ROW()/1000000,""),"")</f>
        <v/>
      </c>
      <c r="Z235" s="32">
        <f>IF($A235=1,IF(Sales_Daily!$T22="","",Sales_Daily!$T22),"")</f>
        <v/>
      </c>
      <c r="AA235" s="32">
        <f>IF($A235=1,IF(Sales_Daily!$U22="","",Sales_Daily!$U22),"")</f>
        <v/>
      </c>
      <c r="AB235" s="32">
        <f>IF($A235=1,IF(Sales_Daily!$V22="","",Sales_Daily!$V22),"")</f>
        <v/>
      </c>
      <c r="AC235" s="32">
        <f>IF($A235=1,IF(Sales_Daily!$W22="","",Sales_Daily!$W22),"")</f>
        <v/>
      </c>
      <c r="AD235" s="32">
        <f>IF($A235=1,IF(Sales_Daily!$X22="","",Sales_Daily!$X22),"")</f>
        <v/>
      </c>
      <c r="AE235" s="32">
        <f>IF($A235=1,0,"")</f>
        <v/>
      </c>
      <c r="AF235" s="32" t="inlineStr"/>
    </row>
    <row r="236">
      <c r="A236" s="32">
        <f>IF(AND(Sales_Daily!$AV22=1,N(Sales_Daily!$AF22)&gt;0),1,0)</f>
        <v/>
      </c>
      <c r="B236" s="32">
        <f>IF($A236=1,$E236&amp;"/11","")</f>
        <v/>
      </c>
      <c r="C236" s="32">
        <f>IF($A236=1,"J-"&amp;Sales_Daily!$A22,"")</f>
        <v/>
      </c>
      <c r="D236" s="33">
        <f>IF($A236=1,Sales_Daily!$B22,"")</f>
        <v/>
      </c>
      <c r="E236" s="32">
        <f>IF($A236=1,IF(Sales_Daily!$A22="","",Sales_Daily!$A22),"")</f>
        <v/>
      </c>
      <c r="F236" s="32">
        <f>IF($A236=1,"SAL","")</f>
        <v/>
      </c>
      <c r="G236" s="32">
        <f>IF($A236=1,IF(Sales_Daily!$AS22="","",Sales_Daily!$AS22),"")</f>
        <v/>
      </c>
      <c r="H236" s="32">
        <f>IF($A236=1,IF(COUNTIF(COA!$A:$A,$G236)=0,"حساب غير معرف",INDEX(COA!$B:$B,MATCH($G236,COA!$A:$A,0))),"")</f>
        <v/>
      </c>
      <c r="I236" s="32">
        <f>IF($A236=1,IF(Sales_Daily!$C22="","",Sales_Daily!$C22),"")</f>
        <v/>
      </c>
      <c r="J236" s="32">
        <f>IF($A236=1,"CC10","")</f>
        <v/>
      </c>
      <c r="K236" s="32">
        <f>IF($A236=1,"-","")</f>
        <v/>
      </c>
      <c r="L236" s="32">
        <f>IF($A236=1,"إيراد مبيعات - فئة مكرونات","")</f>
        <v/>
      </c>
      <c r="M236" s="43">
        <f>IF($A236=1,0,"")</f>
        <v/>
      </c>
      <c r="N236" s="43">
        <f>IF($A236=1,Sales_Daily!$AF22,"")</f>
        <v/>
      </c>
      <c r="O236" s="32">
        <f>IF($A236=1,Sales_Daily!$S22,"")</f>
        <v/>
      </c>
      <c r="P236" s="32">
        <f>IF($A236=1,IF(Sales_Daily!$AW22="","",Sales_Daily!$AW22),"")</f>
        <v/>
      </c>
      <c r="Q236" s="32">
        <f>IF($A236=1,Sales_Daily!$AY22,"")</f>
        <v/>
      </c>
      <c r="R236" s="32">
        <f>IF($A236=1,IF(AND($Q236=1,COUNTIFS(COA!$A:$A,$G236,COA!$R:$R,1)=1),1,0),"")</f>
        <v/>
      </c>
      <c r="S236" s="43">
        <f>IF($A236=1,IF($R236=1,N($M236),0),"")</f>
        <v/>
      </c>
      <c r="T236" s="43">
        <f>IF($A236=1,IF($R236=1,N($N236),0),"")</f>
        <v/>
      </c>
      <c r="U236" s="32">
        <f>IF($A236=1,YEAR($D236)*100+MONTH($D236),"")</f>
        <v/>
      </c>
      <c r="V236" s="32">
        <f>IF($A236=1,IF(COUNTIF(COA!$A:$A,$G236)=0,0,INDEX(COA!$H:$H,MATCH($G236,COA!$A:$A,0))),"")</f>
        <v/>
      </c>
      <c r="W236" s="32">
        <f>IF($A236=1,"","")</f>
        <v/>
      </c>
      <c r="X236" s="32">
        <f>IF($A236=1,IF($R236=1,"",IF($O236=ST_POST,IF($P236&lt;&gt;"",$P236,"حساب غير صالح أو غير نشط"),IF($O236=ST_REV,"معكوس: لا أثر على الدفاتر",IF($O236=ST_CANC,"ملغى",IF($O236=ST_APPR,"معتمد ولم يُرحَّل","مسودة"))))),"")</f>
        <v/>
      </c>
      <c r="Y236" s="32">
        <f>IF($A236=1,IF(AND($R236=1,OR(LG_Acct="",$G236=LG_Acct),OR(LG_Party="",$K236=LG_Party),OR(LG_Loc="ALL",$I236=LG_Loc),OR(LG_CC="ALL",$J236=LG_CC),$D236&gt;=LG_From,$D236&lt;=LG_To),$D236+ROW()/1000000,""),"")</f>
        <v/>
      </c>
      <c r="Z236" s="32">
        <f>IF($A236=1,IF(Sales_Daily!$T22="","",Sales_Daily!$T22),"")</f>
        <v/>
      </c>
      <c r="AA236" s="32">
        <f>IF($A236=1,IF(Sales_Daily!$U22="","",Sales_Daily!$U22),"")</f>
        <v/>
      </c>
      <c r="AB236" s="32">
        <f>IF($A236=1,IF(Sales_Daily!$V22="","",Sales_Daily!$V22),"")</f>
        <v/>
      </c>
      <c r="AC236" s="32">
        <f>IF($A236=1,IF(Sales_Daily!$W22="","",Sales_Daily!$W22),"")</f>
        <v/>
      </c>
      <c r="AD236" s="32">
        <f>IF($A236=1,IF(Sales_Daily!$X22="","",Sales_Daily!$X22),"")</f>
        <v/>
      </c>
      <c r="AE236" s="32">
        <f>IF($A236=1,0,"")</f>
        <v/>
      </c>
      <c r="AF236" s="32" t="inlineStr"/>
    </row>
    <row r="237">
      <c r="A237" s="32">
        <f>IF(AND(Sales_Daily!$AV22=1,N(Sales_Daily!$AG22)&gt;0),1,0)</f>
        <v/>
      </c>
      <c r="B237" s="32">
        <f>IF($A237=1,$E237&amp;"/12","")</f>
        <v/>
      </c>
      <c r="C237" s="32">
        <f>IF($A237=1,"J-"&amp;Sales_Daily!$A22,"")</f>
        <v/>
      </c>
      <c r="D237" s="33">
        <f>IF($A237=1,Sales_Daily!$B22,"")</f>
        <v/>
      </c>
      <c r="E237" s="32">
        <f>IF($A237=1,IF(Sales_Daily!$A22="","",Sales_Daily!$A22),"")</f>
        <v/>
      </c>
      <c r="F237" s="32">
        <f>IF($A237=1,"SAL","")</f>
        <v/>
      </c>
      <c r="G237" s="32">
        <f>IF($A237=1,IF(Sales_Daily!$AT22="","",Sales_Daily!$AT22),"")</f>
        <v/>
      </c>
      <c r="H237" s="32">
        <f>IF($A237=1,IF(COUNTIF(COA!$A:$A,$G237)=0,"حساب غير معرف",INDEX(COA!$B:$B,MATCH($G237,COA!$A:$A,0))),"")</f>
        <v/>
      </c>
      <c r="I237" s="32">
        <f>IF($A237=1,IF(Sales_Daily!$C22="","",Sales_Daily!$C22),"")</f>
        <v/>
      </c>
      <c r="J237" s="32">
        <f>IF($A237=1,"CC10","")</f>
        <v/>
      </c>
      <c r="K237" s="32">
        <f>IF($A237=1,"-","")</f>
        <v/>
      </c>
      <c r="L237" s="32">
        <f>IF($A237=1,"إيراد مبيعات - فئة أخرى","")</f>
        <v/>
      </c>
      <c r="M237" s="43">
        <f>IF($A237=1,0,"")</f>
        <v/>
      </c>
      <c r="N237" s="43">
        <f>IF($A237=1,Sales_Daily!$AG22,"")</f>
        <v/>
      </c>
      <c r="O237" s="32">
        <f>IF($A237=1,Sales_Daily!$S22,"")</f>
        <v/>
      </c>
      <c r="P237" s="32">
        <f>IF($A237=1,IF(Sales_Daily!$AW22="","",Sales_Daily!$AW22),"")</f>
        <v/>
      </c>
      <c r="Q237" s="32">
        <f>IF($A237=1,Sales_Daily!$AY22,"")</f>
        <v/>
      </c>
      <c r="R237" s="32">
        <f>IF($A237=1,IF(AND($Q237=1,COUNTIFS(COA!$A:$A,$G237,COA!$R:$R,1)=1),1,0),"")</f>
        <v/>
      </c>
      <c r="S237" s="43">
        <f>IF($A237=1,IF($R237=1,N($M237),0),"")</f>
        <v/>
      </c>
      <c r="T237" s="43">
        <f>IF($A237=1,IF($R237=1,N($N237),0),"")</f>
        <v/>
      </c>
      <c r="U237" s="32">
        <f>IF($A237=1,YEAR($D237)*100+MONTH($D237),"")</f>
        <v/>
      </c>
      <c r="V237" s="32">
        <f>IF($A237=1,IF(COUNTIF(COA!$A:$A,$G237)=0,0,INDEX(COA!$H:$H,MATCH($G237,COA!$A:$A,0))),"")</f>
        <v/>
      </c>
      <c r="W237" s="32">
        <f>IF($A237=1,"","")</f>
        <v/>
      </c>
      <c r="X237" s="32">
        <f>IF($A237=1,IF($R237=1,"",IF($O237=ST_POST,IF($P237&lt;&gt;"",$P237,"حساب غير صالح أو غير نشط"),IF($O237=ST_REV,"معكوس: لا أثر على الدفاتر",IF($O237=ST_CANC,"ملغى",IF($O237=ST_APPR,"معتمد ولم يُرحَّل","مسودة"))))),"")</f>
        <v/>
      </c>
      <c r="Y237" s="32">
        <f>IF($A237=1,IF(AND($R237=1,OR(LG_Acct="",$G237=LG_Acct),OR(LG_Party="",$K237=LG_Party),OR(LG_Loc="ALL",$I237=LG_Loc),OR(LG_CC="ALL",$J237=LG_CC),$D237&gt;=LG_From,$D237&lt;=LG_To),$D237+ROW()/1000000,""),"")</f>
        <v/>
      </c>
      <c r="Z237" s="32">
        <f>IF($A237=1,IF(Sales_Daily!$T22="","",Sales_Daily!$T22),"")</f>
        <v/>
      </c>
      <c r="AA237" s="32">
        <f>IF($A237=1,IF(Sales_Daily!$U22="","",Sales_Daily!$U22),"")</f>
        <v/>
      </c>
      <c r="AB237" s="32">
        <f>IF($A237=1,IF(Sales_Daily!$V22="","",Sales_Daily!$V22),"")</f>
        <v/>
      </c>
      <c r="AC237" s="32">
        <f>IF($A237=1,IF(Sales_Daily!$W22="","",Sales_Daily!$W22),"")</f>
        <v/>
      </c>
      <c r="AD237" s="32">
        <f>IF($A237=1,IF(Sales_Daily!$X22="","",Sales_Daily!$X22),"")</f>
        <v/>
      </c>
      <c r="AE237" s="32">
        <f>IF($A237=1,0,"")</f>
        <v/>
      </c>
      <c r="AF237" s="32" t="inlineStr"/>
    </row>
    <row r="238">
      <c r="A238" s="32">
        <f>IF(AND(Sales_Daily!$AV22=1,N(Sales_Daily!$AJ22)&gt;0),1,0)</f>
        <v/>
      </c>
      <c r="B238" s="32">
        <f>IF($A238=1,$E238&amp;"/13","")</f>
        <v/>
      </c>
      <c r="C238" s="32">
        <f>IF($A238=1,"J-"&amp;Sales_Daily!$A22,"")</f>
        <v/>
      </c>
      <c r="D238" s="33">
        <f>IF($A238=1,Sales_Daily!$B22,"")</f>
        <v/>
      </c>
      <c r="E238" s="32">
        <f>IF($A238=1,IF(Sales_Daily!$A22="","",Sales_Daily!$A22),"")</f>
        <v/>
      </c>
      <c r="F238" s="32">
        <f>IF($A238=1,"SAL","")</f>
        <v/>
      </c>
      <c r="G238" s="32">
        <f>IF($A238=1,ACC_VAT_OUT,"")</f>
        <v/>
      </c>
      <c r="H238" s="32">
        <f>IF($A238=1,IF(COUNTIF(COA!$A:$A,$G238)=0,"حساب غير معرف",INDEX(COA!$B:$B,MATCH($G238,COA!$A:$A,0))),"")</f>
        <v/>
      </c>
      <c r="I238" s="32">
        <f>IF($A238=1,IF(Sales_Daily!$C22="","",Sales_Daily!$C22),"")</f>
        <v/>
      </c>
      <c r="J238" s="32">
        <f>IF($A238=1,"CC10","")</f>
        <v/>
      </c>
      <c r="K238" s="32">
        <f>IF($A238=1,"-","")</f>
        <v/>
      </c>
      <c r="L238" s="32">
        <f>IF($A238=1,"ضريبة القيمة المضافة - مخرجات","")</f>
        <v/>
      </c>
      <c r="M238" s="43">
        <f>IF($A238=1,0,"")</f>
        <v/>
      </c>
      <c r="N238" s="43">
        <f>IF($A238=1,Sales_Daily!$AJ22,"")</f>
        <v/>
      </c>
      <c r="O238" s="32">
        <f>IF($A238=1,Sales_Daily!$S22,"")</f>
        <v/>
      </c>
      <c r="P238" s="32">
        <f>IF($A238=1,IF(Sales_Daily!$AW22="","",Sales_Daily!$AW22),"")</f>
        <v/>
      </c>
      <c r="Q238" s="32">
        <f>IF($A238=1,Sales_Daily!$AY22,"")</f>
        <v/>
      </c>
      <c r="R238" s="32">
        <f>IF($A238=1,IF(AND($Q238=1,COUNTIFS(COA!$A:$A,$G238,COA!$R:$R,1)=1),1,0),"")</f>
        <v/>
      </c>
      <c r="S238" s="43">
        <f>IF($A238=1,IF($R238=1,N($M238),0),"")</f>
        <v/>
      </c>
      <c r="T238" s="43">
        <f>IF($A238=1,IF($R238=1,N($N238),0),"")</f>
        <v/>
      </c>
      <c r="U238" s="32">
        <f>IF($A238=1,YEAR($D238)*100+MONTH($D238),"")</f>
        <v/>
      </c>
      <c r="V238" s="32">
        <f>IF($A238=1,IF(COUNTIF(COA!$A:$A,$G238)=0,0,INDEX(COA!$H:$H,MATCH($G238,COA!$A:$A,0))),"")</f>
        <v/>
      </c>
      <c r="W238" s="32">
        <f>IF($A238=1,"","")</f>
        <v/>
      </c>
      <c r="X238" s="32">
        <f>IF($A238=1,IF($R238=1,"",IF($O238=ST_POST,IF($P238&lt;&gt;"",$P238,"حساب غير صالح أو غير نشط"),IF($O238=ST_REV,"معكوس: لا أثر على الدفاتر",IF($O238=ST_CANC,"ملغى",IF($O238=ST_APPR,"معتمد ولم يُرحَّل","مسودة"))))),"")</f>
        <v/>
      </c>
      <c r="Y238" s="32">
        <f>IF($A238=1,IF(AND($R238=1,OR(LG_Acct="",$G238=LG_Acct),OR(LG_Party="",$K238=LG_Party),OR(LG_Loc="ALL",$I238=LG_Loc),OR(LG_CC="ALL",$J238=LG_CC),$D238&gt;=LG_From,$D238&lt;=LG_To),$D238+ROW()/1000000,""),"")</f>
        <v/>
      </c>
      <c r="Z238" s="32">
        <f>IF($A238=1,IF(Sales_Daily!$T22="","",Sales_Daily!$T22),"")</f>
        <v/>
      </c>
      <c r="AA238" s="32">
        <f>IF($A238=1,IF(Sales_Daily!$U22="","",Sales_Daily!$U22),"")</f>
        <v/>
      </c>
      <c r="AB238" s="32">
        <f>IF($A238=1,IF(Sales_Daily!$V22="","",Sales_Daily!$V22),"")</f>
        <v/>
      </c>
      <c r="AC238" s="32">
        <f>IF($A238=1,IF(Sales_Daily!$W22="","",Sales_Daily!$W22),"")</f>
        <v/>
      </c>
      <c r="AD238" s="32">
        <f>IF($A238=1,IF(Sales_Daily!$X22="","",Sales_Daily!$X22),"")</f>
        <v/>
      </c>
      <c r="AE238" s="32">
        <f>IF($A238=1,0,"")</f>
        <v/>
      </c>
      <c r="AF238" s="32" t="inlineStr"/>
    </row>
    <row r="239">
      <c r="A239" s="32">
        <f>IF(AND(Sales_Daily!$AV23=1,N(Sales_Daily!$L23)&gt;0),1,0)</f>
        <v/>
      </c>
      <c r="B239" s="32">
        <f>IF($A239=1,$E239&amp;"/1","")</f>
        <v/>
      </c>
      <c r="C239" s="32">
        <f>IF($A239=1,"J-"&amp;Sales_Daily!$A23,"")</f>
        <v/>
      </c>
      <c r="D239" s="33">
        <f>IF($A239=1,Sales_Daily!$B23,"")</f>
        <v/>
      </c>
      <c r="E239" s="32">
        <f>IF($A239=1,IF(Sales_Daily!$A23="","",Sales_Daily!$A23),"")</f>
        <v/>
      </c>
      <c r="F239" s="32">
        <f>IF($A239=1,"SAL","")</f>
        <v/>
      </c>
      <c r="G239" s="32">
        <f>IF($A239=1,IF(Sales_Daily!$AK23="","",Sales_Daily!$AK23),"")</f>
        <v/>
      </c>
      <c r="H239" s="32">
        <f>IF($A239=1,IF(COUNTIF(COA!$A:$A,$G239)=0,"حساب غير معرف",INDEX(COA!$B:$B,MATCH($G239,COA!$A:$A,0))),"")</f>
        <v/>
      </c>
      <c r="I239" s="32">
        <f>IF($A239=1,IF(Sales_Daily!$C23="","",Sales_Daily!$C23),"")</f>
        <v/>
      </c>
      <c r="J239" s="32">
        <f>IF($A239=1,"CC10","")</f>
        <v/>
      </c>
      <c r="K239" s="32">
        <f>IF($A239=1,"-","")</f>
        <v/>
      </c>
      <c r="L239" s="32">
        <f>IF($A239=1,"مبيعات - تحصيل CASH","")</f>
        <v/>
      </c>
      <c r="M239" s="43">
        <f>IF($A239=1,Sales_Daily!$L23,"")</f>
        <v/>
      </c>
      <c r="N239" s="43">
        <f>IF($A239=1,0,"")</f>
        <v/>
      </c>
      <c r="O239" s="32">
        <f>IF($A239=1,Sales_Daily!$S23,"")</f>
        <v/>
      </c>
      <c r="P239" s="32">
        <f>IF($A239=1,IF(Sales_Daily!$AW23="","",Sales_Daily!$AW23),"")</f>
        <v/>
      </c>
      <c r="Q239" s="32">
        <f>IF($A239=1,Sales_Daily!$AY23,"")</f>
        <v/>
      </c>
      <c r="R239" s="32">
        <f>IF($A239=1,IF(AND($Q239=1,COUNTIFS(COA!$A:$A,$G239,COA!$R:$R,1)=1),1,0),"")</f>
        <v/>
      </c>
      <c r="S239" s="43">
        <f>IF($A239=1,IF($R239=1,N($M239),0),"")</f>
        <v/>
      </c>
      <c r="T239" s="43">
        <f>IF($A239=1,IF($R239=1,N($N239),0),"")</f>
        <v/>
      </c>
      <c r="U239" s="32">
        <f>IF($A239=1,YEAR($D239)*100+MONTH($D239),"")</f>
        <v/>
      </c>
      <c r="V239" s="32">
        <f>IF($A239=1,IF(COUNTIF(COA!$A:$A,$G239)=0,0,INDEX(COA!$H:$H,MATCH($G239,COA!$A:$A,0))),"")</f>
        <v/>
      </c>
      <c r="W239" s="32">
        <f>IF($A239=1,"OPERATING","")</f>
        <v/>
      </c>
      <c r="X239" s="32">
        <f>IF($A239=1,IF($R239=1,"",IF($O239=ST_POST,IF($P239&lt;&gt;"",$P239,"حساب غير صالح أو غير نشط"),IF($O239=ST_REV,"معكوس: لا أثر على الدفاتر",IF($O239=ST_CANC,"ملغى",IF($O239=ST_APPR,"معتمد ولم يُرحَّل","مسودة"))))),"")</f>
        <v/>
      </c>
      <c r="Y239" s="32">
        <f>IF($A239=1,IF(AND($R239=1,OR(LG_Acct="",$G239=LG_Acct),OR(LG_Party="",$K239=LG_Party),OR(LG_Loc="ALL",$I239=LG_Loc),OR(LG_CC="ALL",$J239=LG_CC),$D239&gt;=LG_From,$D239&lt;=LG_To),$D239+ROW()/1000000,""),"")</f>
        <v/>
      </c>
      <c r="Z239" s="32">
        <f>IF($A239=1,IF(Sales_Daily!$T23="","",Sales_Daily!$T23),"")</f>
        <v/>
      </c>
      <c r="AA239" s="32">
        <f>IF($A239=1,IF(Sales_Daily!$U23="","",Sales_Daily!$U23),"")</f>
        <v/>
      </c>
      <c r="AB239" s="32">
        <f>IF($A239=1,IF(Sales_Daily!$V23="","",Sales_Daily!$V23),"")</f>
        <v/>
      </c>
      <c r="AC239" s="32">
        <f>IF($A239=1,IF(Sales_Daily!$W23="","",Sales_Daily!$W23),"")</f>
        <v/>
      </c>
      <c r="AD239" s="32">
        <f>IF($A239=1,IF(Sales_Daily!$X23="","",Sales_Daily!$X23),"")</f>
        <v/>
      </c>
      <c r="AE239" s="32">
        <f>IF($A239=1,0,"")</f>
        <v/>
      </c>
      <c r="AF239" s="32" t="inlineStr"/>
    </row>
    <row r="240">
      <c r="A240" s="32">
        <f>IF(AND(Sales_Daily!$AV23=1,N(Sales_Daily!$M23)&gt;0),1,0)</f>
        <v/>
      </c>
      <c r="B240" s="32">
        <f>IF($A240=1,$E240&amp;"/2","")</f>
        <v/>
      </c>
      <c r="C240" s="32">
        <f>IF($A240=1,"J-"&amp;Sales_Daily!$A23,"")</f>
        <v/>
      </c>
      <c r="D240" s="33">
        <f>IF($A240=1,Sales_Daily!$B23,"")</f>
        <v/>
      </c>
      <c r="E240" s="32">
        <f>IF($A240=1,IF(Sales_Daily!$A23="","",Sales_Daily!$A23),"")</f>
        <v/>
      </c>
      <c r="F240" s="32">
        <f>IF($A240=1,"SAL","")</f>
        <v/>
      </c>
      <c r="G240" s="32">
        <f>IF($A240=1,IF(Sales_Daily!$AL23="","",Sales_Daily!$AL23),"")</f>
        <v/>
      </c>
      <c r="H240" s="32">
        <f>IF($A240=1,IF(COUNTIF(COA!$A:$A,$G240)=0,"حساب غير معرف",INDEX(COA!$B:$B,MATCH($G240,COA!$A:$A,0))),"")</f>
        <v/>
      </c>
      <c r="I240" s="32">
        <f>IF($A240=1,IF(Sales_Daily!$C23="","",Sales_Daily!$C23),"")</f>
        <v/>
      </c>
      <c r="J240" s="32">
        <f>IF($A240=1,"CC10","")</f>
        <v/>
      </c>
      <c r="K240" s="32">
        <f>IF($A240=1,"-","")</f>
        <v/>
      </c>
      <c r="L240" s="32">
        <f>IF($A240=1,"مبيعات - تحصيل CARD","")</f>
        <v/>
      </c>
      <c r="M240" s="43">
        <f>IF($A240=1,Sales_Daily!$M23,"")</f>
        <v/>
      </c>
      <c r="N240" s="43">
        <f>IF($A240=1,0,"")</f>
        <v/>
      </c>
      <c r="O240" s="32">
        <f>IF($A240=1,Sales_Daily!$S23,"")</f>
        <v/>
      </c>
      <c r="P240" s="32">
        <f>IF($A240=1,IF(Sales_Daily!$AW23="","",Sales_Daily!$AW23),"")</f>
        <v/>
      </c>
      <c r="Q240" s="32">
        <f>IF($A240=1,Sales_Daily!$AY23,"")</f>
        <v/>
      </c>
      <c r="R240" s="32">
        <f>IF($A240=1,IF(AND($Q240=1,COUNTIFS(COA!$A:$A,$G240,COA!$R:$R,1)=1),1,0),"")</f>
        <v/>
      </c>
      <c r="S240" s="43">
        <f>IF($A240=1,IF($R240=1,N($M240),0),"")</f>
        <v/>
      </c>
      <c r="T240" s="43">
        <f>IF($A240=1,IF($R240=1,N($N240),0),"")</f>
        <v/>
      </c>
      <c r="U240" s="32">
        <f>IF($A240=1,YEAR($D240)*100+MONTH($D240),"")</f>
        <v/>
      </c>
      <c r="V240" s="32">
        <f>IF($A240=1,IF(COUNTIF(COA!$A:$A,$G240)=0,0,INDEX(COA!$H:$H,MATCH($G240,COA!$A:$A,0))),"")</f>
        <v/>
      </c>
      <c r="W240" s="32">
        <f>IF($A240=1,"OPERATING","")</f>
        <v/>
      </c>
      <c r="X240" s="32">
        <f>IF($A240=1,IF($R240=1,"",IF($O240=ST_POST,IF($P240&lt;&gt;"",$P240,"حساب غير صالح أو غير نشط"),IF($O240=ST_REV,"معكوس: لا أثر على الدفاتر",IF($O240=ST_CANC,"ملغى",IF($O240=ST_APPR,"معتمد ولم يُرحَّل","مسودة"))))),"")</f>
        <v/>
      </c>
      <c r="Y240" s="32">
        <f>IF($A240=1,IF(AND($R240=1,OR(LG_Acct="",$G240=LG_Acct),OR(LG_Party="",$K240=LG_Party),OR(LG_Loc="ALL",$I240=LG_Loc),OR(LG_CC="ALL",$J240=LG_CC),$D240&gt;=LG_From,$D240&lt;=LG_To),$D240+ROW()/1000000,""),"")</f>
        <v/>
      </c>
      <c r="Z240" s="32">
        <f>IF($A240=1,IF(Sales_Daily!$T23="","",Sales_Daily!$T23),"")</f>
        <v/>
      </c>
      <c r="AA240" s="32">
        <f>IF($A240=1,IF(Sales_Daily!$U23="","",Sales_Daily!$U23),"")</f>
        <v/>
      </c>
      <c r="AB240" s="32">
        <f>IF($A240=1,IF(Sales_Daily!$V23="","",Sales_Daily!$V23),"")</f>
        <v/>
      </c>
      <c r="AC240" s="32">
        <f>IF($A240=1,IF(Sales_Daily!$W23="","",Sales_Daily!$W23),"")</f>
        <v/>
      </c>
      <c r="AD240" s="32">
        <f>IF($A240=1,IF(Sales_Daily!$X23="","",Sales_Daily!$X23),"")</f>
        <v/>
      </c>
      <c r="AE240" s="32">
        <f>IF($A240=1,0,"")</f>
        <v/>
      </c>
      <c r="AF240" s="32" t="inlineStr"/>
    </row>
    <row r="241">
      <c r="A241" s="32">
        <f>IF(AND(Sales_Daily!$AV23=1,N(Sales_Daily!$N23)&gt;0),1,0)</f>
        <v/>
      </c>
      <c r="B241" s="32">
        <f>IF($A241=1,$E241&amp;"/3","")</f>
        <v/>
      </c>
      <c r="C241" s="32">
        <f>IF($A241=1,"J-"&amp;Sales_Daily!$A23,"")</f>
        <v/>
      </c>
      <c r="D241" s="33">
        <f>IF($A241=1,Sales_Daily!$B23,"")</f>
        <v/>
      </c>
      <c r="E241" s="32">
        <f>IF($A241=1,IF(Sales_Daily!$A23="","",Sales_Daily!$A23),"")</f>
        <v/>
      </c>
      <c r="F241" s="32">
        <f>IF($A241=1,"SAL","")</f>
        <v/>
      </c>
      <c r="G241" s="32">
        <f>IF($A241=1,IF(Sales_Daily!$AM23="","",Sales_Daily!$AM23),"")</f>
        <v/>
      </c>
      <c r="H241" s="32">
        <f>IF($A241=1,IF(COUNTIF(COA!$A:$A,$G241)=0,"حساب غير معرف",INDEX(COA!$B:$B,MATCH($G241,COA!$A:$A,0))),"")</f>
        <v/>
      </c>
      <c r="I241" s="32">
        <f>IF($A241=1,IF(Sales_Daily!$C23="","",Sales_Daily!$C23),"")</f>
        <v/>
      </c>
      <c r="J241" s="32">
        <f>IF($A241=1,"CC10","")</f>
        <v/>
      </c>
      <c r="K241" s="32">
        <f>IF($A241=1,"-","")</f>
        <v/>
      </c>
      <c r="L241" s="32">
        <f>IF($A241=1,"مبيعات - تحصيل TLB","")</f>
        <v/>
      </c>
      <c r="M241" s="43">
        <f>IF($A241=1,Sales_Daily!$N23,"")</f>
        <v/>
      </c>
      <c r="N241" s="43">
        <f>IF($A241=1,0,"")</f>
        <v/>
      </c>
      <c r="O241" s="32">
        <f>IF($A241=1,Sales_Daily!$S23,"")</f>
        <v/>
      </c>
      <c r="P241" s="32">
        <f>IF($A241=1,IF(Sales_Daily!$AW23="","",Sales_Daily!$AW23),"")</f>
        <v/>
      </c>
      <c r="Q241" s="32">
        <f>IF($A241=1,Sales_Daily!$AY23,"")</f>
        <v/>
      </c>
      <c r="R241" s="32">
        <f>IF($A241=1,IF(AND($Q241=1,COUNTIFS(COA!$A:$A,$G241,COA!$R:$R,1)=1),1,0),"")</f>
        <v/>
      </c>
      <c r="S241" s="43">
        <f>IF($A241=1,IF($R241=1,N($M241),0),"")</f>
        <v/>
      </c>
      <c r="T241" s="43">
        <f>IF($A241=1,IF($R241=1,N($N241),0),"")</f>
        <v/>
      </c>
      <c r="U241" s="32">
        <f>IF($A241=1,YEAR($D241)*100+MONTH($D241),"")</f>
        <v/>
      </c>
      <c r="V241" s="32">
        <f>IF($A241=1,IF(COUNTIF(COA!$A:$A,$G241)=0,0,INDEX(COA!$H:$H,MATCH($G241,COA!$A:$A,0))),"")</f>
        <v/>
      </c>
      <c r="W241" s="32">
        <f>IF($A241=1,"OPERATING","")</f>
        <v/>
      </c>
      <c r="X241" s="32">
        <f>IF($A241=1,IF($R241=1,"",IF($O241=ST_POST,IF($P241&lt;&gt;"",$P241,"حساب غير صالح أو غير نشط"),IF($O241=ST_REV,"معكوس: لا أثر على الدفاتر",IF($O241=ST_CANC,"ملغى",IF($O241=ST_APPR,"معتمد ولم يُرحَّل","مسودة"))))),"")</f>
        <v/>
      </c>
      <c r="Y241" s="32">
        <f>IF($A241=1,IF(AND($R241=1,OR(LG_Acct="",$G241=LG_Acct),OR(LG_Party="",$K241=LG_Party),OR(LG_Loc="ALL",$I241=LG_Loc),OR(LG_CC="ALL",$J241=LG_CC),$D241&gt;=LG_From,$D241&lt;=LG_To),$D241+ROW()/1000000,""),"")</f>
        <v/>
      </c>
      <c r="Z241" s="32">
        <f>IF($A241=1,IF(Sales_Daily!$T23="","",Sales_Daily!$T23),"")</f>
        <v/>
      </c>
      <c r="AA241" s="32">
        <f>IF($A241=1,IF(Sales_Daily!$U23="","",Sales_Daily!$U23),"")</f>
        <v/>
      </c>
      <c r="AB241" s="32">
        <f>IF($A241=1,IF(Sales_Daily!$V23="","",Sales_Daily!$V23),"")</f>
        <v/>
      </c>
      <c r="AC241" s="32">
        <f>IF($A241=1,IF(Sales_Daily!$W23="","",Sales_Daily!$W23),"")</f>
        <v/>
      </c>
      <c r="AD241" s="32">
        <f>IF($A241=1,IF(Sales_Daily!$X23="","",Sales_Daily!$X23),"")</f>
        <v/>
      </c>
      <c r="AE241" s="32">
        <f>IF($A241=1,0,"")</f>
        <v/>
      </c>
      <c r="AF241" s="32" t="inlineStr"/>
    </row>
    <row r="242">
      <c r="A242" s="32">
        <f>IF(AND(Sales_Daily!$AV23=1,N(Sales_Daily!$O23)&gt;0),1,0)</f>
        <v/>
      </c>
      <c r="B242" s="32">
        <f>IF($A242=1,$E242&amp;"/4","")</f>
        <v/>
      </c>
      <c r="C242" s="32">
        <f>IF($A242=1,"J-"&amp;Sales_Daily!$A23,"")</f>
        <v/>
      </c>
      <c r="D242" s="33">
        <f>IF($A242=1,Sales_Daily!$B23,"")</f>
        <v/>
      </c>
      <c r="E242" s="32">
        <f>IF($A242=1,IF(Sales_Daily!$A23="","",Sales_Daily!$A23),"")</f>
        <v/>
      </c>
      <c r="F242" s="32">
        <f>IF($A242=1,"SAL","")</f>
        <v/>
      </c>
      <c r="G242" s="32">
        <f>IF($A242=1,IF(Sales_Daily!$AN23="","",Sales_Daily!$AN23),"")</f>
        <v/>
      </c>
      <c r="H242" s="32">
        <f>IF($A242=1,IF(COUNTIF(COA!$A:$A,$G242)=0,"حساب غير معرف",INDEX(COA!$B:$B,MATCH($G242,COA!$A:$A,0))),"")</f>
        <v/>
      </c>
      <c r="I242" s="32">
        <f>IF($A242=1,IF(Sales_Daily!$C23="","",Sales_Daily!$C23),"")</f>
        <v/>
      </c>
      <c r="J242" s="32">
        <f>IF($A242=1,"CC10","")</f>
        <v/>
      </c>
      <c r="K242" s="32">
        <f>IF($A242=1,"-","")</f>
        <v/>
      </c>
      <c r="L242" s="32">
        <f>IF($A242=1,"مبيعات - تحصيل DLV2","")</f>
        <v/>
      </c>
      <c r="M242" s="43">
        <f>IF($A242=1,Sales_Daily!$O23,"")</f>
        <v/>
      </c>
      <c r="N242" s="43">
        <f>IF($A242=1,0,"")</f>
        <v/>
      </c>
      <c r="O242" s="32">
        <f>IF($A242=1,Sales_Daily!$S23,"")</f>
        <v/>
      </c>
      <c r="P242" s="32">
        <f>IF($A242=1,IF(Sales_Daily!$AW23="","",Sales_Daily!$AW23),"")</f>
        <v/>
      </c>
      <c r="Q242" s="32">
        <f>IF($A242=1,Sales_Daily!$AY23,"")</f>
        <v/>
      </c>
      <c r="R242" s="32">
        <f>IF($A242=1,IF(AND($Q242=1,COUNTIFS(COA!$A:$A,$G242,COA!$R:$R,1)=1),1,0),"")</f>
        <v/>
      </c>
      <c r="S242" s="43">
        <f>IF($A242=1,IF($R242=1,N($M242),0),"")</f>
        <v/>
      </c>
      <c r="T242" s="43">
        <f>IF($A242=1,IF($R242=1,N($N242),0),"")</f>
        <v/>
      </c>
      <c r="U242" s="32">
        <f>IF($A242=1,YEAR($D242)*100+MONTH($D242),"")</f>
        <v/>
      </c>
      <c r="V242" s="32">
        <f>IF($A242=1,IF(COUNTIF(COA!$A:$A,$G242)=0,0,INDEX(COA!$H:$H,MATCH($G242,COA!$A:$A,0))),"")</f>
        <v/>
      </c>
      <c r="W242" s="32">
        <f>IF($A242=1,"OPERATING","")</f>
        <v/>
      </c>
      <c r="X242" s="32">
        <f>IF($A242=1,IF($R242=1,"",IF($O242=ST_POST,IF($P242&lt;&gt;"",$P242,"حساب غير صالح أو غير نشط"),IF($O242=ST_REV,"معكوس: لا أثر على الدفاتر",IF($O242=ST_CANC,"ملغى",IF($O242=ST_APPR,"معتمد ولم يُرحَّل","مسودة"))))),"")</f>
        <v/>
      </c>
      <c r="Y242" s="32">
        <f>IF($A242=1,IF(AND($R242=1,OR(LG_Acct="",$G242=LG_Acct),OR(LG_Party="",$K242=LG_Party),OR(LG_Loc="ALL",$I242=LG_Loc),OR(LG_CC="ALL",$J242=LG_CC),$D242&gt;=LG_From,$D242&lt;=LG_To),$D242+ROW()/1000000,""),"")</f>
        <v/>
      </c>
      <c r="Z242" s="32">
        <f>IF($A242=1,IF(Sales_Daily!$T23="","",Sales_Daily!$T23),"")</f>
        <v/>
      </c>
      <c r="AA242" s="32">
        <f>IF($A242=1,IF(Sales_Daily!$U23="","",Sales_Daily!$U23),"")</f>
        <v/>
      </c>
      <c r="AB242" s="32">
        <f>IF($A242=1,IF(Sales_Daily!$V23="","",Sales_Daily!$V23),"")</f>
        <v/>
      </c>
      <c r="AC242" s="32">
        <f>IF($A242=1,IF(Sales_Daily!$W23="","",Sales_Daily!$W23),"")</f>
        <v/>
      </c>
      <c r="AD242" s="32">
        <f>IF($A242=1,IF(Sales_Daily!$X23="","",Sales_Daily!$X23),"")</f>
        <v/>
      </c>
      <c r="AE242" s="32">
        <f>IF($A242=1,0,"")</f>
        <v/>
      </c>
      <c r="AF242" s="32" t="inlineStr"/>
    </row>
    <row r="243">
      <c r="A243" s="32">
        <f>IF(AND(Sales_Daily!$AV23=1,N(Sales_Daily!$P23)&gt;0),1,0)</f>
        <v/>
      </c>
      <c r="B243" s="32">
        <f>IF($A243=1,$E243&amp;"/5","")</f>
        <v/>
      </c>
      <c r="C243" s="32">
        <f>IF($A243=1,"J-"&amp;Sales_Daily!$A23,"")</f>
        <v/>
      </c>
      <c r="D243" s="33">
        <f>IF($A243=1,Sales_Daily!$B23,"")</f>
        <v/>
      </c>
      <c r="E243" s="32">
        <f>IF($A243=1,IF(Sales_Daily!$A23="","",Sales_Daily!$A23),"")</f>
        <v/>
      </c>
      <c r="F243" s="32">
        <f>IF($A243=1,"SAL","")</f>
        <v/>
      </c>
      <c r="G243" s="32">
        <f>IF($A243=1,IF(Sales_Daily!$AO23="","",Sales_Daily!$AO23),"")</f>
        <v/>
      </c>
      <c r="H243" s="32">
        <f>IF($A243=1,IF(COUNTIF(COA!$A:$A,$G243)=0,"حساب غير معرف",INDEX(COA!$B:$B,MATCH($G243,COA!$A:$A,0))),"")</f>
        <v/>
      </c>
      <c r="I243" s="32">
        <f>IF($A243=1,IF(Sales_Daily!$C23="","",Sales_Daily!$C23),"")</f>
        <v/>
      </c>
      <c r="J243" s="32">
        <f>IF($A243=1,"CC10","")</f>
        <v/>
      </c>
      <c r="K243" s="32">
        <f>IF($A243=1,"-","")</f>
        <v/>
      </c>
      <c r="L243" s="32">
        <f>IF($A243=1,"مبيعات - تحصيل INSTA","")</f>
        <v/>
      </c>
      <c r="M243" s="43">
        <f>IF($A243=1,Sales_Daily!$P23,"")</f>
        <v/>
      </c>
      <c r="N243" s="43">
        <f>IF($A243=1,0,"")</f>
        <v/>
      </c>
      <c r="O243" s="32">
        <f>IF($A243=1,Sales_Daily!$S23,"")</f>
        <v/>
      </c>
      <c r="P243" s="32">
        <f>IF($A243=1,IF(Sales_Daily!$AW23="","",Sales_Daily!$AW23),"")</f>
        <v/>
      </c>
      <c r="Q243" s="32">
        <f>IF($A243=1,Sales_Daily!$AY23,"")</f>
        <v/>
      </c>
      <c r="R243" s="32">
        <f>IF($A243=1,IF(AND($Q243=1,COUNTIFS(COA!$A:$A,$G243,COA!$R:$R,1)=1),1,0),"")</f>
        <v/>
      </c>
      <c r="S243" s="43">
        <f>IF($A243=1,IF($R243=1,N($M243),0),"")</f>
        <v/>
      </c>
      <c r="T243" s="43">
        <f>IF($A243=1,IF($R243=1,N($N243),0),"")</f>
        <v/>
      </c>
      <c r="U243" s="32">
        <f>IF($A243=1,YEAR($D243)*100+MONTH($D243),"")</f>
        <v/>
      </c>
      <c r="V243" s="32">
        <f>IF($A243=1,IF(COUNTIF(COA!$A:$A,$G243)=0,0,INDEX(COA!$H:$H,MATCH($G243,COA!$A:$A,0))),"")</f>
        <v/>
      </c>
      <c r="W243" s="32">
        <f>IF($A243=1,"OPERATING","")</f>
        <v/>
      </c>
      <c r="X243" s="32">
        <f>IF($A243=1,IF($R243=1,"",IF($O243=ST_POST,IF($P243&lt;&gt;"",$P243,"حساب غير صالح أو غير نشط"),IF($O243=ST_REV,"معكوس: لا أثر على الدفاتر",IF($O243=ST_CANC,"ملغى",IF($O243=ST_APPR,"معتمد ولم يُرحَّل","مسودة"))))),"")</f>
        <v/>
      </c>
      <c r="Y243" s="32">
        <f>IF($A243=1,IF(AND($R243=1,OR(LG_Acct="",$G243=LG_Acct),OR(LG_Party="",$K243=LG_Party),OR(LG_Loc="ALL",$I243=LG_Loc),OR(LG_CC="ALL",$J243=LG_CC),$D243&gt;=LG_From,$D243&lt;=LG_To),$D243+ROW()/1000000,""),"")</f>
        <v/>
      </c>
      <c r="Z243" s="32">
        <f>IF($A243=1,IF(Sales_Daily!$T23="","",Sales_Daily!$T23),"")</f>
        <v/>
      </c>
      <c r="AA243" s="32">
        <f>IF($A243=1,IF(Sales_Daily!$U23="","",Sales_Daily!$U23),"")</f>
        <v/>
      </c>
      <c r="AB243" s="32">
        <f>IF($A243=1,IF(Sales_Daily!$V23="","",Sales_Daily!$V23),"")</f>
        <v/>
      </c>
      <c r="AC243" s="32">
        <f>IF($A243=1,IF(Sales_Daily!$W23="","",Sales_Daily!$W23),"")</f>
        <v/>
      </c>
      <c r="AD243" s="32">
        <f>IF($A243=1,IF(Sales_Daily!$X23="","",Sales_Daily!$X23),"")</f>
        <v/>
      </c>
      <c r="AE243" s="32">
        <f>IF($A243=1,0,"")</f>
        <v/>
      </c>
      <c r="AF243" s="32" t="inlineStr"/>
    </row>
    <row r="244">
      <c r="A244" s="32">
        <f>IF(AND(Sales_Daily!$AV23=1,N(Sales_Daily!$Q23)&gt;0),1,0)</f>
        <v/>
      </c>
      <c r="B244" s="32">
        <f>IF($A244=1,$E244&amp;"/6","")</f>
        <v/>
      </c>
      <c r="C244" s="32">
        <f>IF($A244=1,"J-"&amp;Sales_Daily!$A23,"")</f>
        <v/>
      </c>
      <c r="D244" s="33">
        <f>IF($A244=1,Sales_Daily!$B23,"")</f>
        <v/>
      </c>
      <c r="E244" s="32">
        <f>IF($A244=1,IF(Sales_Daily!$A23="","",Sales_Daily!$A23),"")</f>
        <v/>
      </c>
      <c r="F244" s="32">
        <f>IF($A244=1,"SAL","")</f>
        <v/>
      </c>
      <c r="G244" s="32">
        <f>IF($A244=1,IF(Sales_Daily!$AP23="","",Sales_Daily!$AP23),"")</f>
        <v/>
      </c>
      <c r="H244" s="32">
        <f>IF($A244=1,IF(COUNTIF(COA!$A:$A,$G244)=0,"حساب غير معرف",INDEX(COA!$B:$B,MATCH($G244,COA!$A:$A,0))),"")</f>
        <v/>
      </c>
      <c r="I244" s="32">
        <f>IF($A244=1,IF(Sales_Daily!$C23="","",Sales_Daily!$C23),"")</f>
        <v/>
      </c>
      <c r="J244" s="32">
        <f>IF($A244=1,"CC10","")</f>
        <v/>
      </c>
      <c r="K244" s="32">
        <f>IF($A244=1,"-","")</f>
        <v/>
      </c>
      <c r="L244" s="32">
        <f>IF($A244=1,"مبيعات - تحصيل OTH","")</f>
        <v/>
      </c>
      <c r="M244" s="43">
        <f>IF($A244=1,Sales_Daily!$Q23,"")</f>
        <v/>
      </c>
      <c r="N244" s="43">
        <f>IF($A244=1,0,"")</f>
        <v/>
      </c>
      <c r="O244" s="32">
        <f>IF($A244=1,Sales_Daily!$S23,"")</f>
        <v/>
      </c>
      <c r="P244" s="32">
        <f>IF($A244=1,IF(Sales_Daily!$AW23="","",Sales_Daily!$AW23),"")</f>
        <v/>
      </c>
      <c r="Q244" s="32">
        <f>IF($A244=1,Sales_Daily!$AY23,"")</f>
        <v/>
      </c>
      <c r="R244" s="32">
        <f>IF($A244=1,IF(AND($Q244=1,COUNTIFS(COA!$A:$A,$G244,COA!$R:$R,1)=1),1,0),"")</f>
        <v/>
      </c>
      <c r="S244" s="43">
        <f>IF($A244=1,IF($R244=1,N($M244),0),"")</f>
        <v/>
      </c>
      <c r="T244" s="43">
        <f>IF($A244=1,IF($R244=1,N($N244),0),"")</f>
        <v/>
      </c>
      <c r="U244" s="32">
        <f>IF($A244=1,YEAR($D244)*100+MONTH($D244),"")</f>
        <v/>
      </c>
      <c r="V244" s="32">
        <f>IF($A244=1,IF(COUNTIF(COA!$A:$A,$G244)=0,0,INDEX(COA!$H:$H,MATCH($G244,COA!$A:$A,0))),"")</f>
        <v/>
      </c>
      <c r="W244" s="32">
        <f>IF($A244=1,"OPERATING","")</f>
        <v/>
      </c>
      <c r="X244" s="32">
        <f>IF($A244=1,IF($R244=1,"",IF($O244=ST_POST,IF($P244&lt;&gt;"",$P244,"حساب غير صالح أو غير نشط"),IF($O244=ST_REV,"معكوس: لا أثر على الدفاتر",IF($O244=ST_CANC,"ملغى",IF($O244=ST_APPR,"معتمد ولم يُرحَّل","مسودة"))))),"")</f>
        <v/>
      </c>
      <c r="Y244" s="32">
        <f>IF($A244=1,IF(AND($R244=1,OR(LG_Acct="",$G244=LG_Acct),OR(LG_Party="",$K244=LG_Party),OR(LG_Loc="ALL",$I244=LG_Loc),OR(LG_CC="ALL",$J244=LG_CC),$D244&gt;=LG_From,$D244&lt;=LG_To),$D244+ROW()/1000000,""),"")</f>
        <v/>
      </c>
      <c r="Z244" s="32">
        <f>IF($A244=1,IF(Sales_Daily!$T23="","",Sales_Daily!$T23),"")</f>
        <v/>
      </c>
      <c r="AA244" s="32">
        <f>IF($A244=1,IF(Sales_Daily!$U23="","",Sales_Daily!$U23),"")</f>
        <v/>
      </c>
      <c r="AB244" s="32">
        <f>IF($A244=1,IF(Sales_Daily!$V23="","",Sales_Daily!$V23),"")</f>
        <v/>
      </c>
      <c r="AC244" s="32">
        <f>IF($A244=1,IF(Sales_Daily!$W23="","",Sales_Daily!$W23),"")</f>
        <v/>
      </c>
      <c r="AD244" s="32">
        <f>IF($A244=1,IF(Sales_Daily!$X23="","",Sales_Daily!$X23),"")</f>
        <v/>
      </c>
      <c r="AE244" s="32">
        <f>IF($A244=1,0,"")</f>
        <v/>
      </c>
      <c r="AF244" s="32" t="inlineStr"/>
    </row>
    <row r="245">
      <c r="A245" s="32">
        <f>IF(AND(Sales_Daily!$AV23=1,N(Sales_Daily!$AH23)&gt;0),1,0)</f>
        <v/>
      </c>
      <c r="B245" s="32">
        <f>IF($A245=1,$E245&amp;"/7","")</f>
        <v/>
      </c>
      <c r="C245" s="32">
        <f>IF($A245=1,"J-"&amp;Sales_Daily!$A23,"")</f>
        <v/>
      </c>
      <c r="D245" s="33">
        <f>IF($A245=1,Sales_Daily!$B23,"")</f>
        <v/>
      </c>
      <c r="E245" s="32">
        <f>IF($A245=1,IF(Sales_Daily!$A23="","",Sales_Daily!$A23),"")</f>
        <v/>
      </c>
      <c r="F245" s="32">
        <f>IF($A245=1,"SAL","")</f>
        <v/>
      </c>
      <c r="G245" s="32">
        <f>IF($A245=1,ACC_DISC,"")</f>
        <v/>
      </c>
      <c r="H245" s="32">
        <f>IF($A245=1,IF(COUNTIF(COA!$A:$A,$G245)=0,"حساب غير معرف",INDEX(COA!$B:$B,MATCH($G245,COA!$A:$A,0))),"")</f>
        <v/>
      </c>
      <c r="I245" s="32">
        <f>IF($A245=1,IF(Sales_Daily!$C23="","",Sales_Daily!$C23),"")</f>
        <v/>
      </c>
      <c r="J245" s="32">
        <f>IF($A245=1,"CC10","")</f>
        <v/>
      </c>
      <c r="K245" s="32">
        <f>IF($A245=1,"-","")</f>
        <v/>
      </c>
      <c r="L245" s="32">
        <f>IF($A245=1,"خصومات المبيعات والعروض","")</f>
        <v/>
      </c>
      <c r="M245" s="43">
        <f>IF($A245=1,Sales_Daily!$AH23,"")</f>
        <v/>
      </c>
      <c r="N245" s="43">
        <f>IF($A245=1,0,"")</f>
        <v/>
      </c>
      <c r="O245" s="32">
        <f>IF($A245=1,Sales_Daily!$S23,"")</f>
        <v/>
      </c>
      <c r="P245" s="32">
        <f>IF($A245=1,IF(Sales_Daily!$AW23="","",Sales_Daily!$AW23),"")</f>
        <v/>
      </c>
      <c r="Q245" s="32">
        <f>IF($A245=1,Sales_Daily!$AY23,"")</f>
        <v/>
      </c>
      <c r="R245" s="32">
        <f>IF($A245=1,IF(AND($Q245=1,COUNTIFS(COA!$A:$A,$G245,COA!$R:$R,1)=1),1,0),"")</f>
        <v/>
      </c>
      <c r="S245" s="43">
        <f>IF($A245=1,IF($R245=1,N($M245),0),"")</f>
        <v/>
      </c>
      <c r="T245" s="43">
        <f>IF($A245=1,IF($R245=1,N($N245),0),"")</f>
        <v/>
      </c>
      <c r="U245" s="32">
        <f>IF($A245=1,YEAR($D245)*100+MONTH($D245),"")</f>
        <v/>
      </c>
      <c r="V245" s="32">
        <f>IF($A245=1,IF(COUNTIF(COA!$A:$A,$G245)=0,0,INDEX(COA!$H:$H,MATCH($G245,COA!$A:$A,0))),"")</f>
        <v/>
      </c>
      <c r="W245" s="32">
        <f>IF($A245=1,"","")</f>
        <v/>
      </c>
      <c r="X245" s="32">
        <f>IF($A245=1,IF($R245=1,"",IF($O245=ST_POST,IF($P245&lt;&gt;"",$P245,"حساب غير صالح أو غير نشط"),IF($O245=ST_REV,"معكوس: لا أثر على الدفاتر",IF($O245=ST_CANC,"ملغى",IF($O245=ST_APPR,"معتمد ولم يُرحَّل","مسودة"))))),"")</f>
        <v/>
      </c>
      <c r="Y245" s="32">
        <f>IF($A245=1,IF(AND($R245=1,OR(LG_Acct="",$G245=LG_Acct),OR(LG_Party="",$K245=LG_Party),OR(LG_Loc="ALL",$I245=LG_Loc),OR(LG_CC="ALL",$J245=LG_CC),$D245&gt;=LG_From,$D245&lt;=LG_To),$D245+ROW()/1000000,""),"")</f>
        <v/>
      </c>
      <c r="Z245" s="32">
        <f>IF($A245=1,IF(Sales_Daily!$T23="","",Sales_Daily!$T23),"")</f>
        <v/>
      </c>
      <c r="AA245" s="32">
        <f>IF($A245=1,IF(Sales_Daily!$U23="","",Sales_Daily!$U23),"")</f>
        <v/>
      </c>
      <c r="AB245" s="32">
        <f>IF($A245=1,IF(Sales_Daily!$V23="","",Sales_Daily!$V23),"")</f>
        <v/>
      </c>
      <c r="AC245" s="32">
        <f>IF($A245=1,IF(Sales_Daily!$W23="","",Sales_Daily!$W23),"")</f>
        <v/>
      </c>
      <c r="AD245" s="32">
        <f>IF($A245=1,IF(Sales_Daily!$X23="","",Sales_Daily!$X23),"")</f>
        <v/>
      </c>
      <c r="AE245" s="32">
        <f>IF($A245=1,0,"")</f>
        <v/>
      </c>
      <c r="AF245" s="32" t="inlineStr"/>
    </row>
    <row r="246">
      <c r="A246" s="32">
        <f>IF(AND(Sales_Daily!$AV23=1,N(Sales_Daily!$AI23)&gt;0),1,0)</f>
        <v/>
      </c>
      <c r="B246" s="32">
        <f>IF($A246=1,$E246&amp;"/8","")</f>
        <v/>
      </c>
      <c r="C246" s="32">
        <f>IF($A246=1,"J-"&amp;Sales_Daily!$A23,"")</f>
        <v/>
      </c>
      <c r="D246" s="33">
        <f>IF($A246=1,Sales_Daily!$B23,"")</f>
        <v/>
      </c>
      <c r="E246" s="32">
        <f>IF($A246=1,IF(Sales_Daily!$A23="","",Sales_Daily!$A23),"")</f>
        <v/>
      </c>
      <c r="F246" s="32">
        <f>IF($A246=1,"SAL","")</f>
        <v/>
      </c>
      <c r="G246" s="32">
        <f>IF($A246=1,ACC_RET,"")</f>
        <v/>
      </c>
      <c r="H246" s="32">
        <f>IF($A246=1,IF(COUNTIF(COA!$A:$A,$G246)=0,"حساب غير معرف",INDEX(COA!$B:$B,MATCH($G246,COA!$A:$A,0))),"")</f>
        <v/>
      </c>
      <c r="I246" s="32">
        <f>IF($A246=1,IF(Sales_Daily!$C23="","",Sales_Daily!$C23),"")</f>
        <v/>
      </c>
      <c r="J246" s="32">
        <f>IF($A246=1,"CC10","")</f>
        <v/>
      </c>
      <c r="K246" s="32">
        <f>IF($A246=1,"-","")</f>
        <v/>
      </c>
      <c r="L246" s="32">
        <f>IF($A246=1,"مرتجعات وإلغاءات المبيعات","")</f>
        <v/>
      </c>
      <c r="M246" s="43">
        <f>IF($A246=1,Sales_Daily!$AI23,"")</f>
        <v/>
      </c>
      <c r="N246" s="43">
        <f>IF($A246=1,0,"")</f>
        <v/>
      </c>
      <c r="O246" s="32">
        <f>IF($A246=1,Sales_Daily!$S23,"")</f>
        <v/>
      </c>
      <c r="P246" s="32">
        <f>IF($A246=1,IF(Sales_Daily!$AW23="","",Sales_Daily!$AW23),"")</f>
        <v/>
      </c>
      <c r="Q246" s="32">
        <f>IF($A246=1,Sales_Daily!$AY23,"")</f>
        <v/>
      </c>
      <c r="R246" s="32">
        <f>IF($A246=1,IF(AND($Q246=1,COUNTIFS(COA!$A:$A,$G246,COA!$R:$R,1)=1),1,0),"")</f>
        <v/>
      </c>
      <c r="S246" s="43">
        <f>IF($A246=1,IF($R246=1,N($M246),0),"")</f>
        <v/>
      </c>
      <c r="T246" s="43">
        <f>IF($A246=1,IF($R246=1,N($N246),0),"")</f>
        <v/>
      </c>
      <c r="U246" s="32">
        <f>IF($A246=1,YEAR($D246)*100+MONTH($D246),"")</f>
        <v/>
      </c>
      <c r="V246" s="32">
        <f>IF($A246=1,IF(COUNTIF(COA!$A:$A,$G246)=0,0,INDEX(COA!$H:$H,MATCH($G246,COA!$A:$A,0))),"")</f>
        <v/>
      </c>
      <c r="W246" s="32">
        <f>IF($A246=1,"","")</f>
        <v/>
      </c>
      <c r="X246" s="32">
        <f>IF($A246=1,IF($R246=1,"",IF($O246=ST_POST,IF($P246&lt;&gt;"",$P246,"حساب غير صالح أو غير نشط"),IF($O246=ST_REV,"معكوس: لا أثر على الدفاتر",IF($O246=ST_CANC,"ملغى",IF($O246=ST_APPR,"معتمد ولم يُرحَّل","مسودة"))))),"")</f>
        <v/>
      </c>
      <c r="Y246" s="32">
        <f>IF($A246=1,IF(AND($R246=1,OR(LG_Acct="",$G246=LG_Acct),OR(LG_Party="",$K246=LG_Party),OR(LG_Loc="ALL",$I246=LG_Loc),OR(LG_CC="ALL",$J246=LG_CC),$D246&gt;=LG_From,$D246&lt;=LG_To),$D246+ROW()/1000000,""),"")</f>
        <v/>
      </c>
      <c r="Z246" s="32">
        <f>IF($A246=1,IF(Sales_Daily!$T23="","",Sales_Daily!$T23),"")</f>
        <v/>
      </c>
      <c r="AA246" s="32">
        <f>IF($A246=1,IF(Sales_Daily!$U23="","",Sales_Daily!$U23),"")</f>
        <v/>
      </c>
      <c r="AB246" s="32">
        <f>IF($A246=1,IF(Sales_Daily!$V23="","",Sales_Daily!$V23),"")</f>
        <v/>
      </c>
      <c r="AC246" s="32">
        <f>IF($A246=1,IF(Sales_Daily!$W23="","",Sales_Daily!$W23),"")</f>
        <v/>
      </c>
      <c r="AD246" s="32">
        <f>IF($A246=1,IF(Sales_Daily!$X23="","",Sales_Daily!$X23),"")</f>
        <v/>
      </c>
      <c r="AE246" s="32">
        <f>IF($A246=1,0,"")</f>
        <v/>
      </c>
      <c r="AF246" s="32" t="inlineStr"/>
    </row>
    <row r="247">
      <c r="A247" s="32">
        <f>IF(AND(Sales_Daily!$AV23=1,N(Sales_Daily!$AD23)&gt;0),1,0)</f>
        <v/>
      </c>
      <c r="B247" s="32">
        <f>IF($A247=1,$E247&amp;"/9","")</f>
        <v/>
      </c>
      <c r="C247" s="32">
        <f>IF($A247=1,"J-"&amp;Sales_Daily!$A23,"")</f>
        <v/>
      </c>
      <c r="D247" s="33">
        <f>IF($A247=1,Sales_Daily!$B23,"")</f>
        <v/>
      </c>
      <c r="E247" s="32">
        <f>IF($A247=1,IF(Sales_Daily!$A23="","",Sales_Daily!$A23),"")</f>
        <v/>
      </c>
      <c r="F247" s="32">
        <f>IF($A247=1,"SAL","")</f>
        <v/>
      </c>
      <c r="G247" s="32">
        <f>IF($A247=1,IF(Sales_Daily!$AQ23="","",Sales_Daily!$AQ23),"")</f>
        <v/>
      </c>
      <c r="H247" s="32">
        <f>IF($A247=1,IF(COUNTIF(COA!$A:$A,$G247)=0,"حساب غير معرف",INDEX(COA!$B:$B,MATCH($G247,COA!$A:$A,0))),"")</f>
        <v/>
      </c>
      <c r="I247" s="32">
        <f>IF($A247=1,IF(Sales_Daily!$C23="","",Sales_Daily!$C23),"")</f>
        <v/>
      </c>
      <c r="J247" s="32">
        <f>IF($A247=1,"CC10","")</f>
        <v/>
      </c>
      <c r="K247" s="32">
        <f>IF($A247=1,"-","")</f>
        <v/>
      </c>
      <c r="L247" s="32">
        <f>IF($A247=1,"إيراد مبيعات - فئة فطير","")</f>
        <v/>
      </c>
      <c r="M247" s="43">
        <f>IF($A247=1,0,"")</f>
        <v/>
      </c>
      <c r="N247" s="43">
        <f>IF($A247=1,Sales_Daily!$AD23,"")</f>
        <v/>
      </c>
      <c r="O247" s="32">
        <f>IF($A247=1,Sales_Daily!$S23,"")</f>
        <v/>
      </c>
      <c r="P247" s="32">
        <f>IF($A247=1,IF(Sales_Daily!$AW23="","",Sales_Daily!$AW23),"")</f>
        <v/>
      </c>
      <c r="Q247" s="32">
        <f>IF($A247=1,Sales_Daily!$AY23,"")</f>
        <v/>
      </c>
      <c r="R247" s="32">
        <f>IF($A247=1,IF(AND($Q247=1,COUNTIFS(COA!$A:$A,$G247,COA!$R:$R,1)=1),1,0),"")</f>
        <v/>
      </c>
      <c r="S247" s="43">
        <f>IF($A247=1,IF($R247=1,N($M247),0),"")</f>
        <v/>
      </c>
      <c r="T247" s="43">
        <f>IF($A247=1,IF($R247=1,N($N247),0),"")</f>
        <v/>
      </c>
      <c r="U247" s="32">
        <f>IF($A247=1,YEAR($D247)*100+MONTH($D247),"")</f>
        <v/>
      </c>
      <c r="V247" s="32">
        <f>IF($A247=1,IF(COUNTIF(COA!$A:$A,$G247)=0,0,INDEX(COA!$H:$H,MATCH($G247,COA!$A:$A,0))),"")</f>
        <v/>
      </c>
      <c r="W247" s="32">
        <f>IF($A247=1,"","")</f>
        <v/>
      </c>
      <c r="X247" s="32">
        <f>IF($A247=1,IF($R247=1,"",IF($O247=ST_POST,IF($P247&lt;&gt;"",$P247,"حساب غير صالح أو غير نشط"),IF($O247=ST_REV,"معكوس: لا أثر على الدفاتر",IF($O247=ST_CANC,"ملغى",IF($O247=ST_APPR,"معتمد ولم يُرحَّل","مسودة"))))),"")</f>
        <v/>
      </c>
      <c r="Y247" s="32">
        <f>IF($A247=1,IF(AND($R247=1,OR(LG_Acct="",$G247=LG_Acct),OR(LG_Party="",$K247=LG_Party),OR(LG_Loc="ALL",$I247=LG_Loc),OR(LG_CC="ALL",$J247=LG_CC),$D247&gt;=LG_From,$D247&lt;=LG_To),$D247+ROW()/1000000,""),"")</f>
        <v/>
      </c>
      <c r="Z247" s="32">
        <f>IF($A247=1,IF(Sales_Daily!$T23="","",Sales_Daily!$T23),"")</f>
        <v/>
      </c>
      <c r="AA247" s="32">
        <f>IF($A247=1,IF(Sales_Daily!$U23="","",Sales_Daily!$U23),"")</f>
        <v/>
      </c>
      <c r="AB247" s="32">
        <f>IF($A247=1,IF(Sales_Daily!$V23="","",Sales_Daily!$V23),"")</f>
        <v/>
      </c>
      <c r="AC247" s="32">
        <f>IF($A247=1,IF(Sales_Daily!$W23="","",Sales_Daily!$W23),"")</f>
        <v/>
      </c>
      <c r="AD247" s="32">
        <f>IF($A247=1,IF(Sales_Daily!$X23="","",Sales_Daily!$X23),"")</f>
        <v/>
      </c>
      <c r="AE247" s="32">
        <f>IF($A247=1,0,"")</f>
        <v/>
      </c>
      <c r="AF247" s="32" t="inlineStr"/>
    </row>
    <row r="248">
      <c r="A248" s="32">
        <f>IF(AND(Sales_Daily!$AV23=1,N(Sales_Daily!$AE23)&gt;0),1,0)</f>
        <v/>
      </c>
      <c r="B248" s="32">
        <f>IF($A248=1,$E248&amp;"/10","")</f>
        <v/>
      </c>
      <c r="C248" s="32">
        <f>IF($A248=1,"J-"&amp;Sales_Daily!$A23,"")</f>
        <v/>
      </c>
      <c r="D248" s="33">
        <f>IF($A248=1,Sales_Daily!$B23,"")</f>
        <v/>
      </c>
      <c r="E248" s="32">
        <f>IF($A248=1,IF(Sales_Daily!$A23="","",Sales_Daily!$A23),"")</f>
        <v/>
      </c>
      <c r="F248" s="32">
        <f>IF($A248=1,"SAL","")</f>
        <v/>
      </c>
      <c r="G248" s="32">
        <f>IF($A248=1,IF(Sales_Daily!$AR23="","",Sales_Daily!$AR23),"")</f>
        <v/>
      </c>
      <c r="H248" s="32">
        <f>IF($A248=1,IF(COUNTIF(COA!$A:$A,$G248)=0,"حساب غير معرف",INDEX(COA!$B:$B,MATCH($G248,COA!$A:$A,0))),"")</f>
        <v/>
      </c>
      <c r="I248" s="32">
        <f>IF($A248=1,IF(Sales_Daily!$C23="","",Sales_Daily!$C23),"")</f>
        <v/>
      </c>
      <c r="J248" s="32">
        <f>IF($A248=1,"CC10","")</f>
        <v/>
      </c>
      <c r="K248" s="32">
        <f>IF($A248=1,"-","")</f>
        <v/>
      </c>
      <c r="L248" s="32">
        <f>IF($A248=1,"إيراد مبيعات - فئة بيتزا","")</f>
        <v/>
      </c>
      <c r="M248" s="43">
        <f>IF($A248=1,0,"")</f>
        <v/>
      </c>
      <c r="N248" s="43">
        <f>IF($A248=1,Sales_Daily!$AE23,"")</f>
        <v/>
      </c>
      <c r="O248" s="32">
        <f>IF($A248=1,Sales_Daily!$S23,"")</f>
        <v/>
      </c>
      <c r="P248" s="32">
        <f>IF($A248=1,IF(Sales_Daily!$AW23="","",Sales_Daily!$AW23),"")</f>
        <v/>
      </c>
      <c r="Q248" s="32">
        <f>IF($A248=1,Sales_Daily!$AY23,"")</f>
        <v/>
      </c>
      <c r="R248" s="32">
        <f>IF($A248=1,IF(AND($Q248=1,COUNTIFS(COA!$A:$A,$G248,COA!$R:$R,1)=1),1,0),"")</f>
        <v/>
      </c>
      <c r="S248" s="43">
        <f>IF($A248=1,IF($R248=1,N($M248),0),"")</f>
        <v/>
      </c>
      <c r="T248" s="43">
        <f>IF($A248=1,IF($R248=1,N($N248),0),"")</f>
        <v/>
      </c>
      <c r="U248" s="32">
        <f>IF($A248=1,YEAR($D248)*100+MONTH($D248),"")</f>
        <v/>
      </c>
      <c r="V248" s="32">
        <f>IF($A248=1,IF(COUNTIF(COA!$A:$A,$G248)=0,0,INDEX(COA!$H:$H,MATCH($G248,COA!$A:$A,0))),"")</f>
        <v/>
      </c>
      <c r="W248" s="32">
        <f>IF($A248=1,"","")</f>
        <v/>
      </c>
      <c r="X248" s="32">
        <f>IF($A248=1,IF($R248=1,"",IF($O248=ST_POST,IF($P248&lt;&gt;"",$P248,"حساب غير صالح أو غير نشط"),IF($O248=ST_REV,"معكوس: لا أثر على الدفاتر",IF($O248=ST_CANC,"ملغى",IF($O248=ST_APPR,"معتمد ولم يُرحَّل","مسودة"))))),"")</f>
        <v/>
      </c>
      <c r="Y248" s="32">
        <f>IF($A248=1,IF(AND($R248=1,OR(LG_Acct="",$G248=LG_Acct),OR(LG_Party="",$K248=LG_Party),OR(LG_Loc="ALL",$I248=LG_Loc),OR(LG_CC="ALL",$J248=LG_CC),$D248&gt;=LG_From,$D248&lt;=LG_To),$D248+ROW()/1000000,""),"")</f>
        <v/>
      </c>
      <c r="Z248" s="32">
        <f>IF($A248=1,IF(Sales_Daily!$T23="","",Sales_Daily!$T23),"")</f>
        <v/>
      </c>
      <c r="AA248" s="32">
        <f>IF($A248=1,IF(Sales_Daily!$U23="","",Sales_Daily!$U23),"")</f>
        <v/>
      </c>
      <c r="AB248" s="32">
        <f>IF($A248=1,IF(Sales_Daily!$V23="","",Sales_Daily!$V23),"")</f>
        <v/>
      </c>
      <c r="AC248" s="32">
        <f>IF($A248=1,IF(Sales_Daily!$W23="","",Sales_Daily!$W23),"")</f>
        <v/>
      </c>
      <c r="AD248" s="32">
        <f>IF($A248=1,IF(Sales_Daily!$X23="","",Sales_Daily!$X23),"")</f>
        <v/>
      </c>
      <c r="AE248" s="32">
        <f>IF($A248=1,0,"")</f>
        <v/>
      </c>
      <c r="AF248" s="32" t="inlineStr"/>
    </row>
    <row r="249">
      <c r="A249" s="32">
        <f>IF(AND(Sales_Daily!$AV23=1,N(Sales_Daily!$AF23)&gt;0),1,0)</f>
        <v/>
      </c>
      <c r="B249" s="32">
        <f>IF($A249=1,$E249&amp;"/11","")</f>
        <v/>
      </c>
      <c r="C249" s="32">
        <f>IF($A249=1,"J-"&amp;Sales_Daily!$A23,"")</f>
        <v/>
      </c>
      <c r="D249" s="33">
        <f>IF($A249=1,Sales_Daily!$B23,"")</f>
        <v/>
      </c>
      <c r="E249" s="32">
        <f>IF($A249=1,IF(Sales_Daily!$A23="","",Sales_Daily!$A23),"")</f>
        <v/>
      </c>
      <c r="F249" s="32">
        <f>IF($A249=1,"SAL","")</f>
        <v/>
      </c>
      <c r="G249" s="32">
        <f>IF($A249=1,IF(Sales_Daily!$AS23="","",Sales_Daily!$AS23),"")</f>
        <v/>
      </c>
      <c r="H249" s="32">
        <f>IF($A249=1,IF(COUNTIF(COA!$A:$A,$G249)=0,"حساب غير معرف",INDEX(COA!$B:$B,MATCH($G249,COA!$A:$A,0))),"")</f>
        <v/>
      </c>
      <c r="I249" s="32">
        <f>IF($A249=1,IF(Sales_Daily!$C23="","",Sales_Daily!$C23),"")</f>
        <v/>
      </c>
      <c r="J249" s="32">
        <f>IF($A249=1,"CC10","")</f>
        <v/>
      </c>
      <c r="K249" s="32">
        <f>IF($A249=1,"-","")</f>
        <v/>
      </c>
      <c r="L249" s="32">
        <f>IF($A249=1,"إيراد مبيعات - فئة مكرونات","")</f>
        <v/>
      </c>
      <c r="M249" s="43">
        <f>IF($A249=1,0,"")</f>
        <v/>
      </c>
      <c r="N249" s="43">
        <f>IF($A249=1,Sales_Daily!$AF23,"")</f>
        <v/>
      </c>
      <c r="O249" s="32">
        <f>IF($A249=1,Sales_Daily!$S23,"")</f>
        <v/>
      </c>
      <c r="P249" s="32">
        <f>IF($A249=1,IF(Sales_Daily!$AW23="","",Sales_Daily!$AW23),"")</f>
        <v/>
      </c>
      <c r="Q249" s="32">
        <f>IF($A249=1,Sales_Daily!$AY23,"")</f>
        <v/>
      </c>
      <c r="R249" s="32">
        <f>IF($A249=1,IF(AND($Q249=1,COUNTIFS(COA!$A:$A,$G249,COA!$R:$R,1)=1),1,0),"")</f>
        <v/>
      </c>
      <c r="S249" s="43">
        <f>IF($A249=1,IF($R249=1,N($M249),0),"")</f>
        <v/>
      </c>
      <c r="T249" s="43">
        <f>IF($A249=1,IF($R249=1,N($N249),0),"")</f>
        <v/>
      </c>
      <c r="U249" s="32">
        <f>IF($A249=1,YEAR($D249)*100+MONTH($D249),"")</f>
        <v/>
      </c>
      <c r="V249" s="32">
        <f>IF($A249=1,IF(COUNTIF(COA!$A:$A,$G249)=0,0,INDEX(COA!$H:$H,MATCH($G249,COA!$A:$A,0))),"")</f>
        <v/>
      </c>
      <c r="W249" s="32">
        <f>IF($A249=1,"","")</f>
        <v/>
      </c>
      <c r="X249" s="32">
        <f>IF($A249=1,IF($R249=1,"",IF($O249=ST_POST,IF($P249&lt;&gt;"",$P249,"حساب غير صالح أو غير نشط"),IF($O249=ST_REV,"معكوس: لا أثر على الدفاتر",IF($O249=ST_CANC,"ملغى",IF($O249=ST_APPR,"معتمد ولم يُرحَّل","مسودة"))))),"")</f>
        <v/>
      </c>
      <c r="Y249" s="32">
        <f>IF($A249=1,IF(AND($R249=1,OR(LG_Acct="",$G249=LG_Acct),OR(LG_Party="",$K249=LG_Party),OR(LG_Loc="ALL",$I249=LG_Loc),OR(LG_CC="ALL",$J249=LG_CC),$D249&gt;=LG_From,$D249&lt;=LG_To),$D249+ROW()/1000000,""),"")</f>
        <v/>
      </c>
      <c r="Z249" s="32">
        <f>IF($A249=1,IF(Sales_Daily!$T23="","",Sales_Daily!$T23),"")</f>
        <v/>
      </c>
      <c r="AA249" s="32">
        <f>IF($A249=1,IF(Sales_Daily!$U23="","",Sales_Daily!$U23),"")</f>
        <v/>
      </c>
      <c r="AB249" s="32">
        <f>IF($A249=1,IF(Sales_Daily!$V23="","",Sales_Daily!$V23),"")</f>
        <v/>
      </c>
      <c r="AC249" s="32">
        <f>IF($A249=1,IF(Sales_Daily!$W23="","",Sales_Daily!$W23),"")</f>
        <v/>
      </c>
      <c r="AD249" s="32">
        <f>IF($A249=1,IF(Sales_Daily!$X23="","",Sales_Daily!$X23),"")</f>
        <v/>
      </c>
      <c r="AE249" s="32">
        <f>IF($A249=1,0,"")</f>
        <v/>
      </c>
      <c r="AF249" s="32" t="inlineStr"/>
    </row>
    <row r="250">
      <c r="A250" s="32">
        <f>IF(AND(Sales_Daily!$AV23=1,N(Sales_Daily!$AG23)&gt;0),1,0)</f>
        <v/>
      </c>
      <c r="B250" s="32">
        <f>IF($A250=1,$E250&amp;"/12","")</f>
        <v/>
      </c>
      <c r="C250" s="32">
        <f>IF($A250=1,"J-"&amp;Sales_Daily!$A23,"")</f>
        <v/>
      </c>
      <c r="D250" s="33">
        <f>IF($A250=1,Sales_Daily!$B23,"")</f>
        <v/>
      </c>
      <c r="E250" s="32">
        <f>IF($A250=1,IF(Sales_Daily!$A23="","",Sales_Daily!$A23),"")</f>
        <v/>
      </c>
      <c r="F250" s="32">
        <f>IF($A250=1,"SAL","")</f>
        <v/>
      </c>
      <c r="G250" s="32">
        <f>IF($A250=1,IF(Sales_Daily!$AT23="","",Sales_Daily!$AT23),"")</f>
        <v/>
      </c>
      <c r="H250" s="32">
        <f>IF($A250=1,IF(COUNTIF(COA!$A:$A,$G250)=0,"حساب غير معرف",INDEX(COA!$B:$B,MATCH($G250,COA!$A:$A,0))),"")</f>
        <v/>
      </c>
      <c r="I250" s="32">
        <f>IF($A250=1,IF(Sales_Daily!$C23="","",Sales_Daily!$C23),"")</f>
        <v/>
      </c>
      <c r="J250" s="32">
        <f>IF($A250=1,"CC10","")</f>
        <v/>
      </c>
      <c r="K250" s="32">
        <f>IF($A250=1,"-","")</f>
        <v/>
      </c>
      <c r="L250" s="32">
        <f>IF($A250=1,"إيراد مبيعات - فئة أخرى","")</f>
        <v/>
      </c>
      <c r="M250" s="43">
        <f>IF($A250=1,0,"")</f>
        <v/>
      </c>
      <c r="N250" s="43">
        <f>IF($A250=1,Sales_Daily!$AG23,"")</f>
        <v/>
      </c>
      <c r="O250" s="32">
        <f>IF($A250=1,Sales_Daily!$S23,"")</f>
        <v/>
      </c>
      <c r="P250" s="32">
        <f>IF($A250=1,IF(Sales_Daily!$AW23="","",Sales_Daily!$AW23),"")</f>
        <v/>
      </c>
      <c r="Q250" s="32">
        <f>IF($A250=1,Sales_Daily!$AY23,"")</f>
        <v/>
      </c>
      <c r="R250" s="32">
        <f>IF($A250=1,IF(AND($Q250=1,COUNTIFS(COA!$A:$A,$G250,COA!$R:$R,1)=1),1,0),"")</f>
        <v/>
      </c>
      <c r="S250" s="43">
        <f>IF($A250=1,IF($R250=1,N($M250),0),"")</f>
        <v/>
      </c>
      <c r="T250" s="43">
        <f>IF($A250=1,IF($R250=1,N($N250),0),"")</f>
        <v/>
      </c>
      <c r="U250" s="32">
        <f>IF($A250=1,YEAR($D250)*100+MONTH($D250),"")</f>
        <v/>
      </c>
      <c r="V250" s="32">
        <f>IF($A250=1,IF(COUNTIF(COA!$A:$A,$G250)=0,0,INDEX(COA!$H:$H,MATCH($G250,COA!$A:$A,0))),"")</f>
        <v/>
      </c>
      <c r="W250" s="32">
        <f>IF($A250=1,"","")</f>
        <v/>
      </c>
      <c r="X250" s="32">
        <f>IF($A250=1,IF($R250=1,"",IF($O250=ST_POST,IF($P250&lt;&gt;"",$P250,"حساب غير صالح أو غير نشط"),IF($O250=ST_REV,"معكوس: لا أثر على الدفاتر",IF($O250=ST_CANC,"ملغى",IF($O250=ST_APPR,"معتمد ولم يُرحَّل","مسودة"))))),"")</f>
        <v/>
      </c>
      <c r="Y250" s="32">
        <f>IF($A250=1,IF(AND($R250=1,OR(LG_Acct="",$G250=LG_Acct),OR(LG_Party="",$K250=LG_Party),OR(LG_Loc="ALL",$I250=LG_Loc),OR(LG_CC="ALL",$J250=LG_CC),$D250&gt;=LG_From,$D250&lt;=LG_To),$D250+ROW()/1000000,""),"")</f>
        <v/>
      </c>
      <c r="Z250" s="32">
        <f>IF($A250=1,IF(Sales_Daily!$T23="","",Sales_Daily!$T23),"")</f>
        <v/>
      </c>
      <c r="AA250" s="32">
        <f>IF($A250=1,IF(Sales_Daily!$U23="","",Sales_Daily!$U23),"")</f>
        <v/>
      </c>
      <c r="AB250" s="32">
        <f>IF($A250=1,IF(Sales_Daily!$V23="","",Sales_Daily!$V23),"")</f>
        <v/>
      </c>
      <c r="AC250" s="32">
        <f>IF($A250=1,IF(Sales_Daily!$W23="","",Sales_Daily!$W23),"")</f>
        <v/>
      </c>
      <c r="AD250" s="32">
        <f>IF($A250=1,IF(Sales_Daily!$X23="","",Sales_Daily!$X23),"")</f>
        <v/>
      </c>
      <c r="AE250" s="32">
        <f>IF($A250=1,0,"")</f>
        <v/>
      </c>
      <c r="AF250" s="32" t="inlineStr"/>
    </row>
    <row r="251">
      <c r="A251" s="32">
        <f>IF(AND(Sales_Daily!$AV23=1,N(Sales_Daily!$AJ23)&gt;0),1,0)</f>
        <v/>
      </c>
      <c r="B251" s="32">
        <f>IF($A251=1,$E251&amp;"/13","")</f>
        <v/>
      </c>
      <c r="C251" s="32">
        <f>IF($A251=1,"J-"&amp;Sales_Daily!$A23,"")</f>
        <v/>
      </c>
      <c r="D251" s="33">
        <f>IF($A251=1,Sales_Daily!$B23,"")</f>
        <v/>
      </c>
      <c r="E251" s="32">
        <f>IF($A251=1,IF(Sales_Daily!$A23="","",Sales_Daily!$A23),"")</f>
        <v/>
      </c>
      <c r="F251" s="32">
        <f>IF($A251=1,"SAL","")</f>
        <v/>
      </c>
      <c r="G251" s="32">
        <f>IF($A251=1,ACC_VAT_OUT,"")</f>
        <v/>
      </c>
      <c r="H251" s="32">
        <f>IF($A251=1,IF(COUNTIF(COA!$A:$A,$G251)=0,"حساب غير معرف",INDEX(COA!$B:$B,MATCH($G251,COA!$A:$A,0))),"")</f>
        <v/>
      </c>
      <c r="I251" s="32">
        <f>IF($A251=1,IF(Sales_Daily!$C23="","",Sales_Daily!$C23),"")</f>
        <v/>
      </c>
      <c r="J251" s="32">
        <f>IF($A251=1,"CC10","")</f>
        <v/>
      </c>
      <c r="K251" s="32">
        <f>IF($A251=1,"-","")</f>
        <v/>
      </c>
      <c r="L251" s="32">
        <f>IF($A251=1,"ضريبة القيمة المضافة - مخرجات","")</f>
        <v/>
      </c>
      <c r="M251" s="43">
        <f>IF($A251=1,0,"")</f>
        <v/>
      </c>
      <c r="N251" s="43">
        <f>IF($A251=1,Sales_Daily!$AJ23,"")</f>
        <v/>
      </c>
      <c r="O251" s="32">
        <f>IF($A251=1,Sales_Daily!$S23,"")</f>
        <v/>
      </c>
      <c r="P251" s="32">
        <f>IF($A251=1,IF(Sales_Daily!$AW23="","",Sales_Daily!$AW23),"")</f>
        <v/>
      </c>
      <c r="Q251" s="32">
        <f>IF($A251=1,Sales_Daily!$AY23,"")</f>
        <v/>
      </c>
      <c r="R251" s="32">
        <f>IF($A251=1,IF(AND($Q251=1,COUNTIFS(COA!$A:$A,$G251,COA!$R:$R,1)=1),1,0),"")</f>
        <v/>
      </c>
      <c r="S251" s="43">
        <f>IF($A251=1,IF($R251=1,N($M251),0),"")</f>
        <v/>
      </c>
      <c r="T251" s="43">
        <f>IF($A251=1,IF($R251=1,N($N251),0),"")</f>
        <v/>
      </c>
      <c r="U251" s="32">
        <f>IF($A251=1,YEAR($D251)*100+MONTH($D251),"")</f>
        <v/>
      </c>
      <c r="V251" s="32">
        <f>IF($A251=1,IF(COUNTIF(COA!$A:$A,$G251)=0,0,INDEX(COA!$H:$H,MATCH($G251,COA!$A:$A,0))),"")</f>
        <v/>
      </c>
      <c r="W251" s="32">
        <f>IF($A251=1,"","")</f>
        <v/>
      </c>
      <c r="X251" s="32">
        <f>IF($A251=1,IF($R251=1,"",IF($O251=ST_POST,IF($P251&lt;&gt;"",$P251,"حساب غير صالح أو غير نشط"),IF($O251=ST_REV,"معكوس: لا أثر على الدفاتر",IF($O251=ST_CANC,"ملغى",IF($O251=ST_APPR,"معتمد ولم يُرحَّل","مسودة"))))),"")</f>
        <v/>
      </c>
      <c r="Y251" s="32">
        <f>IF($A251=1,IF(AND($R251=1,OR(LG_Acct="",$G251=LG_Acct),OR(LG_Party="",$K251=LG_Party),OR(LG_Loc="ALL",$I251=LG_Loc),OR(LG_CC="ALL",$J251=LG_CC),$D251&gt;=LG_From,$D251&lt;=LG_To),$D251+ROW()/1000000,""),"")</f>
        <v/>
      </c>
      <c r="Z251" s="32">
        <f>IF($A251=1,IF(Sales_Daily!$T23="","",Sales_Daily!$T23),"")</f>
        <v/>
      </c>
      <c r="AA251" s="32">
        <f>IF($A251=1,IF(Sales_Daily!$U23="","",Sales_Daily!$U23),"")</f>
        <v/>
      </c>
      <c r="AB251" s="32">
        <f>IF($A251=1,IF(Sales_Daily!$V23="","",Sales_Daily!$V23),"")</f>
        <v/>
      </c>
      <c r="AC251" s="32">
        <f>IF($A251=1,IF(Sales_Daily!$W23="","",Sales_Daily!$W23),"")</f>
        <v/>
      </c>
      <c r="AD251" s="32">
        <f>IF($A251=1,IF(Sales_Daily!$X23="","",Sales_Daily!$X23),"")</f>
        <v/>
      </c>
      <c r="AE251" s="32">
        <f>IF($A251=1,0,"")</f>
        <v/>
      </c>
      <c r="AF251" s="32" t="inlineStr"/>
    </row>
    <row r="252">
      <c r="A252" s="32">
        <f>IF(AND(Sales_Daily!$AV24=1,N(Sales_Daily!$L24)&gt;0),1,0)</f>
        <v/>
      </c>
      <c r="B252" s="32">
        <f>IF($A252=1,$E252&amp;"/1","")</f>
        <v/>
      </c>
      <c r="C252" s="32">
        <f>IF($A252=1,"J-"&amp;Sales_Daily!$A24,"")</f>
        <v/>
      </c>
      <c r="D252" s="33">
        <f>IF($A252=1,Sales_Daily!$B24,"")</f>
        <v/>
      </c>
      <c r="E252" s="32">
        <f>IF($A252=1,IF(Sales_Daily!$A24="","",Sales_Daily!$A24),"")</f>
        <v/>
      </c>
      <c r="F252" s="32">
        <f>IF($A252=1,"SAL","")</f>
        <v/>
      </c>
      <c r="G252" s="32">
        <f>IF($A252=1,IF(Sales_Daily!$AK24="","",Sales_Daily!$AK24),"")</f>
        <v/>
      </c>
      <c r="H252" s="32">
        <f>IF($A252=1,IF(COUNTIF(COA!$A:$A,$G252)=0,"حساب غير معرف",INDEX(COA!$B:$B,MATCH($G252,COA!$A:$A,0))),"")</f>
        <v/>
      </c>
      <c r="I252" s="32">
        <f>IF($A252=1,IF(Sales_Daily!$C24="","",Sales_Daily!$C24),"")</f>
        <v/>
      </c>
      <c r="J252" s="32">
        <f>IF($A252=1,"CC10","")</f>
        <v/>
      </c>
      <c r="K252" s="32">
        <f>IF($A252=1,"-","")</f>
        <v/>
      </c>
      <c r="L252" s="32">
        <f>IF($A252=1,"مبيعات - تحصيل CASH","")</f>
        <v/>
      </c>
      <c r="M252" s="43">
        <f>IF($A252=1,Sales_Daily!$L24,"")</f>
        <v/>
      </c>
      <c r="N252" s="43">
        <f>IF($A252=1,0,"")</f>
        <v/>
      </c>
      <c r="O252" s="32">
        <f>IF($A252=1,Sales_Daily!$S24,"")</f>
        <v/>
      </c>
      <c r="P252" s="32">
        <f>IF($A252=1,IF(Sales_Daily!$AW24="","",Sales_Daily!$AW24),"")</f>
        <v/>
      </c>
      <c r="Q252" s="32">
        <f>IF($A252=1,Sales_Daily!$AY24,"")</f>
        <v/>
      </c>
      <c r="R252" s="32">
        <f>IF($A252=1,IF(AND($Q252=1,COUNTIFS(COA!$A:$A,$G252,COA!$R:$R,1)=1),1,0),"")</f>
        <v/>
      </c>
      <c r="S252" s="43">
        <f>IF($A252=1,IF($R252=1,N($M252),0),"")</f>
        <v/>
      </c>
      <c r="T252" s="43">
        <f>IF($A252=1,IF($R252=1,N($N252),0),"")</f>
        <v/>
      </c>
      <c r="U252" s="32">
        <f>IF($A252=1,YEAR($D252)*100+MONTH($D252),"")</f>
        <v/>
      </c>
      <c r="V252" s="32">
        <f>IF($A252=1,IF(COUNTIF(COA!$A:$A,$G252)=0,0,INDEX(COA!$H:$H,MATCH($G252,COA!$A:$A,0))),"")</f>
        <v/>
      </c>
      <c r="W252" s="32">
        <f>IF($A252=1,"OPERATING","")</f>
        <v/>
      </c>
      <c r="X252" s="32">
        <f>IF($A252=1,IF($R252=1,"",IF($O252=ST_POST,IF($P252&lt;&gt;"",$P252,"حساب غير صالح أو غير نشط"),IF($O252=ST_REV,"معكوس: لا أثر على الدفاتر",IF($O252=ST_CANC,"ملغى",IF($O252=ST_APPR,"معتمد ولم يُرحَّل","مسودة"))))),"")</f>
        <v/>
      </c>
      <c r="Y252" s="32">
        <f>IF($A252=1,IF(AND($R252=1,OR(LG_Acct="",$G252=LG_Acct),OR(LG_Party="",$K252=LG_Party),OR(LG_Loc="ALL",$I252=LG_Loc),OR(LG_CC="ALL",$J252=LG_CC),$D252&gt;=LG_From,$D252&lt;=LG_To),$D252+ROW()/1000000,""),"")</f>
        <v/>
      </c>
      <c r="Z252" s="32">
        <f>IF($A252=1,IF(Sales_Daily!$T24="","",Sales_Daily!$T24),"")</f>
        <v/>
      </c>
      <c r="AA252" s="32">
        <f>IF($A252=1,IF(Sales_Daily!$U24="","",Sales_Daily!$U24),"")</f>
        <v/>
      </c>
      <c r="AB252" s="32">
        <f>IF($A252=1,IF(Sales_Daily!$V24="","",Sales_Daily!$V24),"")</f>
        <v/>
      </c>
      <c r="AC252" s="32">
        <f>IF($A252=1,IF(Sales_Daily!$W24="","",Sales_Daily!$W24),"")</f>
        <v/>
      </c>
      <c r="AD252" s="32">
        <f>IF($A252=1,IF(Sales_Daily!$X24="","",Sales_Daily!$X24),"")</f>
        <v/>
      </c>
      <c r="AE252" s="32">
        <f>IF($A252=1,0,"")</f>
        <v/>
      </c>
      <c r="AF252" s="32" t="inlineStr"/>
    </row>
    <row r="253">
      <c r="A253" s="32">
        <f>IF(AND(Sales_Daily!$AV24=1,N(Sales_Daily!$M24)&gt;0),1,0)</f>
        <v/>
      </c>
      <c r="B253" s="32">
        <f>IF($A253=1,$E253&amp;"/2","")</f>
        <v/>
      </c>
      <c r="C253" s="32">
        <f>IF($A253=1,"J-"&amp;Sales_Daily!$A24,"")</f>
        <v/>
      </c>
      <c r="D253" s="33">
        <f>IF($A253=1,Sales_Daily!$B24,"")</f>
        <v/>
      </c>
      <c r="E253" s="32">
        <f>IF($A253=1,IF(Sales_Daily!$A24="","",Sales_Daily!$A24),"")</f>
        <v/>
      </c>
      <c r="F253" s="32">
        <f>IF($A253=1,"SAL","")</f>
        <v/>
      </c>
      <c r="G253" s="32">
        <f>IF($A253=1,IF(Sales_Daily!$AL24="","",Sales_Daily!$AL24),"")</f>
        <v/>
      </c>
      <c r="H253" s="32">
        <f>IF($A253=1,IF(COUNTIF(COA!$A:$A,$G253)=0,"حساب غير معرف",INDEX(COA!$B:$B,MATCH($G253,COA!$A:$A,0))),"")</f>
        <v/>
      </c>
      <c r="I253" s="32">
        <f>IF($A253=1,IF(Sales_Daily!$C24="","",Sales_Daily!$C24),"")</f>
        <v/>
      </c>
      <c r="J253" s="32">
        <f>IF($A253=1,"CC10","")</f>
        <v/>
      </c>
      <c r="K253" s="32">
        <f>IF($A253=1,"-","")</f>
        <v/>
      </c>
      <c r="L253" s="32">
        <f>IF($A253=1,"مبيعات - تحصيل CARD","")</f>
        <v/>
      </c>
      <c r="M253" s="43">
        <f>IF($A253=1,Sales_Daily!$M24,"")</f>
        <v/>
      </c>
      <c r="N253" s="43">
        <f>IF($A253=1,0,"")</f>
        <v/>
      </c>
      <c r="O253" s="32">
        <f>IF($A253=1,Sales_Daily!$S24,"")</f>
        <v/>
      </c>
      <c r="P253" s="32">
        <f>IF($A253=1,IF(Sales_Daily!$AW24="","",Sales_Daily!$AW24),"")</f>
        <v/>
      </c>
      <c r="Q253" s="32">
        <f>IF($A253=1,Sales_Daily!$AY24,"")</f>
        <v/>
      </c>
      <c r="R253" s="32">
        <f>IF($A253=1,IF(AND($Q253=1,COUNTIFS(COA!$A:$A,$G253,COA!$R:$R,1)=1),1,0),"")</f>
        <v/>
      </c>
      <c r="S253" s="43">
        <f>IF($A253=1,IF($R253=1,N($M253),0),"")</f>
        <v/>
      </c>
      <c r="T253" s="43">
        <f>IF($A253=1,IF($R253=1,N($N253),0),"")</f>
        <v/>
      </c>
      <c r="U253" s="32">
        <f>IF($A253=1,YEAR($D253)*100+MONTH($D253),"")</f>
        <v/>
      </c>
      <c r="V253" s="32">
        <f>IF($A253=1,IF(COUNTIF(COA!$A:$A,$G253)=0,0,INDEX(COA!$H:$H,MATCH($G253,COA!$A:$A,0))),"")</f>
        <v/>
      </c>
      <c r="W253" s="32">
        <f>IF($A253=1,"OPERATING","")</f>
        <v/>
      </c>
      <c r="X253" s="32">
        <f>IF($A253=1,IF($R253=1,"",IF($O253=ST_POST,IF($P253&lt;&gt;"",$P253,"حساب غير صالح أو غير نشط"),IF($O253=ST_REV,"معكوس: لا أثر على الدفاتر",IF($O253=ST_CANC,"ملغى",IF($O253=ST_APPR,"معتمد ولم يُرحَّل","مسودة"))))),"")</f>
        <v/>
      </c>
      <c r="Y253" s="32">
        <f>IF($A253=1,IF(AND($R253=1,OR(LG_Acct="",$G253=LG_Acct),OR(LG_Party="",$K253=LG_Party),OR(LG_Loc="ALL",$I253=LG_Loc),OR(LG_CC="ALL",$J253=LG_CC),$D253&gt;=LG_From,$D253&lt;=LG_To),$D253+ROW()/1000000,""),"")</f>
        <v/>
      </c>
      <c r="Z253" s="32">
        <f>IF($A253=1,IF(Sales_Daily!$T24="","",Sales_Daily!$T24),"")</f>
        <v/>
      </c>
      <c r="AA253" s="32">
        <f>IF($A253=1,IF(Sales_Daily!$U24="","",Sales_Daily!$U24),"")</f>
        <v/>
      </c>
      <c r="AB253" s="32">
        <f>IF($A253=1,IF(Sales_Daily!$V24="","",Sales_Daily!$V24),"")</f>
        <v/>
      </c>
      <c r="AC253" s="32">
        <f>IF($A253=1,IF(Sales_Daily!$W24="","",Sales_Daily!$W24),"")</f>
        <v/>
      </c>
      <c r="AD253" s="32">
        <f>IF($A253=1,IF(Sales_Daily!$X24="","",Sales_Daily!$X24),"")</f>
        <v/>
      </c>
      <c r="AE253" s="32">
        <f>IF($A253=1,0,"")</f>
        <v/>
      </c>
      <c r="AF253" s="32" t="inlineStr"/>
    </row>
    <row r="254">
      <c r="A254" s="32">
        <f>IF(AND(Sales_Daily!$AV24=1,N(Sales_Daily!$N24)&gt;0),1,0)</f>
        <v/>
      </c>
      <c r="B254" s="32">
        <f>IF($A254=1,$E254&amp;"/3","")</f>
        <v/>
      </c>
      <c r="C254" s="32">
        <f>IF($A254=1,"J-"&amp;Sales_Daily!$A24,"")</f>
        <v/>
      </c>
      <c r="D254" s="33">
        <f>IF($A254=1,Sales_Daily!$B24,"")</f>
        <v/>
      </c>
      <c r="E254" s="32">
        <f>IF($A254=1,IF(Sales_Daily!$A24="","",Sales_Daily!$A24),"")</f>
        <v/>
      </c>
      <c r="F254" s="32">
        <f>IF($A254=1,"SAL","")</f>
        <v/>
      </c>
      <c r="G254" s="32">
        <f>IF($A254=1,IF(Sales_Daily!$AM24="","",Sales_Daily!$AM24),"")</f>
        <v/>
      </c>
      <c r="H254" s="32">
        <f>IF($A254=1,IF(COUNTIF(COA!$A:$A,$G254)=0,"حساب غير معرف",INDEX(COA!$B:$B,MATCH($G254,COA!$A:$A,0))),"")</f>
        <v/>
      </c>
      <c r="I254" s="32">
        <f>IF($A254=1,IF(Sales_Daily!$C24="","",Sales_Daily!$C24),"")</f>
        <v/>
      </c>
      <c r="J254" s="32">
        <f>IF($A254=1,"CC10","")</f>
        <v/>
      </c>
      <c r="K254" s="32">
        <f>IF($A254=1,"-","")</f>
        <v/>
      </c>
      <c r="L254" s="32">
        <f>IF($A254=1,"مبيعات - تحصيل TLB","")</f>
        <v/>
      </c>
      <c r="M254" s="43">
        <f>IF($A254=1,Sales_Daily!$N24,"")</f>
        <v/>
      </c>
      <c r="N254" s="43">
        <f>IF($A254=1,0,"")</f>
        <v/>
      </c>
      <c r="O254" s="32">
        <f>IF($A254=1,Sales_Daily!$S24,"")</f>
        <v/>
      </c>
      <c r="P254" s="32">
        <f>IF($A254=1,IF(Sales_Daily!$AW24="","",Sales_Daily!$AW24),"")</f>
        <v/>
      </c>
      <c r="Q254" s="32">
        <f>IF($A254=1,Sales_Daily!$AY24,"")</f>
        <v/>
      </c>
      <c r="R254" s="32">
        <f>IF($A254=1,IF(AND($Q254=1,COUNTIFS(COA!$A:$A,$G254,COA!$R:$R,1)=1),1,0),"")</f>
        <v/>
      </c>
      <c r="S254" s="43">
        <f>IF($A254=1,IF($R254=1,N($M254),0),"")</f>
        <v/>
      </c>
      <c r="T254" s="43">
        <f>IF($A254=1,IF($R254=1,N($N254),0),"")</f>
        <v/>
      </c>
      <c r="U254" s="32">
        <f>IF($A254=1,YEAR($D254)*100+MONTH($D254),"")</f>
        <v/>
      </c>
      <c r="V254" s="32">
        <f>IF($A254=1,IF(COUNTIF(COA!$A:$A,$G254)=0,0,INDEX(COA!$H:$H,MATCH($G254,COA!$A:$A,0))),"")</f>
        <v/>
      </c>
      <c r="W254" s="32">
        <f>IF($A254=1,"OPERATING","")</f>
        <v/>
      </c>
      <c r="X254" s="32">
        <f>IF($A254=1,IF($R254=1,"",IF($O254=ST_POST,IF($P254&lt;&gt;"",$P254,"حساب غير صالح أو غير نشط"),IF($O254=ST_REV,"معكوس: لا أثر على الدفاتر",IF($O254=ST_CANC,"ملغى",IF($O254=ST_APPR,"معتمد ولم يُرحَّل","مسودة"))))),"")</f>
        <v/>
      </c>
      <c r="Y254" s="32">
        <f>IF($A254=1,IF(AND($R254=1,OR(LG_Acct="",$G254=LG_Acct),OR(LG_Party="",$K254=LG_Party),OR(LG_Loc="ALL",$I254=LG_Loc),OR(LG_CC="ALL",$J254=LG_CC),$D254&gt;=LG_From,$D254&lt;=LG_To),$D254+ROW()/1000000,""),"")</f>
        <v/>
      </c>
      <c r="Z254" s="32">
        <f>IF($A254=1,IF(Sales_Daily!$T24="","",Sales_Daily!$T24),"")</f>
        <v/>
      </c>
      <c r="AA254" s="32">
        <f>IF($A254=1,IF(Sales_Daily!$U24="","",Sales_Daily!$U24),"")</f>
        <v/>
      </c>
      <c r="AB254" s="32">
        <f>IF($A254=1,IF(Sales_Daily!$V24="","",Sales_Daily!$V24),"")</f>
        <v/>
      </c>
      <c r="AC254" s="32">
        <f>IF($A254=1,IF(Sales_Daily!$W24="","",Sales_Daily!$W24),"")</f>
        <v/>
      </c>
      <c r="AD254" s="32">
        <f>IF($A254=1,IF(Sales_Daily!$X24="","",Sales_Daily!$X24),"")</f>
        <v/>
      </c>
      <c r="AE254" s="32">
        <f>IF($A254=1,0,"")</f>
        <v/>
      </c>
      <c r="AF254" s="32" t="inlineStr"/>
    </row>
    <row r="255">
      <c r="A255" s="32">
        <f>IF(AND(Sales_Daily!$AV24=1,N(Sales_Daily!$O24)&gt;0),1,0)</f>
        <v/>
      </c>
      <c r="B255" s="32">
        <f>IF($A255=1,$E255&amp;"/4","")</f>
        <v/>
      </c>
      <c r="C255" s="32">
        <f>IF($A255=1,"J-"&amp;Sales_Daily!$A24,"")</f>
        <v/>
      </c>
      <c r="D255" s="33">
        <f>IF($A255=1,Sales_Daily!$B24,"")</f>
        <v/>
      </c>
      <c r="E255" s="32">
        <f>IF($A255=1,IF(Sales_Daily!$A24="","",Sales_Daily!$A24),"")</f>
        <v/>
      </c>
      <c r="F255" s="32">
        <f>IF($A255=1,"SAL","")</f>
        <v/>
      </c>
      <c r="G255" s="32">
        <f>IF($A255=1,IF(Sales_Daily!$AN24="","",Sales_Daily!$AN24),"")</f>
        <v/>
      </c>
      <c r="H255" s="32">
        <f>IF($A255=1,IF(COUNTIF(COA!$A:$A,$G255)=0,"حساب غير معرف",INDEX(COA!$B:$B,MATCH($G255,COA!$A:$A,0))),"")</f>
        <v/>
      </c>
      <c r="I255" s="32">
        <f>IF($A255=1,IF(Sales_Daily!$C24="","",Sales_Daily!$C24),"")</f>
        <v/>
      </c>
      <c r="J255" s="32">
        <f>IF($A255=1,"CC10","")</f>
        <v/>
      </c>
      <c r="K255" s="32">
        <f>IF($A255=1,"-","")</f>
        <v/>
      </c>
      <c r="L255" s="32">
        <f>IF($A255=1,"مبيعات - تحصيل DLV2","")</f>
        <v/>
      </c>
      <c r="M255" s="43">
        <f>IF($A255=1,Sales_Daily!$O24,"")</f>
        <v/>
      </c>
      <c r="N255" s="43">
        <f>IF($A255=1,0,"")</f>
        <v/>
      </c>
      <c r="O255" s="32">
        <f>IF($A255=1,Sales_Daily!$S24,"")</f>
        <v/>
      </c>
      <c r="P255" s="32">
        <f>IF($A255=1,IF(Sales_Daily!$AW24="","",Sales_Daily!$AW24),"")</f>
        <v/>
      </c>
      <c r="Q255" s="32">
        <f>IF($A255=1,Sales_Daily!$AY24,"")</f>
        <v/>
      </c>
      <c r="R255" s="32">
        <f>IF($A255=1,IF(AND($Q255=1,COUNTIFS(COA!$A:$A,$G255,COA!$R:$R,1)=1),1,0),"")</f>
        <v/>
      </c>
      <c r="S255" s="43">
        <f>IF($A255=1,IF($R255=1,N($M255),0),"")</f>
        <v/>
      </c>
      <c r="T255" s="43">
        <f>IF($A255=1,IF($R255=1,N($N255),0),"")</f>
        <v/>
      </c>
      <c r="U255" s="32">
        <f>IF($A255=1,YEAR($D255)*100+MONTH($D255),"")</f>
        <v/>
      </c>
      <c r="V255" s="32">
        <f>IF($A255=1,IF(COUNTIF(COA!$A:$A,$G255)=0,0,INDEX(COA!$H:$H,MATCH($G255,COA!$A:$A,0))),"")</f>
        <v/>
      </c>
      <c r="W255" s="32">
        <f>IF($A255=1,"OPERATING","")</f>
        <v/>
      </c>
      <c r="X255" s="32">
        <f>IF($A255=1,IF($R255=1,"",IF($O255=ST_POST,IF($P255&lt;&gt;"",$P255,"حساب غير صالح أو غير نشط"),IF($O255=ST_REV,"معكوس: لا أثر على الدفاتر",IF($O255=ST_CANC,"ملغى",IF($O255=ST_APPR,"معتمد ولم يُرحَّل","مسودة"))))),"")</f>
        <v/>
      </c>
      <c r="Y255" s="32">
        <f>IF($A255=1,IF(AND($R255=1,OR(LG_Acct="",$G255=LG_Acct),OR(LG_Party="",$K255=LG_Party),OR(LG_Loc="ALL",$I255=LG_Loc),OR(LG_CC="ALL",$J255=LG_CC),$D255&gt;=LG_From,$D255&lt;=LG_To),$D255+ROW()/1000000,""),"")</f>
        <v/>
      </c>
      <c r="Z255" s="32">
        <f>IF($A255=1,IF(Sales_Daily!$T24="","",Sales_Daily!$T24),"")</f>
        <v/>
      </c>
      <c r="AA255" s="32">
        <f>IF($A255=1,IF(Sales_Daily!$U24="","",Sales_Daily!$U24),"")</f>
        <v/>
      </c>
      <c r="AB255" s="32">
        <f>IF($A255=1,IF(Sales_Daily!$V24="","",Sales_Daily!$V24),"")</f>
        <v/>
      </c>
      <c r="AC255" s="32">
        <f>IF($A255=1,IF(Sales_Daily!$W24="","",Sales_Daily!$W24),"")</f>
        <v/>
      </c>
      <c r="AD255" s="32">
        <f>IF($A255=1,IF(Sales_Daily!$X24="","",Sales_Daily!$X24),"")</f>
        <v/>
      </c>
      <c r="AE255" s="32">
        <f>IF($A255=1,0,"")</f>
        <v/>
      </c>
      <c r="AF255" s="32" t="inlineStr"/>
    </row>
    <row r="256">
      <c r="A256" s="32">
        <f>IF(AND(Sales_Daily!$AV24=1,N(Sales_Daily!$P24)&gt;0),1,0)</f>
        <v/>
      </c>
      <c r="B256" s="32">
        <f>IF($A256=1,$E256&amp;"/5","")</f>
        <v/>
      </c>
      <c r="C256" s="32">
        <f>IF($A256=1,"J-"&amp;Sales_Daily!$A24,"")</f>
        <v/>
      </c>
      <c r="D256" s="33">
        <f>IF($A256=1,Sales_Daily!$B24,"")</f>
        <v/>
      </c>
      <c r="E256" s="32">
        <f>IF($A256=1,IF(Sales_Daily!$A24="","",Sales_Daily!$A24),"")</f>
        <v/>
      </c>
      <c r="F256" s="32">
        <f>IF($A256=1,"SAL","")</f>
        <v/>
      </c>
      <c r="G256" s="32">
        <f>IF($A256=1,IF(Sales_Daily!$AO24="","",Sales_Daily!$AO24),"")</f>
        <v/>
      </c>
      <c r="H256" s="32">
        <f>IF($A256=1,IF(COUNTIF(COA!$A:$A,$G256)=0,"حساب غير معرف",INDEX(COA!$B:$B,MATCH($G256,COA!$A:$A,0))),"")</f>
        <v/>
      </c>
      <c r="I256" s="32">
        <f>IF($A256=1,IF(Sales_Daily!$C24="","",Sales_Daily!$C24),"")</f>
        <v/>
      </c>
      <c r="J256" s="32">
        <f>IF($A256=1,"CC10","")</f>
        <v/>
      </c>
      <c r="K256" s="32">
        <f>IF($A256=1,"-","")</f>
        <v/>
      </c>
      <c r="L256" s="32">
        <f>IF($A256=1,"مبيعات - تحصيل INSTA","")</f>
        <v/>
      </c>
      <c r="M256" s="43">
        <f>IF($A256=1,Sales_Daily!$P24,"")</f>
        <v/>
      </c>
      <c r="N256" s="43">
        <f>IF($A256=1,0,"")</f>
        <v/>
      </c>
      <c r="O256" s="32">
        <f>IF($A256=1,Sales_Daily!$S24,"")</f>
        <v/>
      </c>
      <c r="P256" s="32">
        <f>IF($A256=1,IF(Sales_Daily!$AW24="","",Sales_Daily!$AW24),"")</f>
        <v/>
      </c>
      <c r="Q256" s="32">
        <f>IF($A256=1,Sales_Daily!$AY24,"")</f>
        <v/>
      </c>
      <c r="R256" s="32">
        <f>IF($A256=1,IF(AND($Q256=1,COUNTIFS(COA!$A:$A,$G256,COA!$R:$R,1)=1),1,0),"")</f>
        <v/>
      </c>
      <c r="S256" s="43">
        <f>IF($A256=1,IF($R256=1,N($M256),0),"")</f>
        <v/>
      </c>
      <c r="T256" s="43">
        <f>IF($A256=1,IF($R256=1,N($N256),0),"")</f>
        <v/>
      </c>
      <c r="U256" s="32">
        <f>IF($A256=1,YEAR($D256)*100+MONTH($D256),"")</f>
        <v/>
      </c>
      <c r="V256" s="32">
        <f>IF($A256=1,IF(COUNTIF(COA!$A:$A,$G256)=0,0,INDEX(COA!$H:$H,MATCH($G256,COA!$A:$A,0))),"")</f>
        <v/>
      </c>
      <c r="W256" s="32">
        <f>IF($A256=1,"OPERATING","")</f>
        <v/>
      </c>
      <c r="X256" s="32">
        <f>IF($A256=1,IF($R256=1,"",IF($O256=ST_POST,IF($P256&lt;&gt;"",$P256,"حساب غير صالح أو غير نشط"),IF($O256=ST_REV,"معكوس: لا أثر على الدفاتر",IF($O256=ST_CANC,"ملغى",IF($O256=ST_APPR,"معتمد ولم يُرحَّل","مسودة"))))),"")</f>
        <v/>
      </c>
      <c r="Y256" s="32">
        <f>IF($A256=1,IF(AND($R256=1,OR(LG_Acct="",$G256=LG_Acct),OR(LG_Party="",$K256=LG_Party),OR(LG_Loc="ALL",$I256=LG_Loc),OR(LG_CC="ALL",$J256=LG_CC),$D256&gt;=LG_From,$D256&lt;=LG_To),$D256+ROW()/1000000,""),"")</f>
        <v/>
      </c>
      <c r="Z256" s="32">
        <f>IF($A256=1,IF(Sales_Daily!$T24="","",Sales_Daily!$T24),"")</f>
        <v/>
      </c>
      <c r="AA256" s="32">
        <f>IF($A256=1,IF(Sales_Daily!$U24="","",Sales_Daily!$U24),"")</f>
        <v/>
      </c>
      <c r="AB256" s="32">
        <f>IF($A256=1,IF(Sales_Daily!$V24="","",Sales_Daily!$V24),"")</f>
        <v/>
      </c>
      <c r="AC256" s="32">
        <f>IF($A256=1,IF(Sales_Daily!$W24="","",Sales_Daily!$W24),"")</f>
        <v/>
      </c>
      <c r="AD256" s="32">
        <f>IF($A256=1,IF(Sales_Daily!$X24="","",Sales_Daily!$X24),"")</f>
        <v/>
      </c>
      <c r="AE256" s="32">
        <f>IF($A256=1,0,"")</f>
        <v/>
      </c>
      <c r="AF256" s="32" t="inlineStr"/>
    </row>
    <row r="257">
      <c r="A257" s="32">
        <f>IF(AND(Sales_Daily!$AV24=1,N(Sales_Daily!$Q24)&gt;0),1,0)</f>
        <v/>
      </c>
      <c r="B257" s="32">
        <f>IF($A257=1,$E257&amp;"/6","")</f>
        <v/>
      </c>
      <c r="C257" s="32">
        <f>IF($A257=1,"J-"&amp;Sales_Daily!$A24,"")</f>
        <v/>
      </c>
      <c r="D257" s="33">
        <f>IF($A257=1,Sales_Daily!$B24,"")</f>
        <v/>
      </c>
      <c r="E257" s="32">
        <f>IF($A257=1,IF(Sales_Daily!$A24="","",Sales_Daily!$A24),"")</f>
        <v/>
      </c>
      <c r="F257" s="32">
        <f>IF($A257=1,"SAL","")</f>
        <v/>
      </c>
      <c r="G257" s="32">
        <f>IF($A257=1,IF(Sales_Daily!$AP24="","",Sales_Daily!$AP24),"")</f>
        <v/>
      </c>
      <c r="H257" s="32">
        <f>IF($A257=1,IF(COUNTIF(COA!$A:$A,$G257)=0,"حساب غير معرف",INDEX(COA!$B:$B,MATCH($G257,COA!$A:$A,0))),"")</f>
        <v/>
      </c>
      <c r="I257" s="32">
        <f>IF($A257=1,IF(Sales_Daily!$C24="","",Sales_Daily!$C24),"")</f>
        <v/>
      </c>
      <c r="J257" s="32">
        <f>IF($A257=1,"CC10","")</f>
        <v/>
      </c>
      <c r="K257" s="32">
        <f>IF($A257=1,"-","")</f>
        <v/>
      </c>
      <c r="L257" s="32">
        <f>IF($A257=1,"مبيعات - تحصيل OTH","")</f>
        <v/>
      </c>
      <c r="M257" s="43">
        <f>IF($A257=1,Sales_Daily!$Q24,"")</f>
        <v/>
      </c>
      <c r="N257" s="43">
        <f>IF($A257=1,0,"")</f>
        <v/>
      </c>
      <c r="O257" s="32">
        <f>IF($A257=1,Sales_Daily!$S24,"")</f>
        <v/>
      </c>
      <c r="P257" s="32">
        <f>IF($A257=1,IF(Sales_Daily!$AW24="","",Sales_Daily!$AW24),"")</f>
        <v/>
      </c>
      <c r="Q257" s="32">
        <f>IF($A257=1,Sales_Daily!$AY24,"")</f>
        <v/>
      </c>
      <c r="R257" s="32">
        <f>IF($A257=1,IF(AND($Q257=1,COUNTIFS(COA!$A:$A,$G257,COA!$R:$R,1)=1),1,0),"")</f>
        <v/>
      </c>
      <c r="S257" s="43">
        <f>IF($A257=1,IF($R257=1,N($M257),0),"")</f>
        <v/>
      </c>
      <c r="T257" s="43">
        <f>IF($A257=1,IF($R257=1,N($N257),0),"")</f>
        <v/>
      </c>
      <c r="U257" s="32">
        <f>IF($A257=1,YEAR($D257)*100+MONTH($D257),"")</f>
        <v/>
      </c>
      <c r="V257" s="32">
        <f>IF($A257=1,IF(COUNTIF(COA!$A:$A,$G257)=0,0,INDEX(COA!$H:$H,MATCH($G257,COA!$A:$A,0))),"")</f>
        <v/>
      </c>
      <c r="W257" s="32">
        <f>IF($A257=1,"OPERATING","")</f>
        <v/>
      </c>
      <c r="X257" s="32">
        <f>IF($A257=1,IF($R257=1,"",IF($O257=ST_POST,IF($P257&lt;&gt;"",$P257,"حساب غير صالح أو غير نشط"),IF($O257=ST_REV,"معكوس: لا أثر على الدفاتر",IF($O257=ST_CANC,"ملغى",IF($O257=ST_APPR,"معتمد ولم يُرحَّل","مسودة"))))),"")</f>
        <v/>
      </c>
      <c r="Y257" s="32">
        <f>IF($A257=1,IF(AND($R257=1,OR(LG_Acct="",$G257=LG_Acct),OR(LG_Party="",$K257=LG_Party),OR(LG_Loc="ALL",$I257=LG_Loc),OR(LG_CC="ALL",$J257=LG_CC),$D257&gt;=LG_From,$D257&lt;=LG_To),$D257+ROW()/1000000,""),"")</f>
        <v/>
      </c>
      <c r="Z257" s="32">
        <f>IF($A257=1,IF(Sales_Daily!$T24="","",Sales_Daily!$T24),"")</f>
        <v/>
      </c>
      <c r="AA257" s="32">
        <f>IF($A257=1,IF(Sales_Daily!$U24="","",Sales_Daily!$U24),"")</f>
        <v/>
      </c>
      <c r="AB257" s="32">
        <f>IF($A257=1,IF(Sales_Daily!$V24="","",Sales_Daily!$V24),"")</f>
        <v/>
      </c>
      <c r="AC257" s="32">
        <f>IF($A257=1,IF(Sales_Daily!$W24="","",Sales_Daily!$W24),"")</f>
        <v/>
      </c>
      <c r="AD257" s="32">
        <f>IF($A257=1,IF(Sales_Daily!$X24="","",Sales_Daily!$X24),"")</f>
        <v/>
      </c>
      <c r="AE257" s="32">
        <f>IF($A257=1,0,"")</f>
        <v/>
      </c>
      <c r="AF257" s="32" t="inlineStr"/>
    </row>
    <row r="258">
      <c r="A258" s="32">
        <f>IF(AND(Sales_Daily!$AV24=1,N(Sales_Daily!$AH24)&gt;0),1,0)</f>
        <v/>
      </c>
      <c r="B258" s="32">
        <f>IF($A258=1,$E258&amp;"/7","")</f>
        <v/>
      </c>
      <c r="C258" s="32">
        <f>IF($A258=1,"J-"&amp;Sales_Daily!$A24,"")</f>
        <v/>
      </c>
      <c r="D258" s="33">
        <f>IF($A258=1,Sales_Daily!$B24,"")</f>
        <v/>
      </c>
      <c r="E258" s="32">
        <f>IF($A258=1,IF(Sales_Daily!$A24="","",Sales_Daily!$A24),"")</f>
        <v/>
      </c>
      <c r="F258" s="32">
        <f>IF($A258=1,"SAL","")</f>
        <v/>
      </c>
      <c r="G258" s="32">
        <f>IF($A258=1,ACC_DISC,"")</f>
        <v/>
      </c>
      <c r="H258" s="32">
        <f>IF($A258=1,IF(COUNTIF(COA!$A:$A,$G258)=0,"حساب غير معرف",INDEX(COA!$B:$B,MATCH($G258,COA!$A:$A,0))),"")</f>
        <v/>
      </c>
      <c r="I258" s="32">
        <f>IF($A258=1,IF(Sales_Daily!$C24="","",Sales_Daily!$C24),"")</f>
        <v/>
      </c>
      <c r="J258" s="32">
        <f>IF($A258=1,"CC10","")</f>
        <v/>
      </c>
      <c r="K258" s="32">
        <f>IF($A258=1,"-","")</f>
        <v/>
      </c>
      <c r="L258" s="32">
        <f>IF($A258=1,"خصومات المبيعات والعروض","")</f>
        <v/>
      </c>
      <c r="M258" s="43">
        <f>IF($A258=1,Sales_Daily!$AH24,"")</f>
        <v/>
      </c>
      <c r="N258" s="43">
        <f>IF($A258=1,0,"")</f>
        <v/>
      </c>
      <c r="O258" s="32">
        <f>IF($A258=1,Sales_Daily!$S24,"")</f>
        <v/>
      </c>
      <c r="P258" s="32">
        <f>IF($A258=1,IF(Sales_Daily!$AW24="","",Sales_Daily!$AW24),"")</f>
        <v/>
      </c>
      <c r="Q258" s="32">
        <f>IF($A258=1,Sales_Daily!$AY24,"")</f>
        <v/>
      </c>
      <c r="R258" s="32">
        <f>IF($A258=1,IF(AND($Q258=1,COUNTIFS(COA!$A:$A,$G258,COA!$R:$R,1)=1),1,0),"")</f>
        <v/>
      </c>
      <c r="S258" s="43">
        <f>IF($A258=1,IF($R258=1,N($M258),0),"")</f>
        <v/>
      </c>
      <c r="T258" s="43">
        <f>IF($A258=1,IF($R258=1,N($N258),0),"")</f>
        <v/>
      </c>
      <c r="U258" s="32">
        <f>IF($A258=1,YEAR($D258)*100+MONTH($D258),"")</f>
        <v/>
      </c>
      <c r="V258" s="32">
        <f>IF($A258=1,IF(COUNTIF(COA!$A:$A,$G258)=0,0,INDEX(COA!$H:$H,MATCH($G258,COA!$A:$A,0))),"")</f>
        <v/>
      </c>
      <c r="W258" s="32">
        <f>IF($A258=1,"","")</f>
        <v/>
      </c>
      <c r="X258" s="32">
        <f>IF($A258=1,IF($R258=1,"",IF($O258=ST_POST,IF($P258&lt;&gt;"",$P258,"حساب غير صالح أو غير نشط"),IF($O258=ST_REV,"معكوس: لا أثر على الدفاتر",IF($O258=ST_CANC,"ملغى",IF($O258=ST_APPR,"معتمد ولم يُرحَّل","مسودة"))))),"")</f>
        <v/>
      </c>
      <c r="Y258" s="32">
        <f>IF($A258=1,IF(AND($R258=1,OR(LG_Acct="",$G258=LG_Acct),OR(LG_Party="",$K258=LG_Party),OR(LG_Loc="ALL",$I258=LG_Loc),OR(LG_CC="ALL",$J258=LG_CC),$D258&gt;=LG_From,$D258&lt;=LG_To),$D258+ROW()/1000000,""),"")</f>
        <v/>
      </c>
      <c r="Z258" s="32">
        <f>IF($A258=1,IF(Sales_Daily!$T24="","",Sales_Daily!$T24),"")</f>
        <v/>
      </c>
      <c r="AA258" s="32">
        <f>IF($A258=1,IF(Sales_Daily!$U24="","",Sales_Daily!$U24),"")</f>
        <v/>
      </c>
      <c r="AB258" s="32">
        <f>IF($A258=1,IF(Sales_Daily!$V24="","",Sales_Daily!$V24),"")</f>
        <v/>
      </c>
      <c r="AC258" s="32">
        <f>IF($A258=1,IF(Sales_Daily!$W24="","",Sales_Daily!$W24),"")</f>
        <v/>
      </c>
      <c r="AD258" s="32">
        <f>IF($A258=1,IF(Sales_Daily!$X24="","",Sales_Daily!$X24),"")</f>
        <v/>
      </c>
      <c r="AE258" s="32">
        <f>IF($A258=1,0,"")</f>
        <v/>
      </c>
      <c r="AF258" s="32" t="inlineStr"/>
    </row>
    <row r="259">
      <c r="A259" s="32">
        <f>IF(AND(Sales_Daily!$AV24=1,N(Sales_Daily!$AI24)&gt;0),1,0)</f>
        <v/>
      </c>
      <c r="B259" s="32">
        <f>IF($A259=1,$E259&amp;"/8","")</f>
        <v/>
      </c>
      <c r="C259" s="32">
        <f>IF($A259=1,"J-"&amp;Sales_Daily!$A24,"")</f>
        <v/>
      </c>
      <c r="D259" s="33">
        <f>IF($A259=1,Sales_Daily!$B24,"")</f>
        <v/>
      </c>
      <c r="E259" s="32">
        <f>IF($A259=1,IF(Sales_Daily!$A24="","",Sales_Daily!$A24),"")</f>
        <v/>
      </c>
      <c r="F259" s="32">
        <f>IF($A259=1,"SAL","")</f>
        <v/>
      </c>
      <c r="G259" s="32">
        <f>IF($A259=1,ACC_RET,"")</f>
        <v/>
      </c>
      <c r="H259" s="32">
        <f>IF($A259=1,IF(COUNTIF(COA!$A:$A,$G259)=0,"حساب غير معرف",INDEX(COA!$B:$B,MATCH($G259,COA!$A:$A,0))),"")</f>
        <v/>
      </c>
      <c r="I259" s="32">
        <f>IF($A259=1,IF(Sales_Daily!$C24="","",Sales_Daily!$C24),"")</f>
        <v/>
      </c>
      <c r="J259" s="32">
        <f>IF($A259=1,"CC10","")</f>
        <v/>
      </c>
      <c r="K259" s="32">
        <f>IF($A259=1,"-","")</f>
        <v/>
      </c>
      <c r="L259" s="32">
        <f>IF($A259=1,"مرتجعات وإلغاءات المبيعات","")</f>
        <v/>
      </c>
      <c r="M259" s="43">
        <f>IF($A259=1,Sales_Daily!$AI24,"")</f>
        <v/>
      </c>
      <c r="N259" s="43">
        <f>IF($A259=1,0,"")</f>
        <v/>
      </c>
      <c r="O259" s="32">
        <f>IF($A259=1,Sales_Daily!$S24,"")</f>
        <v/>
      </c>
      <c r="P259" s="32">
        <f>IF($A259=1,IF(Sales_Daily!$AW24="","",Sales_Daily!$AW24),"")</f>
        <v/>
      </c>
      <c r="Q259" s="32">
        <f>IF($A259=1,Sales_Daily!$AY24,"")</f>
        <v/>
      </c>
      <c r="R259" s="32">
        <f>IF($A259=1,IF(AND($Q259=1,COUNTIFS(COA!$A:$A,$G259,COA!$R:$R,1)=1),1,0),"")</f>
        <v/>
      </c>
      <c r="S259" s="43">
        <f>IF($A259=1,IF($R259=1,N($M259),0),"")</f>
        <v/>
      </c>
      <c r="T259" s="43">
        <f>IF($A259=1,IF($R259=1,N($N259),0),"")</f>
        <v/>
      </c>
      <c r="U259" s="32">
        <f>IF($A259=1,YEAR($D259)*100+MONTH($D259),"")</f>
        <v/>
      </c>
      <c r="V259" s="32">
        <f>IF($A259=1,IF(COUNTIF(COA!$A:$A,$G259)=0,0,INDEX(COA!$H:$H,MATCH($G259,COA!$A:$A,0))),"")</f>
        <v/>
      </c>
      <c r="W259" s="32">
        <f>IF($A259=1,"","")</f>
        <v/>
      </c>
      <c r="X259" s="32">
        <f>IF($A259=1,IF($R259=1,"",IF($O259=ST_POST,IF($P259&lt;&gt;"",$P259,"حساب غير صالح أو غير نشط"),IF($O259=ST_REV,"معكوس: لا أثر على الدفاتر",IF($O259=ST_CANC,"ملغى",IF($O259=ST_APPR,"معتمد ولم يُرحَّل","مسودة"))))),"")</f>
        <v/>
      </c>
      <c r="Y259" s="32">
        <f>IF($A259=1,IF(AND($R259=1,OR(LG_Acct="",$G259=LG_Acct),OR(LG_Party="",$K259=LG_Party),OR(LG_Loc="ALL",$I259=LG_Loc),OR(LG_CC="ALL",$J259=LG_CC),$D259&gt;=LG_From,$D259&lt;=LG_To),$D259+ROW()/1000000,""),"")</f>
        <v/>
      </c>
      <c r="Z259" s="32">
        <f>IF($A259=1,IF(Sales_Daily!$T24="","",Sales_Daily!$T24),"")</f>
        <v/>
      </c>
      <c r="AA259" s="32">
        <f>IF($A259=1,IF(Sales_Daily!$U24="","",Sales_Daily!$U24),"")</f>
        <v/>
      </c>
      <c r="AB259" s="32">
        <f>IF($A259=1,IF(Sales_Daily!$V24="","",Sales_Daily!$V24),"")</f>
        <v/>
      </c>
      <c r="AC259" s="32">
        <f>IF($A259=1,IF(Sales_Daily!$W24="","",Sales_Daily!$W24),"")</f>
        <v/>
      </c>
      <c r="AD259" s="32">
        <f>IF($A259=1,IF(Sales_Daily!$X24="","",Sales_Daily!$X24),"")</f>
        <v/>
      </c>
      <c r="AE259" s="32">
        <f>IF($A259=1,0,"")</f>
        <v/>
      </c>
      <c r="AF259" s="32" t="inlineStr"/>
    </row>
    <row r="260">
      <c r="A260" s="32">
        <f>IF(AND(Sales_Daily!$AV24=1,N(Sales_Daily!$AD24)&gt;0),1,0)</f>
        <v/>
      </c>
      <c r="B260" s="32">
        <f>IF($A260=1,$E260&amp;"/9","")</f>
        <v/>
      </c>
      <c r="C260" s="32">
        <f>IF($A260=1,"J-"&amp;Sales_Daily!$A24,"")</f>
        <v/>
      </c>
      <c r="D260" s="33">
        <f>IF($A260=1,Sales_Daily!$B24,"")</f>
        <v/>
      </c>
      <c r="E260" s="32">
        <f>IF($A260=1,IF(Sales_Daily!$A24="","",Sales_Daily!$A24),"")</f>
        <v/>
      </c>
      <c r="F260" s="32">
        <f>IF($A260=1,"SAL","")</f>
        <v/>
      </c>
      <c r="G260" s="32">
        <f>IF($A260=1,IF(Sales_Daily!$AQ24="","",Sales_Daily!$AQ24),"")</f>
        <v/>
      </c>
      <c r="H260" s="32">
        <f>IF($A260=1,IF(COUNTIF(COA!$A:$A,$G260)=0,"حساب غير معرف",INDEX(COA!$B:$B,MATCH($G260,COA!$A:$A,0))),"")</f>
        <v/>
      </c>
      <c r="I260" s="32">
        <f>IF($A260=1,IF(Sales_Daily!$C24="","",Sales_Daily!$C24),"")</f>
        <v/>
      </c>
      <c r="J260" s="32">
        <f>IF($A260=1,"CC10","")</f>
        <v/>
      </c>
      <c r="K260" s="32">
        <f>IF($A260=1,"-","")</f>
        <v/>
      </c>
      <c r="L260" s="32">
        <f>IF($A260=1,"إيراد مبيعات - فئة فطير","")</f>
        <v/>
      </c>
      <c r="M260" s="43">
        <f>IF($A260=1,0,"")</f>
        <v/>
      </c>
      <c r="N260" s="43">
        <f>IF($A260=1,Sales_Daily!$AD24,"")</f>
        <v/>
      </c>
      <c r="O260" s="32">
        <f>IF($A260=1,Sales_Daily!$S24,"")</f>
        <v/>
      </c>
      <c r="P260" s="32">
        <f>IF($A260=1,IF(Sales_Daily!$AW24="","",Sales_Daily!$AW24),"")</f>
        <v/>
      </c>
      <c r="Q260" s="32">
        <f>IF($A260=1,Sales_Daily!$AY24,"")</f>
        <v/>
      </c>
      <c r="R260" s="32">
        <f>IF($A260=1,IF(AND($Q260=1,COUNTIFS(COA!$A:$A,$G260,COA!$R:$R,1)=1),1,0),"")</f>
        <v/>
      </c>
      <c r="S260" s="43">
        <f>IF($A260=1,IF($R260=1,N($M260),0),"")</f>
        <v/>
      </c>
      <c r="T260" s="43">
        <f>IF($A260=1,IF($R260=1,N($N260),0),"")</f>
        <v/>
      </c>
      <c r="U260" s="32">
        <f>IF($A260=1,YEAR($D260)*100+MONTH($D260),"")</f>
        <v/>
      </c>
      <c r="V260" s="32">
        <f>IF($A260=1,IF(COUNTIF(COA!$A:$A,$G260)=0,0,INDEX(COA!$H:$H,MATCH($G260,COA!$A:$A,0))),"")</f>
        <v/>
      </c>
      <c r="W260" s="32">
        <f>IF($A260=1,"","")</f>
        <v/>
      </c>
      <c r="X260" s="32">
        <f>IF($A260=1,IF($R260=1,"",IF($O260=ST_POST,IF($P260&lt;&gt;"",$P260,"حساب غير صالح أو غير نشط"),IF($O260=ST_REV,"معكوس: لا أثر على الدفاتر",IF($O260=ST_CANC,"ملغى",IF($O260=ST_APPR,"معتمد ولم يُرحَّل","مسودة"))))),"")</f>
        <v/>
      </c>
      <c r="Y260" s="32">
        <f>IF($A260=1,IF(AND($R260=1,OR(LG_Acct="",$G260=LG_Acct),OR(LG_Party="",$K260=LG_Party),OR(LG_Loc="ALL",$I260=LG_Loc),OR(LG_CC="ALL",$J260=LG_CC),$D260&gt;=LG_From,$D260&lt;=LG_To),$D260+ROW()/1000000,""),"")</f>
        <v/>
      </c>
      <c r="Z260" s="32">
        <f>IF($A260=1,IF(Sales_Daily!$T24="","",Sales_Daily!$T24),"")</f>
        <v/>
      </c>
      <c r="AA260" s="32">
        <f>IF($A260=1,IF(Sales_Daily!$U24="","",Sales_Daily!$U24),"")</f>
        <v/>
      </c>
      <c r="AB260" s="32">
        <f>IF($A260=1,IF(Sales_Daily!$V24="","",Sales_Daily!$V24),"")</f>
        <v/>
      </c>
      <c r="AC260" s="32">
        <f>IF($A260=1,IF(Sales_Daily!$W24="","",Sales_Daily!$W24),"")</f>
        <v/>
      </c>
      <c r="AD260" s="32">
        <f>IF($A260=1,IF(Sales_Daily!$X24="","",Sales_Daily!$X24),"")</f>
        <v/>
      </c>
      <c r="AE260" s="32">
        <f>IF($A260=1,0,"")</f>
        <v/>
      </c>
      <c r="AF260" s="32" t="inlineStr"/>
    </row>
    <row r="261">
      <c r="A261" s="32">
        <f>IF(AND(Sales_Daily!$AV24=1,N(Sales_Daily!$AE24)&gt;0),1,0)</f>
        <v/>
      </c>
      <c r="B261" s="32">
        <f>IF($A261=1,$E261&amp;"/10","")</f>
        <v/>
      </c>
      <c r="C261" s="32">
        <f>IF($A261=1,"J-"&amp;Sales_Daily!$A24,"")</f>
        <v/>
      </c>
      <c r="D261" s="33">
        <f>IF($A261=1,Sales_Daily!$B24,"")</f>
        <v/>
      </c>
      <c r="E261" s="32">
        <f>IF($A261=1,IF(Sales_Daily!$A24="","",Sales_Daily!$A24),"")</f>
        <v/>
      </c>
      <c r="F261" s="32">
        <f>IF($A261=1,"SAL","")</f>
        <v/>
      </c>
      <c r="G261" s="32">
        <f>IF($A261=1,IF(Sales_Daily!$AR24="","",Sales_Daily!$AR24),"")</f>
        <v/>
      </c>
      <c r="H261" s="32">
        <f>IF($A261=1,IF(COUNTIF(COA!$A:$A,$G261)=0,"حساب غير معرف",INDEX(COA!$B:$B,MATCH($G261,COA!$A:$A,0))),"")</f>
        <v/>
      </c>
      <c r="I261" s="32">
        <f>IF($A261=1,IF(Sales_Daily!$C24="","",Sales_Daily!$C24),"")</f>
        <v/>
      </c>
      <c r="J261" s="32">
        <f>IF($A261=1,"CC10","")</f>
        <v/>
      </c>
      <c r="K261" s="32">
        <f>IF($A261=1,"-","")</f>
        <v/>
      </c>
      <c r="L261" s="32">
        <f>IF($A261=1,"إيراد مبيعات - فئة بيتزا","")</f>
        <v/>
      </c>
      <c r="M261" s="43">
        <f>IF($A261=1,0,"")</f>
        <v/>
      </c>
      <c r="N261" s="43">
        <f>IF($A261=1,Sales_Daily!$AE24,"")</f>
        <v/>
      </c>
      <c r="O261" s="32">
        <f>IF($A261=1,Sales_Daily!$S24,"")</f>
        <v/>
      </c>
      <c r="P261" s="32">
        <f>IF($A261=1,IF(Sales_Daily!$AW24="","",Sales_Daily!$AW24),"")</f>
        <v/>
      </c>
      <c r="Q261" s="32">
        <f>IF($A261=1,Sales_Daily!$AY24,"")</f>
        <v/>
      </c>
      <c r="R261" s="32">
        <f>IF($A261=1,IF(AND($Q261=1,COUNTIFS(COA!$A:$A,$G261,COA!$R:$R,1)=1),1,0),"")</f>
        <v/>
      </c>
      <c r="S261" s="43">
        <f>IF($A261=1,IF($R261=1,N($M261),0),"")</f>
        <v/>
      </c>
      <c r="T261" s="43">
        <f>IF($A261=1,IF($R261=1,N($N261),0),"")</f>
        <v/>
      </c>
      <c r="U261" s="32">
        <f>IF($A261=1,YEAR($D261)*100+MONTH($D261),"")</f>
        <v/>
      </c>
      <c r="V261" s="32">
        <f>IF($A261=1,IF(COUNTIF(COA!$A:$A,$G261)=0,0,INDEX(COA!$H:$H,MATCH($G261,COA!$A:$A,0))),"")</f>
        <v/>
      </c>
      <c r="W261" s="32">
        <f>IF($A261=1,"","")</f>
        <v/>
      </c>
      <c r="X261" s="32">
        <f>IF($A261=1,IF($R261=1,"",IF($O261=ST_POST,IF($P261&lt;&gt;"",$P261,"حساب غير صالح أو غير نشط"),IF($O261=ST_REV,"معكوس: لا أثر على الدفاتر",IF($O261=ST_CANC,"ملغى",IF($O261=ST_APPR,"معتمد ولم يُرحَّل","مسودة"))))),"")</f>
        <v/>
      </c>
      <c r="Y261" s="32">
        <f>IF($A261=1,IF(AND($R261=1,OR(LG_Acct="",$G261=LG_Acct),OR(LG_Party="",$K261=LG_Party),OR(LG_Loc="ALL",$I261=LG_Loc),OR(LG_CC="ALL",$J261=LG_CC),$D261&gt;=LG_From,$D261&lt;=LG_To),$D261+ROW()/1000000,""),"")</f>
        <v/>
      </c>
      <c r="Z261" s="32">
        <f>IF($A261=1,IF(Sales_Daily!$T24="","",Sales_Daily!$T24),"")</f>
        <v/>
      </c>
      <c r="AA261" s="32">
        <f>IF($A261=1,IF(Sales_Daily!$U24="","",Sales_Daily!$U24),"")</f>
        <v/>
      </c>
      <c r="AB261" s="32">
        <f>IF($A261=1,IF(Sales_Daily!$V24="","",Sales_Daily!$V24),"")</f>
        <v/>
      </c>
      <c r="AC261" s="32">
        <f>IF($A261=1,IF(Sales_Daily!$W24="","",Sales_Daily!$W24),"")</f>
        <v/>
      </c>
      <c r="AD261" s="32">
        <f>IF($A261=1,IF(Sales_Daily!$X24="","",Sales_Daily!$X24),"")</f>
        <v/>
      </c>
      <c r="AE261" s="32">
        <f>IF($A261=1,0,"")</f>
        <v/>
      </c>
      <c r="AF261" s="32" t="inlineStr"/>
    </row>
    <row r="262">
      <c r="A262" s="32">
        <f>IF(AND(Sales_Daily!$AV24=1,N(Sales_Daily!$AF24)&gt;0),1,0)</f>
        <v/>
      </c>
      <c r="B262" s="32">
        <f>IF($A262=1,$E262&amp;"/11","")</f>
        <v/>
      </c>
      <c r="C262" s="32">
        <f>IF($A262=1,"J-"&amp;Sales_Daily!$A24,"")</f>
        <v/>
      </c>
      <c r="D262" s="33">
        <f>IF($A262=1,Sales_Daily!$B24,"")</f>
        <v/>
      </c>
      <c r="E262" s="32">
        <f>IF($A262=1,IF(Sales_Daily!$A24="","",Sales_Daily!$A24),"")</f>
        <v/>
      </c>
      <c r="F262" s="32">
        <f>IF($A262=1,"SAL","")</f>
        <v/>
      </c>
      <c r="G262" s="32">
        <f>IF($A262=1,IF(Sales_Daily!$AS24="","",Sales_Daily!$AS24),"")</f>
        <v/>
      </c>
      <c r="H262" s="32">
        <f>IF($A262=1,IF(COUNTIF(COA!$A:$A,$G262)=0,"حساب غير معرف",INDEX(COA!$B:$B,MATCH($G262,COA!$A:$A,0))),"")</f>
        <v/>
      </c>
      <c r="I262" s="32">
        <f>IF($A262=1,IF(Sales_Daily!$C24="","",Sales_Daily!$C24),"")</f>
        <v/>
      </c>
      <c r="J262" s="32">
        <f>IF($A262=1,"CC10","")</f>
        <v/>
      </c>
      <c r="K262" s="32">
        <f>IF($A262=1,"-","")</f>
        <v/>
      </c>
      <c r="L262" s="32">
        <f>IF($A262=1,"إيراد مبيعات - فئة مكرونات","")</f>
        <v/>
      </c>
      <c r="M262" s="43">
        <f>IF($A262=1,0,"")</f>
        <v/>
      </c>
      <c r="N262" s="43">
        <f>IF($A262=1,Sales_Daily!$AF24,"")</f>
        <v/>
      </c>
      <c r="O262" s="32">
        <f>IF($A262=1,Sales_Daily!$S24,"")</f>
        <v/>
      </c>
      <c r="P262" s="32">
        <f>IF($A262=1,IF(Sales_Daily!$AW24="","",Sales_Daily!$AW24),"")</f>
        <v/>
      </c>
      <c r="Q262" s="32">
        <f>IF($A262=1,Sales_Daily!$AY24,"")</f>
        <v/>
      </c>
      <c r="R262" s="32">
        <f>IF($A262=1,IF(AND($Q262=1,COUNTIFS(COA!$A:$A,$G262,COA!$R:$R,1)=1),1,0),"")</f>
        <v/>
      </c>
      <c r="S262" s="43">
        <f>IF($A262=1,IF($R262=1,N($M262),0),"")</f>
        <v/>
      </c>
      <c r="T262" s="43">
        <f>IF($A262=1,IF($R262=1,N($N262),0),"")</f>
        <v/>
      </c>
      <c r="U262" s="32">
        <f>IF($A262=1,YEAR($D262)*100+MONTH($D262),"")</f>
        <v/>
      </c>
      <c r="V262" s="32">
        <f>IF($A262=1,IF(COUNTIF(COA!$A:$A,$G262)=0,0,INDEX(COA!$H:$H,MATCH($G262,COA!$A:$A,0))),"")</f>
        <v/>
      </c>
      <c r="W262" s="32">
        <f>IF($A262=1,"","")</f>
        <v/>
      </c>
      <c r="X262" s="32">
        <f>IF($A262=1,IF($R262=1,"",IF($O262=ST_POST,IF($P262&lt;&gt;"",$P262,"حساب غير صالح أو غير نشط"),IF($O262=ST_REV,"معكوس: لا أثر على الدفاتر",IF($O262=ST_CANC,"ملغى",IF($O262=ST_APPR,"معتمد ولم يُرحَّل","مسودة"))))),"")</f>
        <v/>
      </c>
      <c r="Y262" s="32">
        <f>IF($A262=1,IF(AND($R262=1,OR(LG_Acct="",$G262=LG_Acct),OR(LG_Party="",$K262=LG_Party),OR(LG_Loc="ALL",$I262=LG_Loc),OR(LG_CC="ALL",$J262=LG_CC),$D262&gt;=LG_From,$D262&lt;=LG_To),$D262+ROW()/1000000,""),"")</f>
        <v/>
      </c>
      <c r="Z262" s="32">
        <f>IF($A262=1,IF(Sales_Daily!$T24="","",Sales_Daily!$T24),"")</f>
        <v/>
      </c>
      <c r="AA262" s="32">
        <f>IF($A262=1,IF(Sales_Daily!$U24="","",Sales_Daily!$U24),"")</f>
        <v/>
      </c>
      <c r="AB262" s="32">
        <f>IF($A262=1,IF(Sales_Daily!$V24="","",Sales_Daily!$V24),"")</f>
        <v/>
      </c>
      <c r="AC262" s="32">
        <f>IF($A262=1,IF(Sales_Daily!$W24="","",Sales_Daily!$W24),"")</f>
        <v/>
      </c>
      <c r="AD262" s="32">
        <f>IF($A262=1,IF(Sales_Daily!$X24="","",Sales_Daily!$X24),"")</f>
        <v/>
      </c>
      <c r="AE262" s="32">
        <f>IF($A262=1,0,"")</f>
        <v/>
      </c>
      <c r="AF262" s="32" t="inlineStr"/>
    </row>
    <row r="263">
      <c r="A263" s="32">
        <f>IF(AND(Sales_Daily!$AV24=1,N(Sales_Daily!$AG24)&gt;0),1,0)</f>
        <v/>
      </c>
      <c r="B263" s="32">
        <f>IF($A263=1,$E263&amp;"/12","")</f>
        <v/>
      </c>
      <c r="C263" s="32">
        <f>IF($A263=1,"J-"&amp;Sales_Daily!$A24,"")</f>
        <v/>
      </c>
      <c r="D263" s="33">
        <f>IF($A263=1,Sales_Daily!$B24,"")</f>
        <v/>
      </c>
      <c r="E263" s="32">
        <f>IF($A263=1,IF(Sales_Daily!$A24="","",Sales_Daily!$A24),"")</f>
        <v/>
      </c>
      <c r="F263" s="32">
        <f>IF($A263=1,"SAL","")</f>
        <v/>
      </c>
      <c r="G263" s="32">
        <f>IF($A263=1,IF(Sales_Daily!$AT24="","",Sales_Daily!$AT24),"")</f>
        <v/>
      </c>
      <c r="H263" s="32">
        <f>IF($A263=1,IF(COUNTIF(COA!$A:$A,$G263)=0,"حساب غير معرف",INDEX(COA!$B:$B,MATCH($G263,COA!$A:$A,0))),"")</f>
        <v/>
      </c>
      <c r="I263" s="32">
        <f>IF($A263=1,IF(Sales_Daily!$C24="","",Sales_Daily!$C24),"")</f>
        <v/>
      </c>
      <c r="J263" s="32">
        <f>IF($A263=1,"CC10","")</f>
        <v/>
      </c>
      <c r="K263" s="32">
        <f>IF($A263=1,"-","")</f>
        <v/>
      </c>
      <c r="L263" s="32">
        <f>IF($A263=1,"إيراد مبيعات - فئة أخرى","")</f>
        <v/>
      </c>
      <c r="M263" s="43">
        <f>IF($A263=1,0,"")</f>
        <v/>
      </c>
      <c r="N263" s="43">
        <f>IF($A263=1,Sales_Daily!$AG24,"")</f>
        <v/>
      </c>
      <c r="O263" s="32">
        <f>IF($A263=1,Sales_Daily!$S24,"")</f>
        <v/>
      </c>
      <c r="P263" s="32">
        <f>IF($A263=1,IF(Sales_Daily!$AW24="","",Sales_Daily!$AW24),"")</f>
        <v/>
      </c>
      <c r="Q263" s="32">
        <f>IF($A263=1,Sales_Daily!$AY24,"")</f>
        <v/>
      </c>
      <c r="R263" s="32">
        <f>IF($A263=1,IF(AND($Q263=1,COUNTIFS(COA!$A:$A,$G263,COA!$R:$R,1)=1),1,0),"")</f>
        <v/>
      </c>
      <c r="S263" s="43">
        <f>IF($A263=1,IF($R263=1,N($M263),0),"")</f>
        <v/>
      </c>
      <c r="T263" s="43">
        <f>IF($A263=1,IF($R263=1,N($N263),0),"")</f>
        <v/>
      </c>
      <c r="U263" s="32">
        <f>IF($A263=1,YEAR($D263)*100+MONTH($D263),"")</f>
        <v/>
      </c>
      <c r="V263" s="32">
        <f>IF($A263=1,IF(COUNTIF(COA!$A:$A,$G263)=0,0,INDEX(COA!$H:$H,MATCH($G263,COA!$A:$A,0))),"")</f>
        <v/>
      </c>
      <c r="W263" s="32">
        <f>IF($A263=1,"","")</f>
        <v/>
      </c>
      <c r="X263" s="32">
        <f>IF($A263=1,IF($R263=1,"",IF($O263=ST_POST,IF($P263&lt;&gt;"",$P263,"حساب غير صالح أو غير نشط"),IF($O263=ST_REV,"معكوس: لا أثر على الدفاتر",IF($O263=ST_CANC,"ملغى",IF($O263=ST_APPR,"معتمد ولم يُرحَّل","مسودة"))))),"")</f>
        <v/>
      </c>
      <c r="Y263" s="32">
        <f>IF($A263=1,IF(AND($R263=1,OR(LG_Acct="",$G263=LG_Acct),OR(LG_Party="",$K263=LG_Party),OR(LG_Loc="ALL",$I263=LG_Loc),OR(LG_CC="ALL",$J263=LG_CC),$D263&gt;=LG_From,$D263&lt;=LG_To),$D263+ROW()/1000000,""),"")</f>
        <v/>
      </c>
      <c r="Z263" s="32">
        <f>IF($A263=1,IF(Sales_Daily!$T24="","",Sales_Daily!$T24),"")</f>
        <v/>
      </c>
      <c r="AA263" s="32">
        <f>IF($A263=1,IF(Sales_Daily!$U24="","",Sales_Daily!$U24),"")</f>
        <v/>
      </c>
      <c r="AB263" s="32">
        <f>IF($A263=1,IF(Sales_Daily!$V24="","",Sales_Daily!$V24),"")</f>
        <v/>
      </c>
      <c r="AC263" s="32">
        <f>IF($A263=1,IF(Sales_Daily!$W24="","",Sales_Daily!$W24),"")</f>
        <v/>
      </c>
      <c r="AD263" s="32">
        <f>IF($A263=1,IF(Sales_Daily!$X24="","",Sales_Daily!$X24),"")</f>
        <v/>
      </c>
      <c r="AE263" s="32">
        <f>IF($A263=1,0,"")</f>
        <v/>
      </c>
      <c r="AF263" s="32" t="inlineStr"/>
    </row>
    <row r="264">
      <c r="A264" s="32">
        <f>IF(AND(Sales_Daily!$AV24=1,N(Sales_Daily!$AJ24)&gt;0),1,0)</f>
        <v/>
      </c>
      <c r="B264" s="32">
        <f>IF($A264=1,$E264&amp;"/13","")</f>
        <v/>
      </c>
      <c r="C264" s="32">
        <f>IF($A264=1,"J-"&amp;Sales_Daily!$A24,"")</f>
        <v/>
      </c>
      <c r="D264" s="33">
        <f>IF($A264=1,Sales_Daily!$B24,"")</f>
        <v/>
      </c>
      <c r="E264" s="32">
        <f>IF($A264=1,IF(Sales_Daily!$A24="","",Sales_Daily!$A24),"")</f>
        <v/>
      </c>
      <c r="F264" s="32">
        <f>IF($A264=1,"SAL","")</f>
        <v/>
      </c>
      <c r="G264" s="32">
        <f>IF($A264=1,ACC_VAT_OUT,"")</f>
        <v/>
      </c>
      <c r="H264" s="32">
        <f>IF($A264=1,IF(COUNTIF(COA!$A:$A,$G264)=0,"حساب غير معرف",INDEX(COA!$B:$B,MATCH($G264,COA!$A:$A,0))),"")</f>
        <v/>
      </c>
      <c r="I264" s="32">
        <f>IF($A264=1,IF(Sales_Daily!$C24="","",Sales_Daily!$C24),"")</f>
        <v/>
      </c>
      <c r="J264" s="32">
        <f>IF($A264=1,"CC10","")</f>
        <v/>
      </c>
      <c r="K264" s="32">
        <f>IF($A264=1,"-","")</f>
        <v/>
      </c>
      <c r="L264" s="32">
        <f>IF($A264=1,"ضريبة القيمة المضافة - مخرجات","")</f>
        <v/>
      </c>
      <c r="M264" s="43">
        <f>IF($A264=1,0,"")</f>
        <v/>
      </c>
      <c r="N264" s="43">
        <f>IF($A264=1,Sales_Daily!$AJ24,"")</f>
        <v/>
      </c>
      <c r="O264" s="32">
        <f>IF($A264=1,Sales_Daily!$S24,"")</f>
        <v/>
      </c>
      <c r="P264" s="32">
        <f>IF($A264=1,IF(Sales_Daily!$AW24="","",Sales_Daily!$AW24),"")</f>
        <v/>
      </c>
      <c r="Q264" s="32">
        <f>IF($A264=1,Sales_Daily!$AY24,"")</f>
        <v/>
      </c>
      <c r="R264" s="32">
        <f>IF($A264=1,IF(AND($Q264=1,COUNTIFS(COA!$A:$A,$G264,COA!$R:$R,1)=1),1,0),"")</f>
        <v/>
      </c>
      <c r="S264" s="43">
        <f>IF($A264=1,IF($R264=1,N($M264),0),"")</f>
        <v/>
      </c>
      <c r="T264" s="43">
        <f>IF($A264=1,IF($R264=1,N($N264),0),"")</f>
        <v/>
      </c>
      <c r="U264" s="32">
        <f>IF($A264=1,YEAR($D264)*100+MONTH($D264),"")</f>
        <v/>
      </c>
      <c r="V264" s="32">
        <f>IF($A264=1,IF(COUNTIF(COA!$A:$A,$G264)=0,0,INDEX(COA!$H:$H,MATCH($G264,COA!$A:$A,0))),"")</f>
        <v/>
      </c>
      <c r="W264" s="32">
        <f>IF($A264=1,"","")</f>
        <v/>
      </c>
      <c r="X264" s="32">
        <f>IF($A264=1,IF($R264=1,"",IF($O264=ST_POST,IF($P264&lt;&gt;"",$P264,"حساب غير صالح أو غير نشط"),IF($O264=ST_REV,"معكوس: لا أثر على الدفاتر",IF($O264=ST_CANC,"ملغى",IF($O264=ST_APPR,"معتمد ولم يُرحَّل","مسودة"))))),"")</f>
        <v/>
      </c>
      <c r="Y264" s="32">
        <f>IF($A264=1,IF(AND($R264=1,OR(LG_Acct="",$G264=LG_Acct),OR(LG_Party="",$K264=LG_Party),OR(LG_Loc="ALL",$I264=LG_Loc),OR(LG_CC="ALL",$J264=LG_CC),$D264&gt;=LG_From,$D264&lt;=LG_To),$D264+ROW()/1000000,""),"")</f>
        <v/>
      </c>
      <c r="Z264" s="32">
        <f>IF($A264=1,IF(Sales_Daily!$T24="","",Sales_Daily!$T24),"")</f>
        <v/>
      </c>
      <c r="AA264" s="32">
        <f>IF($A264=1,IF(Sales_Daily!$U24="","",Sales_Daily!$U24),"")</f>
        <v/>
      </c>
      <c r="AB264" s="32">
        <f>IF($A264=1,IF(Sales_Daily!$V24="","",Sales_Daily!$V24),"")</f>
        <v/>
      </c>
      <c r="AC264" s="32">
        <f>IF($A264=1,IF(Sales_Daily!$W24="","",Sales_Daily!$W24),"")</f>
        <v/>
      </c>
      <c r="AD264" s="32">
        <f>IF($A264=1,IF(Sales_Daily!$X24="","",Sales_Daily!$X24),"")</f>
        <v/>
      </c>
      <c r="AE264" s="32">
        <f>IF($A264=1,0,"")</f>
        <v/>
      </c>
      <c r="AF264" s="32" t="inlineStr"/>
    </row>
    <row r="265">
      <c r="A265" s="32">
        <f>IF(AND(Sales_Daily!$AV25=1,N(Sales_Daily!$L25)&gt;0),1,0)</f>
        <v/>
      </c>
      <c r="B265" s="32">
        <f>IF($A265=1,$E265&amp;"/1","")</f>
        <v/>
      </c>
      <c r="C265" s="32">
        <f>IF($A265=1,"J-"&amp;Sales_Daily!$A25,"")</f>
        <v/>
      </c>
      <c r="D265" s="33">
        <f>IF($A265=1,Sales_Daily!$B25,"")</f>
        <v/>
      </c>
      <c r="E265" s="32">
        <f>IF($A265=1,IF(Sales_Daily!$A25="","",Sales_Daily!$A25),"")</f>
        <v/>
      </c>
      <c r="F265" s="32">
        <f>IF($A265=1,"SAL","")</f>
        <v/>
      </c>
      <c r="G265" s="32">
        <f>IF($A265=1,IF(Sales_Daily!$AK25="","",Sales_Daily!$AK25),"")</f>
        <v/>
      </c>
      <c r="H265" s="32">
        <f>IF($A265=1,IF(COUNTIF(COA!$A:$A,$G265)=0,"حساب غير معرف",INDEX(COA!$B:$B,MATCH($G265,COA!$A:$A,0))),"")</f>
        <v/>
      </c>
      <c r="I265" s="32">
        <f>IF($A265=1,IF(Sales_Daily!$C25="","",Sales_Daily!$C25),"")</f>
        <v/>
      </c>
      <c r="J265" s="32">
        <f>IF($A265=1,"CC10","")</f>
        <v/>
      </c>
      <c r="K265" s="32">
        <f>IF($A265=1,"-","")</f>
        <v/>
      </c>
      <c r="L265" s="32">
        <f>IF($A265=1,"مبيعات - تحصيل CASH","")</f>
        <v/>
      </c>
      <c r="M265" s="43">
        <f>IF($A265=1,Sales_Daily!$L25,"")</f>
        <v/>
      </c>
      <c r="N265" s="43">
        <f>IF($A265=1,0,"")</f>
        <v/>
      </c>
      <c r="O265" s="32">
        <f>IF($A265=1,Sales_Daily!$S25,"")</f>
        <v/>
      </c>
      <c r="P265" s="32">
        <f>IF($A265=1,IF(Sales_Daily!$AW25="","",Sales_Daily!$AW25),"")</f>
        <v/>
      </c>
      <c r="Q265" s="32">
        <f>IF($A265=1,Sales_Daily!$AY25,"")</f>
        <v/>
      </c>
      <c r="R265" s="32">
        <f>IF($A265=1,IF(AND($Q265=1,COUNTIFS(COA!$A:$A,$G265,COA!$R:$R,1)=1),1,0),"")</f>
        <v/>
      </c>
      <c r="S265" s="43">
        <f>IF($A265=1,IF($R265=1,N($M265),0),"")</f>
        <v/>
      </c>
      <c r="T265" s="43">
        <f>IF($A265=1,IF($R265=1,N($N265),0),"")</f>
        <v/>
      </c>
      <c r="U265" s="32">
        <f>IF($A265=1,YEAR($D265)*100+MONTH($D265),"")</f>
        <v/>
      </c>
      <c r="V265" s="32">
        <f>IF($A265=1,IF(COUNTIF(COA!$A:$A,$G265)=0,0,INDEX(COA!$H:$H,MATCH($G265,COA!$A:$A,0))),"")</f>
        <v/>
      </c>
      <c r="W265" s="32">
        <f>IF($A265=1,"OPERATING","")</f>
        <v/>
      </c>
      <c r="X265" s="32">
        <f>IF($A265=1,IF($R265=1,"",IF($O265=ST_POST,IF($P265&lt;&gt;"",$P265,"حساب غير صالح أو غير نشط"),IF($O265=ST_REV,"معكوس: لا أثر على الدفاتر",IF($O265=ST_CANC,"ملغى",IF($O265=ST_APPR,"معتمد ولم يُرحَّل","مسودة"))))),"")</f>
        <v/>
      </c>
      <c r="Y265" s="32">
        <f>IF($A265=1,IF(AND($R265=1,OR(LG_Acct="",$G265=LG_Acct),OR(LG_Party="",$K265=LG_Party),OR(LG_Loc="ALL",$I265=LG_Loc),OR(LG_CC="ALL",$J265=LG_CC),$D265&gt;=LG_From,$D265&lt;=LG_To),$D265+ROW()/1000000,""),"")</f>
        <v/>
      </c>
      <c r="Z265" s="32">
        <f>IF($A265=1,IF(Sales_Daily!$T25="","",Sales_Daily!$T25),"")</f>
        <v/>
      </c>
      <c r="AA265" s="32">
        <f>IF($A265=1,IF(Sales_Daily!$U25="","",Sales_Daily!$U25),"")</f>
        <v/>
      </c>
      <c r="AB265" s="32">
        <f>IF($A265=1,IF(Sales_Daily!$V25="","",Sales_Daily!$V25),"")</f>
        <v/>
      </c>
      <c r="AC265" s="32">
        <f>IF($A265=1,IF(Sales_Daily!$W25="","",Sales_Daily!$W25),"")</f>
        <v/>
      </c>
      <c r="AD265" s="32">
        <f>IF($A265=1,IF(Sales_Daily!$X25="","",Sales_Daily!$X25),"")</f>
        <v/>
      </c>
      <c r="AE265" s="32">
        <f>IF($A265=1,0,"")</f>
        <v/>
      </c>
      <c r="AF265" s="32" t="inlineStr"/>
    </row>
    <row r="266">
      <c r="A266" s="32">
        <f>IF(AND(Sales_Daily!$AV25=1,N(Sales_Daily!$M25)&gt;0),1,0)</f>
        <v/>
      </c>
      <c r="B266" s="32">
        <f>IF($A266=1,$E266&amp;"/2","")</f>
        <v/>
      </c>
      <c r="C266" s="32">
        <f>IF($A266=1,"J-"&amp;Sales_Daily!$A25,"")</f>
        <v/>
      </c>
      <c r="D266" s="33">
        <f>IF($A266=1,Sales_Daily!$B25,"")</f>
        <v/>
      </c>
      <c r="E266" s="32">
        <f>IF($A266=1,IF(Sales_Daily!$A25="","",Sales_Daily!$A25),"")</f>
        <v/>
      </c>
      <c r="F266" s="32">
        <f>IF($A266=1,"SAL","")</f>
        <v/>
      </c>
      <c r="G266" s="32">
        <f>IF($A266=1,IF(Sales_Daily!$AL25="","",Sales_Daily!$AL25),"")</f>
        <v/>
      </c>
      <c r="H266" s="32">
        <f>IF($A266=1,IF(COUNTIF(COA!$A:$A,$G266)=0,"حساب غير معرف",INDEX(COA!$B:$B,MATCH($G266,COA!$A:$A,0))),"")</f>
        <v/>
      </c>
      <c r="I266" s="32">
        <f>IF($A266=1,IF(Sales_Daily!$C25="","",Sales_Daily!$C25),"")</f>
        <v/>
      </c>
      <c r="J266" s="32">
        <f>IF($A266=1,"CC10","")</f>
        <v/>
      </c>
      <c r="K266" s="32">
        <f>IF($A266=1,"-","")</f>
        <v/>
      </c>
      <c r="L266" s="32">
        <f>IF($A266=1,"مبيعات - تحصيل CARD","")</f>
        <v/>
      </c>
      <c r="M266" s="43">
        <f>IF($A266=1,Sales_Daily!$M25,"")</f>
        <v/>
      </c>
      <c r="N266" s="43">
        <f>IF($A266=1,0,"")</f>
        <v/>
      </c>
      <c r="O266" s="32">
        <f>IF($A266=1,Sales_Daily!$S25,"")</f>
        <v/>
      </c>
      <c r="P266" s="32">
        <f>IF($A266=1,IF(Sales_Daily!$AW25="","",Sales_Daily!$AW25),"")</f>
        <v/>
      </c>
      <c r="Q266" s="32">
        <f>IF($A266=1,Sales_Daily!$AY25,"")</f>
        <v/>
      </c>
      <c r="R266" s="32">
        <f>IF($A266=1,IF(AND($Q266=1,COUNTIFS(COA!$A:$A,$G266,COA!$R:$R,1)=1),1,0),"")</f>
        <v/>
      </c>
      <c r="S266" s="43">
        <f>IF($A266=1,IF($R266=1,N($M266),0),"")</f>
        <v/>
      </c>
      <c r="T266" s="43">
        <f>IF($A266=1,IF($R266=1,N($N266),0),"")</f>
        <v/>
      </c>
      <c r="U266" s="32">
        <f>IF($A266=1,YEAR($D266)*100+MONTH($D266),"")</f>
        <v/>
      </c>
      <c r="V266" s="32">
        <f>IF($A266=1,IF(COUNTIF(COA!$A:$A,$G266)=0,0,INDEX(COA!$H:$H,MATCH($G266,COA!$A:$A,0))),"")</f>
        <v/>
      </c>
      <c r="W266" s="32">
        <f>IF($A266=1,"OPERATING","")</f>
        <v/>
      </c>
      <c r="X266" s="32">
        <f>IF($A266=1,IF($R266=1,"",IF($O266=ST_POST,IF($P266&lt;&gt;"",$P266,"حساب غير صالح أو غير نشط"),IF($O266=ST_REV,"معكوس: لا أثر على الدفاتر",IF($O266=ST_CANC,"ملغى",IF($O266=ST_APPR,"معتمد ولم يُرحَّل","مسودة"))))),"")</f>
        <v/>
      </c>
      <c r="Y266" s="32">
        <f>IF($A266=1,IF(AND($R266=1,OR(LG_Acct="",$G266=LG_Acct),OR(LG_Party="",$K266=LG_Party),OR(LG_Loc="ALL",$I266=LG_Loc),OR(LG_CC="ALL",$J266=LG_CC),$D266&gt;=LG_From,$D266&lt;=LG_To),$D266+ROW()/1000000,""),"")</f>
        <v/>
      </c>
      <c r="Z266" s="32">
        <f>IF($A266=1,IF(Sales_Daily!$T25="","",Sales_Daily!$T25),"")</f>
        <v/>
      </c>
      <c r="AA266" s="32">
        <f>IF($A266=1,IF(Sales_Daily!$U25="","",Sales_Daily!$U25),"")</f>
        <v/>
      </c>
      <c r="AB266" s="32">
        <f>IF($A266=1,IF(Sales_Daily!$V25="","",Sales_Daily!$V25),"")</f>
        <v/>
      </c>
      <c r="AC266" s="32">
        <f>IF($A266=1,IF(Sales_Daily!$W25="","",Sales_Daily!$W25),"")</f>
        <v/>
      </c>
      <c r="AD266" s="32">
        <f>IF($A266=1,IF(Sales_Daily!$X25="","",Sales_Daily!$X25),"")</f>
        <v/>
      </c>
      <c r="AE266" s="32">
        <f>IF($A266=1,0,"")</f>
        <v/>
      </c>
      <c r="AF266" s="32" t="inlineStr"/>
    </row>
    <row r="267">
      <c r="A267" s="32">
        <f>IF(AND(Sales_Daily!$AV25=1,N(Sales_Daily!$N25)&gt;0),1,0)</f>
        <v/>
      </c>
      <c r="B267" s="32">
        <f>IF($A267=1,$E267&amp;"/3","")</f>
        <v/>
      </c>
      <c r="C267" s="32">
        <f>IF($A267=1,"J-"&amp;Sales_Daily!$A25,"")</f>
        <v/>
      </c>
      <c r="D267" s="33">
        <f>IF($A267=1,Sales_Daily!$B25,"")</f>
        <v/>
      </c>
      <c r="E267" s="32">
        <f>IF($A267=1,IF(Sales_Daily!$A25="","",Sales_Daily!$A25),"")</f>
        <v/>
      </c>
      <c r="F267" s="32">
        <f>IF($A267=1,"SAL","")</f>
        <v/>
      </c>
      <c r="G267" s="32">
        <f>IF($A267=1,IF(Sales_Daily!$AM25="","",Sales_Daily!$AM25),"")</f>
        <v/>
      </c>
      <c r="H267" s="32">
        <f>IF($A267=1,IF(COUNTIF(COA!$A:$A,$G267)=0,"حساب غير معرف",INDEX(COA!$B:$B,MATCH($G267,COA!$A:$A,0))),"")</f>
        <v/>
      </c>
      <c r="I267" s="32">
        <f>IF($A267=1,IF(Sales_Daily!$C25="","",Sales_Daily!$C25),"")</f>
        <v/>
      </c>
      <c r="J267" s="32">
        <f>IF($A267=1,"CC10","")</f>
        <v/>
      </c>
      <c r="K267" s="32">
        <f>IF($A267=1,"-","")</f>
        <v/>
      </c>
      <c r="L267" s="32">
        <f>IF($A267=1,"مبيعات - تحصيل TLB","")</f>
        <v/>
      </c>
      <c r="M267" s="43">
        <f>IF($A267=1,Sales_Daily!$N25,"")</f>
        <v/>
      </c>
      <c r="N267" s="43">
        <f>IF($A267=1,0,"")</f>
        <v/>
      </c>
      <c r="O267" s="32">
        <f>IF($A267=1,Sales_Daily!$S25,"")</f>
        <v/>
      </c>
      <c r="P267" s="32">
        <f>IF($A267=1,IF(Sales_Daily!$AW25="","",Sales_Daily!$AW25),"")</f>
        <v/>
      </c>
      <c r="Q267" s="32">
        <f>IF($A267=1,Sales_Daily!$AY25,"")</f>
        <v/>
      </c>
      <c r="R267" s="32">
        <f>IF($A267=1,IF(AND($Q267=1,COUNTIFS(COA!$A:$A,$G267,COA!$R:$R,1)=1),1,0),"")</f>
        <v/>
      </c>
      <c r="S267" s="43">
        <f>IF($A267=1,IF($R267=1,N($M267),0),"")</f>
        <v/>
      </c>
      <c r="T267" s="43">
        <f>IF($A267=1,IF($R267=1,N($N267),0),"")</f>
        <v/>
      </c>
      <c r="U267" s="32">
        <f>IF($A267=1,YEAR($D267)*100+MONTH($D267),"")</f>
        <v/>
      </c>
      <c r="V267" s="32">
        <f>IF($A267=1,IF(COUNTIF(COA!$A:$A,$G267)=0,0,INDEX(COA!$H:$H,MATCH($G267,COA!$A:$A,0))),"")</f>
        <v/>
      </c>
      <c r="W267" s="32">
        <f>IF($A267=1,"OPERATING","")</f>
        <v/>
      </c>
      <c r="X267" s="32">
        <f>IF($A267=1,IF($R267=1,"",IF($O267=ST_POST,IF($P267&lt;&gt;"",$P267,"حساب غير صالح أو غير نشط"),IF($O267=ST_REV,"معكوس: لا أثر على الدفاتر",IF($O267=ST_CANC,"ملغى",IF($O267=ST_APPR,"معتمد ولم يُرحَّل","مسودة"))))),"")</f>
        <v/>
      </c>
      <c r="Y267" s="32">
        <f>IF($A267=1,IF(AND($R267=1,OR(LG_Acct="",$G267=LG_Acct),OR(LG_Party="",$K267=LG_Party),OR(LG_Loc="ALL",$I267=LG_Loc),OR(LG_CC="ALL",$J267=LG_CC),$D267&gt;=LG_From,$D267&lt;=LG_To),$D267+ROW()/1000000,""),"")</f>
        <v/>
      </c>
      <c r="Z267" s="32">
        <f>IF($A267=1,IF(Sales_Daily!$T25="","",Sales_Daily!$T25),"")</f>
        <v/>
      </c>
      <c r="AA267" s="32">
        <f>IF($A267=1,IF(Sales_Daily!$U25="","",Sales_Daily!$U25),"")</f>
        <v/>
      </c>
      <c r="AB267" s="32">
        <f>IF($A267=1,IF(Sales_Daily!$V25="","",Sales_Daily!$V25),"")</f>
        <v/>
      </c>
      <c r="AC267" s="32">
        <f>IF($A267=1,IF(Sales_Daily!$W25="","",Sales_Daily!$W25),"")</f>
        <v/>
      </c>
      <c r="AD267" s="32">
        <f>IF($A267=1,IF(Sales_Daily!$X25="","",Sales_Daily!$X25),"")</f>
        <v/>
      </c>
      <c r="AE267" s="32">
        <f>IF($A267=1,0,"")</f>
        <v/>
      </c>
      <c r="AF267" s="32" t="inlineStr"/>
    </row>
    <row r="268">
      <c r="A268" s="32">
        <f>IF(AND(Sales_Daily!$AV25=1,N(Sales_Daily!$O25)&gt;0),1,0)</f>
        <v/>
      </c>
      <c r="B268" s="32">
        <f>IF($A268=1,$E268&amp;"/4","")</f>
        <v/>
      </c>
      <c r="C268" s="32">
        <f>IF($A268=1,"J-"&amp;Sales_Daily!$A25,"")</f>
        <v/>
      </c>
      <c r="D268" s="33">
        <f>IF($A268=1,Sales_Daily!$B25,"")</f>
        <v/>
      </c>
      <c r="E268" s="32">
        <f>IF($A268=1,IF(Sales_Daily!$A25="","",Sales_Daily!$A25),"")</f>
        <v/>
      </c>
      <c r="F268" s="32">
        <f>IF($A268=1,"SAL","")</f>
        <v/>
      </c>
      <c r="G268" s="32">
        <f>IF($A268=1,IF(Sales_Daily!$AN25="","",Sales_Daily!$AN25),"")</f>
        <v/>
      </c>
      <c r="H268" s="32">
        <f>IF($A268=1,IF(COUNTIF(COA!$A:$A,$G268)=0,"حساب غير معرف",INDEX(COA!$B:$B,MATCH($G268,COA!$A:$A,0))),"")</f>
        <v/>
      </c>
      <c r="I268" s="32">
        <f>IF($A268=1,IF(Sales_Daily!$C25="","",Sales_Daily!$C25),"")</f>
        <v/>
      </c>
      <c r="J268" s="32">
        <f>IF($A268=1,"CC10","")</f>
        <v/>
      </c>
      <c r="K268" s="32">
        <f>IF($A268=1,"-","")</f>
        <v/>
      </c>
      <c r="L268" s="32">
        <f>IF($A268=1,"مبيعات - تحصيل DLV2","")</f>
        <v/>
      </c>
      <c r="M268" s="43">
        <f>IF($A268=1,Sales_Daily!$O25,"")</f>
        <v/>
      </c>
      <c r="N268" s="43">
        <f>IF($A268=1,0,"")</f>
        <v/>
      </c>
      <c r="O268" s="32">
        <f>IF($A268=1,Sales_Daily!$S25,"")</f>
        <v/>
      </c>
      <c r="P268" s="32">
        <f>IF($A268=1,IF(Sales_Daily!$AW25="","",Sales_Daily!$AW25),"")</f>
        <v/>
      </c>
      <c r="Q268" s="32">
        <f>IF($A268=1,Sales_Daily!$AY25,"")</f>
        <v/>
      </c>
      <c r="R268" s="32">
        <f>IF($A268=1,IF(AND($Q268=1,COUNTIFS(COA!$A:$A,$G268,COA!$R:$R,1)=1),1,0),"")</f>
        <v/>
      </c>
      <c r="S268" s="43">
        <f>IF($A268=1,IF($R268=1,N($M268),0),"")</f>
        <v/>
      </c>
      <c r="T268" s="43">
        <f>IF($A268=1,IF($R268=1,N($N268),0),"")</f>
        <v/>
      </c>
      <c r="U268" s="32">
        <f>IF($A268=1,YEAR($D268)*100+MONTH($D268),"")</f>
        <v/>
      </c>
      <c r="V268" s="32">
        <f>IF($A268=1,IF(COUNTIF(COA!$A:$A,$G268)=0,0,INDEX(COA!$H:$H,MATCH($G268,COA!$A:$A,0))),"")</f>
        <v/>
      </c>
      <c r="W268" s="32">
        <f>IF($A268=1,"OPERATING","")</f>
        <v/>
      </c>
      <c r="X268" s="32">
        <f>IF($A268=1,IF($R268=1,"",IF($O268=ST_POST,IF($P268&lt;&gt;"",$P268,"حساب غير صالح أو غير نشط"),IF($O268=ST_REV,"معكوس: لا أثر على الدفاتر",IF($O268=ST_CANC,"ملغى",IF($O268=ST_APPR,"معتمد ولم يُرحَّل","مسودة"))))),"")</f>
        <v/>
      </c>
      <c r="Y268" s="32">
        <f>IF($A268=1,IF(AND($R268=1,OR(LG_Acct="",$G268=LG_Acct),OR(LG_Party="",$K268=LG_Party),OR(LG_Loc="ALL",$I268=LG_Loc),OR(LG_CC="ALL",$J268=LG_CC),$D268&gt;=LG_From,$D268&lt;=LG_To),$D268+ROW()/1000000,""),"")</f>
        <v/>
      </c>
      <c r="Z268" s="32">
        <f>IF($A268=1,IF(Sales_Daily!$T25="","",Sales_Daily!$T25),"")</f>
        <v/>
      </c>
      <c r="AA268" s="32">
        <f>IF($A268=1,IF(Sales_Daily!$U25="","",Sales_Daily!$U25),"")</f>
        <v/>
      </c>
      <c r="AB268" s="32">
        <f>IF($A268=1,IF(Sales_Daily!$V25="","",Sales_Daily!$V25),"")</f>
        <v/>
      </c>
      <c r="AC268" s="32">
        <f>IF($A268=1,IF(Sales_Daily!$W25="","",Sales_Daily!$W25),"")</f>
        <v/>
      </c>
      <c r="AD268" s="32">
        <f>IF($A268=1,IF(Sales_Daily!$X25="","",Sales_Daily!$X25),"")</f>
        <v/>
      </c>
      <c r="AE268" s="32">
        <f>IF($A268=1,0,"")</f>
        <v/>
      </c>
      <c r="AF268" s="32" t="inlineStr"/>
    </row>
    <row r="269">
      <c r="A269" s="32">
        <f>IF(AND(Sales_Daily!$AV25=1,N(Sales_Daily!$P25)&gt;0),1,0)</f>
        <v/>
      </c>
      <c r="B269" s="32">
        <f>IF($A269=1,$E269&amp;"/5","")</f>
        <v/>
      </c>
      <c r="C269" s="32">
        <f>IF($A269=1,"J-"&amp;Sales_Daily!$A25,"")</f>
        <v/>
      </c>
      <c r="D269" s="33">
        <f>IF($A269=1,Sales_Daily!$B25,"")</f>
        <v/>
      </c>
      <c r="E269" s="32">
        <f>IF($A269=1,IF(Sales_Daily!$A25="","",Sales_Daily!$A25),"")</f>
        <v/>
      </c>
      <c r="F269" s="32">
        <f>IF($A269=1,"SAL","")</f>
        <v/>
      </c>
      <c r="G269" s="32">
        <f>IF($A269=1,IF(Sales_Daily!$AO25="","",Sales_Daily!$AO25),"")</f>
        <v/>
      </c>
      <c r="H269" s="32">
        <f>IF($A269=1,IF(COUNTIF(COA!$A:$A,$G269)=0,"حساب غير معرف",INDEX(COA!$B:$B,MATCH($G269,COA!$A:$A,0))),"")</f>
        <v/>
      </c>
      <c r="I269" s="32">
        <f>IF($A269=1,IF(Sales_Daily!$C25="","",Sales_Daily!$C25),"")</f>
        <v/>
      </c>
      <c r="J269" s="32">
        <f>IF($A269=1,"CC10","")</f>
        <v/>
      </c>
      <c r="K269" s="32">
        <f>IF($A269=1,"-","")</f>
        <v/>
      </c>
      <c r="L269" s="32">
        <f>IF($A269=1,"مبيعات - تحصيل INSTA","")</f>
        <v/>
      </c>
      <c r="M269" s="43">
        <f>IF($A269=1,Sales_Daily!$P25,"")</f>
        <v/>
      </c>
      <c r="N269" s="43">
        <f>IF($A269=1,0,"")</f>
        <v/>
      </c>
      <c r="O269" s="32">
        <f>IF($A269=1,Sales_Daily!$S25,"")</f>
        <v/>
      </c>
      <c r="P269" s="32">
        <f>IF($A269=1,IF(Sales_Daily!$AW25="","",Sales_Daily!$AW25),"")</f>
        <v/>
      </c>
      <c r="Q269" s="32">
        <f>IF($A269=1,Sales_Daily!$AY25,"")</f>
        <v/>
      </c>
      <c r="R269" s="32">
        <f>IF($A269=1,IF(AND($Q269=1,COUNTIFS(COA!$A:$A,$G269,COA!$R:$R,1)=1),1,0),"")</f>
        <v/>
      </c>
      <c r="S269" s="43">
        <f>IF($A269=1,IF($R269=1,N($M269),0),"")</f>
        <v/>
      </c>
      <c r="T269" s="43">
        <f>IF($A269=1,IF($R269=1,N($N269),0),"")</f>
        <v/>
      </c>
      <c r="U269" s="32">
        <f>IF($A269=1,YEAR($D269)*100+MONTH($D269),"")</f>
        <v/>
      </c>
      <c r="V269" s="32">
        <f>IF($A269=1,IF(COUNTIF(COA!$A:$A,$G269)=0,0,INDEX(COA!$H:$H,MATCH($G269,COA!$A:$A,0))),"")</f>
        <v/>
      </c>
      <c r="W269" s="32">
        <f>IF($A269=1,"OPERATING","")</f>
        <v/>
      </c>
      <c r="X269" s="32">
        <f>IF($A269=1,IF($R269=1,"",IF($O269=ST_POST,IF($P269&lt;&gt;"",$P269,"حساب غير صالح أو غير نشط"),IF($O269=ST_REV,"معكوس: لا أثر على الدفاتر",IF($O269=ST_CANC,"ملغى",IF($O269=ST_APPR,"معتمد ولم يُرحَّل","مسودة"))))),"")</f>
        <v/>
      </c>
      <c r="Y269" s="32">
        <f>IF($A269=1,IF(AND($R269=1,OR(LG_Acct="",$G269=LG_Acct),OR(LG_Party="",$K269=LG_Party),OR(LG_Loc="ALL",$I269=LG_Loc),OR(LG_CC="ALL",$J269=LG_CC),$D269&gt;=LG_From,$D269&lt;=LG_To),$D269+ROW()/1000000,""),"")</f>
        <v/>
      </c>
      <c r="Z269" s="32">
        <f>IF($A269=1,IF(Sales_Daily!$T25="","",Sales_Daily!$T25),"")</f>
        <v/>
      </c>
      <c r="AA269" s="32">
        <f>IF($A269=1,IF(Sales_Daily!$U25="","",Sales_Daily!$U25),"")</f>
        <v/>
      </c>
      <c r="AB269" s="32">
        <f>IF($A269=1,IF(Sales_Daily!$V25="","",Sales_Daily!$V25),"")</f>
        <v/>
      </c>
      <c r="AC269" s="32">
        <f>IF($A269=1,IF(Sales_Daily!$W25="","",Sales_Daily!$W25),"")</f>
        <v/>
      </c>
      <c r="AD269" s="32">
        <f>IF($A269=1,IF(Sales_Daily!$X25="","",Sales_Daily!$X25),"")</f>
        <v/>
      </c>
      <c r="AE269" s="32">
        <f>IF($A269=1,0,"")</f>
        <v/>
      </c>
      <c r="AF269" s="32" t="inlineStr"/>
    </row>
    <row r="270">
      <c r="A270" s="32">
        <f>IF(AND(Sales_Daily!$AV25=1,N(Sales_Daily!$Q25)&gt;0),1,0)</f>
        <v/>
      </c>
      <c r="B270" s="32">
        <f>IF($A270=1,$E270&amp;"/6","")</f>
        <v/>
      </c>
      <c r="C270" s="32">
        <f>IF($A270=1,"J-"&amp;Sales_Daily!$A25,"")</f>
        <v/>
      </c>
      <c r="D270" s="33">
        <f>IF($A270=1,Sales_Daily!$B25,"")</f>
        <v/>
      </c>
      <c r="E270" s="32">
        <f>IF($A270=1,IF(Sales_Daily!$A25="","",Sales_Daily!$A25),"")</f>
        <v/>
      </c>
      <c r="F270" s="32">
        <f>IF($A270=1,"SAL","")</f>
        <v/>
      </c>
      <c r="G270" s="32">
        <f>IF($A270=1,IF(Sales_Daily!$AP25="","",Sales_Daily!$AP25),"")</f>
        <v/>
      </c>
      <c r="H270" s="32">
        <f>IF($A270=1,IF(COUNTIF(COA!$A:$A,$G270)=0,"حساب غير معرف",INDEX(COA!$B:$B,MATCH($G270,COA!$A:$A,0))),"")</f>
        <v/>
      </c>
      <c r="I270" s="32">
        <f>IF($A270=1,IF(Sales_Daily!$C25="","",Sales_Daily!$C25),"")</f>
        <v/>
      </c>
      <c r="J270" s="32">
        <f>IF($A270=1,"CC10","")</f>
        <v/>
      </c>
      <c r="K270" s="32">
        <f>IF($A270=1,"-","")</f>
        <v/>
      </c>
      <c r="L270" s="32">
        <f>IF($A270=1,"مبيعات - تحصيل OTH","")</f>
        <v/>
      </c>
      <c r="M270" s="43">
        <f>IF($A270=1,Sales_Daily!$Q25,"")</f>
        <v/>
      </c>
      <c r="N270" s="43">
        <f>IF($A270=1,0,"")</f>
        <v/>
      </c>
      <c r="O270" s="32">
        <f>IF($A270=1,Sales_Daily!$S25,"")</f>
        <v/>
      </c>
      <c r="P270" s="32">
        <f>IF($A270=1,IF(Sales_Daily!$AW25="","",Sales_Daily!$AW25),"")</f>
        <v/>
      </c>
      <c r="Q270" s="32">
        <f>IF($A270=1,Sales_Daily!$AY25,"")</f>
        <v/>
      </c>
      <c r="R270" s="32">
        <f>IF($A270=1,IF(AND($Q270=1,COUNTIFS(COA!$A:$A,$G270,COA!$R:$R,1)=1),1,0),"")</f>
        <v/>
      </c>
      <c r="S270" s="43">
        <f>IF($A270=1,IF($R270=1,N($M270),0),"")</f>
        <v/>
      </c>
      <c r="T270" s="43">
        <f>IF($A270=1,IF($R270=1,N($N270),0),"")</f>
        <v/>
      </c>
      <c r="U270" s="32">
        <f>IF($A270=1,YEAR($D270)*100+MONTH($D270),"")</f>
        <v/>
      </c>
      <c r="V270" s="32">
        <f>IF($A270=1,IF(COUNTIF(COA!$A:$A,$G270)=0,0,INDEX(COA!$H:$H,MATCH($G270,COA!$A:$A,0))),"")</f>
        <v/>
      </c>
      <c r="W270" s="32">
        <f>IF($A270=1,"OPERATING","")</f>
        <v/>
      </c>
      <c r="X270" s="32">
        <f>IF($A270=1,IF($R270=1,"",IF($O270=ST_POST,IF($P270&lt;&gt;"",$P270,"حساب غير صالح أو غير نشط"),IF($O270=ST_REV,"معكوس: لا أثر على الدفاتر",IF($O270=ST_CANC,"ملغى",IF($O270=ST_APPR,"معتمد ولم يُرحَّل","مسودة"))))),"")</f>
        <v/>
      </c>
      <c r="Y270" s="32">
        <f>IF($A270=1,IF(AND($R270=1,OR(LG_Acct="",$G270=LG_Acct),OR(LG_Party="",$K270=LG_Party),OR(LG_Loc="ALL",$I270=LG_Loc),OR(LG_CC="ALL",$J270=LG_CC),$D270&gt;=LG_From,$D270&lt;=LG_To),$D270+ROW()/1000000,""),"")</f>
        <v/>
      </c>
      <c r="Z270" s="32">
        <f>IF($A270=1,IF(Sales_Daily!$T25="","",Sales_Daily!$T25),"")</f>
        <v/>
      </c>
      <c r="AA270" s="32">
        <f>IF($A270=1,IF(Sales_Daily!$U25="","",Sales_Daily!$U25),"")</f>
        <v/>
      </c>
      <c r="AB270" s="32">
        <f>IF($A270=1,IF(Sales_Daily!$V25="","",Sales_Daily!$V25),"")</f>
        <v/>
      </c>
      <c r="AC270" s="32">
        <f>IF($A270=1,IF(Sales_Daily!$W25="","",Sales_Daily!$W25),"")</f>
        <v/>
      </c>
      <c r="AD270" s="32">
        <f>IF($A270=1,IF(Sales_Daily!$X25="","",Sales_Daily!$X25),"")</f>
        <v/>
      </c>
      <c r="AE270" s="32">
        <f>IF($A270=1,0,"")</f>
        <v/>
      </c>
      <c r="AF270" s="32" t="inlineStr"/>
    </row>
    <row r="271">
      <c r="A271" s="32">
        <f>IF(AND(Sales_Daily!$AV25=1,N(Sales_Daily!$AH25)&gt;0),1,0)</f>
        <v/>
      </c>
      <c r="B271" s="32">
        <f>IF($A271=1,$E271&amp;"/7","")</f>
        <v/>
      </c>
      <c r="C271" s="32">
        <f>IF($A271=1,"J-"&amp;Sales_Daily!$A25,"")</f>
        <v/>
      </c>
      <c r="D271" s="33">
        <f>IF($A271=1,Sales_Daily!$B25,"")</f>
        <v/>
      </c>
      <c r="E271" s="32">
        <f>IF($A271=1,IF(Sales_Daily!$A25="","",Sales_Daily!$A25),"")</f>
        <v/>
      </c>
      <c r="F271" s="32">
        <f>IF($A271=1,"SAL","")</f>
        <v/>
      </c>
      <c r="G271" s="32">
        <f>IF($A271=1,ACC_DISC,"")</f>
        <v/>
      </c>
      <c r="H271" s="32">
        <f>IF($A271=1,IF(COUNTIF(COA!$A:$A,$G271)=0,"حساب غير معرف",INDEX(COA!$B:$B,MATCH($G271,COA!$A:$A,0))),"")</f>
        <v/>
      </c>
      <c r="I271" s="32">
        <f>IF($A271=1,IF(Sales_Daily!$C25="","",Sales_Daily!$C25),"")</f>
        <v/>
      </c>
      <c r="J271" s="32">
        <f>IF($A271=1,"CC10","")</f>
        <v/>
      </c>
      <c r="K271" s="32">
        <f>IF($A271=1,"-","")</f>
        <v/>
      </c>
      <c r="L271" s="32">
        <f>IF($A271=1,"خصومات المبيعات والعروض","")</f>
        <v/>
      </c>
      <c r="M271" s="43">
        <f>IF($A271=1,Sales_Daily!$AH25,"")</f>
        <v/>
      </c>
      <c r="N271" s="43">
        <f>IF($A271=1,0,"")</f>
        <v/>
      </c>
      <c r="O271" s="32">
        <f>IF($A271=1,Sales_Daily!$S25,"")</f>
        <v/>
      </c>
      <c r="P271" s="32">
        <f>IF($A271=1,IF(Sales_Daily!$AW25="","",Sales_Daily!$AW25),"")</f>
        <v/>
      </c>
      <c r="Q271" s="32">
        <f>IF($A271=1,Sales_Daily!$AY25,"")</f>
        <v/>
      </c>
      <c r="R271" s="32">
        <f>IF($A271=1,IF(AND($Q271=1,COUNTIFS(COA!$A:$A,$G271,COA!$R:$R,1)=1),1,0),"")</f>
        <v/>
      </c>
      <c r="S271" s="43">
        <f>IF($A271=1,IF($R271=1,N($M271),0),"")</f>
        <v/>
      </c>
      <c r="T271" s="43">
        <f>IF($A271=1,IF($R271=1,N($N271),0),"")</f>
        <v/>
      </c>
      <c r="U271" s="32">
        <f>IF($A271=1,YEAR($D271)*100+MONTH($D271),"")</f>
        <v/>
      </c>
      <c r="V271" s="32">
        <f>IF($A271=1,IF(COUNTIF(COA!$A:$A,$G271)=0,0,INDEX(COA!$H:$H,MATCH($G271,COA!$A:$A,0))),"")</f>
        <v/>
      </c>
      <c r="W271" s="32">
        <f>IF($A271=1,"","")</f>
        <v/>
      </c>
      <c r="X271" s="32">
        <f>IF($A271=1,IF($R271=1,"",IF($O271=ST_POST,IF($P271&lt;&gt;"",$P271,"حساب غير صالح أو غير نشط"),IF($O271=ST_REV,"معكوس: لا أثر على الدفاتر",IF($O271=ST_CANC,"ملغى",IF($O271=ST_APPR,"معتمد ولم يُرحَّل","مسودة"))))),"")</f>
        <v/>
      </c>
      <c r="Y271" s="32">
        <f>IF($A271=1,IF(AND($R271=1,OR(LG_Acct="",$G271=LG_Acct),OR(LG_Party="",$K271=LG_Party),OR(LG_Loc="ALL",$I271=LG_Loc),OR(LG_CC="ALL",$J271=LG_CC),$D271&gt;=LG_From,$D271&lt;=LG_To),$D271+ROW()/1000000,""),"")</f>
        <v/>
      </c>
      <c r="Z271" s="32">
        <f>IF($A271=1,IF(Sales_Daily!$T25="","",Sales_Daily!$T25),"")</f>
        <v/>
      </c>
      <c r="AA271" s="32">
        <f>IF($A271=1,IF(Sales_Daily!$U25="","",Sales_Daily!$U25),"")</f>
        <v/>
      </c>
      <c r="AB271" s="32">
        <f>IF($A271=1,IF(Sales_Daily!$V25="","",Sales_Daily!$V25),"")</f>
        <v/>
      </c>
      <c r="AC271" s="32">
        <f>IF($A271=1,IF(Sales_Daily!$W25="","",Sales_Daily!$W25),"")</f>
        <v/>
      </c>
      <c r="AD271" s="32">
        <f>IF($A271=1,IF(Sales_Daily!$X25="","",Sales_Daily!$X25),"")</f>
        <v/>
      </c>
      <c r="AE271" s="32">
        <f>IF($A271=1,0,"")</f>
        <v/>
      </c>
      <c r="AF271" s="32" t="inlineStr"/>
    </row>
    <row r="272">
      <c r="A272" s="32">
        <f>IF(AND(Sales_Daily!$AV25=1,N(Sales_Daily!$AI25)&gt;0),1,0)</f>
        <v/>
      </c>
      <c r="B272" s="32">
        <f>IF($A272=1,$E272&amp;"/8","")</f>
        <v/>
      </c>
      <c r="C272" s="32">
        <f>IF($A272=1,"J-"&amp;Sales_Daily!$A25,"")</f>
        <v/>
      </c>
      <c r="D272" s="33">
        <f>IF($A272=1,Sales_Daily!$B25,"")</f>
        <v/>
      </c>
      <c r="E272" s="32">
        <f>IF($A272=1,IF(Sales_Daily!$A25="","",Sales_Daily!$A25),"")</f>
        <v/>
      </c>
      <c r="F272" s="32">
        <f>IF($A272=1,"SAL","")</f>
        <v/>
      </c>
      <c r="G272" s="32">
        <f>IF($A272=1,ACC_RET,"")</f>
        <v/>
      </c>
      <c r="H272" s="32">
        <f>IF($A272=1,IF(COUNTIF(COA!$A:$A,$G272)=0,"حساب غير معرف",INDEX(COA!$B:$B,MATCH($G272,COA!$A:$A,0))),"")</f>
        <v/>
      </c>
      <c r="I272" s="32">
        <f>IF($A272=1,IF(Sales_Daily!$C25="","",Sales_Daily!$C25),"")</f>
        <v/>
      </c>
      <c r="J272" s="32">
        <f>IF($A272=1,"CC10","")</f>
        <v/>
      </c>
      <c r="K272" s="32">
        <f>IF($A272=1,"-","")</f>
        <v/>
      </c>
      <c r="L272" s="32">
        <f>IF($A272=1,"مرتجعات وإلغاءات المبيعات","")</f>
        <v/>
      </c>
      <c r="M272" s="43">
        <f>IF($A272=1,Sales_Daily!$AI25,"")</f>
        <v/>
      </c>
      <c r="N272" s="43">
        <f>IF($A272=1,0,"")</f>
        <v/>
      </c>
      <c r="O272" s="32">
        <f>IF($A272=1,Sales_Daily!$S25,"")</f>
        <v/>
      </c>
      <c r="P272" s="32">
        <f>IF($A272=1,IF(Sales_Daily!$AW25="","",Sales_Daily!$AW25),"")</f>
        <v/>
      </c>
      <c r="Q272" s="32">
        <f>IF($A272=1,Sales_Daily!$AY25,"")</f>
        <v/>
      </c>
      <c r="R272" s="32">
        <f>IF($A272=1,IF(AND($Q272=1,COUNTIFS(COA!$A:$A,$G272,COA!$R:$R,1)=1),1,0),"")</f>
        <v/>
      </c>
      <c r="S272" s="43">
        <f>IF($A272=1,IF($R272=1,N($M272),0),"")</f>
        <v/>
      </c>
      <c r="T272" s="43">
        <f>IF($A272=1,IF($R272=1,N($N272),0),"")</f>
        <v/>
      </c>
      <c r="U272" s="32">
        <f>IF($A272=1,YEAR($D272)*100+MONTH($D272),"")</f>
        <v/>
      </c>
      <c r="V272" s="32">
        <f>IF($A272=1,IF(COUNTIF(COA!$A:$A,$G272)=0,0,INDEX(COA!$H:$H,MATCH($G272,COA!$A:$A,0))),"")</f>
        <v/>
      </c>
      <c r="W272" s="32">
        <f>IF($A272=1,"","")</f>
        <v/>
      </c>
      <c r="X272" s="32">
        <f>IF($A272=1,IF($R272=1,"",IF($O272=ST_POST,IF($P272&lt;&gt;"",$P272,"حساب غير صالح أو غير نشط"),IF($O272=ST_REV,"معكوس: لا أثر على الدفاتر",IF($O272=ST_CANC,"ملغى",IF($O272=ST_APPR,"معتمد ولم يُرحَّل","مسودة"))))),"")</f>
        <v/>
      </c>
      <c r="Y272" s="32">
        <f>IF($A272=1,IF(AND($R272=1,OR(LG_Acct="",$G272=LG_Acct),OR(LG_Party="",$K272=LG_Party),OR(LG_Loc="ALL",$I272=LG_Loc),OR(LG_CC="ALL",$J272=LG_CC),$D272&gt;=LG_From,$D272&lt;=LG_To),$D272+ROW()/1000000,""),"")</f>
        <v/>
      </c>
      <c r="Z272" s="32">
        <f>IF($A272=1,IF(Sales_Daily!$T25="","",Sales_Daily!$T25),"")</f>
        <v/>
      </c>
      <c r="AA272" s="32">
        <f>IF($A272=1,IF(Sales_Daily!$U25="","",Sales_Daily!$U25),"")</f>
        <v/>
      </c>
      <c r="AB272" s="32">
        <f>IF($A272=1,IF(Sales_Daily!$V25="","",Sales_Daily!$V25),"")</f>
        <v/>
      </c>
      <c r="AC272" s="32">
        <f>IF($A272=1,IF(Sales_Daily!$W25="","",Sales_Daily!$W25),"")</f>
        <v/>
      </c>
      <c r="AD272" s="32">
        <f>IF($A272=1,IF(Sales_Daily!$X25="","",Sales_Daily!$X25),"")</f>
        <v/>
      </c>
      <c r="AE272" s="32">
        <f>IF($A272=1,0,"")</f>
        <v/>
      </c>
      <c r="AF272" s="32" t="inlineStr"/>
    </row>
    <row r="273">
      <c r="A273" s="32">
        <f>IF(AND(Sales_Daily!$AV25=1,N(Sales_Daily!$AD25)&gt;0),1,0)</f>
        <v/>
      </c>
      <c r="B273" s="32">
        <f>IF($A273=1,$E273&amp;"/9","")</f>
        <v/>
      </c>
      <c r="C273" s="32">
        <f>IF($A273=1,"J-"&amp;Sales_Daily!$A25,"")</f>
        <v/>
      </c>
      <c r="D273" s="33">
        <f>IF($A273=1,Sales_Daily!$B25,"")</f>
        <v/>
      </c>
      <c r="E273" s="32">
        <f>IF($A273=1,IF(Sales_Daily!$A25="","",Sales_Daily!$A25),"")</f>
        <v/>
      </c>
      <c r="F273" s="32">
        <f>IF($A273=1,"SAL","")</f>
        <v/>
      </c>
      <c r="G273" s="32">
        <f>IF($A273=1,IF(Sales_Daily!$AQ25="","",Sales_Daily!$AQ25),"")</f>
        <v/>
      </c>
      <c r="H273" s="32">
        <f>IF($A273=1,IF(COUNTIF(COA!$A:$A,$G273)=0,"حساب غير معرف",INDEX(COA!$B:$B,MATCH($G273,COA!$A:$A,0))),"")</f>
        <v/>
      </c>
      <c r="I273" s="32">
        <f>IF($A273=1,IF(Sales_Daily!$C25="","",Sales_Daily!$C25),"")</f>
        <v/>
      </c>
      <c r="J273" s="32">
        <f>IF($A273=1,"CC10","")</f>
        <v/>
      </c>
      <c r="K273" s="32">
        <f>IF($A273=1,"-","")</f>
        <v/>
      </c>
      <c r="L273" s="32">
        <f>IF($A273=1,"إيراد مبيعات - فئة فطير","")</f>
        <v/>
      </c>
      <c r="M273" s="43">
        <f>IF($A273=1,0,"")</f>
        <v/>
      </c>
      <c r="N273" s="43">
        <f>IF($A273=1,Sales_Daily!$AD25,"")</f>
        <v/>
      </c>
      <c r="O273" s="32">
        <f>IF($A273=1,Sales_Daily!$S25,"")</f>
        <v/>
      </c>
      <c r="P273" s="32">
        <f>IF($A273=1,IF(Sales_Daily!$AW25="","",Sales_Daily!$AW25),"")</f>
        <v/>
      </c>
      <c r="Q273" s="32">
        <f>IF($A273=1,Sales_Daily!$AY25,"")</f>
        <v/>
      </c>
      <c r="R273" s="32">
        <f>IF($A273=1,IF(AND($Q273=1,COUNTIFS(COA!$A:$A,$G273,COA!$R:$R,1)=1),1,0),"")</f>
        <v/>
      </c>
      <c r="S273" s="43">
        <f>IF($A273=1,IF($R273=1,N($M273),0),"")</f>
        <v/>
      </c>
      <c r="T273" s="43">
        <f>IF($A273=1,IF($R273=1,N($N273),0),"")</f>
        <v/>
      </c>
      <c r="U273" s="32">
        <f>IF($A273=1,YEAR($D273)*100+MONTH($D273),"")</f>
        <v/>
      </c>
      <c r="V273" s="32">
        <f>IF($A273=1,IF(COUNTIF(COA!$A:$A,$G273)=0,0,INDEX(COA!$H:$H,MATCH($G273,COA!$A:$A,0))),"")</f>
        <v/>
      </c>
      <c r="W273" s="32">
        <f>IF($A273=1,"","")</f>
        <v/>
      </c>
      <c r="X273" s="32">
        <f>IF($A273=1,IF($R273=1,"",IF($O273=ST_POST,IF($P273&lt;&gt;"",$P273,"حساب غير صالح أو غير نشط"),IF($O273=ST_REV,"معكوس: لا أثر على الدفاتر",IF($O273=ST_CANC,"ملغى",IF($O273=ST_APPR,"معتمد ولم يُرحَّل","مسودة"))))),"")</f>
        <v/>
      </c>
      <c r="Y273" s="32">
        <f>IF($A273=1,IF(AND($R273=1,OR(LG_Acct="",$G273=LG_Acct),OR(LG_Party="",$K273=LG_Party),OR(LG_Loc="ALL",$I273=LG_Loc),OR(LG_CC="ALL",$J273=LG_CC),$D273&gt;=LG_From,$D273&lt;=LG_To),$D273+ROW()/1000000,""),"")</f>
        <v/>
      </c>
      <c r="Z273" s="32">
        <f>IF($A273=1,IF(Sales_Daily!$T25="","",Sales_Daily!$T25),"")</f>
        <v/>
      </c>
      <c r="AA273" s="32">
        <f>IF($A273=1,IF(Sales_Daily!$U25="","",Sales_Daily!$U25),"")</f>
        <v/>
      </c>
      <c r="AB273" s="32">
        <f>IF($A273=1,IF(Sales_Daily!$V25="","",Sales_Daily!$V25),"")</f>
        <v/>
      </c>
      <c r="AC273" s="32">
        <f>IF($A273=1,IF(Sales_Daily!$W25="","",Sales_Daily!$W25),"")</f>
        <v/>
      </c>
      <c r="AD273" s="32">
        <f>IF($A273=1,IF(Sales_Daily!$X25="","",Sales_Daily!$X25),"")</f>
        <v/>
      </c>
      <c r="AE273" s="32">
        <f>IF($A273=1,0,"")</f>
        <v/>
      </c>
      <c r="AF273" s="32" t="inlineStr"/>
    </row>
    <row r="274">
      <c r="A274" s="32">
        <f>IF(AND(Sales_Daily!$AV25=1,N(Sales_Daily!$AE25)&gt;0),1,0)</f>
        <v/>
      </c>
      <c r="B274" s="32">
        <f>IF($A274=1,$E274&amp;"/10","")</f>
        <v/>
      </c>
      <c r="C274" s="32">
        <f>IF($A274=1,"J-"&amp;Sales_Daily!$A25,"")</f>
        <v/>
      </c>
      <c r="D274" s="33">
        <f>IF($A274=1,Sales_Daily!$B25,"")</f>
        <v/>
      </c>
      <c r="E274" s="32">
        <f>IF($A274=1,IF(Sales_Daily!$A25="","",Sales_Daily!$A25),"")</f>
        <v/>
      </c>
      <c r="F274" s="32">
        <f>IF($A274=1,"SAL","")</f>
        <v/>
      </c>
      <c r="G274" s="32">
        <f>IF($A274=1,IF(Sales_Daily!$AR25="","",Sales_Daily!$AR25),"")</f>
        <v/>
      </c>
      <c r="H274" s="32">
        <f>IF($A274=1,IF(COUNTIF(COA!$A:$A,$G274)=0,"حساب غير معرف",INDEX(COA!$B:$B,MATCH($G274,COA!$A:$A,0))),"")</f>
        <v/>
      </c>
      <c r="I274" s="32">
        <f>IF($A274=1,IF(Sales_Daily!$C25="","",Sales_Daily!$C25),"")</f>
        <v/>
      </c>
      <c r="J274" s="32">
        <f>IF($A274=1,"CC10","")</f>
        <v/>
      </c>
      <c r="K274" s="32">
        <f>IF($A274=1,"-","")</f>
        <v/>
      </c>
      <c r="L274" s="32">
        <f>IF($A274=1,"إيراد مبيعات - فئة بيتزا","")</f>
        <v/>
      </c>
      <c r="M274" s="43">
        <f>IF($A274=1,0,"")</f>
        <v/>
      </c>
      <c r="N274" s="43">
        <f>IF($A274=1,Sales_Daily!$AE25,"")</f>
        <v/>
      </c>
      <c r="O274" s="32">
        <f>IF($A274=1,Sales_Daily!$S25,"")</f>
        <v/>
      </c>
      <c r="P274" s="32">
        <f>IF($A274=1,IF(Sales_Daily!$AW25="","",Sales_Daily!$AW25),"")</f>
        <v/>
      </c>
      <c r="Q274" s="32">
        <f>IF($A274=1,Sales_Daily!$AY25,"")</f>
        <v/>
      </c>
      <c r="R274" s="32">
        <f>IF($A274=1,IF(AND($Q274=1,COUNTIFS(COA!$A:$A,$G274,COA!$R:$R,1)=1),1,0),"")</f>
        <v/>
      </c>
      <c r="S274" s="43">
        <f>IF($A274=1,IF($R274=1,N($M274),0),"")</f>
        <v/>
      </c>
      <c r="T274" s="43">
        <f>IF($A274=1,IF($R274=1,N($N274),0),"")</f>
        <v/>
      </c>
      <c r="U274" s="32">
        <f>IF($A274=1,YEAR($D274)*100+MONTH($D274),"")</f>
        <v/>
      </c>
      <c r="V274" s="32">
        <f>IF($A274=1,IF(COUNTIF(COA!$A:$A,$G274)=0,0,INDEX(COA!$H:$H,MATCH($G274,COA!$A:$A,0))),"")</f>
        <v/>
      </c>
      <c r="W274" s="32">
        <f>IF($A274=1,"","")</f>
        <v/>
      </c>
      <c r="X274" s="32">
        <f>IF($A274=1,IF($R274=1,"",IF($O274=ST_POST,IF($P274&lt;&gt;"",$P274,"حساب غير صالح أو غير نشط"),IF($O274=ST_REV,"معكوس: لا أثر على الدفاتر",IF($O274=ST_CANC,"ملغى",IF($O274=ST_APPR,"معتمد ولم يُرحَّل","مسودة"))))),"")</f>
        <v/>
      </c>
      <c r="Y274" s="32">
        <f>IF($A274=1,IF(AND($R274=1,OR(LG_Acct="",$G274=LG_Acct),OR(LG_Party="",$K274=LG_Party),OR(LG_Loc="ALL",$I274=LG_Loc),OR(LG_CC="ALL",$J274=LG_CC),$D274&gt;=LG_From,$D274&lt;=LG_To),$D274+ROW()/1000000,""),"")</f>
        <v/>
      </c>
      <c r="Z274" s="32">
        <f>IF($A274=1,IF(Sales_Daily!$T25="","",Sales_Daily!$T25),"")</f>
        <v/>
      </c>
      <c r="AA274" s="32">
        <f>IF($A274=1,IF(Sales_Daily!$U25="","",Sales_Daily!$U25),"")</f>
        <v/>
      </c>
      <c r="AB274" s="32">
        <f>IF($A274=1,IF(Sales_Daily!$V25="","",Sales_Daily!$V25),"")</f>
        <v/>
      </c>
      <c r="AC274" s="32">
        <f>IF($A274=1,IF(Sales_Daily!$W25="","",Sales_Daily!$W25),"")</f>
        <v/>
      </c>
      <c r="AD274" s="32">
        <f>IF($A274=1,IF(Sales_Daily!$X25="","",Sales_Daily!$X25),"")</f>
        <v/>
      </c>
      <c r="AE274" s="32">
        <f>IF($A274=1,0,"")</f>
        <v/>
      </c>
      <c r="AF274" s="32" t="inlineStr"/>
    </row>
    <row r="275">
      <c r="A275" s="32">
        <f>IF(AND(Sales_Daily!$AV25=1,N(Sales_Daily!$AF25)&gt;0),1,0)</f>
        <v/>
      </c>
      <c r="B275" s="32">
        <f>IF($A275=1,$E275&amp;"/11","")</f>
        <v/>
      </c>
      <c r="C275" s="32">
        <f>IF($A275=1,"J-"&amp;Sales_Daily!$A25,"")</f>
        <v/>
      </c>
      <c r="D275" s="33">
        <f>IF($A275=1,Sales_Daily!$B25,"")</f>
        <v/>
      </c>
      <c r="E275" s="32">
        <f>IF($A275=1,IF(Sales_Daily!$A25="","",Sales_Daily!$A25),"")</f>
        <v/>
      </c>
      <c r="F275" s="32">
        <f>IF($A275=1,"SAL","")</f>
        <v/>
      </c>
      <c r="G275" s="32">
        <f>IF($A275=1,IF(Sales_Daily!$AS25="","",Sales_Daily!$AS25),"")</f>
        <v/>
      </c>
      <c r="H275" s="32">
        <f>IF($A275=1,IF(COUNTIF(COA!$A:$A,$G275)=0,"حساب غير معرف",INDEX(COA!$B:$B,MATCH($G275,COA!$A:$A,0))),"")</f>
        <v/>
      </c>
      <c r="I275" s="32">
        <f>IF($A275=1,IF(Sales_Daily!$C25="","",Sales_Daily!$C25),"")</f>
        <v/>
      </c>
      <c r="J275" s="32">
        <f>IF($A275=1,"CC10","")</f>
        <v/>
      </c>
      <c r="K275" s="32">
        <f>IF($A275=1,"-","")</f>
        <v/>
      </c>
      <c r="L275" s="32">
        <f>IF($A275=1,"إيراد مبيعات - فئة مكرونات","")</f>
        <v/>
      </c>
      <c r="M275" s="43">
        <f>IF($A275=1,0,"")</f>
        <v/>
      </c>
      <c r="N275" s="43">
        <f>IF($A275=1,Sales_Daily!$AF25,"")</f>
        <v/>
      </c>
      <c r="O275" s="32">
        <f>IF($A275=1,Sales_Daily!$S25,"")</f>
        <v/>
      </c>
      <c r="P275" s="32">
        <f>IF($A275=1,IF(Sales_Daily!$AW25="","",Sales_Daily!$AW25),"")</f>
        <v/>
      </c>
      <c r="Q275" s="32">
        <f>IF($A275=1,Sales_Daily!$AY25,"")</f>
        <v/>
      </c>
      <c r="R275" s="32">
        <f>IF($A275=1,IF(AND($Q275=1,COUNTIFS(COA!$A:$A,$G275,COA!$R:$R,1)=1),1,0),"")</f>
        <v/>
      </c>
      <c r="S275" s="43">
        <f>IF($A275=1,IF($R275=1,N($M275),0),"")</f>
        <v/>
      </c>
      <c r="T275" s="43">
        <f>IF($A275=1,IF($R275=1,N($N275),0),"")</f>
        <v/>
      </c>
      <c r="U275" s="32">
        <f>IF($A275=1,YEAR($D275)*100+MONTH($D275),"")</f>
        <v/>
      </c>
      <c r="V275" s="32">
        <f>IF($A275=1,IF(COUNTIF(COA!$A:$A,$G275)=0,0,INDEX(COA!$H:$H,MATCH($G275,COA!$A:$A,0))),"")</f>
        <v/>
      </c>
      <c r="W275" s="32">
        <f>IF($A275=1,"","")</f>
        <v/>
      </c>
      <c r="X275" s="32">
        <f>IF($A275=1,IF($R275=1,"",IF($O275=ST_POST,IF($P275&lt;&gt;"",$P275,"حساب غير صالح أو غير نشط"),IF($O275=ST_REV,"معكوس: لا أثر على الدفاتر",IF($O275=ST_CANC,"ملغى",IF($O275=ST_APPR,"معتمد ولم يُرحَّل","مسودة"))))),"")</f>
        <v/>
      </c>
      <c r="Y275" s="32">
        <f>IF($A275=1,IF(AND($R275=1,OR(LG_Acct="",$G275=LG_Acct),OR(LG_Party="",$K275=LG_Party),OR(LG_Loc="ALL",$I275=LG_Loc),OR(LG_CC="ALL",$J275=LG_CC),$D275&gt;=LG_From,$D275&lt;=LG_To),$D275+ROW()/1000000,""),"")</f>
        <v/>
      </c>
      <c r="Z275" s="32">
        <f>IF($A275=1,IF(Sales_Daily!$T25="","",Sales_Daily!$T25),"")</f>
        <v/>
      </c>
      <c r="AA275" s="32">
        <f>IF($A275=1,IF(Sales_Daily!$U25="","",Sales_Daily!$U25),"")</f>
        <v/>
      </c>
      <c r="AB275" s="32">
        <f>IF($A275=1,IF(Sales_Daily!$V25="","",Sales_Daily!$V25),"")</f>
        <v/>
      </c>
      <c r="AC275" s="32">
        <f>IF($A275=1,IF(Sales_Daily!$W25="","",Sales_Daily!$W25),"")</f>
        <v/>
      </c>
      <c r="AD275" s="32">
        <f>IF($A275=1,IF(Sales_Daily!$X25="","",Sales_Daily!$X25),"")</f>
        <v/>
      </c>
      <c r="AE275" s="32">
        <f>IF($A275=1,0,"")</f>
        <v/>
      </c>
      <c r="AF275" s="32" t="inlineStr"/>
    </row>
    <row r="276">
      <c r="A276" s="32">
        <f>IF(AND(Sales_Daily!$AV25=1,N(Sales_Daily!$AG25)&gt;0),1,0)</f>
        <v/>
      </c>
      <c r="B276" s="32">
        <f>IF($A276=1,$E276&amp;"/12","")</f>
        <v/>
      </c>
      <c r="C276" s="32">
        <f>IF($A276=1,"J-"&amp;Sales_Daily!$A25,"")</f>
        <v/>
      </c>
      <c r="D276" s="33">
        <f>IF($A276=1,Sales_Daily!$B25,"")</f>
        <v/>
      </c>
      <c r="E276" s="32">
        <f>IF($A276=1,IF(Sales_Daily!$A25="","",Sales_Daily!$A25),"")</f>
        <v/>
      </c>
      <c r="F276" s="32">
        <f>IF($A276=1,"SAL","")</f>
        <v/>
      </c>
      <c r="G276" s="32">
        <f>IF($A276=1,IF(Sales_Daily!$AT25="","",Sales_Daily!$AT25),"")</f>
        <v/>
      </c>
      <c r="H276" s="32">
        <f>IF($A276=1,IF(COUNTIF(COA!$A:$A,$G276)=0,"حساب غير معرف",INDEX(COA!$B:$B,MATCH($G276,COA!$A:$A,0))),"")</f>
        <v/>
      </c>
      <c r="I276" s="32">
        <f>IF($A276=1,IF(Sales_Daily!$C25="","",Sales_Daily!$C25),"")</f>
        <v/>
      </c>
      <c r="J276" s="32">
        <f>IF($A276=1,"CC10","")</f>
        <v/>
      </c>
      <c r="K276" s="32">
        <f>IF($A276=1,"-","")</f>
        <v/>
      </c>
      <c r="L276" s="32">
        <f>IF($A276=1,"إيراد مبيعات - فئة أخرى","")</f>
        <v/>
      </c>
      <c r="M276" s="43">
        <f>IF($A276=1,0,"")</f>
        <v/>
      </c>
      <c r="N276" s="43">
        <f>IF($A276=1,Sales_Daily!$AG25,"")</f>
        <v/>
      </c>
      <c r="O276" s="32">
        <f>IF($A276=1,Sales_Daily!$S25,"")</f>
        <v/>
      </c>
      <c r="P276" s="32">
        <f>IF($A276=1,IF(Sales_Daily!$AW25="","",Sales_Daily!$AW25),"")</f>
        <v/>
      </c>
      <c r="Q276" s="32">
        <f>IF($A276=1,Sales_Daily!$AY25,"")</f>
        <v/>
      </c>
      <c r="R276" s="32">
        <f>IF($A276=1,IF(AND($Q276=1,COUNTIFS(COA!$A:$A,$G276,COA!$R:$R,1)=1),1,0),"")</f>
        <v/>
      </c>
      <c r="S276" s="43">
        <f>IF($A276=1,IF($R276=1,N($M276),0),"")</f>
        <v/>
      </c>
      <c r="T276" s="43">
        <f>IF($A276=1,IF($R276=1,N($N276),0),"")</f>
        <v/>
      </c>
      <c r="U276" s="32">
        <f>IF($A276=1,YEAR($D276)*100+MONTH($D276),"")</f>
        <v/>
      </c>
      <c r="V276" s="32">
        <f>IF($A276=1,IF(COUNTIF(COA!$A:$A,$G276)=0,0,INDEX(COA!$H:$H,MATCH($G276,COA!$A:$A,0))),"")</f>
        <v/>
      </c>
      <c r="W276" s="32">
        <f>IF($A276=1,"","")</f>
        <v/>
      </c>
      <c r="X276" s="32">
        <f>IF($A276=1,IF($R276=1,"",IF($O276=ST_POST,IF($P276&lt;&gt;"",$P276,"حساب غير صالح أو غير نشط"),IF($O276=ST_REV,"معكوس: لا أثر على الدفاتر",IF($O276=ST_CANC,"ملغى",IF($O276=ST_APPR,"معتمد ولم يُرحَّل","مسودة"))))),"")</f>
        <v/>
      </c>
      <c r="Y276" s="32">
        <f>IF($A276=1,IF(AND($R276=1,OR(LG_Acct="",$G276=LG_Acct),OR(LG_Party="",$K276=LG_Party),OR(LG_Loc="ALL",$I276=LG_Loc),OR(LG_CC="ALL",$J276=LG_CC),$D276&gt;=LG_From,$D276&lt;=LG_To),$D276+ROW()/1000000,""),"")</f>
        <v/>
      </c>
      <c r="Z276" s="32">
        <f>IF($A276=1,IF(Sales_Daily!$T25="","",Sales_Daily!$T25),"")</f>
        <v/>
      </c>
      <c r="AA276" s="32">
        <f>IF($A276=1,IF(Sales_Daily!$U25="","",Sales_Daily!$U25),"")</f>
        <v/>
      </c>
      <c r="AB276" s="32">
        <f>IF($A276=1,IF(Sales_Daily!$V25="","",Sales_Daily!$V25),"")</f>
        <v/>
      </c>
      <c r="AC276" s="32">
        <f>IF($A276=1,IF(Sales_Daily!$W25="","",Sales_Daily!$W25),"")</f>
        <v/>
      </c>
      <c r="AD276" s="32">
        <f>IF($A276=1,IF(Sales_Daily!$X25="","",Sales_Daily!$X25),"")</f>
        <v/>
      </c>
      <c r="AE276" s="32">
        <f>IF($A276=1,0,"")</f>
        <v/>
      </c>
      <c r="AF276" s="32" t="inlineStr"/>
    </row>
    <row r="277">
      <c r="A277" s="32">
        <f>IF(AND(Sales_Daily!$AV25=1,N(Sales_Daily!$AJ25)&gt;0),1,0)</f>
        <v/>
      </c>
      <c r="B277" s="32">
        <f>IF($A277=1,$E277&amp;"/13","")</f>
        <v/>
      </c>
      <c r="C277" s="32">
        <f>IF($A277=1,"J-"&amp;Sales_Daily!$A25,"")</f>
        <v/>
      </c>
      <c r="D277" s="33">
        <f>IF($A277=1,Sales_Daily!$B25,"")</f>
        <v/>
      </c>
      <c r="E277" s="32">
        <f>IF($A277=1,IF(Sales_Daily!$A25="","",Sales_Daily!$A25),"")</f>
        <v/>
      </c>
      <c r="F277" s="32">
        <f>IF($A277=1,"SAL","")</f>
        <v/>
      </c>
      <c r="G277" s="32">
        <f>IF($A277=1,ACC_VAT_OUT,"")</f>
        <v/>
      </c>
      <c r="H277" s="32">
        <f>IF($A277=1,IF(COUNTIF(COA!$A:$A,$G277)=0,"حساب غير معرف",INDEX(COA!$B:$B,MATCH($G277,COA!$A:$A,0))),"")</f>
        <v/>
      </c>
      <c r="I277" s="32">
        <f>IF($A277=1,IF(Sales_Daily!$C25="","",Sales_Daily!$C25),"")</f>
        <v/>
      </c>
      <c r="J277" s="32">
        <f>IF($A277=1,"CC10","")</f>
        <v/>
      </c>
      <c r="K277" s="32">
        <f>IF($A277=1,"-","")</f>
        <v/>
      </c>
      <c r="L277" s="32">
        <f>IF($A277=1,"ضريبة القيمة المضافة - مخرجات","")</f>
        <v/>
      </c>
      <c r="M277" s="43">
        <f>IF($A277=1,0,"")</f>
        <v/>
      </c>
      <c r="N277" s="43">
        <f>IF($A277=1,Sales_Daily!$AJ25,"")</f>
        <v/>
      </c>
      <c r="O277" s="32">
        <f>IF($A277=1,Sales_Daily!$S25,"")</f>
        <v/>
      </c>
      <c r="P277" s="32">
        <f>IF($A277=1,IF(Sales_Daily!$AW25="","",Sales_Daily!$AW25),"")</f>
        <v/>
      </c>
      <c r="Q277" s="32">
        <f>IF($A277=1,Sales_Daily!$AY25,"")</f>
        <v/>
      </c>
      <c r="R277" s="32">
        <f>IF($A277=1,IF(AND($Q277=1,COUNTIFS(COA!$A:$A,$G277,COA!$R:$R,1)=1),1,0),"")</f>
        <v/>
      </c>
      <c r="S277" s="43">
        <f>IF($A277=1,IF($R277=1,N($M277),0),"")</f>
        <v/>
      </c>
      <c r="T277" s="43">
        <f>IF($A277=1,IF($R277=1,N($N277),0),"")</f>
        <v/>
      </c>
      <c r="U277" s="32">
        <f>IF($A277=1,YEAR($D277)*100+MONTH($D277),"")</f>
        <v/>
      </c>
      <c r="V277" s="32">
        <f>IF($A277=1,IF(COUNTIF(COA!$A:$A,$G277)=0,0,INDEX(COA!$H:$H,MATCH($G277,COA!$A:$A,0))),"")</f>
        <v/>
      </c>
      <c r="W277" s="32">
        <f>IF($A277=1,"","")</f>
        <v/>
      </c>
      <c r="X277" s="32">
        <f>IF($A277=1,IF($R277=1,"",IF($O277=ST_POST,IF($P277&lt;&gt;"",$P277,"حساب غير صالح أو غير نشط"),IF($O277=ST_REV,"معكوس: لا أثر على الدفاتر",IF($O277=ST_CANC,"ملغى",IF($O277=ST_APPR,"معتمد ولم يُرحَّل","مسودة"))))),"")</f>
        <v/>
      </c>
      <c r="Y277" s="32">
        <f>IF($A277=1,IF(AND($R277=1,OR(LG_Acct="",$G277=LG_Acct),OR(LG_Party="",$K277=LG_Party),OR(LG_Loc="ALL",$I277=LG_Loc),OR(LG_CC="ALL",$J277=LG_CC),$D277&gt;=LG_From,$D277&lt;=LG_To),$D277+ROW()/1000000,""),"")</f>
        <v/>
      </c>
      <c r="Z277" s="32">
        <f>IF($A277=1,IF(Sales_Daily!$T25="","",Sales_Daily!$T25),"")</f>
        <v/>
      </c>
      <c r="AA277" s="32">
        <f>IF($A277=1,IF(Sales_Daily!$U25="","",Sales_Daily!$U25),"")</f>
        <v/>
      </c>
      <c r="AB277" s="32">
        <f>IF($A277=1,IF(Sales_Daily!$V25="","",Sales_Daily!$V25),"")</f>
        <v/>
      </c>
      <c r="AC277" s="32">
        <f>IF($A277=1,IF(Sales_Daily!$W25="","",Sales_Daily!$W25),"")</f>
        <v/>
      </c>
      <c r="AD277" s="32">
        <f>IF($A277=1,IF(Sales_Daily!$X25="","",Sales_Daily!$X25),"")</f>
        <v/>
      </c>
      <c r="AE277" s="32">
        <f>IF($A277=1,0,"")</f>
        <v/>
      </c>
      <c r="AF277" s="32" t="inlineStr"/>
    </row>
    <row r="278">
      <c r="A278" s="32">
        <f>IF(AND(Sales_Daily!$AV26=1,N(Sales_Daily!$L26)&gt;0),1,0)</f>
        <v/>
      </c>
      <c r="B278" s="32">
        <f>IF($A278=1,$E278&amp;"/1","")</f>
        <v/>
      </c>
      <c r="C278" s="32">
        <f>IF($A278=1,"J-"&amp;Sales_Daily!$A26,"")</f>
        <v/>
      </c>
      <c r="D278" s="33">
        <f>IF($A278=1,Sales_Daily!$B26,"")</f>
        <v/>
      </c>
      <c r="E278" s="32">
        <f>IF($A278=1,IF(Sales_Daily!$A26="","",Sales_Daily!$A26),"")</f>
        <v/>
      </c>
      <c r="F278" s="32">
        <f>IF($A278=1,"SAL","")</f>
        <v/>
      </c>
      <c r="G278" s="32">
        <f>IF($A278=1,IF(Sales_Daily!$AK26="","",Sales_Daily!$AK26),"")</f>
        <v/>
      </c>
      <c r="H278" s="32">
        <f>IF($A278=1,IF(COUNTIF(COA!$A:$A,$G278)=0,"حساب غير معرف",INDEX(COA!$B:$B,MATCH($G278,COA!$A:$A,0))),"")</f>
        <v/>
      </c>
      <c r="I278" s="32">
        <f>IF($A278=1,IF(Sales_Daily!$C26="","",Sales_Daily!$C26),"")</f>
        <v/>
      </c>
      <c r="J278" s="32">
        <f>IF($A278=1,"CC10","")</f>
        <v/>
      </c>
      <c r="K278" s="32">
        <f>IF($A278=1,"-","")</f>
        <v/>
      </c>
      <c r="L278" s="32">
        <f>IF($A278=1,"مبيعات - تحصيل CASH","")</f>
        <v/>
      </c>
      <c r="M278" s="43">
        <f>IF($A278=1,Sales_Daily!$L26,"")</f>
        <v/>
      </c>
      <c r="N278" s="43">
        <f>IF($A278=1,0,"")</f>
        <v/>
      </c>
      <c r="O278" s="32">
        <f>IF($A278=1,Sales_Daily!$S26,"")</f>
        <v/>
      </c>
      <c r="P278" s="32">
        <f>IF($A278=1,IF(Sales_Daily!$AW26="","",Sales_Daily!$AW26),"")</f>
        <v/>
      </c>
      <c r="Q278" s="32">
        <f>IF($A278=1,Sales_Daily!$AY26,"")</f>
        <v/>
      </c>
      <c r="R278" s="32">
        <f>IF($A278=1,IF(AND($Q278=1,COUNTIFS(COA!$A:$A,$G278,COA!$R:$R,1)=1),1,0),"")</f>
        <v/>
      </c>
      <c r="S278" s="43">
        <f>IF($A278=1,IF($R278=1,N($M278),0),"")</f>
        <v/>
      </c>
      <c r="T278" s="43">
        <f>IF($A278=1,IF($R278=1,N($N278),0),"")</f>
        <v/>
      </c>
      <c r="U278" s="32">
        <f>IF($A278=1,YEAR($D278)*100+MONTH($D278),"")</f>
        <v/>
      </c>
      <c r="V278" s="32">
        <f>IF($A278=1,IF(COUNTIF(COA!$A:$A,$G278)=0,0,INDEX(COA!$H:$H,MATCH($G278,COA!$A:$A,0))),"")</f>
        <v/>
      </c>
      <c r="W278" s="32">
        <f>IF($A278=1,"OPERATING","")</f>
        <v/>
      </c>
      <c r="X278" s="32">
        <f>IF($A278=1,IF($R278=1,"",IF($O278=ST_POST,IF($P278&lt;&gt;"",$P278,"حساب غير صالح أو غير نشط"),IF($O278=ST_REV,"معكوس: لا أثر على الدفاتر",IF($O278=ST_CANC,"ملغى",IF($O278=ST_APPR,"معتمد ولم يُرحَّل","مسودة"))))),"")</f>
        <v/>
      </c>
      <c r="Y278" s="32">
        <f>IF($A278=1,IF(AND($R278=1,OR(LG_Acct="",$G278=LG_Acct),OR(LG_Party="",$K278=LG_Party),OR(LG_Loc="ALL",$I278=LG_Loc),OR(LG_CC="ALL",$J278=LG_CC),$D278&gt;=LG_From,$D278&lt;=LG_To),$D278+ROW()/1000000,""),"")</f>
        <v/>
      </c>
      <c r="Z278" s="32">
        <f>IF($A278=1,IF(Sales_Daily!$T26="","",Sales_Daily!$T26),"")</f>
        <v/>
      </c>
      <c r="AA278" s="32">
        <f>IF($A278=1,IF(Sales_Daily!$U26="","",Sales_Daily!$U26),"")</f>
        <v/>
      </c>
      <c r="AB278" s="32">
        <f>IF($A278=1,IF(Sales_Daily!$V26="","",Sales_Daily!$V26),"")</f>
        <v/>
      </c>
      <c r="AC278" s="32">
        <f>IF($A278=1,IF(Sales_Daily!$W26="","",Sales_Daily!$W26),"")</f>
        <v/>
      </c>
      <c r="AD278" s="32">
        <f>IF($A278=1,IF(Sales_Daily!$X26="","",Sales_Daily!$X26),"")</f>
        <v/>
      </c>
      <c r="AE278" s="32">
        <f>IF($A278=1,0,"")</f>
        <v/>
      </c>
      <c r="AF278" s="32" t="inlineStr"/>
    </row>
    <row r="279">
      <c r="A279" s="32">
        <f>IF(AND(Sales_Daily!$AV26=1,N(Sales_Daily!$M26)&gt;0),1,0)</f>
        <v/>
      </c>
      <c r="B279" s="32">
        <f>IF($A279=1,$E279&amp;"/2","")</f>
        <v/>
      </c>
      <c r="C279" s="32">
        <f>IF($A279=1,"J-"&amp;Sales_Daily!$A26,"")</f>
        <v/>
      </c>
      <c r="D279" s="33">
        <f>IF($A279=1,Sales_Daily!$B26,"")</f>
        <v/>
      </c>
      <c r="E279" s="32">
        <f>IF($A279=1,IF(Sales_Daily!$A26="","",Sales_Daily!$A26),"")</f>
        <v/>
      </c>
      <c r="F279" s="32">
        <f>IF($A279=1,"SAL","")</f>
        <v/>
      </c>
      <c r="G279" s="32">
        <f>IF($A279=1,IF(Sales_Daily!$AL26="","",Sales_Daily!$AL26),"")</f>
        <v/>
      </c>
      <c r="H279" s="32">
        <f>IF($A279=1,IF(COUNTIF(COA!$A:$A,$G279)=0,"حساب غير معرف",INDEX(COA!$B:$B,MATCH($G279,COA!$A:$A,0))),"")</f>
        <v/>
      </c>
      <c r="I279" s="32">
        <f>IF($A279=1,IF(Sales_Daily!$C26="","",Sales_Daily!$C26),"")</f>
        <v/>
      </c>
      <c r="J279" s="32">
        <f>IF($A279=1,"CC10","")</f>
        <v/>
      </c>
      <c r="K279" s="32">
        <f>IF($A279=1,"-","")</f>
        <v/>
      </c>
      <c r="L279" s="32">
        <f>IF($A279=1,"مبيعات - تحصيل CARD","")</f>
        <v/>
      </c>
      <c r="M279" s="43">
        <f>IF($A279=1,Sales_Daily!$M26,"")</f>
        <v/>
      </c>
      <c r="N279" s="43">
        <f>IF($A279=1,0,"")</f>
        <v/>
      </c>
      <c r="O279" s="32">
        <f>IF($A279=1,Sales_Daily!$S26,"")</f>
        <v/>
      </c>
      <c r="P279" s="32">
        <f>IF($A279=1,IF(Sales_Daily!$AW26="","",Sales_Daily!$AW26),"")</f>
        <v/>
      </c>
      <c r="Q279" s="32">
        <f>IF($A279=1,Sales_Daily!$AY26,"")</f>
        <v/>
      </c>
      <c r="R279" s="32">
        <f>IF($A279=1,IF(AND($Q279=1,COUNTIFS(COA!$A:$A,$G279,COA!$R:$R,1)=1),1,0),"")</f>
        <v/>
      </c>
      <c r="S279" s="43">
        <f>IF($A279=1,IF($R279=1,N($M279),0),"")</f>
        <v/>
      </c>
      <c r="T279" s="43">
        <f>IF($A279=1,IF($R279=1,N($N279),0),"")</f>
        <v/>
      </c>
      <c r="U279" s="32">
        <f>IF($A279=1,YEAR($D279)*100+MONTH($D279),"")</f>
        <v/>
      </c>
      <c r="V279" s="32">
        <f>IF($A279=1,IF(COUNTIF(COA!$A:$A,$G279)=0,0,INDEX(COA!$H:$H,MATCH($G279,COA!$A:$A,0))),"")</f>
        <v/>
      </c>
      <c r="W279" s="32">
        <f>IF($A279=1,"OPERATING","")</f>
        <v/>
      </c>
      <c r="X279" s="32">
        <f>IF($A279=1,IF($R279=1,"",IF($O279=ST_POST,IF($P279&lt;&gt;"",$P279,"حساب غير صالح أو غير نشط"),IF($O279=ST_REV,"معكوس: لا أثر على الدفاتر",IF($O279=ST_CANC,"ملغى",IF($O279=ST_APPR,"معتمد ولم يُرحَّل","مسودة"))))),"")</f>
        <v/>
      </c>
      <c r="Y279" s="32">
        <f>IF($A279=1,IF(AND($R279=1,OR(LG_Acct="",$G279=LG_Acct),OR(LG_Party="",$K279=LG_Party),OR(LG_Loc="ALL",$I279=LG_Loc),OR(LG_CC="ALL",$J279=LG_CC),$D279&gt;=LG_From,$D279&lt;=LG_To),$D279+ROW()/1000000,""),"")</f>
        <v/>
      </c>
      <c r="Z279" s="32">
        <f>IF($A279=1,IF(Sales_Daily!$T26="","",Sales_Daily!$T26),"")</f>
        <v/>
      </c>
      <c r="AA279" s="32">
        <f>IF($A279=1,IF(Sales_Daily!$U26="","",Sales_Daily!$U26),"")</f>
        <v/>
      </c>
      <c r="AB279" s="32">
        <f>IF($A279=1,IF(Sales_Daily!$V26="","",Sales_Daily!$V26),"")</f>
        <v/>
      </c>
      <c r="AC279" s="32">
        <f>IF($A279=1,IF(Sales_Daily!$W26="","",Sales_Daily!$W26),"")</f>
        <v/>
      </c>
      <c r="AD279" s="32">
        <f>IF($A279=1,IF(Sales_Daily!$X26="","",Sales_Daily!$X26),"")</f>
        <v/>
      </c>
      <c r="AE279" s="32">
        <f>IF($A279=1,0,"")</f>
        <v/>
      </c>
      <c r="AF279" s="32" t="inlineStr"/>
    </row>
    <row r="280">
      <c r="A280" s="32">
        <f>IF(AND(Sales_Daily!$AV26=1,N(Sales_Daily!$N26)&gt;0),1,0)</f>
        <v/>
      </c>
      <c r="B280" s="32">
        <f>IF($A280=1,$E280&amp;"/3","")</f>
        <v/>
      </c>
      <c r="C280" s="32">
        <f>IF($A280=1,"J-"&amp;Sales_Daily!$A26,"")</f>
        <v/>
      </c>
      <c r="D280" s="33">
        <f>IF($A280=1,Sales_Daily!$B26,"")</f>
        <v/>
      </c>
      <c r="E280" s="32">
        <f>IF($A280=1,IF(Sales_Daily!$A26="","",Sales_Daily!$A26),"")</f>
        <v/>
      </c>
      <c r="F280" s="32">
        <f>IF($A280=1,"SAL","")</f>
        <v/>
      </c>
      <c r="G280" s="32">
        <f>IF($A280=1,IF(Sales_Daily!$AM26="","",Sales_Daily!$AM26),"")</f>
        <v/>
      </c>
      <c r="H280" s="32">
        <f>IF($A280=1,IF(COUNTIF(COA!$A:$A,$G280)=0,"حساب غير معرف",INDEX(COA!$B:$B,MATCH($G280,COA!$A:$A,0))),"")</f>
        <v/>
      </c>
      <c r="I280" s="32">
        <f>IF($A280=1,IF(Sales_Daily!$C26="","",Sales_Daily!$C26),"")</f>
        <v/>
      </c>
      <c r="J280" s="32">
        <f>IF($A280=1,"CC10","")</f>
        <v/>
      </c>
      <c r="K280" s="32">
        <f>IF($A280=1,"-","")</f>
        <v/>
      </c>
      <c r="L280" s="32">
        <f>IF($A280=1,"مبيعات - تحصيل TLB","")</f>
        <v/>
      </c>
      <c r="M280" s="43">
        <f>IF($A280=1,Sales_Daily!$N26,"")</f>
        <v/>
      </c>
      <c r="N280" s="43">
        <f>IF($A280=1,0,"")</f>
        <v/>
      </c>
      <c r="O280" s="32">
        <f>IF($A280=1,Sales_Daily!$S26,"")</f>
        <v/>
      </c>
      <c r="P280" s="32">
        <f>IF($A280=1,IF(Sales_Daily!$AW26="","",Sales_Daily!$AW26),"")</f>
        <v/>
      </c>
      <c r="Q280" s="32">
        <f>IF($A280=1,Sales_Daily!$AY26,"")</f>
        <v/>
      </c>
      <c r="R280" s="32">
        <f>IF($A280=1,IF(AND($Q280=1,COUNTIFS(COA!$A:$A,$G280,COA!$R:$R,1)=1),1,0),"")</f>
        <v/>
      </c>
      <c r="S280" s="43">
        <f>IF($A280=1,IF($R280=1,N($M280),0),"")</f>
        <v/>
      </c>
      <c r="T280" s="43">
        <f>IF($A280=1,IF($R280=1,N($N280),0),"")</f>
        <v/>
      </c>
      <c r="U280" s="32">
        <f>IF($A280=1,YEAR($D280)*100+MONTH($D280),"")</f>
        <v/>
      </c>
      <c r="V280" s="32">
        <f>IF($A280=1,IF(COUNTIF(COA!$A:$A,$G280)=0,0,INDEX(COA!$H:$H,MATCH($G280,COA!$A:$A,0))),"")</f>
        <v/>
      </c>
      <c r="W280" s="32">
        <f>IF($A280=1,"OPERATING","")</f>
        <v/>
      </c>
      <c r="X280" s="32">
        <f>IF($A280=1,IF($R280=1,"",IF($O280=ST_POST,IF($P280&lt;&gt;"",$P280,"حساب غير صالح أو غير نشط"),IF($O280=ST_REV,"معكوس: لا أثر على الدفاتر",IF($O280=ST_CANC,"ملغى",IF($O280=ST_APPR,"معتمد ولم يُرحَّل","مسودة"))))),"")</f>
        <v/>
      </c>
      <c r="Y280" s="32">
        <f>IF($A280=1,IF(AND($R280=1,OR(LG_Acct="",$G280=LG_Acct),OR(LG_Party="",$K280=LG_Party),OR(LG_Loc="ALL",$I280=LG_Loc),OR(LG_CC="ALL",$J280=LG_CC),$D280&gt;=LG_From,$D280&lt;=LG_To),$D280+ROW()/1000000,""),"")</f>
        <v/>
      </c>
      <c r="Z280" s="32">
        <f>IF($A280=1,IF(Sales_Daily!$T26="","",Sales_Daily!$T26),"")</f>
        <v/>
      </c>
      <c r="AA280" s="32">
        <f>IF($A280=1,IF(Sales_Daily!$U26="","",Sales_Daily!$U26),"")</f>
        <v/>
      </c>
      <c r="AB280" s="32">
        <f>IF($A280=1,IF(Sales_Daily!$V26="","",Sales_Daily!$V26),"")</f>
        <v/>
      </c>
      <c r="AC280" s="32">
        <f>IF($A280=1,IF(Sales_Daily!$W26="","",Sales_Daily!$W26),"")</f>
        <v/>
      </c>
      <c r="AD280" s="32">
        <f>IF($A280=1,IF(Sales_Daily!$X26="","",Sales_Daily!$X26),"")</f>
        <v/>
      </c>
      <c r="AE280" s="32">
        <f>IF($A280=1,0,"")</f>
        <v/>
      </c>
      <c r="AF280" s="32" t="inlineStr"/>
    </row>
    <row r="281">
      <c r="A281" s="32">
        <f>IF(AND(Sales_Daily!$AV26=1,N(Sales_Daily!$O26)&gt;0),1,0)</f>
        <v/>
      </c>
      <c r="B281" s="32">
        <f>IF($A281=1,$E281&amp;"/4","")</f>
        <v/>
      </c>
      <c r="C281" s="32">
        <f>IF($A281=1,"J-"&amp;Sales_Daily!$A26,"")</f>
        <v/>
      </c>
      <c r="D281" s="33">
        <f>IF($A281=1,Sales_Daily!$B26,"")</f>
        <v/>
      </c>
      <c r="E281" s="32">
        <f>IF($A281=1,IF(Sales_Daily!$A26="","",Sales_Daily!$A26),"")</f>
        <v/>
      </c>
      <c r="F281" s="32">
        <f>IF($A281=1,"SAL","")</f>
        <v/>
      </c>
      <c r="G281" s="32">
        <f>IF($A281=1,IF(Sales_Daily!$AN26="","",Sales_Daily!$AN26),"")</f>
        <v/>
      </c>
      <c r="H281" s="32">
        <f>IF($A281=1,IF(COUNTIF(COA!$A:$A,$G281)=0,"حساب غير معرف",INDEX(COA!$B:$B,MATCH($G281,COA!$A:$A,0))),"")</f>
        <v/>
      </c>
      <c r="I281" s="32">
        <f>IF($A281=1,IF(Sales_Daily!$C26="","",Sales_Daily!$C26),"")</f>
        <v/>
      </c>
      <c r="J281" s="32">
        <f>IF($A281=1,"CC10","")</f>
        <v/>
      </c>
      <c r="K281" s="32">
        <f>IF($A281=1,"-","")</f>
        <v/>
      </c>
      <c r="L281" s="32">
        <f>IF($A281=1,"مبيعات - تحصيل DLV2","")</f>
        <v/>
      </c>
      <c r="M281" s="43">
        <f>IF($A281=1,Sales_Daily!$O26,"")</f>
        <v/>
      </c>
      <c r="N281" s="43">
        <f>IF($A281=1,0,"")</f>
        <v/>
      </c>
      <c r="O281" s="32">
        <f>IF($A281=1,Sales_Daily!$S26,"")</f>
        <v/>
      </c>
      <c r="P281" s="32">
        <f>IF($A281=1,IF(Sales_Daily!$AW26="","",Sales_Daily!$AW26),"")</f>
        <v/>
      </c>
      <c r="Q281" s="32">
        <f>IF($A281=1,Sales_Daily!$AY26,"")</f>
        <v/>
      </c>
      <c r="R281" s="32">
        <f>IF($A281=1,IF(AND($Q281=1,COUNTIFS(COA!$A:$A,$G281,COA!$R:$R,1)=1),1,0),"")</f>
        <v/>
      </c>
      <c r="S281" s="43">
        <f>IF($A281=1,IF($R281=1,N($M281),0),"")</f>
        <v/>
      </c>
      <c r="T281" s="43">
        <f>IF($A281=1,IF($R281=1,N($N281),0),"")</f>
        <v/>
      </c>
      <c r="U281" s="32">
        <f>IF($A281=1,YEAR($D281)*100+MONTH($D281),"")</f>
        <v/>
      </c>
      <c r="V281" s="32">
        <f>IF($A281=1,IF(COUNTIF(COA!$A:$A,$G281)=0,0,INDEX(COA!$H:$H,MATCH($G281,COA!$A:$A,0))),"")</f>
        <v/>
      </c>
      <c r="W281" s="32">
        <f>IF($A281=1,"OPERATING","")</f>
        <v/>
      </c>
      <c r="X281" s="32">
        <f>IF($A281=1,IF($R281=1,"",IF($O281=ST_POST,IF($P281&lt;&gt;"",$P281,"حساب غير صالح أو غير نشط"),IF($O281=ST_REV,"معكوس: لا أثر على الدفاتر",IF($O281=ST_CANC,"ملغى",IF($O281=ST_APPR,"معتمد ولم يُرحَّل","مسودة"))))),"")</f>
        <v/>
      </c>
      <c r="Y281" s="32">
        <f>IF($A281=1,IF(AND($R281=1,OR(LG_Acct="",$G281=LG_Acct),OR(LG_Party="",$K281=LG_Party),OR(LG_Loc="ALL",$I281=LG_Loc),OR(LG_CC="ALL",$J281=LG_CC),$D281&gt;=LG_From,$D281&lt;=LG_To),$D281+ROW()/1000000,""),"")</f>
        <v/>
      </c>
      <c r="Z281" s="32">
        <f>IF($A281=1,IF(Sales_Daily!$T26="","",Sales_Daily!$T26),"")</f>
        <v/>
      </c>
      <c r="AA281" s="32">
        <f>IF($A281=1,IF(Sales_Daily!$U26="","",Sales_Daily!$U26),"")</f>
        <v/>
      </c>
      <c r="AB281" s="32">
        <f>IF($A281=1,IF(Sales_Daily!$V26="","",Sales_Daily!$V26),"")</f>
        <v/>
      </c>
      <c r="AC281" s="32">
        <f>IF($A281=1,IF(Sales_Daily!$W26="","",Sales_Daily!$W26),"")</f>
        <v/>
      </c>
      <c r="AD281" s="32">
        <f>IF($A281=1,IF(Sales_Daily!$X26="","",Sales_Daily!$X26),"")</f>
        <v/>
      </c>
      <c r="AE281" s="32">
        <f>IF($A281=1,0,"")</f>
        <v/>
      </c>
      <c r="AF281" s="32" t="inlineStr"/>
    </row>
    <row r="282">
      <c r="A282" s="32">
        <f>IF(AND(Sales_Daily!$AV26=1,N(Sales_Daily!$P26)&gt;0),1,0)</f>
        <v/>
      </c>
      <c r="B282" s="32">
        <f>IF($A282=1,$E282&amp;"/5","")</f>
        <v/>
      </c>
      <c r="C282" s="32">
        <f>IF($A282=1,"J-"&amp;Sales_Daily!$A26,"")</f>
        <v/>
      </c>
      <c r="D282" s="33">
        <f>IF($A282=1,Sales_Daily!$B26,"")</f>
        <v/>
      </c>
      <c r="E282" s="32">
        <f>IF($A282=1,IF(Sales_Daily!$A26="","",Sales_Daily!$A26),"")</f>
        <v/>
      </c>
      <c r="F282" s="32">
        <f>IF($A282=1,"SAL","")</f>
        <v/>
      </c>
      <c r="G282" s="32">
        <f>IF($A282=1,IF(Sales_Daily!$AO26="","",Sales_Daily!$AO26),"")</f>
        <v/>
      </c>
      <c r="H282" s="32">
        <f>IF($A282=1,IF(COUNTIF(COA!$A:$A,$G282)=0,"حساب غير معرف",INDEX(COA!$B:$B,MATCH($G282,COA!$A:$A,0))),"")</f>
        <v/>
      </c>
      <c r="I282" s="32">
        <f>IF($A282=1,IF(Sales_Daily!$C26="","",Sales_Daily!$C26),"")</f>
        <v/>
      </c>
      <c r="J282" s="32">
        <f>IF($A282=1,"CC10","")</f>
        <v/>
      </c>
      <c r="K282" s="32">
        <f>IF($A282=1,"-","")</f>
        <v/>
      </c>
      <c r="L282" s="32">
        <f>IF($A282=1,"مبيعات - تحصيل INSTA","")</f>
        <v/>
      </c>
      <c r="M282" s="43">
        <f>IF($A282=1,Sales_Daily!$P26,"")</f>
        <v/>
      </c>
      <c r="N282" s="43">
        <f>IF($A282=1,0,"")</f>
        <v/>
      </c>
      <c r="O282" s="32">
        <f>IF($A282=1,Sales_Daily!$S26,"")</f>
        <v/>
      </c>
      <c r="P282" s="32">
        <f>IF($A282=1,IF(Sales_Daily!$AW26="","",Sales_Daily!$AW26),"")</f>
        <v/>
      </c>
      <c r="Q282" s="32">
        <f>IF($A282=1,Sales_Daily!$AY26,"")</f>
        <v/>
      </c>
      <c r="R282" s="32">
        <f>IF($A282=1,IF(AND($Q282=1,COUNTIFS(COA!$A:$A,$G282,COA!$R:$R,1)=1),1,0),"")</f>
        <v/>
      </c>
      <c r="S282" s="43">
        <f>IF($A282=1,IF($R282=1,N($M282),0),"")</f>
        <v/>
      </c>
      <c r="T282" s="43">
        <f>IF($A282=1,IF($R282=1,N($N282),0),"")</f>
        <v/>
      </c>
      <c r="U282" s="32">
        <f>IF($A282=1,YEAR($D282)*100+MONTH($D282),"")</f>
        <v/>
      </c>
      <c r="V282" s="32">
        <f>IF($A282=1,IF(COUNTIF(COA!$A:$A,$G282)=0,0,INDEX(COA!$H:$H,MATCH($G282,COA!$A:$A,0))),"")</f>
        <v/>
      </c>
      <c r="W282" s="32">
        <f>IF($A282=1,"OPERATING","")</f>
        <v/>
      </c>
      <c r="X282" s="32">
        <f>IF($A282=1,IF($R282=1,"",IF($O282=ST_POST,IF($P282&lt;&gt;"",$P282,"حساب غير صالح أو غير نشط"),IF($O282=ST_REV,"معكوس: لا أثر على الدفاتر",IF($O282=ST_CANC,"ملغى",IF($O282=ST_APPR,"معتمد ولم يُرحَّل","مسودة"))))),"")</f>
        <v/>
      </c>
      <c r="Y282" s="32">
        <f>IF($A282=1,IF(AND($R282=1,OR(LG_Acct="",$G282=LG_Acct),OR(LG_Party="",$K282=LG_Party),OR(LG_Loc="ALL",$I282=LG_Loc),OR(LG_CC="ALL",$J282=LG_CC),$D282&gt;=LG_From,$D282&lt;=LG_To),$D282+ROW()/1000000,""),"")</f>
        <v/>
      </c>
      <c r="Z282" s="32">
        <f>IF($A282=1,IF(Sales_Daily!$T26="","",Sales_Daily!$T26),"")</f>
        <v/>
      </c>
      <c r="AA282" s="32">
        <f>IF($A282=1,IF(Sales_Daily!$U26="","",Sales_Daily!$U26),"")</f>
        <v/>
      </c>
      <c r="AB282" s="32">
        <f>IF($A282=1,IF(Sales_Daily!$V26="","",Sales_Daily!$V26),"")</f>
        <v/>
      </c>
      <c r="AC282" s="32">
        <f>IF($A282=1,IF(Sales_Daily!$W26="","",Sales_Daily!$W26),"")</f>
        <v/>
      </c>
      <c r="AD282" s="32">
        <f>IF($A282=1,IF(Sales_Daily!$X26="","",Sales_Daily!$X26),"")</f>
        <v/>
      </c>
      <c r="AE282" s="32">
        <f>IF($A282=1,0,"")</f>
        <v/>
      </c>
      <c r="AF282" s="32" t="inlineStr"/>
    </row>
    <row r="283">
      <c r="A283" s="32">
        <f>IF(AND(Sales_Daily!$AV26=1,N(Sales_Daily!$Q26)&gt;0),1,0)</f>
        <v/>
      </c>
      <c r="B283" s="32">
        <f>IF($A283=1,$E283&amp;"/6","")</f>
        <v/>
      </c>
      <c r="C283" s="32">
        <f>IF($A283=1,"J-"&amp;Sales_Daily!$A26,"")</f>
        <v/>
      </c>
      <c r="D283" s="33">
        <f>IF($A283=1,Sales_Daily!$B26,"")</f>
        <v/>
      </c>
      <c r="E283" s="32">
        <f>IF($A283=1,IF(Sales_Daily!$A26="","",Sales_Daily!$A26),"")</f>
        <v/>
      </c>
      <c r="F283" s="32">
        <f>IF($A283=1,"SAL","")</f>
        <v/>
      </c>
      <c r="G283" s="32">
        <f>IF($A283=1,IF(Sales_Daily!$AP26="","",Sales_Daily!$AP26),"")</f>
        <v/>
      </c>
      <c r="H283" s="32">
        <f>IF($A283=1,IF(COUNTIF(COA!$A:$A,$G283)=0,"حساب غير معرف",INDEX(COA!$B:$B,MATCH($G283,COA!$A:$A,0))),"")</f>
        <v/>
      </c>
      <c r="I283" s="32">
        <f>IF($A283=1,IF(Sales_Daily!$C26="","",Sales_Daily!$C26),"")</f>
        <v/>
      </c>
      <c r="J283" s="32">
        <f>IF($A283=1,"CC10","")</f>
        <v/>
      </c>
      <c r="K283" s="32">
        <f>IF($A283=1,"-","")</f>
        <v/>
      </c>
      <c r="L283" s="32">
        <f>IF($A283=1,"مبيعات - تحصيل OTH","")</f>
        <v/>
      </c>
      <c r="M283" s="43">
        <f>IF($A283=1,Sales_Daily!$Q26,"")</f>
        <v/>
      </c>
      <c r="N283" s="43">
        <f>IF($A283=1,0,"")</f>
        <v/>
      </c>
      <c r="O283" s="32">
        <f>IF($A283=1,Sales_Daily!$S26,"")</f>
        <v/>
      </c>
      <c r="P283" s="32">
        <f>IF($A283=1,IF(Sales_Daily!$AW26="","",Sales_Daily!$AW26),"")</f>
        <v/>
      </c>
      <c r="Q283" s="32">
        <f>IF($A283=1,Sales_Daily!$AY26,"")</f>
        <v/>
      </c>
      <c r="R283" s="32">
        <f>IF($A283=1,IF(AND($Q283=1,COUNTIFS(COA!$A:$A,$G283,COA!$R:$R,1)=1),1,0),"")</f>
        <v/>
      </c>
      <c r="S283" s="43">
        <f>IF($A283=1,IF($R283=1,N($M283),0),"")</f>
        <v/>
      </c>
      <c r="T283" s="43">
        <f>IF($A283=1,IF($R283=1,N($N283),0),"")</f>
        <v/>
      </c>
      <c r="U283" s="32">
        <f>IF($A283=1,YEAR($D283)*100+MONTH($D283),"")</f>
        <v/>
      </c>
      <c r="V283" s="32">
        <f>IF($A283=1,IF(COUNTIF(COA!$A:$A,$G283)=0,0,INDEX(COA!$H:$H,MATCH($G283,COA!$A:$A,0))),"")</f>
        <v/>
      </c>
      <c r="W283" s="32">
        <f>IF($A283=1,"OPERATING","")</f>
        <v/>
      </c>
      <c r="X283" s="32">
        <f>IF($A283=1,IF($R283=1,"",IF($O283=ST_POST,IF($P283&lt;&gt;"",$P283,"حساب غير صالح أو غير نشط"),IF($O283=ST_REV,"معكوس: لا أثر على الدفاتر",IF($O283=ST_CANC,"ملغى",IF($O283=ST_APPR,"معتمد ولم يُرحَّل","مسودة"))))),"")</f>
        <v/>
      </c>
      <c r="Y283" s="32">
        <f>IF($A283=1,IF(AND($R283=1,OR(LG_Acct="",$G283=LG_Acct),OR(LG_Party="",$K283=LG_Party),OR(LG_Loc="ALL",$I283=LG_Loc),OR(LG_CC="ALL",$J283=LG_CC),$D283&gt;=LG_From,$D283&lt;=LG_To),$D283+ROW()/1000000,""),"")</f>
        <v/>
      </c>
      <c r="Z283" s="32">
        <f>IF($A283=1,IF(Sales_Daily!$T26="","",Sales_Daily!$T26),"")</f>
        <v/>
      </c>
      <c r="AA283" s="32">
        <f>IF($A283=1,IF(Sales_Daily!$U26="","",Sales_Daily!$U26),"")</f>
        <v/>
      </c>
      <c r="AB283" s="32">
        <f>IF($A283=1,IF(Sales_Daily!$V26="","",Sales_Daily!$V26),"")</f>
        <v/>
      </c>
      <c r="AC283" s="32">
        <f>IF($A283=1,IF(Sales_Daily!$W26="","",Sales_Daily!$W26),"")</f>
        <v/>
      </c>
      <c r="AD283" s="32">
        <f>IF($A283=1,IF(Sales_Daily!$X26="","",Sales_Daily!$X26),"")</f>
        <v/>
      </c>
      <c r="AE283" s="32">
        <f>IF($A283=1,0,"")</f>
        <v/>
      </c>
      <c r="AF283" s="32" t="inlineStr"/>
    </row>
    <row r="284">
      <c r="A284" s="32">
        <f>IF(AND(Sales_Daily!$AV26=1,N(Sales_Daily!$AH26)&gt;0),1,0)</f>
        <v/>
      </c>
      <c r="B284" s="32">
        <f>IF($A284=1,$E284&amp;"/7","")</f>
        <v/>
      </c>
      <c r="C284" s="32">
        <f>IF($A284=1,"J-"&amp;Sales_Daily!$A26,"")</f>
        <v/>
      </c>
      <c r="D284" s="33">
        <f>IF($A284=1,Sales_Daily!$B26,"")</f>
        <v/>
      </c>
      <c r="E284" s="32">
        <f>IF($A284=1,IF(Sales_Daily!$A26="","",Sales_Daily!$A26),"")</f>
        <v/>
      </c>
      <c r="F284" s="32">
        <f>IF($A284=1,"SAL","")</f>
        <v/>
      </c>
      <c r="G284" s="32">
        <f>IF($A284=1,ACC_DISC,"")</f>
        <v/>
      </c>
      <c r="H284" s="32">
        <f>IF($A284=1,IF(COUNTIF(COA!$A:$A,$G284)=0,"حساب غير معرف",INDEX(COA!$B:$B,MATCH($G284,COA!$A:$A,0))),"")</f>
        <v/>
      </c>
      <c r="I284" s="32">
        <f>IF($A284=1,IF(Sales_Daily!$C26="","",Sales_Daily!$C26),"")</f>
        <v/>
      </c>
      <c r="J284" s="32">
        <f>IF($A284=1,"CC10","")</f>
        <v/>
      </c>
      <c r="K284" s="32">
        <f>IF($A284=1,"-","")</f>
        <v/>
      </c>
      <c r="L284" s="32">
        <f>IF($A284=1,"خصومات المبيعات والعروض","")</f>
        <v/>
      </c>
      <c r="M284" s="43">
        <f>IF($A284=1,Sales_Daily!$AH26,"")</f>
        <v/>
      </c>
      <c r="N284" s="43">
        <f>IF($A284=1,0,"")</f>
        <v/>
      </c>
      <c r="O284" s="32">
        <f>IF($A284=1,Sales_Daily!$S26,"")</f>
        <v/>
      </c>
      <c r="P284" s="32">
        <f>IF($A284=1,IF(Sales_Daily!$AW26="","",Sales_Daily!$AW26),"")</f>
        <v/>
      </c>
      <c r="Q284" s="32">
        <f>IF($A284=1,Sales_Daily!$AY26,"")</f>
        <v/>
      </c>
      <c r="R284" s="32">
        <f>IF($A284=1,IF(AND($Q284=1,COUNTIFS(COA!$A:$A,$G284,COA!$R:$R,1)=1),1,0),"")</f>
        <v/>
      </c>
      <c r="S284" s="43">
        <f>IF($A284=1,IF($R284=1,N($M284),0),"")</f>
        <v/>
      </c>
      <c r="T284" s="43">
        <f>IF($A284=1,IF($R284=1,N($N284),0),"")</f>
        <v/>
      </c>
      <c r="U284" s="32">
        <f>IF($A284=1,YEAR($D284)*100+MONTH($D284),"")</f>
        <v/>
      </c>
      <c r="V284" s="32">
        <f>IF($A284=1,IF(COUNTIF(COA!$A:$A,$G284)=0,0,INDEX(COA!$H:$H,MATCH($G284,COA!$A:$A,0))),"")</f>
        <v/>
      </c>
      <c r="W284" s="32">
        <f>IF($A284=1,"","")</f>
        <v/>
      </c>
      <c r="X284" s="32">
        <f>IF($A284=1,IF($R284=1,"",IF($O284=ST_POST,IF($P284&lt;&gt;"",$P284,"حساب غير صالح أو غير نشط"),IF($O284=ST_REV,"معكوس: لا أثر على الدفاتر",IF($O284=ST_CANC,"ملغى",IF($O284=ST_APPR,"معتمد ولم يُرحَّل","مسودة"))))),"")</f>
        <v/>
      </c>
      <c r="Y284" s="32">
        <f>IF($A284=1,IF(AND($R284=1,OR(LG_Acct="",$G284=LG_Acct),OR(LG_Party="",$K284=LG_Party),OR(LG_Loc="ALL",$I284=LG_Loc),OR(LG_CC="ALL",$J284=LG_CC),$D284&gt;=LG_From,$D284&lt;=LG_To),$D284+ROW()/1000000,""),"")</f>
        <v/>
      </c>
      <c r="Z284" s="32">
        <f>IF($A284=1,IF(Sales_Daily!$T26="","",Sales_Daily!$T26),"")</f>
        <v/>
      </c>
      <c r="AA284" s="32">
        <f>IF($A284=1,IF(Sales_Daily!$U26="","",Sales_Daily!$U26),"")</f>
        <v/>
      </c>
      <c r="AB284" s="32">
        <f>IF($A284=1,IF(Sales_Daily!$V26="","",Sales_Daily!$V26),"")</f>
        <v/>
      </c>
      <c r="AC284" s="32">
        <f>IF($A284=1,IF(Sales_Daily!$W26="","",Sales_Daily!$W26),"")</f>
        <v/>
      </c>
      <c r="AD284" s="32">
        <f>IF($A284=1,IF(Sales_Daily!$X26="","",Sales_Daily!$X26),"")</f>
        <v/>
      </c>
      <c r="AE284" s="32">
        <f>IF($A284=1,0,"")</f>
        <v/>
      </c>
      <c r="AF284" s="32" t="inlineStr"/>
    </row>
    <row r="285">
      <c r="A285" s="32">
        <f>IF(AND(Sales_Daily!$AV26=1,N(Sales_Daily!$AI26)&gt;0),1,0)</f>
        <v/>
      </c>
      <c r="B285" s="32">
        <f>IF($A285=1,$E285&amp;"/8","")</f>
        <v/>
      </c>
      <c r="C285" s="32">
        <f>IF($A285=1,"J-"&amp;Sales_Daily!$A26,"")</f>
        <v/>
      </c>
      <c r="D285" s="33">
        <f>IF($A285=1,Sales_Daily!$B26,"")</f>
        <v/>
      </c>
      <c r="E285" s="32">
        <f>IF($A285=1,IF(Sales_Daily!$A26="","",Sales_Daily!$A26),"")</f>
        <v/>
      </c>
      <c r="F285" s="32">
        <f>IF($A285=1,"SAL","")</f>
        <v/>
      </c>
      <c r="G285" s="32">
        <f>IF($A285=1,ACC_RET,"")</f>
        <v/>
      </c>
      <c r="H285" s="32">
        <f>IF($A285=1,IF(COUNTIF(COA!$A:$A,$G285)=0,"حساب غير معرف",INDEX(COA!$B:$B,MATCH($G285,COA!$A:$A,0))),"")</f>
        <v/>
      </c>
      <c r="I285" s="32">
        <f>IF($A285=1,IF(Sales_Daily!$C26="","",Sales_Daily!$C26),"")</f>
        <v/>
      </c>
      <c r="J285" s="32">
        <f>IF($A285=1,"CC10","")</f>
        <v/>
      </c>
      <c r="K285" s="32">
        <f>IF($A285=1,"-","")</f>
        <v/>
      </c>
      <c r="L285" s="32">
        <f>IF($A285=1,"مرتجعات وإلغاءات المبيعات","")</f>
        <v/>
      </c>
      <c r="M285" s="43">
        <f>IF($A285=1,Sales_Daily!$AI26,"")</f>
        <v/>
      </c>
      <c r="N285" s="43">
        <f>IF($A285=1,0,"")</f>
        <v/>
      </c>
      <c r="O285" s="32">
        <f>IF($A285=1,Sales_Daily!$S26,"")</f>
        <v/>
      </c>
      <c r="P285" s="32">
        <f>IF($A285=1,IF(Sales_Daily!$AW26="","",Sales_Daily!$AW26),"")</f>
        <v/>
      </c>
      <c r="Q285" s="32">
        <f>IF($A285=1,Sales_Daily!$AY26,"")</f>
        <v/>
      </c>
      <c r="R285" s="32">
        <f>IF($A285=1,IF(AND($Q285=1,COUNTIFS(COA!$A:$A,$G285,COA!$R:$R,1)=1),1,0),"")</f>
        <v/>
      </c>
      <c r="S285" s="43">
        <f>IF($A285=1,IF($R285=1,N($M285),0),"")</f>
        <v/>
      </c>
      <c r="T285" s="43">
        <f>IF($A285=1,IF($R285=1,N($N285),0),"")</f>
        <v/>
      </c>
      <c r="U285" s="32">
        <f>IF($A285=1,YEAR($D285)*100+MONTH($D285),"")</f>
        <v/>
      </c>
      <c r="V285" s="32">
        <f>IF($A285=1,IF(COUNTIF(COA!$A:$A,$G285)=0,0,INDEX(COA!$H:$H,MATCH($G285,COA!$A:$A,0))),"")</f>
        <v/>
      </c>
      <c r="W285" s="32">
        <f>IF($A285=1,"","")</f>
        <v/>
      </c>
      <c r="X285" s="32">
        <f>IF($A285=1,IF($R285=1,"",IF($O285=ST_POST,IF($P285&lt;&gt;"",$P285,"حساب غير صالح أو غير نشط"),IF($O285=ST_REV,"معكوس: لا أثر على الدفاتر",IF($O285=ST_CANC,"ملغى",IF($O285=ST_APPR,"معتمد ولم يُرحَّل","مسودة"))))),"")</f>
        <v/>
      </c>
      <c r="Y285" s="32">
        <f>IF($A285=1,IF(AND($R285=1,OR(LG_Acct="",$G285=LG_Acct),OR(LG_Party="",$K285=LG_Party),OR(LG_Loc="ALL",$I285=LG_Loc),OR(LG_CC="ALL",$J285=LG_CC),$D285&gt;=LG_From,$D285&lt;=LG_To),$D285+ROW()/1000000,""),"")</f>
        <v/>
      </c>
      <c r="Z285" s="32">
        <f>IF($A285=1,IF(Sales_Daily!$T26="","",Sales_Daily!$T26),"")</f>
        <v/>
      </c>
      <c r="AA285" s="32">
        <f>IF($A285=1,IF(Sales_Daily!$U26="","",Sales_Daily!$U26),"")</f>
        <v/>
      </c>
      <c r="AB285" s="32">
        <f>IF($A285=1,IF(Sales_Daily!$V26="","",Sales_Daily!$V26),"")</f>
        <v/>
      </c>
      <c r="AC285" s="32">
        <f>IF($A285=1,IF(Sales_Daily!$W26="","",Sales_Daily!$W26),"")</f>
        <v/>
      </c>
      <c r="AD285" s="32">
        <f>IF($A285=1,IF(Sales_Daily!$X26="","",Sales_Daily!$X26),"")</f>
        <v/>
      </c>
      <c r="AE285" s="32">
        <f>IF($A285=1,0,"")</f>
        <v/>
      </c>
      <c r="AF285" s="32" t="inlineStr"/>
    </row>
    <row r="286">
      <c r="A286" s="32">
        <f>IF(AND(Sales_Daily!$AV26=1,N(Sales_Daily!$AD26)&gt;0),1,0)</f>
        <v/>
      </c>
      <c r="B286" s="32">
        <f>IF($A286=1,$E286&amp;"/9","")</f>
        <v/>
      </c>
      <c r="C286" s="32">
        <f>IF($A286=1,"J-"&amp;Sales_Daily!$A26,"")</f>
        <v/>
      </c>
      <c r="D286" s="33">
        <f>IF($A286=1,Sales_Daily!$B26,"")</f>
        <v/>
      </c>
      <c r="E286" s="32">
        <f>IF($A286=1,IF(Sales_Daily!$A26="","",Sales_Daily!$A26),"")</f>
        <v/>
      </c>
      <c r="F286" s="32">
        <f>IF($A286=1,"SAL","")</f>
        <v/>
      </c>
      <c r="G286" s="32">
        <f>IF($A286=1,IF(Sales_Daily!$AQ26="","",Sales_Daily!$AQ26),"")</f>
        <v/>
      </c>
      <c r="H286" s="32">
        <f>IF($A286=1,IF(COUNTIF(COA!$A:$A,$G286)=0,"حساب غير معرف",INDEX(COA!$B:$B,MATCH($G286,COA!$A:$A,0))),"")</f>
        <v/>
      </c>
      <c r="I286" s="32">
        <f>IF($A286=1,IF(Sales_Daily!$C26="","",Sales_Daily!$C26),"")</f>
        <v/>
      </c>
      <c r="J286" s="32">
        <f>IF($A286=1,"CC10","")</f>
        <v/>
      </c>
      <c r="K286" s="32">
        <f>IF($A286=1,"-","")</f>
        <v/>
      </c>
      <c r="L286" s="32">
        <f>IF($A286=1,"إيراد مبيعات - فئة فطير","")</f>
        <v/>
      </c>
      <c r="M286" s="43">
        <f>IF($A286=1,0,"")</f>
        <v/>
      </c>
      <c r="N286" s="43">
        <f>IF($A286=1,Sales_Daily!$AD26,"")</f>
        <v/>
      </c>
      <c r="O286" s="32">
        <f>IF($A286=1,Sales_Daily!$S26,"")</f>
        <v/>
      </c>
      <c r="P286" s="32">
        <f>IF($A286=1,IF(Sales_Daily!$AW26="","",Sales_Daily!$AW26),"")</f>
        <v/>
      </c>
      <c r="Q286" s="32">
        <f>IF($A286=1,Sales_Daily!$AY26,"")</f>
        <v/>
      </c>
      <c r="R286" s="32">
        <f>IF($A286=1,IF(AND($Q286=1,COUNTIFS(COA!$A:$A,$G286,COA!$R:$R,1)=1),1,0),"")</f>
        <v/>
      </c>
      <c r="S286" s="43">
        <f>IF($A286=1,IF($R286=1,N($M286),0),"")</f>
        <v/>
      </c>
      <c r="T286" s="43">
        <f>IF($A286=1,IF($R286=1,N($N286),0),"")</f>
        <v/>
      </c>
      <c r="U286" s="32">
        <f>IF($A286=1,YEAR($D286)*100+MONTH($D286),"")</f>
        <v/>
      </c>
      <c r="V286" s="32">
        <f>IF($A286=1,IF(COUNTIF(COA!$A:$A,$G286)=0,0,INDEX(COA!$H:$H,MATCH($G286,COA!$A:$A,0))),"")</f>
        <v/>
      </c>
      <c r="W286" s="32">
        <f>IF($A286=1,"","")</f>
        <v/>
      </c>
      <c r="X286" s="32">
        <f>IF($A286=1,IF($R286=1,"",IF($O286=ST_POST,IF($P286&lt;&gt;"",$P286,"حساب غير صالح أو غير نشط"),IF($O286=ST_REV,"معكوس: لا أثر على الدفاتر",IF($O286=ST_CANC,"ملغى",IF($O286=ST_APPR,"معتمد ولم يُرحَّل","مسودة"))))),"")</f>
        <v/>
      </c>
      <c r="Y286" s="32">
        <f>IF($A286=1,IF(AND($R286=1,OR(LG_Acct="",$G286=LG_Acct),OR(LG_Party="",$K286=LG_Party),OR(LG_Loc="ALL",$I286=LG_Loc),OR(LG_CC="ALL",$J286=LG_CC),$D286&gt;=LG_From,$D286&lt;=LG_To),$D286+ROW()/1000000,""),"")</f>
        <v/>
      </c>
      <c r="Z286" s="32">
        <f>IF($A286=1,IF(Sales_Daily!$T26="","",Sales_Daily!$T26),"")</f>
        <v/>
      </c>
      <c r="AA286" s="32">
        <f>IF($A286=1,IF(Sales_Daily!$U26="","",Sales_Daily!$U26),"")</f>
        <v/>
      </c>
      <c r="AB286" s="32">
        <f>IF($A286=1,IF(Sales_Daily!$V26="","",Sales_Daily!$V26),"")</f>
        <v/>
      </c>
      <c r="AC286" s="32">
        <f>IF($A286=1,IF(Sales_Daily!$W26="","",Sales_Daily!$W26),"")</f>
        <v/>
      </c>
      <c r="AD286" s="32">
        <f>IF($A286=1,IF(Sales_Daily!$X26="","",Sales_Daily!$X26),"")</f>
        <v/>
      </c>
      <c r="AE286" s="32">
        <f>IF($A286=1,0,"")</f>
        <v/>
      </c>
      <c r="AF286" s="32" t="inlineStr"/>
    </row>
    <row r="287">
      <c r="A287" s="32">
        <f>IF(AND(Sales_Daily!$AV26=1,N(Sales_Daily!$AE26)&gt;0),1,0)</f>
        <v/>
      </c>
      <c r="B287" s="32">
        <f>IF($A287=1,$E287&amp;"/10","")</f>
        <v/>
      </c>
      <c r="C287" s="32">
        <f>IF($A287=1,"J-"&amp;Sales_Daily!$A26,"")</f>
        <v/>
      </c>
      <c r="D287" s="33">
        <f>IF($A287=1,Sales_Daily!$B26,"")</f>
        <v/>
      </c>
      <c r="E287" s="32">
        <f>IF($A287=1,IF(Sales_Daily!$A26="","",Sales_Daily!$A26),"")</f>
        <v/>
      </c>
      <c r="F287" s="32">
        <f>IF($A287=1,"SAL","")</f>
        <v/>
      </c>
      <c r="G287" s="32">
        <f>IF($A287=1,IF(Sales_Daily!$AR26="","",Sales_Daily!$AR26),"")</f>
        <v/>
      </c>
      <c r="H287" s="32">
        <f>IF($A287=1,IF(COUNTIF(COA!$A:$A,$G287)=0,"حساب غير معرف",INDEX(COA!$B:$B,MATCH($G287,COA!$A:$A,0))),"")</f>
        <v/>
      </c>
      <c r="I287" s="32">
        <f>IF($A287=1,IF(Sales_Daily!$C26="","",Sales_Daily!$C26),"")</f>
        <v/>
      </c>
      <c r="J287" s="32">
        <f>IF($A287=1,"CC10","")</f>
        <v/>
      </c>
      <c r="K287" s="32">
        <f>IF($A287=1,"-","")</f>
        <v/>
      </c>
      <c r="L287" s="32">
        <f>IF($A287=1,"إيراد مبيعات - فئة بيتزا","")</f>
        <v/>
      </c>
      <c r="M287" s="43">
        <f>IF($A287=1,0,"")</f>
        <v/>
      </c>
      <c r="N287" s="43">
        <f>IF($A287=1,Sales_Daily!$AE26,"")</f>
        <v/>
      </c>
      <c r="O287" s="32">
        <f>IF($A287=1,Sales_Daily!$S26,"")</f>
        <v/>
      </c>
      <c r="P287" s="32">
        <f>IF($A287=1,IF(Sales_Daily!$AW26="","",Sales_Daily!$AW26),"")</f>
        <v/>
      </c>
      <c r="Q287" s="32">
        <f>IF($A287=1,Sales_Daily!$AY26,"")</f>
        <v/>
      </c>
      <c r="R287" s="32">
        <f>IF($A287=1,IF(AND($Q287=1,COUNTIFS(COA!$A:$A,$G287,COA!$R:$R,1)=1),1,0),"")</f>
        <v/>
      </c>
      <c r="S287" s="43">
        <f>IF($A287=1,IF($R287=1,N($M287),0),"")</f>
        <v/>
      </c>
      <c r="T287" s="43">
        <f>IF($A287=1,IF($R287=1,N($N287),0),"")</f>
        <v/>
      </c>
      <c r="U287" s="32">
        <f>IF($A287=1,YEAR($D287)*100+MONTH($D287),"")</f>
        <v/>
      </c>
      <c r="V287" s="32">
        <f>IF($A287=1,IF(COUNTIF(COA!$A:$A,$G287)=0,0,INDEX(COA!$H:$H,MATCH($G287,COA!$A:$A,0))),"")</f>
        <v/>
      </c>
      <c r="W287" s="32">
        <f>IF($A287=1,"","")</f>
        <v/>
      </c>
      <c r="X287" s="32">
        <f>IF($A287=1,IF($R287=1,"",IF($O287=ST_POST,IF($P287&lt;&gt;"",$P287,"حساب غير صالح أو غير نشط"),IF($O287=ST_REV,"معكوس: لا أثر على الدفاتر",IF($O287=ST_CANC,"ملغى",IF($O287=ST_APPR,"معتمد ولم يُرحَّل","مسودة"))))),"")</f>
        <v/>
      </c>
      <c r="Y287" s="32">
        <f>IF($A287=1,IF(AND($R287=1,OR(LG_Acct="",$G287=LG_Acct),OR(LG_Party="",$K287=LG_Party),OR(LG_Loc="ALL",$I287=LG_Loc),OR(LG_CC="ALL",$J287=LG_CC),$D287&gt;=LG_From,$D287&lt;=LG_To),$D287+ROW()/1000000,""),"")</f>
        <v/>
      </c>
      <c r="Z287" s="32">
        <f>IF($A287=1,IF(Sales_Daily!$T26="","",Sales_Daily!$T26),"")</f>
        <v/>
      </c>
      <c r="AA287" s="32">
        <f>IF($A287=1,IF(Sales_Daily!$U26="","",Sales_Daily!$U26),"")</f>
        <v/>
      </c>
      <c r="AB287" s="32">
        <f>IF($A287=1,IF(Sales_Daily!$V26="","",Sales_Daily!$V26),"")</f>
        <v/>
      </c>
      <c r="AC287" s="32">
        <f>IF($A287=1,IF(Sales_Daily!$W26="","",Sales_Daily!$W26),"")</f>
        <v/>
      </c>
      <c r="AD287" s="32">
        <f>IF($A287=1,IF(Sales_Daily!$X26="","",Sales_Daily!$X26),"")</f>
        <v/>
      </c>
      <c r="AE287" s="32">
        <f>IF($A287=1,0,"")</f>
        <v/>
      </c>
      <c r="AF287" s="32" t="inlineStr"/>
    </row>
    <row r="288">
      <c r="A288" s="32">
        <f>IF(AND(Sales_Daily!$AV26=1,N(Sales_Daily!$AF26)&gt;0),1,0)</f>
        <v/>
      </c>
      <c r="B288" s="32">
        <f>IF($A288=1,$E288&amp;"/11","")</f>
        <v/>
      </c>
      <c r="C288" s="32">
        <f>IF($A288=1,"J-"&amp;Sales_Daily!$A26,"")</f>
        <v/>
      </c>
      <c r="D288" s="33">
        <f>IF($A288=1,Sales_Daily!$B26,"")</f>
        <v/>
      </c>
      <c r="E288" s="32">
        <f>IF($A288=1,IF(Sales_Daily!$A26="","",Sales_Daily!$A26),"")</f>
        <v/>
      </c>
      <c r="F288" s="32">
        <f>IF($A288=1,"SAL","")</f>
        <v/>
      </c>
      <c r="G288" s="32">
        <f>IF($A288=1,IF(Sales_Daily!$AS26="","",Sales_Daily!$AS26),"")</f>
        <v/>
      </c>
      <c r="H288" s="32">
        <f>IF($A288=1,IF(COUNTIF(COA!$A:$A,$G288)=0,"حساب غير معرف",INDEX(COA!$B:$B,MATCH($G288,COA!$A:$A,0))),"")</f>
        <v/>
      </c>
      <c r="I288" s="32">
        <f>IF($A288=1,IF(Sales_Daily!$C26="","",Sales_Daily!$C26),"")</f>
        <v/>
      </c>
      <c r="J288" s="32">
        <f>IF($A288=1,"CC10","")</f>
        <v/>
      </c>
      <c r="K288" s="32">
        <f>IF($A288=1,"-","")</f>
        <v/>
      </c>
      <c r="L288" s="32">
        <f>IF($A288=1,"إيراد مبيعات - فئة مكرونات","")</f>
        <v/>
      </c>
      <c r="M288" s="43">
        <f>IF($A288=1,0,"")</f>
        <v/>
      </c>
      <c r="N288" s="43">
        <f>IF($A288=1,Sales_Daily!$AF26,"")</f>
        <v/>
      </c>
      <c r="O288" s="32">
        <f>IF($A288=1,Sales_Daily!$S26,"")</f>
        <v/>
      </c>
      <c r="P288" s="32">
        <f>IF($A288=1,IF(Sales_Daily!$AW26="","",Sales_Daily!$AW26),"")</f>
        <v/>
      </c>
      <c r="Q288" s="32">
        <f>IF($A288=1,Sales_Daily!$AY26,"")</f>
        <v/>
      </c>
      <c r="R288" s="32">
        <f>IF($A288=1,IF(AND($Q288=1,COUNTIFS(COA!$A:$A,$G288,COA!$R:$R,1)=1),1,0),"")</f>
        <v/>
      </c>
      <c r="S288" s="43">
        <f>IF($A288=1,IF($R288=1,N($M288),0),"")</f>
        <v/>
      </c>
      <c r="T288" s="43">
        <f>IF($A288=1,IF($R288=1,N($N288),0),"")</f>
        <v/>
      </c>
      <c r="U288" s="32">
        <f>IF($A288=1,YEAR($D288)*100+MONTH($D288),"")</f>
        <v/>
      </c>
      <c r="V288" s="32">
        <f>IF($A288=1,IF(COUNTIF(COA!$A:$A,$G288)=0,0,INDEX(COA!$H:$H,MATCH($G288,COA!$A:$A,0))),"")</f>
        <v/>
      </c>
      <c r="W288" s="32">
        <f>IF($A288=1,"","")</f>
        <v/>
      </c>
      <c r="X288" s="32">
        <f>IF($A288=1,IF($R288=1,"",IF($O288=ST_POST,IF($P288&lt;&gt;"",$P288,"حساب غير صالح أو غير نشط"),IF($O288=ST_REV,"معكوس: لا أثر على الدفاتر",IF($O288=ST_CANC,"ملغى",IF($O288=ST_APPR,"معتمد ولم يُرحَّل","مسودة"))))),"")</f>
        <v/>
      </c>
      <c r="Y288" s="32">
        <f>IF($A288=1,IF(AND($R288=1,OR(LG_Acct="",$G288=LG_Acct),OR(LG_Party="",$K288=LG_Party),OR(LG_Loc="ALL",$I288=LG_Loc),OR(LG_CC="ALL",$J288=LG_CC),$D288&gt;=LG_From,$D288&lt;=LG_To),$D288+ROW()/1000000,""),"")</f>
        <v/>
      </c>
      <c r="Z288" s="32">
        <f>IF($A288=1,IF(Sales_Daily!$T26="","",Sales_Daily!$T26),"")</f>
        <v/>
      </c>
      <c r="AA288" s="32">
        <f>IF($A288=1,IF(Sales_Daily!$U26="","",Sales_Daily!$U26),"")</f>
        <v/>
      </c>
      <c r="AB288" s="32">
        <f>IF($A288=1,IF(Sales_Daily!$V26="","",Sales_Daily!$V26),"")</f>
        <v/>
      </c>
      <c r="AC288" s="32">
        <f>IF($A288=1,IF(Sales_Daily!$W26="","",Sales_Daily!$W26),"")</f>
        <v/>
      </c>
      <c r="AD288" s="32">
        <f>IF($A288=1,IF(Sales_Daily!$X26="","",Sales_Daily!$X26),"")</f>
        <v/>
      </c>
      <c r="AE288" s="32">
        <f>IF($A288=1,0,"")</f>
        <v/>
      </c>
      <c r="AF288" s="32" t="inlineStr"/>
    </row>
    <row r="289">
      <c r="A289" s="32">
        <f>IF(AND(Sales_Daily!$AV26=1,N(Sales_Daily!$AG26)&gt;0),1,0)</f>
        <v/>
      </c>
      <c r="B289" s="32">
        <f>IF($A289=1,$E289&amp;"/12","")</f>
        <v/>
      </c>
      <c r="C289" s="32">
        <f>IF($A289=1,"J-"&amp;Sales_Daily!$A26,"")</f>
        <v/>
      </c>
      <c r="D289" s="33">
        <f>IF($A289=1,Sales_Daily!$B26,"")</f>
        <v/>
      </c>
      <c r="E289" s="32">
        <f>IF($A289=1,IF(Sales_Daily!$A26="","",Sales_Daily!$A26),"")</f>
        <v/>
      </c>
      <c r="F289" s="32">
        <f>IF($A289=1,"SAL","")</f>
        <v/>
      </c>
      <c r="G289" s="32">
        <f>IF($A289=1,IF(Sales_Daily!$AT26="","",Sales_Daily!$AT26),"")</f>
        <v/>
      </c>
      <c r="H289" s="32">
        <f>IF($A289=1,IF(COUNTIF(COA!$A:$A,$G289)=0,"حساب غير معرف",INDEX(COA!$B:$B,MATCH($G289,COA!$A:$A,0))),"")</f>
        <v/>
      </c>
      <c r="I289" s="32">
        <f>IF($A289=1,IF(Sales_Daily!$C26="","",Sales_Daily!$C26),"")</f>
        <v/>
      </c>
      <c r="J289" s="32">
        <f>IF($A289=1,"CC10","")</f>
        <v/>
      </c>
      <c r="K289" s="32">
        <f>IF($A289=1,"-","")</f>
        <v/>
      </c>
      <c r="L289" s="32">
        <f>IF($A289=1,"إيراد مبيعات - فئة أخرى","")</f>
        <v/>
      </c>
      <c r="M289" s="43">
        <f>IF($A289=1,0,"")</f>
        <v/>
      </c>
      <c r="N289" s="43">
        <f>IF($A289=1,Sales_Daily!$AG26,"")</f>
        <v/>
      </c>
      <c r="O289" s="32">
        <f>IF($A289=1,Sales_Daily!$S26,"")</f>
        <v/>
      </c>
      <c r="P289" s="32">
        <f>IF($A289=1,IF(Sales_Daily!$AW26="","",Sales_Daily!$AW26),"")</f>
        <v/>
      </c>
      <c r="Q289" s="32">
        <f>IF($A289=1,Sales_Daily!$AY26,"")</f>
        <v/>
      </c>
      <c r="R289" s="32">
        <f>IF($A289=1,IF(AND($Q289=1,COUNTIFS(COA!$A:$A,$G289,COA!$R:$R,1)=1),1,0),"")</f>
        <v/>
      </c>
      <c r="S289" s="43">
        <f>IF($A289=1,IF($R289=1,N($M289),0),"")</f>
        <v/>
      </c>
      <c r="T289" s="43">
        <f>IF($A289=1,IF($R289=1,N($N289),0),"")</f>
        <v/>
      </c>
      <c r="U289" s="32">
        <f>IF($A289=1,YEAR($D289)*100+MONTH($D289),"")</f>
        <v/>
      </c>
      <c r="V289" s="32">
        <f>IF($A289=1,IF(COUNTIF(COA!$A:$A,$G289)=0,0,INDEX(COA!$H:$H,MATCH($G289,COA!$A:$A,0))),"")</f>
        <v/>
      </c>
      <c r="W289" s="32">
        <f>IF($A289=1,"","")</f>
        <v/>
      </c>
      <c r="X289" s="32">
        <f>IF($A289=1,IF($R289=1,"",IF($O289=ST_POST,IF($P289&lt;&gt;"",$P289,"حساب غير صالح أو غير نشط"),IF($O289=ST_REV,"معكوس: لا أثر على الدفاتر",IF($O289=ST_CANC,"ملغى",IF($O289=ST_APPR,"معتمد ولم يُرحَّل","مسودة"))))),"")</f>
        <v/>
      </c>
      <c r="Y289" s="32">
        <f>IF($A289=1,IF(AND($R289=1,OR(LG_Acct="",$G289=LG_Acct),OR(LG_Party="",$K289=LG_Party),OR(LG_Loc="ALL",$I289=LG_Loc),OR(LG_CC="ALL",$J289=LG_CC),$D289&gt;=LG_From,$D289&lt;=LG_To),$D289+ROW()/1000000,""),"")</f>
        <v/>
      </c>
      <c r="Z289" s="32">
        <f>IF($A289=1,IF(Sales_Daily!$T26="","",Sales_Daily!$T26),"")</f>
        <v/>
      </c>
      <c r="AA289" s="32">
        <f>IF($A289=1,IF(Sales_Daily!$U26="","",Sales_Daily!$U26),"")</f>
        <v/>
      </c>
      <c r="AB289" s="32">
        <f>IF($A289=1,IF(Sales_Daily!$V26="","",Sales_Daily!$V26),"")</f>
        <v/>
      </c>
      <c r="AC289" s="32">
        <f>IF($A289=1,IF(Sales_Daily!$W26="","",Sales_Daily!$W26),"")</f>
        <v/>
      </c>
      <c r="AD289" s="32">
        <f>IF($A289=1,IF(Sales_Daily!$X26="","",Sales_Daily!$X26),"")</f>
        <v/>
      </c>
      <c r="AE289" s="32">
        <f>IF($A289=1,0,"")</f>
        <v/>
      </c>
      <c r="AF289" s="32" t="inlineStr"/>
    </row>
    <row r="290">
      <c r="A290" s="32">
        <f>IF(AND(Sales_Daily!$AV26=1,N(Sales_Daily!$AJ26)&gt;0),1,0)</f>
        <v/>
      </c>
      <c r="B290" s="32">
        <f>IF($A290=1,$E290&amp;"/13","")</f>
        <v/>
      </c>
      <c r="C290" s="32">
        <f>IF($A290=1,"J-"&amp;Sales_Daily!$A26,"")</f>
        <v/>
      </c>
      <c r="D290" s="33">
        <f>IF($A290=1,Sales_Daily!$B26,"")</f>
        <v/>
      </c>
      <c r="E290" s="32">
        <f>IF($A290=1,IF(Sales_Daily!$A26="","",Sales_Daily!$A26),"")</f>
        <v/>
      </c>
      <c r="F290" s="32">
        <f>IF($A290=1,"SAL","")</f>
        <v/>
      </c>
      <c r="G290" s="32">
        <f>IF($A290=1,ACC_VAT_OUT,"")</f>
        <v/>
      </c>
      <c r="H290" s="32">
        <f>IF($A290=1,IF(COUNTIF(COA!$A:$A,$G290)=0,"حساب غير معرف",INDEX(COA!$B:$B,MATCH($G290,COA!$A:$A,0))),"")</f>
        <v/>
      </c>
      <c r="I290" s="32">
        <f>IF($A290=1,IF(Sales_Daily!$C26="","",Sales_Daily!$C26),"")</f>
        <v/>
      </c>
      <c r="J290" s="32">
        <f>IF($A290=1,"CC10","")</f>
        <v/>
      </c>
      <c r="K290" s="32">
        <f>IF($A290=1,"-","")</f>
        <v/>
      </c>
      <c r="L290" s="32">
        <f>IF($A290=1,"ضريبة القيمة المضافة - مخرجات","")</f>
        <v/>
      </c>
      <c r="M290" s="43">
        <f>IF($A290=1,0,"")</f>
        <v/>
      </c>
      <c r="N290" s="43">
        <f>IF($A290=1,Sales_Daily!$AJ26,"")</f>
        <v/>
      </c>
      <c r="O290" s="32">
        <f>IF($A290=1,Sales_Daily!$S26,"")</f>
        <v/>
      </c>
      <c r="P290" s="32">
        <f>IF($A290=1,IF(Sales_Daily!$AW26="","",Sales_Daily!$AW26),"")</f>
        <v/>
      </c>
      <c r="Q290" s="32">
        <f>IF($A290=1,Sales_Daily!$AY26,"")</f>
        <v/>
      </c>
      <c r="R290" s="32">
        <f>IF($A290=1,IF(AND($Q290=1,COUNTIFS(COA!$A:$A,$G290,COA!$R:$R,1)=1),1,0),"")</f>
        <v/>
      </c>
      <c r="S290" s="43">
        <f>IF($A290=1,IF($R290=1,N($M290),0),"")</f>
        <v/>
      </c>
      <c r="T290" s="43">
        <f>IF($A290=1,IF($R290=1,N($N290),0),"")</f>
        <v/>
      </c>
      <c r="U290" s="32">
        <f>IF($A290=1,YEAR($D290)*100+MONTH($D290),"")</f>
        <v/>
      </c>
      <c r="V290" s="32">
        <f>IF($A290=1,IF(COUNTIF(COA!$A:$A,$G290)=0,0,INDEX(COA!$H:$H,MATCH($G290,COA!$A:$A,0))),"")</f>
        <v/>
      </c>
      <c r="W290" s="32">
        <f>IF($A290=1,"","")</f>
        <v/>
      </c>
      <c r="X290" s="32">
        <f>IF($A290=1,IF($R290=1,"",IF($O290=ST_POST,IF($P290&lt;&gt;"",$P290,"حساب غير صالح أو غير نشط"),IF($O290=ST_REV,"معكوس: لا أثر على الدفاتر",IF($O290=ST_CANC,"ملغى",IF($O290=ST_APPR,"معتمد ولم يُرحَّل","مسودة"))))),"")</f>
        <v/>
      </c>
      <c r="Y290" s="32">
        <f>IF($A290=1,IF(AND($R290=1,OR(LG_Acct="",$G290=LG_Acct),OR(LG_Party="",$K290=LG_Party),OR(LG_Loc="ALL",$I290=LG_Loc),OR(LG_CC="ALL",$J290=LG_CC),$D290&gt;=LG_From,$D290&lt;=LG_To),$D290+ROW()/1000000,""),"")</f>
        <v/>
      </c>
      <c r="Z290" s="32">
        <f>IF($A290=1,IF(Sales_Daily!$T26="","",Sales_Daily!$T26),"")</f>
        <v/>
      </c>
      <c r="AA290" s="32">
        <f>IF($A290=1,IF(Sales_Daily!$U26="","",Sales_Daily!$U26),"")</f>
        <v/>
      </c>
      <c r="AB290" s="32">
        <f>IF($A290=1,IF(Sales_Daily!$V26="","",Sales_Daily!$V26),"")</f>
        <v/>
      </c>
      <c r="AC290" s="32">
        <f>IF($A290=1,IF(Sales_Daily!$W26="","",Sales_Daily!$W26),"")</f>
        <v/>
      </c>
      <c r="AD290" s="32">
        <f>IF($A290=1,IF(Sales_Daily!$X26="","",Sales_Daily!$X26),"")</f>
        <v/>
      </c>
      <c r="AE290" s="32">
        <f>IF($A290=1,0,"")</f>
        <v/>
      </c>
      <c r="AF290" s="32" t="inlineStr"/>
    </row>
    <row r="291">
      <c r="A291" s="32">
        <f>IF(AND(Sales_Daily!$AV27=1,N(Sales_Daily!$L27)&gt;0),1,0)</f>
        <v/>
      </c>
      <c r="B291" s="32">
        <f>IF($A291=1,$E291&amp;"/1","")</f>
        <v/>
      </c>
      <c r="C291" s="32">
        <f>IF($A291=1,"J-"&amp;Sales_Daily!$A27,"")</f>
        <v/>
      </c>
      <c r="D291" s="33">
        <f>IF($A291=1,Sales_Daily!$B27,"")</f>
        <v/>
      </c>
      <c r="E291" s="32">
        <f>IF($A291=1,IF(Sales_Daily!$A27="","",Sales_Daily!$A27),"")</f>
        <v/>
      </c>
      <c r="F291" s="32">
        <f>IF($A291=1,"SAL","")</f>
        <v/>
      </c>
      <c r="G291" s="32">
        <f>IF($A291=1,IF(Sales_Daily!$AK27="","",Sales_Daily!$AK27),"")</f>
        <v/>
      </c>
      <c r="H291" s="32">
        <f>IF($A291=1,IF(COUNTIF(COA!$A:$A,$G291)=0,"حساب غير معرف",INDEX(COA!$B:$B,MATCH($G291,COA!$A:$A,0))),"")</f>
        <v/>
      </c>
      <c r="I291" s="32">
        <f>IF($A291=1,IF(Sales_Daily!$C27="","",Sales_Daily!$C27),"")</f>
        <v/>
      </c>
      <c r="J291" s="32">
        <f>IF($A291=1,"CC10","")</f>
        <v/>
      </c>
      <c r="K291" s="32">
        <f>IF($A291=1,"-","")</f>
        <v/>
      </c>
      <c r="L291" s="32">
        <f>IF($A291=1,"مبيعات - تحصيل CASH","")</f>
        <v/>
      </c>
      <c r="M291" s="43">
        <f>IF($A291=1,Sales_Daily!$L27,"")</f>
        <v/>
      </c>
      <c r="N291" s="43">
        <f>IF($A291=1,0,"")</f>
        <v/>
      </c>
      <c r="O291" s="32">
        <f>IF($A291=1,Sales_Daily!$S27,"")</f>
        <v/>
      </c>
      <c r="P291" s="32">
        <f>IF($A291=1,IF(Sales_Daily!$AW27="","",Sales_Daily!$AW27),"")</f>
        <v/>
      </c>
      <c r="Q291" s="32">
        <f>IF($A291=1,Sales_Daily!$AY27,"")</f>
        <v/>
      </c>
      <c r="R291" s="32">
        <f>IF($A291=1,IF(AND($Q291=1,COUNTIFS(COA!$A:$A,$G291,COA!$R:$R,1)=1),1,0),"")</f>
        <v/>
      </c>
      <c r="S291" s="43">
        <f>IF($A291=1,IF($R291=1,N($M291),0),"")</f>
        <v/>
      </c>
      <c r="T291" s="43">
        <f>IF($A291=1,IF($R291=1,N($N291),0),"")</f>
        <v/>
      </c>
      <c r="U291" s="32">
        <f>IF($A291=1,YEAR($D291)*100+MONTH($D291),"")</f>
        <v/>
      </c>
      <c r="V291" s="32">
        <f>IF($A291=1,IF(COUNTIF(COA!$A:$A,$G291)=0,0,INDEX(COA!$H:$H,MATCH($G291,COA!$A:$A,0))),"")</f>
        <v/>
      </c>
      <c r="W291" s="32">
        <f>IF($A291=1,"OPERATING","")</f>
        <v/>
      </c>
      <c r="X291" s="32">
        <f>IF($A291=1,IF($R291=1,"",IF($O291=ST_POST,IF($P291&lt;&gt;"",$P291,"حساب غير صالح أو غير نشط"),IF($O291=ST_REV,"معكوس: لا أثر على الدفاتر",IF($O291=ST_CANC,"ملغى",IF($O291=ST_APPR,"معتمد ولم يُرحَّل","مسودة"))))),"")</f>
        <v/>
      </c>
      <c r="Y291" s="32">
        <f>IF($A291=1,IF(AND($R291=1,OR(LG_Acct="",$G291=LG_Acct),OR(LG_Party="",$K291=LG_Party),OR(LG_Loc="ALL",$I291=LG_Loc),OR(LG_CC="ALL",$J291=LG_CC),$D291&gt;=LG_From,$D291&lt;=LG_To),$D291+ROW()/1000000,""),"")</f>
        <v/>
      </c>
      <c r="Z291" s="32">
        <f>IF($A291=1,IF(Sales_Daily!$T27="","",Sales_Daily!$T27),"")</f>
        <v/>
      </c>
      <c r="AA291" s="32">
        <f>IF($A291=1,IF(Sales_Daily!$U27="","",Sales_Daily!$U27),"")</f>
        <v/>
      </c>
      <c r="AB291" s="32">
        <f>IF($A291=1,IF(Sales_Daily!$V27="","",Sales_Daily!$V27),"")</f>
        <v/>
      </c>
      <c r="AC291" s="32">
        <f>IF($A291=1,IF(Sales_Daily!$W27="","",Sales_Daily!$W27),"")</f>
        <v/>
      </c>
      <c r="AD291" s="32">
        <f>IF($A291=1,IF(Sales_Daily!$X27="","",Sales_Daily!$X27),"")</f>
        <v/>
      </c>
      <c r="AE291" s="32">
        <f>IF($A291=1,0,"")</f>
        <v/>
      </c>
      <c r="AF291" s="32" t="inlineStr"/>
    </row>
    <row r="292">
      <c r="A292" s="32">
        <f>IF(AND(Sales_Daily!$AV27=1,N(Sales_Daily!$M27)&gt;0),1,0)</f>
        <v/>
      </c>
      <c r="B292" s="32">
        <f>IF($A292=1,$E292&amp;"/2","")</f>
        <v/>
      </c>
      <c r="C292" s="32">
        <f>IF($A292=1,"J-"&amp;Sales_Daily!$A27,"")</f>
        <v/>
      </c>
      <c r="D292" s="33">
        <f>IF($A292=1,Sales_Daily!$B27,"")</f>
        <v/>
      </c>
      <c r="E292" s="32">
        <f>IF($A292=1,IF(Sales_Daily!$A27="","",Sales_Daily!$A27),"")</f>
        <v/>
      </c>
      <c r="F292" s="32">
        <f>IF($A292=1,"SAL","")</f>
        <v/>
      </c>
      <c r="G292" s="32">
        <f>IF($A292=1,IF(Sales_Daily!$AL27="","",Sales_Daily!$AL27),"")</f>
        <v/>
      </c>
      <c r="H292" s="32">
        <f>IF($A292=1,IF(COUNTIF(COA!$A:$A,$G292)=0,"حساب غير معرف",INDEX(COA!$B:$B,MATCH($G292,COA!$A:$A,0))),"")</f>
        <v/>
      </c>
      <c r="I292" s="32">
        <f>IF($A292=1,IF(Sales_Daily!$C27="","",Sales_Daily!$C27),"")</f>
        <v/>
      </c>
      <c r="J292" s="32">
        <f>IF($A292=1,"CC10","")</f>
        <v/>
      </c>
      <c r="K292" s="32">
        <f>IF($A292=1,"-","")</f>
        <v/>
      </c>
      <c r="L292" s="32">
        <f>IF($A292=1,"مبيعات - تحصيل CARD","")</f>
        <v/>
      </c>
      <c r="M292" s="43">
        <f>IF($A292=1,Sales_Daily!$M27,"")</f>
        <v/>
      </c>
      <c r="N292" s="43">
        <f>IF($A292=1,0,"")</f>
        <v/>
      </c>
      <c r="O292" s="32">
        <f>IF($A292=1,Sales_Daily!$S27,"")</f>
        <v/>
      </c>
      <c r="P292" s="32">
        <f>IF($A292=1,IF(Sales_Daily!$AW27="","",Sales_Daily!$AW27),"")</f>
        <v/>
      </c>
      <c r="Q292" s="32">
        <f>IF($A292=1,Sales_Daily!$AY27,"")</f>
        <v/>
      </c>
      <c r="R292" s="32">
        <f>IF($A292=1,IF(AND($Q292=1,COUNTIFS(COA!$A:$A,$G292,COA!$R:$R,1)=1),1,0),"")</f>
        <v/>
      </c>
      <c r="S292" s="43">
        <f>IF($A292=1,IF($R292=1,N($M292),0),"")</f>
        <v/>
      </c>
      <c r="T292" s="43">
        <f>IF($A292=1,IF($R292=1,N($N292),0),"")</f>
        <v/>
      </c>
      <c r="U292" s="32">
        <f>IF($A292=1,YEAR($D292)*100+MONTH($D292),"")</f>
        <v/>
      </c>
      <c r="V292" s="32">
        <f>IF($A292=1,IF(COUNTIF(COA!$A:$A,$G292)=0,0,INDEX(COA!$H:$H,MATCH($G292,COA!$A:$A,0))),"")</f>
        <v/>
      </c>
      <c r="W292" s="32">
        <f>IF($A292=1,"OPERATING","")</f>
        <v/>
      </c>
      <c r="X292" s="32">
        <f>IF($A292=1,IF($R292=1,"",IF($O292=ST_POST,IF($P292&lt;&gt;"",$P292,"حساب غير صالح أو غير نشط"),IF($O292=ST_REV,"معكوس: لا أثر على الدفاتر",IF($O292=ST_CANC,"ملغى",IF($O292=ST_APPR,"معتمد ولم يُرحَّل","مسودة"))))),"")</f>
        <v/>
      </c>
      <c r="Y292" s="32">
        <f>IF($A292=1,IF(AND($R292=1,OR(LG_Acct="",$G292=LG_Acct),OR(LG_Party="",$K292=LG_Party),OR(LG_Loc="ALL",$I292=LG_Loc),OR(LG_CC="ALL",$J292=LG_CC),$D292&gt;=LG_From,$D292&lt;=LG_To),$D292+ROW()/1000000,""),"")</f>
        <v/>
      </c>
      <c r="Z292" s="32">
        <f>IF($A292=1,IF(Sales_Daily!$T27="","",Sales_Daily!$T27),"")</f>
        <v/>
      </c>
      <c r="AA292" s="32">
        <f>IF($A292=1,IF(Sales_Daily!$U27="","",Sales_Daily!$U27),"")</f>
        <v/>
      </c>
      <c r="AB292" s="32">
        <f>IF($A292=1,IF(Sales_Daily!$V27="","",Sales_Daily!$V27),"")</f>
        <v/>
      </c>
      <c r="AC292" s="32">
        <f>IF($A292=1,IF(Sales_Daily!$W27="","",Sales_Daily!$W27),"")</f>
        <v/>
      </c>
      <c r="AD292" s="32">
        <f>IF($A292=1,IF(Sales_Daily!$X27="","",Sales_Daily!$X27),"")</f>
        <v/>
      </c>
      <c r="AE292" s="32">
        <f>IF($A292=1,0,"")</f>
        <v/>
      </c>
      <c r="AF292" s="32" t="inlineStr"/>
    </row>
    <row r="293">
      <c r="A293" s="32">
        <f>IF(AND(Sales_Daily!$AV27=1,N(Sales_Daily!$N27)&gt;0),1,0)</f>
        <v/>
      </c>
      <c r="B293" s="32">
        <f>IF($A293=1,$E293&amp;"/3","")</f>
        <v/>
      </c>
      <c r="C293" s="32">
        <f>IF($A293=1,"J-"&amp;Sales_Daily!$A27,"")</f>
        <v/>
      </c>
      <c r="D293" s="33">
        <f>IF($A293=1,Sales_Daily!$B27,"")</f>
        <v/>
      </c>
      <c r="E293" s="32">
        <f>IF($A293=1,IF(Sales_Daily!$A27="","",Sales_Daily!$A27),"")</f>
        <v/>
      </c>
      <c r="F293" s="32">
        <f>IF($A293=1,"SAL","")</f>
        <v/>
      </c>
      <c r="G293" s="32">
        <f>IF($A293=1,IF(Sales_Daily!$AM27="","",Sales_Daily!$AM27),"")</f>
        <v/>
      </c>
      <c r="H293" s="32">
        <f>IF($A293=1,IF(COUNTIF(COA!$A:$A,$G293)=0,"حساب غير معرف",INDEX(COA!$B:$B,MATCH($G293,COA!$A:$A,0))),"")</f>
        <v/>
      </c>
      <c r="I293" s="32">
        <f>IF($A293=1,IF(Sales_Daily!$C27="","",Sales_Daily!$C27),"")</f>
        <v/>
      </c>
      <c r="J293" s="32">
        <f>IF($A293=1,"CC10","")</f>
        <v/>
      </c>
      <c r="K293" s="32">
        <f>IF($A293=1,"-","")</f>
        <v/>
      </c>
      <c r="L293" s="32">
        <f>IF($A293=1,"مبيعات - تحصيل TLB","")</f>
        <v/>
      </c>
      <c r="M293" s="43">
        <f>IF($A293=1,Sales_Daily!$N27,"")</f>
        <v/>
      </c>
      <c r="N293" s="43">
        <f>IF($A293=1,0,"")</f>
        <v/>
      </c>
      <c r="O293" s="32">
        <f>IF($A293=1,Sales_Daily!$S27,"")</f>
        <v/>
      </c>
      <c r="P293" s="32">
        <f>IF($A293=1,IF(Sales_Daily!$AW27="","",Sales_Daily!$AW27),"")</f>
        <v/>
      </c>
      <c r="Q293" s="32">
        <f>IF($A293=1,Sales_Daily!$AY27,"")</f>
        <v/>
      </c>
      <c r="R293" s="32">
        <f>IF($A293=1,IF(AND($Q293=1,COUNTIFS(COA!$A:$A,$G293,COA!$R:$R,1)=1),1,0),"")</f>
        <v/>
      </c>
      <c r="S293" s="43">
        <f>IF($A293=1,IF($R293=1,N($M293),0),"")</f>
        <v/>
      </c>
      <c r="T293" s="43">
        <f>IF($A293=1,IF($R293=1,N($N293),0),"")</f>
        <v/>
      </c>
      <c r="U293" s="32">
        <f>IF($A293=1,YEAR($D293)*100+MONTH($D293),"")</f>
        <v/>
      </c>
      <c r="V293" s="32">
        <f>IF($A293=1,IF(COUNTIF(COA!$A:$A,$G293)=0,0,INDEX(COA!$H:$H,MATCH($G293,COA!$A:$A,0))),"")</f>
        <v/>
      </c>
      <c r="W293" s="32">
        <f>IF($A293=1,"OPERATING","")</f>
        <v/>
      </c>
      <c r="X293" s="32">
        <f>IF($A293=1,IF($R293=1,"",IF($O293=ST_POST,IF($P293&lt;&gt;"",$P293,"حساب غير صالح أو غير نشط"),IF($O293=ST_REV,"معكوس: لا أثر على الدفاتر",IF($O293=ST_CANC,"ملغى",IF($O293=ST_APPR,"معتمد ولم يُرحَّل","مسودة"))))),"")</f>
        <v/>
      </c>
      <c r="Y293" s="32">
        <f>IF($A293=1,IF(AND($R293=1,OR(LG_Acct="",$G293=LG_Acct),OR(LG_Party="",$K293=LG_Party),OR(LG_Loc="ALL",$I293=LG_Loc),OR(LG_CC="ALL",$J293=LG_CC),$D293&gt;=LG_From,$D293&lt;=LG_To),$D293+ROW()/1000000,""),"")</f>
        <v/>
      </c>
      <c r="Z293" s="32">
        <f>IF($A293=1,IF(Sales_Daily!$T27="","",Sales_Daily!$T27),"")</f>
        <v/>
      </c>
      <c r="AA293" s="32">
        <f>IF($A293=1,IF(Sales_Daily!$U27="","",Sales_Daily!$U27),"")</f>
        <v/>
      </c>
      <c r="AB293" s="32">
        <f>IF($A293=1,IF(Sales_Daily!$V27="","",Sales_Daily!$V27),"")</f>
        <v/>
      </c>
      <c r="AC293" s="32">
        <f>IF($A293=1,IF(Sales_Daily!$W27="","",Sales_Daily!$W27),"")</f>
        <v/>
      </c>
      <c r="AD293" s="32">
        <f>IF($A293=1,IF(Sales_Daily!$X27="","",Sales_Daily!$X27),"")</f>
        <v/>
      </c>
      <c r="AE293" s="32">
        <f>IF($A293=1,0,"")</f>
        <v/>
      </c>
      <c r="AF293" s="32" t="inlineStr"/>
    </row>
    <row r="294">
      <c r="A294" s="32">
        <f>IF(AND(Sales_Daily!$AV27=1,N(Sales_Daily!$O27)&gt;0),1,0)</f>
        <v/>
      </c>
      <c r="B294" s="32">
        <f>IF($A294=1,$E294&amp;"/4","")</f>
        <v/>
      </c>
      <c r="C294" s="32">
        <f>IF($A294=1,"J-"&amp;Sales_Daily!$A27,"")</f>
        <v/>
      </c>
      <c r="D294" s="33">
        <f>IF($A294=1,Sales_Daily!$B27,"")</f>
        <v/>
      </c>
      <c r="E294" s="32">
        <f>IF($A294=1,IF(Sales_Daily!$A27="","",Sales_Daily!$A27),"")</f>
        <v/>
      </c>
      <c r="F294" s="32">
        <f>IF($A294=1,"SAL","")</f>
        <v/>
      </c>
      <c r="G294" s="32">
        <f>IF($A294=1,IF(Sales_Daily!$AN27="","",Sales_Daily!$AN27),"")</f>
        <v/>
      </c>
      <c r="H294" s="32">
        <f>IF($A294=1,IF(COUNTIF(COA!$A:$A,$G294)=0,"حساب غير معرف",INDEX(COA!$B:$B,MATCH($G294,COA!$A:$A,0))),"")</f>
        <v/>
      </c>
      <c r="I294" s="32">
        <f>IF($A294=1,IF(Sales_Daily!$C27="","",Sales_Daily!$C27),"")</f>
        <v/>
      </c>
      <c r="J294" s="32">
        <f>IF($A294=1,"CC10","")</f>
        <v/>
      </c>
      <c r="K294" s="32">
        <f>IF($A294=1,"-","")</f>
        <v/>
      </c>
      <c r="L294" s="32">
        <f>IF($A294=1,"مبيعات - تحصيل DLV2","")</f>
        <v/>
      </c>
      <c r="M294" s="43">
        <f>IF($A294=1,Sales_Daily!$O27,"")</f>
        <v/>
      </c>
      <c r="N294" s="43">
        <f>IF($A294=1,0,"")</f>
        <v/>
      </c>
      <c r="O294" s="32">
        <f>IF($A294=1,Sales_Daily!$S27,"")</f>
        <v/>
      </c>
      <c r="P294" s="32">
        <f>IF($A294=1,IF(Sales_Daily!$AW27="","",Sales_Daily!$AW27),"")</f>
        <v/>
      </c>
      <c r="Q294" s="32">
        <f>IF($A294=1,Sales_Daily!$AY27,"")</f>
        <v/>
      </c>
      <c r="R294" s="32">
        <f>IF($A294=1,IF(AND($Q294=1,COUNTIFS(COA!$A:$A,$G294,COA!$R:$R,1)=1),1,0),"")</f>
        <v/>
      </c>
      <c r="S294" s="43">
        <f>IF($A294=1,IF($R294=1,N($M294),0),"")</f>
        <v/>
      </c>
      <c r="T294" s="43">
        <f>IF($A294=1,IF($R294=1,N($N294),0),"")</f>
        <v/>
      </c>
      <c r="U294" s="32">
        <f>IF($A294=1,YEAR($D294)*100+MONTH($D294),"")</f>
        <v/>
      </c>
      <c r="V294" s="32">
        <f>IF($A294=1,IF(COUNTIF(COA!$A:$A,$G294)=0,0,INDEX(COA!$H:$H,MATCH($G294,COA!$A:$A,0))),"")</f>
        <v/>
      </c>
      <c r="W294" s="32">
        <f>IF($A294=1,"OPERATING","")</f>
        <v/>
      </c>
      <c r="X294" s="32">
        <f>IF($A294=1,IF($R294=1,"",IF($O294=ST_POST,IF($P294&lt;&gt;"",$P294,"حساب غير صالح أو غير نشط"),IF($O294=ST_REV,"معكوس: لا أثر على الدفاتر",IF($O294=ST_CANC,"ملغى",IF($O294=ST_APPR,"معتمد ولم يُرحَّل","مسودة"))))),"")</f>
        <v/>
      </c>
      <c r="Y294" s="32">
        <f>IF($A294=1,IF(AND($R294=1,OR(LG_Acct="",$G294=LG_Acct),OR(LG_Party="",$K294=LG_Party),OR(LG_Loc="ALL",$I294=LG_Loc),OR(LG_CC="ALL",$J294=LG_CC),$D294&gt;=LG_From,$D294&lt;=LG_To),$D294+ROW()/1000000,""),"")</f>
        <v/>
      </c>
      <c r="Z294" s="32">
        <f>IF($A294=1,IF(Sales_Daily!$T27="","",Sales_Daily!$T27),"")</f>
        <v/>
      </c>
      <c r="AA294" s="32">
        <f>IF($A294=1,IF(Sales_Daily!$U27="","",Sales_Daily!$U27),"")</f>
        <v/>
      </c>
      <c r="AB294" s="32">
        <f>IF($A294=1,IF(Sales_Daily!$V27="","",Sales_Daily!$V27),"")</f>
        <v/>
      </c>
      <c r="AC294" s="32">
        <f>IF($A294=1,IF(Sales_Daily!$W27="","",Sales_Daily!$W27),"")</f>
        <v/>
      </c>
      <c r="AD294" s="32">
        <f>IF($A294=1,IF(Sales_Daily!$X27="","",Sales_Daily!$X27),"")</f>
        <v/>
      </c>
      <c r="AE294" s="32">
        <f>IF($A294=1,0,"")</f>
        <v/>
      </c>
      <c r="AF294" s="32" t="inlineStr"/>
    </row>
    <row r="295">
      <c r="A295" s="32">
        <f>IF(AND(Sales_Daily!$AV27=1,N(Sales_Daily!$P27)&gt;0),1,0)</f>
        <v/>
      </c>
      <c r="B295" s="32">
        <f>IF($A295=1,$E295&amp;"/5","")</f>
        <v/>
      </c>
      <c r="C295" s="32">
        <f>IF($A295=1,"J-"&amp;Sales_Daily!$A27,"")</f>
        <v/>
      </c>
      <c r="D295" s="33">
        <f>IF($A295=1,Sales_Daily!$B27,"")</f>
        <v/>
      </c>
      <c r="E295" s="32">
        <f>IF($A295=1,IF(Sales_Daily!$A27="","",Sales_Daily!$A27),"")</f>
        <v/>
      </c>
      <c r="F295" s="32">
        <f>IF($A295=1,"SAL","")</f>
        <v/>
      </c>
      <c r="G295" s="32">
        <f>IF($A295=1,IF(Sales_Daily!$AO27="","",Sales_Daily!$AO27),"")</f>
        <v/>
      </c>
      <c r="H295" s="32">
        <f>IF($A295=1,IF(COUNTIF(COA!$A:$A,$G295)=0,"حساب غير معرف",INDEX(COA!$B:$B,MATCH($G295,COA!$A:$A,0))),"")</f>
        <v/>
      </c>
      <c r="I295" s="32">
        <f>IF($A295=1,IF(Sales_Daily!$C27="","",Sales_Daily!$C27),"")</f>
        <v/>
      </c>
      <c r="J295" s="32">
        <f>IF($A295=1,"CC10","")</f>
        <v/>
      </c>
      <c r="K295" s="32">
        <f>IF($A295=1,"-","")</f>
        <v/>
      </c>
      <c r="L295" s="32">
        <f>IF($A295=1,"مبيعات - تحصيل INSTA","")</f>
        <v/>
      </c>
      <c r="M295" s="43">
        <f>IF($A295=1,Sales_Daily!$P27,"")</f>
        <v/>
      </c>
      <c r="N295" s="43">
        <f>IF($A295=1,0,"")</f>
        <v/>
      </c>
      <c r="O295" s="32">
        <f>IF($A295=1,Sales_Daily!$S27,"")</f>
        <v/>
      </c>
      <c r="P295" s="32">
        <f>IF($A295=1,IF(Sales_Daily!$AW27="","",Sales_Daily!$AW27),"")</f>
        <v/>
      </c>
      <c r="Q295" s="32">
        <f>IF($A295=1,Sales_Daily!$AY27,"")</f>
        <v/>
      </c>
      <c r="R295" s="32">
        <f>IF($A295=1,IF(AND($Q295=1,COUNTIFS(COA!$A:$A,$G295,COA!$R:$R,1)=1),1,0),"")</f>
        <v/>
      </c>
      <c r="S295" s="43">
        <f>IF($A295=1,IF($R295=1,N($M295),0),"")</f>
        <v/>
      </c>
      <c r="T295" s="43">
        <f>IF($A295=1,IF($R295=1,N($N295),0),"")</f>
        <v/>
      </c>
      <c r="U295" s="32">
        <f>IF($A295=1,YEAR($D295)*100+MONTH($D295),"")</f>
        <v/>
      </c>
      <c r="V295" s="32">
        <f>IF($A295=1,IF(COUNTIF(COA!$A:$A,$G295)=0,0,INDEX(COA!$H:$H,MATCH($G295,COA!$A:$A,0))),"")</f>
        <v/>
      </c>
      <c r="W295" s="32">
        <f>IF($A295=1,"OPERATING","")</f>
        <v/>
      </c>
      <c r="X295" s="32">
        <f>IF($A295=1,IF($R295=1,"",IF($O295=ST_POST,IF($P295&lt;&gt;"",$P295,"حساب غير صالح أو غير نشط"),IF($O295=ST_REV,"معكوس: لا أثر على الدفاتر",IF($O295=ST_CANC,"ملغى",IF($O295=ST_APPR,"معتمد ولم يُرحَّل","مسودة"))))),"")</f>
        <v/>
      </c>
      <c r="Y295" s="32">
        <f>IF($A295=1,IF(AND($R295=1,OR(LG_Acct="",$G295=LG_Acct),OR(LG_Party="",$K295=LG_Party),OR(LG_Loc="ALL",$I295=LG_Loc),OR(LG_CC="ALL",$J295=LG_CC),$D295&gt;=LG_From,$D295&lt;=LG_To),$D295+ROW()/1000000,""),"")</f>
        <v/>
      </c>
      <c r="Z295" s="32">
        <f>IF($A295=1,IF(Sales_Daily!$T27="","",Sales_Daily!$T27),"")</f>
        <v/>
      </c>
      <c r="AA295" s="32">
        <f>IF($A295=1,IF(Sales_Daily!$U27="","",Sales_Daily!$U27),"")</f>
        <v/>
      </c>
      <c r="AB295" s="32">
        <f>IF($A295=1,IF(Sales_Daily!$V27="","",Sales_Daily!$V27),"")</f>
        <v/>
      </c>
      <c r="AC295" s="32">
        <f>IF($A295=1,IF(Sales_Daily!$W27="","",Sales_Daily!$W27),"")</f>
        <v/>
      </c>
      <c r="AD295" s="32">
        <f>IF($A295=1,IF(Sales_Daily!$X27="","",Sales_Daily!$X27),"")</f>
        <v/>
      </c>
      <c r="AE295" s="32">
        <f>IF($A295=1,0,"")</f>
        <v/>
      </c>
      <c r="AF295" s="32" t="inlineStr"/>
    </row>
    <row r="296">
      <c r="A296" s="32">
        <f>IF(AND(Sales_Daily!$AV27=1,N(Sales_Daily!$Q27)&gt;0),1,0)</f>
        <v/>
      </c>
      <c r="B296" s="32">
        <f>IF($A296=1,$E296&amp;"/6","")</f>
        <v/>
      </c>
      <c r="C296" s="32">
        <f>IF($A296=1,"J-"&amp;Sales_Daily!$A27,"")</f>
        <v/>
      </c>
      <c r="D296" s="33">
        <f>IF($A296=1,Sales_Daily!$B27,"")</f>
        <v/>
      </c>
      <c r="E296" s="32">
        <f>IF($A296=1,IF(Sales_Daily!$A27="","",Sales_Daily!$A27),"")</f>
        <v/>
      </c>
      <c r="F296" s="32">
        <f>IF($A296=1,"SAL","")</f>
        <v/>
      </c>
      <c r="G296" s="32">
        <f>IF($A296=1,IF(Sales_Daily!$AP27="","",Sales_Daily!$AP27),"")</f>
        <v/>
      </c>
      <c r="H296" s="32">
        <f>IF($A296=1,IF(COUNTIF(COA!$A:$A,$G296)=0,"حساب غير معرف",INDEX(COA!$B:$B,MATCH($G296,COA!$A:$A,0))),"")</f>
        <v/>
      </c>
      <c r="I296" s="32">
        <f>IF($A296=1,IF(Sales_Daily!$C27="","",Sales_Daily!$C27),"")</f>
        <v/>
      </c>
      <c r="J296" s="32">
        <f>IF($A296=1,"CC10","")</f>
        <v/>
      </c>
      <c r="K296" s="32">
        <f>IF($A296=1,"-","")</f>
        <v/>
      </c>
      <c r="L296" s="32">
        <f>IF($A296=1,"مبيعات - تحصيل OTH","")</f>
        <v/>
      </c>
      <c r="M296" s="43">
        <f>IF($A296=1,Sales_Daily!$Q27,"")</f>
        <v/>
      </c>
      <c r="N296" s="43">
        <f>IF($A296=1,0,"")</f>
        <v/>
      </c>
      <c r="O296" s="32">
        <f>IF($A296=1,Sales_Daily!$S27,"")</f>
        <v/>
      </c>
      <c r="P296" s="32">
        <f>IF($A296=1,IF(Sales_Daily!$AW27="","",Sales_Daily!$AW27),"")</f>
        <v/>
      </c>
      <c r="Q296" s="32">
        <f>IF($A296=1,Sales_Daily!$AY27,"")</f>
        <v/>
      </c>
      <c r="R296" s="32">
        <f>IF($A296=1,IF(AND($Q296=1,COUNTIFS(COA!$A:$A,$G296,COA!$R:$R,1)=1),1,0),"")</f>
        <v/>
      </c>
      <c r="S296" s="43">
        <f>IF($A296=1,IF($R296=1,N($M296),0),"")</f>
        <v/>
      </c>
      <c r="T296" s="43">
        <f>IF($A296=1,IF($R296=1,N($N296),0),"")</f>
        <v/>
      </c>
      <c r="U296" s="32">
        <f>IF($A296=1,YEAR($D296)*100+MONTH($D296),"")</f>
        <v/>
      </c>
      <c r="V296" s="32">
        <f>IF($A296=1,IF(COUNTIF(COA!$A:$A,$G296)=0,0,INDEX(COA!$H:$H,MATCH($G296,COA!$A:$A,0))),"")</f>
        <v/>
      </c>
      <c r="W296" s="32">
        <f>IF($A296=1,"OPERATING","")</f>
        <v/>
      </c>
      <c r="X296" s="32">
        <f>IF($A296=1,IF($R296=1,"",IF($O296=ST_POST,IF($P296&lt;&gt;"",$P296,"حساب غير صالح أو غير نشط"),IF($O296=ST_REV,"معكوس: لا أثر على الدفاتر",IF($O296=ST_CANC,"ملغى",IF($O296=ST_APPR,"معتمد ولم يُرحَّل","مسودة"))))),"")</f>
        <v/>
      </c>
      <c r="Y296" s="32">
        <f>IF($A296=1,IF(AND($R296=1,OR(LG_Acct="",$G296=LG_Acct),OR(LG_Party="",$K296=LG_Party),OR(LG_Loc="ALL",$I296=LG_Loc),OR(LG_CC="ALL",$J296=LG_CC),$D296&gt;=LG_From,$D296&lt;=LG_To),$D296+ROW()/1000000,""),"")</f>
        <v/>
      </c>
      <c r="Z296" s="32">
        <f>IF($A296=1,IF(Sales_Daily!$T27="","",Sales_Daily!$T27),"")</f>
        <v/>
      </c>
      <c r="AA296" s="32">
        <f>IF($A296=1,IF(Sales_Daily!$U27="","",Sales_Daily!$U27),"")</f>
        <v/>
      </c>
      <c r="AB296" s="32">
        <f>IF($A296=1,IF(Sales_Daily!$V27="","",Sales_Daily!$V27),"")</f>
        <v/>
      </c>
      <c r="AC296" s="32">
        <f>IF($A296=1,IF(Sales_Daily!$W27="","",Sales_Daily!$W27),"")</f>
        <v/>
      </c>
      <c r="AD296" s="32">
        <f>IF($A296=1,IF(Sales_Daily!$X27="","",Sales_Daily!$X27),"")</f>
        <v/>
      </c>
      <c r="AE296" s="32">
        <f>IF($A296=1,0,"")</f>
        <v/>
      </c>
      <c r="AF296" s="32" t="inlineStr"/>
    </row>
    <row r="297">
      <c r="A297" s="32">
        <f>IF(AND(Sales_Daily!$AV27=1,N(Sales_Daily!$AH27)&gt;0),1,0)</f>
        <v/>
      </c>
      <c r="B297" s="32">
        <f>IF($A297=1,$E297&amp;"/7","")</f>
        <v/>
      </c>
      <c r="C297" s="32">
        <f>IF($A297=1,"J-"&amp;Sales_Daily!$A27,"")</f>
        <v/>
      </c>
      <c r="D297" s="33">
        <f>IF($A297=1,Sales_Daily!$B27,"")</f>
        <v/>
      </c>
      <c r="E297" s="32">
        <f>IF($A297=1,IF(Sales_Daily!$A27="","",Sales_Daily!$A27),"")</f>
        <v/>
      </c>
      <c r="F297" s="32">
        <f>IF($A297=1,"SAL","")</f>
        <v/>
      </c>
      <c r="G297" s="32">
        <f>IF($A297=1,ACC_DISC,"")</f>
        <v/>
      </c>
      <c r="H297" s="32">
        <f>IF($A297=1,IF(COUNTIF(COA!$A:$A,$G297)=0,"حساب غير معرف",INDEX(COA!$B:$B,MATCH($G297,COA!$A:$A,0))),"")</f>
        <v/>
      </c>
      <c r="I297" s="32">
        <f>IF($A297=1,IF(Sales_Daily!$C27="","",Sales_Daily!$C27),"")</f>
        <v/>
      </c>
      <c r="J297" s="32">
        <f>IF($A297=1,"CC10","")</f>
        <v/>
      </c>
      <c r="K297" s="32">
        <f>IF($A297=1,"-","")</f>
        <v/>
      </c>
      <c r="L297" s="32">
        <f>IF($A297=1,"خصومات المبيعات والعروض","")</f>
        <v/>
      </c>
      <c r="M297" s="43">
        <f>IF($A297=1,Sales_Daily!$AH27,"")</f>
        <v/>
      </c>
      <c r="N297" s="43">
        <f>IF($A297=1,0,"")</f>
        <v/>
      </c>
      <c r="O297" s="32">
        <f>IF($A297=1,Sales_Daily!$S27,"")</f>
        <v/>
      </c>
      <c r="P297" s="32">
        <f>IF($A297=1,IF(Sales_Daily!$AW27="","",Sales_Daily!$AW27),"")</f>
        <v/>
      </c>
      <c r="Q297" s="32">
        <f>IF($A297=1,Sales_Daily!$AY27,"")</f>
        <v/>
      </c>
      <c r="R297" s="32">
        <f>IF($A297=1,IF(AND($Q297=1,COUNTIFS(COA!$A:$A,$G297,COA!$R:$R,1)=1),1,0),"")</f>
        <v/>
      </c>
      <c r="S297" s="43">
        <f>IF($A297=1,IF($R297=1,N($M297),0),"")</f>
        <v/>
      </c>
      <c r="T297" s="43">
        <f>IF($A297=1,IF($R297=1,N($N297),0),"")</f>
        <v/>
      </c>
      <c r="U297" s="32">
        <f>IF($A297=1,YEAR($D297)*100+MONTH($D297),"")</f>
        <v/>
      </c>
      <c r="V297" s="32">
        <f>IF($A297=1,IF(COUNTIF(COA!$A:$A,$G297)=0,0,INDEX(COA!$H:$H,MATCH($G297,COA!$A:$A,0))),"")</f>
        <v/>
      </c>
      <c r="W297" s="32">
        <f>IF($A297=1,"","")</f>
        <v/>
      </c>
      <c r="X297" s="32">
        <f>IF($A297=1,IF($R297=1,"",IF($O297=ST_POST,IF($P297&lt;&gt;"",$P297,"حساب غير صالح أو غير نشط"),IF($O297=ST_REV,"معكوس: لا أثر على الدفاتر",IF($O297=ST_CANC,"ملغى",IF($O297=ST_APPR,"معتمد ولم يُرحَّل","مسودة"))))),"")</f>
        <v/>
      </c>
      <c r="Y297" s="32">
        <f>IF($A297=1,IF(AND($R297=1,OR(LG_Acct="",$G297=LG_Acct),OR(LG_Party="",$K297=LG_Party),OR(LG_Loc="ALL",$I297=LG_Loc),OR(LG_CC="ALL",$J297=LG_CC),$D297&gt;=LG_From,$D297&lt;=LG_To),$D297+ROW()/1000000,""),"")</f>
        <v/>
      </c>
      <c r="Z297" s="32">
        <f>IF($A297=1,IF(Sales_Daily!$T27="","",Sales_Daily!$T27),"")</f>
        <v/>
      </c>
      <c r="AA297" s="32">
        <f>IF($A297=1,IF(Sales_Daily!$U27="","",Sales_Daily!$U27),"")</f>
        <v/>
      </c>
      <c r="AB297" s="32">
        <f>IF($A297=1,IF(Sales_Daily!$V27="","",Sales_Daily!$V27),"")</f>
        <v/>
      </c>
      <c r="AC297" s="32">
        <f>IF($A297=1,IF(Sales_Daily!$W27="","",Sales_Daily!$W27),"")</f>
        <v/>
      </c>
      <c r="AD297" s="32">
        <f>IF($A297=1,IF(Sales_Daily!$X27="","",Sales_Daily!$X27),"")</f>
        <v/>
      </c>
      <c r="AE297" s="32">
        <f>IF($A297=1,0,"")</f>
        <v/>
      </c>
      <c r="AF297" s="32" t="inlineStr"/>
    </row>
    <row r="298">
      <c r="A298" s="32">
        <f>IF(AND(Sales_Daily!$AV27=1,N(Sales_Daily!$AI27)&gt;0),1,0)</f>
        <v/>
      </c>
      <c r="B298" s="32">
        <f>IF($A298=1,$E298&amp;"/8","")</f>
        <v/>
      </c>
      <c r="C298" s="32">
        <f>IF($A298=1,"J-"&amp;Sales_Daily!$A27,"")</f>
        <v/>
      </c>
      <c r="D298" s="33">
        <f>IF($A298=1,Sales_Daily!$B27,"")</f>
        <v/>
      </c>
      <c r="E298" s="32">
        <f>IF($A298=1,IF(Sales_Daily!$A27="","",Sales_Daily!$A27),"")</f>
        <v/>
      </c>
      <c r="F298" s="32">
        <f>IF($A298=1,"SAL","")</f>
        <v/>
      </c>
      <c r="G298" s="32">
        <f>IF($A298=1,ACC_RET,"")</f>
        <v/>
      </c>
      <c r="H298" s="32">
        <f>IF($A298=1,IF(COUNTIF(COA!$A:$A,$G298)=0,"حساب غير معرف",INDEX(COA!$B:$B,MATCH($G298,COA!$A:$A,0))),"")</f>
        <v/>
      </c>
      <c r="I298" s="32">
        <f>IF($A298=1,IF(Sales_Daily!$C27="","",Sales_Daily!$C27),"")</f>
        <v/>
      </c>
      <c r="J298" s="32">
        <f>IF($A298=1,"CC10","")</f>
        <v/>
      </c>
      <c r="K298" s="32">
        <f>IF($A298=1,"-","")</f>
        <v/>
      </c>
      <c r="L298" s="32">
        <f>IF($A298=1,"مرتجعات وإلغاءات المبيعات","")</f>
        <v/>
      </c>
      <c r="M298" s="43">
        <f>IF($A298=1,Sales_Daily!$AI27,"")</f>
        <v/>
      </c>
      <c r="N298" s="43">
        <f>IF($A298=1,0,"")</f>
        <v/>
      </c>
      <c r="O298" s="32">
        <f>IF($A298=1,Sales_Daily!$S27,"")</f>
        <v/>
      </c>
      <c r="P298" s="32">
        <f>IF($A298=1,IF(Sales_Daily!$AW27="","",Sales_Daily!$AW27),"")</f>
        <v/>
      </c>
      <c r="Q298" s="32">
        <f>IF($A298=1,Sales_Daily!$AY27,"")</f>
        <v/>
      </c>
      <c r="R298" s="32">
        <f>IF($A298=1,IF(AND($Q298=1,COUNTIFS(COA!$A:$A,$G298,COA!$R:$R,1)=1),1,0),"")</f>
        <v/>
      </c>
      <c r="S298" s="43">
        <f>IF($A298=1,IF($R298=1,N($M298),0),"")</f>
        <v/>
      </c>
      <c r="T298" s="43">
        <f>IF($A298=1,IF($R298=1,N($N298),0),"")</f>
        <v/>
      </c>
      <c r="U298" s="32">
        <f>IF($A298=1,YEAR($D298)*100+MONTH($D298),"")</f>
        <v/>
      </c>
      <c r="V298" s="32">
        <f>IF($A298=1,IF(COUNTIF(COA!$A:$A,$G298)=0,0,INDEX(COA!$H:$H,MATCH($G298,COA!$A:$A,0))),"")</f>
        <v/>
      </c>
      <c r="W298" s="32">
        <f>IF($A298=1,"","")</f>
        <v/>
      </c>
      <c r="X298" s="32">
        <f>IF($A298=1,IF($R298=1,"",IF($O298=ST_POST,IF($P298&lt;&gt;"",$P298,"حساب غير صالح أو غير نشط"),IF($O298=ST_REV,"معكوس: لا أثر على الدفاتر",IF($O298=ST_CANC,"ملغى",IF($O298=ST_APPR,"معتمد ولم يُرحَّل","مسودة"))))),"")</f>
        <v/>
      </c>
      <c r="Y298" s="32">
        <f>IF($A298=1,IF(AND($R298=1,OR(LG_Acct="",$G298=LG_Acct),OR(LG_Party="",$K298=LG_Party),OR(LG_Loc="ALL",$I298=LG_Loc),OR(LG_CC="ALL",$J298=LG_CC),$D298&gt;=LG_From,$D298&lt;=LG_To),$D298+ROW()/1000000,""),"")</f>
        <v/>
      </c>
      <c r="Z298" s="32">
        <f>IF($A298=1,IF(Sales_Daily!$T27="","",Sales_Daily!$T27),"")</f>
        <v/>
      </c>
      <c r="AA298" s="32">
        <f>IF($A298=1,IF(Sales_Daily!$U27="","",Sales_Daily!$U27),"")</f>
        <v/>
      </c>
      <c r="AB298" s="32">
        <f>IF($A298=1,IF(Sales_Daily!$V27="","",Sales_Daily!$V27),"")</f>
        <v/>
      </c>
      <c r="AC298" s="32">
        <f>IF($A298=1,IF(Sales_Daily!$W27="","",Sales_Daily!$W27),"")</f>
        <v/>
      </c>
      <c r="AD298" s="32">
        <f>IF($A298=1,IF(Sales_Daily!$X27="","",Sales_Daily!$X27),"")</f>
        <v/>
      </c>
      <c r="AE298" s="32">
        <f>IF($A298=1,0,"")</f>
        <v/>
      </c>
      <c r="AF298" s="32" t="inlineStr"/>
    </row>
    <row r="299">
      <c r="A299" s="32">
        <f>IF(AND(Sales_Daily!$AV27=1,N(Sales_Daily!$AD27)&gt;0),1,0)</f>
        <v/>
      </c>
      <c r="B299" s="32">
        <f>IF($A299=1,$E299&amp;"/9","")</f>
        <v/>
      </c>
      <c r="C299" s="32">
        <f>IF($A299=1,"J-"&amp;Sales_Daily!$A27,"")</f>
        <v/>
      </c>
      <c r="D299" s="33">
        <f>IF($A299=1,Sales_Daily!$B27,"")</f>
        <v/>
      </c>
      <c r="E299" s="32">
        <f>IF($A299=1,IF(Sales_Daily!$A27="","",Sales_Daily!$A27),"")</f>
        <v/>
      </c>
      <c r="F299" s="32">
        <f>IF($A299=1,"SAL","")</f>
        <v/>
      </c>
      <c r="G299" s="32">
        <f>IF($A299=1,IF(Sales_Daily!$AQ27="","",Sales_Daily!$AQ27),"")</f>
        <v/>
      </c>
      <c r="H299" s="32">
        <f>IF($A299=1,IF(COUNTIF(COA!$A:$A,$G299)=0,"حساب غير معرف",INDEX(COA!$B:$B,MATCH($G299,COA!$A:$A,0))),"")</f>
        <v/>
      </c>
      <c r="I299" s="32">
        <f>IF($A299=1,IF(Sales_Daily!$C27="","",Sales_Daily!$C27),"")</f>
        <v/>
      </c>
      <c r="J299" s="32">
        <f>IF($A299=1,"CC10","")</f>
        <v/>
      </c>
      <c r="K299" s="32">
        <f>IF($A299=1,"-","")</f>
        <v/>
      </c>
      <c r="L299" s="32">
        <f>IF($A299=1,"إيراد مبيعات - فئة فطير","")</f>
        <v/>
      </c>
      <c r="M299" s="43">
        <f>IF($A299=1,0,"")</f>
        <v/>
      </c>
      <c r="N299" s="43">
        <f>IF($A299=1,Sales_Daily!$AD27,"")</f>
        <v/>
      </c>
      <c r="O299" s="32">
        <f>IF($A299=1,Sales_Daily!$S27,"")</f>
        <v/>
      </c>
      <c r="P299" s="32">
        <f>IF($A299=1,IF(Sales_Daily!$AW27="","",Sales_Daily!$AW27),"")</f>
        <v/>
      </c>
      <c r="Q299" s="32">
        <f>IF($A299=1,Sales_Daily!$AY27,"")</f>
        <v/>
      </c>
      <c r="R299" s="32">
        <f>IF($A299=1,IF(AND($Q299=1,COUNTIFS(COA!$A:$A,$G299,COA!$R:$R,1)=1),1,0),"")</f>
        <v/>
      </c>
      <c r="S299" s="43">
        <f>IF($A299=1,IF($R299=1,N($M299),0),"")</f>
        <v/>
      </c>
      <c r="T299" s="43">
        <f>IF($A299=1,IF($R299=1,N($N299),0),"")</f>
        <v/>
      </c>
      <c r="U299" s="32">
        <f>IF($A299=1,YEAR($D299)*100+MONTH($D299),"")</f>
        <v/>
      </c>
      <c r="V299" s="32">
        <f>IF($A299=1,IF(COUNTIF(COA!$A:$A,$G299)=0,0,INDEX(COA!$H:$H,MATCH($G299,COA!$A:$A,0))),"")</f>
        <v/>
      </c>
      <c r="W299" s="32">
        <f>IF($A299=1,"","")</f>
        <v/>
      </c>
      <c r="X299" s="32">
        <f>IF($A299=1,IF($R299=1,"",IF($O299=ST_POST,IF($P299&lt;&gt;"",$P299,"حساب غير صالح أو غير نشط"),IF($O299=ST_REV,"معكوس: لا أثر على الدفاتر",IF($O299=ST_CANC,"ملغى",IF($O299=ST_APPR,"معتمد ولم يُرحَّل","مسودة"))))),"")</f>
        <v/>
      </c>
      <c r="Y299" s="32">
        <f>IF($A299=1,IF(AND($R299=1,OR(LG_Acct="",$G299=LG_Acct),OR(LG_Party="",$K299=LG_Party),OR(LG_Loc="ALL",$I299=LG_Loc),OR(LG_CC="ALL",$J299=LG_CC),$D299&gt;=LG_From,$D299&lt;=LG_To),$D299+ROW()/1000000,""),"")</f>
        <v/>
      </c>
      <c r="Z299" s="32">
        <f>IF($A299=1,IF(Sales_Daily!$T27="","",Sales_Daily!$T27),"")</f>
        <v/>
      </c>
      <c r="AA299" s="32">
        <f>IF($A299=1,IF(Sales_Daily!$U27="","",Sales_Daily!$U27),"")</f>
        <v/>
      </c>
      <c r="AB299" s="32">
        <f>IF($A299=1,IF(Sales_Daily!$V27="","",Sales_Daily!$V27),"")</f>
        <v/>
      </c>
      <c r="AC299" s="32">
        <f>IF($A299=1,IF(Sales_Daily!$W27="","",Sales_Daily!$W27),"")</f>
        <v/>
      </c>
      <c r="AD299" s="32">
        <f>IF($A299=1,IF(Sales_Daily!$X27="","",Sales_Daily!$X27),"")</f>
        <v/>
      </c>
      <c r="AE299" s="32">
        <f>IF($A299=1,0,"")</f>
        <v/>
      </c>
      <c r="AF299" s="32" t="inlineStr"/>
    </row>
    <row r="300">
      <c r="A300" s="32">
        <f>IF(AND(Sales_Daily!$AV27=1,N(Sales_Daily!$AE27)&gt;0),1,0)</f>
        <v/>
      </c>
      <c r="B300" s="32">
        <f>IF($A300=1,$E300&amp;"/10","")</f>
        <v/>
      </c>
      <c r="C300" s="32">
        <f>IF($A300=1,"J-"&amp;Sales_Daily!$A27,"")</f>
        <v/>
      </c>
      <c r="D300" s="33">
        <f>IF($A300=1,Sales_Daily!$B27,"")</f>
        <v/>
      </c>
      <c r="E300" s="32">
        <f>IF($A300=1,IF(Sales_Daily!$A27="","",Sales_Daily!$A27),"")</f>
        <v/>
      </c>
      <c r="F300" s="32">
        <f>IF($A300=1,"SAL","")</f>
        <v/>
      </c>
      <c r="G300" s="32">
        <f>IF($A300=1,IF(Sales_Daily!$AR27="","",Sales_Daily!$AR27),"")</f>
        <v/>
      </c>
      <c r="H300" s="32">
        <f>IF($A300=1,IF(COUNTIF(COA!$A:$A,$G300)=0,"حساب غير معرف",INDEX(COA!$B:$B,MATCH($G300,COA!$A:$A,0))),"")</f>
        <v/>
      </c>
      <c r="I300" s="32">
        <f>IF($A300=1,IF(Sales_Daily!$C27="","",Sales_Daily!$C27),"")</f>
        <v/>
      </c>
      <c r="J300" s="32">
        <f>IF($A300=1,"CC10","")</f>
        <v/>
      </c>
      <c r="K300" s="32">
        <f>IF($A300=1,"-","")</f>
        <v/>
      </c>
      <c r="L300" s="32">
        <f>IF($A300=1,"إيراد مبيعات - فئة بيتزا","")</f>
        <v/>
      </c>
      <c r="M300" s="43">
        <f>IF($A300=1,0,"")</f>
        <v/>
      </c>
      <c r="N300" s="43">
        <f>IF($A300=1,Sales_Daily!$AE27,"")</f>
        <v/>
      </c>
      <c r="O300" s="32">
        <f>IF($A300=1,Sales_Daily!$S27,"")</f>
        <v/>
      </c>
      <c r="P300" s="32">
        <f>IF($A300=1,IF(Sales_Daily!$AW27="","",Sales_Daily!$AW27),"")</f>
        <v/>
      </c>
      <c r="Q300" s="32">
        <f>IF($A300=1,Sales_Daily!$AY27,"")</f>
        <v/>
      </c>
      <c r="R300" s="32">
        <f>IF($A300=1,IF(AND($Q300=1,COUNTIFS(COA!$A:$A,$G300,COA!$R:$R,1)=1),1,0),"")</f>
        <v/>
      </c>
      <c r="S300" s="43">
        <f>IF($A300=1,IF($R300=1,N($M300),0),"")</f>
        <v/>
      </c>
      <c r="T300" s="43">
        <f>IF($A300=1,IF($R300=1,N($N300),0),"")</f>
        <v/>
      </c>
      <c r="U300" s="32">
        <f>IF($A300=1,YEAR($D300)*100+MONTH($D300),"")</f>
        <v/>
      </c>
      <c r="V300" s="32">
        <f>IF($A300=1,IF(COUNTIF(COA!$A:$A,$G300)=0,0,INDEX(COA!$H:$H,MATCH($G300,COA!$A:$A,0))),"")</f>
        <v/>
      </c>
      <c r="W300" s="32">
        <f>IF($A300=1,"","")</f>
        <v/>
      </c>
      <c r="X300" s="32">
        <f>IF($A300=1,IF($R300=1,"",IF($O300=ST_POST,IF($P300&lt;&gt;"",$P300,"حساب غير صالح أو غير نشط"),IF($O300=ST_REV,"معكوس: لا أثر على الدفاتر",IF($O300=ST_CANC,"ملغى",IF($O300=ST_APPR,"معتمد ولم يُرحَّل","مسودة"))))),"")</f>
        <v/>
      </c>
      <c r="Y300" s="32">
        <f>IF($A300=1,IF(AND($R300=1,OR(LG_Acct="",$G300=LG_Acct),OR(LG_Party="",$K300=LG_Party),OR(LG_Loc="ALL",$I300=LG_Loc),OR(LG_CC="ALL",$J300=LG_CC),$D300&gt;=LG_From,$D300&lt;=LG_To),$D300+ROW()/1000000,""),"")</f>
        <v/>
      </c>
      <c r="Z300" s="32">
        <f>IF($A300=1,IF(Sales_Daily!$T27="","",Sales_Daily!$T27),"")</f>
        <v/>
      </c>
      <c r="AA300" s="32">
        <f>IF($A300=1,IF(Sales_Daily!$U27="","",Sales_Daily!$U27),"")</f>
        <v/>
      </c>
      <c r="AB300" s="32">
        <f>IF($A300=1,IF(Sales_Daily!$V27="","",Sales_Daily!$V27),"")</f>
        <v/>
      </c>
      <c r="AC300" s="32">
        <f>IF($A300=1,IF(Sales_Daily!$W27="","",Sales_Daily!$W27),"")</f>
        <v/>
      </c>
      <c r="AD300" s="32">
        <f>IF($A300=1,IF(Sales_Daily!$X27="","",Sales_Daily!$X27),"")</f>
        <v/>
      </c>
      <c r="AE300" s="32">
        <f>IF($A300=1,0,"")</f>
        <v/>
      </c>
      <c r="AF300" s="32" t="inlineStr"/>
    </row>
    <row r="301">
      <c r="A301" s="32">
        <f>IF(AND(Sales_Daily!$AV27=1,N(Sales_Daily!$AF27)&gt;0),1,0)</f>
        <v/>
      </c>
      <c r="B301" s="32">
        <f>IF($A301=1,$E301&amp;"/11","")</f>
        <v/>
      </c>
      <c r="C301" s="32">
        <f>IF($A301=1,"J-"&amp;Sales_Daily!$A27,"")</f>
        <v/>
      </c>
      <c r="D301" s="33">
        <f>IF($A301=1,Sales_Daily!$B27,"")</f>
        <v/>
      </c>
      <c r="E301" s="32">
        <f>IF($A301=1,IF(Sales_Daily!$A27="","",Sales_Daily!$A27),"")</f>
        <v/>
      </c>
      <c r="F301" s="32">
        <f>IF($A301=1,"SAL","")</f>
        <v/>
      </c>
      <c r="G301" s="32">
        <f>IF($A301=1,IF(Sales_Daily!$AS27="","",Sales_Daily!$AS27),"")</f>
        <v/>
      </c>
      <c r="H301" s="32">
        <f>IF($A301=1,IF(COUNTIF(COA!$A:$A,$G301)=0,"حساب غير معرف",INDEX(COA!$B:$B,MATCH($G301,COA!$A:$A,0))),"")</f>
        <v/>
      </c>
      <c r="I301" s="32">
        <f>IF($A301=1,IF(Sales_Daily!$C27="","",Sales_Daily!$C27),"")</f>
        <v/>
      </c>
      <c r="J301" s="32">
        <f>IF($A301=1,"CC10","")</f>
        <v/>
      </c>
      <c r="K301" s="32">
        <f>IF($A301=1,"-","")</f>
        <v/>
      </c>
      <c r="L301" s="32">
        <f>IF($A301=1,"إيراد مبيعات - فئة مكرونات","")</f>
        <v/>
      </c>
      <c r="M301" s="43">
        <f>IF($A301=1,0,"")</f>
        <v/>
      </c>
      <c r="N301" s="43">
        <f>IF($A301=1,Sales_Daily!$AF27,"")</f>
        <v/>
      </c>
      <c r="O301" s="32">
        <f>IF($A301=1,Sales_Daily!$S27,"")</f>
        <v/>
      </c>
      <c r="P301" s="32">
        <f>IF($A301=1,IF(Sales_Daily!$AW27="","",Sales_Daily!$AW27),"")</f>
        <v/>
      </c>
      <c r="Q301" s="32">
        <f>IF($A301=1,Sales_Daily!$AY27,"")</f>
        <v/>
      </c>
      <c r="R301" s="32">
        <f>IF($A301=1,IF(AND($Q301=1,COUNTIFS(COA!$A:$A,$G301,COA!$R:$R,1)=1),1,0),"")</f>
        <v/>
      </c>
      <c r="S301" s="43">
        <f>IF($A301=1,IF($R301=1,N($M301),0),"")</f>
        <v/>
      </c>
      <c r="T301" s="43">
        <f>IF($A301=1,IF($R301=1,N($N301),0),"")</f>
        <v/>
      </c>
      <c r="U301" s="32">
        <f>IF($A301=1,YEAR($D301)*100+MONTH($D301),"")</f>
        <v/>
      </c>
      <c r="V301" s="32">
        <f>IF($A301=1,IF(COUNTIF(COA!$A:$A,$G301)=0,0,INDEX(COA!$H:$H,MATCH($G301,COA!$A:$A,0))),"")</f>
        <v/>
      </c>
      <c r="W301" s="32">
        <f>IF($A301=1,"","")</f>
        <v/>
      </c>
      <c r="X301" s="32">
        <f>IF($A301=1,IF($R301=1,"",IF($O301=ST_POST,IF($P301&lt;&gt;"",$P301,"حساب غير صالح أو غير نشط"),IF($O301=ST_REV,"معكوس: لا أثر على الدفاتر",IF($O301=ST_CANC,"ملغى",IF($O301=ST_APPR,"معتمد ولم يُرحَّل","مسودة"))))),"")</f>
        <v/>
      </c>
      <c r="Y301" s="32">
        <f>IF($A301=1,IF(AND($R301=1,OR(LG_Acct="",$G301=LG_Acct),OR(LG_Party="",$K301=LG_Party),OR(LG_Loc="ALL",$I301=LG_Loc),OR(LG_CC="ALL",$J301=LG_CC),$D301&gt;=LG_From,$D301&lt;=LG_To),$D301+ROW()/1000000,""),"")</f>
        <v/>
      </c>
      <c r="Z301" s="32">
        <f>IF($A301=1,IF(Sales_Daily!$T27="","",Sales_Daily!$T27),"")</f>
        <v/>
      </c>
      <c r="AA301" s="32">
        <f>IF($A301=1,IF(Sales_Daily!$U27="","",Sales_Daily!$U27),"")</f>
        <v/>
      </c>
      <c r="AB301" s="32">
        <f>IF($A301=1,IF(Sales_Daily!$V27="","",Sales_Daily!$V27),"")</f>
        <v/>
      </c>
      <c r="AC301" s="32">
        <f>IF($A301=1,IF(Sales_Daily!$W27="","",Sales_Daily!$W27),"")</f>
        <v/>
      </c>
      <c r="AD301" s="32">
        <f>IF($A301=1,IF(Sales_Daily!$X27="","",Sales_Daily!$X27),"")</f>
        <v/>
      </c>
      <c r="AE301" s="32">
        <f>IF($A301=1,0,"")</f>
        <v/>
      </c>
      <c r="AF301" s="32" t="inlineStr"/>
    </row>
    <row r="302">
      <c r="A302" s="32">
        <f>IF(AND(Sales_Daily!$AV27=1,N(Sales_Daily!$AG27)&gt;0),1,0)</f>
        <v/>
      </c>
      <c r="B302" s="32">
        <f>IF($A302=1,$E302&amp;"/12","")</f>
        <v/>
      </c>
      <c r="C302" s="32">
        <f>IF($A302=1,"J-"&amp;Sales_Daily!$A27,"")</f>
        <v/>
      </c>
      <c r="D302" s="33">
        <f>IF($A302=1,Sales_Daily!$B27,"")</f>
        <v/>
      </c>
      <c r="E302" s="32">
        <f>IF($A302=1,IF(Sales_Daily!$A27="","",Sales_Daily!$A27),"")</f>
        <v/>
      </c>
      <c r="F302" s="32">
        <f>IF($A302=1,"SAL","")</f>
        <v/>
      </c>
      <c r="G302" s="32">
        <f>IF($A302=1,IF(Sales_Daily!$AT27="","",Sales_Daily!$AT27),"")</f>
        <v/>
      </c>
      <c r="H302" s="32">
        <f>IF($A302=1,IF(COUNTIF(COA!$A:$A,$G302)=0,"حساب غير معرف",INDEX(COA!$B:$B,MATCH($G302,COA!$A:$A,0))),"")</f>
        <v/>
      </c>
      <c r="I302" s="32">
        <f>IF($A302=1,IF(Sales_Daily!$C27="","",Sales_Daily!$C27),"")</f>
        <v/>
      </c>
      <c r="J302" s="32">
        <f>IF($A302=1,"CC10","")</f>
        <v/>
      </c>
      <c r="K302" s="32">
        <f>IF($A302=1,"-","")</f>
        <v/>
      </c>
      <c r="L302" s="32">
        <f>IF($A302=1,"إيراد مبيعات - فئة أخرى","")</f>
        <v/>
      </c>
      <c r="M302" s="43">
        <f>IF($A302=1,0,"")</f>
        <v/>
      </c>
      <c r="N302" s="43">
        <f>IF($A302=1,Sales_Daily!$AG27,"")</f>
        <v/>
      </c>
      <c r="O302" s="32">
        <f>IF($A302=1,Sales_Daily!$S27,"")</f>
        <v/>
      </c>
      <c r="P302" s="32">
        <f>IF($A302=1,IF(Sales_Daily!$AW27="","",Sales_Daily!$AW27),"")</f>
        <v/>
      </c>
      <c r="Q302" s="32">
        <f>IF($A302=1,Sales_Daily!$AY27,"")</f>
        <v/>
      </c>
      <c r="R302" s="32">
        <f>IF($A302=1,IF(AND($Q302=1,COUNTIFS(COA!$A:$A,$G302,COA!$R:$R,1)=1),1,0),"")</f>
        <v/>
      </c>
      <c r="S302" s="43">
        <f>IF($A302=1,IF($R302=1,N($M302),0),"")</f>
        <v/>
      </c>
      <c r="T302" s="43">
        <f>IF($A302=1,IF($R302=1,N($N302),0),"")</f>
        <v/>
      </c>
      <c r="U302" s="32">
        <f>IF($A302=1,YEAR($D302)*100+MONTH($D302),"")</f>
        <v/>
      </c>
      <c r="V302" s="32">
        <f>IF($A302=1,IF(COUNTIF(COA!$A:$A,$G302)=0,0,INDEX(COA!$H:$H,MATCH($G302,COA!$A:$A,0))),"")</f>
        <v/>
      </c>
      <c r="W302" s="32">
        <f>IF($A302=1,"","")</f>
        <v/>
      </c>
      <c r="X302" s="32">
        <f>IF($A302=1,IF($R302=1,"",IF($O302=ST_POST,IF($P302&lt;&gt;"",$P302,"حساب غير صالح أو غير نشط"),IF($O302=ST_REV,"معكوس: لا أثر على الدفاتر",IF($O302=ST_CANC,"ملغى",IF($O302=ST_APPR,"معتمد ولم يُرحَّل","مسودة"))))),"")</f>
        <v/>
      </c>
      <c r="Y302" s="32">
        <f>IF($A302=1,IF(AND($R302=1,OR(LG_Acct="",$G302=LG_Acct),OR(LG_Party="",$K302=LG_Party),OR(LG_Loc="ALL",$I302=LG_Loc),OR(LG_CC="ALL",$J302=LG_CC),$D302&gt;=LG_From,$D302&lt;=LG_To),$D302+ROW()/1000000,""),"")</f>
        <v/>
      </c>
      <c r="Z302" s="32">
        <f>IF($A302=1,IF(Sales_Daily!$T27="","",Sales_Daily!$T27),"")</f>
        <v/>
      </c>
      <c r="AA302" s="32">
        <f>IF($A302=1,IF(Sales_Daily!$U27="","",Sales_Daily!$U27),"")</f>
        <v/>
      </c>
      <c r="AB302" s="32">
        <f>IF($A302=1,IF(Sales_Daily!$V27="","",Sales_Daily!$V27),"")</f>
        <v/>
      </c>
      <c r="AC302" s="32">
        <f>IF($A302=1,IF(Sales_Daily!$W27="","",Sales_Daily!$W27),"")</f>
        <v/>
      </c>
      <c r="AD302" s="32">
        <f>IF($A302=1,IF(Sales_Daily!$X27="","",Sales_Daily!$X27),"")</f>
        <v/>
      </c>
      <c r="AE302" s="32">
        <f>IF($A302=1,0,"")</f>
        <v/>
      </c>
      <c r="AF302" s="32" t="inlineStr"/>
    </row>
    <row r="303">
      <c r="A303" s="32">
        <f>IF(AND(Sales_Daily!$AV27=1,N(Sales_Daily!$AJ27)&gt;0),1,0)</f>
        <v/>
      </c>
      <c r="B303" s="32">
        <f>IF($A303=1,$E303&amp;"/13","")</f>
        <v/>
      </c>
      <c r="C303" s="32">
        <f>IF($A303=1,"J-"&amp;Sales_Daily!$A27,"")</f>
        <v/>
      </c>
      <c r="D303" s="33">
        <f>IF($A303=1,Sales_Daily!$B27,"")</f>
        <v/>
      </c>
      <c r="E303" s="32">
        <f>IF($A303=1,IF(Sales_Daily!$A27="","",Sales_Daily!$A27),"")</f>
        <v/>
      </c>
      <c r="F303" s="32">
        <f>IF($A303=1,"SAL","")</f>
        <v/>
      </c>
      <c r="G303" s="32">
        <f>IF($A303=1,ACC_VAT_OUT,"")</f>
        <v/>
      </c>
      <c r="H303" s="32">
        <f>IF($A303=1,IF(COUNTIF(COA!$A:$A,$G303)=0,"حساب غير معرف",INDEX(COA!$B:$B,MATCH($G303,COA!$A:$A,0))),"")</f>
        <v/>
      </c>
      <c r="I303" s="32">
        <f>IF($A303=1,IF(Sales_Daily!$C27="","",Sales_Daily!$C27),"")</f>
        <v/>
      </c>
      <c r="J303" s="32">
        <f>IF($A303=1,"CC10","")</f>
        <v/>
      </c>
      <c r="K303" s="32">
        <f>IF($A303=1,"-","")</f>
        <v/>
      </c>
      <c r="L303" s="32">
        <f>IF($A303=1,"ضريبة القيمة المضافة - مخرجات","")</f>
        <v/>
      </c>
      <c r="M303" s="43">
        <f>IF($A303=1,0,"")</f>
        <v/>
      </c>
      <c r="N303" s="43">
        <f>IF($A303=1,Sales_Daily!$AJ27,"")</f>
        <v/>
      </c>
      <c r="O303" s="32">
        <f>IF($A303=1,Sales_Daily!$S27,"")</f>
        <v/>
      </c>
      <c r="P303" s="32">
        <f>IF($A303=1,IF(Sales_Daily!$AW27="","",Sales_Daily!$AW27),"")</f>
        <v/>
      </c>
      <c r="Q303" s="32">
        <f>IF($A303=1,Sales_Daily!$AY27,"")</f>
        <v/>
      </c>
      <c r="R303" s="32">
        <f>IF($A303=1,IF(AND($Q303=1,COUNTIFS(COA!$A:$A,$G303,COA!$R:$R,1)=1),1,0),"")</f>
        <v/>
      </c>
      <c r="S303" s="43">
        <f>IF($A303=1,IF($R303=1,N($M303),0),"")</f>
        <v/>
      </c>
      <c r="T303" s="43">
        <f>IF($A303=1,IF($R303=1,N($N303),0),"")</f>
        <v/>
      </c>
      <c r="U303" s="32">
        <f>IF($A303=1,YEAR($D303)*100+MONTH($D303),"")</f>
        <v/>
      </c>
      <c r="V303" s="32">
        <f>IF($A303=1,IF(COUNTIF(COA!$A:$A,$G303)=0,0,INDEX(COA!$H:$H,MATCH($G303,COA!$A:$A,0))),"")</f>
        <v/>
      </c>
      <c r="W303" s="32">
        <f>IF($A303=1,"","")</f>
        <v/>
      </c>
      <c r="X303" s="32">
        <f>IF($A303=1,IF($R303=1,"",IF($O303=ST_POST,IF($P303&lt;&gt;"",$P303,"حساب غير صالح أو غير نشط"),IF($O303=ST_REV,"معكوس: لا أثر على الدفاتر",IF($O303=ST_CANC,"ملغى",IF($O303=ST_APPR,"معتمد ولم يُرحَّل","مسودة"))))),"")</f>
        <v/>
      </c>
      <c r="Y303" s="32">
        <f>IF($A303=1,IF(AND($R303=1,OR(LG_Acct="",$G303=LG_Acct),OR(LG_Party="",$K303=LG_Party),OR(LG_Loc="ALL",$I303=LG_Loc),OR(LG_CC="ALL",$J303=LG_CC),$D303&gt;=LG_From,$D303&lt;=LG_To),$D303+ROW()/1000000,""),"")</f>
        <v/>
      </c>
      <c r="Z303" s="32">
        <f>IF($A303=1,IF(Sales_Daily!$T27="","",Sales_Daily!$T27),"")</f>
        <v/>
      </c>
      <c r="AA303" s="32">
        <f>IF($A303=1,IF(Sales_Daily!$U27="","",Sales_Daily!$U27),"")</f>
        <v/>
      </c>
      <c r="AB303" s="32">
        <f>IF($A303=1,IF(Sales_Daily!$V27="","",Sales_Daily!$V27),"")</f>
        <v/>
      </c>
      <c r="AC303" s="32">
        <f>IF($A303=1,IF(Sales_Daily!$W27="","",Sales_Daily!$W27),"")</f>
        <v/>
      </c>
      <c r="AD303" s="32">
        <f>IF($A303=1,IF(Sales_Daily!$X27="","",Sales_Daily!$X27),"")</f>
        <v/>
      </c>
      <c r="AE303" s="32">
        <f>IF($A303=1,0,"")</f>
        <v/>
      </c>
      <c r="AF303" s="32" t="inlineStr"/>
    </row>
    <row r="304">
      <c r="A304" s="32">
        <f>IF(AND(Sales_Daily!$AV28=1,N(Sales_Daily!$L28)&gt;0),1,0)</f>
        <v/>
      </c>
      <c r="B304" s="32">
        <f>IF($A304=1,$E304&amp;"/1","")</f>
        <v/>
      </c>
      <c r="C304" s="32">
        <f>IF($A304=1,"J-"&amp;Sales_Daily!$A28,"")</f>
        <v/>
      </c>
      <c r="D304" s="33">
        <f>IF($A304=1,Sales_Daily!$B28,"")</f>
        <v/>
      </c>
      <c r="E304" s="32">
        <f>IF($A304=1,IF(Sales_Daily!$A28="","",Sales_Daily!$A28),"")</f>
        <v/>
      </c>
      <c r="F304" s="32">
        <f>IF($A304=1,"SAL","")</f>
        <v/>
      </c>
      <c r="G304" s="32">
        <f>IF($A304=1,IF(Sales_Daily!$AK28="","",Sales_Daily!$AK28),"")</f>
        <v/>
      </c>
      <c r="H304" s="32">
        <f>IF($A304=1,IF(COUNTIF(COA!$A:$A,$G304)=0,"حساب غير معرف",INDEX(COA!$B:$B,MATCH($G304,COA!$A:$A,0))),"")</f>
        <v/>
      </c>
      <c r="I304" s="32">
        <f>IF($A304=1,IF(Sales_Daily!$C28="","",Sales_Daily!$C28),"")</f>
        <v/>
      </c>
      <c r="J304" s="32">
        <f>IF($A304=1,"CC10","")</f>
        <v/>
      </c>
      <c r="K304" s="32">
        <f>IF($A304=1,"-","")</f>
        <v/>
      </c>
      <c r="L304" s="32">
        <f>IF($A304=1,"مبيعات - تحصيل CASH","")</f>
        <v/>
      </c>
      <c r="M304" s="43">
        <f>IF($A304=1,Sales_Daily!$L28,"")</f>
        <v/>
      </c>
      <c r="N304" s="43">
        <f>IF($A304=1,0,"")</f>
        <v/>
      </c>
      <c r="O304" s="32">
        <f>IF($A304=1,Sales_Daily!$S28,"")</f>
        <v/>
      </c>
      <c r="P304" s="32">
        <f>IF($A304=1,IF(Sales_Daily!$AW28="","",Sales_Daily!$AW28),"")</f>
        <v/>
      </c>
      <c r="Q304" s="32">
        <f>IF($A304=1,Sales_Daily!$AY28,"")</f>
        <v/>
      </c>
      <c r="R304" s="32">
        <f>IF($A304=1,IF(AND($Q304=1,COUNTIFS(COA!$A:$A,$G304,COA!$R:$R,1)=1),1,0),"")</f>
        <v/>
      </c>
      <c r="S304" s="43">
        <f>IF($A304=1,IF($R304=1,N($M304),0),"")</f>
        <v/>
      </c>
      <c r="T304" s="43">
        <f>IF($A304=1,IF($R304=1,N($N304),0),"")</f>
        <v/>
      </c>
      <c r="U304" s="32">
        <f>IF($A304=1,YEAR($D304)*100+MONTH($D304),"")</f>
        <v/>
      </c>
      <c r="V304" s="32">
        <f>IF($A304=1,IF(COUNTIF(COA!$A:$A,$G304)=0,0,INDEX(COA!$H:$H,MATCH($G304,COA!$A:$A,0))),"")</f>
        <v/>
      </c>
      <c r="W304" s="32">
        <f>IF($A304=1,"OPERATING","")</f>
        <v/>
      </c>
      <c r="X304" s="32">
        <f>IF($A304=1,IF($R304=1,"",IF($O304=ST_POST,IF($P304&lt;&gt;"",$P304,"حساب غير صالح أو غير نشط"),IF($O304=ST_REV,"معكوس: لا أثر على الدفاتر",IF($O304=ST_CANC,"ملغى",IF($O304=ST_APPR,"معتمد ولم يُرحَّل","مسودة"))))),"")</f>
        <v/>
      </c>
      <c r="Y304" s="32">
        <f>IF($A304=1,IF(AND($R304=1,OR(LG_Acct="",$G304=LG_Acct),OR(LG_Party="",$K304=LG_Party),OR(LG_Loc="ALL",$I304=LG_Loc),OR(LG_CC="ALL",$J304=LG_CC),$D304&gt;=LG_From,$D304&lt;=LG_To),$D304+ROW()/1000000,""),"")</f>
        <v/>
      </c>
      <c r="Z304" s="32">
        <f>IF($A304=1,IF(Sales_Daily!$T28="","",Sales_Daily!$T28),"")</f>
        <v/>
      </c>
      <c r="AA304" s="32">
        <f>IF($A304=1,IF(Sales_Daily!$U28="","",Sales_Daily!$U28),"")</f>
        <v/>
      </c>
      <c r="AB304" s="32">
        <f>IF($A304=1,IF(Sales_Daily!$V28="","",Sales_Daily!$V28),"")</f>
        <v/>
      </c>
      <c r="AC304" s="32">
        <f>IF($A304=1,IF(Sales_Daily!$W28="","",Sales_Daily!$W28),"")</f>
        <v/>
      </c>
      <c r="AD304" s="32">
        <f>IF($A304=1,IF(Sales_Daily!$X28="","",Sales_Daily!$X28),"")</f>
        <v/>
      </c>
      <c r="AE304" s="32">
        <f>IF($A304=1,0,"")</f>
        <v/>
      </c>
      <c r="AF304" s="32" t="inlineStr"/>
    </row>
    <row r="305">
      <c r="A305" s="32">
        <f>IF(AND(Sales_Daily!$AV28=1,N(Sales_Daily!$M28)&gt;0),1,0)</f>
        <v/>
      </c>
      <c r="B305" s="32">
        <f>IF($A305=1,$E305&amp;"/2","")</f>
        <v/>
      </c>
      <c r="C305" s="32">
        <f>IF($A305=1,"J-"&amp;Sales_Daily!$A28,"")</f>
        <v/>
      </c>
      <c r="D305" s="33">
        <f>IF($A305=1,Sales_Daily!$B28,"")</f>
        <v/>
      </c>
      <c r="E305" s="32">
        <f>IF($A305=1,IF(Sales_Daily!$A28="","",Sales_Daily!$A28),"")</f>
        <v/>
      </c>
      <c r="F305" s="32">
        <f>IF($A305=1,"SAL","")</f>
        <v/>
      </c>
      <c r="G305" s="32">
        <f>IF($A305=1,IF(Sales_Daily!$AL28="","",Sales_Daily!$AL28),"")</f>
        <v/>
      </c>
      <c r="H305" s="32">
        <f>IF($A305=1,IF(COUNTIF(COA!$A:$A,$G305)=0,"حساب غير معرف",INDEX(COA!$B:$B,MATCH($G305,COA!$A:$A,0))),"")</f>
        <v/>
      </c>
      <c r="I305" s="32">
        <f>IF($A305=1,IF(Sales_Daily!$C28="","",Sales_Daily!$C28),"")</f>
        <v/>
      </c>
      <c r="J305" s="32">
        <f>IF($A305=1,"CC10","")</f>
        <v/>
      </c>
      <c r="K305" s="32">
        <f>IF($A305=1,"-","")</f>
        <v/>
      </c>
      <c r="L305" s="32">
        <f>IF($A305=1,"مبيعات - تحصيل CARD","")</f>
        <v/>
      </c>
      <c r="M305" s="43">
        <f>IF($A305=1,Sales_Daily!$M28,"")</f>
        <v/>
      </c>
      <c r="N305" s="43">
        <f>IF($A305=1,0,"")</f>
        <v/>
      </c>
      <c r="O305" s="32">
        <f>IF($A305=1,Sales_Daily!$S28,"")</f>
        <v/>
      </c>
      <c r="P305" s="32">
        <f>IF($A305=1,IF(Sales_Daily!$AW28="","",Sales_Daily!$AW28),"")</f>
        <v/>
      </c>
      <c r="Q305" s="32">
        <f>IF($A305=1,Sales_Daily!$AY28,"")</f>
        <v/>
      </c>
      <c r="R305" s="32">
        <f>IF($A305=1,IF(AND($Q305=1,COUNTIFS(COA!$A:$A,$G305,COA!$R:$R,1)=1),1,0),"")</f>
        <v/>
      </c>
      <c r="S305" s="43">
        <f>IF($A305=1,IF($R305=1,N($M305),0),"")</f>
        <v/>
      </c>
      <c r="T305" s="43">
        <f>IF($A305=1,IF($R305=1,N($N305),0),"")</f>
        <v/>
      </c>
      <c r="U305" s="32">
        <f>IF($A305=1,YEAR($D305)*100+MONTH($D305),"")</f>
        <v/>
      </c>
      <c r="V305" s="32">
        <f>IF($A305=1,IF(COUNTIF(COA!$A:$A,$G305)=0,0,INDEX(COA!$H:$H,MATCH($G305,COA!$A:$A,0))),"")</f>
        <v/>
      </c>
      <c r="W305" s="32">
        <f>IF($A305=1,"OPERATING","")</f>
        <v/>
      </c>
      <c r="X305" s="32">
        <f>IF($A305=1,IF($R305=1,"",IF($O305=ST_POST,IF($P305&lt;&gt;"",$P305,"حساب غير صالح أو غير نشط"),IF($O305=ST_REV,"معكوس: لا أثر على الدفاتر",IF($O305=ST_CANC,"ملغى",IF($O305=ST_APPR,"معتمد ولم يُرحَّل","مسودة"))))),"")</f>
        <v/>
      </c>
      <c r="Y305" s="32">
        <f>IF($A305=1,IF(AND($R305=1,OR(LG_Acct="",$G305=LG_Acct),OR(LG_Party="",$K305=LG_Party),OR(LG_Loc="ALL",$I305=LG_Loc),OR(LG_CC="ALL",$J305=LG_CC),$D305&gt;=LG_From,$D305&lt;=LG_To),$D305+ROW()/1000000,""),"")</f>
        <v/>
      </c>
      <c r="Z305" s="32">
        <f>IF($A305=1,IF(Sales_Daily!$T28="","",Sales_Daily!$T28),"")</f>
        <v/>
      </c>
      <c r="AA305" s="32">
        <f>IF($A305=1,IF(Sales_Daily!$U28="","",Sales_Daily!$U28),"")</f>
        <v/>
      </c>
      <c r="AB305" s="32">
        <f>IF($A305=1,IF(Sales_Daily!$V28="","",Sales_Daily!$V28),"")</f>
        <v/>
      </c>
      <c r="AC305" s="32">
        <f>IF($A305=1,IF(Sales_Daily!$W28="","",Sales_Daily!$W28),"")</f>
        <v/>
      </c>
      <c r="AD305" s="32">
        <f>IF($A305=1,IF(Sales_Daily!$X28="","",Sales_Daily!$X28),"")</f>
        <v/>
      </c>
      <c r="AE305" s="32">
        <f>IF($A305=1,0,"")</f>
        <v/>
      </c>
      <c r="AF305" s="32" t="inlineStr"/>
    </row>
    <row r="306">
      <c r="A306" s="32">
        <f>IF(AND(Sales_Daily!$AV28=1,N(Sales_Daily!$N28)&gt;0),1,0)</f>
        <v/>
      </c>
      <c r="B306" s="32">
        <f>IF($A306=1,$E306&amp;"/3","")</f>
        <v/>
      </c>
      <c r="C306" s="32">
        <f>IF($A306=1,"J-"&amp;Sales_Daily!$A28,"")</f>
        <v/>
      </c>
      <c r="D306" s="33">
        <f>IF($A306=1,Sales_Daily!$B28,"")</f>
        <v/>
      </c>
      <c r="E306" s="32">
        <f>IF($A306=1,IF(Sales_Daily!$A28="","",Sales_Daily!$A28),"")</f>
        <v/>
      </c>
      <c r="F306" s="32">
        <f>IF($A306=1,"SAL","")</f>
        <v/>
      </c>
      <c r="G306" s="32">
        <f>IF($A306=1,IF(Sales_Daily!$AM28="","",Sales_Daily!$AM28),"")</f>
        <v/>
      </c>
      <c r="H306" s="32">
        <f>IF($A306=1,IF(COUNTIF(COA!$A:$A,$G306)=0,"حساب غير معرف",INDEX(COA!$B:$B,MATCH($G306,COA!$A:$A,0))),"")</f>
        <v/>
      </c>
      <c r="I306" s="32">
        <f>IF($A306=1,IF(Sales_Daily!$C28="","",Sales_Daily!$C28),"")</f>
        <v/>
      </c>
      <c r="J306" s="32">
        <f>IF($A306=1,"CC10","")</f>
        <v/>
      </c>
      <c r="K306" s="32">
        <f>IF($A306=1,"-","")</f>
        <v/>
      </c>
      <c r="L306" s="32">
        <f>IF($A306=1,"مبيعات - تحصيل TLB","")</f>
        <v/>
      </c>
      <c r="M306" s="43">
        <f>IF($A306=1,Sales_Daily!$N28,"")</f>
        <v/>
      </c>
      <c r="N306" s="43">
        <f>IF($A306=1,0,"")</f>
        <v/>
      </c>
      <c r="O306" s="32">
        <f>IF($A306=1,Sales_Daily!$S28,"")</f>
        <v/>
      </c>
      <c r="P306" s="32">
        <f>IF($A306=1,IF(Sales_Daily!$AW28="","",Sales_Daily!$AW28),"")</f>
        <v/>
      </c>
      <c r="Q306" s="32">
        <f>IF($A306=1,Sales_Daily!$AY28,"")</f>
        <v/>
      </c>
      <c r="R306" s="32">
        <f>IF($A306=1,IF(AND($Q306=1,COUNTIFS(COA!$A:$A,$G306,COA!$R:$R,1)=1),1,0),"")</f>
        <v/>
      </c>
      <c r="S306" s="43">
        <f>IF($A306=1,IF($R306=1,N($M306),0),"")</f>
        <v/>
      </c>
      <c r="T306" s="43">
        <f>IF($A306=1,IF($R306=1,N($N306),0),"")</f>
        <v/>
      </c>
      <c r="U306" s="32">
        <f>IF($A306=1,YEAR($D306)*100+MONTH($D306),"")</f>
        <v/>
      </c>
      <c r="V306" s="32">
        <f>IF($A306=1,IF(COUNTIF(COA!$A:$A,$G306)=0,0,INDEX(COA!$H:$H,MATCH($G306,COA!$A:$A,0))),"")</f>
        <v/>
      </c>
      <c r="W306" s="32">
        <f>IF($A306=1,"OPERATING","")</f>
        <v/>
      </c>
      <c r="X306" s="32">
        <f>IF($A306=1,IF($R306=1,"",IF($O306=ST_POST,IF($P306&lt;&gt;"",$P306,"حساب غير صالح أو غير نشط"),IF($O306=ST_REV,"معكوس: لا أثر على الدفاتر",IF($O306=ST_CANC,"ملغى",IF($O306=ST_APPR,"معتمد ولم يُرحَّل","مسودة"))))),"")</f>
        <v/>
      </c>
      <c r="Y306" s="32">
        <f>IF($A306=1,IF(AND($R306=1,OR(LG_Acct="",$G306=LG_Acct),OR(LG_Party="",$K306=LG_Party),OR(LG_Loc="ALL",$I306=LG_Loc),OR(LG_CC="ALL",$J306=LG_CC),$D306&gt;=LG_From,$D306&lt;=LG_To),$D306+ROW()/1000000,""),"")</f>
        <v/>
      </c>
      <c r="Z306" s="32">
        <f>IF($A306=1,IF(Sales_Daily!$T28="","",Sales_Daily!$T28),"")</f>
        <v/>
      </c>
      <c r="AA306" s="32">
        <f>IF($A306=1,IF(Sales_Daily!$U28="","",Sales_Daily!$U28),"")</f>
        <v/>
      </c>
      <c r="AB306" s="32">
        <f>IF($A306=1,IF(Sales_Daily!$V28="","",Sales_Daily!$V28),"")</f>
        <v/>
      </c>
      <c r="AC306" s="32">
        <f>IF($A306=1,IF(Sales_Daily!$W28="","",Sales_Daily!$W28),"")</f>
        <v/>
      </c>
      <c r="AD306" s="32">
        <f>IF($A306=1,IF(Sales_Daily!$X28="","",Sales_Daily!$X28),"")</f>
        <v/>
      </c>
      <c r="AE306" s="32">
        <f>IF($A306=1,0,"")</f>
        <v/>
      </c>
      <c r="AF306" s="32" t="inlineStr"/>
    </row>
    <row r="307">
      <c r="A307" s="32">
        <f>IF(AND(Sales_Daily!$AV28=1,N(Sales_Daily!$O28)&gt;0),1,0)</f>
        <v/>
      </c>
      <c r="B307" s="32">
        <f>IF($A307=1,$E307&amp;"/4","")</f>
        <v/>
      </c>
      <c r="C307" s="32">
        <f>IF($A307=1,"J-"&amp;Sales_Daily!$A28,"")</f>
        <v/>
      </c>
      <c r="D307" s="33">
        <f>IF($A307=1,Sales_Daily!$B28,"")</f>
        <v/>
      </c>
      <c r="E307" s="32">
        <f>IF($A307=1,IF(Sales_Daily!$A28="","",Sales_Daily!$A28),"")</f>
        <v/>
      </c>
      <c r="F307" s="32">
        <f>IF($A307=1,"SAL","")</f>
        <v/>
      </c>
      <c r="G307" s="32">
        <f>IF($A307=1,IF(Sales_Daily!$AN28="","",Sales_Daily!$AN28),"")</f>
        <v/>
      </c>
      <c r="H307" s="32">
        <f>IF($A307=1,IF(COUNTIF(COA!$A:$A,$G307)=0,"حساب غير معرف",INDEX(COA!$B:$B,MATCH($G307,COA!$A:$A,0))),"")</f>
        <v/>
      </c>
      <c r="I307" s="32">
        <f>IF($A307=1,IF(Sales_Daily!$C28="","",Sales_Daily!$C28),"")</f>
        <v/>
      </c>
      <c r="J307" s="32">
        <f>IF($A307=1,"CC10","")</f>
        <v/>
      </c>
      <c r="K307" s="32">
        <f>IF($A307=1,"-","")</f>
        <v/>
      </c>
      <c r="L307" s="32">
        <f>IF($A307=1,"مبيعات - تحصيل DLV2","")</f>
        <v/>
      </c>
      <c r="M307" s="43">
        <f>IF($A307=1,Sales_Daily!$O28,"")</f>
        <v/>
      </c>
      <c r="N307" s="43">
        <f>IF($A307=1,0,"")</f>
        <v/>
      </c>
      <c r="O307" s="32">
        <f>IF($A307=1,Sales_Daily!$S28,"")</f>
        <v/>
      </c>
      <c r="P307" s="32">
        <f>IF($A307=1,IF(Sales_Daily!$AW28="","",Sales_Daily!$AW28),"")</f>
        <v/>
      </c>
      <c r="Q307" s="32">
        <f>IF($A307=1,Sales_Daily!$AY28,"")</f>
        <v/>
      </c>
      <c r="R307" s="32">
        <f>IF($A307=1,IF(AND($Q307=1,COUNTIFS(COA!$A:$A,$G307,COA!$R:$R,1)=1),1,0),"")</f>
        <v/>
      </c>
      <c r="S307" s="43">
        <f>IF($A307=1,IF($R307=1,N($M307),0),"")</f>
        <v/>
      </c>
      <c r="T307" s="43">
        <f>IF($A307=1,IF($R307=1,N($N307),0),"")</f>
        <v/>
      </c>
      <c r="U307" s="32">
        <f>IF($A307=1,YEAR($D307)*100+MONTH($D307),"")</f>
        <v/>
      </c>
      <c r="V307" s="32">
        <f>IF($A307=1,IF(COUNTIF(COA!$A:$A,$G307)=0,0,INDEX(COA!$H:$H,MATCH($G307,COA!$A:$A,0))),"")</f>
        <v/>
      </c>
      <c r="W307" s="32">
        <f>IF($A307=1,"OPERATING","")</f>
        <v/>
      </c>
      <c r="X307" s="32">
        <f>IF($A307=1,IF($R307=1,"",IF($O307=ST_POST,IF($P307&lt;&gt;"",$P307,"حساب غير صالح أو غير نشط"),IF($O307=ST_REV,"معكوس: لا أثر على الدفاتر",IF($O307=ST_CANC,"ملغى",IF($O307=ST_APPR,"معتمد ولم يُرحَّل","مسودة"))))),"")</f>
        <v/>
      </c>
      <c r="Y307" s="32">
        <f>IF($A307=1,IF(AND($R307=1,OR(LG_Acct="",$G307=LG_Acct),OR(LG_Party="",$K307=LG_Party),OR(LG_Loc="ALL",$I307=LG_Loc),OR(LG_CC="ALL",$J307=LG_CC),$D307&gt;=LG_From,$D307&lt;=LG_To),$D307+ROW()/1000000,""),"")</f>
        <v/>
      </c>
      <c r="Z307" s="32">
        <f>IF($A307=1,IF(Sales_Daily!$T28="","",Sales_Daily!$T28),"")</f>
        <v/>
      </c>
      <c r="AA307" s="32">
        <f>IF($A307=1,IF(Sales_Daily!$U28="","",Sales_Daily!$U28),"")</f>
        <v/>
      </c>
      <c r="AB307" s="32">
        <f>IF($A307=1,IF(Sales_Daily!$V28="","",Sales_Daily!$V28),"")</f>
        <v/>
      </c>
      <c r="AC307" s="32">
        <f>IF($A307=1,IF(Sales_Daily!$W28="","",Sales_Daily!$W28),"")</f>
        <v/>
      </c>
      <c r="AD307" s="32">
        <f>IF($A307=1,IF(Sales_Daily!$X28="","",Sales_Daily!$X28),"")</f>
        <v/>
      </c>
      <c r="AE307" s="32">
        <f>IF($A307=1,0,"")</f>
        <v/>
      </c>
      <c r="AF307" s="32" t="inlineStr"/>
    </row>
    <row r="308">
      <c r="A308" s="32">
        <f>IF(AND(Sales_Daily!$AV28=1,N(Sales_Daily!$P28)&gt;0),1,0)</f>
        <v/>
      </c>
      <c r="B308" s="32">
        <f>IF($A308=1,$E308&amp;"/5","")</f>
        <v/>
      </c>
      <c r="C308" s="32">
        <f>IF($A308=1,"J-"&amp;Sales_Daily!$A28,"")</f>
        <v/>
      </c>
      <c r="D308" s="33">
        <f>IF($A308=1,Sales_Daily!$B28,"")</f>
        <v/>
      </c>
      <c r="E308" s="32">
        <f>IF($A308=1,IF(Sales_Daily!$A28="","",Sales_Daily!$A28),"")</f>
        <v/>
      </c>
      <c r="F308" s="32">
        <f>IF($A308=1,"SAL","")</f>
        <v/>
      </c>
      <c r="G308" s="32">
        <f>IF($A308=1,IF(Sales_Daily!$AO28="","",Sales_Daily!$AO28),"")</f>
        <v/>
      </c>
      <c r="H308" s="32">
        <f>IF($A308=1,IF(COUNTIF(COA!$A:$A,$G308)=0,"حساب غير معرف",INDEX(COA!$B:$B,MATCH($G308,COA!$A:$A,0))),"")</f>
        <v/>
      </c>
      <c r="I308" s="32">
        <f>IF($A308=1,IF(Sales_Daily!$C28="","",Sales_Daily!$C28),"")</f>
        <v/>
      </c>
      <c r="J308" s="32">
        <f>IF($A308=1,"CC10","")</f>
        <v/>
      </c>
      <c r="K308" s="32">
        <f>IF($A308=1,"-","")</f>
        <v/>
      </c>
      <c r="L308" s="32">
        <f>IF($A308=1,"مبيعات - تحصيل INSTA","")</f>
        <v/>
      </c>
      <c r="M308" s="43">
        <f>IF($A308=1,Sales_Daily!$P28,"")</f>
        <v/>
      </c>
      <c r="N308" s="43">
        <f>IF($A308=1,0,"")</f>
        <v/>
      </c>
      <c r="O308" s="32">
        <f>IF($A308=1,Sales_Daily!$S28,"")</f>
        <v/>
      </c>
      <c r="P308" s="32">
        <f>IF($A308=1,IF(Sales_Daily!$AW28="","",Sales_Daily!$AW28),"")</f>
        <v/>
      </c>
      <c r="Q308" s="32">
        <f>IF($A308=1,Sales_Daily!$AY28,"")</f>
        <v/>
      </c>
      <c r="R308" s="32">
        <f>IF($A308=1,IF(AND($Q308=1,COUNTIFS(COA!$A:$A,$G308,COA!$R:$R,1)=1),1,0),"")</f>
        <v/>
      </c>
      <c r="S308" s="43">
        <f>IF($A308=1,IF($R308=1,N($M308),0),"")</f>
        <v/>
      </c>
      <c r="T308" s="43">
        <f>IF($A308=1,IF($R308=1,N($N308),0),"")</f>
        <v/>
      </c>
      <c r="U308" s="32">
        <f>IF($A308=1,YEAR($D308)*100+MONTH($D308),"")</f>
        <v/>
      </c>
      <c r="V308" s="32">
        <f>IF($A308=1,IF(COUNTIF(COA!$A:$A,$G308)=0,0,INDEX(COA!$H:$H,MATCH($G308,COA!$A:$A,0))),"")</f>
        <v/>
      </c>
      <c r="W308" s="32">
        <f>IF($A308=1,"OPERATING","")</f>
        <v/>
      </c>
      <c r="X308" s="32">
        <f>IF($A308=1,IF($R308=1,"",IF($O308=ST_POST,IF($P308&lt;&gt;"",$P308,"حساب غير صالح أو غير نشط"),IF($O308=ST_REV,"معكوس: لا أثر على الدفاتر",IF($O308=ST_CANC,"ملغى",IF($O308=ST_APPR,"معتمد ولم يُرحَّل","مسودة"))))),"")</f>
        <v/>
      </c>
      <c r="Y308" s="32">
        <f>IF($A308=1,IF(AND($R308=1,OR(LG_Acct="",$G308=LG_Acct),OR(LG_Party="",$K308=LG_Party),OR(LG_Loc="ALL",$I308=LG_Loc),OR(LG_CC="ALL",$J308=LG_CC),$D308&gt;=LG_From,$D308&lt;=LG_To),$D308+ROW()/1000000,""),"")</f>
        <v/>
      </c>
      <c r="Z308" s="32">
        <f>IF($A308=1,IF(Sales_Daily!$T28="","",Sales_Daily!$T28),"")</f>
        <v/>
      </c>
      <c r="AA308" s="32">
        <f>IF($A308=1,IF(Sales_Daily!$U28="","",Sales_Daily!$U28),"")</f>
        <v/>
      </c>
      <c r="AB308" s="32">
        <f>IF($A308=1,IF(Sales_Daily!$V28="","",Sales_Daily!$V28),"")</f>
        <v/>
      </c>
      <c r="AC308" s="32">
        <f>IF($A308=1,IF(Sales_Daily!$W28="","",Sales_Daily!$W28),"")</f>
        <v/>
      </c>
      <c r="AD308" s="32">
        <f>IF($A308=1,IF(Sales_Daily!$X28="","",Sales_Daily!$X28),"")</f>
        <v/>
      </c>
      <c r="AE308" s="32">
        <f>IF($A308=1,0,"")</f>
        <v/>
      </c>
      <c r="AF308" s="32" t="inlineStr"/>
    </row>
    <row r="309">
      <c r="A309" s="32">
        <f>IF(AND(Sales_Daily!$AV28=1,N(Sales_Daily!$Q28)&gt;0),1,0)</f>
        <v/>
      </c>
      <c r="B309" s="32">
        <f>IF($A309=1,$E309&amp;"/6","")</f>
        <v/>
      </c>
      <c r="C309" s="32">
        <f>IF($A309=1,"J-"&amp;Sales_Daily!$A28,"")</f>
        <v/>
      </c>
      <c r="D309" s="33">
        <f>IF($A309=1,Sales_Daily!$B28,"")</f>
        <v/>
      </c>
      <c r="E309" s="32">
        <f>IF($A309=1,IF(Sales_Daily!$A28="","",Sales_Daily!$A28),"")</f>
        <v/>
      </c>
      <c r="F309" s="32">
        <f>IF($A309=1,"SAL","")</f>
        <v/>
      </c>
      <c r="G309" s="32">
        <f>IF($A309=1,IF(Sales_Daily!$AP28="","",Sales_Daily!$AP28),"")</f>
        <v/>
      </c>
      <c r="H309" s="32">
        <f>IF($A309=1,IF(COUNTIF(COA!$A:$A,$G309)=0,"حساب غير معرف",INDEX(COA!$B:$B,MATCH($G309,COA!$A:$A,0))),"")</f>
        <v/>
      </c>
      <c r="I309" s="32">
        <f>IF($A309=1,IF(Sales_Daily!$C28="","",Sales_Daily!$C28),"")</f>
        <v/>
      </c>
      <c r="J309" s="32">
        <f>IF($A309=1,"CC10","")</f>
        <v/>
      </c>
      <c r="K309" s="32">
        <f>IF($A309=1,"-","")</f>
        <v/>
      </c>
      <c r="L309" s="32">
        <f>IF($A309=1,"مبيعات - تحصيل OTH","")</f>
        <v/>
      </c>
      <c r="M309" s="43">
        <f>IF($A309=1,Sales_Daily!$Q28,"")</f>
        <v/>
      </c>
      <c r="N309" s="43">
        <f>IF($A309=1,0,"")</f>
        <v/>
      </c>
      <c r="O309" s="32">
        <f>IF($A309=1,Sales_Daily!$S28,"")</f>
        <v/>
      </c>
      <c r="P309" s="32">
        <f>IF($A309=1,IF(Sales_Daily!$AW28="","",Sales_Daily!$AW28),"")</f>
        <v/>
      </c>
      <c r="Q309" s="32">
        <f>IF($A309=1,Sales_Daily!$AY28,"")</f>
        <v/>
      </c>
      <c r="R309" s="32">
        <f>IF($A309=1,IF(AND($Q309=1,COUNTIFS(COA!$A:$A,$G309,COA!$R:$R,1)=1),1,0),"")</f>
        <v/>
      </c>
      <c r="S309" s="43">
        <f>IF($A309=1,IF($R309=1,N($M309),0),"")</f>
        <v/>
      </c>
      <c r="T309" s="43">
        <f>IF($A309=1,IF($R309=1,N($N309),0),"")</f>
        <v/>
      </c>
      <c r="U309" s="32">
        <f>IF($A309=1,YEAR($D309)*100+MONTH($D309),"")</f>
        <v/>
      </c>
      <c r="V309" s="32">
        <f>IF($A309=1,IF(COUNTIF(COA!$A:$A,$G309)=0,0,INDEX(COA!$H:$H,MATCH($G309,COA!$A:$A,0))),"")</f>
        <v/>
      </c>
      <c r="W309" s="32">
        <f>IF($A309=1,"OPERATING","")</f>
        <v/>
      </c>
      <c r="X309" s="32">
        <f>IF($A309=1,IF($R309=1,"",IF($O309=ST_POST,IF($P309&lt;&gt;"",$P309,"حساب غير صالح أو غير نشط"),IF($O309=ST_REV,"معكوس: لا أثر على الدفاتر",IF($O309=ST_CANC,"ملغى",IF($O309=ST_APPR,"معتمد ولم يُرحَّل","مسودة"))))),"")</f>
        <v/>
      </c>
      <c r="Y309" s="32">
        <f>IF($A309=1,IF(AND($R309=1,OR(LG_Acct="",$G309=LG_Acct),OR(LG_Party="",$K309=LG_Party),OR(LG_Loc="ALL",$I309=LG_Loc),OR(LG_CC="ALL",$J309=LG_CC),$D309&gt;=LG_From,$D309&lt;=LG_To),$D309+ROW()/1000000,""),"")</f>
        <v/>
      </c>
      <c r="Z309" s="32">
        <f>IF($A309=1,IF(Sales_Daily!$T28="","",Sales_Daily!$T28),"")</f>
        <v/>
      </c>
      <c r="AA309" s="32">
        <f>IF($A309=1,IF(Sales_Daily!$U28="","",Sales_Daily!$U28),"")</f>
        <v/>
      </c>
      <c r="AB309" s="32">
        <f>IF($A309=1,IF(Sales_Daily!$V28="","",Sales_Daily!$V28),"")</f>
        <v/>
      </c>
      <c r="AC309" s="32">
        <f>IF($A309=1,IF(Sales_Daily!$W28="","",Sales_Daily!$W28),"")</f>
        <v/>
      </c>
      <c r="AD309" s="32">
        <f>IF($A309=1,IF(Sales_Daily!$X28="","",Sales_Daily!$X28),"")</f>
        <v/>
      </c>
      <c r="AE309" s="32">
        <f>IF($A309=1,0,"")</f>
        <v/>
      </c>
      <c r="AF309" s="32" t="inlineStr"/>
    </row>
    <row r="310">
      <c r="A310" s="32">
        <f>IF(AND(Sales_Daily!$AV28=1,N(Sales_Daily!$AH28)&gt;0),1,0)</f>
        <v/>
      </c>
      <c r="B310" s="32">
        <f>IF($A310=1,$E310&amp;"/7","")</f>
        <v/>
      </c>
      <c r="C310" s="32">
        <f>IF($A310=1,"J-"&amp;Sales_Daily!$A28,"")</f>
        <v/>
      </c>
      <c r="D310" s="33">
        <f>IF($A310=1,Sales_Daily!$B28,"")</f>
        <v/>
      </c>
      <c r="E310" s="32">
        <f>IF($A310=1,IF(Sales_Daily!$A28="","",Sales_Daily!$A28),"")</f>
        <v/>
      </c>
      <c r="F310" s="32">
        <f>IF($A310=1,"SAL","")</f>
        <v/>
      </c>
      <c r="G310" s="32">
        <f>IF($A310=1,ACC_DISC,"")</f>
        <v/>
      </c>
      <c r="H310" s="32">
        <f>IF($A310=1,IF(COUNTIF(COA!$A:$A,$G310)=0,"حساب غير معرف",INDEX(COA!$B:$B,MATCH($G310,COA!$A:$A,0))),"")</f>
        <v/>
      </c>
      <c r="I310" s="32">
        <f>IF($A310=1,IF(Sales_Daily!$C28="","",Sales_Daily!$C28),"")</f>
        <v/>
      </c>
      <c r="J310" s="32">
        <f>IF($A310=1,"CC10","")</f>
        <v/>
      </c>
      <c r="K310" s="32">
        <f>IF($A310=1,"-","")</f>
        <v/>
      </c>
      <c r="L310" s="32">
        <f>IF($A310=1,"خصومات المبيعات والعروض","")</f>
        <v/>
      </c>
      <c r="M310" s="43">
        <f>IF($A310=1,Sales_Daily!$AH28,"")</f>
        <v/>
      </c>
      <c r="N310" s="43">
        <f>IF($A310=1,0,"")</f>
        <v/>
      </c>
      <c r="O310" s="32">
        <f>IF($A310=1,Sales_Daily!$S28,"")</f>
        <v/>
      </c>
      <c r="P310" s="32">
        <f>IF($A310=1,IF(Sales_Daily!$AW28="","",Sales_Daily!$AW28),"")</f>
        <v/>
      </c>
      <c r="Q310" s="32">
        <f>IF($A310=1,Sales_Daily!$AY28,"")</f>
        <v/>
      </c>
      <c r="R310" s="32">
        <f>IF($A310=1,IF(AND($Q310=1,COUNTIFS(COA!$A:$A,$G310,COA!$R:$R,1)=1),1,0),"")</f>
        <v/>
      </c>
      <c r="S310" s="43">
        <f>IF($A310=1,IF($R310=1,N($M310),0),"")</f>
        <v/>
      </c>
      <c r="T310" s="43">
        <f>IF($A310=1,IF($R310=1,N($N310),0),"")</f>
        <v/>
      </c>
      <c r="U310" s="32">
        <f>IF($A310=1,YEAR($D310)*100+MONTH($D310),"")</f>
        <v/>
      </c>
      <c r="V310" s="32">
        <f>IF($A310=1,IF(COUNTIF(COA!$A:$A,$G310)=0,0,INDEX(COA!$H:$H,MATCH($G310,COA!$A:$A,0))),"")</f>
        <v/>
      </c>
      <c r="W310" s="32">
        <f>IF($A310=1,"","")</f>
        <v/>
      </c>
      <c r="X310" s="32">
        <f>IF($A310=1,IF($R310=1,"",IF($O310=ST_POST,IF($P310&lt;&gt;"",$P310,"حساب غير صالح أو غير نشط"),IF($O310=ST_REV,"معكوس: لا أثر على الدفاتر",IF($O310=ST_CANC,"ملغى",IF($O310=ST_APPR,"معتمد ولم يُرحَّل","مسودة"))))),"")</f>
        <v/>
      </c>
      <c r="Y310" s="32">
        <f>IF($A310=1,IF(AND($R310=1,OR(LG_Acct="",$G310=LG_Acct),OR(LG_Party="",$K310=LG_Party),OR(LG_Loc="ALL",$I310=LG_Loc),OR(LG_CC="ALL",$J310=LG_CC),$D310&gt;=LG_From,$D310&lt;=LG_To),$D310+ROW()/1000000,""),"")</f>
        <v/>
      </c>
      <c r="Z310" s="32">
        <f>IF($A310=1,IF(Sales_Daily!$T28="","",Sales_Daily!$T28),"")</f>
        <v/>
      </c>
      <c r="AA310" s="32">
        <f>IF($A310=1,IF(Sales_Daily!$U28="","",Sales_Daily!$U28),"")</f>
        <v/>
      </c>
      <c r="AB310" s="32">
        <f>IF($A310=1,IF(Sales_Daily!$V28="","",Sales_Daily!$V28),"")</f>
        <v/>
      </c>
      <c r="AC310" s="32">
        <f>IF($A310=1,IF(Sales_Daily!$W28="","",Sales_Daily!$W28),"")</f>
        <v/>
      </c>
      <c r="AD310" s="32">
        <f>IF($A310=1,IF(Sales_Daily!$X28="","",Sales_Daily!$X28),"")</f>
        <v/>
      </c>
      <c r="AE310" s="32">
        <f>IF($A310=1,0,"")</f>
        <v/>
      </c>
      <c r="AF310" s="32" t="inlineStr"/>
    </row>
    <row r="311">
      <c r="A311" s="32">
        <f>IF(AND(Sales_Daily!$AV28=1,N(Sales_Daily!$AI28)&gt;0),1,0)</f>
        <v/>
      </c>
      <c r="B311" s="32">
        <f>IF($A311=1,$E311&amp;"/8","")</f>
        <v/>
      </c>
      <c r="C311" s="32">
        <f>IF($A311=1,"J-"&amp;Sales_Daily!$A28,"")</f>
        <v/>
      </c>
      <c r="D311" s="33">
        <f>IF($A311=1,Sales_Daily!$B28,"")</f>
        <v/>
      </c>
      <c r="E311" s="32">
        <f>IF($A311=1,IF(Sales_Daily!$A28="","",Sales_Daily!$A28),"")</f>
        <v/>
      </c>
      <c r="F311" s="32">
        <f>IF($A311=1,"SAL","")</f>
        <v/>
      </c>
      <c r="G311" s="32">
        <f>IF($A311=1,ACC_RET,"")</f>
        <v/>
      </c>
      <c r="H311" s="32">
        <f>IF($A311=1,IF(COUNTIF(COA!$A:$A,$G311)=0,"حساب غير معرف",INDEX(COA!$B:$B,MATCH($G311,COA!$A:$A,0))),"")</f>
        <v/>
      </c>
      <c r="I311" s="32">
        <f>IF($A311=1,IF(Sales_Daily!$C28="","",Sales_Daily!$C28),"")</f>
        <v/>
      </c>
      <c r="J311" s="32">
        <f>IF($A311=1,"CC10","")</f>
        <v/>
      </c>
      <c r="K311" s="32">
        <f>IF($A311=1,"-","")</f>
        <v/>
      </c>
      <c r="L311" s="32">
        <f>IF($A311=1,"مرتجعات وإلغاءات المبيعات","")</f>
        <v/>
      </c>
      <c r="M311" s="43">
        <f>IF($A311=1,Sales_Daily!$AI28,"")</f>
        <v/>
      </c>
      <c r="N311" s="43">
        <f>IF($A311=1,0,"")</f>
        <v/>
      </c>
      <c r="O311" s="32">
        <f>IF($A311=1,Sales_Daily!$S28,"")</f>
        <v/>
      </c>
      <c r="P311" s="32">
        <f>IF($A311=1,IF(Sales_Daily!$AW28="","",Sales_Daily!$AW28),"")</f>
        <v/>
      </c>
      <c r="Q311" s="32">
        <f>IF($A311=1,Sales_Daily!$AY28,"")</f>
        <v/>
      </c>
      <c r="R311" s="32">
        <f>IF($A311=1,IF(AND($Q311=1,COUNTIFS(COA!$A:$A,$G311,COA!$R:$R,1)=1),1,0),"")</f>
        <v/>
      </c>
      <c r="S311" s="43">
        <f>IF($A311=1,IF($R311=1,N($M311),0),"")</f>
        <v/>
      </c>
      <c r="T311" s="43">
        <f>IF($A311=1,IF($R311=1,N($N311),0),"")</f>
        <v/>
      </c>
      <c r="U311" s="32">
        <f>IF($A311=1,YEAR($D311)*100+MONTH($D311),"")</f>
        <v/>
      </c>
      <c r="V311" s="32">
        <f>IF($A311=1,IF(COUNTIF(COA!$A:$A,$G311)=0,0,INDEX(COA!$H:$H,MATCH($G311,COA!$A:$A,0))),"")</f>
        <v/>
      </c>
      <c r="W311" s="32">
        <f>IF($A311=1,"","")</f>
        <v/>
      </c>
      <c r="X311" s="32">
        <f>IF($A311=1,IF($R311=1,"",IF($O311=ST_POST,IF($P311&lt;&gt;"",$P311,"حساب غير صالح أو غير نشط"),IF($O311=ST_REV,"معكوس: لا أثر على الدفاتر",IF($O311=ST_CANC,"ملغى",IF($O311=ST_APPR,"معتمد ولم يُرحَّل","مسودة"))))),"")</f>
        <v/>
      </c>
      <c r="Y311" s="32">
        <f>IF($A311=1,IF(AND($R311=1,OR(LG_Acct="",$G311=LG_Acct),OR(LG_Party="",$K311=LG_Party),OR(LG_Loc="ALL",$I311=LG_Loc),OR(LG_CC="ALL",$J311=LG_CC),$D311&gt;=LG_From,$D311&lt;=LG_To),$D311+ROW()/1000000,""),"")</f>
        <v/>
      </c>
      <c r="Z311" s="32">
        <f>IF($A311=1,IF(Sales_Daily!$T28="","",Sales_Daily!$T28),"")</f>
        <v/>
      </c>
      <c r="AA311" s="32">
        <f>IF($A311=1,IF(Sales_Daily!$U28="","",Sales_Daily!$U28),"")</f>
        <v/>
      </c>
      <c r="AB311" s="32">
        <f>IF($A311=1,IF(Sales_Daily!$V28="","",Sales_Daily!$V28),"")</f>
        <v/>
      </c>
      <c r="AC311" s="32">
        <f>IF($A311=1,IF(Sales_Daily!$W28="","",Sales_Daily!$W28),"")</f>
        <v/>
      </c>
      <c r="AD311" s="32">
        <f>IF($A311=1,IF(Sales_Daily!$X28="","",Sales_Daily!$X28),"")</f>
        <v/>
      </c>
      <c r="AE311" s="32">
        <f>IF($A311=1,0,"")</f>
        <v/>
      </c>
      <c r="AF311" s="32" t="inlineStr"/>
    </row>
    <row r="312">
      <c r="A312" s="32">
        <f>IF(AND(Sales_Daily!$AV28=1,N(Sales_Daily!$AD28)&gt;0),1,0)</f>
        <v/>
      </c>
      <c r="B312" s="32">
        <f>IF($A312=1,$E312&amp;"/9","")</f>
        <v/>
      </c>
      <c r="C312" s="32">
        <f>IF($A312=1,"J-"&amp;Sales_Daily!$A28,"")</f>
        <v/>
      </c>
      <c r="D312" s="33">
        <f>IF($A312=1,Sales_Daily!$B28,"")</f>
        <v/>
      </c>
      <c r="E312" s="32">
        <f>IF($A312=1,IF(Sales_Daily!$A28="","",Sales_Daily!$A28),"")</f>
        <v/>
      </c>
      <c r="F312" s="32">
        <f>IF($A312=1,"SAL","")</f>
        <v/>
      </c>
      <c r="G312" s="32">
        <f>IF($A312=1,IF(Sales_Daily!$AQ28="","",Sales_Daily!$AQ28),"")</f>
        <v/>
      </c>
      <c r="H312" s="32">
        <f>IF($A312=1,IF(COUNTIF(COA!$A:$A,$G312)=0,"حساب غير معرف",INDEX(COA!$B:$B,MATCH($G312,COA!$A:$A,0))),"")</f>
        <v/>
      </c>
      <c r="I312" s="32">
        <f>IF($A312=1,IF(Sales_Daily!$C28="","",Sales_Daily!$C28),"")</f>
        <v/>
      </c>
      <c r="J312" s="32">
        <f>IF($A312=1,"CC10","")</f>
        <v/>
      </c>
      <c r="K312" s="32">
        <f>IF($A312=1,"-","")</f>
        <v/>
      </c>
      <c r="L312" s="32">
        <f>IF($A312=1,"إيراد مبيعات - فئة فطير","")</f>
        <v/>
      </c>
      <c r="M312" s="43">
        <f>IF($A312=1,0,"")</f>
        <v/>
      </c>
      <c r="N312" s="43">
        <f>IF($A312=1,Sales_Daily!$AD28,"")</f>
        <v/>
      </c>
      <c r="O312" s="32">
        <f>IF($A312=1,Sales_Daily!$S28,"")</f>
        <v/>
      </c>
      <c r="P312" s="32">
        <f>IF($A312=1,IF(Sales_Daily!$AW28="","",Sales_Daily!$AW28),"")</f>
        <v/>
      </c>
      <c r="Q312" s="32">
        <f>IF($A312=1,Sales_Daily!$AY28,"")</f>
        <v/>
      </c>
      <c r="R312" s="32">
        <f>IF($A312=1,IF(AND($Q312=1,COUNTIFS(COA!$A:$A,$G312,COA!$R:$R,1)=1),1,0),"")</f>
        <v/>
      </c>
      <c r="S312" s="43">
        <f>IF($A312=1,IF($R312=1,N($M312),0),"")</f>
        <v/>
      </c>
      <c r="T312" s="43">
        <f>IF($A312=1,IF($R312=1,N($N312),0),"")</f>
        <v/>
      </c>
      <c r="U312" s="32">
        <f>IF($A312=1,YEAR($D312)*100+MONTH($D312),"")</f>
        <v/>
      </c>
      <c r="V312" s="32">
        <f>IF($A312=1,IF(COUNTIF(COA!$A:$A,$G312)=0,0,INDEX(COA!$H:$H,MATCH($G312,COA!$A:$A,0))),"")</f>
        <v/>
      </c>
      <c r="W312" s="32">
        <f>IF($A312=1,"","")</f>
        <v/>
      </c>
      <c r="X312" s="32">
        <f>IF($A312=1,IF($R312=1,"",IF($O312=ST_POST,IF($P312&lt;&gt;"",$P312,"حساب غير صالح أو غير نشط"),IF($O312=ST_REV,"معكوس: لا أثر على الدفاتر",IF($O312=ST_CANC,"ملغى",IF($O312=ST_APPR,"معتمد ولم يُرحَّل","مسودة"))))),"")</f>
        <v/>
      </c>
      <c r="Y312" s="32">
        <f>IF($A312=1,IF(AND($R312=1,OR(LG_Acct="",$G312=LG_Acct),OR(LG_Party="",$K312=LG_Party),OR(LG_Loc="ALL",$I312=LG_Loc),OR(LG_CC="ALL",$J312=LG_CC),$D312&gt;=LG_From,$D312&lt;=LG_To),$D312+ROW()/1000000,""),"")</f>
        <v/>
      </c>
      <c r="Z312" s="32">
        <f>IF($A312=1,IF(Sales_Daily!$T28="","",Sales_Daily!$T28),"")</f>
        <v/>
      </c>
      <c r="AA312" s="32">
        <f>IF($A312=1,IF(Sales_Daily!$U28="","",Sales_Daily!$U28),"")</f>
        <v/>
      </c>
      <c r="AB312" s="32">
        <f>IF($A312=1,IF(Sales_Daily!$V28="","",Sales_Daily!$V28),"")</f>
        <v/>
      </c>
      <c r="AC312" s="32">
        <f>IF($A312=1,IF(Sales_Daily!$W28="","",Sales_Daily!$W28),"")</f>
        <v/>
      </c>
      <c r="AD312" s="32">
        <f>IF($A312=1,IF(Sales_Daily!$X28="","",Sales_Daily!$X28),"")</f>
        <v/>
      </c>
      <c r="AE312" s="32">
        <f>IF($A312=1,0,"")</f>
        <v/>
      </c>
      <c r="AF312" s="32" t="inlineStr"/>
    </row>
    <row r="313">
      <c r="A313" s="32">
        <f>IF(AND(Sales_Daily!$AV28=1,N(Sales_Daily!$AE28)&gt;0),1,0)</f>
        <v/>
      </c>
      <c r="B313" s="32">
        <f>IF($A313=1,$E313&amp;"/10","")</f>
        <v/>
      </c>
      <c r="C313" s="32">
        <f>IF($A313=1,"J-"&amp;Sales_Daily!$A28,"")</f>
        <v/>
      </c>
      <c r="D313" s="33">
        <f>IF($A313=1,Sales_Daily!$B28,"")</f>
        <v/>
      </c>
      <c r="E313" s="32">
        <f>IF($A313=1,IF(Sales_Daily!$A28="","",Sales_Daily!$A28),"")</f>
        <v/>
      </c>
      <c r="F313" s="32">
        <f>IF($A313=1,"SAL","")</f>
        <v/>
      </c>
      <c r="G313" s="32">
        <f>IF($A313=1,IF(Sales_Daily!$AR28="","",Sales_Daily!$AR28),"")</f>
        <v/>
      </c>
      <c r="H313" s="32">
        <f>IF($A313=1,IF(COUNTIF(COA!$A:$A,$G313)=0,"حساب غير معرف",INDEX(COA!$B:$B,MATCH($G313,COA!$A:$A,0))),"")</f>
        <v/>
      </c>
      <c r="I313" s="32">
        <f>IF($A313=1,IF(Sales_Daily!$C28="","",Sales_Daily!$C28),"")</f>
        <v/>
      </c>
      <c r="J313" s="32">
        <f>IF($A313=1,"CC10","")</f>
        <v/>
      </c>
      <c r="K313" s="32">
        <f>IF($A313=1,"-","")</f>
        <v/>
      </c>
      <c r="L313" s="32">
        <f>IF($A313=1,"إيراد مبيعات - فئة بيتزا","")</f>
        <v/>
      </c>
      <c r="M313" s="43">
        <f>IF($A313=1,0,"")</f>
        <v/>
      </c>
      <c r="N313" s="43">
        <f>IF($A313=1,Sales_Daily!$AE28,"")</f>
        <v/>
      </c>
      <c r="O313" s="32">
        <f>IF($A313=1,Sales_Daily!$S28,"")</f>
        <v/>
      </c>
      <c r="P313" s="32">
        <f>IF($A313=1,IF(Sales_Daily!$AW28="","",Sales_Daily!$AW28),"")</f>
        <v/>
      </c>
      <c r="Q313" s="32">
        <f>IF($A313=1,Sales_Daily!$AY28,"")</f>
        <v/>
      </c>
      <c r="R313" s="32">
        <f>IF($A313=1,IF(AND($Q313=1,COUNTIFS(COA!$A:$A,$G313,COA!$R:$R,1)=1),1,0),"")</f>
        <v/>
      </c>
      <c r="S313" s="43">
        <f>IF($A313=1,IF($R313=1,N($M313),0),"")</f>
        <v/>
      </c>
      <c r="T313" s="43">
        <f>IF($A313=1,IF($R313=1,N($N313),0),"")</f>
        <v/>
      </c>
      <c r="U313" s="32">
        <f>IF($A313=1,YEAR($D313)*100+MONTH($D313),"")</f>
        <v/>
      </c>
      <c r="V313" s="32">
        <f>IF($A313=1,IF(COUNTIF(COA!$A:$A,$G313)=0,0,INDEX(COA!$H:$H,MATCH($G313,COA!$A:$A,0))),"")</f>
        <v/>
      </c>
      <c r="W313" s="32">
        <f>IF($A313=1,"","")</f>
        <v/>
      </c>
      <c r="X313" s="32">
        <f>IF($A313=1,IF($R313=1,"",IF($O313=ST_POST,IF($P313&lt;&gt;"",$P313,"حساب غير صالح أو غير نشط"),IF($O313=ST_REV,"معكوس: لا أثر على الدفاتر",IF($O313=ST_CANC,"ملغى",IF($O313=ST_APPR,"معتمد ولم يُرحَّل","مسودة"))))),"")</f>
        <v/>
      </c>
      <c r="Y313" s="32">
        <f>IF($A313=1,IF(AND($R313=1,OR(LG_Acct="",$G313=LG_Acct),OR(LG_Party="",$K313=LG_Party),OR(LG_Loc="ALL",$I313=LG_Loc),OR(LG_CC="ALL",$J313=LG_CC),$D313&gt;=LG_From,$D313&lt;=LG_To),$D313+ROW()/1000000,""),"")</f>
        <v/>
      </c>
      <c r="Z313" s="32">
        <f>IF($A313=1,IF(Sales_Daily!$T28="","",Sales_Daily!$T28),"")</f>
        <v/>
      </c>
      <c r="AA313" s="32">
        <f>IF($A313=1,IF(Sales_Daily!$U28="","",Sales_Daily!$U28),"")</f>
        <v/>
      </c>
      <c r="AB313" s="32">
        <f>IF($A313=1,IF(Sales_Daily!$V28="","",Sales_Daily!$V28),"")</f>
        <v/>
      </c>
      <c r="AC313" s="32">
        <f>IF($A313=1,IF(Sales_Daily!$W28="","",Sales_Daily!$W28),"")</f>
        <v/>
      </c>
      <c r="AD313" s="32">
        <f>IF($A313=1,IF(Sales_Daily!$X28="","",Sales_Daily!$X28),"")</f>
        <v/>
      </c>
      <c r="AE313" s="32">
        <f>IF($A313=1,0,"")</f>
        <v/>
      </c>
      <c r="AF313" s="32" t="inlineStr"/>
    </row>
    <row r="314">
      <c r="A314" s="32">
        <f>IF(AND(Sales_Daily!$AV28=1,N(Sales_Daily!$AF28)&gt;0),1,0)</f>
        <v/>
      </c>
      <c r="B314" s="32">
        <f>IF($A314=1,$E314&amp;"/11","")</f>
        <v/>
      </c>
      <c r="C314" s="32">
        <f>IF($A314=1,"J-"&amp;Sales_Daily!$A28,"")</f>
        <v/>
      </c>
      <c r="D314" s="33">
        <f>IF($A314=1,Sales_Daily!$B28,"")</f>
        <v/>
      </c>
      <c r="E314" s="32">
        <f>IF($A314=1,IF(Sales_Daily!$A28="","",Sales_Daily!$A28),"")</f>
        <v/>
      </c>
      <c r="F314" s="32">
        <f>IF($A314=1,"SAL","")</f>
        <v/>
      </c>
      <c r="G314" s="32">
        <f>IF($A314=1,IF(Sales_Daily!$AS28="","",Sales_Daily!$AS28),"")</f>
        <v/>
      </c>
      <c r="H314" s="32">
        <f>IF($A314=1,IF(COUNTIF(COA!$A:$A,$G314)=0,"حساب غير معرف",INDEX(COA!$B:$B,MATCH($G314,COA!$A:$A,0))),"")</f>
        <v/>
      </c>
      <c r="I314" s="32">
        <f>IF($A314=1,IF(Sales_Daily!$C28="","",Sales_Daily!$C28),"")</f>
        <v/>
      </c>
      <c r="J314" s="32">
        <f>IF($A314=1,"CC10","")</f>
        <v/>
      </c>
      <c r="K314" s="32">
        <f>IF($A314=1,"-","")</f>
        <v/>
      </c>
      <c r="L314" s="32">
        <f>IF($A314=1,"إيراد مبيعات - فئة مكرونات","")</f>
        <v/>
      </c>
      <c r="M314" s="43">
        <f>IF($A314=1,0,"")</f>
        <v/>
      </c>
      <c r="N314" s="43">
        <f>IF($A314=1,Sales_Daily!$AF28,"")</f>
        <v/>
      </c>
      <c r="O314" s="32">
        <f>IF($A314=1,Sales_Daily!$S28,"")</f>
        <v/>
      </c>
      <c r="P314" s="32">
        <f>IF($A314=1,IF(Sales_Daily!$AW28="","",Sales_Daily!$AW28),"")</f>
        <v/>
      </c>
      <c r="Q314" s="32">
        <f>IF($A314=1,Sales_Daily!$AY28,"")</f>
        <v/>
      </c>
      <c r="R314" s="32">
        <f>IF($A314=1,IF(AND($Q314=1,COUNTIFS(COA!$A:$A,$G314,COA!$R:$R,1)=1),1,0),"")</f>
        <v/>
      </c>
      <c r="S314" s="43">
        <f>IF($A314=1,IF($R314=1,N($M314),0),"")</f>
        <v/>
      </c>
      <c r="T314" s="43">
        <f>IF($A314=1,IF($R314=1,N($N314),0),"")</f>
        <v/>
      </c>
      <c r="U314" s="32">
        <f>IF($A314=1,YEAR($D314)*100+MONTH($D314),"")</f>
        <v/>
      </c>
      <c r="V314" s="32">
        <f>IF($A314=1,IF(COUNTIF(COA!$A:$A,$G314)=0,0,INDEX(COA!$H:$H,MATCH($G314,COA!$A:$A,0))),"")</f>
        <v/>
      </c>
      <c r="W314" s="32">
        <f>IF($A314=1,"","")</f>
        <v/>
      </c>
      <c r="X314" s="32">
        <f>IF($A314=1,IF($R314=1,"",IF($O314=ST_POST,IF($P314&lt;&gt;"",$P314,"حساب غير صالح أو غير نشط"),IF($O314=ST_REV,"معكوس: لا أثر على الدفاتر",IF($O314=ST_CANC,"ملغى",IF($O314=ST_APPR,"معتمد ولم يُرحَّل","مسودة"))))),"")</f>
        <v/>
      </c>
      <c r="Y314" s="32">
        <f>IF($A314=1,IF(AND($R314=1,OR(LG_Acct="",$G314=LG_Acct),OR(LG_Party="",$K314=LG_Party),OR(LG_Loc="ALL",$I314=LG_Loc),OR(LG_CC="ALL",$J314=LG_CC),$D314&gt;=LG_From,$D314&lt;=LG_To),$D314+ROW()/1000000,""),"")</f>
        <v/>
      </c>
      <c r="Z314" s="32">
        <f>IF($A314=1,IF(Sales_Daily!$T28="","",Sales_Daily!$T28),"")</f>
        <v/>
      </c>
      <c r="AA314" s="32">
        <f>IF($A314=1,IF(Sales_Daily!$U28="","",Sales_Daily!$U28),"")</f>
        <v/>
      </c>
      <c r="AB314" s="32">
        <f>IF($A314=1,IF(Sales_Daily!$V28="","",Sales_Daily!$V28),"")</f>
        <v/>
      </c>
      <c r="AC314" s="32">
        <f>IF($A314=1,IF(Sales_Daily!$W28="","",Sales_Daily!$W28),"")</f>
        <v/>
      </c>
      <c r="AD314" s="32">
        <f>IF($A314=1,IF(Sales_Daily!$X28="","",Sales_Daily!$X28),"")</f>
        <v/>
      </c>
      <c r="AE314" s="32">
        <f>IF($A314=1,0,"")</f>
        <v/>
      </c>
      <c r="AF314" s="32" t="inlineStr"/>
    </row>
    <row r="315">
      <c r="A315" s="32">
        <f>IF(AND(Sales_Daily!$AV28=1,N(Sales_Daily!$AG28)&gt;0),1,0)</f>
        <v/>
      </c>
      <c r="B315" s="32">
        <f>IF($A315=1,$E315&amp;"/12","")</f>
        <v/>
      </c>
      <c r="C315" s="32">
        <f>IF($A315=1,"J-"&amp;Sales_Daily!$A28,"")</f>
        <v/>
      </c>
      <c r="D315" s="33">
        <f>IF($A315=1,Sales_Daily!$B28,"")</f>
        <v/>
      </c>
      <c r="E315" s="32">
        <f>IF($A315=1,IF(Sales_Daily!$A28="","",Sales_Daily!$A28),"")</f>
        <v/>
      </c>
      <c r="F315" s="32">
        <f>IF($A315=1,"SAL","")</f>
        <v/>
      </c>
      <c r="G315" s="32">
        <f>IF($A315=1,IF(Sales_Daily!$AT28="","",Sales_Daily!$AT28),"")</f>
        <v/>
      </c>
      <c r="H315" s="32">
        <f>IF($A315=1,IF(COUNTIF(COA!$A:$A,$G315)=0,"حساب غير معرف",INDEX(COA!$B:$B,MATCH($G315,COA!$A:$A,0))),"")</f>
        <v/>
      </c>
      <c r="I315" s="32">
        <f>IF($A315=1,IF(Sales_Daily!$C28="","",Sales_Daily!$C28),"")</f>
        <v/>
      </c>
      <c r="J315" s="32">
        <f>IF($A315=1,"CC10","")</f>
        <v/>
      </c>
      <c r="K315" s="32">
        <f>IF($A315=1,"-","")</f>
        <v/>
      </c>
      <c r="L315" s="32">
        <f>IF($A315=1,"إيراد مبيعات - فئة أخرى","")</f>
        <v/>
      </c>
      <c r="M315" s="43">
        <f>IF($A315=1,0,"")</f>
        <v/>
      </c>
      <c r="N315" s="43">
        <f>IF($A315=1,Sales_Daily!$AG28,"")</f>
        <v/>
      </c>
      <c r="O315" s="32">
        <f>IF($A315=1,Sales_Daily!$S28,"")</f>
        <v/>
      </c>
      <c r="P315" s="32">
        <f>IF($A315=1,IF(Sales_Daily!$AW28="","",Sales_Daily!$AW28),"")</f>
        <v/>
      </c>
      <c r="Q315" s="32">
        <f>IF($A315=1,Sales_Daily!$AY28,"")</f>
        <v/>
      </c>
      <c r="R315" s="32">
        <f>IF($A315=1,IF(AND($Q315=1,COUNTIFS(COA!$A:$A,$G315,COA!$R:$R,1)=1),1,0),"")</f>
        <v/>
      </c>
      <c r="S315" s="43">
        <f>IF($A315=1,IF($R315=1,N($M315),0),"")</f>
        <v/>
      </c>
      <c r="T315" s="43">
        <f>IF($A315=1,IF($R315=1,N($N315),0),"")</f>
        <v/>
      </c>
      <c r="U315" s="32">
        <f>IF($A315=1,YEAR($D315)*100+MONTH($D315),"")</f>
        <v/>
      </c>
      <c r="V315" s="32">
        <f>IF($A315=1,IF(COUNTIF(COA!$A:$A,$G315)=0,0,INDEX(COA!$H:$H,MATCH($G315,COA!$A:$A,0))),"")</f>
        <v/>
      </c>
      <c r="W315" s="32">
        <f>IF($A315=1,"","")</f>
        <v/>
      </c>
      <c r="X315" s="32">
        <f>IF($A315=1,IF($R315=1,"",IF($O315=ST_POST,IF($P315&lt;&gt;"",$P315,"حساب غير صالح أو غير نشط"),IF($O315=ST_REV,"معكوس: لا أثر على الدفاتر",IF($O315=ST_CANC,"ملغى",IF($O315=ST_APPR,"معتمد ولم يُرحَّل","مسودة"))))),"")</f>
        <v/>
      </c>
      <c r="Y315" s="32">
        <f>IF($A315=1,IF(AND($R315=1,OR(LG_Acct="",$G315=LG_Acct),OR(LG_Party="",$K315=LG_Party),OR(LG_Loc="ALL",$I315=LG_Loc),OR(LG_CC="ALL",$J315=LG_CC),$D315&gt;=LG_From,$D315&lt;=LG_To),$D315+ROW()/1000000,""),"")</f>
        <v/>
      </c>
      <c r="Z315" s="32">
        <f>IF($A315=1,IF(Sales_Daily!$T28="","",Sales_Daily!$T28),"")</f>
        <v/>
      </c>
      <c r="AA315" s="32">
        <f>IF($A315=1,IF(Sales_Daily!$U28="","",Sales_Daily!$U28),"")</f>
        <v/>
      </c>
      <c r="AB315" s="32">
        <f>IF($A315=1,IF(Sales_Daily!$V28="","",Sales_Daily!$V28),"")</f>
        <v/>
      </c>
      <c r="AC315" s="32">
        <f>IF($A315=1,IF(Sales_Daily!$W28="","",Sales_Daily!$W28),"")</f>
        <v/>
      </c>
      <c r="AD315" s="32">
        <f>IF($A315=1,IF(Sales_Daily!$X28="","",Sales_Daily!$X28),"")</f>
        <v/>
      </c>
      <c r="AE315" s="32">
        <f>IF($A315=1,0,"")</f>
        <v/>
      </c>
      <c r="AF315" s="32" t="inlineStr"/>
    </row>
    <row r="316">
      <c r="A316" s="32">
        <f>IF(AND(Sales_Daily!$AV28=1,N(Sales_Daily!$AJ28)&gt;0),1,0)</f>
        <v/>
      </c>
      <c r="B316" s="32">
        <f>IF($A316=1,$E316&amp;"/13","")</f>
        <v/>
      </c>
      <c r="C316" s="32">
        <f>IF($A316=1,"J-"&amp;Sales_Daily!$A28,"")</f>
        <v/>
      </c>
      <c r="D316" s="33">
        <f>IF($A316=1,Sales_Daily!$B28,"")</f>
        <v/>
      </c>
      <c r="E316" s="32">
        <f>IF($A316=1,IF(Sales_Daily!$A28="","",Sales_Daily!$A28),"")</f>
        <v/>
      </c>
      <c r="F316" s="32">
        <f>IF($A316=1,"SAL","")</f>
        <v/>
      </c>
      <c r="G316" s="32">
        <f>IF($A316=1,ACC_VAT_OUT,"")</f>
        <v/>
      </c>
      <c r="H316" s="32">
        <f>IF($A316=1,IF(COUNTIF(COA!$A:$A,$G316)=0,"حساب غير معرف",INDEX(COA!$B:$B,MATCH($G316,COA!$A:$A,0))),"")</f>
        <v/>
      </c>
      <c r="I316" s="32">
        <f>IF($A316=1,IF(Sales_Daily!$C28="","",Sales_Daily!$C28),"")</f>
        <v/>
      </c>
      <c r="J316" s="32">
        <f>IF($A316=1,"CC10","")</f>
        <v/>
      </c>
      <c r="K316" s="32">
        <f>IF($A316=1,"-","")</f>
        <v/>
      </c>
      <c r="L316" s="32">
        <f>IF($A316=1,"ضريبة القيمة المضافة - مخرجات","")</f>
        <v/>
      </c>
      <c r="M316" s="43">
        <f>IF($A316=1,0,"")</f>
        <v/>
      </c>
      <c r="N316" s="43">
        <f>IF($A316=1,Sales_Daily!$AJ28,"")</f>
        <v/>
      </c>
      <c r="O316" s="32">
        <f>IF($A316=1,Sales_Daily!$S28,"")</f>
        <v/>
      </c>
      <c r="P316" s="32">
        <f>IF($A316=1,IF(Sales_Daily!$AW28="","",Sales_Daily!$AW28),"")</f>
        <v/>
      </c>
      <c r="Q316" s="32">
        <f>IF($A316=1,Sales_Daily!$AY28,"")</f>
        <v/>
      </c>
      <c r="R316" s="32">
        <f>IF($A316=1,IF(AND($Q316=1,COUNTIFS(COA!$A:$A,$G316,COA!$R:$R,1)=1),1,0),"")</f>
        <v/>
      </c>
      <c r="S316" s="43">
        <f>IF($A316=1,IF($R316=1,N($M316),0),"")</f>
        <v/>
      </c>
      <c r="T316" s="43">
        <f>IF($A316=1,IF($R316=1,N($N316),0),"")</f>
        <v/>
      </c>
      <c r="U316" s="32">
        <f>IF($A316=1,YEAR($D316)*100+MONTH($D316),"")</f>
        <v/>
      </c>
      <c r="V316" s="32">
        <f>IF($A316=1,IF(COUNTIF(COA!$A:$A,$G316)=0,0,INDEX(COA!$H:$H,MATCH($G316,COA!$A:$A,0))),"")</f>
        <v/>
      </c>
      <c r="W316" s="32">
        <f>IF($A316=1,"","")</f>
        <v/>
      </c>
      <c r="X316" s="32">
        <f>IF($A316=1,IF($R316=1,"",IF($O316=ST_POST,IF($P316&lt;&gt;"",$P316,"حساب غير صالح أو غير نشط"),IF($O316=ST_REV,"معكوس: لا أثر على الدفاتر",IF($O316=ST_CANC,"ملغى",IF($O316=ST_APPR,"معتمد ولم يُرحَّل","مسودة"))))),"")</f>
        <v/>
      </c>
      <c r="Y316" s="32">
        <f>IF($A316=1,IF(AND($R316=1,OR(LG_Acct="",$G316=LG_Acct),OR(LG_Party="",$K316=LG_Party),OR(LG_Loc="ALL",$I316=LG_Loc),OR(LG_CC="ALL",$J316=LG_CC),$D316&gt;=LG_From,$D316&lt;=LG_To),$D316+ROW()/1000000,""),"")</f>
        <v/>
      </c>
      <c r="Z316" s="32">
        <f>IF($A316=1,IF(Sales_Daily!$T28="","",Sales_Daily!$T28),"")</f>
        <v/>
      </c>
      <c r="AA316" s="32">
        <f>IF($A316=1,IF(Sales_Daily!$U28="","",Sales_Daily!$U28),"")</f>
        <v/>
      </c>
      <c r="AB316" s="32">
        <f>IF($A316=1,IF(Sales_Daily!$V28="","",Sales_Daily!$V28),"")</f>
        <v/>
      </c>
      <c r="AC316" s="32">
        <f>IF($A316=1,IF(Sales_Daily!$W28="","",Sales_Daily!$W28),"")</f>
        <v/>
      </c>
      <c r="AD316" s="32">
        <f>IF($A316=1,IF(Sales_Daily!$X28="","",Sales_Daily!$X28),"")</f>
        <v/>
      </c>
      <c r="AE316" s="32">
        <f>IF($A316=1,0,"")</f>
        <v/>
      </c>
      <c r="AF316" s="32" t="inlineStr"/>
    </row>
    <row r="317">
      <c r="A317" s="32">
        <f>IF(AND(Sales_Daily!$AV29=1,N(Sales_Daily!$L29)&gt;0),1,0)</f>
        <v/>
      </c>
      <c r="B317" s="32">
        <f>IF($A317=1,$E317&amp;"/1","")</f>
        <v/>
      </c>
      <c r="C317" s="32">
        <f>IF($A317=1,"J-"&amp;Sales_Daily!$A29,"")</f>
        <v/>
      </c>
      <c r="D317" s="33">
        <f>IF($A317=1,Sales_Daily!$B29,"")</f>
        <v/>
      </c>
      <c r="E317" s="32">
        <f>IF($A317=1,IF(Sales_Daily!$A29="","",Sales_Daily!$A29),"")</f>
        <v/>
      </c>
      <c r="F317" s="32">
        <f>IF($A317=1,"SAL","")</f>
        <v/>
      </c>
      <c r="G317" s="32">
        <f>IF($A317=1,IF(Sales_Daily!$AK29="","",Sales_Daily!$AK29),"")</f>
        <v/>
      </c>
      <c r="H317" s="32">
        <f>IF($A317=1,IF(COUNTIF(COA!$A:$A,$G317)=0,"حساب غير معرف",INDEX(COA!$B:$B,MATCH($G317,COA!$A:$A,0))),"")</f>
        <v/>
      </c>
      <c r="I317" s="32">
        <f>IF($A317=1,IF(Sales_Daily!$C29="","",Sales_Daily!$C29),"")</f>
        <v/>
      </c>
      <c r="J317" s="32">
        <f>IF($A317=1,"CC10","")</f>
        <v/>
      </c>
      <c r="K317" s="32">
        <f>IF($A317=1,"-","")</f>
        <v/>
      </c>
      <c r="L317" s="32">
        <f>IF($A317=1,"مبيعات - تحصيل CASH","")</f>
        <v/>
      </c>
      <c r="M317" s="43">
        <f>IF($A317=1,Sales_Daily!$L29,"")</f>
        <v/>
      </c>
      <c r="N317" s="43">
        <f>IF($A317=1,0,"")</f>
        <v/>
      </c>
      <c r="O317" s="32">
        <f>IF($A317=1,Sales_Daily!$S29,"")</f>
        <v/>
      </c>
      <c r="P317" s="32">
        <f>IF($A317=1,IF(Sales_Daily!$AW29="","",Sales_Daily!$AW29),"")</f>
        <v/>
      </c>
      <c r="Q317" s="32">
        <f>IF($A317=1,Sales_Daily!$AY29,"")</f>
        <v/>
      </c>
      <c r="R317" s="32">
        <f>IF($A317=1,IF(AND($Q317=1,COUNTIFS(COA!$A:$A,$G317,COA!$R:$R,1)=1),1,0),"")</f>
        <v/>
      </c>
      <c r="S317" s="43">
        <f>IF($A317=1,IF($R317=1,N($M317),0),"")</f>
        <v/>
      </c>
      <c r="T317" s="43">
        <f>IF($A317=1,IF($R317=1,N($N317),0),"")</f>
        <v/>
      </c>
      <c r="U317" s="32">
        <f>IF($A317=1,YEAR($D317)*100+MONTH($D317),"")</f>
        <v/>
      </c>
      <c r="V317" s="32">
        <f>IF($A317=1,IF(COUNTIF(COA!$A:$A,$G317)=0,0,INDEX(COA!$H:$H,MATCH($G317,COA!$A:$A,0))),"")</f>
        <v/>
      </c>
      <c r="W317" s="32">
        <f>IF($A317=1,"OPERATING","")</f>
        <v/>
      </c>
      <c r="X317" s="32">
        <f>IF($A317=1,IF($R317=1,"",IF($O317=ST_POST,IF($P317&lt;&gt;"",$P317,"حساب غير صالح أو غير نشط"),IF($O317=ST_REV,"معكوس: لا أثر على الدفاتر",IF($O317=ST_CANC,"ملغى",IF($O317=ST_APPR,"معتمد ولم يُرحَّل","مسودة"))))),"")</f>
        <v/>
      </c>
      <c r="Y317" s="32">
        <f>IF($A317=1,IF(AND($R317=1,OR(LG_Acct="",$G317=LG_Acct),OR(LG_Party="",$K317=LG_Party),OR(LG_Loc="ALL",$I317=LG_Loc),OR(LG_CC="ALL",$J317=LG_CC),$D317&gt;=LG_From,$D317&lt;=LG_To),$D317+ROW()/1000000,""),"")</f>
        <v/>
      </c>
      <c r="Z317" s="32">
        <f>IF($A317=1,IF(Sales_Daily!$T29="","",Sales_Daily!$T29),"")</f>
        <v/>
      </c>
      <c r="AA317" s="32">
        <f>IF($A317=1,IF(Sales_Daily!$U29="","",Sales_Daily!$U29),"")</f>
        <v/>
      </c>
      <c r="AB317" s="32">
        <f>IF($A317=1,IF(Sales_Daily!$V29="","",Sales_Daily!$V29),"")</f>
        <v/>
      </c>
      <c r="AC317" s="32">
        <f>IF($A317=1,IF(Sales_Daily!$W29="","",Sales_Daily!$W29),"")</f>
        <v/>
      </c>
      <c r="AD317" s="32">
        <f>IF($A317=1,IF(Sales_Daily!$X29="","",Sales_Daily!$X29),"")</f>
        <v/>
      </c>
      <c r="AE317" s="32">
        <f>IF($A317=1,0,"")</f>
        <v/>
      </c>
      <c r="AF317" s="32" t="inlineStr"/>
    </row>
    <row r="318">
      <c r="A318" s="32">
        <f>IF(AND(Sales_Daily!$AV29=1,N(Sales_Daily!$M29)&gt;0),1,0)</f>
        <v/>
      </c>
      <c r="B318" s="32">
        <f>IF($A318=1,$E318&amp;"/2","")</f>
        <v/>
      </c>
      <c r="C318" s="32">
        <f>IF($A318=1,"J-"&amp;Sales_Daily!$A29,"")</f>
        <v/>
      </c>
      <c r="D318" s="33">
        <f>IF($A318=1,Sales_Daily!$B29,"")</f>
        <v/>
      </c>
      <c r="E318" s="32">
        <f>IF($A318=1,IF(Sales_Daily!$A29="","",Sales_Daily!$A29),"")</f>
        <v/>
      </c>
      <c r="F318" s="32">
        <f>IF($A318=1,"SAL","")</f>
        <v/>
      </c>
      <c r="G318" s="32">
        <f>IF($A318=1,IF(Sales_Daily!$AL29="","",Sales_Daily!$AL29),"")</f>
        <v/>
      </c>
      <c r="H318" s="32">
        <f>IF($A318=1,IF(COUNTIF(COA!$A:$A,$G318)=0,"حساب غير معرف",INDEX(COA!$B:$B,MATCH($G318,COA!$A:$A,0))),"")</f>
        <v/>
      </c>
      <c r="I318" s="32">
        <f>IF($A318=1,IF(Sales_Daily!$C29="","",Sales_Daily!$C29),"")</f>
        <v/>
      </c>
      <c r="J318" s="32">
        <f>IF($A318=1,"CC10","")</f>
        <v/>
      </c>
      <c r="K318" s="32">
        <f>IF($A318=1,"-","")</f>
        <v/>
      </c>
      <c r="L318" s="32">
        <f>IF($A318=1,"مبيعات - تحصيل CARD","")</f>
        <v/>
      </c>
      <c r="M318" s="43">
        <f>IF($A318=1,Sales_Daily!$M29,"")</f>
        <v/>
      </c>
      <c r="N318" s="43">
        <f>IF($A318=1,0,"")</f>
        <v/>
      </c>
      <c r="O318" s="32">
        <f>IF($A318=1,Sales_Daily!$S29,"")</f>
        <v/>
      </c>
      <c r="P318" s="32">
        <f>IF($A318=1,IF(Sales_Daily!$AW29="","",Sales_Daily!$AW29),"")</f>
        <v/>
      </c>
      <c r="Q318" s="32">
        <f>IF($A318=1,Sales_Daily!$AY29,"")</f>
        <v/>
      </c>
      <c r="R318" s="32">
        <f>IF($A318=1,IF(AND($Q318=1,COUNTIFS(COA!$A:$A,$G318,COA!$R:$R,1)=1),1,0),"")</f>
        <v/>
      </c>
      <c r="S318" s="43">
        <f>IF($A318=1,IF($R318=1,N($M318),0),"")</f>
        <v/>
      </c>
      <c r="T318" s="43">
        <f>IF($A318=1,IF($R318=1,N($N318),0),"")</f>
        <v/>
      </c>
      <c r="U318" s="32">
        <f>IF($A318=1,YEAR($D318)*100+MONTH($D318),"")</f>
        <v/>
      </c>
      <c r="V318" s="32">
        <f>IF($A318=1,IF(COUNTIF(COA!$A:$A,$G318)=0,0,INDEX(COA!$H:$H,MATCH($G318,COA!$A:$A,0))),"")</f>
        <v/>
      </c>
      <c r="W318" s="32">
        <f>IF($A318=1,"OPERATING","")</f>
        <v/>
      </c>
      <c r="X318" s="32">
        <f>IF($A318=1,IF($R318=1,"",IF($O318=ST_POST,IF($P318&lt;&gt;"",$P318,"حساب غير صالح أو غير نشط"),IF($O318=ST_REV,"معكوس: لا أثر على الدفاتر",IF($O318=ST_CANC,"ملغى",IF($O318=ST_APPR,"معتمد ولم يُرحَّل","مسودة"))))),"")</f>
        <v/>
      </c>
      <c r="Y318" s="32">
        <f>IF($A318=1,IF(AND($R318=1,OR(LG_Acct="",$G318=LG_Acct),OR(LG_Party="",$K318=LG_Party),OR(LG_Loc="ALL",$I318=LG_Loc),OR(LG_CC="ALL",$J318=LG_CC),$D318&gt;=LG_From,$D318&lt;=LG_To),$D318+ROW()/1000000,""),"")</f>
        <v/>
      </c>
      <c r="Z318" s="32">
        <f>IF($A318=1,IF(Sales_Daily!$T29="","",Sales_Daily!$T29),"")</f>
        <v/>
      </c>
      <c r="AA318" s="32">
        <f>IF($A318=1,IF(Sales_Daily!$U29="","",Sales_Daily!$U29),"")</f>
        <v/>
      </c>
      <c r="AB318" s="32">
        <f>IF($A318=1,IF(Sales_Daily!$V29="","",Sales_Daily!$V29),"")</f>
        <v/>
      </c>
      <c r="AC318" s="32">
        <f>IF($A318=1,IF(Sales_Daily!$W29="","",Sales_Daily!$W29),"")</f>
        <v/>
      </c>
      <c r="AD318" s="32">
        <f>IF($A318=1,IF(Sales_Daily!$X29="","",Sales_Daily!$X29),"")</f>
        <v/>
      </c>
      <c r="AE318" s="32">
        <f>IF($A318=1,0,"")</f>
        <v/>
      </c>
      <c r="AF318" s="32" t="inlineStr"/>
    </row>
    <row r="319">
      <c r="A319" s="32">
        <f>IF(AND(Sales_Daily!$AV29=1,N(Sales_Daily!$N29)&gt;0),1,0)</f>
        <v/>
      </c>
      <c r="B319" s="32">
        <f>IF($A319=1,$E319&amp;"/3","")</f>
        <v/>
      </c>
      <c r="C319" s="32">
        <f>IF($A319=1,"J-"&amp;Sales_Daily!$A29,"")</f>
        <v/>
      </c>
      <c r="D319" s="33">
        <f>IF($A319=1,Sales_Daily!$B29,"")</f>
        <v/>
      </c>
      <c r="E319" s="32">
        <f>IF($A319=1,IF(Sales_Daily!$A29="","",Sales_Daily!$A29),"")</f>
        <v/>
      </c>
      <c r="F319" s="32">
        <f>IF($A319=1,"SAL","")</f>
        <v/>
      </c>
      <c r="G319" s="32">
        <f>IF($A319=1,IF(Sales_Daily!$AM29="","",Sales_Daily!$AM29),"")</f>
        <v/>
      </c>
      <c r="H319" s="32">
        <f>IF($A319=1,IF(COUNTIF(COA!$A:$A,$G319)=0,"حساب غير معرف",INDEX(COA!$B:$B,MATCH($G319,COA!$A:$A,0))),"")</f>
        <v/>
      </c>
      <c r="I319" s="32">
        <f>IF($A319=1,IF(Sales_Daily!$C29="","",Sales_Daily!$C29),"")</f>
        <v/>
      </c>
      <c r="J319" s="32">
        <f>IF($A319=1,"CC10","")</f>
        <v/>
      </c>
      <c r="K319" s="32">
        <f>IF($A319=1,"-","")</f>
        <v/>
      </c>
      <c r="L319" s="32">
        <f>IF($A319=1,"مبيعات - تحصيل TLB","")</f>
        <v/>
      </c>
      <c r="M319" s="43">
        <f>IF($A319=1,Sales_Daily!$N29,"")</f>
        <v/>
      </c>
      <c r="N319" s="43">
        <f>IF($A319=1,0,"")</f>
        <v/>
      </c>
      <c r="O319" s="32">
        <f>IF($A319=1,Sales_Daily!$S29,"")</f>
        <v/>
      </c>
      <c r="P319" s="32">
        <f>IF($A319=1,IF(Sales_Daily!$AW29="","",Sales_Daily!$AW29),"")</f>
        <v/>
      </c>
      <c r="Q319" s="32">
        <f>IF($A319=1,Sales_Daily!$AY29,"")</f>
        <v/>
      </c>
      <c r="R319" s="32">
        <f>IF($A319=1,IF(AND($Q319=1,COUNTIFS(COA!$A:$A,$G319,COA!$R:$R,1)=1),1,0),"")</f>
        <v/>
      </c>
      <c r="S319" s="43">
        <f>IF($A319=1,IF($R319=1,N($M319),0),"")</f>
        <v/>
      </c>
      <c r="T319" s="43">
        <f>IF($A319=1,IF($R319=1,N($N319),0),"")</f>
        <v/>
      </c>
      <c r="U319" s="32">
        <f>IF($A319=1,YEAR($D319)*100+MONTH($D319),"")</f>
        <v/>
      </c>
      <c r="V319" s="32">
        <f>IF($A319=1,IF(COUNTIF(COA!$A:$A,$G319)=0,0,INDEX(COA!$H:$H,MATCH($G319,COA!$A:$A,0))),"")</f>
        <v/>
      </c>
      <c r="W319" s="32">
        <f>IF($A319=1,"OPERATING","")</f>
        <v/>
      </c>
      <c r="X319" s="32">
        <f>IF($A319=1,IF($R319=1,"",IF($O319=ST_POST,IF($P319&lt;&gt;"",$P319,"حساب غير صالح أو غير نشط"),IF($O319=ST_REV,"معكوس: لا أثر على الدفاتر",IF($O319=ST_CANC,"ملغى",IF($O319=ST_APPR,"معتمد ولم يُرحَّل","مسودة"))))),"")</f>
        <v/>
      </c>
      <c r="Y319" s="32">
        <f>IF($A319=1,IF(AND($R319=1,OR(LG_Acct="",$G319=LG_Acct),OR(LG_Party="",$K319=LG_Party),OR(LG_Loc="ALL",$I319=LG_Loc),OR(LG_CC="ALL",$J319=LG_CC),$D319&gt;=LG_From,$D319&lt;=LG_To),$D319+ROW()/1000000,""),"")</f>
        <v/>
      </c>
      <c r="Z319" s="32">
        <f>IF($A319=1,IF(Sales_Daily!$T29="","",Sales_Daily!$T29),"")</f>
        <v/>
      </c>
      <c r="AA319" s="32">
        <f>IF($A319=1,IF(Sales_Daily!$U29="","",Sales_Daily!$U29),"")</f>
        <v/>
      </c>
      <c r="AB319" s="32">
        <f>IF($A319=1,IF(Sales_Daily!$V29="","",Sales_Daily!$V29),"")</f>
        <v/>
      </c>
      <c r="AC319" s="32">
        <f>IF($A319=1,IF(Sales_Daily!$W29="","",Sales_Daily!$W29),"")</f>
        <v/>
      </c>
      <c r="AD319" s="32">
        <f>IF($A319=1,IF(Sales_Daily!$X29="","",Sales_Daily!$X29),"")</f>
        <v/>
      </c>
      <c r="AE319" s="32">
        <f>IF($A319=1,0,"")</f>
        <v/>
      </c>
      <c r="AF319" s="32" t="inlineStr"/>
    </row>
    <row r="320">
      <c r="A320" s="32">
        <f>IF(AND(Sales_Daily!$AV29=1,N(Sales_Daily!$O29)&gt;0),1,0)</f>
        <v/>
      </c>
      <c r="B320" s="32">
        <f>IF($A320=1,$E320&amp;"/4","")</f>
        <v/>
      </c>
      <c r="C320" s="32">
        <f>IF($A320=1,"J-"&amp;Sales_Daily!$A29,"")</f>
        <v/>
      </c>
      <c r="D320" s="33">
        <f>IF($A320=1,Sales_Daily!$B29,"")</f>
        <v/>
      </c>
      <c r="E320" s="32">
        <f>IF($A320=1,IF(Sales_Daily!$A29="","",Sales_Daily!$A29),"")</f>
        <v/>
      </c>
      <c r="F320" s="32">
        <f>IF($A320=1,"SAL","")</f>
        <v/>
      </c>
      <c r="G320" s="32">
        <f>IF($A320=1,IF(Sales_Daily!$AN29="","",Sales_Daily!$AN29),"")</f>
        <v/>
      </c>
      <c r="H320" s="32">
        <f>IF($A320=1,IF(COUNTIF(COA!$A:$A,$G320)=0,"حساب غير معرف",INDEX(COA!$B:$B,MATCH($G320,COA!$A:$A,0))),"")</f>
        <v/>
      </c>
      <c r="I320" s="32">
        <f>IF($A320=1,IF(Sales_Daily!$C29="","",Sales_Daily!$C29),"")</f>
        <v/>
      </c>
      <c r="J320" s="32">
        <f>IF($A320=1,"CC10","")</f>
        <v/>
      </c>
      <c r="K320" s="32">
        <f>IF($A320=1,"-","")</f>
        <v/>
      </c>
      <c r="L320" s="32">
        <f>IF($A320=1,"مبيعات - تحصيل DLV2","")</f>
        <v/>
      </c>
      <c r="M320" s="43">
        <f>IF($A320=1,Sales_Daily!$O29,"")</f>
        <v/>
      </c>
      <c r="N320" s="43">
        <f>IF($A320=1,0,"")</f>
        <v/>
      </c>
      <c r="O320" s="32">
        <f>IF($A320=1,Sales_Daily!$S29,"")</f>
        <v/>
      </c>
      <c r="P320" s="32">
        <f>IF($A320=1,IF(Sales_Daily!$AW29="","",Sales_Daily!$AW29),"")</f>
        <v/>
      </c>
      <c r="Q320" s="32">
        <f>IF($A320=1,Sales_Daily!$AY29,"")</f>
        <v/>
      </c>
      <c r="R320" s="32">
        <f>IF($A320=1,IF(AND($Q320=1,COUNTIFS(COA!$A:$A,$G320,COA!$R:$R,1)=1),1,0),"")</f>
        <v/>
      </c>
      <c r="S320" s="43">
        <f>IF($A320=1,IF($R320=1,N($M320),0),"")</f>
        <v/>
      </c>
      <c r="T320" s="43">
        <f>IF($A320=1,IF($R320=1,N($N320),0),"")</f>
        <v/>
      </c>
      <c r="U320" s="32">
        <f>IF($A320=1,YEAR($D320)*100+MONTH($D320),"")</f>
        <v/>
      </c>
      <c r="V320" s="32">
        <f>IF($A320=1,IF(COUNTIF(COA!$A:$A,$G320)=0,0,INDEX(COA!$H:$H,MATCH($G320,COA!$A:$A,0))),"")</f>
        <v/>
      </c>
      <c r="W320" s="32">
        <f>IF($A320=1,"OPERATING","")</f>
        <v/>
      </c>
      <c r="X320" s="32">
        <f>IF($A320=1,IF($R320=1,"",IF($O320=ST_POST,IF($P320&lt;&gt;"",$P320,"حساب غير صالح أو غير نشط"),IF($O320=ST_REV,"معكوس: لا أثر على الدفاتر",IF($O320=ST_CANC,"ملغى",IF($O320=ST_APPR,"معتمد ولم يُرحَّل","مسودة"))))),"")</f>
        <v/>
      </c>
      <c r="Y320" s="32">
        <f>IF($A320=1,IF(AND($R320=1,OR(LG_Acct="",$G320=LG_Acct),OR(LG_Party="",$K320=LG_Party),OR(LG_Loc="ALL",$I320=LG_Loc),OR(LG_CC="ALL",$J320=LG_CC),$D320&gt;=LG_From,$D320&lt;=LG_To),$D320+ROW()/1000000,""),"")</f>
        <v/>
      </c>
      <c r="Z320" s="32">
        <f>IF($A320=1,IF(Sales_Daily!$T29="","",Sales_Daily!$T29),"")</f>
        <v/>
      </c>
      <c r="AA320" s="32">
        <f>IF($A320=1,IF(Sales_Daily!$U29="","",Sales_Daily!$U29),"")</f>
        <v/>
      </c>
      <c r="AB320" s="32">
        <f>IF($A320=1,IF(Sales_Daily!$V29="","",Sales_Daily!$V29),"")</f>
        <v/>
      </c>
      <c r="AC320" s="32">
        <f>IF($A320=1,IF(Sales_Daily!$W29="","",Sales_Daily!$W29),"")</f>
        <v/>
      </c>
      <c r="AD320" s="32">
        <f>IF($A320=1,IF(Sales_Daily!$X29="","",Sales_Daily!$X29),"")</f>
        <v/>
      </c>
      <c r="AE320" s="32">
        <f>IF($A320=1,0,"")</f>
        <v/>
      </c>
      <c r="AF320" s="32" t="inlineStr"/>
    </row>
    <row r="321">
      <c r="A321" s="32">
        <f>IF(AND(Sales_Daily!$AV29=1,N(Sales_Daily!$P29)&gt;0),1,0)</f>
        <v/>
      </c>
      <c r="B321" s="32">
        <f>IF($A321=1,$E321&amp;"/5","")</f>
        <v/>
      </c>
      <c r="C321" s="32">
        <f>IF($A321=1,"J-"&amp;Sales_Daily!$A29,"")</f>
        <v/>
      </c>
      <c r="D321" s="33">
        <f>IF($A321=1,Sales_Daily!$B29,"")</f>
        <v/>
      </c>
      <c r="E321" s="32">
        <f>IF($A321=1,IF(Sales_Daily!$A29="","",Sales_Daily!$A29),"")</f>
        <v/>
      </c>
      <c r="F321" s="32">
        <f>IF($A321=1,"SAL","")</f>
        <v/>
      </c>
      <c r="G321" s="32">
        <f>IF($A321=1,IF(Sales_Daily!$AO29="","",Sales_Daily!$AO29),"")</f>
        <v/>
      </c>
      <c r="H321" s="32">
        <f>IF($A321=1,IF(COUNTIF(COA!$A:$A,$G321)=0,"حساب غير معرف",INDEX(COA!$B:$B,MATCH($G321,COA!$A:$A,0))),"")</f>
        <v/>
      </c>
      <c r="I321" s="32">
        <f>IF($A321=1,IF(Sales_Daily!$C29="","",Sales_Daily!$C29),"")</f>
        <v/>
      </c>
      <c r="J321" s="32">
        <f>IF($A321=1,"CC10","")</f>
        <v/>
      </c>
      <c r="K321" s="32">
        <f>IF($A321=1,"-","")</f>
        <v/>
      </c>
      <c r="L321" s="32">
        <f>IF($A321=1,"مبيعات - تحصيل INSTA","")</f>
        <v/>
      </c>
      <c r="M321" s="43">
        <f>IF($A321=1,Sales_Daily!$P29,"")</f>
        <v/>
      </c>
      <c r="N321" s="43">
        <f>IF($A321=1,0,"")</f>
        <v/>
      </c>
      <c r="O321" s="32">
        <f>IF($A321=1,Sales_Daily!$S29,"")</f>
        <v/>
      </c>
      <c r="P321" s="32">
        <f>IF($A321=1,IF(Sales_Daily!$AW29="","",Sales_Daily!$AW29),"")</f>
        <v/>
      </c>
      <c r="Q321" s="32">
        <f>IF($A321=1,Sales_Daily!$AY29,"")</f>
        <v/>
      </c>
      <c r="R321" s="32">
        <f>IF($A321=1,IF(AND($Q321=1,COUNTIFS(COA!$A:$A,$G321,COA!$R:$R,1)=1),1,0),"")</f>
        <v/>
      </c>
      <c r="S321" s="43">
        <f>IF($A321=1,IF($R321=1,N($M321),0),"")</f>
        <v/>
      </c>
      <c r="T321" s="43">
        <f>IF($A321=1,IF($R321=1,N($N321),0),"")</f>
        <v/>
      </c>
      <c r="U321" s="32">
        <f>IF($A321=1,YEAR($D321)*100+MONTH($D321),"")</f>
        <v/>
      </c>
      <c r="V321" s="32">
        <f>IF($A321=1,IF(COUNTIF(COA!$A:$A,$G321)=0,0,INDEX(COA!$H:$H,MATCH($G321,COA!$A:$A,0))),"")</f>
        <v/>
      </c>
      <c r="W321" s="32">
        <f>IF($A321=1,"OPERATING","")</f>
        <v/>
      </c>
      <c r="X321" s="32">
        <f>IF($A321=1,IF($R321=1,"",IF($O321=ST_POST,IF($P321&lt;&gt;"",$P321,"حساب غير صالح أو غير نشط"),IF($O321=ST_REV,"معكوس: لا أثر على الدفاتر",IF($O321=ST_CANC,"ملغى",IF($O321=ST_APPR,"معتمد ولم يُرحَّل","مسودة"))))),"")</f>
        <v/>
      </c>
      <c r="Y321" s="32">
        <f>IF($A321=1,IF(AND($R321=1,OR(LG_Acct="",$G321=LG_Acct),OR(LG_Party="",$K321=LG_Party),OR(LG_Loc="ALL",$I321=LG_Loc),OR(LG_CC="ALL",$J321=LG_CC),$D321&gt;=LG_From,$D321&lt;=LG_To),$D321+ROW()/1000000,""),"")</f>
        <v/>
      </c>
      <c r="Z321" s="32">
        <f>IF($A321=1,IF(Sales_Daily!$T29="","",Sales_Daily!$T29),"")</f>
        <v/>
      </c>
      <c r="AA321" s="32">
        <f>IF($A321=1,IF(Sales_Daily!$U29="","",Sales_Daily!$U29),"")</f>
        <v/>
      </c>
      <c r="AB321" s="32">
        <f>IF($A321=1,IF(Sales_Daily!$V29="","",Sales_Daily!$V29),"")</f>
        <v/>
      </c>
      <c r="AC321" s="32">
        <f>IF($A321=1,IF(Sales_Daily!$W29="","",Sales_Daily!$W29),"")</f>
        <v/>
      </c>
      <c r="AD321" s="32">
        <f>IF($A321=1,IF(Sales_Daily!$X29="","",Sales_Daily!$X29),"")</f>
        <v/>
      </c>
      <c r="AE321" s="32">
        <f>IF($A321=1,0,"")</f>
        <v/>
      </c>
      <c r="AF321" s="32" t="inlineStr"/>
    </row>
    <row r="322">
      <c r="A322" s="32">
        <f>IF(AND(Sales_Daily!$AV29=1,N(Sales_Daily!$Q29)&gt;0),1,0)</f>
        <v/>
      </c>
      <c r="B322" s="32">
        <f>IF($A322=1,$E322&amp;"/6","")</f>
        <v/>
      </c>
      <c r="C322" s="32">
        <f>IF($A322=1,"J-"&amp;Sales_Daily!$A29,"")</f>
        <v/>
      </c>
      <c r="D322" s="33">
        <f>IF($A322=1,Sales_Daily!$B29,"")</f>
        <v/>
      </c>
      <c r="E322" s="32">
        <f>IF($A322=1,IF(Sales_Daily!$A29="","",Sales_Daily!$A29),"")</f>
        <v/>
      </c>
      <c r="F322" s="32">
        <f>IF($A322=1,"SAL","")</f>
        <v/>
      </c>
      <c r="G322" s="32">
        <f>IF($A322=1,IF(Sales_Daily!$AP29="","",Sales_Daily!$AP29),"")</f>
        <v/>
      </c>
      <c r="H322" s="32">
        <f>IF($A322=1,IF(COUNTIF(COA!$A:$A,$G322)=0,"حساب غير معرف",INDEX(COA!$B:$B,MATCH($G322,COA!$A:$A,0))),"")</f>
        <v/>
      </c>
      <c r="I322" s="32">
        <f>IF($A322=1,IF(Sales_Daily!$C29="","",Sales_Daily!$C29),"")</f>
        <v/>
      </c>
      <c r="J322" s="32">
        <f>IF($A322=1,"CC10","")</f>
        <v/>
      </c>
      <c r="K322" s="32">
        <f>IF($A322=1,"-","")</f>
        <v/>
      </c>
      <c r="L322" s="32">
        <f>IF($A322=1,"مبيعات - تحصيل OTH","")</f>
        <v/>
      </c>
      <c r="M322" s="43">
        <f>IF($A322=1,Sales_Daily!$Q29,"")</f>
        <v/>
      </c>
      <c r="N322" s="43">
        <f>IF($A322=1,0,"")</f>
        <v/>
      </c>
      <c r="O322" s="32">
        <f>IF($A322=1,Sales_Daily!$S29,"")</f>
        <v/>
      </c>
      <c r="P322" s="32">
        <f>IF($A322=1,IF(Sales_Daily!$AW29="","",Sales_Daily!$AW29),"")</f>
        <v/>
      </c>
      <c r="Q322" s="32">
        <f>IF($A322=1,Sales_Daily!$AY29,"")</f>
        <v/>
      </c>
      <c r="R322" s="32">
        <f>IF($A322=1,IF(AND($Q322=1,COUNTIFS(COA!$A:$A,$G322,COA!$R:$R,1)=1),1,0),"")</f>
        <v/>
      </c>
      <c r="S322" s="43">
        <f>IF($A322=1,IF($R322=1,N($M322),0),"")</f>
        <v/>
      </c>
      <c r="T322" s="43">
        <f>IF($A322=1,IF($R322=1,N($N322),0),"")</f>
        <v/>
      </c>
      <c r="U322" s="32">
        <f>IF($A322=1,YEAR($D322)*100+MONTH($D322),"")</f>
        <v/>
      </c>
      <c r="V322" s="32">
        <f>IF($A322=1,IF(COUNTIF(COA!$A:$A,$G322)=0,0,INDEX(COA!$H:$H,MATCH($G322,COA!$A:$A,0))),"")</f>
        <v/>
      </c>
      <c r="W322" s="32">
        <f>IF($A322=1,"OPERATING","")</f>
        <v/>
      </c>
      <c r="X322" s="32">
        <f>IF($A322=1,IF($R322=1,"",IF($O322=ST_POST,IF($P322&lt;&gt;"",$P322,"حساب غير صالح أو غير نشط"),IF($O322=ST_REV,"معكوس: لا أثر على الدفاتر",IF($O322=ST_CANC,"ملغى",IF($O322=ST_APPR,"معتمد ولم يُرحَّل","مسودة"))))),"")</f>
        <v/>
      </c>
      <c r="Y322" s="32">
        <f>IF($A322=1,IF(AND($R322=1,OR(LG_Acct="",$G322=LG_Acct),OR(LG_Party="",$K322=LG_Party),OR(LG_Loc="ALL",$I322=LG_Loc),OR(LG_CC="ALL",$J322=LG_CC),$D322&gt;=LG_From,$D322&lt;=LG_To),$D322+ROW()/1000000,""),"")</f>
        <v/>
      </c>
      <c r="Z322" s="32">
        <f>IF($A322=1,IF(Sales_Daily!$T29="","",Sales_Daily!$T29),"")</f>
        <v/>
      </c>
      <c r="AA322" s="32">
        <f>IF($A322=1,IF(Sales_Daily!$U29="","",Sales_Daily!$U29),"")</f>
        <v/>
      </c>
      <c r="AB322" s="32">
        <f>IF($A322=1,IF(Sales_Daily!$V29="","",Sales_Daily!$V29),"")</f>
        <v/>
      </c>
      <c r="AC322" s="32">
        <f>IF($A322=1,IF(Sales_Daily!$W29="","",Sales_Daily!$W29),"")</f>
        <v/>
      </c>
      <c r="AD322" s="32">
        <f>IF($A322=1,IF(Sales_Daily!$X29="","",Sales_Daily!$X29),"")</f>
        <v/>
      </c>
      <c r="AE322" s="32">
        <f>IF($A322=1,0,"")</f>
        <v/>
      </c>
      <c r="AF322" s="32" t="inlineStr"/>
    </row>
    <row r="323">
      <c r="A323" s="32">
        <f>IF(AND(Sales_Daily!$AV29=1,N(Sales_Daily!$AH29)&gt;0),1,0)</f>
        <v/>
      </c>
      <c r="B323" s="32">
        <f>IF($A323=1,$E323&amp;"/7","")</f>
        <v/>
      </c>
      <c r="C323" s="32">
        <f>IF($A323=1,"J-"&amp;Sales_Daily!$A29,"")</f>
        <v/>
      </c>
      <c r="D323" s="33">
        <f>IF($A323=1,Sales_Daily!$B29,"")</f>
        <v/>
      </c>
      <c r="E323" s="32">
        <f>IF($A323=1,IF(Sales_Daily!$A29="","",Sales_Daily!$A29),"")</f>
        <v/>
      </c>
      <c r="F323" s="32">
        <f>IF($A323=1,"SAL","")</f>
        <v/>
      </c>
      <c r="G323" s="32">
        <f>IF($A323=1,ACC_DISC,"")</f>
        <v/>
      </c>
      <c r="H323" s="32">
        <f>IF($A323=1,IF(COUNTIF(COA!$A:$A,$G323)=0,"حساب غير معرف",INDEX(COA!$B:$B,MATCH($G323,COA!$A:$A,0))),"")</f>
        <v/>
      </c>
      <c r="I323" s="32">
        <f>IF($A323=1,IF(Sales_Daily!$C29="","",Sales_Daily!$C29),"")</f>
        <v/>
      </c>
      <c r="J323" s="32">
        <f>IF($A323=1,"CC10","")</f>
        <v/>
      </c>
      <c r="K323" s="32">
        <f>IF($A323=1,"-","")</f>
        <v/>
      </c>
      <c r="L323" s="32">
        <f>IF($A323=1,"خصومات المبيعات والعروض","")</f>
        <v/>
      </c>
      <c r="M323" s="43">
        <f>IF($A323=1,Sales_Daily!$AH29,"")</f>
        <v/>
      </c>
      <c r="N323" s="43">
        <f>IF($A323=1,0,"")</f>
        <v/>
      </c>
      <c r="O323" s="32">
        <f>IF($A323=1,Sales_Daily!$S29,"")</f>
        <v/>
      </c>
      <c r="P323" s="32">
        <f>IF($A323=1,IF(Sales_Daily!$AW29="","",Sales_Daily!$AW29),"")</f>
        <v/>
      </c>
      <c r="Q323" s="32">
        <f>IF($A323=1,Sales_Daily!$AY29,"")</f>
        <v/>
      </c>
      <c r="R323" s="32">
        <f>IF($A323=1,IF(AND($Q323=1,COUNTIFS(COA!$A:$A,$G323,COA!$R:$R,1)=1),1,0),"")</f>
        <v/>
      </c>
      <c r="S323" s="43">
        <f>IF($A323=1,IF($R323=1,N($M323),0),"")</f>
        <v/>
      </c>
      <c r="T323" s="43">
        <f>IF($A323=1,IF($R323=1,N($N323),0),"")</f>
        <v/>
      </c>
      <c r="U323" s="32">
        <f>IF($A323=1,YEAR($D323)*100+MONTH($D323),"")</f>
        <v/>
      </c>
      <c r="V323" s="32">
        <f>IF($A323=1,IF(COUNTIF(COA!$A:$A,$G323)=0,0,INDEX(COA!$H:$H,MATCH($G323,COA!$A:$A,0))),"")</f>
        <v/>
      </c>
      <c r="W323" s="32">
        <f>IF($A323=1,"","")</f>
        <v/>
      </c>
      <c r="X323" s="32">
        <f>IF($A323=1,IF($R323=1,"",IF($O323=ST_POST,IF($P323&lt;&gt;"",$P323,"حساب غير صالح أو غير نشط"),IF($O323=ST_REV,"معكوس: لا أثر على الدفاتر",IF($O323=ST_CANC,"ملغى",IF($O323=ST_APPR,"معتمد ولم يُرحَّل","مسودة"))))),"")</f>
        <v/>
      </c>
      <c r="Y323" s="32">
        <f>IF($A323=1,IF(AND($R323=1,OR(LG_Acct="",$G323=LG_Acct),OR(LG_Party="",$K323=LG_Party),OR(LG_Loc="ALL",$I323=LG_Loc),OR(LG_CC="ALL",$J323=LG_CC),$D323&gt;=LG_From,$D323&lt;=LG_To),$D323+ROW()/1000000,""),"")</f>
        <v/>
      </c>
      <c r="Z323" s="32">
        <f>IF($A323=1,IF(Sales_Daily!$T29="","",Sales_Daily!$T29),"")</f>
        <v/>
      </c>
      <c r="AA323" s="32">
        <f>IF($A323=1,IF(Sales_Daily!$U29="","",Sales_Daily!$U29),"")</f>
        <v/>
      </c>
      <c r="AB323" s="32">
        <f>IF($A323=1,IF(Sales_Daily!$V29="","",Sales_Daily!$V29),"")</f>
        <v/>
      </c>
      <c r="AC323" s="32">
        <f>IF($A323=1,IF(Sales_Daily!$W29="","",Sales_Daily!$W29),"")</f>
        <v/>
      </c>
      <c r="AD323" s="32">
        <f>IF($A323=1,IF(Sales_Daily!$X29="","",Sales_Daily!$X29),"")</f>
        <v/>
      </c>
      <c r="AE323" s="32">
        <f>IF($A323=1,0,"")</f>
        <v/>
      </c>
      <c r="AF323" s="32" t="inlineStr"/>
    </row>
    <row r="324">
      <c r="A324" s="32">
        <f>IF(AND(Sales_Daily!$AV29=1,N(Sales_Daily!$AI29)&gt;0),1,0)</f>
        <v/>
      </c>
      <c r="B324" s="32">
        <f>IF($A324=1,$E324&amp;"/8","")</f>
        <v/>
      </c>
      <c r="C324" s="32">
        <f>IF($A324=1,"J-"&amp;Sales_Daily!$A29,"")</f>
        <v/>
      </c>
      <c r="D324" s="33">
        <f>IF($A324=1,Sales_Daily!$B29,"")</f>
        <v/>
      </c>
      <c r="E324" s="32">
        <f>IF($A324=1,IF(Sales_Daily!$A29="","",Sales_Daily!$A29),"")</f>
        <v/>
      </c>
      <c r="F324" s="32">
        <f>IF($A324=1,"SAL","")</f>
        <v/>
      </c>
      <c r="G324" s="32">
        <f>IF($A324=1,ACC_RET,"")</f>
        <v/>
      </c>
      <c r="H324" s="32">
        <f>IF($A324=1,IF(COUNTIF(COA!$A:$A,$G324)=0,"حساب غير معرف",INDEX(COA!$B:$B,MATCH($G324,COA!$A:$A,0))),"")</f>
        <v/>
      </c>
      <c r="I324" s="32">
        <f>IF($A324=1,IF(Sales_Daily!$C29="","",Sales_Daily!$C29),"")</f>
        <v/>
      </c>
      <c r="J324" s="32">
        <f>IF($A324=1,"CC10","")</f>
        <v/>
      </c>
      <c r="K324" s="32">
        <f>IF($A324=1,"-","")</f>
        <v/>
      </c>
      <c r="L324" s="32">
        <f>IF($A324=1,"مرتجعات وإلغاءات المبيعات","")</f>
        <v/>
      </c>
      <c r="M324" s="43">
        <f>IF($A324=1,Sales_Daily!$AI29,"")</f>
        <v/>
      </c>
      <c r="N324" s="43">
        <f>IF($A324=1,0,"")</f>
        <v/>
      </c>
      <c r="O324" s="32">
        <f>IF($A324=1,Sales_Daily!$S29,"")</f>
        <v/>
      </c>
      <c r="P324" s="32">
        <f>IF($A324=1,IF(Sales_Daily!$AW29="","",Sales_Daily!$AW29),"")</f>
        <v/>
      </c>
      <c r="Q324" s="32">
        <f>IF($A324=1,Sales_Daily!$AY29,"")</f>
        <v/>
      </c>
      <c r="R324" s="32">
        <f>IF($A324=1,IF(AND($Q324=1,COUNTIFS(COA!$A:$A,$G324,COA!$R:$R,1)=1),1,0),"")</f>
        <v/>
      </c>
      <c r="S324" s="43">
        <f>IF($A324=1,IF($R324=1,N($M324),0),"")</f>
        <v/>
      </c>
      <c r="T324" s="43">
        <f>IF($A324=1,IF($R324=1,N($N324),0),"")</f>
        <v/>
      </c>
      <c r="U324" s="32">
        <f>IF($A324=1,YEAR($D324)*100+MONTH($D324),"")</f>
        <v/>
      </c>
      <c r="V324" s="32">
        <f>IF($A324=1,IF(COUNTIF(COA!$A:$A,$G324)=0,0,INDEX(COA!$H:$H,MATCH($G324,COA!$A:$A,0))),"")</f>
        <v/>
      </c>
      <c r="W324" s="32">
        <f>IF($A324=1,"","")</f>
        <v/>
      </c>
      <c r="X324" s="32">
        <f>IF($A324=1,IF($R324=1,"",IF($O324=ST_POST,IF($P324&lt;&gt;"",$P324,"حساب غير صالح أو غير نشط"),IF($O324=ST_REV,"معكوس: لا أثر على الدفاتر",IF($O324=ST_CANC,"ملغى",IF($O324=ST_APPR,"معتمد ولم يُرحَّل","مسودة"))))),"")</f>
        <v/>
      </c>
      <c r="Y324" s="32">
        <f>IF($A324=1,IF(AND($R324=1,OR(LG_Acct="",$G324=LG_Acct),OR(LG_Party="",$K324=LG_Party),OR(LG_Loc="ALL",$I324=LG_Loc),OR(LG_CC="ALL",$J324=LG_CC),$D324&gt;=LG_From,$D324&lt;=LG_To),$D324+ROW()/1000000,""),"")</f>
        <v/>
      </c>
      <c r="Z324" s="32">
        <f>IF($A324=1,IF(Sales_Daily!$T29="","",Sales_Daily!$T29),"")</f>
        <v/>
      </c>
      <c r="AA324" s="32">
        <f>IF($A324=1,IF(Sales_Daily!$U29="","",Sales_Daily!$U29),"")</f>
        <v/>
      </c>
      <c r="AB324" s="32">
        <f>IF($A324=1,IF(Sales_Daily!$V29="","",Sales_Daily!$V29),"")</f>
        <v/>
      </c>
      <c r="AC324" s="32">
        <f>IF($A324=1,IF(Sales_Daily!$W29="","",Sales_Daily!$W29),"")</f>
        <v/>
      </c>
      <c r="AD324" s="32">
        <f>IF($A324=1,IF(Sales_Daily!$X29="","",Sales_Daily!$X29),"")</f>
        <v/>
      </c>
      <c r="AE324" s="32">
        <f>IF($A324=1,0,"")</f>
        <v/>
      </c>
      <c r="AF324" s="32" t="inlineStr"/>
    </row>
    <row r="325">
      <c r="A325" s="32">
        <f>IF(AND(Sales_Daily!$AV29=1,N(Sales_Daily!$AD29)&gt;0),1,0)</f>
        <v/>
      </c>
      <c r="B325" s="32">
        <f>IF($A325=1,$E325&amp;"/9","")</f>
        <v/>
      </c>
      <c r="C325" s="32">
        <f>IF($A325=1,"J-"&amp;Sales_Daily!$A29,"")</f>
        <v/>
      </c>
      <c r="D325" s="33">
        <f>IF($A325=1,Sales_Daily!$B29,"")</f>
        <v/>
      </c>
      <c r="E325" s="32">
        <f>IF($A325=1,IF(Sales_Daily!$A29="","",Sales_Daily!$A29),"")</f>
        <v/>
      </c>
      <c r="F325" s="32">
        <f>IF($A325=1,"SAL","")</f>
        <v/>
      </c>
      <c r="G325" s="32">
        <f>IF($A325=1,IF(Sales_Daily!$AQ29="","",Sales_Daily!$AQ29),"")</f>
        <v/>
      </c>
      <c r="H325" s="32">
        <f>IF($A325=1,IF(COUNTIF(COA!$A:$A,$G325)=0,"حساب غير معرف",INDEX(COA!$B:$B,MATCH($G325,COA!$A:$A,0))),"")</f>
        <v/>
      </c>
      <c r="I325" s="32">
        <f>IF($A325=1,IF(Sales_Daily!$C29="","",Sales_Daily!$C29),"")</f>
        <v/>
      </c>
      <c r="J325" s="32">
        <f>IF($A325=1,"CC10","")</f>
        <v/>
      </c>
      <c r="K325" s="32">
        <f>IF($A325=1,"-","")</f>
        <v/>
      </c>
      <c r="L325" s="32">
        <f>IF($A325=1,"إيراد مبيعات - فئة فطير","")</f>
        <v/>
      </c>
      <c r="M325" s="43">
        <f>IF($A325=1,0,"")</f>
        <v/>
      </c>
      <c r="N325" s="43">
        <f>IF($A325=1,Sales_Daily!$AD29,"")</f>
        <v/>
      </c>
      <c r="O325" s="32">
        <f>IF($A325=1,Sales_Daily!$S29,"")</f>
        <v/>
      </c>
      <c r="P325" s="32">
        <f>IF($A325=1,IF(Sales_Daily!$AW29="","",Sales_Daily!$AW29),"")</f>
        <v/>
      </c>
      <c r="Q325" s="32">
        <f>IF($A325=1,Sales_Daily!$AY29,"")</f>
        <v/>
      </c>
      <c r="R325" s="32">
        <f>IF($A325=1,IF(AND($Q325=1,COUNTIFS(COA!$A:$A,$G325,COA!$R:$R,1)=1),1,0),"")</f>
        <v/>
      </c>
      <c r="S325" s="43">
        <f>IF($A325=1,IF($R325=1,N($M325),0),"")</f>
        <v/>
      </c>
      <c r="T325" s="43">
        <f>IF($A325=1,IF($R325=1,N($N325),0),"")</f>
        <v/>
      </c>
      <c r="U325" s="32">
        <f>IF($A325=1,YEAR($D325)*100+MONTH($D325),"")</f>
        <v/>
      </c>
      <c r="V325" s="32">
        <f>IF($A325=1,IF(COUNTIF(COA!$A:$A,$G325)=0,0,INDEX(COA!$H:$H,MATCH($G325,COA!$A:$A,0))),"")</f>
        <v/>
      </c>
      <c r="W325" s="32">
        <f>IF($A325=1,"","")</f>
        <v/>
      </c>
      <c r="X325" s="32">
        <f>IF($A325=1,IF($R325=1,"",IF($O325=ST_POST,IF($P325&lt;&gt;"",$P325,"حساب غير صالح أو غير نشط"),IF($O325=ST_REV,"معكوس: لا أثر على الدفاتر",IF($O325=ST_CANC,"ملغى",IF($O325=ST_APPR,"معتمد ولم يُرحَّل","مسودة"))))),"")</f>
        <v/>
      </c>
      <c r="Y325" s="32">
        <f>IF($A325=1,IF(AND($R325=1,OR(LG_Acct="",$G325=LG_Acct),OR(LG_Party="",$K325=LG_Party),OR(LG_Loc="ALL",$I325=LG_Loc),OR(LG_CC="ALL",$J325=LG_CC),$D325&gt;=LG_From,$D325&lt;=LG_To),$D325+ROW()/1000000,""),"")</f>
        <v/>
      </c>
      <c r="Z325" s="32">
        <f>IF($A325=1,IF(Sales_Daily!$T29="","",Sales_Daily!$T29),"")</f>
        <v/>
      </c>
      <c r="AA325" s="32">
        <f>IF($A325=1,IF(Sales_Daily!$U29="","",Sales_Daily!$U29),"")</f>
        <v/>
      </c>
      <c r="AB325" s="32">
        <f>IF($A325=1,IF(Sales_Daily!$V29="","",Sales_Daily!$V29),"")</f>
        <v/>
      </c>
      <c r="AC325" s="32">
        <f>IF($A325=1,IF(Sales_Daily!$W29="","",Sales_Daily!$W29),"")</f>
        <v/>
      </c>
      <c r="AD325" s="32">
        <f>IF($A325=1,IF(Sales_Daily!$X29="","",Sales_Daily!$X29),"")</f>
        <v/>
      </c>
      <c r="AE325" s="32">
        <f>IF($A325=1,0,"")</f>
        <v/>
      </c>
      <c r="AF325" s="32" t="inlineStr"/>
    </row>
    <row r="326">
      <c r="A326" s="32">
        <f>IF(AND(Sales_Daily!$AV29=1,N(Sales_Daily!$AE29)&gt;0),1,0)</f>
        <v/>
      </c>
      <c r="B326" s="32">
        <f>IF($A326=1,$E326&amp;"/10","")</f>
        <v/>
      </c>
      <c r="C326" s="32">
        <f>IF($A326=1,"J-"&amp;Sales_Daily!$A29,"")</f>
        <v/>
      </c>
      <c r="D326" s="33">
        <f>IF($A326=1,Sales_Daily!$B29,"")</f>
        <v/>
      </c>
      <c r="E326" s="32">
        <f>IF($A326=1,IF(Sales_Daily!$A29="","",Sales_Daily!$A29),"")</f>
        <v/>
      </c>
      <c r="F326" s="32">
        <f>IF($A326=1,"SAL","")</f>
        <v/>
      </c>
      <c r="G326" s="32">
        <f>IF($A326=1,IF(Sales_Daily!$AR29="","",Sales_Daily!$AR29),"")</f>
        <v/>
      </c>
      <c r="H326" s="32">
        <f>IF($A326=1,IF(COUNTIF(COA!$A:$A,$G326)=0,"حساب غير معرف",INDEX(COA!$B:$B,MATCH($G326,COA!$A:$A,0))),"")</f>
        <v/>
      </c>
      <c r="I326" s="32">
        <f>IF($A326=1,IF(Sales_Daily!$C29="","",Sales_Daily!$C29),"")</f>
        <v/>
      </c>
      <c r="J326" s="32">
        <f>IF($A326=1,"CC10","")</f>
        <v/>
      </c>
      <c r="K326" s="32">
        <f>IF($A326=1,"-","")</f>
        <v/>
      </c>
      <c r="L326" s="32">
        <f>IF($A326=1,"إيراد مبيعات - فئة بيتزا","")</f>
        <v/>
      </c>
      <c r="M326" s="43">
        <f>IF($A326=1,0,"")</f>
        <v/>
      </c>
      <c r="N326" s="43">
        <f>IF($A326=1,Sales_Daily!$AE29,"")</f>
        <v/>
      </c>
      <c r="O326" s="32">
        <f>IF($A326=1,Sales_Daily!$S29,"")</f>
        <v/>
      </c>
      <c r="P326" s="32">
        <f>IF($A326=1,IF(Sales_Daily!$AW29="","",Sales_Daily!$AW29),"")</f>
        <v/>
      </c>
      <c r="Q326" s="32">
        <f>IF($A326=1,Sales_Daily!$AY29,"")</f>
        <v/>
      </c>
      <c r="R326" s="32">
        <f>IF($A326=1,IF(AND($Q326=1,COUNTIFS(COA!$A:$A,$G326,COA!$R:$R,1)=1),1,0),"")</f>
        <v/>
      </c>
      <c r="S326" s="43">
        <f>IF($A326=1,IF($R326=1,N($M326),0),"")</f>
        <v/>
      </c>
      <c r="T326" s="43">
        <f>IF($A326=1,IF($R326=1,N($N326),0),"")</f>
        <v/>
      </c>
      <c r="U326" s="32">
        <f>IF($A326=1,YEAR($D326)*100+MONTH($D326),"")</f>
        <v/>
      </c>
      <c r="V326" s="32">
        <f>IF($A326=1,IF(COUNTIF(COA!$A:$A,$G326)=0,0,INDEX(COA!$H:$H,MATCH($G326,COA!$A:$A,0))),"")</f>
        <v/>
      </c>
      <c r="W326" s="32">
        <f>IF($A326=1,"","")</f>
        <v/>
      </c>
      <c r="X326" s="32">
        <f>IF($A326=1,IF($R326=1,"",IF($O326=ST_POST,IF($P326&lt;&gt;"",$P326,"حساب غير صالح أو غير نشط"),IF($O326=ST_REV,"معكوس: لا أثر على الدفاتر",IF($O326=ST_CANC,"ملغى",IF($O326=ST_APPR,"معتمد ولم يُرحَّل","مسودة"))))),"")</f>
        <v/>
      </c>
      <c r="Y326" s="32">
        <f>IF($A326=1,IF(AND($R326=1,OR(LG_Acct="",$G326=LG_Acct),OR(LG_Party="",$K326=LG_Party),OR(LG_Loc="ALL",$I326=LG_Loc),OR(LG_CC="ALL",$J326=LG_CC),$D326&gt;=LG_From,$D326&lt;=LG_To),$D326+ROW()/1000000,""),"")</f>
        <v/>
      </c>
      <c r="Z326" s="32">
        <f>IF($A326=1,IF(Sales_Daily!$T29="","",Sales_Daily!$T29),"")</f>
        <v/>
      </c>
      <c r="AA326" s="32">
        <f>IF($A326=1,IF(Sales_Daily!$U29="","",Sales_Daily!$U29),"")</f>
        <v/>
      </c>
      <c r="AB326" s="32">
        <f>IF($A326=1,IF(Sales_Daily!$V29="","",Sales_Daily!$V29),"")</f>
        <v/>
      </c>
      <c r="AC326" s="32">
        <f>IF($A326=1,IF(Sales_Daily!$W29="","",Sales_Daily!$W29),"")</f>
        <v/>
      </c>
      <c r="AD326" s="32">
        <f>IF($A326=1,IF(Sales_Daily!$X29="","",Sales_Daily!$X29),"")</f>
        <v/>
      </c>
      <c r="AE326" s="32">
        <f>IF($A326=1,0,"")</f>
        <v/>
      </c>
      <c r="AF326" s="32" t="inlineStr"/>
    </row>
    <row r="327">
      <c r="A327" s="32">
        <f>IF(AND(Sales_Daily!$AV29=1,N(Sales_Daily!$AF29)&gt;0),1,0)</f>
        <v/>
      </c>
      <c r="B327" s="32">
        <f>IF($A327=1,$E327&amp;"/11","")</f>
        <v/>
      </c>
      <c r="C327" s="32">
        <f>IF($A327=1,"J-"&amp;Sales_Daily!$A29,"")</f>
        <v/>
      </c>
      <c r="D327" s="33">
        <f>IF($A327=1,Sales_Daily!$B29,"")</f>
        <v/>
      </c>
      <c r="E327" s="32">
        <f>IF($A327=1,IF(Sales_Daily!$A29="","",Sales_Daily!$A29),"")</f>
        <v/>
      </c>
      <c r="F327" s="32">
        <f>IF($A327=1,"SAL","")</f>
        <v/>
      </c>
      <c r="G327" s="32">
        <f>IF($A327=1,IF(Sales_Daily!$AS29="","",Sales_Daily!$AS29),"")</f>
        <v/>
      </c>
      <c r="H327" s="32">
        <f>IF($A327=1,IF(COUNTIF(COA!$A:$A,$G327)=0,"حساب غير معرف",INDEX(COA!$B:$B,MATCH($G327,COA!$A:$A,0))),"")</f>
        <v/>
      </c>
      <c r="I327" s="32">
        <f>IF($A327=1,IF(Sales_Daily!$C29="","",Sales_Daily!$C29),"")</f>
        <v/>
      </c>
      <c r="J327" s="32">
        <f>IF($A327=1,"CC10","")</f>
        <v/>
      </c>
      <c r="K327" s="32">
        <f>IF($A327=1,"-","")</f>
        <v/>
      </c>
      <c r="L327" s="32">
        <f>IF($A327=1,"إيراد مبيعات - فئة مكرونات","")</f>
        <v/>
      </c>
      <c r="M327" s="43">
        <f>IF($A327=1,0,"")</f>
        <v/>
      </c>
      <c r="N327" s="43">
        <f>IF($A327=1,Sales_Daily!$AF29,"")</f>
        <v/>
      </c>
      <c r="O327" s="32">
        <f>IF($A327=1,Sales_Daily!$S29,"")</f>
        <v/>
      </c>
      <c r="P327" s="32">
        <f>IF($A327=1,IF(Sales_Daily!$AW29="","",Sales_Daily!$AW29),"")</f>
        <v/>
      </c>
      <c r="Q327" s="32">
        <f>IF($A327=1,Sales_Daily!$AY29,"")</f>
        <v/>
      </c>
      <c r="R327" s="32">
        <f>IF($A327=1,IF(AND($Q327=1,COUNTIFS(COA!$A:$A,$G327,COA!$R:$R,1)=1),1,0),"")</f>
        <v/>
      </c>
      <c r="S327" s="43">
        <f>IF($A327=1,IF($R327=1,N($M327),0),"")</f>
        <v/>
      </c>
      <c r="T327" s="43">
        <f>IF($A327=1,IF($R327=1,N($N327),0),"")</f>
        <v/>
      </c>
      <c r="U327" s="32">
        <f>IF($A327=1,YEAR($D327)*100+MONTH($D327),"")</f>
        <v/>
      </c>
      <c r="V327" s="32">
        <f>IF($A327=1,IF(COUNTIF(COA!$A:$A,$G327)=0,0,INDEX(COA!$H:$H,MATCH($G327,COA!$A:$A,0))),"")</f>
        <v/>
      </c>
      <c r="W327" s="32">
        <f>IF($A327=1,"","")</f>
        <v/>
      </c>
      <c r="X327" s="32">
        <f>IF($A327=1,IF($R327=1,"",IF($O327=ST_POST,IF($P327&lt;&gt;"",$P327,"حساب غير صالح أو غير نشط"),IF($O327=ST_REV,"معكوس: لا أثر على الدفاتر",IF($O327=ST_CANC,"ملغى",IF($O327=ST_APPR,"معتمد ولم يُرحَّل","مسودة"))))),"")</f>
        <v/>
      </c>
      <c r="Y327" s="32">
        <f>IF($A327=1,IF(AND($R327=1,OR(LG_Acct="",$G327=LG_Acct),OR(LG_Party="",$K327=LG_Party),OR(LG_Loc="ALL",$I327=LG_Loc),OR(LG_CC="ALL",$J327=LG_CC),$D327&gt;=LG_From,$D327&lt;=LG_To),$D327+ROW()/1000000,""),"")</f>
        <v/>
      </c>
      <c r="Z327" s="32">
        <f>IF($A327=1,IF(Sales_Daily!$T29="","",Sales_Daily!$T29),"")</f>
        <v/>
      </c>
      <c r="AA327" s="32">
        <f>IF($A327=1,IF(Sales_Daily!$U29="","",Sales_Daily!$U29),"")</f>
        <v/>
      </c>
      <c r="AB327" s="32">
        <f>IF($A327=1,IF(Sales_Daily!$V29="","",Sales_Daily!$V29),"")</f>
        <v/>
      </c>
      <c r="AC327" s="32">
        <f>IF($A327=1,IF(Sales_Daily!$W29="","",Sales_Daily!$W29),"")</f>
        <v/>
      </c>
      <c r="AD327" s="32">
        <f>IF($A327=1,IF(Sales_Daily!$X29="","",Sales_Daily!$X29),"")</f>
        <v/>
      </c>
      <c r="AE327" s="32">
        <f>IF($A327=1,0,"")</f>
        <v/>
      </c>
      <c r="AF327" s="32" t="inlineStr"/>
    </row>
    <row r="328">
      <c r="A328" s="32">
        <f>IF(AND(Sales_Daily!$AV29=1,N(Sales_Daily!$AG29)&gt;0),1,0)</f>
        <v/>
      </c>
      <c r="B328" s="32">
        <f>IF($A328=1,$E328&amp;"/12","")</f>
        <v/>
      </c>
      <c r="C328" s="32">
        <f>IF($A328=1,"J-"&amp;Sales_Daily!$A29,"")</f>
        <v/>
      </c>
      <c r="D328" s="33">
        <f>IF($A328=1,Sales_Daily!$B29,"")</f>
        <v/>
      </c>
      <c r="E328" s="32">
        <f>IF($A328=1,IF(Sales_Daily!$A29="","",Sales_Daily!$A29),"")</f>
        <v/>
      </c>
      <c r="F328" s="32">
        <f>IF($A328=1,"SAL","")</f>
        <v/>
      </c>
      <c r="G328" s="32">
        <f>IF($A328=1,IF(Sales_Daily!$AT29="","",Sales_Daily!$AT29),"")</f>
        <v/>
      </c>
      <c r="H328" s="32">
        <f>IF($A328=1,IF(COUNTIF(COA!$A:$A,$G328)=0,"حساب غير معرف",INDEX(COA!$B:$B,MATCH($G328,COA!$A:$A,0))),"")</f>
        <v/>
      </c>
      <c r="I328" s="32">
        <f>IF($A328=1,IF(Sales_Daily!$C29="","",Sales_Daily!$C29),"")</f>
        <v/>
      </c>
      <c r="J328" s="32">
        <f>IF($A328=1,"CC10","")</f>
        <v/>
      </c>
      <c r="K328" s="32">
        <f>IF($A328=1,"-","")</f>
        <v/>
      </c>
      <c r="L328" s="32">
        <f>IF($A328=1,"إيراد مبيعات - فئة أخرى","")</f>
        <v/>
      </c>
      <c r="M328" s="43">
        <f>IF($A328=1,0,"")</f>
        <v/>
      </c>
      <c r="N328" s="43">
        <f>IF($A328=1,Sales_Daily!$AG29,"")</f>
        <v/>
      </c>
      <c r="O328" s="32">
        <f>IF($A328=1,Sales_Daily!$S29,"")</f>
        <v/>
      </c>
      <c r="P328" s="32">
        <f>IF($A328=1,IF(Sales_Daily!$AW29="","",Sales_Daily!$AW29),"")</f>
        <v/>
      </c>
      <c r="Q328" s="32">
        <f>IF($A328=1,Sales_Daily!$AY29,"")</f>
        <v/>
      </c>
      <c r="R328" s="32">
        <f>IF($A328=1,IF(AND($Q328=1,COUNTIFS(COA!$A:$A,$G328,COA!$R:$R,1)=1),1,0),"")</f>
        <v/>
      </c>
      <c r="S328" s="43">
        <f>IF($A328=1,IF($R328=1,N($M328),0),"")</f>
        <v/>
      </c>
      <c r="T328" s="43">
        <f>IF($A328=1,IF($R328=1,N($N328),0),"")</f>
        <v/>
      </c>
      <c r="U328" s="32">
        <f>IF($A328=1,YEAR($D328)*100+MONTH($D328),"")</f>
        <v/>
      </c>
      <c r="V328" s="32">
        <f>IF($A328=1,IF(COUNTIF(COA!$A:$A,$G328)=0,0,INDEX(COA!$H:$H,MATCH($G328,COA!$A:$A,0))),"")</f>
        <v/>
      </c>
      <c r="W328" s="32">
        <f>IF($A328=1,"","")</f>
        <v/>
      </c>
      <c r="X328" s="32">
        <f>IF($A328=1,IF($R328=1,"",IF($O328=ST_POST,IF($P328&lt;&gt;"",$P328,"حساب غير صالح أو غير نشط"),IF($O328=ST_REV,"معكوس: لا أثر على الدفاتر",IF($O328=ST_CANC,"ملغى",IF($O328=ST_APPR,"معتمد ولم يُرحَّل","مسودة"))))),"")</f>
        <v/>
      </c>
      <c r="Y328" s="32">
        <f>IF($A328=1,IF(AND($R328=1,OR(LG_Acct="",$G328=LG_Acct),OR(LG_Party="",$K328=LG_Party),OR(LG_Loc="ALL",$I328=LG_Loc),OR(LG_CC="ALL",$J328=LG_CC),$D328&gt;=LG_From,$D328&lt;=LG_To),$D328+ROW()/1000000,""),"")</f>
        <v/>
      </c>
      <c r="Z328" s="32">
        <f>IF($A328=1,IF(Sales_Daily!$T29="","",Sales_Daily!$T29),"")</f>
        <v/>
      </c>
      <c r="AA328" s="32">
        <f>IF($A328=1,IF(Sales_Daily!$U29="","",Sales_Daily!$U29),"")</f>
        <v/>
      </c>
      <c r="AB328" s="32">
        <f>IF($A328=1,IF(Sales_Daily!$V29="","",Sales_Daily!$V29),"")</f>
        <v/>
      </c>
      <c r="AC328" s="32">
        <f>IF($A328=1,IF(Sales_Daily!$W29="","",Sales_Daily!$W29),"")</f>
        <v/>
      </c>
      <c r="AD328" s="32">
        <f>IF($A328=1,IF(Sales_Daily!$X29="","",Sales_Daily!$X29),"")</f>
        <v/>
      </c>
      <c r="AE328" s="32">
        <f>IF($A328=1,0,"")</f>
        <v/>
      </c>
      <c r="AF328" s="32" t="inlineStr"/>
    </row>
    <row r="329">
      <c r="A329" s="32">
        <f>IF(AND(Sales_Daily!$AV29=1,N(Sales_Daily!$AJ29)&gt;0),1,0)</f>
        <v/>
      </c>
      <c r="B329" s="32">
        <f>IF($A329=1,$E329&amp;"/13","")</f>
        <v/>
      </c>
      <c r="C329" s="32">
        <f>IF($A329=1,"J-"&amp;Sales_Daily!$A29,"")</f>
        <v/>
      </c>
      <c r="D329" s="33">
        <f>IF($A329=1,Sales_Daily!$B29,"")</f>
        <v/>
      </c>
      <c r="E329" s="32">
        <f>IF($A329=1,IF(Sales_Daily!$A29="","",Sales_Daily!$A29),"")</f>
        <v/>
      </c>
      <c r="F329" s="32">
        <f>IF($A329=1,"SAL","")</f>
        <v/>
      </c>
      <c r="G329" s="32">
        <f>IF($A329=1,ACC_VAT_OUT,"")</f>
        <v/>
      </c>
      <c r="H329" s="32">
        <f>IF($A329=1,IF(COUNTIF(COA!$A:$A,$G329)=0,"حساب غير معرف",INDEX(COA!$B:$B,MATCH($G329,COA!$A:$A,0))),"")</f>
        <v/>
      </c>
      <c r="I329" s="32">
        <f>IF($A329=1,IF(Sales_Daily!$C29="","",Sales_Daily!$C29),"")</f>
        <v/>
      </c>
      <c r="J329" s="32">
        <f>IF($A329=1,"CC10","")</f>
        <v/>
      </c>
      <c r="K329" s="32">
        <f>IF($A329=1,"-","")</f>
        <v/>
      </c>
      <c r="L329" s="32">
        <f>IF($A329=1,"ضريبة القيمة المضافة - مخرجات","")</f>
        <v/>
      </c>
      <c r="M329" s="43">
        <f>IF($A329=1,0,"")</f>
        <v/>
      </c>
      <c r="N329" s="43">
        <f>IF($A329=1,Sales_Daily!$AJ29,"")</f>
        <v/>
      </c>
      <c r="O329" s="32">
        <f>IF($A329=1,Sales_Daily!$S29,"")</f>
        <v/>
      </c>
      <c r="P329" s="32">
        <f>IF($A329=1,IF(Sales_Daily!$AW29="","",Sales_Daily!$AW29),"")</f>
        <v/>
      </c>
      <c r="Q329" s="32">
        <f>IF($A329=1,Sales_Daily!$AY29,"")</f>
        <v/>
      </c>
      <c r="R329" s="32">
        <f>IF($A329=1,IF(AND($Q329=1,COUNTIFS(COA!$A:$A,$G329,COA!$R:$R,1)=1),1,0),"")</f>
        <v/>
      </c>
      <c r="S329" s="43">
        <f>IF($A329=1,IF($R329=1,N($M329),0),"")</f>
        <v/>
      </c>
      <c r="T329" s="43">
        <f>IF($A329=1,IF($R329=1,N($N329),0),"")</f>
        <v/>
      </c>
      <c r="U329" s="32">
        <f>IF($A329=1,YEAR($D329)*100+MONTH($D329),"")</f>
        <v/>
      </c>
      <c r="V329" s="32">
        <f>IF($A329=1,IF(COUNTIF(COA!$A:$A,$G329)=0,0,INDEX(COA!$H:$H,MATCH($G329,COA!$A:$A,0))),"")</f>
        <v/>
      </c>
      <c r="W329" s="32">
        <f>IF($A329=1,"","")</f>
        <v/>
      </c>
      <c r="X329" s="32">
        <f>IF($A329=1,IF($R329=1,"",IF($O329=ST_POST,IF($P329&lt;&gt;"",$P329,"حساب غير صالح أو غير نشط"),IF($O329=ST_REV,"معكوس: لا أثر على الدفاتر",IF($O329=ST_CANC,"ملغى",IF($O329=ST_APPR,"معتمد ولم يُرحَّل","مسودة"))))),"")</f>
        <v/>
      </c>
      <c r="Y329" s="32">
        <f>IF($A329=1,IF(AND($R329=1,OR(LG_Acct="",$G329=LG_Acct),OR(LG_Party="",$K329=LG_Party),OR(LG_Loc="ALL",$I329=LG_Loc),OR(LG_CC="ALL",$J329=LG_CC),$D329&gt;=LG_From,$D329&lt;=LG_To),$D329+ROW()/1000000,""),"")</f>
        <v/>
      </c>
      <c r="Z329" s="32">
        <f>IF($A329=1,IF(Sales_Daily!$T29="","",Sales_Daily!$T29),"")</f>
        <v/>
      </c>
      <c r="AA329" s="32">
        <f>IF($A329=1,IF(Sales_Daily!$U29="","",Sales_Daily!$U29),"")</f>
        <v/>
      </c>
      <c r="AB329" s="32">
        <f>IF($A329=1,IF(Sales_Daily!$V29="","",Sales_Daily!$V29),"")</f>
        <v/>
      </c>
      <c r="AC329" s="32">
        <f>IF($A329=1,IF(Sales_Daily!$W29="","",Sales_Daily!$W29),"")</f>
        <v/>
      </c>
      <c r="AD329" s="32">
        <f>IF($A329=1,IF(Sales_Daily!$X29="","",Sales_Daily!$X29),"")</f>
        <v/>
      </c>
      <c r="AE329" s="32">
        <f>IF($A329=1,0,"")</f>
        <v/>
      </c>
      <c r="AF329" s="32" t="inlineStr"/>
    </row>
    <row r="330">
      <c r="A330" s="32">
        <f>IF(AND(Sales_Daily!$AV30=1,N(Sales_Daily!$L30)&gt;0),1,0)</f>
        <v/>
      </c>
      <c r="B330" s="32">
        <f>IF($A330=1,$E330&amp;"/1","")</f>
        <v/>
      </c>
      <c r="C330" s="32">
        <f>IF($A330=1,"J-"&amp;Sales_Daily!$A30,"")</f>
        <v/>
      </c>
      <c r="D330" s="33">
        <f>IF($A330=1,Sales_Daily!$B30,"")</f>
        <v/>
      </c>
      <c r="E330" s="32">
        <f>IF($A330=1,IF(Sales_Daily!$A30="","",Sales_Daily!$A30),"")</f>
        <v/>
      </c>
      <c r="F330" s="32">
        <f>IF($A330=1,"SAL","")</f>
        <v/>
      </c>
      <c r="G330" s="32">
        <f>IF($A330=1,IF(Sales_Daily!$AK30="","",Sales_Daily!$AK30),"")</f>
        <v/>
      </c>
      <c r="H330" s="32">
        <f>IF($A330=1,IF(COUNTIF(COA!$A:$A,$G330)=0,"حساب غير معرف",INDEX(COA!$B:$B,MATCH($G330,COA!$A:$A,0))),"")</f>
        <v/>
      </c>
      <c r="I330" s="32">
        <f>IF($A330=1,IF(Sales_Daily!$C30="","",Sales_Daily!$C30),"")</f>
        <v/>
      </c>
      <c r="J330" s="32">
        <f>IF($A330=1,"CC10","")</f>
        <v/>
      </c>
      <c r="K330" s="32">
        <f>IF($A330=1,"-","")</f>
        <v/>
      </c>
      <c r="L330" s="32">
        <f>IF($A330=1,"مبيعات - تحصيل CASH","")</f>
        <v/>
      </c>
      <c r="M330" s="43">
        <f>IF($A330=1,Sales_Daily!$L30,"")</f>
        <v/>
      </c>
      <c r="N330" s="43">
        <f>IF($A330=1,0,"")</f>
        <v/>
      </c>
      <c r="O330" s="32">
        <f>IF($A330=1,Sales_Daily!$S30,"")</f>
        <v/>
      </c>
      <c r="P330" s="32">
        <f>IF($A330=1,IF(Sales_Daily!$AW30="","",Sales_Daily!$AW30),"")</f>
        <v/>
      </c>
      <c r="Q330" s="32">
        <f>IF($A330=1,Sales_Daily!$AY30,"")</f>
        <v/>
      </c>
      <c r="R330" s="32">
        <f>IF($A330=1,IF(AND($Q330=1,COUNTIFS(COA!$A:$A,$G330,COA!$R:$R,1)=1),1,0),"")</f>
        <v/>
      </c>
      <c r="S330" s="43">
        <f>IF($A330=1,IF($R330=1,N($M330),0),"")</f>
        <v/>
      </c>
      <c r="T330" s="43">
        <f>IF($A330=1,IF($R330=1,N($N330),0),"")</f>
        <v/>
      </c>
      <c r="U330" s="32">
        <f>IF($A330=1,YEAR($D330)*100+MONTH($D330),"")</f>
        <v/>
      </c>
      <c r="V330" s="32">
        <f>IF($A330=1,IF(COUNTIF(COA!$A:$A,$G330)=0,0,INDEX(COA!$H:$H,MATCH($G330,COA!$A:$A,0))),"")</f>
        <v/>
      </c>
      <c r="W330" s="32">
        <f>IF($A330=1,"OPERATING","")</f>
        <v/>
      </c>
      <c r="X330" s="32">
        <f>IF($A330=1,IF($R330=1,"",IF($O330=ST_POST,IF($P330&lt;&gt;"",$P330,"حساب غير صالح أو غير نشط"),IF($O330=ST_REV,"معكوس: لا أثر على الدفاتر",IF($O330=ST_CANC,"ملغى",IF($O330=ST_APPR,"معتمد ولم يُرحَّل","مسودة"))))),"")</f>
        <v/>
      </c>
      <c r="Y330" s="32">
        <f>IF($A330=1,IF(AND($R330=1,OR(LG_Acct="",$G330=LG_Acct),OR(LG_Party="",$K330=LG_Party),OR(LG_Loc="ALL",$I330=LG_Loc),OR(LG_CC="ALL",$J330=LG_CC),$D330&gt;=LG_From,$D330&lt;=LG_To),$D330+ROW()/1000000,""),"")</f>
        <v/>
      </c>
      <c r="Z330" s="32">
        <f>IF($A330=1,IF(Sales_Daily!$T30="","",Sales_Daily!$T30),"")</f>
        <v/>
      </c>
      <c r="AA330" s="32">
        <f>IF($A330=1,IF(Sales_Daily!$U30="","",Sales_Daily!$U30),"")</f>
        <v/>
      </c>
      <c r="AB330" s="32">
        <f>IF($A330=1,IF(Sales_Daily!$V30="","",Sales_Daily!$V30),"")</f>
        <v/>
      </c>
      <c r="AC330" s="32">
        <f>IF($A330=1,IF(Sales_Daily!$W30="","",Sales_Daily!$W30),"")</f>
        <v/>
      </c>
      <c r="AD330" s="32">
        <f>IF($A330=1,IF(Sales_Daily!$X30="","",Sales_Daily!$X30),"")</f>
        <v/>
      </c>
      <c r="AE330" s="32">
        <f>IF($A330=1,0,"")</f>
        <v/>
      </c>
      <c r="AF330" s="32" t="inlineStr"/>
    </row>
    <row r="331">
      <c r="A331" s="32">
        <f>IF(AND(Sales_Daily!$AV30=1,N(Sales_Daily!$M30)&gt;0),1,0)</f>
        <v/>
      </c>
      <c r="B331" s="32">
        <f>IF($A331=1,$E331&amp;"/2","")</f>
        <v/>
      </c>
      <c r="C331" s="32">
        <f>IF($A331=1,"J-"&amp;Sales_Daily!$A30,"")</f>
        <v/>
      </c>
      <c r="D331" s="33">
        <f>IF($A331=1,Sales_Daily!$B30,"")</f>
        <v/>
      </c>
      <c r="E331" s="32">
        <f>IF($A331=1,IF(Sales_Daily!$A30="","",Sales_Daily!$A30),"")</f>
        <v/>
      </c>
      <c r="F331" s="32">
        <f>IF($A331=1,"SAL","")</f>
        <v/>
      </c>
      <c r="G331" s="32">
        <f>IF($A331=1,IF(Sales_Daily!$AL30="","",Sales_Daily!$AL30),"")</f>
        <v/>
      </c>
      <c r="H331" s="32">
        <f>IF($A331=1,IF(COUNTIF(COA!$A:$A,$G331)=0,"حساب غير معرف",INDEX(COA!$B:$B,MATCH($G331,COA!$A:$A,0))),"")</f>
        <v/>
      </c>
      <c r="I331" s="32">
        <f>IF($A331=1,IF(Sales_Daily!$C30="","",Sales_Daily!$C30),"")</f>
        <v/>
      </c>
      <c r="J331" s="32">
        <f>IF($A331=1,"CC10","")</f>
        <v/>
      </c>
      <c r="K331" s="32">
        <f>IF($A331=1,"-","")</f>
        <v/>
      </c>
      <c r="L331" s="32">
        <f>IF($A331=1,"مبيعات - تحصيل CARD","")</f>
        <v/>
      </c>
      <c r="M331" s="43">
        <f>IF($A331=1,Sales_Daily!$M30,"")</f>
        <v/>
      </c>
      <c r="N331" s="43">
        <f>IF($A331=1,0,"")</f>
        <v/>
      </c>
      <c r="O331" s="32">
        <f>IF($A331=1,Sales_Daily!$S30,"")</f>
        <v/>
      </c>
      <c r="P331" s="32">
        <f>IF($A331=1,IF(Sales_Daily!$AW30="","",Sales_Daily!$AW30),"")</f>
        <v/>
      </c>
      <c r="Q331" s="32">
        <f>IF($A331=1,Sales_Daily!$AY30,"")</f>
        <v/>
      </c>
      <c r="R331" s="32">
        <f>IF($A331=1,IF(AND($Q331=1,COUNTIFS(COA!$A:$A,$G331,COA!$R:$R,1)=1),1,0),"")</f>
        <v/>
      </c>
      <c r="S331" s="43">
        <f>IF($A331=1,IF($R331=1,N($M331),0),"")</f>
        <v/>
      </c>
      <c r="T331" s="43">
        <f>IF($A331=1,IF($R331=1,N($N331),0),"")</f>
        <v/>
      </c>
      <c r="U331" s="32">
        <f>IF($A331=1,YEAR($D331)*100+MONTH($D331),"")</f>
        <v/>
      </c>
      <c r="V331" s="32">
        <f>IF($A331=1,IF(COUNTIF(COA!$A:$A,$G331)=0,0,INDEX(COA!$H:$H,MATCH($G331,COA!$A:$A,0))),"")</f>
        <v/>
      </c>
      <c r="W331" s="32">
        <f>IF($A331=1,"OPERATING","")</f>
        <v/>
      </c>
      <c r="X331" s="32">
        <f>IF($A331=1,IF($R331=1,"",IF($O331=ST_POST,IF($P331&lt;&gt;"",$P331,"حساب غير صالح أو غير نشط"),IF($O331=ST_REV,"معكوس: لا أثر على الدفاتر",IF($O331=ST_CANC,"ملغى",IF($O331=ST_APPR,"معتمد ولم يُرحَّل","مسودة"))))),"")</f>
        <v/>
      </c>
      <c r="Y331" s="32">
        <f>IF($A331=1,IF(AND($R331=1,OR(LG_Acct="",$G331=LG_Acct),OR(LG_Party="",$K331=LG_Party),OR(LG_Loc="ALL",$I331=LG_Loc),OR(LG_CC="ALL",$J331=LG_CC),$D331&gt;=LG_From,$D331&lt;=LG_To),$D331+ROW()/1000000,""),"")</f>
        <v/>
      </c>
      <c r="Z331" s="32">
        <f>IF($A331=1,IF(Sales_Daily!$T30="","",Sales_Daily!$T30),"")</f>
        <v/>
      </c>
      <c r="AA331" s="32">
        <f>IF($A331=1,IF(Sales_Daily!$U30="","",Sales_Daily!$U30),"")</f>
        <v/>
      </c>
      <c r="AB331" s="32">
        <f>IF($A331=1,IF(Sales_Daily!$V30="","",Sales_Daily!$V30),"")</f>
        <v/>
      </c>
      <c r="AC331" s="32">
        <f>IF($A331=1,IF(Sales_Daily!$W30="","",Sales_Daily!$W30),"")</f>
        <v/>
      </c>
      <c r="AD331" s="32">
        <f>IF($A331=1,IF(Sales_Daily!$X30="","",Sales_Daily!$X30),"")</f>
        <v/>
      </c>
      <c r="AE331" s="32">
        <f>IF($A331=1,0,"")</f>
        <v/>
      </c>
      <c r="AF331" s="32" t="inlineStr"/>
    </row>
    <row r="332">
      <c r="A332" s="32">
        <f>IF(AND(Sales_Daily!$AV30=1,N(Sales_Daily!$N30)&gt;0),1,0)</f>
        <v/>
      </c>
      <c r="B332" s="32">
        <f>IF($A332=1,$E332&amp;"/3","")</f>
        <v/>
      </c>
      <c r="C332" s="32">
        <f>IF($A332=1,"J-"&amp;Sales_Daily!$A30,"")</f>
        <v/>
      </c>
      <c r="D332" s="33">
        <f>IF($A332=1,Sales_Daily!$B30,"")</f>
        <v/>
      </c>
      <c r="E332" s="32">
        <f>IF($A332=1,IF(Sales_Daily!$A30="","",Sales_Daily!$A30),"")</f>
        <v/>
      </c>
      <c r="F332" s="32">
        <f>IF($A332=1,"SAL","")</f>
        <v/>
      </c>
      <c r="G332" s="32">
        <f>IF($A332=1,IF(Sales_Daily!$AM30="","",Sales_Daily!$AM30),"")</f>
        <v/>
      </c>
      <c r="H332" s="32">
        <f>IF($A332=1,IF(COUNTIF(COA!$A:$A,$G332)=0,"حساب غير معرف",INDEX(COA!$B:$B,MATCH($G332,COA!$A:$A,0))),"")</f>
        <v/>
      </c>
      <c r="I332" s="32">
        <f>IF($A332=1,IF(Sales_Daily!$C30="","",Sales_Daily!$C30),"")</f>
        <v/>
      </c>
      <c r="J332" s="32">
        <f>IF($A332=1,"CC10","")</f>
        <v/>
      </c>
      <c r="K332" s="32">
        <f>IF($A332=1,"-","")</f>
        <v/>
      </c>
      <c r="L332" s="32">
        <f>IF($A332=1,"مبيعات - تحصيل TLB","")</f>
        <v/>
      </c>
      <c r="M332" s="43">
        <f>IF($A332=1,Sales_Daily!$N30,"")</f>
        <v/>
      </c>
      <c r="N332" s="43">
        <f>IF($A332=1,0,"")</f>
        <v/>
      </c>
      <c r="O332" s="32">
        <f>IF($A332=1,Sales_Daily!$S30,"")</f>
        <v/>
      </c>
      <c r="P332" s="32">
        <f>IF($A332=1,IF(Sales_Daily!$AW30="","",Sales_Daily!$AW30),"")</f>
        <v/>
      </c>
      <c r="Q332" s="32">
        <f>IF($A332=1,Sales_Daily!$AY30,"")</f>
        <v/>
      </c>
      <c r="R332" s="32">
        <f>IF($A332=1,IF(AND($Q332=1,COUNTIFS(COA!$A:$A,$G332,COA!$R:$R,1)=1),1,0),"")</f>
        <v/>
      </c>
      <c r="S332" s="43">
        <f>IF($A332=1,IF($R332=1,N($M332),0),"")</f>
        <v/>
      </c>
      <c r="T332" s="43">
        <f>IF($A332=1,IF($R332=1,N($N332),0),"")</f>
        <v/>
      </c>
      <c r="U332" s="32">
        <f>IF($A332=1,YEAR($D332)*100+MONTH($D332),"")</f>
        <v/>
      </c>
      <c r="V332" s="32">
        <f>IF($A332=1,IF(COUNTIF(COA!$A:$A,$G332)=0,0,INDEX(COA!$H:$H,MATCH($G332,COA!$A:$A,0))),"")</f>
        <v/>
      </c>
      <c r="W332" s="32">
        <f>IF($A332=1,"OPERATING","")</f>
        <v/>
      </c>
      <c r="X332" s="32">
        <f>IF($A332=1,IF($R332=1,"",IF($O332=ST_POST,IF($P332&lt;&gt;"",$P332,"حساب غير صالح أو غير نشط"),IF($O332=ST_REV,"معكوس: لا أثر على الدفاتر",IF($O332=ST_CANC,"ملغى",IF($O332=ST_APPR,"معتمد ولم يُرحَّل","مسودة"))))),"")</f>
        <v/>
      </c>
      <c r="Y332" s="32">
        <f>IF($A332=1,IF(AND($R332=1,OR(LG_Acct="",$G332=LG_Acct),OR(LG_Party="",$K332=LG_Party),OR(LG_Loc="ALL",$I332=LG_Loc),OR(LG_CC="ALL",$J332=LG_CC),$D332&gt;=LG_From,$D332&lt;=LG_To),$D332+ROW()/1000000,""),"")</f>
        <v/>
      </c>
      <c r="Z332" s="32">
        <f>IF($A332=1,IF(Sales_Daily!$T30="","",Sales_Daily!$T30),"")</f>
        <v/>
      </c>
      <c r="AA332" s="32">
        <f>IF($A332=1,IF(Sales_Daily!$U30="","",Sales_Daily!$U30),"")</f>
        <v/>
      </c>
      <c r="AB332" s="32">
        <f>IF($A332=1,IF(Sales_Daily!$V30="","",Sales_Daily!$V30),"")</f>
        <v/>
      </c>
      <c r="AC332" s="32">
        <f>IF($A332=1,IF(Sales_Daily!$W30="","",Sales_Daily!$W30),"")</f>
        <v/>
      </c>
      <c r="AD332" s="32">
        <f>IF($A332=1,IF(Sales_Daily!$X30="","",Sales_Daily!$X30),"")</f>
        <v/>
      </c>
      <c r="AE332" s="32">
        <f>IF($A332=1,0,"")</f>
        <v/>
      </c>
      <c r="AF332" s="32" t="inlineStr"/>
    </row>
    <row r="333">
      <c r="A333" s="32">
        <f>IF(AND(Sales_Daily!$AV30=1,N(Sales_Daily!$O30)&gt;0),1,0)</f>
        <v/>
      </c>
      <c r="B333" s="32">
        <f>IF($A333=1,$E333&amp;"/4","")</f>
        <v/>
      </c>
      <c r="C333" s="32">
        <f>IF($A333=1,"J-"&amp;Sales_Daily!$A30,"")</f>
        <v/>
      </c>
      <c r="D333" s="33">
        <f>IF($A333=1,Sales_Daily!$B30,"")</f>
        <v/>
      </c>
      <c r="E333" s="32">
        <f>IF($A333=1,IF(Sales_Daily!$A30="","",Sales_Daily!$A30),"")</f>
        <v/>
      </c>
      <c r="F333" s="32">
        <f>IF($A333=1,"SAL","")</f>
        <v/>
      </c>
      <c r="G333" s="32">
        <f>IF($A333=1,IF(Sales_Daily!$AN30="","",Sales_Daily!$AN30),"")</f>
        <v/>
      </c>
      <c r="H333" s="32">
        <f>IF($A333=1,IF(COUNTIF(COA!$A:$A,$G333)=0,"حساب غير معرف",INDEX(COA!$B:$B,MATCH($G333,COA!$A:$A,0))),"")</f>
        <v/>
      </c>
      <c r="I333" s="32">
        <f>IF($A333=1,IF(Sales_Daily!$C30="","",Sales_Daily!$C30),"")</f>
        <v/>
      </c>
      <c r="J333" s="32">
        <f>IF($A333=1,"CC10","")</f>
        <v/>
      </c>
      <c r="K333" s="32">
        <f>IF($A333=1,"-","")</f>
        <v/>
      </c>
      <c r="L333" s="32">
        <f>IF($A333=1,"مبيعات - تحصيل DLV2","")</f>
        <v/>
      </c>
      <c r="M333" s="43">
        <f>IF($A333=1,Sales_Daily!$O30,"")</f>
        <v/>
      </c>
      <c r="N333" s="43">
        <f>IF($A333=1,0,"")</f>
        <v/>
      </c>
      <c r="O333" s="32">
        <f>IF($A333=1,Sales_Daily!$S30,"")</f>
        <v/>
      </c>
      <c r="P333" s="32">
        <f>IF($A333=1,IF(Sales_Daily!$AW30="","",Sales_Daily!$AW30),"")</f>
        <v/>
      </c>
      <c r="Q333" s="32">
        <f>IF($A333=1,Sales_Daily!$AY30,"")</f>
        <v/>
      </c>
      <c r="R333" s="32">
        <f>IF($A333=1,IF(AND($Q333=1,COUNTIFS(COA!$A:$A,$G333,COA!$R:$R,1)=1),1,0),"")</f>
        <v/>
      </c>
      <c r="S333" s="43">
        <f>IF($A333=1,IF($R333=1,N($M333),0),"")</f>
        <v/>
      </c>
      <c r="T333" s="43">
        <f>IF($A333=1,IF($R333=1,N($N333),0),"")</f>
        <v/>
      </c>
      <c r="U333" s="32">
        <f>IF($A333=1,YEAR($D333)*100+MONTH($D333),"")</f>
        <v/>
      </c>
      <c r="V333" s="32">
        <f>IF($A333=1,IF(COUNTIF(COA!$A:$A,$G333)=0,0,INDEX(COA!$H:$H,MATCH($G333,COA!$A:$A,0))),"")</f>
        <v/>
      </c>
      <c r="W333" s="32">
        <f>IF($A333=1,"OPERATING","")</f>
        <v/>
      </c>
      <c r="X333" s="32">
        <f>IF($A333=1,IF($R333=1,"",IF($O333=ST_POST,IF($P333&lt;&gt;"",$P333,"حساب غير صالح أو غير نشط"),IF($O333=ST_REV,"معكوس: لا أثر على الدفاتر",IF($O333=ST_CANC,"ملغى",IF($O333=ST_APPR,"معتمد ولم يُرحَّل","مسودة"))))),"")</f>
        <v/>
      </c>
      <c r="Y333" s="32">
        <f>IF($A333=1,IF(AND($R333=1,OR(LG_Acct="",$G333=LG_Acct),OR(LG_Party="",$K333=LG_Party),OR(LG_Loc="ALL",$I333=LG_Loc),OR(LG_CC="ALL",$J333=LG_CC),$D333&gt;=LG_From,$D333&lt;=LG_To),$D333+ROW()/1000000,""),"")</f>
        <v/>
      </c>
      <c r="Z333" s="32">
        <f>IF($A333=1,IF(Sales_Daily!$T30="","",Sales_Daily!$T30),"")</f>
        <v/>
      </c>
      <c r="AA333" s="32">
        <f>IF($A333=1,IF(Sales_Daily!$U30="","",Sales_Daily!$U30),"")</f>
        <v/>
      </c>
      <c r="AB333" s="32">
        <f>IF($A333=1,IF(Sales_Daily!$V30="","",Sales_Daily!$V30),"")</f>
        <v/>
      </c>
      <c r="AC333" s="32">
        <f>IF($A333=1,IF(Sales_Daily!$W30="","",Sales_Daily!$W30),"")</f>
        <v/>
      </c>
      <c r="AD333" s="32">
        <f>IF($A333=1,IF(Sales_Daily!$X30="","",Sales_Daily!$X30),"")</f>
        <v/>
      </c>
      <c r="AE333" s="32">
        <f>IF($A333=1,0,"")</f>
        <v/>
      </c>
      <c r="AF333" s="32" t="inlineStr"/>
    </row>
    <row r="334">
      <c r="A334" s="32">
        <f>IF(AND(Sales_Daily!$AV30=1,N(Sales_Daily!$P30)&gt;0),1,0)</f>
        <v/>
      </c>
      <c r="B334" s="32">
        <f>IF($A334=1,$E334&amp;"/5","")</f>
        <v/>
      </c>
      <c r="C334" s="32">
        <f>IF($A334=1,"J-"&amp;Sales_Daily!$A30,"")</f>
        <v/>
      </c>
      <c r="D334" s="33">
        <f>IF($A334=1,Sales_Daily!$B30,"")</f>
        <v/>
      </c>
      <c r="E334" s="32">
        <f>IF($A334=1,IF(Sales_Daily!$A30="","",Sales_Daily!$A30),"")</f>
        <v/>
      </c>
      <c r="F334" s="32">
        <f>IF($A334=1,"SAL","")</f>
        <v/>
      </c>
      <c r="G334" s="32">
        <f>IF($A334=1,IF(Sales_Daily!$AO30="","",Sales_Daily!$AO30),"")</f>
        <v/>
      </c>
      <c r="H334" s="32">
        <f>IF($A334=1,IF(COUNTIF(COA!$A:$A,$G334)=0,"حساب غير معرف",INDEX(COA!$B:$B,MATCH($G334,COA!$A:$A,0))),"")</f>
        <v/>
      </c>
      <c r="I334" s="32">
        <f>IF($A334=1,IF(Sales_Daily!$C30="","",Sales_Daily!$C30),"")</f>
        <v/>
      </c>
      <c r="J334" s="32">
        <f>IF($A334=1,"CC10","")</f>
        <v/>
      </c>
      <c r="K334" s="32">
        <f>IF($A334=1,"-","")</f>
        <v/>
      </c>
      <c r="L334" s="32">
        <f>IF($A334=1,"مبيعات - تحصيل INSTA","")</f>
        <v/>
      </c>
      <c r="M334" s="43">
        <f>IF($A334=1,Sales_Daily!$P30,"")</f>
        <v/>
      </c>
      <c r="N334" s="43">
        <f>IF($A334=1,0,"")</f>
        <v/>
      </c>
      <c r="O334" s="32">
        <f>IF($A334=1,Sales_Daily!$S30,"")</f>
        <v/>
      </c>
      <c r="P334" s="32">
        <f>IF($A334=1,IF(Sales_Daily!$AW30="","",Sales_Daily!$AW30),"")</f>
        <v/>
      </c>
      <c r="Q334" s="32">
        <f>IF($A334=1,Sales_Daily!$AY30,"")</f>
        <v/>
      </c>
      <c r="R334" s="32">
        <f>IF($A334=1,IF(AND($Q334=1,COUNTIFS(COA!$A:$A,$G334,COA!$R:$R,1)=1),1,0),"")</f>
        <v/>
      </c>
      <c r="S334" s="43">
        <f>IF($A334=1,IF($R334=1,N($M334),0),"")</f>
        <v/>
      </c>
      <c r="T334" s="43">
        <f>IF($A334=1,IF($R334=1,N($N334),0),"")</f>
        <v/>
      </c>
      <c r="U334" s="32">
        <f>IF($A334=1,YEAR($D334)*100+MONTH($D334),"")</f>
        <v/>
      </c>
      <c r="V334" s="32">
        <f>IF($A334=1,IF(COUNTIF(COA!$A:$A,$G334)=0,0,INDEX(COA!$H:$H,MATCH($G334,COA!$A:$A,0))),"")</f>
        <v/>
      </c>
      <c r="W334" s="32">
        <f>IF($A334=1,"OPERATING","")</f>
        <v/>
      </c>
      <c r="X334" s="32">
        <f>IF($A334=1,IF($R334=1,"",IF($O334=ST_POST,IF($P334&lt;&gt;"",$P334,"حساب غير صالح أو غير نشط"),IF($O334=ST_REV,"معكوس: لا أثر على الدفاتر",IF($O334=ST_CANC,"ملغى",IF($O334=ST_APPR,"معتمد ولم يُرحَّل","مسودة"))))),"")</f>
        <v/>
      </c>
      <c r="Y334" s="32">
        <f>IF($A334=1,IF(AND($R334=1,OR(LG_Acct="",$G334=LG_Acct),OR(LG_Party="",$K334=LG_Party),OR(LG_Loc="ALL",$I334=LG_Loc),OR(LG_CC="ALL",$J334=LG_CC),$D334&gt;=LG_From,$D334&lt;=LG_To),$D334+ROW()/1000000,""),"")</f>
        <v/>
      </c>
      <c r="Z334" s="32">
        <f>IF($A334=1,IF(Sales_Daily!$T30="","",Sales_Daily!$T30),"")</f>
        <v/>
      </c>
      <c r="AA334" s="32">
        <f>IF($A334=1,IF(Sales_Daily!$U30="","",Sales_Daily!$U30),"")</f>
        <v/>
      </c>
      <c r="AB334" s="32">
        <f>IF($A334=1,IF(Sales_Daily!$V30="","",Sales_Daily!$V30),"")</f>
        <v/>
      </c>
      <c r="AC334" s="32">
        <f>IF($A334=1,IF(Sales_Daily!$W30="","",Sales_Daily!$W30),"")</f>
        <v/>
      </c>
      <c r="AD334" s="32">
        <f>IF($A334=1,IF(Sales_Daily!$X30="","",Sales_Daily!$X30),"")</f>
        <v/>
      </c>
      <c r="AE334" s="32">
        <f>IF($A334=1,0,"")</f>
        <v/>
      </c>
      <c r="AF334" s="32" t="inlineStr"/>
    </row>
    <row r="335">
      <c r="A335" s="32">
        <f>IF(AND(Sales_Daily!$AV30=1,N(Sales_Daily!$Q30)&gt;0),1,0)</f>
        <v/>
      </c>
      <c r="B335" s="32">
        <f>IF($A335=1,$E335&amp;"/6","")</f>
        <v/>
      </c>
      <c r="C335" s="32">
        <f>IF($A335=1,"J-"&amp;Sales_Daily!$A30,"")</f>
        <v/>
      </c>
      <c r="D335" s="33">
        <f>IF($A335=1,Sales_Daily!$B30,"")</f>
        <v/>
      </c>
      <c r="E335" s="32">
        <f>IF($A335=1,IF(Sales_Daily!$A30="","",Sales_Daily!$A30),"")</f>
        <v/>
      </c>
      <c r="F335" s="32">
        <f>IF($A335=1,"SAL","")</f>
        <v/>
      </c>
      <c r="G335" s="32">
        <f>IF($A335=1,IF(Sales_Daily!$AP30="","",Sales_Daily!$AP30),"")</f>
        <v/>
      </c>
      <c r="H335" s="32">
        <f>IF($A335=1,IF(COUNTIF(COA!$A:$A,$G335)=0,"حساب غير معرف",INDEX(COA!$B:$B,MATCH($G335,COA!$A:$A,0))),"")</f>
        <v/>
      </c>
      <c r="I335" s="32">
        <f>IF($A335=1,IF(Sales_Daily!$C30="","",Sales_Daily!$C30),"")</f>
        <v/>
      </c>
      <c r="J335" s="32">
        <f>IF($A335=1,"CC10","")</f>
        <v/>
      </c>
      <c r="K335" s="32">
        <f>IF($A335=1,"-","")</f>
        <v/>
      </c>
      <c r="L335" s="32">
        <f>IF($A335=1,"مبيعات - تحصيل OTH","")</f>
        <v/>
      </c>
      <c r="M335" s="43">
        <f>IF($A335=1,Sales_Daily!$Q30,"")</f>
        <v/>
      </c>
      <c r="N335" s="43">
        <f>IF($A335=1,0,"")</f>
        <v/>
      </c>
      <c r="O335" s="32">
        <f>IF($A335=1,Sales_Daily!$S30,"")</f>
        <v/>
      </c>
      <c r="P335" s="32">
        <f>IF($A335=1,IF(Sales_Daily!$AW30="","",Sales_Daily!$AW30),"")</f>
        <v/>
      </c>
      <c r="Q335" s="32">
        <f>IF($A335=1,Sales_Daily!$AY30,"")</f>
        <v/>
      </c>
      <c r="R335" s="32">
        <f>IF($A335=1,IF(AND($Q335=1,COUNTIFS(COA!$A:$A,$G335,COA!$R:$R,1)=1),1,0),"")</f>
        <v/>
      </c>
      <c r="S335" s="43">
        <f>IF($A335=1,IF($R335=1,N($M335),0),"")</f>
        <v/>
      </c>
      <c r="T335" s="43">
        <f>IF($A335=1,IF($R335=1,N($N335),0),"")</f>
        <v/>
      </c>
      <c r="U335" s="32">
        <f>IF($A335=1,YEAR($D335)*100+MONTH($D335),"")</f>
        <v/>
      </c>
      <c r="V335" s="32">
        <f>IF($A335=1,IF(COUNTIF(COA!$A:$A,$G335)=0,0,INDEX(COA!$H:$H,MATCH($G335,COA!$A:$A,0))),"")</f>
        <v/>
      </c>
      <c r="W335" s="32">
        <f>IF($A335=1,"OPERATING","")</f>
        <v/>
      </c>
      <c r="X335" s="32">
        <f>IF($A335=1,IF($R335=1,"",IF($O335=ST_POST,IF($P335&lt;&gt;"",$P335,"حساب غير صالح أو غير نشط"),IF($O335=ST_REV,"معكوس: لا أثر على الدفاتر",IF($O335=ST_CANC,"ملغى",IF($O335=ST_APPR,"معتمد ولم يُرحَّل","مسودة"))))),"")</f>
        <v/>
      </c>
      <c r="Y335" s="32">
        <f>IF($A335=1,IF(AND($R335=1,OR(LG_Acct="",$G335=LG_Acct),OR(LG_Party="",$K335=LG_Party),OR(LG_Loc="ALL",$I335=LG_Loc),OR(LG_CC="ALL",$J335=LG_CC),$D335&gt;=LG_From,$D335&lt;=LG_To),$D335+ROW()/1000000,""),"")</f>
        <v/>
      </c>
      <c r="Z335" s="32">
        <f>IF($A335=1,IF(Sales_Daily!$T30="","",Sales_Daily!$T30),"")</f>
        <v/>
      </c>
      <c r="AA335" s="32">
        <f>IF($A335=1,IF(Sales_Daily!$U30="","",Sales_Daily!$U30),"")</f>
        <v/>
      </c>
      <c r="AB335" s="32">
        <f>IF($A335=1,IF(Sales_Daily!$V30="","",Sales_Daily!$V30),"")</f>
        <v/>
      </c>
      <c r="AC335" s="32">
        <f>IF($A335=1,IF(Sales_Daily!$W30="","",Sales_Daily!$W30),"")</f>
        <v/>
      </c>
      <c r="AD335" s="32">
        <f>IF($A335=1,IF(Sales_Daily!$X30="","",Sales_Daily!$X30),"")</f>
        <v/>
      </c>
      <c r="AE335" s="32">
        <f>IF($A335=1,0,"")</f>
        <v/>
      </c>
      <c r="AF335" s="32" t="inlineStr"/>
    </row>
    <row r="336">
      <c r="A336" s="32">
        <f>IF(AND(Sales_Daily!$AV30=1,N(Sales_Daily!$AH30)&gt;0),1,0)</f>
        <v/>
      </c>
      <c r="B336" s="32">
        <f>IF($A336=1,$E336&amp;"/7","")</f>
        <v/>
      </c>
      <c r="C336" s="32">
        <f>IF($A336=1,"J-"&amp;Sales_Daily!$A30,"")</f>
        <v/>
      </c>
      <c r="D336" s="33">
        <f>IF($A336=1,Sales_Daily!$B30,"")</f>
        <v/>
      </c>
      <c r="E336" s="32">
        <f>IF($A336=1,IF(Sales_Daily!$A30="","",Sales_Daily!$A30),"")</f>
        <v/>
      </c>
      <c r="F336" s="32">
        <f>IF($A336=1,"SAL","")</f>
        <v/>
      </c>
      <c r="G336" s="32">
        <f>IF($A336=1,ACC_DISC,"")</f>
        <v/>
      </c>
      <c r="H336" s="32">
        <f>IF($A336=1,IF(COUNTIF(COA!$A:$A,$G336)=0,"حساب غير معرف",INDEX(COA!$B:$B,MATCH($G336,COA!$A:$A,0))),"")</f>
        <v/>
      </c>
      <c r="I336" s="32">
        <f>IF($A336=1,IF(Sales_Daily!$C30="","",Sales_Daily!$C30),"")</f>
        <v/>
      </c>
      <c r="J336" s="32">
        <f>IF($A336=1,"CC10","")</f>
        <v/>
      </c>
      <c r="K336" s="32">
        <f>IF($A336=1,"-","")</f>
        <v/>
      </c>
      <c r="L336" s="32">
        <f>IF($A336=1,"خصومات المبيعات والعروض","")</f>
        <v/>
      </c>
      <c r="M336" s="43">
        <f>IF($A336=1,Sales_Daily!$AH30,"")</f>
        <v/>
      </c>
      <c r="N336" s="43">
        <f>IF($A336=1,0,"")</f>
        <v/>
      </c>
      <c r="O336" s="32">
        <f>IF($A336=1,Sales_Daily!$S30,"")</f>
        <v/>
      </c>
      <c r="P336" s="32">
        <f>IF($A336=1,IF(Sales_Daily!$AW30="","",Sales_Daily!$AW30),"")</f>
        <v/>
      </c>
      <c r="Q336" s="32">
        <f>IF($A336=1,Sales_Daily!$AY30,"")</f>
        <v/>
      </c>
      <c r="R336" s="32">
        <f>IF($A336=1,IF(AND($Q336=1,COUNTIFS(COA!$A:$A,$G336,COA!$R:$R,1)=1),1,0),"")</f>
        <v/>
      </c>
      <c r="S336" s="43">
        <f>IF($A336=1,IF($R336=1,N($M336),0),"")</f>
        <v/>
      </c>
      <c r="T336" s="43">
        <f>IF($A336=1,IF($R336=1,N($N336),0),"")</f>
        <v/>
      </c>
      <c r="U336" s="32">
        <f>IF($A336=1,YEAR($D336)*100+MONTH($D336),"")</f>
        <v/>
      </c>
      <c r="V336" s="32">
        <f>IF($A336=1,IF(COUNTIF(COA!$A:$A,$G336)=0,0,INDEX(COA!$H:$H,MATCH($G336,COA!$A:$A,0))),"")</f>
        <v/>
      </c>
      <c r="W336" s="32">
        <f>IF($A336=1,"","")</f>
        <v/>
      </c>
      <c r="X336" s="32">
        <f>IF($A336=1,IF($R336=1,"",IF($O336=ST_POST,IF($P336&lt;&gt;"",$P336,"حساب غير صالح أو غير نشط"),IF($O336=ST_REV,"معكوس: لا أثر على الدفاتر",IF($O336=ST_CANC,"ملغى",IF($O336=ST_APPR,"معتمد ولم يُرحَّل","مسودة"))))),"")</f>
        <v/>
      </c>
      <c r="Y336" s="32">
        <f>IF($A336=1,IF(AND($R336=1,OR(LG_Acct="",$G336=LG_Acct),OR(LG_Party="",$K336=LG_Party),OR(LG_Loc="ALL",$I336=LG_Loc),OR(LG_CC="ALL",$J336=LG_CC),$D336&gt;=LG_From,$D336&lt;=LG_To),$D336+ROW()/1000000,""),"")</f>
        <v/>
      </c>
      <c r="Z336" s="32">
        <f>IF($A336=1,IF(Sales_Daily!$T30="","",Sales_Daily!$T30),"")</f>
        <v/>
      </c>
      <c r="AA336" s="32">
        <f>IF($A336=1,IF(Sales_Daily!$U30="","",Sales_Daily!$U30),"")</f>
        <v/>
      </c>
      <c r="AB336" s="32">
        <f>IF($A336=1,IF(Sales_Daily!$V30="","",Sales_Daily!$V30),"")</f>
        <v/>
      </c>
      <c r="AC336" s="32">
        <f>IF($A336=1,IF(Sales_Daily!$W30="","",Sales_Daily!$W30),"")</f>
        <v/>
      </c>
      <c r="AD336" s="32">
        <f>IF($A336=1,IF(Sales_Daily!$X30="","",Sales_Daily!$X30),"")</f>
        <v/>
      </c>
      <c r="AE336" s="32">
        <f>IF($A336=1,0,"")</f>
        <v/>
      </c>
      <c r="AF336" s="32" t="inlineStr"/>
    </row>
    <row r="337">
      <c r="A337" s="32">
        <f>IF(AND(Sales_Daily!$AV30=1,N(Sales_Daily!$AI30)&gt;0),1,0)</f>
        <v/>
      </c>
      <c r="B337" s="32">
        <f>IF($A337=1,$E337&amp;"/8","")</f>
        <v/>
      </c>
      <c r="C337" s="32">
        <f>IF($A337=1,"J-"&amp;Sales_Daily!$A30,"")</f>
        <v/>
      </c>
      <c r="D337" s="33">
        <f>IF($A337=1,Sales_Daily!$B30,"")</f>
        <v/>
      </c>
      <c r="E337" s="32">
        <f>IF($A337=1,IF(Sales_Daily!$A30="","",Sales_Daily!$A30),"")</f>
        <v/>
      </c>
      <c r="F337" s="32">
        <f>IF($A337=1,"SAL","")</f>
        <v/>
      </c>
      <c r="G337" s="32">
        <f>IF($A337=1,ACC_RET,"")</f>
        <v/>
      </c>
      <c r="H337" s="32">
        <f>IF($A337=1,IF(COUNTIF(COA!$A:$A,$G337)=0,"حساب غير معرف",INDEX(COA!$B:$B,MATCH($G337,COA!$A:$A,0))),"")</f>
        <v/>
      </c>
      <c r="I337" s="32">
        <f>IF($A337=1,IF(Sales_Daily!$C30="","",Sales_Daily!$C30),"")</f>
        <v/>
      </c>
      <c r="J337" s="32">
        <f>IF($A337=1,"CC10","")</f>
        <v/>
      </c>
      <c r="K337" s="32">
        <f>IF($A337=1,"-","")</f>
        <v/>
      </c>
      <c r="L337" s="32">
        <f>IF($A337=1,"مرتجعات وإلغاءات المبيعات","")</f>
        <v/>
      </c>
      <c r="M337" s="43">
        <f>IF($A337=1,Sales_Daily!$AI30,"")</f>
        <v/>
      </c>
      <c r="N337" s="43">
        <f>IF($A337=1,0,"")</f>
        <v/>
      </c>
      <c r="O337" s="32">
        <f>IF($A337=1,Sales_Daily!$S30,"")</f>
        <v/>
      </c>
      <c r="P337" s="32">
        <f>IF($A337=1,IF(Sales_Daily!$AW30="","",Sales_Daily!$AW30),"")</f>
        <v/>
      </c>
      <c r="Q337" s="32">
        <f>IF($A337=1,Sales_Daily!$AY30,"")</f>
        <v/>
      </c>
      <c r="R337" s="32">
        <f>IF($A337=1,IF(AND($Q337=1,COUNTIFS(COA!$A:$A,$G337,COA!$R:$R,1)=1),1,0),"")</f>
        <v/>
      </c>
      <c r="S337" s="43">
        <f>IF($A337=1,IF($R337=1,N($M337),0),"")</f>
        <v/>
      </c>
      <c r="T337" s="43">
        <f>IF($A337=1,IF($R337=1,N($N337),0),"")</f>
        <v/>
      </c>
      <c r="U337" s="32">
        <f>IF($A337=1,YEAR($D337)*100+MONTH($D337),"")</f>
        <v/>
      </c>
      <c r="V337" s="32">
        <f>IF($A337=1,IF(COUNTIF(COA!$A:$A,$G337)=0,0,INDEX(COA!$H:$H,MATCH($G337,COA!$A:$A,0))),"")</f>
        <v/>
      </c>
      <c r="W337" s="32">
        <f>IF($A337=1,"","")</f>
        <v/>
      </c>
      <c r="X337" s="32">
        <f>IF($A337=1,IF($R337=1,"",IF($O337=ST_POST,IF($P337&lt;&gt;"",$P337,"حساب غير صالح أو غير نشط"),IF($O337=ST_REV,"معكوس: لا أثر على الدفاتر",IF($O337=ST_CANC,"ملغى",IF($O337=ST_APPR,"معتمد ولم يُرحَّل","مسودة"))))),"")</f>
        <v/>
      </c>
      <c r="Y337" s="32">
        <f>IF($A337=1,IF(AND($R337=1,OR(LG_Acct="",$G337=LG_Acct),OR(LG_Party="",$K337=LG_Party),OR(LG_Loc="ALL",$I337=LG_Loc),OR(LG_CC="ALL",$J337=LG_CC),$D337&gt;=LG_From,$D337&lt;=LG_To),$D337+ROW()/1000000,""),"")</f>
        <v/>
      </c>
      <c r="Z337" s="32">
        <f>IF($A337=1,IF(Sales_Daily!$T30="","",Sales_Daily!$T30),"")</f>
        <v/>
      </c>
      <c r="AA337" s="32">
        <f>IF($A337=1,IF(Sales_Daily!$U30="","",Sales_Daily!$U30),"")</f>
        <v/>
      </c>
      <c r="AB337" s="32">
        <f>IF($A337=1,IF(Sales_Daily!$V30="","",Sales_Daily!$V30),"")</f>
        <v/>
      </c>
      <c r="AC337" s="32">
        <f>IF($A337=1,IF(Sales_Daily!$W30="","",Sales_Daily!$W30),"")</f>
        <v/>
      </c>
      <c r="AD337" s="32">
        <f>IF($A337=1,IF(Sales_Daily!$X30="","",Sales_Daily!$X30),"")</f>
        <v/>
      </c>
      <c r="AE337" s="32">
        <f>IF($A337=1,0,"")</f>
        <v/>
      </c>
      <c r="AF337" s="32" t="inlineStr"/>
    </row>
    <row r="338">
      <c r="A338" s="32">
        <f>IF(AND(Sales_Daily!$AV30=1,N(Sales_Daily!$AD30)&gt;0),1,0)</f>
        <v/>
      </c>
      <c r="B338" s="32">
        <f>IF($A338=1,$E338&amp;"/9","")</f>
        <v/>
      </c>
      <c r="C338" s="32">
        <f>IF($A338=1,"J-"&amp;Sales_Daily!$A30,"")</f>
        <v/>
      </c>
      <c r="D338" s="33">
        <f>IF($A338=1,Sales_Daily!$B30,"")</f>
        <v/>
      </c>
      <c r="E338" s="32">
        <f>IF($A338=1,IF(Sales_Daily!$A30="","",Sales_Daily!$A30),"")</f>
        <v/>
      </c>
      <c r="F338" s="32">
        <f>IF($A338=1,"SAL","")</f>
        <v/>
      </c>
      <c r="G338" s="32">
        <f>IF($A338=1,IF(Sales_Daily!$AQ30="","",Sales_Daily!$AQ30),"")</f>
        <v/>
      </c>
      <c r="H338" s="32">
        <f>IF($A338=1,IF(COUNTIF(COA!$A:$A,$G338)=0,"حساب غير معرف",INDEX(COA!$B:$B,MATCH($G338,COA!$A:$A,0))),"")</f>
        <v/>
      </c>
      <c r="I338" s="32">
        <f>IF($A338=1,IF(Sales_Daily!$C30="","",Sales_Daily!$C30),"")</f>
        <v/>
      </c>
      <c r="J338" s="32">
        <f>IF($A338=1,"CC10","")</f>
        <v/>
      </c>
      <c r="K338" s="32">
        <f>IF($A338=1,"-","")</f>
        <v/>
      </c>
      <c r="L338" s="32">
        <f>IF($A338=1,"إيراد مبيعات - فئة فطير","")</f>
        <v/>
      </c>
      <c r="M338" s="43">
        <f>IF($A338=1,0,"")</f>
        <v/>
      </c>
      <c r="N338" s="43">
        <f>IF($A338=1,Sales_Daily!$AD30,"")</f>
        <v/>
      </c>
      <c r="O338" s="32">
        <f>IF($A338=1,Sales_Daily!$S30,"")</f>
        <v/>
      </c>
      <c r="P338" s="32">
        <f>IF($A338=1,IF(Sales_Daily!$AW30="","",Sales_Daily!$AW30),"")</f>
        <v/>
      </c>
      <c r="Q338" s="32">
        <f>IF($A338=1,Sales_Daily!$AY30,"")</f>
        <v/>
      </c>
      <c r="R338" s="32">
        <f>IF($A338=1,IF(AND($Q338=1,COUNTIFS(COA!$A:$A,$G338,COA!$R:$R,1)=1),1,0),"")</f>
        <v/>
      </c>
      <c r="S338" s="43">
        <f>IF($A338=1,IF($R338=1,N($M338),0),"")</f>
        <v/>
      </c>
      <c r="T338" s="43">
        <f>IF($A338=1,IF($R338=1,N($N338),0),"")</f>
        <v/>
      </c>
      <c r="U338" s="32">
        <f>IF($A338=1,YEAR($D338)*100+MONTH($D338),"")</f>
        <v/>
      </c>
      <c r="V338" s="32">
        <f>IF($A338=1,IF(COUNTIF(COA!$A:$A,$G338)=0,0,INDEX(COA!$H:$H,MATCH($G338,COA!$A:$A,0))),"")</f>
        <v/>
      </c>
      <c r="W338" s="32">
        <f>IF($A338=1,"","")</f>
        <v/>
      </c>
      <c r="X338" s="32">
        <f>IF($A338=1,IF($R338=1,"",IF($O338=ST_POST,IF($P338&lt;&gt;"",$P338,"حساب غير صالح أو غير نشط"),IF($O338=ST_REV,"معكوس: لا أثر على الدفاتر",IF($O338=ST_CANC,"ملغى",IF($O338=ST_APPR,"معتمد ولم يُرحَّل","مسودة"))))),"")</f>
        <v/>
      </c>
      <c r="Y338" s="32">
        <f>IF($A338=1,IF(AND($R338=1,OR(LG_Acct="",$G338=LG_Acct),OR(LG_Party="",$K338=LG_Party),OR(LG_Loc="ALL",$I338=LG_Loc),OR(LG_CC="ALL",$J338=LG_CC),$D338&gt;=LG_From,$D338&lt;=LG_To),$D338+ROW()/1000000,""),"")</f>
        <v/>
      </c>
      <c r="Z338" s="32">
        <f>IF($A338=1,IF(Sales_Daily!$T30="","",Sales_Daily!$T30),"")</f>
        <v/>
      </c>
      <c r="AA338" s="32">
        <f>IF($A338=1,IF(Sales_Daily!$U30="","",Sales_Daily!$U30),"")</f>
        <v/>
      </c>
      <c r="AB338" s="32">
        <f>IF($A338=1,IF(Sales_Daily!$V30="","",Sales_Daily!$V30),"")</f>
        <v/>
      </c>
      <c r="AC338" s="32">
        <f>IF($A338=1,IF(Sales_Daily!$W30="","",Sales_Daily!$W30),"")</f>
        <v/>
      </c>
      <c r="AD338" s="32">
        <f>IF($A338=1,IF(Sales_Daily!$X30="","",Sales_Daily!$X30),"")</f>
        <v/>
      </c>
      <c r="AE338" s="32">
        <f>IF($A338=1,0,"")</f>
        <v/>
      </c>
      <c r="AF338" s="32" t="inlineStr"/>
    </row>
    <row r="339">
      <c r="A339" s="32">
        <f>IF(AND(Sales_Daily!$AV30=1,N(Sales_Daily!$AE30)&gt;0),1,0)</f>
        <v/>
      </c>
      <c r="B339" s="32">
        <f>IF($A339=1,$E339&amp;"/10","")</f>
        <v/>
      </c>
      <c r="C339" s="32">
        <f>IF($A339=1,"J-"&amp;Sales_Daily!$A30,"")</f>
        <v/>
      </c>
      <c r="D339" s="33">
        <f>IF($A339=1,Sales_Daily!$B30,"")</f>
        <v/>
      </c>
      <c r="E339" s="32">
        <f>IF($A339=1,IF(Sales_Daily!$A30="","",Sales_Daily!$A30),"")</f>
        <v/>
      </c>
      <c r="F339" s="32">
        <f>IF($A339=1,"SAL","")</f>
        <v/>
      </c>
      <c r="G339" s="32">
        <f>IF($A339=1,IF(Sales_Daily!$AR30="","",Sales_Daily!$AR30),"")</f>
        <v/>
      </c>
      <c r="H339" s="32">
        <f>IF($A339=1,IF(COUNTIF(COA!$A:$A,$G339)=0,"حساب غير معرف",INDEX(COA!$B:$B,MATCH($G339,COA!$A:$A,0))),"")</f>
        <v/>
      </c>
      <c r="I339" s="32">
        <f>IF($A339=1,IF(Sales_Daily!$C30="","",Sales_Daily!$C30),"")</f>
        <v/>
      </c>
      <c r="J339" s="32">
        <f>IF($A339=1,"CC10","")</f>
        <v/>
      </c>
      <c r="K339" s="32">
        <f>IF($A339=1,"-","")</f>
        <v/>
      </c>
      <c r="L339" s="32">
        <f>IF($A339=1,"إيراد مبيعات - فئة بيتزا","")</f>
        <v/>
      </c>
      <c r="M339" s="43">
        <f>IF($A339=1,0,"")</f>
        <v/>
      </c>
      <c r="N339" s="43">
        <f>IF($A339=1,Sales_Daily!$AE30,"")</f>
        <v/>
      </c>
      <c r="O339" s="32">
        <f>IF($A339=1,Sales_Daily!$S30,"")</f>
        <v/>
      </c>
      <c r="P339" s="32">
        <f>IF($A339=1,IF(Sales_Daily!$AW30="","",Sales_Daily!$AW30),"")</f>
        <v/>
      </c>
      <c r="Q339" s="32">
        <f>IF($A339=1,Sales_Daily!$AY30,"")</f>
        <v/>
      </c>
      <c r="R339" s="32">
        <f>IF($A339=1,IF(AND($Q339=1,COUNTIFS(COA!$A:$A,$G339,COA!$R:$R,1)=1),1,0),"")</f>
        <v/>
      </c>
      <c r="S339" s="43">
        <f>IF($A339=1,IF($R339=1,N($M339),0),"")</f>
        <v/>
      </c>
      <c r="T339" s="43">
        <f>IF($A339=1,IF($R339=1,N($N339),0),"")</f>
        <v/>
      </c>
      <c r="U339" s="32">
        <f>IF($A339=1,YEAR($D339)*100+MONTH($D339),"")</f>
        <v/>
      </c>
      <c r="V339" s="32">
        <f>IF($A339=1,IF(COUNTIF(COA!$A:$A,$G339)=0,0,INDEX(COA!$H:$H,MATCH($G339,COA!$A:$A,0))),"")</f>
        <v/>
      </c>
      <c r="W339" s="32">
        <f>IF($A339=1,"","")</f>
        <v/>
      </c>
      <c r="X339" s="32">
        <f>IF($A339=1,IF($R339=1,"",IF($O339=ST_POST,IF($P339&lt;&gt;"",$P339,"حساب غير صالح أو غير نشط"),IF($O339=ST_REV,"معكوس: لا أثر على الدفاتر",IF($O339=ST_CANC,"ملغى",IF($O339=ST_APPR,"معتمد ولم يُرحَّل","مسودة"))))),"")</f>
        <v/>
      </c>
      <c r="Y339" s="32">
        <f>IF($A339=1,IF(AND($R339=1,OR(LG_Acct="",$G339=LG_Acct),OR(LG_Party="",$K339=LG_Party),OR(LG_Loc="ALL",$I339=LG_Loc),OR(LG_CC="ALL",$J339=LG_CC),$D339&gt;=LG_From,$D339&lt;=LG_To),$D339+ROW()/1000000,""),"")</f>
        <v/>
      </c>
      <c r="Z339" s="32">
        <f>IF($A339=1,IF(Sales_Daily!$T30="","",Sales_Daily!$T30),"")</f>
        <v/>
      </c>
      <c r="AA339" s="32">
        <f>IF($A339=1,IF(Sales_Daily!$U30="","",Sales_Daily!$U30),"")</f>
        <v/>
      </c>
      <c r="AB339" s="32">
        <f>IF($A339=1,IF(Sales_Daily!$V30="","",Sales_Daily!$V30),"")</f>
        <v/>
      </c>
      <c r="AC339" s="32">
        <f>IF($A339=1,IF(Sales_Daily!$W30="","",Sales_Daily!$W30),"")</f>
        <v/>
      </c>
      <c r="AD339" s="32">
        <f>IF($A339=1,IF(Sales_Daily!$X30="","",Sales_Daily!$X30),"")</f>
        <v/>
      </c>
      <c r="AE339" s="32">
        <f>IF($A339=1,0,"")</f>
        <v/>
      </c>
      <c r="AF339" s="32" t="inlineStr"/>
    </row>
    <row r="340">
      <c r="A340" s="32">
        <f>IF(AND(Sales_Daily!$AV30=1,N(Sales_Daily!$AF30)&gt;0),1,0)</f>
        <v/>
      </c>
      <c r="B340" s="32">
        <f>IF($A340=1,$E340&amp;"/11","")</f>
        <v/>
      </c>
      <c r="C340" s="32">
        <f>IF($A340=1,"J-"&amp;Sales_Daily!$A30,"")</f>
        <v/>
      </c>
      <c r="D340" s="33">
        <f>IF($A340=1,Sales_Daily!$B30,"")</f>
        <v/>
      </c>
      <c r="E340" s="32">
        <f>IF($A340=1,IF(Sales_Daily!$A30="","",Sales_Daily!$A30),"")</f>
        <v/>
      </c>
      <c r="F340" s="32">
        <f>IF($A340=1,"SAL","")</f>
        <v/>
      </c>
      <c r="G340" s="32">
        <f>IF($A340=1,IF(Sales_Daily!$AS30="","",Sales_Daily!$AS30),"")</f>
        <v/>
      </c>
      <c r="H340" s="32">
        <f>IF($A340=1,IF(COUNTIF(COA!$A:$A,$G340)=0,"حساب غير معرف",INDEX(COA!$B:$B,MATCH($G340,COA!$A:$A,0))),"")</f>
        <v/>
      </c>
      <c r="I340" s="32">
        <f>IF($A340=1,IF(Sales_Daily!$C30="","",Sales_Daily!$C30),"")</f>
        <v/>
      </c>
      <c r="J340" s="32">
        <f>IF($A340=1,"CC10","")</f>
        <v/>
      </c>
      <c r="K340" s="32">
        <f>IF($A340=1,"-","")</f>
        <v/>
      </c>
      <c r="L340" s="32">
        <f>IF($A340=1,"إيراد مبيعات - فئة مكرونات","")</f>
        <v/>
      </c>
      <c r="M340" s="43">
        <f>IF($A340=1,0,"")</f>
        <v/>
      </c>
      <c r="N340" s="43">
        <f>IF($A340=1,Sales_Daily!$AF30,"")</f>
        <v/>
      </c>
      <c r="O340" s="32">
        <f>IF($A340=1,Sales_Daily!$S30,"")</f>
        <v/>
      </c>
      <c r="P340" s="32">
        <f>IF($A340=1,IF(Sales_Daily!$AW30="","",Sales_Daily!$AW30),"")</f>
        <v/>
      </c>
      <c r="Q340" s="32">
        <f>IF($A340=1,Sales_Daily!$AY30,"")</f>
        <v/>
      </c>
      <c r="R340" s="32">
        <f>IF($A340=1,IF(AND($Q340=1,COUNTIFS(COA!$A:$A,$G340,COA!$R:$R,1)=1),1,0),"")</f>
        <v/>
      </c>
      <c r="S340" s="43">
        <f>IF($A340=1,IF($R340=1,N($M340),0),"")</f>
        <v/>
      </c>
      <c r="T340" s="43">
        <f>IF($A340=1,IF($R340=1,N($N340),0),"")</f>
        <v/>
      </c>
      <c r="U340" s="32">
        <f>IF($A340=1,YEAR($D340)*100+MONTH($D340),"")</f>
        <v/>
      </c>
      <c r="V340" s="32">
        <f>IF($A340=1,IF(COUNTIF(COA!$A:$A,$G340)=0,0,INDEX(COA!$H:$H,MATCH($G340,COA!$A:$A,0))),"")</f>
        <v/>
      </c>
      <c r="W340" s="32">
        <f>IF($A340=1,"","")</f>
        <v/>
      </c>
      <c r="X340" s="32">
        <f>IF($A340=1,IF($R340=1,"",IF($O340=ST_POST,IF($P340&lt;&gt;"",$P340,"حساب غير صالح أو غير نشط"),IF($O340=ST_REV,"معكوس: لا أثر على الدفاتر",IF($O340=ST_CANC,"ملغى",IF($O340=ST_APPR,"معتمد ولم يُرحَّل","مسودة"))))),"")</f>
        <v/>
      </c>
      <c r="Y340" s="32">
        <f>IF($A340=1,IF(AND($R340=1,OR(LG_Acct="",$G340=LG_Acct),OR(LG_Party="",$K340=LG_Party),OR(LG_Loc="ALL",$I340=LG_Loc),OR(LG_CC="ALL",$J340=LG_CC),$D340&gt;=LG_From,$D340&lt;=LG_To),$D340+ROW()/1000000,""),"")</f>
        <v/>
      </c>
      <c r="Z340" s="32">
        <f>IF($A340=1,IF(Sales_Daily!$T30="","",Sales_Daily!$T30),"")</f>
        <v/>
      </c>
      <c r="AA340" s="32">
        <f>IF($A340=1,IF(Sales_Daily!$U30="","",Sales_Daily!$U30),"")</f>
        <v/>
      </c>
      <c r="AB340" s="32">
        <f>IF($A340=1,IF(Sales_Daily!$V30="","",Sales_Daily!$V30),"")</f>
        <v/>
      </c>
      <c r="AC340" s="32">
        <f>IF($A340=1,IF(Sales_Daily!$W30="","",Sales_Daily!$W30),"")</f>
        <v/>
      </c>
      <c r="AD340" s="32">
        <f>IF($A340=1,IF(Sales_Daily!$X30="","",Sales_Daily!$X30),"")</f>
        <v/>
      </c>
      <c r="AE340" s="32">
        <f>IF($A340=1,0,"")</f>
        <v/>
      </c>
      <c r="AF340" s="32" t="inlineStr"/>
    </row>
    <row r="341">
      <c r="A341" s="32">
        <f>IF(AND(Sales_Daily!$AV30=1,N(Sales_Daily!$AG30)&gt;0),1,0)</f>
        <v/>
      </c>
      <c r="B341" s="32">
        <f>IF($A341=1,$E341&amp;"/12","")</f>
        <v/>
      </c>
      <c r="C341" s="32">
        <f>IF($A341=1,"J-"&amp;Sales_Daily!$A30,"")</f>
        <v/>
      </c>
      <c r="D341" s="33">
        <f>IF($A341=1,Sales_Daily!$B30,"")</f>
        <v/>
      </c>
      <c r="E341" s="32">
        <f>IF($A341=1,IF(Sales_Daily!$A30="","",Sales_Daily!$A30),"")</f>
        <v/>
      </c>
      <c r="F341" s="32">
        <f>IF($A341=1,"SAL","")</f>
        <v/>
      </c>
      <c r="G341" s="32">
        <f>IF($A341=1,IF(Sales_Daily!$AT30="","",Sales_Daily!$AT30),"")</f>
        <v/>
      </c>
      <c r="H341" s="32">
        <f>IF($A341=1,IF(COUNTIF(COA!$A:$A,$G341)=0,"حساب غير معرف",INDEX(COA!$B:$B,MATCH($G341,COA!$A:$A,0))),"")</f>
        <v/>
      </c>
      <c r="I341" s="32">
        <f>IF($A341=1,IF(Sales_Daily!$C30="","",Sales_Daily!$C30),"")</f>
        <v/>
      </c>
      <c r="J341" s="32">
        <f>IF($A341=1,"CC10","")</f>
        <v/>
      </c>
      <c r="K341" s="32">
        <f>IF($A341=1,"-","")</f>
        <v/>
      </c>
      <c r="L341" s="32">
        <f>IF($A341=1,"إيراد مبيعات - فئة أخرى","")</f>
        <v/>
      </c>
      <c r="M341" s="43">
        <f>IF($A341=1,0,"")</f>
        <v/>
      </c>
      <c r="N341" s="43">
        <f>IF($A341=1,Sales_Daily!$AG30,"")</f>
        <v/>
      </c>
      <c r="O341" s="32">
        <f>IF($A341=1,Sales_Daily!$S30,"")</f>
        <v/>
      </c>
      <c r="P341" s="32">
        <f>IF($A341=1,IF(Sales_Daily!$AW30="","",Sales_Daily!$AW30),"")</f>
        <v/>
      </c>
      <c r="Q341" s="32">
        <f>IF($A341=1,Sales_Daily!$AY30,"")</f>
        <v/>
      </c>
      <c r="R341" s="32">
        <f>IF($A341=1,IF(AND($Q341=1,COUNTIFS(COA!$A:$A,$G341,COA!$R:$R,1)=1),1,0),"")</f>
        <v/>
      </c>
      <c r="S341" s="43">
        <f>IF($A341=1,IF($R341=1,N($M341),0),"")</f>
        <v/>
      </c>
      <c r="T341" s="43">
        <f>IF($A341=1,IF($R341=1,N($N341),0),"")</f>
        <v/>
      </c>
      <c r="U341" s="32">
        <f>IF($A341=1,YEAR($D341)*100+MONTH($D341),"")</f>
        <v/>
      </c>
      <c r="V341" s="32">
        <f>IF($A341=1,IF(COUNTIF(COA!$A:$A,$G341)=0,0,INDEX(COA!$H:$H,MATCH($G341,COA!$A:$A,0))),"")</f>
        <v/>
      </c>
      <c r="W341" s="32">
        <f>IF($A341=1,"","")</f>
        <v/>
      </c>
      <c r="X341" s="32">
        <f>IF($A341=1,IF($R341=1,"",IF($O341=ST_POST,IF($P341&lt;&gt;"",$P341,"حساب غير صالح أو غير نشط"),IF($O341=ST_REV,"معكوس: لا أثر على الدفاتر",IF($O341=ST_CANC,"ملغى",IF($O341=ST_APPR,"معتمد ولم يُرحَّل","مسودة"))))),"")</f>
        <v/>
      </c>
      <c r="Y341" s="32">
        <f>IF($A341=1,IF(AND($R341=1,OR(LG_Acct="",$G341=LG_Acct),OR(LG_Party="",$K341=LG_Party),OR(LG_Loc="ALL",$I341=LG_Loc),OR(LG_CC="ALL",$J341=LG_CC),$D341&gt;=LG_From,$D341&lt;=LG_To),$D341+ROW()/1000000,""),"")</f>
        <v/>
      </c>
      <c r="Z341" s="32">
        <f>IF($A341=1,IF(Sales_Daily!$T30="","",Sales_Daily!$T30),"")</f>
        <v/>
      </c>
      <c r="AA341" s="32">
        <f>IF($A341=1,IF(Sales_Daily!$U30="","",Sales_Daily!$U30),"")</f>
        <v/>
      </c>
      <c r="AB341" s="32">
        <f>IF($A341=1,IF(Sales_Daily!$V30="","",Sales_Daily!$V30),"")</f>
        <v/>
      </c>
      <c r="AC341" s="32">
        <f>IF($A341=1,IF(Sales_Daily!$W30="","",Sales_Daily!$W30),"")</f>
        <v/>
      </c>
      <c r="AD341" s="32">
        <f>IF($A341=1,IF(Sales_Daily!$X30="","",Sales_Daily!$X30),"")</f>
        <v/>
      </c>
      <c r="AE341" s="32">
        <f>IF($A341=1,0,"")</f>
        <v/>
      </c>
      <c r="AF341" s="32" t="inlineStr"/>
    </row>
    <row r="342">
      <c r="A342" s="32">
        <f>IF(AND(Sales_Daily!$AV30=1,N(Sales_Daily!$AJ30)&gt;0),1,0)</f>
        <v/>
      </c>
      <c r="B342" s="32">
        <f>IF($A342=1,$E342&amp;"/13","")</f>
        <v/>
      </c>
      <c r="C342" s="32">
        <f>IF($A342=1,"J-"&amp;Sales_Daily!$A30,"")</f>
        <v/>
      </c>
      <c r="D342" s="33">
        <f>IF($A342=1,Sales_Daily!$B30,"")</f>
        <v/>
      </c>
      <c r="E342" s="32">
        <f>IF($A342=1,IF(Sales_Daily!$A30="","",Sales_Daily!$A30),"")</f>
        <v/>
      </c>
      <c r="F342" s="32">
        <f>IF($A342=1,"SAL","")</f>
        <v/>
      </c>
      <c r="G342" s="32">
        <f>IF($A342=1,ACC_VAT_OUT,"")</f>
        <v/>
      </c>
      <c r="H342" s="32">
        <f>IF($A342=1,IF(COUNTIF(COA!$A:$A,$G342)=0,"حساب غير معرف",INDEX(COA!$B:$B,MATCH($G342,COA!$A:$A,0))),"")</f>
        <v/>
      </c>
      <c r="I342" s="32">
        <f>IF($A342=1,IF(Sales_Daily!$C30="","",Sales_Daily!$C30),"")</f>
        <v/>
      </c>
      <c r="J342" s="32">
        <f>IF($A342=1,"CC10","")</f>
        <v/>
      </c>
      <c r="K342" s="32">
        <f>IF($A342=1,"-","")</f>
        <v/>
      </c>
      <c r="L342" s="32">
        <f>IF($A342=1,"ضريبة القيمة المضافة - مخرجات","")</f>
        <v/>
      </c>
      <c r="M342" s="43">
        <f>IF($A342=1,0,"")</f>
        <v/>
      </c>
      <c r="N342" s="43">
        <f>IF($A342=1,Sales_Daily!$AJ30,"")</f>
        <v/>
      </c>
      <c r="O342" s="32">
        <f>IF($A342=1,Sales_Daily!$S30,"")</f>
        <v/>
      </c>
      <c r="P342" s="32">
        <f>IF($A342=1,IF(Sales_Daily!$AW30="","",Sales_Daily!$AW30),"")</f>
        <v/>
      </c>
      <c r="Q342" s="32">
        <f>IF($A342=1,Sales_Daily!$AY30,"")</f>
        <v/>
      </c>
      <c r="R342" s="32">
        <f>IF($A342=1,IF(AND($Q342=1,COUNTIFS(COA!$A:$A,$G342,COA!$R:$R,1)=1),1,0),"")</f>
        <v/>
      </c>
      <c r="S342" s="43">
        <f>IF($A342=1,IF($R342=1,N($M342),0),"")</f>
        <v/>
      </c>
      <c r="T342" s="43">
        <f>IF($A342=1,IF($R342=1,N($N342),0),"")</f>
        <v/>
      </c>
      <c r="U342" s="32">
        <f>IF($A342=1,YEAR($D342)*100+MONTH($D342),"")</f>
        <v/>
      </c>
      <c r="V342" s="32">
        <f>IF($A342=1,IF(COUNTIF(COA!$A:$A,$G342)=0,0,INDEX(COA!$H:$H,MATCH($G342,COA!$A:$A,0))),"")</f>
        <v/>
      </c>
      <c r="W342" s="32">
        <f>IF($A342=1,"","")</f>
        <v/>
      </c>
      <c r="X342" s="32">
        <f>IF($A342=1,IF($R342=1,"",IF($O342=ST_POST,IF($P342&lt;&gt;"",$P342,"حساب غير صالح أو غير نشط"),IF($O342=ST_REV,"معكوس: لا أثر على الدفاتر",IF($O342=ST_CANC,"ملغى",IF($O342=ST_APPR,"معتمد ولم يُرحَّل","مسودة"))))),"")</f>
        <v/>
      </c>
      <c r="Y342" s="32">
        <f>IF($A342=1,IF(AND($R342=1,OR(LG_Acct="",$G342=LG_Acct),OR(LG_Party="",$K342=LG_Party),OR(LG_Loc="ALL",$I342=LG_Loc),OR(LG_CC="ALL",$J342=LG_CC),$D342&gt;=LG_From,$D342&lt;=LG_To),$D342+ROW()/1000000,""),"")</f>
        <v/>
      </c>
      <c r="Z342" s="32">
        <f>IF($A342=1,IF(Sales_Daily!$T30="","",Sales_Daily!$T30),"")</f>
        <v/>
      </c>
      <c r="AA342" s="32">
        <f>IF($A342=1,IF(Sales_Daily!$U30="","",Sales_Daily!$U30),"")</f>
        <v/>
      </c>
      <c r="AB342" s="32">
        <f>IF($A342=1,IF(Sales_Daily!$V30="","",Sales_Daily!$V30),"")</f>
        <v/>
      </c>
      <c r="AC342" s="32">
        <f>IF($A342=1,IF(Sales_Daily!$W30="","",Sales_Daily!$W30),"")</f>
        <v/>
      </c>
      <c r="AD342" s="32">
        <f>IF($A342=1,IF(Sales_Daily!$X30="","",Sales_Daily!$X30),"")</f>
        <v/>
      </c>
      <c r="AE342" s="32">
        <f>IF($A342=1,0,"")</f>
        <v/>
      </c>
      <c r="AF342" s="32" t="inlineStr"/>
    </row>
    <row r="343">
      <c r="A343" s="32">
        <f>IF(AND(Sales_Daily!$AV31=1,N(Sales_Daily!$L31)&gt;0),1,0)</f>
        <v/>
      </c>
      <c r="B343" s="32">
        <f>IF($A343=1,$E343&amp;"/1","")</f>
        <v/>
      </c>
      <c r="C343" s="32">
        <f>IF($A343=1,"J-"&amp;Sales_Daily!$A31,"")</f>
        <v/>
      </c>
      <c r="D343" s="33">
        <f>IF($A343=1,Sales_Daily!$B31,"")</f>
        <v/>
      </c>
      <c r="E343" s="32">
        <f>IF($A343=1,IF(Sales_Daily!$A31="","",Sales_Daily!$A31),"")</f>
        <v/>
      </c>
      <c r="F343" s="32">
        <f>IF($A343=1,"SAL","")</f>
        <v/>
      </c>
      <c r="G343" s="32">
        <f>IF($A343=1,IF(Sales_Daily!$AK31="","",Sales_Daily!$AK31),"")</f>
        <v/>
      </c>
      <c r="H343" s="32">
        <f>IF($A343=1,IF(COUNTIF(COA!$A:$A,$G343)=0,"حساب غير معرف",INDEX(COA!$B:$B,MATCH($G343,COA!$A:$A,0))),"")</f>
        <v/>
      </c>
      <c r="I343" s="32">
        <f>IF($A343=1,IF(Sales_Daily!$C31="","",Sales_Daily!$C31),"")</f>
        <v/>
      </c>
      <c r="J343" s="32">
        <f>IF($A343=1,"CC10","")</f>
        <v/>
      </c>
      <c r="K343" s="32">
        <f>IF($A343=1,"-","")</f>
        <v/>
      </c>
      <c r="L343" s="32">
        <f>IF($A343=1,"مبيعات - تحصيل CASH","")</f>
        <v/>
      </c>
      <c r="M343" s="43">
        <f>IF($A343=1,Sales_Daily!$L31,"")</f>
        <v/>
      </c>
      <c r="N343" s="43">
        <f>IF($A343=1,0,"")</f>
        <v/>
      </c>
      <c r="O343" s="32">
        <f>IF($A343=1,Sales_Daily!$S31,"")</f>
        <v/>
      </c>
      <c r="P343" s="32">
        <f>IF($A343=1,IF(Sales_Daily!$AW31="","",Sales_Daily!$AW31),"")</f>
        <v/>
      </c>
      <c r="Q343" s="32">
        <f>IF($A343=1,Sales_Daily!$AY31,"")</f>
        <v/>
      </c>
      <c r="R343" s="32">
        <f>IF($A343=1,IF(AND($Q343=1,COUNTIFS(COA!$A:$A,$G343,COA!$R:$R,1)=1),1,0),"")</f>
        <v/>
      </c>
      <c r="S343" s="43">
        <f>IF($A343=1,IF($R343=1,N($M343),0),"")</f>
        <v/>
      </c>
      <c r="T343" s="43">
        <f>IF($A343=1,IF($R343=1,N($N343),0),"")</f>
        <v/>
      </c>
      <c r="U343" s="32">
        <f>IF($A343=1,YEAR($D343)*100+MONTH($D343),"")</f>
        <v/>
      </c>
      <c r="V343" s="32">
        <f>IF($A343=1,IF(COUNTIF(COA!$A:$A,$G343)=0,0,INDEX(COA!$H:$H,MATCH($G343,COA!$A:$A,0))),"")</f>
        <v/>
      </c>
      <c r="W343" s="32">
        <f>IF($A343=1,"OPERATING","")</f>
        <v/>
      </c>
      <c r="X343" s="32">
        <f>IF($A343=1,IF($R343=1,"",IF($O343=ST_POST,IF($P343&lt;&gt;"",$P343,"حساب غير صالح أو غير نشط"),IF($O343=ST_REV,"معكوس: لا أثر على الدفاتر",IF($O343=ST_CANC,"ملغى",IF($O343=ST_APPR,"معتمد ولم يُرحَّل","مسودة"))))),"")</f>
        <v/>
      </c>
      <c r="Y343" s="32">
        <f>IF($A343=1,IF(AND($R343=1,OR(LG_Acct="",$G343=LG_Acct),OR(LG_Party="",$K343=LG_Party),OR(LG_Loc="ALL",$I343=LG_Loc),OR(LG_CC="ALL",$J343=LG_CC),$D343&gt;=LG_From,$D343&lt;=LG_To),$D343+ROW()/1000000,""),"")</f>
        <v/>
      </c>
      <c r="Z343" s="32">
        <f>IF($A343=1,IF(Sales_Daily!$T31="","",Sales_Daily!$T31),"")</f>
        <v/>
      </c>
      <c r="AA343" s="32">
        <f>IF($A343=1,IF(Sales_Daily!$U31="","",Sales_Daily!$U31),"")</f>
        <v/>
      </c>
      <c r="AB343" s="32">
        <f>IF($A343=1,IF(Sales_Daily!$V31="","",Sales_Daily!$V31),"")</f>
        <v/>
      </c>
      <c r="AC343" s="32">
        <f>IF($A343=1,IF(Sales_Daily!$W31="","",Sales_Daily!$W31),"")</f>
        <v/>
      </c>
      <c r="AD343" s="32">
        <f>IF($A343=1,IF(Sales_Daily!$X31="","",Sales_Daily!$X31),"")</f>
        <v/>
      </c>
      <c r="AE343" s="32">
        <f>IF($A343=1,0,"")</f>
        <v/>
      </c>
      <c r="AF343" s="32" t="inlineStr"/>
    </row>
    <row r="344">
      <c r="A344" s="32">
        <f>IF(AND(Sales_Daily!$AV31=1,N(Sales_Daily!$M31)&gt;0),1,0)</f>
        <v/>
      </c>
      <c r="B344" s="32">
        <f>IF($A344=1,$E344&amp;"/2","")</f>
        <v/>
      </c>
      <c r="C344" s="32">
        <f>IF($A344=1,"J-"&amp;Sales_Daily!$A31,"")</f>
        <v/>
      </c>
      <c r="D344" s="33">
        <f>IF($A344=1,Sales_Daily!$B31,"")</f>
        <v/>
      </c>
      <c r="E344" s="32">
        <f>IF($A344=1,IF(Sales_Daily!$A31="","",Sales_Daily!$A31),"")</f>
        <v/>
      </c>
      <c r="F344" s="32">
        <f>IF($A344=1,"SAL","")</f>
        <v/>
      </c>
      <c r="G344" s="32">
        <f>IF($A344=1,IF(Sales_Daily!$AL31="","",Sales_Daily!$AL31),"")</f>
        <v/>
      </c>
      <c r="H344" s="32">
        <f>IF($A344=1,IF(COUNTIF(COA!$A:$A,$G344)=0,"حساب غير معرف",INDEX(COA!$B:$B,MATCH($G344,COA!$A:$A,0))),"")</f>
        <v/>
      </c>
      <c r="I344" s="32">
        <f>IF($A344=1,IF(Sales_Daily!$C31="","",Sales_Daily!$C31),"")</f>
        <v/>
      </c>
      <c r="J344" s="32">
        <f>IF($A344=1,"CC10","")</f>
        <v/>
      </c>
      <c r="K344" s="32">
        <f>IF($A344=1,"-","")</f>
        <v/>
      </c>
      <c r="L344" s="32">
        <f>IF($A344=1,"مبيعات - تحصيل CARD","")</f>
        <v/>
      </c>
      <c r="M344" s="43">
        <f>IF($A344=1,Sales_Daily!$M31,"")</f>
        <v/>
      </c>
      <c r="N344" s="43">
        <f>IF($A344=1,0,"")</f>
        <v/>
      </c>
      <c r="O344" s="32">
        <f>IF($A344=1,Sales_Daily!$S31,"")</f>
        <v/>
      </c>
      <c r="P344" s="32">
        <f>IF($A344=1,IF(Sales_Daily!$AW31="","",Sales_Daily!$AW31),"")</f>
        <v/>
      </c>
      <c r="Q344" s="32">
        <f>IF($A344=1,Sales_Daily!$AY31,"")</f>
        <v/>
      </c>
      <c r="R344" s="32">
        <f>IF($A344=1,IF(AND($Q344=1,COUNTIFS(COA!$A:$A,$G344,COA!$R:$R,1)=1),1,0),"")</f>
        <v/>
      </c>
      <c r="S344" s="43">
        <f>IF($A344=1,IF($R344=1,N($M344),0),"")</f>
        <v/>
      </c>
      <c r="T344" s="43">
        <f>IF($A344=1,IF($R344=1,N($N344),0),"")</f>
        <v/>
      </c>
      <c r="U344" s="32">
        <f>IF($A344=1,YEAR($D344)*100+MONTH($D344),"")</f>
        <v/>
      </c>
      <c r="V344" s="32">
        <f>IF($A344=1,IF(COUNTIF(COA!$A:$A,$G344)=0,0,INDEX(COA!$H:$H,MATCH($G344,COA!$A:$A,0))),"")</f>
        <v/>
      </c>
      <c r="W344" s="32">
        <f>IF($A344=1,"OPERATING","")</f>
        <v/>
      </c>
      <c r="X344" s="32">
        <f>IF($A344=1,IF($R344=1,"",IF($O344=ST_POST,IF($P344&lt;&gt;"",$P344,"حساب غير صالح أو غير نشط"),IF($O344=ST_REV,"معكوس: لا أثر على الدفاتر",IF($O344=ST_CANC,"ملغى",IF($O344=ST_APPR,"معتمد ولم يُرحَّل","مسودة"))))),"")</f>
        <v/>
      </c>
      <c r="Y344" s="32">
        <f>IF($A344=1,IF(AND($R344=1,OR(LG_Acct="",$G344=LG_Acct),OR(LG_Party="",$K344=LG_Party),OR(LG_Loc="ALL",$I344=LG_Loc),OR(LG_CC="ALL",$J344=LG_CC),$D344&gt;=LG_From,$D344&lt;=LG_To),$D344+ROW()/1000000,""),"")</f>
        <v/>
      </c>
      <c r="Z344" s="32">
        <f>IF($A344=1,IF(Sales_Daily!$T31="","",Sales_Daily!$T31),"")</f>
        <v/>
      </c>
      <c r="AA344" s="32">
        <f>IF($A344=1,IF(Sales_Daily!$U31="","",Sales_Daily!$U31),"")</f>
        <v/>
      </c>
      <c r="AB344" s="32">
        <f>IF($A344=1,IF(Sales_Daily!$V31="","",Sales_Daily!$V31),"")</f>
        <v/>
      </c>
      <c r="AC344" s="32">
        <f>IF($A344=1,IF(Sales_Daily!$W31="","",Sales_Daily!$W31),"")</f>
        <v/>
      </c>
      <c r="AD344" s="32">
        <f>IF($A344=1,IF(Sales_Daily!$X31="","",Sales_Daily!$X31),"")</f>
        <v/>
      </c>
      <c r="AE344" s="32">
        <f>IF($A344=1,0,"")</f>
        <v/>
      </c>
      <c r="AF344" s="32" t="inlineStr"/>
    </row>
    <row r="345">
      <c r="A345" s="32">
        <f>IF(AND(Sales_Daily!$AV31=1,N(Sales_Daily!$N31)&gt;0),1,0)</f>
        <v/>
      </c>
      <c r="B345" s="32">
        <f>IF($A345=1,$E345&amp;"/3","")</f>
        <v/>
      </c>
      <c r="C345" s="32">
        <f>IF($A345=1,"J-"&amp;Sales_Daily!$A31,"")</f>
        <v/>
      </c>
      <c r="D345" s="33">
        <f>IF($A345=1,Sales_Daily!$B31,"")</f>
        <v/>
      </c>
      <c r="E345" s="32">
        <f>IF($A345=1,IF(Sales_Daily!$A31="","",Sales_Daily!$A31),"")</f>
        <v/>
      </c>
      <c r="F345" s="32">
        <f>IF($A345=1,"SAL","")</f>
        <v/>
      </c>
      <c r="G345" s="32">
        <f>IF($A345=1,IF(Sales_Daily!$AM31="","",Sales_Daily!$AM31),"")</f>
        <v/>
      </c>
      <c r="H345" s="32">
        <f>IF($A345=1,IF(COUNTIF(COA!$A:$A,$G345)=0,"حساب غير معرف",INDEX(COA!$B:$B,MATCH($G345,COA!$A:$A,0))),"")</f>
        <v/>
      </c>
      <c r="I345" s="32">
        <f>IF($A345=1,IF(Sales_Daily!$C31="","",Sales_Daily!$C31),"")</f>
        <v/>
      </c>
      <c r="J345" s="32">
        <f>IF($A345=1,"CC10","")</f>
        <v/>
      </c>
      <c r="K345" s="32">
        <f>IF($A345=1,"-","")</f>
        <v/>
      </c>
      <c r="L345" s="32">
        <f>IF($A345=1,"مبيعات - تحصيل TLB","")</f>
        <v/>
      </c>
      <c r="M345" s="43">
        <f>IF($A345=1,Sales_Daily!$N31,"")</f>
        <v/>
      </c>
      <c r="N345" s="43">
        <f>IF($A345=1,0,"")</f>
        <v/>
      </c>
      <c r="O345" s="32">
        <f>IF($A345=1,Sales_Daily!$S31,"")</f>
        <v/>
      </c>
      <c r="P345" s="32">
        <f>IF($A345=1,IF(Sales_Daily!$AW31="","",Sales_Daily!$AW31),"")</f>
        <v/>
      </c>
      <c r="Q345" s="32">
        <f>IF($A345=1,Sales_Daily!$AY31,"")</f>
        <v/>
      </c>
      <c r="R345" s="32">
        <f>IF($A345=1,IF(AND($Q345=1,COUNTIFS(COA!$A:$A,$G345,COA!$R:$R,1)=1),1,0),"")</f>
        <v/>
      </c>
      <c r="S345" s="43">
        <f>IF($A345=1,IF($R345=1,N($M345),0),"")</f>
        <v/>
      </c>
      <c r="T345" s="43">
        <f>IF($A345=1,IF($R345=1,N($N345),0),"")</f>
        <v/>
      </c>
      <c r="U345" s="32">
        <f>IF($A345=1,YEAR($D345)*100+MONTH($D345),"")</f>
        <v/>
      </c>
      <c r="V345" s="32">
        <f>IF($A345=1,IF(COUNTIF(COA!$A:$A,$G345)=0,0,INDEX(COA!$H:$H,MATCH($G345,COA!$A:$A,0))),"")</f>
        <v/>
      </c>
      <c r="W345" s="32">
        <f>IF($A345=1,"OPERATING","")</f>
        <v/>
      </c>
      <c r="X345" s="32">
        <f>IF($A345=1,IF($R345=1,"",IF($O345=ST_POST,IF($P345&lt;&gt;"",$P345,"حساب غير صالح أو غير نشط"),IF($O345=ST_REV,"معكوس: لا أثر على الدفاتر",IF($O345=ST_CANC,"ملغى",IF($O345=ST_APPR,"معتمد ولم يُرحَّل","مسودة"))))),"")</f>
        <v/>
      </c>
      <c r="Y345" s="32">
        <f>IF($A345=1,IF(AND($R345=1,OR(LG_Acct="",$G345=LG_Acct),OR(LG_Party="",$K345=LG_Party),OR(LG_Loc="ALL",$I345=LG_Loc),OR(LG_CC="ALL",$J345=LG_CC),$D345&gt;=LG_From,$D345&lt;=LG_To),$D345+ROW()/1000000,""),"")</f>
        <v/>
      </c>
      <c r="Z345" s="32">
        <f>IF($A345=1,IF(Sales_Daily!$T31="","",Sales_Daily!$T31),"")</f>
        <v/>
      </c>
      <c r="AA345" s="32">
        <f>IF($A345=1,IF(Sales_Daily!$U31="","",Sales_Daily!$U31),"")</f>
        <v/>
      </c>
      <c r="AB345" s="32">
        <f>IF($A345=1,IF(Sales_Daily!$V31="","",Sales_Daily!$V31),"")</f>
        <v/>
      </c>
      <c r="AC345" s="32">
        <f>IF($A345=1,IF(Sales_Daily!$W31="","",Sales_Daily!$W31),"")</f>
        <v/>
      </c>
      <c r="AD345" s="32">
        <f>IF($A345=1,IF(Sales_Daily!$X31="","",Sales_Daily!$X31),"")</f>
        <v/>
      </c>
      <c r="AE345" s="32">
        <f>IF($A345=1,0,"")</f>
        <v/>
      </c>
      <c r="AF345" s="32" t="inlineStr"/>
    </row>
    <row r="346">
      <c r="A346" s="32">
        <f>IF(AND(Sales_Daily!$AV31=1,N(Sales_Daily!$O31)&gt;0),1,0)</f>
        <v/>
      </c>
      <c r="B346" s="32">
        <f>IF($A346=1,$E346&amp;"/4","")</f>
        <v/>
      </c>
      <c r="C346" s="32">
        <f>IF($A346=1,"J-"&amp;Sales_Daily!$A31,"")</f>
        <v/>
      </c>
      <c r="D346" s="33">
        <f>IF($A346=1,Sales_Daily!$B31,"")</f>
        <v/>
      </c>
      <c r="E346" s="32">
        <f>IF($A346=1,IF(Sales_Daily!$A31="","",Sales_Daily!$A31),"")</f>
        <v/>
      </c>
      <c r="F346" s="32">
        <f>IF($A346=1,"SAL","")</f>
        <v/>
      </c>
      <c r="G346" s="32">
        <f>IF($A346=1,IF(Sales_Daily!$AN31="","",Sales_Daily!$AN31),"")</f>
        <v/>
      </c>
      <c r="H346" s="32">
        <f>IF($A346=1,IF(COUNTIF(COA!$A:$A,$G346)=0,"حساب غير معرف",INDEX(COA!$B:$B,MATCH($G346,COA!$A:$A,0))),"")</f>
        <v/>
      </c>
      <c r="I346" s="32">
        <f>IF($A346=1,IF(Sales_Daily!$C31="","",Sales_Daily!$C31),"")</f>
        <v/>
      </c>
      <c r="J346" s="32">
        <f>IF($A346=1,"CC10","")</f>
        <v/>
      </c>
      <c r="K346" s="32">
        <f>IF($A346=1,"-","")</f>
        <v/>
      </c>
      <c r="L346" s="32">
        <f>IF($A346=1,"مبيعات - تحصيل DLV2","")</f>
        <v/>
      </c>
      <c r="M346" s="43">
        <f>IF($A346=1,Sales_Daily!$O31,"")</f>
        <v/>
      </c>
      <c r="N346" s="43">
        <f>IF($A346=1,0,"")</f>
        <v/>
      </c>
      <c r="O346" s="32">
        <f>IF($A346=1,Sales_Daily!$S31,"")</f>
        <v/>
      </c>
      <c r="P346" s="32">
        <f>IF($A346=1,IF(Sales_Daily!$AW31="","",Sales_Daily!$AW31),"")</f>
        <v/>
      </c>
      <c r="Q346" s="32">
        <f>IF($A346=1,Sales_Daily!$AY31,"")</f>
        <v/>
      </c>
      <c r="R346" s="32">
        <f>IF($A346=1,IF(AND($Q346=1,COUNTIFS(COA!$A:$A,$G346,COA!$R:$R,1)=1),1,0),"")</f>
        <v/>
      </c>
      <c r="S346" s="43">
        <f>IF($A346=1,IF($R346=1,N($M346),0),"")</f>
        <v/>
      </c>
      <c r="T346" s="43">
        <f>IF($A346=1,IF($R346=1,N($N346),0),"")</f>
        <v/>
      </c>
      <c r="U346" s="32">
        <f>IF($A346=1,YEAR($D346)*100+MONTH($D346),"")</f>
        <v/>
      </c>
      <c r="V346" s="32">
        <f>IF($A346=1,IF(COUNTIF(COA!$A:$A,$G346)=0,0,INDEX(COA!$H:$H,MATCH($G346,COA!$A:$A,0))),"")</f>
        <v/>
      </c>
      <c r="W346" s="32">
        <f>IF($A346=1,"OPERATING","")</f>
        <v/>
      </c>
      <c r="X346" s="32">
        <f>IF($A346=1,IF($R346=1,"",IF($O346=ST_POST,IF($P346&lt;&gt;"",$P346,"حساب غير صالح أو غير نشط"),IF($O346=ST_REV,"معكوس: لا أثر على الدفاتر",IF($O346=ST_CANC,"ملغى",IF($O346=ST_APPR,"معتمد ولم يُرحَّل","مسودة"))))),"")</f>
        <v/>
      </c>
      <c r="Y346" s="32">
        <f>IF($A346=1,IF(AND($R346=1,OR(LG_Acct="",$G346=LG_Acct),OR(LG_Party="",$K346=LG_Party),OR(LG_Loc="ALL",$I346=LG_Loc),OR(LG_CC="ALL",$J346=LG_CC),$D346&gt;=LG_From,$D346&lt;=LG_To),$D346+ROW()/1000000,""),"")</f>
        <v/>
      </c>
      <c r="Z346" s="32">
        <f>IF($A346=1,IF(Sales_Daily!$T31="","",Sales_Daily!$T31),"")</f>
        <v/>
      </c>
      <c r="AA346" s="32">
        <f>IF($A346=1,IF(Sales_Daily!$U31="","",Sales_Daily!$U31),"")</f>
        <v/>
      </c>
      <c r="AB346" s="32">
        <f>IF($A346=1,IF(Sales_Daily!$V31="","",Sales_Daily!$V31),"")</f>
        <v/>
      </c>
      <c r="AC346" s="32">
        <f>IF($A346=1,IF(Sales_Daily!$W31="","",Sales_Daily!$W31),"")</f>
        <v/>
      </c>
      <c r="AD346" s="32">
        <f>IF($A346=1,IF(Sales_Daily!$X31="","",Sales_Daily!$X31),"")</f>
        <v/>
      </c>
      <c r="AE346" s="32">
        <f>IF($A346=1,0,"")</f>
        <v/>
      </c>
      <c r="AF346" s="32" t="inlineStr"/>
    </row>
    <row r="347">
      <c r="A347" s="32">
        <f>IF(AND(Sales_Daily!$AV31=1,N(Sales_Daily!$P31)&gt;0),1,0)</f>
        <v/>
      </c>
      <c r="B347" s="32">
        <f>IF($A347=1,$E347&amp;"/5","")</f>
        <v/>
      </c>
      <c r="C347" s="32">
        <f>IF($A347=1,"J-"&amp;Sales_Daily!$A31,"")</f>
        <v/>
      </c>
      <c r="D347" s="33">
        <f>IF($A347=1,Sales_Daily!$B31,"")</f>
        <v/>
      </c>
      <c r="E347" s="32">
        <f>IF($A347=1,IF(Sales_Daily!$A31="","",Sales_Daily!$A31),"")</f>
        <v/>
      </c>
      <c r="F347" s="32">
        <f>IF($A347=1,"SAL","")</f>
        <v/>
      </c>
      <c r="G347" s="32">
        <f>IF($A347=1,IF(Sales_Daily!$AO31="","",Sales_Daily!$AO31),"")</f>
        <v/>
      </c>
      <c r="H347" s="32">
        <f>IF($A347=1,IF(COUNTIF(COA!$A:$A,$G347)=0,"حساب غير معرف",INDEX(COA!$B:$B,MATCH($G347,COA!$A:$A,0))),"")</f>
        <v/>
      </c>
      <c r="I347" s="32">
        <f>IF($A347=1,IF(Sales_Daily!$C31="","",Sales_Daily!$C31),"")</f>
        <v/>
      </c>
      <c r="J347" s="32">
        <f>IF($A347=1,"CC10","")</f>
        <v/>
      </c>
      <c r="K347" s="32">
        <f>IF($A347=1,"-","")</f>
        <v/>
      </c>
      <c r="L347" s="32">
        <f>IF($A347=1,"مبيعات - تحصيل INSTA","")</f>
        <v/>
      </c>
      <c r="M347" s="43">
        <f>IF($A347=1,Sales_Daily!$P31,"")</f>
        <v/>
      </c>
      <c r="N347" s="43">
        <f>IF($A347=1,0,"")</f>
        <v/>
      </c>
      <c r="O347" s="32">
        <f>IF($A347=1,Sales_Daily!$S31,"")</f>
        <v/>
      </c>
      <c r="P347" s="32">
        <f>IF($A347=1,IF(Sales_Daily!$AW31="","",Sales_Daily!$AW31),"")</f>
        <v/>
      </c>
      <c r="Q347" s="32">
        <f>IF($A347=1,Sales_Daily!$AY31,"")</f>
        <v/>
      </c>
      <c r="R347" s="32">
        <f>IF($A347=1,IF(AND($Q347=1,COUNTIFS(COA!$A:$A,$G347,COA!$R:$R,1)=1),1,0),"")</f>
        <v/>
      </c>
      <c r="S347" s="43">
        <f>IF($A347=1,IF($R347=1,N($M347),0),"")</f>
        <v/>
      </c>
      <c r="T347" s="43">
        <f>IF($A347=1,IF($R347=1,N($N347),0),"")</f>
        <v/>
      </c>
      <c r="U347" s="32">
        <f>IF($A347=1,YEAR($D347)*100+MONTH($D347),"")</f>
        <v/>
      </c>
      <c r="V347" s="32">
        <f>IF($A347=1,IF(COUNTIF(COA!$A:$A,$G347)=0,0,INDEX(COA!$H:$H,MATCH($G347,COA!$A:$A,0))),"")</f>
        <v/>
      </c>
      <c r="W347" s="32">
        <f>IF($A347=1,"OPERATING","")</f>
        <v/>
      </c>
      <c r="X347" s="32">
        <f>IF($A347=1,IF($R347=1,"",IF($O347=ST_POST,IF($P347&lt;&gt;"",$P347,"حساب غير صالح أو غير نشط"),IF($O347=ST_REV,"معكوس: لا أثر على الدفاتر",IF($O347=ST_CANC,"ملغى",IF($O347=ST_APPR,"معتمد ولم يُرحَّل","مسودة"))))),"")</f>
        <v/>
      </c>
      <c r="Y347" s="32">
        <f>IF($A347=1,IF(AND($R347=1,OR(LG_Acct="",$G347=LG_Acct),OR(LG_Party="",$K347=LG_Party),OR(LG_Loc="ALL",$I347=LG_Loc),OR(LG_CC="ALL",$J347=LG_CC),$D347&gt;=LG_From,$D347&lt;=LG_To),$D347+ROW()/1000000,""),"")</f>
        <v/>
      </c>
      <c r="Z347" s="32">
        <f>IF($A347=1,IF(Sales_Daily!$T31="","",Sales_Daily!$T31),"")</f>
        <v/>
      </c>
      <c r="AA347" s="32">
        <f>IF($A347=1,IF(Sales_Daily!$U31="","",Sales_Daily!$U31),"")</f>
        <v/>
      </c>
      <c r="AB347" s="32">
        <f>IF($A347=1,IF(Sales_Daily!$V31="","",Sales_Daily!$V31),"")</f>
        <v/>
      </c>
      <c r="AC347" s="32">
        <f>IF($A347=1,IF(Sales_Daily!$W31="","",Sales_Daily!$W31),"")</f>
        <v/>
      </c>
      <c r="AD347" s="32">
        <f>IF($A347=1,IF(Sales_Daily!$X31="","",Sales_Daily!$X31),"")</f>
        <v/>
      </c>
      <c r="AE347" s="32">
        <f>IF($A347=1,0,"")</f>
        <v/>
      </c>
      <c r="AF347" s="32" t="inlineStr"/>
    </row>
    <row r="348">
      <c r="A348" s="32">
        <f>IF(AND(Sales_Daily!$AV31=1,N(Sales_Daily!$Q31)&gt;0),1,0)</f>
        <v/>
      </c>
      <c r="B348" s="32">
        <f>IF($A348=1,$E348&amp;"/6","")</f>
        <v/>
      </c>
      <c r="C348" s="32">
        <f>IF($A348=1,"J-"&amp;Sales_Daily!$A31,"")</f>
        <v/>
      </c>
      <c r="D348" s="33">
        <f>IF($A348=1,Sales_Daily!$B31,"")</f>
        <v/>
      </c>
      <c r="E348" s="32">
        <f>IF($A348=1,IF(Sales_Daily!$A31="","",Sales_Daily!$A31),"")</f>
        <v/>
      </c>
      <c r="F348" s="32">
        <f>IF($A348=1,"SAL","")</f>
        <v/>
      </c>
      <c r="G348" s="32">
        <f>IF($A348=1,IF(Sales_Daily!$AP31="","",Sales_Daily!$AP31),"")</f>
        <v/>
      </c>
      <c r="H348" s="32">
        <f>IF($A348=1,IF(COUNTIF(COA!$A:$A,$G348)=0,"حساب غير معرف",INDEX(COA!$B:$B,MATCH($G348,COA!$A:$A,0))),"")</f>
        <v/>
      </c>
      <c r="I348" s="32">
        <f>IF($A348=1,IF(Sales_Daily!$C31="","",Sales_Daily!$C31),"")</f>
        <v/>
      </c>
      <c r="J348" s="32">
        <f>IF($A348=1,"CC10","")</f>
        <v/>
      </c>
      <c r="K348" s="32">
        <f>IF($A348=1,"-","")</f>
        <v/>
      </c>
      <c r="L348" s="32">
        <f>IF($A348=1,"مبيعات - تحصيل OTH","")</f>
        <v/>
      </c>
      <c r="M348" s="43">
        <f>IF($A348=1,Sales_Daily!$Q31,"")</f>
        <v/>
      </c>
      <c r="N348" s="43">
        <f>IF($A348=1,0,"")</f>
        <v/>
      </c>
      <c r="O348" s="32">
        <f>IF($A348=1,Sales_Daily!$S31,"")</f>
        <v/>
      </c>
      <c r="P348" s="32">
        <f>IF($A348=1,IF(Sales_Daily!$AW31="","",Sales_Daily!$AW31),"")</f>
        <v/>
      </c>
      <c r="Q348" s="32">
        <f>IF($A348=1,Sales_Daily!$AY31,"")</f>
        <v/>
      </c>
      <c r="R348" s="32">
        <f>IF($A348=1,IF(AND($Q348=1,COUNTIFS(COA!$A:$A,$G348,COA!$R:$R,1)=1),1,0),"")</f>
        <v/>
      </c>
      <c r="S348" s="43">
        <f>IF($A348=1,IF($R348=1,N($M348),0),"")</f>
        <v/>
      </c>
      <c r="T348" s="43">
        <f>IF($A348=1,IF($R348=1,N($N348),0),"")</f>
        <v/>
      </c>
      <c r="U348" s="32">
        <f>IF($A348=1,YEAR($D348)*100+MONTH($D348),"")</f>
        <v/>
      </c>
      <c r="V348" s="32">
        <f>IF($A348=1,IF(COUNTIF(COA!$A:$A,$G348)=0,0,INDEX(COA!$H:$H,MATCH($G348,COA!$A:$A,0))),"")</f>
        <v/>
      </c>
      <c r="W348" s="32">
        <f>IF($A348=1,"OPERATING","")</f>
        <v/>
      </c>
      <c r="X348" s="32">
        <f>IF($A348=1,IF($R348=1,"",IF($O348=ST_POST,IF($P348&lt;&gt;"",$P348,"حساب غير صالح أو غير نشط"),IF($O348=ST_REV,"معكوس: لا أثر على الدفاتر",IF($O348=ST_CANC,"ملغى",IF($O348=ST_APPR,"معتمد ولم يُرحَّل","مسودة"))))),"")</f>
        <v/>
      </c>
      <c r="Y348" s="32">
        <f>IF($A348=1,IF(AND($R348=1,OR(LG_Acct="",$G348=LG_Acct),OR(LG_Party="",$K348=LG_Party),OR(LG_Loc="ALL",$I348=LG_Loc),OR(LG_CC="ALL",$J348=LG_CC),$D348&gt;=LG_From,$D348&lt;=LG_To),$D348+ROW()/1000000,""),"")</f>
        <v/>
      </c>
      <c r="Z348" s="32">
        <f>IF($A348=1,IF(Sales_Daily!$T31="","",Sales_Daily!$T31),"")</f>
        <v/>
      </c>
      <c r="AA348" s="32">
        <f>IF($A348=1,IF(Sales_Daily!$U31="","",Sales_Daily!$U31),"")</f>
        <v/>
      </c>
      <c r="AB348" s="32">
        <f>IF($A348=1,IF(Sales_Daily!$V31="","",Sales_Daily!$V31),"")</f>
        <v/>
      </c>
      <c r="AC348" s="32">
        <f>IF($A348=1,IF(Sales_Daily!$W31="","",Sales_Daily!$W31),"")</f>
        <v/>
      </c>
      <c r="AD348" s="32">
        <f>IF($A348=1,IF(Sales_Daily!$X31="","",Sales_Daily!$X31),"")</f>
        <v/>
      </c>
      <c r="AE348" s="32">
        <f>IF($A348=1,0,"")</f>
        <v/>
      </c>
      <c r="AF348" s="32" t="inlineStr"/>
    </row>
    <row r="349">
      <c r="A349" s="32">
        <f>IF(AND(Sales_Daily!$AV31=1,N(Sales_Daily!$AH31)&gt;0),1,0)</f>
        <v/>
      </c>
      <c r="B349" s="32">
        <f>IF($A349=1,$E349&amp;"/7","")</f>
        <v/>
      </c>
      <c r="C349" s="32">
        <f>IF($A349=1,"J-"&amp;Sales_Daily!$A31,"")</f>
        <v/>
      </c>
      <c r="D349" s="33">
        <f>IF($A349=1,Sales_Daily!$B31,"")</f>
        <v/>
      </c>
      <c r="E349" s="32">
        <f>IF($A349=1,IF(Sales_Daily!$A31="","",Sales_Daily!$A31),"")</f>
        <v/>
      </c>
      <c r="F349" s="32">
        <f>IF($A349=1,"SAL","")</f>
        <v/>
      </c>
      <c r="G349" s="32">
        <f>IF($A349=1,ACC_DISC,"")</f>
        <v/>
      </c>
      <c r="H349" s="32">
        <f>IF($A349=1,IF(COUNTIF(COA!$A:$A,$G349)=0,"حساب غير معرف",INDEX(COA!$B:$B,MATCH($G349,COA!$A:$A,0))),"")</f>
        <v/>
      </c>
      <c r="I349" s="32">
        <f>IF($A349=1,IF(Sales_Daily!$C31="","",Sales_Daily!$C31),"")</f>
        <v/>
      </c>
      <c r="J349" s="32">
        <f>IF($A349=1,"CC10","")</f>
        <v/>
      </c>
      <c r="K349" s="32">
        <f>IF($A349=1,"-","")</f>
        <v/>
      </c>
      <c r="L349" s="32">
        <f>IF($A349=1,"خصومات المبيعات والعروض","")</f>
        <v/>
      </c>
      <c r="M349" s="43">
        <f>IF($A349=1,Sales_Daily!$AH31,"")</f>
        <v/>
      </c>
      <c r="N349" s="43">
        <f>IF($A349=1,0,"")</f>
        <v/>
      </c>
      <c r="O349" s="32">
        <f>IF($A349=1,Sales_Daily!$S31,"")</f>
        <v/>
      </c>
      <c r="P349" s="32">
        <f>IF($A349=1,IF(Sales_Daily!$AW31="","",Sales_Daily!$AW31),"")</f>
        <v/>
      </c>
      <c r="Q349" s="32">
        <f>IF($A349=1,Sales_Daily!$AY31,"")</f>
        <v/>
      </c>
      <c r="R349" s="32">
        <f>IF($A349=1,IF(AND($Q349=1,COUNTIFS(COA!$A:$A,$G349,COA!$R:$R,1)=1),1,0),"")</f>
        <v/>
      </c>
      <c r="S349" s="43">
        <f>IF($A349=1,IF($R349=1,N($M349),0),"")</f>
        <v/>
      </c>
      <c r="T349" s="43">
        <f>IF($A349=1,IF($R349=1,N($N349),0),"")</f>
        <v/>
      </c>
      <c r="U349" s="32">
        <f>IF($A349=1,YEAR($D349)*100+MONTH($D349),"")</f>
        <v/>
      </c>
      <c r="V349" s="32">
        <f>IF($A349=1,IF(COUNTIF(COA!$A:$A,$G349)=0,0,INDEX(COA!$H:$H,MATCH($G349,COA!$A:$A,0))),"")</f>
        <v/>
      </c>
      <c r="W349" s="32">
        <f>IF($A349=1,"","")</f>
        <v/>
      </c>
      <c r="X349" s="32">
        <f>IF($A349=1,IF($R349=1,"",IF($O349=ST_POST,IF($P349&lt;&gt;"",$P349,"حساب غير صالح أو غير نشط"),IF($O349=ST_REV,"معكوس: لا أثر على الدفاتر",IF($O349=ST_CANC,"ملغى",IF($O349=ST_APPR,"معتمد ولم يُرحَّل","مسودة"))))),"")</f>
        <v/>
      </c>
      <c r="Y349" s="32">
        <f>IF($A349=1,IF(AND($R349=1,OR(LG_Acct="",$G349=LG_Acct),OR(LG_Party="",$K349=LG_Party),OR(LG_Loc="ALL",$I349=LG_Loc),OR(LG_CC="ALL",$J349=LG_CC),$D349&gt;=LG_From,$D349&lt;=LG_To),$D349+ROW()/1000000,""),"")</f>
        <v/>
      </c>
      <c r="Z349" s="32">
        <f>IF($A349=1,IF(Sales_Daily!$T31="","",Sales_Daily!$T31),"")</f>
        <v/>
      </c>
      <c r="AA349" s="32">
        <f>IF($A349=1,IF(Sales_Daily!$U31="","",Sales_Daily!$U31),"")</f>
        <v/>
      </c>
      <c r="AB349" s="32">
        <f>IF($A349=1,IF(Sales_Daily!$V31="","",Sales_Daily!$V31),"")</f>
        <v/>
      </c>
      <c r="AC349" s="32">
        <f>IF($A349=1,IF(Sales_Daily!$W31="","",Sales_Daily!$W31),"")</f>
        <v/>
      </c>
      <c r="AD349" s="32">
        <f>IF($A349=1,IF(Sales_Daily!$X31="","",Sales_Daily!$X31),"")</f>
        <v/>
      </c>
      <c r="AE349" s="32">
        <f>IF($A349=1,0,"")</f>
        <v/>
      </c>
      <c r="AF349" s="32" t="inlineStr"/>
    </row>
    <row r="350">
      <c r="A350" s="32">
        <f>IF(AND(Sales_Daily!$AV31=1,N(Sales_Daily!$AI31)&gt;0),1,0)</f>
        <v/>
      </c>
      <c r="B350" s="32">
        <f>IF($A350=1,$E350&amp;"/8","")</f>
        <v/>
      </c>
      <c r="C350" s="32">
        <f>IF($A350=1,"J-"&amp;Sales_Daily!$A31,"")</f>
        <v/>
      </c>
      <c r="D350" s="33">
        <f>IF($A350=1,Sales_Daily!$B31,"")</f>
        <v/>
      </c>
      <c r="E350" s="32">
        <f>IF($A350=1,IF(Sales_Daily!$A31="","",Sales_Daily!$A31),"")</f>
        <v/>
      </c>
      <c r="F350" s="32">
        <f>IF($A350=1,"SAL","")</f>
        <v/>
      </c>
      <c r="G350" s="32">
        <f>IF($A350=1,ACC_RET,"")</f>
        <v/>
      </c>
      <c r="H350" s="32">
        <f>IF($A350=1,IF(COUNTIF(COA!$A:$A,$G350)=0,"حساب غير معرف",INDEX(COA!$B:$B,MATCH($G350,COA!$A:$A,0))),"")</f>
        <v/>
      </c>
      <c r="I350" s="32">
        <f>IF($A350=1,IF(Sales_Daily!$C31="","",Sales_Daily!$C31),"")</f>
        <v/>
      </c>
      <c r="J350" s="32">
        <f>IF($A350=1,"CC10","")</f>
        <v/>
      </c>
      <c r="K350" s="32">
        <f>IF($A350=1,"-","")</f>
        <v/>
      </c>
      <c r="L350" s="32">
        <f>IF($A350=1,"مرتجعات وإلغاءات المبيعات","")</f>
        <v/>
      </c>
      <c r="M350" s="43">
        <f>IF($A350=1,Sales_Daily!$AI31,"")</f>
        <v/>
      </c>
      <c r="N350" s="43">
        <f>IF($A350=1,0,"")</f>
        <v/>
      </c>
      <c r="O350" s="32">
        <f>IF($A350=1,Sales_Daily!$S31,"")</f>
        <v/>
      </c>
      <c r="P350" s="32">
        <f>IF($A350=1,IF(Sales_Daily!$AW31="","",Sales_Daily!$AW31),"")</f>
        <v/>
      </c>
      <c r="Q350" s="32">
        <f>IF($A350=1,Sales_Daily!$AY31,"")</f>
        <v/>
      </c>
      <c r="R350" s="32">
        <f>IF($A350=1,IF(AND($Q350=1,COUNTIFS(COA!$A:$A,$G350,COA!$R:$R,1)=1),1,0),"")</f>
        <v/>
      </c>
      <c r="S350" s="43">
        <f>IF($A350=1,IF($R350=1,N($M350),0),"")</f>
        <v/>
      </c>
      <c r="T350" s="43">
        <f>IF($A350=1,IF($R350=1,N($N350),0),"")</f>
        <v/>
      </c>
      <c r="U350" s="32">
        <f>IF($A350=1,YEAR($D350)*100+MONTH($D350),"")</f>
        <v/>
      </c>
      <c r="V350" s="32">
        <f>IF($A350=1,IF(COUNTIF(COA!$A:$A,$G350)=0,0,INDEX(COA!$H:$H,MATCH($G350,COA!$A:$A,0))),"")</f>
        <v/>
      </c>
      <c r="W350" s="32">
        <f>IF($A350=1,"","")</f>
        <v/>
      </c>
      <c r="X350" s="32">
        <f>IF($A350=1,IF($R350=1,"",IF($O350=ST_POST,IF($P350&lt;&gt;"",$P350,"حساب غير صالح أو غير نشط"),IF($O350=ST_REV,"معكوس: لا أثر على الدفاتر",IF($O350=ST_CANC,"ملغى",IF($O350=ST_APPR,"معتمد ولم يُرحَّل","مسودة"))))),"")</f>
        <v/>
      </c>
      <c r="Y350" s="32">
        <f>IF($A350=1,IF(AND($R350=1,OR(LG_Acct="",$G350=LG_Acct),OR(LG_Party="",$K350=LG_Party),OR(LG_Loc="ALL",$I350=LG_Loc),OR(LG_CC="ALL",$J350=LG_CC),$D350&gt;=LG_From,$D350&lt;=LG_To),$D350+ROW()/1000000,""),"")</f>
        <v/>
      </c>
      <c r="Z350" s="32">
        <f>IF($A350=1,IF(Sales_Daily!$T31="","",Sales_Daily!$T31),"")</f>
        <v/>
      </c>
      <c r="AA350" s="32">
        <f>IF($A350=1,IF(Sales_Daily!$U31="","",Sales_Daily!$U31),"")</f>
        <v/>
      </c>
      <c r="AB350" s="32">
        <f>IF($A350=1,IF(Sales_Daily!$V31="","",Sales_Daily!$V31),"")</f>
        <v/>
      </c>
      <c r="AC350" s="32">
        <f>IF($A350=1,IF(Sales_Daily!$W31="","",Sales_Daily!$W31),"")</f>
        <v/>
      </c>
      <c r="AD350" s="32">
        <f>IF($A350=1,IF(Sales_Daily!$X31="","",Sales_Daily!$X31),"")</f>
        <v/>
      </c>
      <c r="AE350" s="32">
        <f>IF($A350=1,0,"")</f>
        <v/>
      </c>
      <c r="AF350" s="32" t="inlineStr"/>
    </row>
    <row r="351">
      <c r="A351" s="32">
        <f>IF(AND(Sales_Daily!$AV31=1,N(Sales_Daily!$AD31)&gt;0),1,0)</f>
        <v/>
      </c>
      <c r="B351" s="32">
        <f>IF($A351=1,$E351&amp;"/9","")</f>
        <v/>
      </c>
      <c r="C351" s="32">
        <f>IF($A351=1,"J-"&amp;Sales_Daily!$A31,"")</f>
        <v/>
      </c>
      <c r="D351" s="33">
        <f>IF($A351=1,Sales_Daily!$B31,"")</f>
        <v/>
      </c>
      <c r="E351" s="32">
        <f>IF($A351=1,IF(Sales_Daily!$A31="","",Sales_Daily!$A31),"")</f>
        <v/>
      </c>
      <c r="F351" s="32">
        <f>IF($A351=1,"SAL","")</f>
        <v/>
      </c>
      <c r="G351" s="32">
        <f>IF($A351=1,IF(Sales_Daily!$AQ31="","",Sales_Daily!$AQ31),"")</f>
        <v/>
      </c>
      <c r="H351" s="32">
        <f>IF($A351=1,IF(COUNTIF(COA!$A:$A,$G351)=0,"حساب غير معرف",INDEX(COA!$B:$B,MATCH($G351,COA!$A:$A,0))),"")</f>
        <v/>
      </c>
      <c r="I351" s="32">
        <f>IF($A351=1,IF(Sales_Daily!$C31="","",Sales_Daily!$C31),"")</f>
        <v/>
      </c>
      <c r="J351" s="32">
        <f>IF($A351=1,"CC10","")</f>
        <v/>
      </c>
      <c r="K351" s="32">
        <f>IF($A351=1,"-","")</f>
        <v/>
      </c>
      <c r="L351" s="32">
        <f>IF($A351=1,"إيراد مبيعات - فئة فطير","")</f>
        <v/>
      </c>
      <c r="M351" s="43">
        <f>IF($A351=1,0,"")</f>
        <v/>
      </c>
      <c r="N351" s="43">
        <f>IF($A351=1,Sales_Daily!$AD31,"")</f>
        <v/>
      </c>
      <c r="O351" s="32">
        <f>IF($A351=1,Sales_Daily!$S31,"")</f>
        <v/>
      </c>
      <c r="P351" s="32">
        <f>IF($A351=1,IF(Sales_Daily!$AW31="","",Sales_Daily!$AW31),"")</f>
        <v/>
      </c>
      <c r="Q351" s="32">
        <f>IF($A351=1,Sales_Daily!$AY31,"")</f>
        <v/>
      </c>
      <c r="R351" s="32">
        <f>IF($A351=1,IF(AND($Q351=1,COUNTIFS(COA!$A:$A,$G351,COA!$R:$R,1)=1),1,0),"")</f>
        <v/>
      </c>
      <c r="S351" s="43">
        <f>IF($A351=1,IF($R351=1,N($M351),0),"")</f>
        <v/>
      </c>
      <c r="T351" s="43">
        <f>IF($A351=1,IF($R351=1,N($N351),0),"")</f>
        <v/>
      </c>
      <c r="U351" s="32">
        <f>IF($A351=1,YEAR($D351)*100+MONTH($D351),"")</f>
        <v/>
      </c>
      <c r="V351" s="32">
        <f>IF($A351=1,IF(COUNTIF(COA!$A:$A,$G351)=0,0,INDEX(COA!$H:$H,MATCH($G351,COA!$A:$A,0))),"")</f>
        <v/>
      </c>
      <c r="W351" s="32">
        <f>IF($A351=1,"","")</f>
        <v/>
      </c>
      <c r="X351" s="32">
        <f>IF($A351=1,IF($R351=1,"",IF($O351=ST_POST,IF($P351&lt;&gt;"",$P351,"حساب غير صالح أو غير نشط"),IF($O351=ST_REV,"معكوس: لا أثر على الدفاتر",IF($O351=ST_CANC,"ملغى",IF($O351=ST_APPR,"معتمد ولم يُرحَّل","مسودة"))))),"")</f>
        <v/>
      </c>
      <c r="Y351" s="32">
        <f>IF($A351=1,IF(AND($R351=1,OR(LG_Acct="",$G351=LG_Acct),OR(LG_Party="",$K351=LG_Party),OR(LG_Loc="ALL",$I351=LG_Loc),OR(LG_CC="ALL",$J351=LG_CC),$D351&gt;=LG_From,$D351&lt;=LG_To),$D351+ROW()/1000000,""),"")</f>
        <v/>
      </c>
      <c r="Z351" s="32">
        <f>IF($A351=1,IF(Sales_Daily!$T31="","",Sales_Daily!$T31),"")</f>
        <v/>
      </c>
      <c r="AA351" s="32">
        <f>IF($A351=1,IF(Sales_Daily!$U31="","",Sales_Daily!$U31),"")</f>
        <v/>
      </c>
      <c r="AB351" s="32">
        <f>IF($A351=1,IF(Sales_Daily!$V31="","",Sales_Daily!$V31),"")</f>
        <v/>
      </c>
      <c r="AC351" s="32">
        <f>IF($A351=1,IF(Sales_Daily!$W31="","",Sales_Daily!$W31),"")</f>
        <v/>
      </c>
      <c r="AD351" s="32">
        <f>IF($A351=1,IF(Sales_Daily!$X31="","",Sales_Daily!$X31),"")</f>
        <v/>
      </c>
      <c r="AE351" s="32">
        <f>IF($A351=1,0,"")</f>
        <v/>
      </c>
      <c r="AF351" s="32" t="inlineStr"/>
    </row>
    <row r="352">
      <c r="A352" s="32">
        <f>IF(AND(Sales_Daily!$AV31=1,N(Sales_Daily!$AE31)&gt;0),1,0)</f>
        <v/>
      </c>
      <c r="B352" s="32">
        <f>IF($A352=1,$E352&amp;"/10","")</f>
        <v/>
      </c>
      <c r="C352" s="32">
        <f>IF($A352=1,"J-"&amp;Sales_Daily!$A31,"")</f>
        <v/>
      </c>
      <c r="D352" s="33">
        <f>IF($A352=1,Sales_Daily!$B31,"")</f>
        <v/>
      </c>
      <c r="E352" s="32">
        <f>IF($A352=1,IF(Sales_Daily!$A31="","",Sales_Daily!$A31),"")</f>
        <v/>
      </c>
      <c r="F352" s="32">
        <f>IF($A352=1,"SAL","")</f>
        <v/>
      </c>
      <c r="G352" s="32">
        <f>IF($A352=1,IF(Sales_Daily!$AR31="","",Sales_Daily!$AR31),"")</f>
        <v/>
      </c>
      <c r="H352" s="32">
        <f>IF($A352=1,IF(COUNTIF(COA!$A:$A,$G352)=0,"حساب غير معرف",INDEX(COA!$B:$B,MATCH($G352,COA!$A:$A,0))),"")</f>
        <v/>
      </c>
      <c r="I352" s="32">
        <f>IF($A352=1,IF(Sales_Daily!$C31="","",Sales_Daily!$C31),"")</f>
        <v/>
      </c>
      <c r="J352" s="32">
        <f>IF($A352=1,"CC10","")</f>
        <v/>
      </c>
      <c r="K352" s="32">
        <f>IF($A352=1,"-","")</f>
        <v/>
      </c>
      <c r="L352" s="32">
        <f>IF($A352=1,"إيراد مبيعات - فئة بيتزا","")</f>
        <v/>
      </c>
      <c r="M352" s="43">
        <f>IF($A352=1,0,"")</f>
        <v/>
      </c>
      <c r="N352" s="43">
        <f>IF($A352=1,Sales_Daily!$AE31,"")</f>
        <v/>
      </c>
      <c r="O352" s="32">
        <f>IF($A352=1,Sales_Daily!$S31,"")</f>
        <v/>
      </c>
      <c r="P352" s="32">
        <f>IF($A352=1,IF(Sales_Daily!$AW31="","",Sales_Daily!$AW31),"")</f>
        <v/>
      </c>
      <c r="Q352" s="32">
        <f>IF($A352=1,Sales_Daily!$AY31,"")</f>
        <v/>
      </c>
      <c r="R352" s="32">
        <f>IF($A352=1,IF(AND($Q352=1,COUNTIFS(COA!$A:$A,$G352,COA!$R:$R,1)=1),1,0),"")</f>
        <v/>
      </c>
      <c r="S352" s="43">
        <f>IF($A352=1,IF($R352=1,N($M352),0),"")</f>
        <v/>
      </c>
      <c r="T352" s="43">
        <f>IF($A352=1,IF($R352=1,N($N352),0),"")</f>
        <v/>
      </c>
      <c r="U352" s="32">
        <f>IF($A352=1,YEAR($D352)*100+MONTH($D352),"")</f>
        <v/>
      </c>
      <c r="V352" s="32">
        <f>IF($A352=1,IF(COUNTIF(COA!$A:$A,$G352)=0,0,INDEX(COA!$H:$H,MATCH($G352,COA!$A:$A,0))),"")</f>
        <v/>
      </c>
      <c r="W352" s="32">
        <f>IF($A352=1,"","")</f>
        <v/>
      </c>
      <c r="X352" s="32">
        <f>IF($A352=1,IF($R352=1,"",IF($O352=ST_POST,IF($P352&lt;&gt;"",$P352,"حساب غير صالح أو غير نشط"),IF($O352=ST_REV,"معكوس: لا أثر على الدفاتر",IF($O352=ST_CANC,"ملغى",IF($O352=ST_APPR,"معتمد ولم يُرحَّل","مسودة"))))),"")</f>
        <v/>
      </c>
      <c r="Y352" s="32">
        <f>IF($A352=1,IF(AND($R352=1,OR(LG_Acct="",$G352=LG_Acct),OR(LG_Party="",$K352=LG_Party),OR(LG_Loc="ALL",$I352=LG_Loc),OR(LG_CC="ALL",$J352=LG_CC),$D352&gt;=LG_From,$D352&lt;=LG_To),$D352+ROW()/1000000,""),"")</f>
        <v/>
      </c>
      <c r="Z352" s="32">
        <f>IF($A352=1,IF(Sales_Daily!$T31="","",Sales_Daily!$T31),"")</f>
        <v/>
      </c>
      <c r="AA352" s="32">
        <f>IF($A352=1,IF(Sales_Daily!$U31="","",Sales_Daily!$U31),"")</f>
        <v/>
      </c>
      <c r="AB352" s="32">
        <f>IF($A352=1,IF(Sales_Daily!$V31="","",Sales_Daily!$V31),"")</f>
        <v/>
      </c>
      <c r="AC352" s="32">
        <f>IF($A352=1,IF(Sales_Daily!$W31="","",Sales_Daily!$W31),"")</f>
        <v/>
      </c>
      <c r="AD352" s="32">
        <f>IF($A352=1,IF(Sales_Daily!$X31="","",Sales_Daily!$X31),"")</f>
        <v/>
      </c>
      <c r="AE352" s="32">
        <f>IF($A352=1,0,"")</f>
        <v/>
      </c>
      <c r="AF352" s="32" t="inlineStr"/>
    </row>
    <row r="353">
      <c r="A353" s="32">
        <f>IF(AND(Sales_Daily!$AV31=1,N(Sales_Daily!$AF31)&gt;0),1,0)</f>
        <v/>
      </c>
      <c r="B353" s="32">
        <f>IF($A353=1,$E353&amp;"/11","")</f>
        <v/>
      </c>
      <c r="C353" s="32">
        <f>IF($A353=1,"J-"&amp;Sales_Daily!$A31,"")</f>
        <v/>
      </c>
      <c r="D353" s="33">
        <f>IF($A353=1,Sales_Daily!$B31,"")</f>
        <v/>
      </c>
      <c r="E353" s="32">
        <f>IF($A353=1,IF(Sales_Daily!$A31="","",Sales_Daily!$A31),"")</f>
        <v/>
      </c>
      <c r="F353" s="32">
        <f>IF($A353=1,"SAL","")</f>
        <v/>
      </c>
      <c r="G353" s="32">
        <f>IF($A353=1,IF(Sales_Daily!$AS31="","",Sales_Daily!$AS31),"")</f>
        <v/>
      </c>
      <c r="H353" s="32">
        <f>IF($A353=1,IF(COUNTIF(COA!$A:$A,$G353)=0,"حساب غير معرف",INDEX(COA!$B:$B,MATCH($G353,COA!$A:$A,0))),"")</f>
        <v/>
      </c>
      <c r="I353" s="32">
        <f>IF($A353=1,IF(Sales_Daily!$C31="","",Sales_Daily!$C31),"")</f>
        <v/>
      </c>
      <c r="J353" s="32">
        <f>IF($A353=1,"CC10","")</f>
        <v/>
      </c>
      <c r="K353" s="32">
        <f>IF($A353=1,"-","")</f>
        <v/>
      </c>
      <c r="L353" s="32">
        <f>IF($A353=1,"إيراد مبيعات - فئة مكرونات","")</f>
        <v/>
      </c>
      <c r="M353" s="43">
        <f>IF($A353=1,0,"")</f>
        <v/>
      </c>
      <c r="N353" s="43">
        <f>IF($A353=1,Sales_Daily!$AF31,"")</f>
        <v/>
      </c>
      <c r="O353" s="32">
        <f>IF($A353=1,Sales_Daily!$S31,"")</f>
        <v/>
      </c>
      <c r="P353" s="32">
        <f>IF($A353=1,IF(Sales_Daily!$AW31="","",Sales_Daily!$AW31),"")</f>
        <v/>
      </c>
      <c r="Q353" s="32">
        <f>IF($A353=1,Sales_Daily!$AY31,"")</f>
        <v/>
      </c>
      <c r="R353" s="32">
        <f>IF($A353=1,IF(AND($Q353=1,COUNTIFS(COA!$A:$A,$G353,COA!$R:$R,1)=1),1,0),"")</f>
        <v/>
      </c>
      <c r="S353" s="43">
        <f>IF($A353=1,IF($R353=1,N($M353),0),"")</f>
        <v/>
      </c>
      <c r="T353" s="43">
        <f>IF($A353=1,IF($R353=1,N($N353),0),"")</f>
        <v/>
      </c>
      <c r="U353" s="32">
        <f>IF($A353=1,YEAR($D353)*100+MONTH($D353),"")</f>
        <v/>
      </c>
      <c r="V353" s="32">
        <f>IF($A353=1,IF(COUNTIF(COA!$A:$A,$G353)=0,0,INDEX(COA!$H:$H,MATCH($G353,COA!$A:$A,0))),"")</f>
        <v/>
      </c>
      <c r="W353" s="32">
        <f>IF($A353=1,"","")</f>
        <v/>
      </c>
      <c r="X353" s="32">
        <f>IF($A353=1,IF($R353=1,"",IF($O353=ST_POST,IF($P353&lt;&gt;"",$P353,"حساب غير صالح أو غير نشط"),IF($O353=ST_REV,"معكوس: لا أثر على الدفاتر",IF($O353=ST_CANC,"ملغى",IF($O353=ST_APPR,"معتمد ولم يُرحَّل","مسودة"))))),"")</f>
        <v/>
      </c>
      <c r="Y353" s="32">
        <f>IF($A353=1,IF(AND($R353=1,OR(LG_Acct="",$G353=LG_Acct),OR(LG_Party="",$K353=LG_Party),OR(LG_Loc="ALL",$I353=LG_Loc),OR(LG_CC="ALL",$J353=LG_CC),$D353&gt;=LG_From,$D353&lt;=LG_To),$D353+ROW()/1000000,""),"")</f>
        <v/>
      </c>
      <c r="Z353" s="32">
        <f>IF($A353=1,IF(Sales_Daily!$T31="","",Sales_Daily!$T31),"")</f>
        <v/>
      </c>
      <c r="AA353" s="32">
        <f>IF($A353=1,IF(Sales_Daily!$U31="","",Sales_Daily!$U31),"")</f>
        <v/>
      </c>
      <c r="AB353" s="32">
        <f>IF($A353=1,IF(Sales_Daily!$V31="","",Sales_Daily!$V31),"")</f>
        <v/>
      </c>
      <c r="AC353" s="32">
        <f>IF($A353=1,IF(Sales_Daily!$W31="","",Sales_Daily!$W31),"")</f>
        <v/>
      </c>
      <c r="AD353" s="32">
        <f>IF($A353=1,IF(Sales_Daily!$X31="","",Sales_Daily!$X31),"")</f>
        <v/>
      </c>
      <c r="AE353" s="32">
        <f>IF($A353=1,0,"")</f>
        <v/>
      </c>
      <c r="AF353" s="32" t="inlineStr"/>
    </row>
    <row r="354">
      <c r="A354" s="32">
        <f>IF(AND(Sales_Daily!$AV31=1,N(Sales_Daily!$AG31)&gt;0),1,0)</f>
        <v/>
      </c>
      <c r="B354" s="32">
        <f>IF($A354=1,$E354&amp;"/12","")</f>
        <v/>
      </c>
      <c r="C354" s="32">
        <f>IF($A354=1,"J-"&amp;Sales_Daily!$A31,"")</f>
        <v/>
      </c>
      <c r="D354" s="33">
        <f>IF($A354=1,Sales_Daily!$B31,"")</f>
        <v/>
      </c>
      <c r="E354" s="32">
        <f>IF($A354=1,IF(Sales_Daily!$A31="","",Sales_Daily!$A31),"")</f>
        <v/>
      </c>
      <c r="F354" s="32">
        <f>IF($A354=1,"SAL","")</f>
        <v/>
      </c>
      <c r="G354" s="32">
        <f>IF($A354=1,IF(Sales_Daily!$AT31="","",Sales_Daily!$AT31),"")</f>
        <v/>
      </c>
      <c r="H354" s="32">
        <f>IF($A354=1,IF(COUNTIF(COA!$A:$A,$G354)=0,"حساب غير معرف",INDEX(COA!$B:$B,MATCH($G354,COA!$A:$A,0))),"")</f>
        <v/>
      </c>
      <c r="I354" s="32">
        <f>IF($A354=1,IF(Sales_Daily!$C31="","",Sales_Daily!$C31),"")</f>
        <v/>
      </c>
      <c r="J354" s="32">
        <f>IF($A354=1,"CC10","")</f>
        <v/>
      </c>
      <c r="K354" s="32">
        <f>IF($A354=1,"-","")</f>
        <v/>
      </c>
      <c r="L354" s="32">
        <f>IF($A354=1,"إيراد مبيعات - فئة أخرى","")</f>
        <v/>
      </c>
      <c r="M354" s="43">
        <f>IF($A354=1,0,"")</f>
        <v/>
      </c>
      <c r="N354" s="43">
        <f>IF($A354=1,Sales_Daily!$AG31,"")</f>
        <v/>
      </c>
      <c r="O354" s="32">
        <f>IF($A354=1,Sales_Daily!$S31,"")</f>
        <v/>
      </c>
      <c r="P354" s="32">
        <f>IF($A354=1,IF(Sales_Daily!$AW31="","",Sales_Daily!$AW31),"")</f>
        <v/>
      </c>
      <c r="Q354" s="32">
        <f>IF($A354=1,Sales_Daily!$AY31,"")</f>
        <v/>
      </c>
      <c r="R354" s="32">
        <f>IF($A354=1,IF(AND($Q354=1,COUNTIFS(COA!$A:$A,$G354,COA!$R:$R,1)=1),1,0),"")</f>
        <v/>
      </c>
      <c r="S354" s="43">
        <f>IF($A354=1,IF($R354=1,N($M354),0),"")</f>
        <v/>
      </c>
      <c r="T354" s="43">
        <f>IF($A354=1,IF($R354=1,N($N354),0),"")</f>
        <v/>
      </c>
      <c r="U354" s="32">
        <f>IF($A354=1,YEAR($D354)*100+MONTH($D354),"")</f>
        <v/>
      </c>
      <c r="V354" s="32">
        <f>IF($A354=1,IF(COUNTIF(COA!$A:$A,$G354)=0,0,INDEX(COA!$H:$H,MATCH($G354,COA!$A:$A,0))),"")</f>
        <v/>
      </c>
      <c r="W354" s="32">
        <f>IF($A354=1,"","")</f>
        <v/>
      </c>
      <c r="X354" s="32">
        <f>IF($A354=1,IF($R354=1,"",IF($O354=ST_POST,IF($P354&lt;&gt;"",$P354,"حساب غير صالح أو غير نشط"),IF($O354=ST_REV,"معكوس: لا أثر على الدفاتر",IF($O354=ST_CANC,"ملغى",IF($O354=ST_APPR,"معتمد ولم يُرحَّل","مسودة"))))),"")</f>
        <v/>
      </c>
      <c r="Y354" s="32">
        <f>IF($A354=1,IF(AND($R354=1,OR(LG_Acct="",$G354=LG_Acct),OR(LG_Party="",$K354=LG_Party),OR(LG_Loc="ALL",$I354=LG_Loc),OR(LG_CC="ALL",$J354=LG_CC),$D354&gt;=LG_From,$D354&lt;=LG_To),$D354+ROW()/1000000,""),"")</f>
        <v/>
      </c>
      <c r="Z354" s="32">
        <f>IF($A354=1,IF(Sales_Daily!$T31="","",Sales_Daily!$T31),"")</f>
        <v/>
      </c>
      <c r="AA354" s="32">
        <f>IF($A354=1,IF(Sales_Daily!$U31="","",Sales_Daily!$U31),"")</f>
        <v/>
      </c>
      <c r="AB354" s="32">
        <f>IF($A354=1,IF(Sales_Daily!$V31="","",Sales_Daily!$V31),"")</f>
        <v/>
      </c>
      <c r="AC354" s="32">
        <f>IF($A354=1,IF(Sales_Daily!$W31="","",Sales_Daily!$W31),"")</f>
        <v/>
      </c>
      <c r="AD354" s="32">
        <f>IF($A354=1,IF(Sales_Daily!$X31="","",Sales_Daily!$X31),"")</f>
        <v/>
      </c>
      <c r="AE354" s="32">
        <f>IF($A354=1,0,"")</f>
        <v/>
      </c>
      <c r="AF354" s="32" t="inlineStr"/>
    </row>
    <row r="355">
      <c r="A355" s="32">
        <f>IF(AND(Sales_Daily!$AV31=1,N(Sales_Daily!$AJ31)&gt;0),1,0)</f>
        <v/>
      </c>
      <c r="B355" s="32">
        <f>IF($A355=1,$E355&amp;"/13","")</f>
        <v/>
      </c>
      <c r="C355" s="32">
        <f>IF($A355=1,"J-"&amp;Sales_Daily!$A31,"")</f>
        <v/>
      </c>
      <c r="D355" s="33">
        <f>IF($A355=1,Sales_Daily!$B31,"")</f>
        <v/>
      </c>
      <c r="E355" s="32">
        <f>IF($A355=1,IF(Sales_Daily!$A31="","",Sales_Daily!$A31),"")</f>
        <v/>
      </c>
      <c r="F355" s="32">
        <f>IF($A355=1,"SAL","")</f>
        <v/>
      </c>
      <c r="G355" s="32">
        <f>IF($A355=1,ACC_VAT_OUT,"")</f>
        <v/>
      </c>
      <c r="H355" s="32">
        <f>IF($A355=1,IF(COUNTIF(COA!$A:$A,$G355)=0,"حساب غير معرف",INDEX(COA!$B:$B,MATCH($G355,COA!$A:$A,0))),"")</f>
        <v/>
      </c>
      <c r="I355" s="32">
        <f>IF($A355=1,IF(Sales_Daily!$C31="","",Sales_Daily!$C31),"")</f>
        <v/>
      </c>
      <c r="J355" s="32">
        <f>IF($A355=1,"CC10","")</f>
        <v/>
      </c>
      <c r="K355" s="32">
        <f>IF($A355=1,"-","")</f>
        <v/>
      </c>
      <c r="L355" s="32">
        <f>IF($A355=1,"ضريبة القيمة المضافة - مخرجات","")</f>
        <v/>
      </c>
      <c r="M355" s="43">
        <f>IF($A355=1,0,"")</f>
        <v/>
      </c>
      <c r="N355" s="43">
        <f>IF($A355=1,Sales_Daily!$AJ31,"")</f>
        <v/>
      </c>
      <c r="O355" s="32">
        <f>IF($A355=1,Sales_Daily!$S31,"")</f>
        <v/>
      </c>
      <c r="P355" s="32">
        <f>IF($A355=1,IF(Sales_Daily!$AW31="","",Sales_Daily!$AW31),"")</f>
        <v/>
      </c>
      <c r="Q355" s="32">
        <f>IF($A355=1,Sales_Daily!$AY31,"")</f>
        <v/>
      </c>
      <c r="R355" s="32">
        <f>IF($A355=1,IF(AND($Q355=1,COUNTIFS(COA!$A:$A,$G355,COA!$R:$R,1)=1),1,0),"")</f>
        <v/>
      </c>
      <c r="S355" s="43">
        <f>IF($A355=1,IF($R355=1,N($M355),0),"")</f>
        <v/>
      </c>
      <c r="T355" s="43">
        <f>IF($A355=1,IF($R355=1,N($N355),0),"")</f>
        <v/>
      </c>
      <c r="U355" s="32">
        <f>IF($A355=1,YEAR($D355)*100+MONTH($D355),"")</f>
        <v/>
      </c>
      <c r="V355" s="32">
        <f>IF($A355=1,IF(COUNTIF(COA!$A:$A,$G355)=0,0,INDEX(COA!$H:$H,MATCH($G355,COA!$A:$A,0))),"")</f>
        <v/>
      </c>
      <c r="W355" s="32">
        <f>IF($A355=1,"","")</f>
        <v/>
      </c>
      <c r="X355" s="32">
        <f>IF($A355=1,IF($R355=1,"",IF($O355=ST_POST,IF($P355&lt;&gt;"",$P355,"حساب غير صالح أو غير نشط"),IF($O355=ST_REV,"معكوس: لا أثر على الدفاتر",IF($O355=ST_CANC,"ملغى",IF($O355=ST_APPR,"معتمد ولم يُرحَّل","مسودة"))))),"")</f>
        <v/>
      </c>
      <c r="Y355" s="32">
        <f>IF($A355=1,IF(AND($R355=1,OR(LG_Acct="",$G355=LG_Acct),OR(LG_Party="",$K355=LG_Party),OR(LG_Loc="ALL",$I355=LG_Loc),OR(LG_CC="ALL",$J355=LG_CC),$D355&gt;=LG_From,$D355&lt;=LG_To),$D355+ROW()/1000000,""),"")</f>
        <v/>
      </c>
      <c r="Z355" s="32">
        <f>IF($A355=1,IF(Sales_Daily!$T31="","",Sales_Daily!$T31),"")</f>
        <v/>
      </c>
      <c r="AA355" s="32">
        <f>IF($A355=1,IF(Sales_Daily!$U31="","",Sales_Daily!$U31),"")</f>
        <v/>
      </c>
      <c r="AB355" s="32">
        <f>IF($A355=1,IF(Sales_Daily!$V31="","",Sales_Daily!$V31),"")</f>
        <v/>
      </c>
      <c r="AC355" s="32">
        <f>IF($A355=1,IF(Sales_Daily!$W31="","",Sales_Daily!$W31),"")</f>
        <v/>
      </c>
      <c r="AD355" s="32">
        <f>IF($A355=1,IF(Sales_Daily!$X31="","",Sales_Daily!$X31),"")</f>
        <v/>
      </c>
      <c r="AE355" s="32">
        <f>IF($A355=1,0,"")</f>
        <v/>
      </c>
      <c r="AF355" s="32" t="inlineStr"/>
    </row>
    <row r="356">
      <c r="A356" s="32">
        <f>IF(AND(Sales_Daily!$AV32=1,N(Sales_Daily!$L32)&gt;0),1,0)</f>
        <v/>
      </c>
      <c r="B356" s="32">
        <f>IF($A356=1,$E356&amp;"/1","")</f>
        <v/>
      </c>
      <c r="C356" s="32">
        <f>IF($A356=1,"J-"&amp;Sales_Daily!$A32,"")</f>
        <v/>
      </c>
      <c r="D356" s="33">
        <f>IF($A356=1,Sales_Daily!$B32,"")</f>
        <v/>
      </c>
      <c r="E356" s="32">
        <f>IF($A356=1,IF(Sales_Daily!$A32="","",Sales_Daily!$A32),"")</f>
        <v/>
      </c>
      <c r="F356" s="32">
        <f>IF($A356=1,"SAL","")</f>
        <v/>
      </c>
      <c r="G356" s="32">
        <f>IF($A356=1,IF(Sales_Daily!$AK32="","",Sales_Daily!$AK32),"")</f>
        <v/>
      </c>
      <c r="H356" s="32">
        <f>IF($A356=1,IF(COUNTIF(COA!$A:$A,$G356)=0,"حساب غير معرف",INDEX(COA!$B:$B,MATCH($G356,COA!$A:$A,0))),"")</f>
        <v/>
      </c>
      <c r="I356" s="32">
        <f>IF($A356=1,IF(Sales_Daily!$C32="","",Sales_Daily!$C32),"")</f>
        <v/>
      </c>
      <c r="J356" s="32">
        <f>IF($A356=1,"CC10","")</f>
        <v/>
      </c>
      <c r="K356" s="32">
        <f>IF($A356=1,"-","")</f>
        <v/>
      </c>
      <c r="L356" s="32">
        <f>IF($A356=1,"مبيعات - تحصيل CASH","")</f>
        <v/>
      </c>
      <c r="M356" s="43">
        <f>IF($A356=1,Sales_Daily!$L32,"")</f>
        <v/>
      </c>
      <c r="N356" s="43">
        <f>IF($A356=1,0,"")</f>
        <v/>
      </c>
      <c r="O356" s="32">
        <f>IF($A356=1,Sales_Daily!$S32,"")</f>
        <v/>
      </c>
      <c r="P356" s="32">
        <f>IF($A356=1,IF(Sales_Daily!$AW32="","",Sales_Daily!$AW32),"")</f>
        <v/>
      </c>
      <c r="Q356" s="32">
        <f>IF($A356=1,Sales_Daily!$AY32,"")</f>
        <v/>
      </c>
      <c r="R356" s="32">
        <f>IF($A356=1,IF(AND($Q356=1,COUNTIFS(COA!$A:$A,$G356,COA!$R:$R,1)=1),1,0),"")</f>
        <v/>
      </c>
      <c r="S356" s="43">
        <f>IF($A356=1,IF($R356=1,N($M356),0),"")</f>
        <v/>
      </c>
      <c r="T356" s="43">
        <f>IF($A356=1,IF($R356=1,N($N356),0),"")</f>
        <v/>
      </c>
      <c r="U356" s="32">
        <f>IF($A356=1,YEAR($D356)*100+MONTH($D356),"")</f>
        <v/>
      </c>
      <c r="V356" s="32">
        <f>IF($A356=1,IF(COUNTIF(COA!$A:$A,$G356)=0,0,INDEX(COA!$H:$H,MATCH($G356,COA!$A:$A,0))),"")</f>
        <v/>
      </c>
      <c r="W356" s="32">
        <f>IF($A356=1,"OPERATING","")</f>
        <v/>
      </c>
      <c r="X356" s="32">
        <f>IF($A356=1,IF($R356=1,"",IF($O356=ST_POST,IF($P356&lt;&gt;"",$P356,"حساب غير صالح أو غير نشط"),IF($O356=ST_REV,"معكوس: لا أثر على الدفاتر",IF($O356=ST_CANC,"ملغى",IF($O356=ST_APPR,"معتمد ولم يُرحَّل","مسودة"))))),"")</f>
        <v/>
      </c>
      <c r="Y356" s="32">
        <f>IF($A356=1,IF(AND($R356=1,OR(LG_Acct="",$G356=LG_Acct),OR(LG_Party="",$K356=LG_Party),OR(LG_Loc="ALL",$I356=LG_Loc),OR(LG_CC="ALL",$J356=LG_CC),$D356&gt;=LG_From,$D356&lt;=LG_To),$D356+ROW()/1000000,""),"")</f>
        <v/>
      </c>
      <c r="Z356" s="32">
        <f>IF($A356=1,IF(Sales_Daily!$T32="","",Sales_Daily!$T32),"")</f>
        <v/>
      </c>
      <c r="AA356" s="32">
        <f>IF($A356=1,IF(Sales_Daily!$U32="","",Sales_Daily!$U32),"")</f>
        <v/>
      </c>
      <c r="AB356" s="32">
        <f>IF($A356=1,IF(Sales_Daily!$V32="","",Sales_Daily!$V32),"")</f>
        <v/>
      </c>
      <c r="AC356" s="32">
        <f>IF($A356=1,IF(Sales_Daily!$W32="","",Sales_Daily!$W32),"")</f>
        <v/>
      </c>
      <c r="AD356" s="32">
        <f>IF($A356=1,IF(Sales_Daily!$X32="","",Sales_Daily!$X32),"")</f>
        <v/>
      </c>
      <c r="AE356" s="32">
        <f>IF($A356=1,0,"")</f>
        <v/>
      </c>
      <c r="AF356" s="32" t="inlineStr"/>
    </row>
    <row r="357">
      <c r="A357" s="32">
        <f>IF(AND(Sales_Daily!$AV32=1,N(Sales_Daily!$M32)&gt;0),1,0)</f>
        <v/>
      </c>
      <c r="B357" s="32">
        <f>IF($A357=1,$E357&amp;"/2","")</f>
        <v/>
      </c>
      <c r="C357" s="32">
        <f>IF($A357=1,"J-"&amp;Sales_Daily!$A32,"")</f>
        <v/>
      </c>
      <c r="D357" s="33">
        <f>IF($A357=1,Sales_Daily!$B32,"")</f>
        <v/>
      </c>
      <c r="E357" s="32">
        <f>IF($A357=1,IF(Sales_Daily!$A32="","",Sales_Daily!$A32),"")</f>
        <v/>
      </c>
      <c r="F357" s="32">
        <f>IF($A357=1,"SAL","")</f>
        <v/>
      </c>
      <c r="G357" s="32">
        <f>IF($A357=1,IF(Sales_Daily!$AL32="","",Sales_Daily!$AL32),"")</f>
        <v/>
      </c>
      <c r="H357" s="32">
        <f>IF($A357=1,IF(COUNTIF(COA!$A:$A,$G357)=0,"حساب غير معرف",INDEX(COA!$B:$B,MATCH($G357,COA!$A:$A,0))),"")</f>
        <v/>
      </c>
      <c r="I357" s="32">
        <f>IF($A357=1,IF(Sales_Daily!$C32="","",Sales_Daily!$C32),"")</f>
        <v/>
      </c>
      <c r="J357" s="32">
        <f>IF($A357=1,"CC10","")</f>
        <v/>
      </c>
      <c r="K357" s="32">
        <f>IF($A357=1,"-","")</f>
        <v/>
      </c>
      <c r="L357" s="32">
        <f>IF($A357=1,"مبيعات - تحصيل CARD","")</f>
        <v/>
      </c>
      <c r="M357" s="43">
        <f>IF($A357=1,Sales_Daily!$M32,"")</f>
        <v/>
      </c>
      <c r="N357" s="43">
        <f>IF($A357=1,0,"")</f>
        <v/>
      </c>
      <c r="O357" s="32">
        <f>IF($A357=1,Sales_Daily!$S32,"")</f>
        <v/>
      </c>
      <c r="P357" s="32">
        <f>IF($A357=1,IF(Sales_Daily!$AW32="","",Sales_Daily!$AW32),"")</f>
        <v/>
      </c>
      <c r="Q357" s="32">
        <f>IF($A357=1,Sales_Daily!$AY32,"")</f>
        <v/>
      </c>
      <c r="R357" s="32">
        <f>IF($A357=1,IF(AND($Q357=1,COUNTIFS(COA!$A:$A,$G357,COA!$R:$R,1)=1),1,0),"")</f>
        <v/>
      </c>
      <c r="S357" s="43">
        <f>IF($A357=1,IF($R357=1,N($M357),0),"")</f>
        <v/>
      </c>
      <c r="T357" s="43">
        <f>IF($A357=1,IF($R357=1,N($N357),0),"")</f>
        <v/>
      </c>
      <c r="U357" s="32">
        <f>IF($A357=1,YEAR($D357)*100+MONTH($D357),"")</f>
        <v/>
      </c>
      <c r="V357" s="32">
        <f>IF($A357=1,IF(COUNTIF(COA!$A:$A,$G357)=0,0,INDEX(COA!$H:$H,MATCH($G357,COA!$A:$A,0))),"")</f>
        <v/>
      </c>
      <c r="W357" s="32">
        <f>IF($A357=1,"OPERATING","")</f>
        <v/>
      </c>
      <c r="X357" s="32">
        <f>IF($A357=1,IF($R357=1,"",IF($O357=ST_POST,IF($P357&lt;&gt;"",$P357,"حساب غير صالح أو غير نشط"),IF($O357=ST_REV,"معكوس: لا أثر على الدفاتر",IF($O357=ST_CANC,"ملغى",IF($O357=ST_APPR,"معتمد ولم يُرحَّل","مسودة"))))),"")</f>
        <v/>
      </c>
      <c r="Y357" s="32">
        <f>IF($A357=1,IF(AND($R357=1,OR(LG_Acct="",$G357=LG_Acct),OR(LG_Party="",$K357=LG_Party),OR(LG_Loc="ALL",$I357=LG_Loc),OR(LG_CC="ALL",$J357=LG_CC),$D357&gt;=LG_From,$D357&lt;=LG_To),$D357+ROW()/1000000,""),"")</f>
        <v/>
      </c>
      <c r="Z357" s="32">
        <f>IF($A357=1,IF(Sales_Daily!$T32="","",Sales_Daily!$T32),"")</f>
        <v/>
      </c>
      <c r="AA357" s="32">
        <f>IF($A357=1,IF(Sales_Daily!$U32="","",Sales_Daily!$U32),"")</f>
        <v/>
      </c>
      <c r="AB357" s="32">
        <f>IF($A357=1,IF(Sales_Daily!$V32="","",Sales_Daily!$V32),"")</f>
        <v/>
      </c>
      <c r="AC357" s="32">
        <f>IF($A357=1,IF(Sales_Daily!$W32="","",Sales_Daily!$W32),"")</f>
        <v/>
      </c>
      <c r="AD357" s="32">
        <f>IF($A357=1,IF(Sales_Daily!$X32="","",Sales_Daily!$X32),"")</f>
        <v/>
      </c>
      <c r="AE357" s="32">
        <f>IF($A357=1,0,"")</f>
        <v/>
      </c>
      <c r="AF357" s="32" t="inlineStr"/>
    </row>
    <row r="358">
      <c r="A358" s="32">
        <f>IF(AND(Sales_Daily!$AV32=1,N(Sales_Daily!$N32)&gt;0),1,0)</f>
        <v/>
      </c>
      <c r="B358" s="32">
        <f>IF($A358=1,$E358&amp;"/3","")</f>
        <v/>
      </c>
      <c r="C358" s="32">
        <f>IF($A358=1,"J-"&amp;Sales_Daily!$A32,"")</f>
        <v/>
      </c>
      <c r="D358" s="33">
        <f>IF($A358=1,Sales_Daily!$B32,"")</f>
        <v/>
      </c>
      <c r="E358" s="32">
        <f>IF($A358=1,IF(Sales_Daily!$A32="","",Sales_Daily!$A32),"")</f>
        <v/>
      </c>
      <c r="F358" s="32">
        <f>IF($A358=1,"SAL","")</f>
        <v/>
      </c>
      <c r="G358" s="32">
        <f>IF($A358=1,IF(Sales_Daily!$AM32="","",Sales_Daily!$AM32),"")</f>
        <v/>
      </c>
      <c r="H358" s="32">
        <f>IF($A358=1,IF(COUNTIF(COA!$A:$A,$G358)=0,"حساب غير معرف",INDEX(COA!$B:$B,MATCH($G358,COA!$A:$A,0))),"")</f>
        <v/>
      </c>
      <c r="I358" s="32">
        <f>IF($A358=1,IF(Sales_Daily!$C32="","",Sales_Daily!$C32),"")</f>
        <v/>
      </c>
      <c r="J358" s="32">
        <f>IF($A358=1,"CC10","")</f>
        <v/>
      </c>
      <c r="K358" s="32">
        <f>IF($A358=1,"-","")</f>
        <v/>
      </c>
      <c r="L358" s="32">
        <f>IF($A358=1,"مبيعات - تحصيل TLB","")</f>
        <v/>
      </c>
      <c r="M358" s="43">
        <f>IF($A358=1,Sales_Daily!$N32,"")</f>
        <v/>
      </c>
      <c r="N358" s="43">
        <f>IF($A358=1,0,"")</f>
        <v/>
      </c>
      <c r="O358" s="32">
        <f>IF($A358=1,Sales_Daily!$S32,"")</f>
        <v/>
      </c>
      <c r="P358" s="32">
        <f>IF($A358=1,IF(Sales_Daily!$AW32="","",Sales_Daily!$AW32),"")</f>
        <v/>
      </c>
      <c r="Q358" s="32">
        <f>IF($A358=1,Sales_Daily!$AY32,"")</f>
        <v/>
      </c>
      <c r="R358" s="32">
        <f>IF($A358=1,IF(AND($Q358=1,COUNTIFS(COA!$A:$A,$G358,COA!$R:$R,1)=1),1,0),"")</f>
        <v/>
      </c>
      <c r="S358" s="43">
        <f>IF($A358=1,IF($R358=1,N($M358),0),"")</f>
        <v/>
      </c>
      <c r="T358" s="43">
        <f>IF($A358=1,IF($R358=1,N($N358),0),"")</f>
        <v/>
      </c>
      <c r="U358" s="32">
        <f>IF($A358=1,YEAR($D358)*100+MONTH($D358),"")</f>
        <v/>
      </c>
      <c r="V358" s="32">
        <f>IF($A358=1,IF(COUNTIF(COA!$A:$A,$G358)=0,0,INDEX(COA!$H:$H,MATCH($G358,COA!$A:$A,0))),"")</f>
        <v/>
      </c>
      <c r="W358" s="32">
        <f>IF($A358=1,"OPERATING","")</f>
        <v/>
      </c>
      <c r="X358" s="32">
        <f>IF($A358=1,IF($R358=1,"",IF($O358=ST_POST,IF($P358&lt;&gt;"",$P358,"حساب غير صالح أو غير نشط"),IF($O358=ST_REV,"معكوس: لا أثر على الدفاتر",IF($O358=ST_CANC,"ملغى",IF($O358=ST_APPR,"معتمد ولم يُرحَّل","مسودة"))))),"")</f>
        <v/>
      </c>
      <c r="Y358" s="32">
        <f>IF($A358=1,IF(AND($R358=1,OR(LG_Acct="",$G358=LG_Acct),OR(LG_Party="",$K358=LG_Party),OR(LG_Loc="ALL",$I358=LG_Loc),OR(LG_CC="ALL",$J358=LG_CC),$D358&gt;=LG_From,$D358&lt;=LG_To),$D358+ROW()/1000000,""),"")</f>
        <v/>
      </c>
      <c r="Z358" s="32">
        <f>IF($A358=1,IF(Sales_Daily!$T32="","",Sales_Daily!$T32),"")</f>
        <v/>
      </c>
      <c r="AA358" s="32">
        <f>IF($A358=1,IF(Sales_Daily!$U32="","",Sales_Daily!$U32),"")</f>
        <v/>
      </c>
      <c r="AB358" s="32">
        <f>IF($A358=1,IF(Sales_Daily!$V32="","",Sales_Daily!$V32),"")</f>
        <v/>
      </c>
      <c r="AC358" s="32">
        <f>IF($A358=1,IF(Sales_Daily!$W32="","",Sales_Daily!$W32),"")</f>
        <v/>
      </c>
      <c r="AD358" s="32">
        <f>IF($A358=1,IF(Sales_Daily!$X32="","",Sales_Daily!$X32),"")</f>
        <v/>
      </c>
      <c r="AE358" s="32">
        <f>IF($A358=1,0,"")</f>
        <v/>
      </c>
      <c r="AF358" s="32" t="inlineStr"/>
    </row>
    <row r="359">
      <c r="A359" s="32">
        <f>IF(AND(Sales_Daily!$AV32=1,N(Sales_Daily!$O32)&gt;0),1,0)</f>
        <v/>
      </c>
      <c r="B359" s="32">
        <f>IF($A359=1,$E359&amp;"/4","")</f>
        <v/>
      </c>
      <c r="C359" s="32">
        <f>IF($A359=1,"J-"&amp;Sales_Daily!$A32,"")</f>
        <v/>
      </c>
      <c r="D359" s="33">
        <f>IF($A359=1,Sales_Daily!$B32,"")</f>
        <v/>
      </c>
      <c r="E359" s="32">
        <f>IF($A359=1,IF(Sales_Daily!$A32="","",Sales_Daily!$A32),"")</f>
        <v/>
      </c>
      <c r="F359" s="32">
        <f>IF($A359=1,"SAL","")</f>
        <v/>
      </c>
      <c r="G359" s="32">
        <f>IF($A359=1,IF(Sales_Daily!$AN32="","",Sales_Daily!$AN32),"")</f>
        <v/>
      </c>
      <c r="H359" s="32">
        <f>IF($A359=1,IF(COUNTIF(COA!$A:$A,$G359)=0,"حساب غير معرف",INDEX(COA!$B:$B,MATCH($G359,COA!$A:$A,0))),"")</f>
        <v/>
      </c>
      <c r="I359" s="32">
        <f>IF($A359=1,IF(Sales_Daily!$C32="","",Sales_Daily!$C32),"")</f>
        <v/>
      </c>
      <c r="J359" s="32">
        <f>IF($A359=1,"CC10","")</f>
        <v/>
      </c>
      <c r="K359" s="32">
        <f>IF($A359=1,"-","")</f>
        <v/>
      </c>
      <c r="L359" s="32">
        <f>IF($A359=1,"مبيعات - تحصيل DLV2","")</f>
        <v/>
      </c>
      <c r="M359" s="43">
        <f>IF($A359=1,Sales_Daily!$O32,"")</f>
        <v/>
      </c>
      <c r="N359" s="43">
        <f>IF($A359=1,0,"")</f>
        <v/>
      </c>
      <c r="O359" s="32">
        <f>IF($A359=1,Sales_Daily!$S32,"")</f>
        <v/>
      </c>
      <c r="P359" s="32">
        <f>IF($A359=1,IF(Sales_Daily!$AW32="","",Sales_Daily!$AW32),"")</f>
        <v/>
      </c>
      <c r="Q359" s="32">
        <f>IF($A359=1,Sales_Daily!$AY32,"")</f>
        <v/>
      </c>
      <c r="R359" s="32">
        <f>IF($A359=1,IF(AND($Q359=1,COUNTIFS(COA!$A:$A,$G359,COA!$R:$R,1)=1),1,0),"")</f>
        <v/>
      </c>
      <c r="S359" s="43">
        <f>IF($A359=1,IF($R359=1,N($M359),0),"")</f>
        <v/>
      </c>
      <c r="T359" s="43">
        <f>IF($A359=1,IF($R359=1,N($N359),0),"")</f>
        <v/>
      </c>
      <c r="U359" s="32">
        <f>IF($A359=1,YEAR($D359)*100+MONTH($D359),"")</f>
        <v/>
      </c>
      <c r="V359" s="32">
        <f>IF($A359=1,IF(COUNTIF(COA!$A:$A,$G359)=0,0,INDEX(COA!$H:$H,MATCH($G359,COA!$A:$A,0))),"")</f>
        <v/>
      </c>
      <c r="W359" s="32">
        <f>IF($A359=1,"OPERATING","")</f>
        <v/>
      </c>
      <c r="X359" s="32">
        <f>IF($A359=1,IF($R359=1,"",IF($O359=ST_POST,IF($P359&lt;&gt;"",$P359,"حساب غير صالح أو غير نشط"),IF($O359=ST_REV,"معكوس: لا أثر على الدفاتر",IF($O359=ST_CANC,"ملغى",IF($O359=ST_APPR,"معتمد ولم يُرحَّل","مسودة"))))),"")</f>
        <v/>
      </c>
      <c r="Y359" s="32">
        <f>IF($A359=1,IF(AND($R359=1,OR(LG_Acct="",$G359=LG_Acct),OR(LG_Party="",$K359=LG_Party),OR(LG_Loc="ALL",$I359=LG_Loc),OR(LG_CC="ALL",$J359=LG_CC),$D359&gt;=LG_From,$D359&lt;=LG_To),$D359+ROW()/1000000,""),"")</f>
        <v/>
      </c>
      <c r="Z359" s="32">
        <f>IF($A359=1,IF(Sales_Daily!$T32="","",Sales_Daily!$T32),"")</f>
        <v/>
      </c>
      <c r="AA359" s="32">
        <f>IF($A359=1,IF(Sales_Daily!$U32="","",Sales_Daily!$U32),"")</f>
        <v/>
      </c>
      <c r="AB359" s="32">
        <f>IF($A359=1,IF(Sales_Daily!$V32="","",Sales_Daily!$V32),"")</f>
        <v/>
      </c>
      <c r="AC359" s="32">
        <f>IF($A359=1,IF(Sales_Daily!$W32="","",Sales_Daily!$W32),"")</f>
        <v/>
      </c>
      <c r="AD359" s="32">
        <f>IF($A359=1,IF(Sales_Daily!$X32="","",Sales_Daily!$X32),"")</f>
        <v/>
      </c>
      <c r="AE359" s="32">
        <f>IF($A359=1,0,"")</f>
        <v/>
      </c>
      <c r="AF359" s="32" t="inlineStr"/>
    </row>
    <row r="360">
      <c r="A360" s="32">
        <f>IF(AND(Sales_Daily!$AV32=1,N(Sales_Daily!$P32)&gt;0),1,0)</f>
        <v/>
      </c>
      <c r="B360" s="32">
        <f>IF($A360=1,$E360&amp;"/5","")</f>
        <v/>
      </c>
      <c r="C360" s="32">
        <f>IF($A360=1,"J-"&amp;Sales_Daily!$A32,"")</f>
        <v/>
      </c>
      <c r="D360" s="33">
        <f>IF($A360=1,Sales_Daily!$B32,"")</f>
        <v/>
      </c>
      <c r="E360" s="32">
        <f>IF($A360=1,IF(Sales_Daily!$A32="","",Sales_Daily!$A32),"")</f>
        <v/>
      </c>
      <c r="F360" s="32">
        <f>IF($A360=1,"SAL","")</f>
        <v/>
      </c>
      <c r="G360" s="32">
        <f>IF($A360=1,IF(Sales_Daily!$AO32="","",Sales_Daily!$AO32),"")</f>
        <v/>
      </c>
      <c r="H360" s="32">
        <f>IF($A360=1,IF(COUNTIF(COA!$A:$A,$G360)=0,"حساب غير معرف",INDEX(COA!$B:$B,MATCH($G360,COA!$A:$A,0))),"")</f>
        <v/>
      </c>
      <c r="I360" s="32">
        <f>IF($A360=1,IF(Sales_Daily!$C32="","",Sales_Daily!$C32),"")</f>
        <v/>
      </c>
      <c r="J360" s="32">
        <f>IF($A360=1,"CC10","")</f>
        <v/>
      </c>
      <c r="K360" s="32">
        <f>IF($A360=1,"-","")</f>
        <v/>
      </c>
      <c r="L360" s="32">
        <f>IF($A360=1,"مبيعات - تحصيل INSTA","")</f>
        <v/>
      </c>
      <c r="M360" s="43">
        <f>IF($A360=1,Sales_Daily!$P32,"")</f>
        <v/>
      </c>
      <c r="N360" s="43">
        <f>IF($A360=1,0,"")</f>
        <v/>
      </c>
      <c r="O360" s="32">
        <f>IF($A360=1,Sales_Daily!$S32,"")</f>
        <v/>
      </c>
      <c r="P360" s="32">
        <f>IF($A360=1,IF(Sales_Daily!$AW32="","",Sales_Daily!$AW32),"")</f>
        <v/>
      </c>
      <c r="Q360" s="32">
        <f>IF($A360=1,Sales_Daily!$AY32,"")</f>
        <v/>
      </c>
      <c r="R360" s="32">
        <f>IF($A360=1,IF(AND($Q360=1,COUNTIFS(COA!$A:$A,$G360,COA!$R:$R,1)=1),1,0),"")</f>
        <v/>
      </c>
      <c r="S360" s="43">
        <f>IF($A360=1,IF($R360=1,N($M360),0),"")</f>
        <v/>
      </c>
      <c r="T360" s="43">
        <f>IF($A360=1,IF($R360=1,N($N360),0),"")</f>
        <v/>
      </c>
      <c r="U360" s="32">
        <f>IF($A360=1,YEAR($D360)*100+MONTH($D360),"")</f>
        <v/>
      </c>
      <c r="V360" s="32">
        <f>IF($A360=1,IF(COUNTIF(COA!$A:$A,$G360)=0,0,INDEX(COA!$H:$H,MATCH($G360,COA!$A:$A,0))),"")</f>
        <v/>
      </c>
      <c r="W360" s="32">
        <f>IF($A360=1,"OPERATING","")</f>
        <v/>
      </c>
      <c r="X360" s="32">
        <f>IF($A360=1,IF($R360=1,"",IF($O360=ST_POST,IF($P360&lt;&gt;"",$P360,"حساب غير صالح أو غير نشط"),IF($O360=ST_REV,"معكوس: لا أثر على الدفاتر",IF($O360=ST_CANC,"ملغى",IF($O360=ST_APPR,"معتمد ولم يُرحَّل","مسودة"))))),"")</f>
        <v/>
      </c>
      <c r="Y360" s="32">
        <f>IF($A360=1,IF(AND($R360=1,OR(LG_Acct="",$G360=LG_Acct),OR(LG_Party="",$K360=LG_Party),OR(LG_Loc="ALL",$I360=LG_Loc),OR(LG_CC="ALL",$J360=LG_CC),$D360&gt;=LG_From,$D360&lt;=LG_To),$D360+ROW()/1000000,""),"")</f>
        <v/>
      </c>
      <c r="Z360" s="32">
        <f>IF($A360=1,IF(Sales_Daily!$T32="","",Sales_Daily!$T32),"")</f>
        <v/>
      </c>
      <c r="AA360" s="32">
        <f>IF($A360=1,IF(Sales_Daily!$U32="","",Sales_Daily!$U32),"")</f>
        <v/>
      </c>
      <c r="AB360" s="32">
        <f>IF($A360=1,IF(Sales_Daily!$V32="","",Sales_Daily!$V32),"")</f>
        <v/>
      </c>
      <c r="AC360" s="32">
        <f>IF($A360=1,IF(Sales_Daily!$W32="","",Sales_Daily!$W32),"")</f>
        <v/>
      </c>
      <c r="AD360" s="32">
        <f>IF($A360=1,IF(Sales_Daily!$X32="","",Sales_Daily!$X32),"")</f>
        <v/>
      </c>
      <c r="AE360" s="32">
        <f>IF($A360=1,0,"")</f>
        <v/>
      </c>
      <c r="AF360" s="32" t="inlineStr"/>
    </row>
    <row r="361">
      <c r="A361" s="32">
        <f>IF(AND(Sales_Daily!$AV32=1,N(Sales_Daily!$Q32)&gt;0),1,0)</f>
        <v/>
      </c>
      <c r="B361" s="32">
        <f>IF($A361=1,$E361&amp;"/6","")</f>
        <v/>
      </c>
      <c r="C361" s="32">
        <f>IF($A361=1,"J-"&amp;Sales_Daily!$A32,"")</f>
        <v/>
      </c>
      <c r="D361" s="33">
        <f>IF($A361=1,Sales_Daily!$B32,"")</f>
        <v/>
      </c>
      <c r="E361" s="32">
        <f>IF($A361=1,IF(Sales_Daily!$A32="","",Sales_Daily!$A32),"")</f>
        <v/>
      </c>
      <c r="F361" s="32">
        <f>IF($A361=1,"SAL","")</f>
        <v/>
      </c>
      <c r="G361" s="32">
        <f>IF($A361=1,IF(Sales_Daily!$AP32="","",Sales_Daily!$AP32),"")</f>
        <v/>
      </c>
      <c r="H361" s="32">
        <f>IF($A361=1,IF(COUNTIF(COA!$A:$A,$G361)=0,"حساب غير معرف",INDEX(COA!$B:$B,MATCH($G361,COA!$A:$A,0))),"")</f>
        <v/>
      </c>
      <c r="I361" s="32">
        <f>IF($A361=1,IF(Sales_Daily!$C32="","",Sales_Daily!$C32),"")</f>
        <v/>
      </c>
      <c r="J361" s="32">
        <f>IF($A361=1,"CC10","")</f>
        <v/>
      </c>
      <c r="K361" s="32">
        <f>IF($A361=1,"-","")</f>
        <v/>
      </c>
      <c r="L361" s="32">
        <f>IF($A361=1,"مبيعات - تحصيل OTH","")</f>
        <v/>
      </c>
      <c r="M361" s="43">
        <f>IF($A361=1,Sales_Daily!$Q32,"")</f>
        <v/>
      </c>
      <c r="N361" s="43">
        <f>IF($A361=1,0,"")</f>
        <v/>
      </c>
      <c r="O361" s="32">
        <f>IF($A361=1,Sales_Daily!$S32,"")</f>
        <v/>
      </c>
      <c r="P361" s="32">
        <f>IF($A361=1,IF(Sales_Daily!$AW32="","",Sales_Daily!$AW32),"")</f>
        <v/>
      </c>
      <c r="Q361" s="32">
        <f>IF($A361=1,Sales_Daily!$AY32,"")</f>
        <v/>
      </c>
      <c r="R361" s="32">
        <f>IF($A361=1,IF(AND($Q361=1,COUNTIFS(COA!$A:$A,$G361,COA!$R:$R,1)=1),1,0),"")</f>
        <v/>
      </c>
      <c r="S361" s="43">
        <f>IF($A361=1,IF($R361=1,N($M361),0),"")</f>
        <v/>
      </c>
      <c r="T361" s="43">
        <f>IF($A361=1,IF($R361=1,N($N361),0),"")</f>
        <v/>
      </c>
      <c r="U361" s="32">
        <f>IF($A361=1,YEAR($D361)*100+MONTH($D361),"")</f>
        <v/>
      </c>
      <c r="V361" s="32">
        <f>IF($A361=1,IF(COUNTIF(COA!$A:$A,$G361)=0,0,INDEX(COA!$H:$H,MATCH($G361,COA!$A:$A,0))),"")</f>
        <v/>
      </c>
      <c r="W361" s="32">
        <f>IF($A361=1,"OPERATING","")</f>
        <v/>
      </c>
      <c r="X361" s="32">
        <f>IF($A361=1,IF($R361=1,"",IF($O361=ST_POST,IF($P361&lt;&gt;"",$P361,"حساب غير صالح أو غير نشط"),IF($O361=ST_REV,"معكوس: لا أثر على الدفاتر",IF($O361=ST_CANC,"ملغى",IF($O361=ST_APPR,"معتمد ولم يُرحَّل","مسودة"))))),"")</f>
        <v/>
      </c>
      <c r="Y361" s="32">
        <f>IF($A361=1,IF(AND($R361=1,OR(LG_Acct="",$G361=LG_Acct),OR(LG_Party="",$K361=LG_Party),OR(LG_Loc="ALL",$I361=LG_Loc),OR(LG_CC="ALL",$J361=LG_CC),$D361&gt;=LG_From,$D361&lt;=LG_To),$D361+ROW()/1000000,""),"")</f>
        <v/>
      </c>
      <c r="Z361" s="32">
        <f>IF($A361=1,IF(Sales_Daily!$T32="","",Sales_Daily!$T32),"")</f>
        <v/>
      </c>
      <c r="AA361" s="32">
        <f>IF($A361=1,IF(Sales_Daily!$U32="","",Sales_Daily!$U32),"")</f>
        <v/>
      </c>
      <c r="AB361" s="32">
        <f>IF($A361=1,IF(Sales_Daily!$V32="","",Sales_Daily!$V32),"")</f>
        <v/>
      </c>
      <c r="AC361" s="32">
        <f>IF($A361=1,IF(Sales_Daily!$W32="","",Sales_Daily!$W32),"")</f>
        <v/>
      </c>
      <c r="AD361" s="32">
        <f>IF($A361=1,IF(Sales_Daily!$X32="","",Sales_Daily!$X32),"")</f>
        <v/>
      </c>
      <c r="AE361" s="32">
        <f>IF($A361=1,0,"")</f>
        <v/>
      </c>
      <c r="AF361" s="32" t="inlineStr"/>
    </row>
    <row r="362">
      <c r="A362" s="32">
        <f>IF(AND(Sales_Daily!$AV32=1,N(Sales_Daily!$AH32)&gt;0),1,0)</f>
        <v/>
      </c>
      <c r="B362" s="32">
        <f>IF($A362=1,$E362&amp;"/7","")</f>
        <v/>
      </c>
      <c r="C362" s="32">
        <f>IF($A362=1,"J-"&amp;Sales_Daily!$A32,"")</f>
        <v/>
      </c>
      <c r="D362" s="33">
        <f>IF($A362=1,Sales_Daily!$B32,"")</f>
        <v/>
      </c>
      <c r="E362" s="32">
        <f>IF($A362=1,IF(Sales_Daily!$A32="","",Sales_Daily!$A32),"")</f>
        <v/>
      </c>
      <c r="F362" s="32">
        <f>IF($A362=1,"SAL","")</f>
        <v/>
      </c>
      <c r="G362" s="32">
        <f>IF($A362=1,ACC_DISC,"")</f>
        <v/>
      </c>
      <c r="H362" s="32">
        <f>IF($A362=1,IF(COUNTIF(COA!$A:$A,$G362)=0,"حساب غير معرف",INDEX(COA!$B:$B,MATCH($G362,COA!$A:$A,0))),"")</f>
        <v/>
      </c>
      <c r="I362" s="32">
        <f>IF($A362=1,IF(Sales_Daily!$C32="","",Sales_Daily!$C32),"")</f>
        <v/>
      </c>
      <c r="J362" s="32">
        <f>IF($A362=1,"CC10","")</f>
        <v/>
      </c>
      <c r="K362" s="32">
        <f>IF($A362=1,"-","")</f>
        <v/>
      </c>
      <c r="L362" s="32">
        <f>IF($A362=1,"خصومات المبيعات والعروض","")</f>
        <v/>
      </c>
      <c r="M362" s="43">
        <f>IF($A362=1,Sales_Daily!$AH32,"")</f>
        <v/>
      </c>
      <c r="N362" s="43">
        <f>IF($A362=1,0,"")</f>
        <v/>
      </c>
      <c r="O362" s="32">
        <f>IF($A362=1,Sales_Daily!$S32,"")</f>
        <v/>
      </c>
      <c r="P362" s="32">
        <f>IF($A362=1,IF(Sales_Daily!$AW32="","",Sales_Daily!$AW32),"")</f>
        <v/>
      </c>
      <c r="Q362" s="32">
        <f>IF($A362=1,Sales_Daily!$AY32,"")</f>
        <v/>
      </c>
      <c r="R362" s="32">
        <f>IF($A362=1,IF(AND($Q362=1,COUNTIFS(COA!$A:$A,$G362,COA!$R:$R,1)=1),1,0),"")</f>
        <v/>
      </c>
      <c r="S362" s="43">
        <f>IF($A362=1,IF($R362=1,N($M362),0),"")</f>
        <v/>
      </c>
      <c r="T362" s="43">
        <f>IF($A362=1,IF($R362=1,N($N362),0),"")</f>
        <v/>
      </c>
      <c r="U362" s="32">
        <f>IF($A362=1,YEAR($D362)*100+MONTH($D362),"")</f>
        <v/>
      </c>
      <c r="V362" s="32">
        <f>IF($A362=1,IF(COUNTIF(COA!$A:$A,$G362)=0,0,INDEX(COA!$H:$H,MATCH($G362,COA!$A:$A,0))),"")</f>
        <v/>
      </c>
      <c r="W362" s="32">
        <f>IF($A362=1,"","")</f>
        <v/>
      </c>
      <c r="X362" s="32">
        <f>IF($A362=1,IF($R362=1,"",IF($O362=ST_POST,IF($P362&lt;&gt;"",$P362,"حساب غير صالح أو غير نشط"),IF($O362=ST_REV,"معكوس: لا أثر على الدفاتر",IF($O362=ST_CANC,"ملغى",IF($O362=ST_APPR,"معتمد ولم يُرحَّل","مسودة"))))),"")</f>
        <v/>
      </c>
      <c r="Y362" s="32">
        <f>IF($A362=1,IF(AND($R362=1,OR(LG_Acct="",$G362=LG_Acct),OR(LG_Party="",$K362=LG_Party),OR(LG_Loc="ALL",$I362=LG_Loc),OR(LG_CC="ALL",$J362=LG_CC),$D362&gt;=LG_From,$D362&lt;=LG_To),$D362+ROW()/1000000,""),"")</f>
        <v/>
      </c>
      <c r="Z362" s="32">
        <f>IF($A362=1,IF(Sales_Daily!$T32="","",Sales_Daily!$T32),"")</f>
        <v/>
      </c>
      <c r="AA362" s="32">
        <f>IF($A362=1,IF(Sales_Daily!$U32="","",Sales_Daily!$U32),"")</f>
        <v/>
      </c>
      <c r="AB362" s="32">
        <f>IF($A362=1,IF(Sales_Daily!$V32="","",Sales_Daily!$V32),"")</f>
        <v/>
      </c>
      <c r="AC362" s="32">
        <f>IF($A362=1,IF(Sales_Daily!$W32="","",Sales_Daily!$W32),"")</f>
        <v/>
      </c>
      <c r="AD362" s="32">
        <f>IF($A362=1,IF(Sales_Daily!$X32="","",Sales_Daily!$X32),"")</f>
        <v/>
      </c>
      <c r="AE362" s="32">
        <f>IF($A362=1,0,"")</f>
        <v/>
      </c>
      <c r="AF362" s="32" t="inlineStr"/>
    </row>
    <row r="363">
      <c r="A363" s="32">
        <f>IF(AND(Sales_Daily!$AV32=1,N(Sales_Daily!$AI32)&gt;0),1,0)</f>
        <v/>
      </c>
      <c r="B363" s="32">
        <f>IF($A363=1,$E363&amp;"/8","")</f>
        <v/>
      </c>
      <c r="C363" s="32">
        <f>IF($A363=1,"J-"&amp;Sales_Daily!$A32,"")</f>
        <v/>
      </c>
      <c r="D363" s="33">
        <f>IF($A363=1,Sales_Daily!$B32,"")</f>
        <v/>
      </c>
      <c r="E363" s="32">
        <f>IF($A363=1,IF(Sales_Daily!$A32="","",Sales_Daily!$A32),"")</f>
        <v/>
      </c>
      <c r="F363" s="32">
        <f>IF($A363=1,"SAL","")</f>
        <v/>
      </c>
      <c r="G363" s="32">
        <f>IF($A363=1,ACC_RET,"")</f>
        <v/>
      </c>
      <c r="H363" s="32">
        <f>IF($A363=1,IF(COUNTIF(COA!$A:$A,$G363)=0,"حساب غير معرف",INDEX(COA!$B:$B,MATCH($G363,COA!$A:$A,0))),"")</f>
        <v/>
      </c>
      <c r="I363" s="32">
        <f>IF($A363=1,IF(Sales_Daily!$C32="","",Sales_Daily!$C32),"")</f>
        <v/>
      </c>
      <c r="J363" s="32">
        <f>IF($A363=1,"CC10","")</f>
        <v/>
      </c>
      <c r="K363" s="32">
        <f>IF($A363=1,"-","")</f>
        <v/>
      </c>
      <c r="L363" s="32">
        <f>IF($A363=1,"مرتجعات وإلغاءات المبيعات","")</f>
        <v/>
      </c>
      <c r="M363" s="43">
        <f>IF($A363=1,Sales_Daily!$AI32,"")</f>
        <v/>
      </c>
      <c r="N363" s="43">
        <f>IF($A363=1,0,"")</f>
        <v/>
      </c>
      <c r="O363" s="32">
        <f>IF($A363=1,Sales_Daily!$S32,"")</f>
        <v/>
      </c>
      <c r="P363" s="32">
        <f>IF($A363=1,IF(Sales_Daily!$AW32="","",Sales_Daily!$AW32),"")</f>
        <v/>
      </c>
      <c r="Q363" s="32">
        <f>IF($A363=1,Sales_Daily!$AY32,"")</f>
        <v/>
      </c>
      <c r="R363" s="32">
        <f>IF($A363=1,IF(AND($Q363=1,COUNTIFS(COA!$A:$A,$G363,COA!$R:$R,1)=1),1,0),"")</f>
        <v/>
      </c>
      <c r="S363" s="43">
        <f>IF($A363=1,IF($R363=1,N($M363),0),"")</f>
        <v/>
      </c>
      <c r="T363" s="43">
        <f>IF($A363=1,IF($R363=1,N($N363),0),"")</f>
        <v/>
      </c>
      <c r="U363" s="32">
        <f>IF($A363=1,YEAR($D363)*100+MONTH($D363),"")</f>
        <v/>
      </c>
      <c r="V363" s="32">
        <f>IF($A363=1,IF(COUNTIF(COA!$A:$A,$G363)=0,0,INDEX(COA!$H:$H,MATCH($G363,COA!$A:$A,0))),"")</f>
        <v/>
      </c>
      <c r="W363" s="32">
        <f>IF($A363=1,"","")</f>
        <v/>
      </c>
      <c r="X363" s="32">
        <f>IF($A363=1,IF($R363=1,"",IF($O363=ST_POST,IF($P363&lt;&gt;"",$P363,"حساب غير صالح أو غير نشط"),IF($O363=ST_REV,"معكوس: لا أثر على الدفاتر",IF($O363=ST_CANC,"ملغى",IF($O363=ST_APPR,"معتمد ولم يُرحَّل","مسودة"))))),"")</f>
        <v/>
      </c>
      <c r="Y363" s="32">
        <f>IF($A363=1,IF(AND($R363=1,OR(LG_Acct="",$G363=LG_Acct),OR(LG_Party="",$K363=LG_Party),OR(LG_Loc="ALL",$I363=LG_Loc),OR(LG_CC="ALL",$J363=LG_CC),$D363&gt;=LG_From,$D363&lt;=LG_To),$D363+ROW()/1000000,""),"")</f>
        <v/>
      </c>
      <c r="Z363" s="32">
        <f>IF($A363=1,IF(Sales_Daily!$T32="","",Sales_Daily!$T32),"")</f>
        <v/>
      </c>
      <c r="AA363" s="32">
        <f>IF($A363=1,IF(Sales_Daily!$U32="","",Sales_Daily!$U32),"")</f>
        <v/>
      </c>
      <c r="AB363" s="32">
        <f>IF($A363=1,IF(Sales_Daily!$V32="","",Sales_Daily!$V32),"")</f>
        <v/>
      </c>
      <c r="AC363" s="32">
        <f>IF($A363=1,IF(Sales_Daily!$W32="","",Sales_Daily!$W32),"")</f>
        <v/>
      </c>
      <c r="AD363" s="32">
        <f>IF($A363=1,IF(Sales_Daily!$X32="","",Sales_Daily!$X32),"")</f>
        <v/>
      </c>
      <c r="AE363" s="32">
        <f>IF($A363=1,0,"")</f>
        <v/>
      </c>
      <c r="AF363" s="32" t="inlineStr"/>
    </row>
    <row r="364">
      <c r="A364" s="32">
        <f>IF(AND(Sales_Daily!$AV32=1,N(Sales_Daily!$AD32)&gt;0),1,0)</f>
        <v/>
      </c>
      <c r="B364" s="32">
        <f>IF($A364=1,$E364&amp;"/9","")</f>
        <v/>
      </c>
      <c r="C364" s="32">
        <f>IF($A364=1,"J-"&amp;Sales_Daily!$A32,"")</f>
        <v/>
      </c>
      <c r="D364" s="33">
        <f>IF($A364=1,Sales_Daily!$B32,"")</f>
        <v/>
      </c>
      <c r="E364" s="32">
        <f>IF($A364=1,IF(Sales_Daily!$A32="","",Sales_Daily!$A32),"")</f>
        <v/>
      </c>
      <c r="F364" s="32">
        <f>IF($A364=1,"SAL","")</f>
        <v/>
      </c>
      <c r="G364" s="32">
        <f>IF($A364=1,IF(Sales_Daily!$AQ32="","",Sales_Daily!$AQ32),"")</f>
        <v/>
      </c>
      <c r="H364" s="32">
        <f>IF($A364=1,IF(COUNTIF(COA!$A:$A,$G364)=0,"حساب غير معرف",INDEX(COA!$B:$B,MATCH($G364,COA!$A:$A,0))),"")</f>
        <v/>
      </c>
      <c r="I364" s="32">
        <f>IF($A364=1,IF(Sales_Daily!$C32="","",Sales_Daily!$C32),"")</f>
        <v/>
      </c>
      <c r="J364" s="32">
        <f>IF($A364=1,"CC10","")</f>
        <v/>
      </c>
      <c r="K364" s="32">
        <f>IF($A364=1,"-","")</f>
        <v/>
      </c>
      <c r="L364" s="32">
        <f>IF($A364=1,"إيراد مبيعات - فئة فطير","")</f>
        <v/>
      </c>
      <c r="M364" s="43">
        <f>IF($A364=1,0,"")</f>
        <v/>
      </c>
      <c r="N364" s="43">
        <f>IF($A364=1,Sales_Daily!$AD32,"")</f>
        <v/>
      </c>
      <c r="O364" s="32">
        <f>IF($A364=1,Sales_Daily!$S32,"")</f>
        <v/>
      </c>
      <c r="P364" s="32">
        <f>IF($A364=1,IF(Sales_Daily!$AW32="","",Sales_Daily!$AW32),"")</f>
        <v/>
      </c>
      <c r="Q364" s="32">
        <f>IF($A364=1,Sales_Daily!$AY32,"")</f>
        <v/>
      </c>
      <c r="R364" s="32">
        <f>IF($A364=1,IF(AND($Q364=1,COUNTIFS(COA!$A:$A,$G364,COA!$R:$R,1)=1),1,0),"")</f>
        <v/>
      </c>
      <c r="S364" s="43">
        <f>IF($A364=1,IF($R364=1,N($M364),0),"")</f>
        <v/>
      </c>
      <c r="T364" s="43">
        <f>IF($A364=1,IF($R364=1,N($N364),0),"")</f>
        <v/>
      </c>
      <c r="U364" s="32">
        <f>IF($A364=1,YEAR($D364)*100+MONTH($D364),"")</f>
        <v/>
      </c>
      <c r="V364" s="32">
        <f>IF($A364=1,IF(COUNTIF(COA!$A:$A,$G364)=0,0,INDEX(COA!$H:$H,MATCH($G364,COA!$A:$A,0))),"")</f>
        <v/>
      </c>
      <c r="W364" s="32">
        <f>IF($A364=1,"","")</f>
        <v/>
      </c>
      <c r="X364" s="32">
        <f>IF($A364=1,IF($R364=1,"",IF($O364=ST_POST,IF($P364&lt;&gt;"",$P364,"حساب غير صالح أو غير نشط"),IF($O364=ST_REV,"معكوس: لا أثر على الدفاتر",IF($O364=ST_CANC,"ملغى",IF($O364=ST_APPR,"معتمد ولم يُرحَّل","مسودة"))))),"")</f>
        <v/>
      </c>
      <c r="Y364" s="32">
        <f>IF($A364=1,IF(AND($R364=1,OR(LG_Acct="",$G364=LG_Acct),OR(LG_Party="",$K364=LG_Party),OR(LG_Loc="ALL",$I364=LG_Loc),OR(LG_CC="ALL",$J364=LG_CC),$D364&gt;=LG_From,$D364&lt;=LG_To),$D364+ROW()/1000000,""),"")</f>
        <v/>
      </c>
      <c r="Z364" s="32">
        <f>IF($A364=1,IF(Sales_Daily!$T32="","",Sales_Daily!$T32),"")</f>
        <v/>
      </c>
      <c r="AA364" s="32">
        <f>IF($A364=1,IF(Sales_Daily!$U32="","",Sales_Daily!$U32),"")</f>
        <v/>
      </c>
      <c r="AB364" s="32">
        <f>IF($A364=1,IF(Sales_Daily!$V32="","",Sales_Daily!$V32),"")</f>
        <v/>
      </c>
      <c r="AC364" s="32">
        <f>IF($A364=1,IF(Sales_Daily!$W32="","",Sales_Daily!$W32),"")</f>
        <v/>
      </c>
      <c r="AD364" s="32">
        <f>IF($A364=1,IF(Sales_Daily!$X32="","",Sales_Daily!$X32),"")</f>
        <v/>
      </c>
      <c r="AE364" s="32">
        <f>IF($A364=1,0,"")</f>
        <v/>
      </c>
      <c r="AF364" s="32" t="inlineStr"/>
    </row>
    <row r="365">
      <c r="A365" s="32">
        <f>IF(AND(Sales_Daily!$AV32=1,N(Sales_Daily!$AE32)&gt;0),1,0)</f>
        <v/>
      </c>
      <c r="B365" s="32">
        <f>IF($A365=1,$E365&amp;"/10","")</f>
        <v/>
      </c>
      <c r="C365" s="32">
        <f>IF($A365=1,"J-"&amp;Sales_Daily!$A32,"")</f>
        <v/>
      </c>
      <c r="D365" s="33">
        <f>IF($A365=1,Sales_Daily!$B32,"")</f>
        <v/>
      </c>
      <c r="E365" s="32">
        <f>IF($A365=1,IF(Sales_Daily!$A32="","",Sales_Daily!$A32),"")</f>
        <v/>
      </c>
      <c r="F365" s="32">
        <f>IF($A365=1,"SAL","")</f>
        <v/>
      </c>
      <c r="G365" s="32">
        <f>IF($A365=1,IF(Sales_Daily!$AR32="","",Sales_Daily!$AR32),"")</f>
        <v/>
      </c>
      <c r="H365" s="32">
        <f>IF($A365=1,IF(COUNTIF(COA!$A:$A,$G365)=0,"حساب غير معرف",INDEX(COA!$B:$B,MATCH($G365,COA!$A:$A,0))),"")</f>
        <v/>
      </c>
      <c r="I365" s="32">
        <f>IF($A365=1,IF(Sales_Daily!$C32="","",Sales_Daily!$C32),"")</f>
        <v/>
      </c>
      <c r="J365" s="32">
        <f>IF($A365=1,"CC10","")</f>
        <v/>
      </c>
      <c r="K365" s="32">
        <f>IF($A365=1,"-","")</f>
        <v/>
      </c>
      <c r="L365" s="32">
        <f>IF($A365=1,"إيراد مبيعات - فئة بيتزا","")</f>
        <v/>
      </c>
      <c r="M365" s="43">
        <f>IF($A365=1,0,"")</f>
        <v/>
      </c>
      <c r="N365" s="43">
        <f>IF($A365=1,Sales_Daily!$AE32,"")</f>
        <v/>
      </c>
      <c r="O365" s="32">
        <f>IF($A365=1,Sales_Daily!$S32,"")</f>
        <v/>
      </c>
      <c r="P365" s="32">
        <f>IF($A365=1,IF(Sales_Daily!$AW32="","",Sales_Daily!$AW32),"")</f>
        <v/>
      </c>
      <c r="Q365" s="32">
        <f>IF($A365=1,Sales_Daily!$AY32,"")</f>
        <v/>
      </c>
      <c r="R365" s="32">
        <f>IF($A365=1,IF(AND($Q365=1,COUNTIFS(COA!$A:$A,$G365,COA!$R:$R,1)=1),1,0),"")</f>
        <v/>
      </c>
      <c r="S365" s="43">
        <f>IF($A365=1,IF($R365=1,N($M365),0),"")</f>
        <v/>
      </c>
      <c r="T365" s="43">
        <f>IF($A365=1,IF($R365=1,N($N365),0),"")</f>
        <v/>
      </c>
      <c r="U365" s="32">
        <f>IF($A365=1,YEAR($D365)*100+MONTH($D365),"")</f>
        <v/>
      </c>
      <c r="V365" s="32">
        <f>IF($A365=1,IF(COUNTIF(COA!$A:$A,$G365)=0,0,INDEX(COA!$H:$H,MATCH($G365,COA!$A:$A,0))),"")</f>
        <v/>
      </c>
      <c r="W365" s="32">
        <f>IF($A365=1,"","")</f>
        <v/>
      </c>
      <c r="X365" s="32">
        <f>IF($A365=1,IF($R365=1,"",IF($O365=ST_POST,IF($P365&lt;&gt;"",$P365,"حساب غير صالح أو غير نشط"),IF($O365=ST_REV,"معكوس: لا أثر على الدفاتر",IF($O365=ST_CANC,"ملغى",IF($O365=ST_APPR,"معتمد ولم يُرحَّل","مسودة"))))),"")</f>
        <v/>
      </c>
      <c r="Y365" s="32">
        <f>IF($A365=1,IF(AND($R365=1,OR(LG_Acct="",$G365=LG_Acct),OR(LG_Party="",$K365=LG_Party),OR(LG_Loc="ALL",$I365=LG_Loc),OR(LG_CC="ALL",$J365=LG_CC),$D365&gt;=LG_From,$D365&lt;=LG_To),$D365+ROW()/1000000,""),"")</f>
        <v/>
      </c>
      <c r="Z365" s="32">
        <f>IF($A365=1,IF(Sales_Daily!$T32="","",Sales_Daily!$T32),"")</f>
        <v/>
      </c>
      <c r="AA365" s="32">
        <f>IF($A365=1,IF(Sales_Daily!$U32="","",Sales_Daily!$U32),"")</f>
        <v/>
      </c>
      <c r="AB365" s="32">
        <f>IF($A365=1,IF(Sales_Daily!$V32="","",Sales_Daily!$V32),"")</f>
        <v/>
      </c>
      <c r="AC365" s="32">
        <f>IF($A365=1,IF(Sales_Daily!$W32="","",Sales_Daily!$W32),"")</f>
        <v/>
      </c>
      <c r="AD365" s="32">
        <f>IF($A365=1,IF(Sales_Daily!$X32="","",Sales_Daily!$X32),"")</f>
        <v/>
      </c>
      <c r="AE365" s="32">
        <f>IF($A365=1,0,"")</f>
        <v/>
      </c>
      <c r="AF365" s="32" t="inlineStr"/>
    </row>
    <row r="366">
      <c r="A366" s="32">
        <f>IF(AND(Sales_Daily!$AV32=1,N(Sales_Daily!$AF32)&gt;0),1,0)</f>
        <v/>
      </c>
      <c r="B366" s="32">
        <f>IF($A366=1,$E366&amp;"/11","")</f>
        <v/>
      </c>
      <c r="C366" s="32">
        <f>IF($A366=1,"J-"&amp;Sales_Daily!$A32,"")</f>
        <v/>
      </c>
      <c r="D366" s="33">
        <f>IF($A366=1,Sales_Daily!$B32,"")</f>
        <v/>
      </c>
      <c r="E366" s="32">
        <f>IF($A366=1,IF(Sales_Daily!$A32="","",Sales_Daily!$A32),"")</f>
        <v/>
      </c>
      <c r="F366" s="32">
        <f>IF($A366=1,"SAL","")</f>
        <v/>
      </c>
      <c r="G366" s="32">
        <f>IF($A366=1,IF(Sales_Daily!$AS32="","",Sales_Daily!$AS32),"")</f>
        <v/>
      </c>
      <c r="H366" s="32">
        <f>IF($A366=1,IF(COUNTIF(COA!$A:$A,$G366)=0,"حساب غير معرف",INDEX(COA!$B:$B,MATCH($G366,COA!$A:$A,0))),"")</f>
        <v/>
      </c>
      <c r="I366" s="32">
        <f>IF($A366=1,IF(Sales_Daily!$C32="","",Sales_Daily!$C32),"")</f>
        <v/>
      </c>
      <c r="J366" s="32">
        <f>IF($A366=1,"CC10","")</f>
        <v/>
      </c>
      <c r="K366" s="32">
        <f>IF($A366=1,"-","")</f>
        <v/>
      </c>
      <c r="L366" s="32">
        <f>IF($A366=1,"إيراد مبيعات - فئة مكرونات","")</f>
        <v/>
      </c>
      <c r="M366" s="43">
        <f>IF($A366=1,0,"")</f>
        <v/>
      </c>
      <c r="N366" s="43">
        <f>IF($A366=1,Sales_Daily!$AF32,"")</f>
        <v/>
      </c>
      <c r="O366" s="32">
        <f>IF($A366=1,Sales_Daily!$S32,"")</f>
        <v/>
      </c>
      <c r="P366" s="32">
        <f>IF($A366=1,IF(Sales_Daily!$AW32="","",Sales_Daily!$AW32),"")</f>
        <v/>
      </c>
      <c r="Q366" s="32">
        <f>IF($A366=1,Sales_Daily!$AY32,"")</f>
        <v/>
      </c>
      <c r="R366" s="32">
        <f>IF($A366=1,IF(AND($Q366=1,COUNTIFS(COA!$A:$A,$G366,COA!$R:$R,1)=1),1,0),"")</f>
        <v/>
      </c>
      <c r="S366" s="43">
        <f>IF($A366=1,IF($R366=1,N($M366),0),"")</f>
        <v/>
      </c>
      <c r="T366" s="43">
        <f>IF($A366=1,IF($R366=1,N($N366),0),"")</f>
        <v/>
      </c>
      <c r="U366" s="32">
        <f>IF($A366=1,YEAR($D366)*100+MONTH($D366),"")</f>
        <v/>
      </c>
      <c r="V366" s="32">
        <f>IF($A366=1,IF(COUNTIF(COA!$A:$A,$G366)=0,0,INDEX(COA!$H:$H,MATCH($G366,COA!$A:$A,0))),"")</f>
        <v/>
      </c>
      <c r="W366" s="32">
        <f>IF($A366=1,"","")</f>
        <v/>
      </c>
      <c r="X366" s="32">
        <f>IF($A366=1,IF($R366=1,"",IF($O366=ST_POST,IF($P366&lt;&gt;"",$P366,"حساب غير صالح أو غير نشط"),IF($O366=ST_REV,"معكوس: لا أثر على الدفاتر",IF($O366=ST_CANC,"ملغى",IF($O366=ST_APPR,"معتمد ولم يُرحَّل","مسودة"))))),"")</f>
        <v/>
      </c>
      <c r="Y366" s="32">
        <f>IF($A366=1,IF(AND($R366=1,OR(LG_Acct="",$G366=LG_Acct),OR(LG_Party="",$K366=LG_Party),OR(LG_Loc="ALL",$I366=LG_Loc),OR(LG_CC="ALL",$J366=LG_CC),$D366&gt;=LG_From,$D366&lt;=LG_To),$D366+ROW()/1000000,""),"")</f>
        <v/>
      </c>
      <c r="Z366" s="32">
        <f>IF($A366=1,IF(Sales_Daily!$T32="","",Sales_Daily!$T32),"")</f>
        <v/>
      </c>
      <c r="AA366" s="32">
        <f>IF($A366=1,IF(Sales_Daily!$U32="","",Sales_Daily!$U32),"")</f>
        <v/>
      </c>
      <c r="AB366" s="32">
        <f>IF($A366=1,IF(Sales_Daily!$V32="","",Sales_Daily!$V32),"")</f>
        <v/>
      </c>
      <c r="AC366" s="32">
        <f>IF($A366=1,IF(Sales_Daily!$W32="","",Sales_Daily!$W32),"")</f>
        <v/>
      </c>
      <c r="AD366" s="32">
        <f>IF($A366=1,IF(Sales_Daily!$X32="","",Sales_Daily!$X32),"")</f>
        <v/>
      </c>
      <c r="AE366" s="32">
        <f>IF($A366=1,0,"")</f>
        <v/>
      </c>
      <c r="AF366" s="32" t="inlineStr"/>
    </row>
    <row r="367">
      <c r="A367" s="32">
        <f>IF(AND(Sales_Daily!$AV32=1,N(Sales_Daily!$AG32)&gt;0),1,0)</f>
        <v/>
      </c>
      <c r="B367" s="32">
        <f>IF($A367=1,$E367&amp;"/12","")</f>
        <v/>
      </c>
      <c r="C367" s="32">
        <f>IF($A367=1,"J-"&amp;Sales_Daily!$A32,"")</f>
        <v/>
      </c>
      <c r="D367" s="33">
        <f>IF($A367=1,Sales_Daily!$B32,"")</f>
        <v/>
      </c>
      <c r="E367" s="32">
        <f>IF($A367=1,IF(Sales_Daily!$A32="","",Sales_Daily!$A32),"")</f>
        <v/>
      </c>
      <c r="F367" s="32">
        <f>IF($A367=1,"SAL","")</f>
        <v/>
      </c>
      <c r="G367" s="32">
        <f>IF($A367=1,IF(Sales_Daily!$AT32="","",Sales_Daily!$AT32),"")</f>
        <v/>
      </c>
      <c r="H367" s="32">
        <f>IF($A367=1,IF(COUNTIF(COA!$A:$A,$G367)=0,"حساب غير معرف",INDEX(COA!$B:$B,MATCH($G367,COA!$A:$A,0))),"")</f>
        <v/>
      </c>
      <c r="I367" s="32">
        <f>IF($A367=1,IF(Sales_Daily!$C32="","",Sales_Daily!$C32),"")</f>
        <v/>
      </c>
      <c r="J367" s="32">
        <f>IF($A367=1,"CC10","")</f>
        <v/>
      </c>
      <c r="K367" s="32">
        <f>IF($A367=1,"-","")</f>
        <v/>
      </c>
      <c r="L367" s="32">
        <f>IF($A367=1,"إيراد مبيعات - فئة أخرى","")</f>
        <v/>
      </c>
      <c r="M367" s="43">
        <f>IF($A367=1,0,"")</f>
        <v/>
      </c>
      <c r="N367" s="43">
        <f>IF($A367=1,Sales_Daily!$AG32,"")</f>
        <v/>
      </c>
      <c r="O367" s="32">
        <f>IF($A367=1,Sales_Daily!$S32,"")</f>
        <v/>
      </c>
      <c r="P367" s="32">
        <f>IF($A367=1,IF(Sales_Daily!$AW32="","",Sales_Daily!$AW32),"")</f>
        <v/>
      </c>
      <c r="Q367" s="32">
        <f>IF($A367=1,Sales_Daily!$AY32,"")</f>
        <v/>
      </c>
      <c r="R367" s="32">
        <f>IF($A367=1,IF(AND($Q367=1,COUNTIFS(COA!$A:$A,$G367,COA!$R:$R,1)=1),1,0),"")</f>
        <v/>
      </c>
      <c r="S367" s="43">
        <f>IF($A367=1,IF($R367=1,N($M367),0),"")</f>
        <v/>
      </c>
      <c r="T367" s="43">
        <f>IF($A367=1,IF($R367=1,N($N367),0),"")</f>
        <v/>
      </c>
      <c r="U367" s="32">
        <f>IF($A367=1,YEAR($D367)*100+MONTH($D367),"")</f>
        <v/>
      </c>
      <c r="V367" s="32">
        <f>IF($A367=1,IF(COUNTIF(COA!$A:$A,$G367)=0,0,INDEX(COA!$H:$H,MATCH($G367,COA!$A:$A,0))),"")</f>
        <v/>
      </c>
      <c r="W367" s="32">
        <f>IF($A367=1,"","")</f>
        <v/>
      </c>
      <c r="X367" s="32">
        <f>IF($A367=1,IF($R367=1,"",IF($O367=ST_POST,IF($P367&lt;&gt;"",$P367,"حساب غير صالح أو غير نشط"),IF($O367=ST_REV,"معكوس: لا أثر على الدفاتر",IF($O367=ST_CANC,"ملغى",IF($O367=ST_APPR,"معتمد ولم يُرحَّل","مسودة"))))),"")</f>
        <v/>
      </c>
      <c r="Y367" s="32">
        <f>IF($A367=1,IF(AND($R367=1,OR(LG_Acct="",$G367=LG_Acct),OR(LG_Party="",$K367=LG_Party),OR(LG_Loc="ALL",$I367=LG_Loc),OR(LG_CC="ALL",$J367=LG_CC),$D367&gt;=LG_From,$D367&lt;=LG_To),$D367+ROW()/1000000,""),"")</f>
        <v/>
      </c>
      <c r="Z367" s="32">
        <f>IF($A367=1,IF(Sales_Daily!$T32="","",Sales_Daily!$T32),"")</f>
        <v/>
      </c>
      <c r="AA367" s="32">
        <f>IF($A367=1,IF(Sales_Daily!$U32="","",Sales_Daily!$U32),"")</f>
        <v/>
      </c>
      <c r="AB367" s="32">
        <f>IF($A367=1,IF(Sales_Daily!$V32="","",Sales_Daily!$V32),"")</f>
        <v/>
      </c>
      <c r="AC367" s="32">
        <f>IF($A367=1,IF(Sales_Daily!$W32="","",Sales_Daily!$W32),"")</f>
        <v/>
      </c>
      <c r="AD367" s="32">
        <f>IF($A367=1,IF(Sales_Daily!$X32="","",Sales_Daily!$X32),"")</f>
        <v/>
      </c>
      <c r="AE367" s="32">
        <f>IF($A367=1,0,"")</f>
        <v/>
      </c>
      <c r="AF367" s="32" t="inlineStr"/>
    </row>
    <row r="368">
      <c r="A368" s="32">
        <f>IF(AND(Sales_Daily!$AV32=1,N(Sales_Daily!$AJ32)&gt;0),1,0)</f>
        <v/>
      </c>
      <c r="B368" s="32">
        <f>IF($A368=1,$E368&amp;"/13","")</f>
        <v/>
      </c>
      <c r="C368" s="32">
        <f>IF($A368=1,"J-"&amp;Sales_Daily!$A32,"")</f>
        <v/>
      </c>
      <c r="D368" s="33">
        <f>IF($A368=1,Sales_Daily!$B32,"")</f>
        <v/>
      </c>
      <c r="E368" s="32">
        <f>IF($A368=1,IF(Sales_Daily!$A32="","",Sales_Daily!$A32),"")</f>
        <v/>
      </c>
      <c r="F368" s="32">
        <f>IF($A368=1,"SAL","")</f>
        <v/>
      </c>
      <c r="G368" s="32">
        <f>IF($A368=1,ACC_VAT_OUT,"")</f>
        <v/>
      </c>
      <c r="H368" s="32">
        <f>IF($A368=1,IF(COUNTIF(COA!$A:$A,$G368)=0,"حساب غير معرف",INDEX(COA!$B:$B,MATCH($G368,COA!$A:$A,0))),"")</f>
        <v/>
      </c>
      <c r="I368" s="32">
        <f>IF($A368=1,IF(Sales_Daily!$C32="","",Sales_Daily!$C32),"")</f>
        <v/>
      </c>
      <c r="J368" s="32">
        <f>IF($A368=1,"CC10","")</f>
        <v/>
      </c>
      <c r="K368" s="32">
        <f>IF($A368=1,"-","")</f>
        <v/>
      </c>
      <c r="L368" s="32">
        <f>IF($A368=1,"ضريبة القيمة المضافة - مخرجات","")</f>
        <v/>
      </c>
      <c r="M368" s="43">
        <f>IF($A368=1,0,"")</f>
        <v/>
      </c>
      <c r="N368" s="43">
        <f>IF($A368=1,Sales_Daily!$AJ32,"")</f>
        <v/>
      </c>
      <c r="O368" s="32">
        <f>IF($A368=1,Sales_Daily!$S32,"")</f>
        <v/>
      </c>
      <c r="P368" s="32">
        <f>IF($A368=1,IF(Sales_Daily!$AW32="","",Sales_Daily!$AW32),"")</f>
        <v/>
      </c>
      <c r="Q368" s="32">
        <f>IF($A368=1,Sales_Daily!$AY32,"")</f>
        <v/>
      </c>
      <c r="R368" s="32">
        <f>IF($A368=1,IF(AND($Q368=1,COUNTIFS(COA!$A:$A,$G368,COA!$R:$R,1)=1),1,0),"")</f>
        <v/>
      </c>
      <c r="S368" s="43">
        <f>IF($A368=1,IF($R368=1,N($M368),0),"")</f>
        <v/>
      </c>
      <c r="T368" s="43">
        <f>IF($A368=1,IF($R368=1,N($N368),0),"")</f>
        <v/>
      </c>
      <c r="U368" s="32">
        <f>IF($A368=1,YEAR($D368)*100+MONTH($D368),"")</f>
        <v/>
      </c>
      <c r="V368" s="32">
        <f>IF($A368=1,IF(COUNTIF(COA!$A:$A,$G368)=0,0,INDEX(COA!$H:$H,MATCH($G368,COA!$A:$A,0))),"")</f>
        <v/>
      </c>
      <c r="W368" s="32">
        <f>IF($A368=1,"","")</f>
        <v/>
      </c>
      <c r="X368" s="32">
        <f>IF($A368=1,IF($R368=1,"",IF($O368=ST_POST,IF($P368&lt;&gt;"",$P368,"حساب غير صالح أو غير نشط"),IF($O368=ST_REV,"معكوس: لا أثر على الدفاتر",IF($O368=ST_CANC,"ملغى",IF($O368=ST_APPR,"معتمد ولم يُرحَّل","مسودة"))))),"")</f>
        <v/>
      </c>
      <c r="Y368" s="32">
        <f>IF($A368=1,IF(AND($R368=1,OR(LG_Acct="",$G368=LG_Acct),OR(LG_Party="",$K368=LG_Party),OR(LG_Loc="ALL",$I368=LG_Loc),OR(LG_CC="ALL",$J368=LG_CC),$D368&gt;=LG_From,$D368&lt;=LG_To),$D368+ROW()/1000000,""),"")</f>
        <v/>
      </c>
      <c r="Z368" s="32">
        <f>IF($A368=1,IF(Sales_Daily!$T32="","",Sales_Daily!$T32),"")</f>
        <v/>
      </c>
      <c r="AA368" s="32">
        <f>IF($A368=1,IF(Sales_Daily!$U32="","",Sales_Daily!$U32),"")</f>
        <v/>
      </c>
      <c r="AB368" s="32">
        <f>IF($A368=1,IF(Sales_Daily!$V32="","",Sales_Daily!$V32),"")</f>
        <v/>
      </c>
      <c r="AC368" s="32">
        <f>IF($A368=1,IF(Sales_Daily!$W32="","",Sales_Daily!$W32),"")</f>
        <v/>
      </c>
      <c r="AD368" s="32">
        <f>IF($A368=1,IF(Sales_Daily!$X32="","",Sales_Daily!$X32),"")</f>
        <v/>
      </c>
      <c r="AE368" s="32">
        <f>IF($A368=1,0,"")</f>
        <v/>
      </c>
      <c r="AF368" s="32" t="inlineStr"/>
    </row>
    <row r="369">
      <c r="A369" s="32">
        <f>IF(AND(Sales_Daily!$AV33=1,N(Sales_Daily!$L33)&gt;0),1,0)</f>
        <v/>
      </c>
      <c r="B369" s="32">
        <f>IF($A369=1,$E369&amp;"/1","")</f>
        <v/>
      </c>
      <c r="C369" s="32">
        <f>IF($A369=1,"J-"&amp;Sales_Daily!$A33,"")</f>
        <v/>
      </c>
      <c r="D369" s="33">
        <f>IF($A369=1,Sales_Daily!$B33,"")</f>
        <v/>
      </c>
      <c r="E369" s="32">
        <f>IF($A369=1,IF(Sales_Daily!$A33="","",Sales_Daily!$A33),"")</f>
        <v/>
      </c>
      <c r="F369" s="32">
        <f>IF($A369=1,"SAL","")</f>
        <v/>
      </c>
      <c r="G369" s="32">
        <f>IF($A369=1,IF(Sales_Daily!$AK33="","",Sales_Daily!$AK33),"")</f>
        <v/>
      </c>
      <c r="H369" s="32">
        <f>IF($A369=1,IF(COUNTIF(COA!$A:$A,$G369)=0,"حساب غير معرف",INDEX(COA!$B:$B,MATCH($G369,COA!$A:$A,0))),"")</f>
        <v/>
      </c>
      <c r="I369" s="32">
        <f>IF($A369=1,IF(Sales_Daily!$C33="","",Sales_Daily!$C33),"")</f>
        <v/>
      </c>
      <c r="J369" s="32">
        <f>IF($A369=1,"CC10","")</f>
        <v/>
      </c>
      <c r="K369" s="32">
        <f>IF($A369=1,"-","")</f>
        <v/>
      </c>
      <c r="L369" s="32">
        <f>IF($A369=1,"مبيعات - تحصيل CASH","")</f>
        <v/>
      </c>
      <c r="M369" s="43">
        <f>IF($A369=1,Sales_Daily!$L33,"")</f>
        <v/>
      </c>
      <c r="N369" s="43">
        <f>IF($A369=1,0,"")</f>
        <v/>
      </c>
      <c r="O369" s="32">
        <f>IF($A369=1,Sales_Daily!$S33,"")</f>
        <v/>
      </c>
      <c r="P369" s="32">
        <f>IF($A369=1,IF(Sales_Daily!$AW33="","",Sales_Daily!$AW33),"")</f>
        <v/>
      </c>
      <c r="Q369" s="32">
        <f>IF($A369=1,Sales_Daily!$AY33,"")</f>
        <v/>
      </c>
      <c r="R369" s="32">
        <f>IF($A369=1,IF(AND($Q369=1,COUNTIFS(COA!$A:$A,$G369,COA!$R:$R,1)=1),1,0),"")</f>
        <v/>
      </c>
      <c r="S369" s="43">
        <f>IF($A369=1,IF($R369=1,N($M369),0),"")</f>
        <v/>
      </c>
      <c r="T369" s="43">
        <f>IF($A369=1,IF($R369=1,N($N369),0),"")</f>
        <v/>
      </c>
      <c r="U369" s="32">
        <f>IF($A369=1,YEAR($D369)*100+MONTH($D369),"")</f>
        <v/>
      </c>
      <c r="V369" s="32">
        <f>IF($A369=1,IF(COUNTIF(COA!$A:$A,$G369)=0,0,INDEX(COA!$H:$H,MATCH($G369,COA!$A:$A,0))),"")</f>
        <v/>
      </c>
      <c r="W369" s="32">
        <f>IF($A369=1,"OPERATING","")</f>
        <v/>
      </c>
      <c r="X369" s="32">
        <f>IF($A369=1,IF($R369=1,"",IF($O369=ST_POST,IF($P369&lt;&gt;"",$P369,"حساب غير صالح أو غير نشط"),IF($O369=ST_REV,"معكوس: لا أثر على الدفاتر",IF($O369=ST_CANC,"ملغى",IF($O369=ST_APPR,"معتمد ولم يُرحَّل","مسودة"))))),"")</f>
        <v/>
      </c>
      <c r="Y369" s="32">
        <f>IF($A369=1,IF(AND($R369=1,OR(LG_Acct="",$G369=LG_Acct),OR(LG_Party="",$K369=LG_Party),OR(LG_Loc="ALL",$I369=LG_Loc),OR(LG_CC="ALL",$J369=LG_CC),$D369&gt;=LG_From,$D369&lt;=LG_To),$D369+ROW()/1000000,""),"")</f>
        <v/>
      </c>
      <c r="Z369" s="32">
        <f>IF($A369=1,IF(Sales_Daily!$T33="","",Sales_Daily!$T33),"")</f>
        <v/>
      </c>
      <c r="AA369" s="32">
        <f>IF($A369=1,IF(Sales_Daily!$U33="","",Sales_Daily!$U33),"")</f>
        <v/>
      </c>
      <c r="AB369" s="32">
        <f>IF($A369=1,IF(Sales_Daily!$V33="","",Sales_Daily!$V33),"")</f>
        <v/>
      </c>
      <c r="AC369" s="32">
        <f>IF($A369=1,IF(Sales_Daily!$W33="","",Sales_Daily!$W33),"")</f>
        <v/>
      </c>
      <c r="AD369" s="32">
        <f>IF($A369=1,IF(Sales_Daily!$X33="","",Sales_Daily!$X33),"")</f>
        <v/>
      </c>
      <c r="AE369" s="32">
        <f>IF($A369=1,0,"")</f>
        <v/>
      </c>
      <c r="AF369" s="32" t="inlineStr"/>
    </row>
    <row r="370">
      <c r="A370" s="32">
        <f>IF(AND(Sales_Daily!$AV33=1,N(Sales_Daily!$M33)&gt;0),1,0)</f>
        <v/>
      </c>
      <c r="B370" s="32">
        <f>IF($A370=1,$E370&amp;"/2","")</f>
        <v/>
      </c>
      <c r="C370" s="32">
        <f>IF($A370=1,"J-"&amp;Sales_Daily!$A33,"")</f>
        <v/>
      </c>
      <c r="D370" s="33">
        <f>IF($A370=1,Sales_Daily!$B33,"")</f>
        <v/>
      </c>
      <c r="E370" s="32">
        <f>IF($A370=1,IF(Sales_Daily!$A33="","",Sales_Daily!$A33),"")</f>
        <v/>
      </c>
      <c r="F370" s="32">
        <f>IF($A370=1,"SAL","")</f>
        <v/>
      </c>
      <c r="G370" s="32">
        <f>IF($A370=1,IF(Sales_Daily!$AL33="","",Sales_Daily!$AL33),"")</f>
        <v/>
      </c>
      <c r="H370" s="32">
        <f>IF($A370=1,IF(COUNTIF(COA!$A:$A,$G370)=0,"حساب غير معرف",INDEX(COA!$B:$B,MATCH($G370,COA!$A:$A,0))),"")</f>
        <v/>
      </c>
      <c r="I370" s="32">
        <f>IF($A370=1,IF(Sales_Daily!$C33="","",Sales_Daily!$C33),"")</f>
        <v/>
      </c>
      <c r="J370" s="32">
        <f>IF($A370=1,"CC10","")</f>
        <v/>
      </c>
      <c r="K370" s="32">
        <f>IF($A370=1,"-","")</f>
        <v/>
      </c>
      <c r="L370" s="32">
        <f>IF($A370=1,"مبيعات - تحصيل CARD","")</f>
        <v/>
      </c>
      <c r="M370" s="43">
        <f>IF($A370=1,Sales_Daily!$M33,"")</f>
        <v/>
      </c>
      <c r="N370" s="43">
        <f>IF($A370=1,0,"")</f>
        <v/>
      </c>
      <c r="O370" s="32">
        <f>IF($A370=1,Sales_Daily!$S33,"")</f>
        <v/>
      </c>
      <c r="P370" s="32">
        <f>IF($A370=1,IF(Sales_Daily!$AW33="","",Sales_Daily!$AW33),"")</f>
        <v/>
      </c>
      <c r="Q370" s="32">
        <f>IF($A370=1,Sales_Daily!$AY33,"")</f>
        <v/>
      </c>
      <c r="R370" s="32">
        <f>IF($A370=1,IF(AND($Q370=1,COUNTIFS(COA!$A:$A,$G370,COA!$R:$R,1)=1),1,0),"")</f>
        <v/>
      </c>
      <c r="S370" s="43">
        <f>IF($A370=1,IF($R370=1,N($M370),0),"")</f>
        <v/>
      </c>
      <c r="T370" s="43">
        <f>IF($A370=1,IF($R370=1,N($N370),0),"")</f>
        <v/>
      </c>
      <c r="U370" s="32">
        <f>IF($A370=1,YEAR($D370)*100+MONTH($D370),"")</f>
        <v/>
      </c>
      <c r="V370" s="32">
        <f>IF($A370=1,IF(COUNTIF(COA!$A:$A,$G370)=0,0,INDEX(COA!$H:$H,MATCH($G370,COA!$A:$A,0))),"")</f>
        <v/>
      </c>
      <c r="W370" s="32">
        <f>IF($A370=1,"OPERATING","")</f>
        <v/>
      </c>
      <c r="X370" s="32">
        <f>IF($A370=1,IF($R370=1,"",IF($O370=ST_POST,IF($P370&lt;&gt;"",$P370,"حساب غير صالح أو غير نشط"),IF($O370=ST_REV,"معكوس: لا أثر على الدفاتر",IF($O370=ST_CANC,"ملغى",IF($O370=ST_APPR,"معتمد ولم يُرحَّل","مسودة"))))),"")</f>
        <v/>
      </c>
      <c r="Y370" s="32">
        <f>IF($A370=1,IF(AND($R370=1,OR(LG_Acct="",$G370=LG_Acct),OR(LG_Party="",$K370=LG_Party),OR(LG_Loc="ALL",$I370=LG_Loc),OR(LG_CC="ALL",$J370=LG_CC),$D370&gt;=LG_From,$D370&lt;=LG_To),$D370+ROW()/1000000,""),"")</f>
        <v/>
      </c>
      <c r="Z370" s="32">
        <f>IF($A370=1,IF(Sales_Daily!$T33="","",Sales_Daily!$T33),"")</f>
        <v/>
      </c>
      <c r="AA370" s="32">
        <f>IF($A370=1,IF(Sales_Daily!$U33="","",Sales_Daily!$U33),"")</f>
        <v/>
      </c>
      <c r="AB370" s="32">
        <f>IF($A370=1,IF(Sales_Daily!$V33="","",Sales_Daily!$V33),"")</f>
        <v/>
      </c>
      <c r="AC370" s="32">
        <f>IF($A370=1,IF(Sales_Daily!$W33="","",Sales_Daily!$W33),"")</f>
        <v/>
      </c>
      <c r="AD370" s="32">
        <f>IF($A370=1,IF(Sales_Daily!$X33="","",Sales_Daily!$X33),"")</f>
        <v/>
      </c>
      <c r="AE370" s="32">
        <f>IF($A370=1,0,"")</f>
        <v/>
      </c>
      <c r="AF370" s="32" t="inlineStr"/>
    </row>
    <row r="371">
      <c r="A371" s="32">
        <f>IF(AND(Sales_Daily!$AV33=1,N(Sales_Daily!$N33)&gt;0),1,0)</f>
        <v/>
      </c>
      <c r="B371" s="32">
        <f>IF($A371=1,$E371&amp;"/3","")</f>
        <v/>
      </c>
      <c r="C371" s="32">
        <f>IF($A371=1,"J-"&amp;Sales_Daily!$A33,"")</f>
        <v/>
      </c>
      <c r="D371" s="33">
        <f>IF($A371=1,Sales_Daily!$B33,"")</f>
        <v/>
      </c>
      <c r="E371" s="32">
        <f>IF($A371=1,IF(Sales_Daily!$A33="","",Sales_Daily!$A33),"")</f>
        <v/>
      </c>
      <c r="F371" s="32">
        <f>IF($A371=1,"SAL","")</f>
        <v/>
      </c>
      <c r="G371" s="32">
        <f>IF($A371=1,IF(Sales_Daily!$AM33="","",Sales_Daily!$AM33),"")</f>
        <v/>
      </c>
      <c r="H371" s="32">
        <f>IF($A371=1,IF(COUNTIF(COA!$A:$A,$G371)=0,"حساب غير معرف",INDEX(COA!$B:$B,MATCH($G371,COA!$A:$A,0))),"")</f>
        <v/>
      </c>
      <c r="I371" s="32">
        <f>IF($A371=1,IF(Sales_Daily!$C33="","",Sales_Daily!$C33),"")</f>
        <v/>
      </c>
      <c r="J371" s="32">
        <f>IF($A371=1,"CC10","")</f>
        <v/>
      </c>
      <c r="K371" s="32">
        <f>IF($A371=1,"-","")</f>
        <v/>
      </c>
      <c r="L371" s="32">
        <f>IF($A371=1,"مبيعات - تحصيل TLB","")</f>
        <v/>
      </c>
      <c r="M371" s="43">
        <f>IF($A371=1,Sales_Daily!$N33,"")</f>
        <v/>
      </c>
      <c r="N371" s="43">
        <f>IF($A371=1,0,"")</f>
        <v/>
      </c>
      <c r="O371" s="32">
        <f>IF($A371=1,Sales_Daily!$S33,"")</f>
        <v/>
      </c>
      <c r="P371" s="32">
        <f>IF($A371=1,IF(Sales_Daily!$AW33="","",Sales_Daily!$AW33),"")</f>
        <v/>
      </c>
      <c r="Q371" s="32">
        <f>IF($A371=1,Sales_Daily!$AY33,"")</f>
        <v/>
      </c>
      <c r="R371" s="32">
        <f>IF($A371=1,IF(AND($Q371=1,COUNTIFS(COA!$A:$A,$G371,COA!$R:$R,1)=1),1,0),"")</f>
        <v/>
      </c>
      <c r="S371" s="43">
        <f>IF($A371=1,IF($R371=1,N($M371),0),"")</f>
        <v/>
      </c>
      <c r="T371" s="43">
        <f>IF($A371=1,IF($R371=1,N($N371),0),"")</f>
        <v/>
      </c>
      <c r="U371" s="32">
        <f>IF($A371=1,YEAR($D371)*100+MONTH($D371),"")</f>
        <v/>
      </c>
      <c r="V371" s="32">
        <f>IF($A371=1,IF(COUNTIF(COA!$A:$A,$G371)=0,0,INDEX(COA!$H:$H,MATCH($G371,COA!$A:$A,0))),"")</f>
        <v/>
      </c>
      <c r="W371" s="32">
        <f>IF($A371=1,"OPERATING","")</f>
        <v/>
      </c>
      <c r="X371" s="32">
        <f>IF($A371=1,IF($R371=1,"",IF($O371=ST_POST,IF($P371&lt;&gt;"",$P371,"حساب غير صالح أو غير نشط"),IF($O371=ST_REV,"معكوس: لا أثر على الدفاتر",IF($O371=ST_CANC,"ملغى",IF($O371=ST_APPR,"معتمد ولم يُرحَّل","مسودة"))))),"")</f>
        <v/>
      </c>
      <c r="Y371" s="32">
        <f>IF($A371=1,IF(AND($R371=1,OR(LG_Acct="",$G371=LG_Acct),OR(LG_Party="",$K371=LG_Party),OR(LG_Loc="ALL",$I371=LG_Loc),OR(LG_CC="ALL",$J371=LG_CC),$D371&gt;=LG_From,$D371&lt;=LG_To),$D371+ROW()/1000000,""),"")</f>
        <v/>
      </c>
      <c r="Z371" s="32">
        <f>IF($A371=1,IF(Sales_Daily!$T33="","",Sales_Daily!$T33),"")</f>
        <v/>
      </c>
      <c r="AA371" s="32">
        <f>IF($A371=1,IF(Sales_Daily!$U33="","",Sales_Daily!$U33),"")</f>
        <v/>
      </c>
      <c r="AB371" s="32">
        <f>IF($A371=1,IF(Sales_Daily!$V33="","",Sales_Daily!$V33),"")</f>
        <v/>
      </c>
      <c r="AC371" s="32">
        <f>IF($A371=1,IF(Sales_Daily!$W33="","",Sales_Daily!$W33),"")</f>
        <v/>
      </c>
      <c r="AD371" s="32">
        <f>IF($A371=1,IF(Sales_Daily!$X33="","",Sales_Daily!$X33),"")</f>
        <v/>
      </c>
      <c r="AE371" s="32">
        <f>IF($A371=1,0,"")</f>
        <v/>
      </c>
      <c r="AF371" s="32" t="inlineStr"/>
    </row>
    <row r="372">
      <c r="A372" s="32">
        <f>IF(AND(Sales_Daily!$AV33=1,N(Sales_Daily!$O33)&gt;0),1,0)</f>
        <v/>
      </c>
      <c r="B372" s="32">
        <f>IF($A372=1,$E372&amp;"/4","")</f>
        <v/>
      </c>
      <c r="C372" s="32">
        <f>IF($A372=1,"J-"&amp;Sales_Daily!$A33,"")</f>
        <v/>
      </c>
      <c r="D372" s="33">
        <f>IF($A372=1,Sales_Daily!$B33,"")</f>
        <v/>
      </c>
      <c r="E372" s="32">
        <f>IF($A372=1,IF(Sales_Daily!$A33="","",Sales_Daily!$A33),"")</f>
        <v/>
      </c>
      <c r="F372" s="32">
        <f>IF($A372=1,"SAL","")</f>
        <v/>
      </c>
      <c r="G372" s="32">
        <f>IF($A372=1,IF(Sales_Daily!$AN33="","",Sales_Daily!$AN33),"")</f>
        <v/>
      </c>
      <c r="H372" s="32">
        <f>IF($A372=1,IF(COUNTIF(COA!$A:$A,$G372)=0,"حساب غير معرف",INDEX(COA!$B:$B,MATCH($G372,COA!$A:$A,0))),"")</f>
        <v/>
      </c>
      <c r="I372" s="32">
        <f>IF($A372=1,IF(Sales_Daily!$C33="","",Sales_Daily!$C33),"")</f>
        <v/>
      </c>
      <c r="J372" s="32">
        <f>IF($A372=1,"CC10","")</f>
        <v/>
      </c>
      <c r="K372" s="32">
        <f>IF($A372=1,"-","")</f>
        <v/>
      </c>
      <c r="L372" s="32">
        <f>IF($A372=1,"مبيعات - تحصيل DLV2","")</f>
        <v/>
      </c>
      <c r="M372" s="43">
        <f>IF($A372=1,Sales_Daily!$O33,"")</f>
        <v/>
      </c>
      <c r="N372" s="43">
        <f>IF($A372=1,0,"")</f>
        <v/>
      </c>
      <c r="O372" s="32">
        <f>IF($A372=1,Sales_Daily!$S33,"")</f>
        <v/>
      </c>
      <c r="P372" s="32">
        <f>IF($A372=1,IF(Sales_Daily!$AW33="","",Sales_Daily!$AW33),"")</f>
        <v/>
      </c>
      <c r="Q372" s="32">
        <f>IF($A372=1,Sales_Daily!$AY33,"")</f>
        <v/>
      </c>
      <c r="R372" s="32">
        <f>IF($A372=1,IF(AND($Q372=1,COUNTIFS(COA!$A:$A,$G372,COA!$R:$R,1)=1),1,0),"")</f>
        <v/>
      </c>
      <c r="S372" s="43">
        <f>IF($A372=1,IF($R372=1,N($M372),0),"")</f>
        <v/>
      </c>
      <c r="T372" s="43">
        <f>IF($A372=1,IF($R372=1,N($N372),0),"")</f>
        <v/>
      </c>
      <c r="U372" s="32">
        <f>IF($A372=1,YEAR($D372)*100+MONTH($D372),"")</f>
        <v/>
      </c>
      <c r="V372" s="32">
        <f>IF($A372=1,IF(COUNTIF(COA!$A:$A,$G372)=0,0,INDEX(COA!$H:$H,MATCH($G372,COA!$A:$A,0))),"")</f>
        <v/>
      </c>
      <c r="W372" s="32">
        <f>IF($A372=1,"OPERATING","")</f>
        <v/>
      </c>
      <c r="X372" s="32">
        <f>IF($A372=1,IF($R372=1,"",IF($O372=ST_POST,IF($P372&lt;&gt;"",$P372,"حساب غير صالح أو غير نشط"),IF($O372=ST_REV,"معكوس: لا أثر على الدفاتر",IF($O372=ST_CANC,"ملغى",IF($O372=ST_APPR,"معتمد ولم يُرحَّل","مسودة"))))),"")</f>
        <v/>
      </c>
      <c r="Y372" s="32">
        <f>IF($A372=1,IF(AND($R372=1,OR(LG_Acct="",$G372=LG_Acct),OR(LG_Party="",$K372=LG_Party),OR(LG_Loc="ALL",$I372=LG_Loc),OR(LG_CC="ALL",$J372=LG_CC),$D372&gt;=LG_From,$D372&lt;=LG_To),$D372+ROW()/1000000,""),"")</f>
        <v/>
      </c>
      <c r="Z372" s="32">
        <f>IF($A372=1,IF(Sales_Daily!$T33="","",Sales_Daily!$T33),"")</f>
        <v/>
      </c>
      <c r="AA372" s="32">
        <f>IF($A372=1,IF(Sales_Daily!$U33="","",Sales_Daily!$U33),"")</f>
        <v/>
      </c>
      <c r="AB372" s="32">
        <f>IF($A372=1,IF(Sales_Daily!$V33="","",Sales_Daily!$V33),"")</f>
        <v/>
      </c>
      <c r="AC372" s="32">
        <f>IF($A372=1,IF(Sales_Daily!$W33="","",Sales_Daily!$W33),"")</f>
        <v/>
      </c>
      <c r="AD372" s="32">
        <f>IF($A372=1,IF(Sales_Daily!$X33="","",Sales_Daily!$X33),"")</f>
        <v/>
      </c>
      <c r="AE372" s="32">
        <f>IF($A372=1,0,"")</f>
        <v/>
      </c>
      <c r="AF372" s="32" t="inlineStr"/>
    </row>
    <row r="373">
      <c r="A373" s="32">
        <f>IF(AND(Sales_Daily!$AV33=1,N(Sales_Daily!$P33)&gt;0),1,0)</f>
        <v/>
      </c>
      <c r="B373" s="32">
        <f>IF($A373=1,$E373&amp;"/5","")</f>
        <v/>
      </c>
      <c r="C373" s="32">
        <f>IF($A373=1,"J-"&amp;Sales_Daily!$A33,"")</f>
        <v/>
      </c>
      <c r="D373" s="33">
        <f>IF($A373=1,Sales_Daily!$B33,"")</f>
        <v/>
      </c>
      <c r="E373" s="32">
        <f>IF($A373=1,IF(Sales_Daily!$A33="","",Sales_Daily!$A33),"")</f>
        <v/>
      </c>
      <c r="F373" s="32">
        <f>IF($A373=1,"SAL","")</f>
        <v/>
      </c>
      <c r="G373" s="32">
        <f>IF($A373=1,IF(Sales_Daily!$AO33="","",Sales_Daily!$AO33),"")</f>
        <v/>
      </c>
      <c r="H373" s="32">
        <f>IF($A373=1,IF(COUNTIF(COA!$A:$A,$G373)=0,"حساب غير معرف",INDEX(COA!$B:$B,MATCH($G373,COA!$A:$A,0))),"")</f>
        <v/>
      </c>
      <c r="I373" s="32">
        <f>IF($A373=1,IF(Sales_Daily!$C33="","",Sales_Daily!$C33),"")</f>
        <v/>
      </c>
      <c r="J373" s="32">
        <f>IF($A373=1,"CC10","")</f>
        <v/>
      </c>
      <c r="K373" s="32">
        <f>IF($A373=1,"-","")</f>
        <v/>
      </c>
      <c r="L373" s="32">
        <f>IF($A373=1,"مبيعات - تحصيل INSTA","")</f>
        <v/>
      </c>
      <c r="M373" s="43">
        <f>IF($A373=1,Sales_Daily!$P33,"")</f>
        <v/>
      </c>
      <c r="N373" s="43">
        <f>IF($A373=1,0,"")</f>
        <v/>
      </c>
      <c r="O373" s="32">
        <f>IF($A373=1,Sales_Daily!$S33,"")</f>
        <v/>
      </c>
      <c r="P373" s="32">
        <f>IF($A373=1,IF(Sales_Daily!$AW33="","",Sales_Daily!$AW33),"")</f>
        <v/>
      </c>
      <c r="Q373" s="32">
        <f>IF($A373=1,Sales_Daily!$AY33,"")</f>
        <v/>
      </c>
      <c r="R373" s="32">
        <f>IF($A373=1,IF(AND($Q373=1,COUNTIFS(COA!$A:$A,$G373,COA!$R:$R,1)=1),1,0),"")</f>
        <v/>
      </c>
      <c r="S373" s="43">
        <f>IF($A373=1,IF($R373=1,N($M373),0),"")</f>
        <v/>
      </c>
      <c r="T373" s="43">
        <f>IF($A373=1,IF($R373=1,N($N373),0),"")</f>
        <v/>
      </c>
      <c r="U373" s="32">
        <f>IF($A373=1,YEAR($D373)*100+MONTH($D373),"")</f>
        <v/>
      </c>
      <c r="V373" s="32">
        <f>IF($A373=1,IF(COUNTIF(COA!$A:$A,$G373)=0,0,INDEX(COA!$H:$H,MATCH($G373,COA!$A:$A,0))),"")</f>
        <v/>
      </c>
      <c r="W373" s="32">
        <f>IF($A373=1,"OPERATING","")</f>
        <v/>
      </c>
      <c r="X373" s="32">
        <f>IF($A373=1,IF($R373=1,"",IF($O373=ST_POST,IF($P373&lt;&gt;"",$P373,"حساب غير صالح أو غير نشط"),IF($O373=ST_REV,"معكوس: لا أثر على الدفاتر",IF($O373=ST_CANC,"ملغى",IF($O373=ST_APPR,"معتمد ولم يُرحَّل","مسودة"))))),"")</f>
        <v/>
      </c>
      <c r="Y373" s="32">
        <f>IF($A373=1,IF(AND($R373=1,OR(LG_Acct="",$G373=LG_Acct),OR(LG_Party="",$K373=LG_Party),OR(LG_Loc="ALL",$I373=LG_Loc),OR(LG_CC="ALL",$J373=LG_CC),$D373&gt;=LG_From,$D373&lt;=LG_To),$D373+ROW()/1000000,""),"")</f>
        <v/>
      </c>
      <c r="Z373" s="32">
        <f>IF($A373=1,IF(Sales_Daily!$T33="","",Sales_Daily!$T33),"")</f>
        <v/>
      </c>
      <c r="AA373" s="32">
        <f>IF($A373=1,IF(Sales_Daily!$U33="","",Sales_Daily!$U33),"")</f>
        <v/>
      </c>
      <c r="AB373" s="32">
        <f>IF($A373=1,IF(Sales_Daily!$V33="","",Sales_Daily!$V33),"")</f>
        <v/>
      </c>
      <c r="AC373" s="32">
        <f>IF($A373=1,IF(Sales_Daily!$W33="","",Sales_Daily!$W33),"")</f>
        <v/>
      </c>
      <c r="AD373" s="32">
        <f>IF($A373=1,IF(Sales_Daily!$X33="","",Sales_Daily!$X33),"")</f>
        <v/>
      </c>
      <c r="AE373" s="32">
        <f>IF($A373=1,0,"")</f>
        <v/>
      </c>
      <c r="AF373" s="32" t="inlineStr"/>
    </row>
    <row r="374">
      <c r="A374" s="32">
        <f>IF(AND(Sales_Daily!$AV33=1,N(Sales_Daily!$Q33)&gt;0),1,0)</f>
        <v/>
      </c>
      <c r="B374" s="32">
        <f>IF($A374=1,$E374&amp;"/6","")</f>
        <v/>
      </c>
      <c r="C374" s="32">
        <f>IF($A374=1,"J-"&amp;Sales_Daily!$A33,"")</f>
        <v/>
      </c>
      <c r="D374" s="33">
        <f>IF($A374=1,Sales_Daily!$B33,"")</f>
        <v/>
      </c>
      <c r="E374" s="32">
        <f>IF($A374=1,IF(Sales_Daily!$A33="","",Sales_Daily!$A33),"")</f>
        <v/>
      </c>
      <c r="F374" s="32">
        <f>IF($A374=1,"SAL","")</f>
        <v/>
      </c>
      <c r="G374" s="32">
        <f>IF($A374=1,IF(Sales_Daily!$AP33="","",Sales_Daily!$AP33),"")</f>
        <v/>
      </c>
      <c r="H374" s="32">
        <f>IF($A374=1,IF(COUNTIF(COA!$A:$A,$G374)=0,"حساب غير معرف",INDEX(COA!$B:$B,MATCH($G374,COA!$A:$A,0))),"")</f>
        <v/>
      </c>
      <c r="I374" s="32">
        <f>IF($A374=1,IF(Sales_Daily!$C33="","",Sales_Daily!$C33),"")</f>
        <v/>
      </c>
      <c r="J374" s="32">
        <f>IF($A374=1,"CC10","")</f>
        <v/>
      </c>
      <c r="K374" s="32">
        <f>IF($A374=1,"-","")</f>
        <v/>
      </c>
      <c r="L374" s="32">
        <f>IF($A374=1,"مبيعات - تحصيل OTH","")</f>
        <v/>
      </c>
      <c r="M374" s="43">
        <f>IF($A374=1,Sales_Daily!$Q33,"")</f>
        <v/>
      </c>
      <c r="N374" s="43">
        <f>IF($A374=1,0,"")</f>
        <v/>
      </c>
      <c r="O374" s="32">
        <f>IF($A374=1,Sales_Daily!$S33,"")</f>
        <v/>
      </c>
      <c r="P374" s="32">
        <f>IF($A374=1,IF(Sales_Daily!$AW33="","",Sales_Daily!$AW33),"")</f>
        <v/>
      </c>
      <c r="Q374" s="32">
        <f>IF($A374=1,Sales_Daily!$AY33,"")</f>
        <v/>
      </c>
      <c r="R374" s="32">
        <f>IF($A374=1,IF(AND($Q374=1,COUNTIFS(COA!$A:$A,$G374,COA!$R:$R,1)=1),1,0),"")</f>
        <v/>
      </c>
      <c r="S374" s="43">
        <f>IF($A374=1,IF($R374=1,N($M374),0),"")</f>
        <v/>
      </c>
      <c r="T374" s="43">
        <f>IF($A374=1,IF($R374=1,N($N374),0),"")</f>
        <v/>
      </c>
      <c r="U374" s="32">
        <f>IF($A374=1,YEAR($D374)*100+MONTH($D374),"")</f>
        <v/>
      </c>
      <c r="V374" s="32">
        <f>IF($A374=1,IF(COUNTIF(COA!$A:$A,$G374)=0,0,INDEX(COA!$H:$H,MATCH($G374,COA!$A:$A,0))),"")</f>
        <v/>
      </c>
      <c r="W374" s="32">
        <f>IF($A374=1,"OPERATING","")</f>
        <v/>
      </c>
      <c r="X374" s="32">
        <f>IF($A374=1,IF($R374=1,"",IF($O374=ST_POST,IF($P374&lt;&gt;"",$P374,"حساب غير صالح أو غير نشط"),IF($O374=ST_REV,"معكوس: لا أثر على الدفاتر",IF($O374=ST_CANC,"ملغى",IF($O374=ST_APPR,"معتمد ولم يُرحَّل","مسودة"))))),"")</f>
        <v/>
      </c>
      <c r="Y374" s="32">
        <f>IF($A374=1,IF(AND($R374=1,OR(LG_Acct="",$G374=LG_Acct),OR(LG_Party="",$K374=LG_Party),OR(LG_Loc="ALL",$I374=LG_Loc),OR(LG_CC="ALL",$J374=LG_CC),$D374&gt;=LG_From,$D374&lt;=LG_To),$D374+ROW()/1000000,""),"")</f>
        <v/>
      </c>
      <c r="Z374" s="32">
        <f>IF($A374=1,IF(Sales_Daily!$T33="","",Sales_Daily!$T33),"")</f>
        <v/>
      </c>
      <c r="AA374" s="32">
        <f>IF($A374=1,IF(Sales_Daily!$U33="","",Sales_Daily!$U33),"")</f>
        <v/>
      </c>
      <c r="AB374" s="32">
        <f>IF($A374=1,IF(Sales_Daily!$V33="","",Sales_Daily!$V33),"")</f>
        <v/>
      </c>
      <c r="AC374" s="32">
        <f>IF($A374=1,IF(Sales_Daily!$W33="","",Sales_Daily!$W33),"")</f>
        <v/>
      </c>
      <c r="AD374" s="32">
        <f>IF($A374=1,IF(Sales_Daily!$X33="","",Sales_Daily!$X33),"")</f>
        <v/>
      </c>
      <c r="AE374" s="32">
        <f>IF($A374=1,0,"")</f>
        <v/>
      </c>
      <c r="AF374" s="32" t="inlineStr"/>
    </row>
    <row r="375">
      <c r="A375" s="32">
        <f>IF(AND(Sales_Daily!$AV33=1,N(Sales_Daily!$AH33)&gt;0),1,0)</f>
        <v/>
      </c>
      <c r="B375" s="32">
        <f>IF($A375=1,$E375&amp;"/7","")</f>
        <v/>
      </c>
      <c r="C375" s="32">
        <f>IF($A375=1,"J-"&amp;Sales_Daily!$A33,"")</f>
        <v/>
      </c>
      <c r="D375" s="33">
        <f>IF($A375=1,Sales_Daily!$B33,"")</f>
        <v/>
      </c>
      <c r="E375" s="32">
        <f>IF($A375=1,IF(Sales_Daily!$A33="","",Sales_Daily!$A33),"")</f>
        <v/>
      </c>
      <c r="F375" s="32">
        <f>IF($A375=1,"SAL","")</f>
        <v/>
      </c>
      <c r="G375" s="32">
        <f>IF($A375=1,ACC_DISC,"")</f>
        <v/>
      </c>
      <c r="H375" s="32">
        <f>IF($A375=1,IF(COUNTIF(COA!$A:$A,$G375)=0,"حساب غير معرف",INDEX(COA!$B:$B,MATCH($G375,COA!$A:$A,0))),"")</f>
        <v/>
      </c>
      <c r="I375" s="32">
        <f>IF($A375=1,IF(Sales_Daily!$C33="","",Sales_Daily!$C33),"")</f>
        <v/>
      </c>
      <c r="J375" s="32">
        <f>IF($A375=1,"CC10","")</f>
        <v/>
      </c>
      <c r="K375" s="32">
        <f>IF($A375=1,"-","")</f>
        <v/>
      </c>
      <c r="L375" s="32">
        <f>IF($A375=1,"خصومات المبيعات والعروض","")</f>
        <v/>
      </c>
      <c r="M375" s="43">
        <f>IF($A375=1,Sales_Daily!$AH33,"")</f>
        <v/>
      </c>
      <c r="N375" s="43">
        <f>IF($A375=1,0,"")</f>
        <v/>
      </c>
      <c r="O375" s="32">
        <f>IF($A375=1,Sales_Daily!$S33,"")</f>
        <v/>
      </c>
      <c r="P375" s="32">
        <f>IF($A375=1,IF(Sales_Daily!$AW33="","",Sales_Daily!$AW33),"")</f>
        <v/>
      </c>
      <c r="Q375" s="32">
        <f>IF($A375=1,Sales_Daily!$AY33,"")</f>
        <v/>
      </c>
      <c r="R375" s="32">
        <f>IF($A375=1,IF(AND($Q375=1,COUNTIFS(COA!$A:$A,$G375,COA!$R:$R,1)=1),1,0),"")</f>
        <v/>
      </c>
      <c r="S375" s="43">
        <f>IF($A375=1,IF($R375=1,N($M375),0),"")</f>
        <v/>
      </c>
      <c r="T375" s="43">
        <f>IF($A375=1,IF($R375=1,N($N375),0),"")</f>
        <v/>
      </c>
      <c r="U375" s="32">
        <f>IF($A375=1,YEAR($D375)*100+MONTH($D375),"")</f>
        <v/>
      </c>
      <c r="V375" s="32">
        <f>IF($A375=1,IF(COUNTIF(COA!$A:$A,$G375)=0,0,INDEX(COA!$H:$H,MATCH($G375,COA!$A:$A,0))),"")</f>
        <v/>
      </c>
      <c r="W375" s="32">
        <f>IF($A375=1,"","")</f>
        <v/>
      </c>
      <c r="X375" s="32">
        <f>IF($A375=1,IF($R375=1,"",IF($O375=ST_POST,IF($P375&lt;&gt;"",$P375,"حساب غير صالح أو غير نشط"),IF($O375=ST_REV,"معكوس: لا أثر على الدفاتر",IF($O375=ST_CANC,"ملغى",IF($O375=ST_APPR,"معتمد ولم يُرحَّل","مسودة"))))),"")</f>
        <v/>
      </c>
      <c r="Y375" s="32">
        <f>IF($A375=1,IF(AND($R375=1,OR(LG_Acct="",$G375=LG_Acct),OR(LG_Party="",$K375=LG_Party),OR(LG_Loc="ALL",$I375=LG_Loc),OR(LG_CC="ALL",$J375=LG_CC),$D375&gt;=LG_From,$D375&lt;=LG_To),$D375+ROW()/1000000,""),"")</f>
        <v/>
      </c>
      <c r="Z375" s="32">
        <f>IF($A375=1,IF(Sales_Daily!$T33="","",Sales_Daily!$T33),"")</f>
        <v/>
      </c>
      <c r="AA375" s="32">
        <f>IF($A375=1,IF(Sales_Daily!$U33="","",Sales_Daily!$U33),"")</f>
        <v/>
      </c>
      <c r="AB375" s="32">
        <f>IF($A375=1,IF(Sales_Daily!$V33="","",Sales_Daily!$V33),"")</f>
        <v/>
      </c>
      <c r="AC375" s="32">
        <f>IF($A375=1,IF(Sales_Daily!$W33="","",Sales_Daily!$W33),"")</f>
        <v/>
      </c>
      <c r="AD375" s="32">
        <f>IF($A375=1,IF(Sales_Daily!$X33="","",Sales_Daily!$X33),"")</f>
        <v/>
      </c>
      <c r="AE375" s="32">
        <f>IF($A375=1,0,"")</f>
        <v/>
      </c>
      <c r="AF375" s="32" t="inlineStr"/>
    </row>
    <row r="376">
      <c r="A376" s="32">
        <f>IF(AND(Sales_Daily!$AV33=1,N(Sales_Daily!$AI33)&gt;0),1,0)</f>
        <v/>
      </c>
      <c r="B376" s="32">
        <f>IF($A376=1,$E376&amp;"/8","")</f>
        <v/>
      </c>
      <c r="C376" s="32">
        <f>IF($A376=1,"J-"&amp;Sales_Daily!$A33,"")</f>
        <v/>
      </c>
      <c r="D376" s="33">
        <f>IF($A376=1,Sales_Daily!$B33,"")</f>
        <v/>
      </c>
      <c r="E376" s="32">
        <f>IF($A376=1,IF(Sales_Daily!$A33="","",Sales_Daily!$A33),"")</f>
        <v/>
      </c>
      <c r="F376" s="32">
        <f>IF($A376=1,"SAL","")</f>
        <v/>
      </c>
      <c r="G376" s="32">
        <f>IF($A376=1,ACC_RET,"")</f>
        <v/>
      </c>
      <c r="H376" s="32">
        <f>IF($A376=1,IF(COUNTIF(COA!$A:$A,$G376)=0,"حساب غير معرف",INDEX(COA!$B:$B,MATCH($G376,COA!$A:$A,0))),"")</f>
        <v/>
      </c>
      <c r="I376" s="32">
        <f>IF($A376=1,IF(Sales_Daily!$C33="","",Sales_Daily!$C33),"")</f>
        <v/>
      </c>
      <c r="J376" s="32">
        <f>IF($A376=1,"CC10","")</f>
        <v/>
      </c>
      <c r="K376" s="32">
        <f>IF($A376=1,"-","")</f>
        <v/>
      </c>
      <c r="L376" s="32">
        <f>IF($A376=1,"مرتجعات وإلغاءات المبيعات","")</f>
        <v/>
      </c>
      <c r="M376" s="43">
        <f>IF($A376=1,Sales_Daily!$AI33,"")</f>
        <v/>
      </c>
      <c r="N376" s="43">
        <f>IF($A376=1,0,"")</f>
        <v/>
      </c>
      <c r="O376" s="32">
        <f>IF($A376=1,Sales_Daily!$S33,"")</f>
        <v/>
      </c>
      <c r="P376" s="32">
        <f>IF($A376=1,IF(Sales_Daily!$AW33="","",Sales_Daily!$AW33),"")</f>
        <v/>
      </c>
      <c r="Q376" s="32">
        <f>IF($A376=1,Sales_Daily!$AY33,"")</f>
        <v/>
      </c>
      <c r="R376" s="32">
        <f>IF($A376=1,IF(AND($Q376=1,COUNTIFS(COA!$A:$A,$G376,COA!$R:$R,1)=1),1,0),"")</f>
        <v/>
      </c>
      <c r="S376" s="43">
        <f>IF($A376=1,IF($R376=1,N($M376),0),"")</f>
        <v/>
      </c>
      <c r="T376" s="43">
        <f>IF($A376=1,IF($R376=1,N($N376),0),"")</f>
        <v/>
      </c>
      <c r="U376" s="32">
        <f>IF($A376=1,YEAR($D376)*100+MONTH($D376),"")</f>
        <v/>
      </c>
      <c r="V376" s="32">
        <f>IF($A376=1,IF(COUNTIF(COA!$A:$A,$G376)=0,0,INDEX(COA!$H:$H,MATCH($G376,COA!$A:$A,0))),"")</f>
        <v/>
      </c>
      <c r="W376" s="32">
        <f>IF($A376=1,"","")</f>
        <v/>
      </c>
      <c r="X376" s="32">
        <f>IF($A376=1,IF($R376=1,"",IF($O376=ST_POST,IF($P376&lt;&gt;"",$P376,"حساب غير صالح أو غير نشط"),IF($O376=ST_REV,"معكوس: لا أثر على الدفاتر",IF($O376=ST_CANC,"ملغى",IF($O376=ST_APPR,"معتمد ولم يُرحَّل","مسودة"))))),"")</f>
        <v/>
      </c>
      <c r="Y376" s="32">
        <f>IF($A376=1,IF(AND($R376=1,OR(LG_Acct="",$G376=LG_Acct),OR(LG_Party="",$K376=LG_Party),OR(LG_Loc="ALL",$I376=LG_Loc),OR(LG_CC="ALL",$J376=LG_CC),$D376&gt;=LG_From,$D376&lt;=LG_To),$D376+ROW()/1000000,""),"")</f>
        <v/>
      </c>
      <c r="Z376" s="32">
        <f>IF($A376=1,IF(Sales_Daily!$T33="","",Sales_Daily!$T33),"")</f>
        <v/>
      </c>
      <c r="AA376" s="32">
        <f>IF($A376=1,IF(Sales_Daily!$U33="","",Sales_Daily!$U33),"")</f>
        <v/>
      </c>
      <c r="AB376" s="32">
        <f>IF($A376=1,IF(Sales_Daily!$V33="","",Sales_Daily!$V33),"")</f>
        <v/>
      </c>
      <c r="AC376" s="32">
        <f>IF($A376=1,IF(Sales_Daily!$W33="","",Sales_Daily!$W33),"")</f>
        <v/>
      </c>
      <c r="AD376" s="32">
        <f>IF($A376=1,IF(Sales_Daily!$X33="","",Sales_Daily!$X33),"")</f>
        <v/>
      </c>
      <c r="AE376" s="32">
        <f>IF($A376=1,0,"")</f>
        <v/>
      </c>
      <c r="AF376" s="32" t="inlineStr"/>
    </row>
    <row r="377">
      <c r="A377" s="32">
        <f>IF(AND(Sales_Daily!$AV33=1,N(Sales_Daily!$AD33)&gt;0),1,0)</f>
        <v/>
      </c>
      <c r="B377" s="32">
        <f>IF($A377=1,$E377&amp;"/9","")</f>
        <v/>
      </c>
      <c r="C377" s="32">
        <f>IF($A377=1,"J-"&amp;Sales_Daily!$A33,"")</f>
        <v/>
      </c>
      <c r="D377" s="33">
        <f>IF($A377=1,Sales_Daily!$B33,"")</f>
        <v/>
      </c>
      <c r="E377" s="32">
        <f>IF($A377=1,IF(Sales_Daily!$A33="","",Sales_Daily!$A33),"")</f>
        <v/>
      </c>
      <c r="F377" s="32">
        <f>IF($A377=1,"SAL","")</f>
        <v/>
      </c>
      <c r="G377" s="32">
        <f>IF($A377=1,IF(Sales_Daily!$AQ33="","",Sales_Daily!$AQ33),"")</f>
        <v/>
      </c>
      <c r="H377" s="32">
        <f>IF($A377=1,IF(COUNTIF(COA!$A:$A,$G377)=0,"حساب غير معرف",INDEX(COA!$B:$B,MATCH($G377,COA!$A:$A,0))),"")</f>
        <v/>
      </c>
      <c r="I377" s="32">
        <f>IF($A377=1,IF(Sales_Daily!$C33="","",Sales_Daily!$C33),"")</f>
        <v/>
      </c>
      <c r="J377" s="32">
        <f>IF($A377=1,"CC10","")</f>
        <v/>
      </c>
      <c r="K377" s="32">
        <f>IF($A377=1,"-","")</f>
        <v/>
      </c>
      <c r="L377" s="32">
        <f>IF($A377=1,"إيراد مبيعات - فئة فطير","")</f>
        <v/>
      </c>
      <c r="M377" s="43">
        <f>IF($A377=1,0,"")</f>
        <v/>
      </c>
      <c r="N377" s="43">
        <f>IF($A377=1,Sales_Daily!$AD33,"")</f>
        <v/>
      </c>
      <c r="O377" s="32">
        <f>IF($A377=1,Sales_Daily!$S33,"")</f>
        <v/>
      </c>
      <c r="P377" s="32">
        <f>IF($A377=1,IF(Sales_Daily!$AW33="","",Sales_Daily!$AW33),"")</f>
        <v/>
      </c>
      <c r="Q377" s="32">
        <f>IF($A377=1,Sales_Daily!$AY33,"")</f>
        <v/>
      </c>
      <c r="R377" s="32">
        <f>IF($A377=1,IF(AND($Q377=1,COUNTIFS(COA!$A:$A,$G377,COA!$R:$R,1)=1),1,0),"")</f>
        <v/>
      </c>
      <c r="S377" s="43">
        <f>IF($A377=1,IF($R377=1,N($M377),0),"")</f>
        <v/>
      </c>
      <c r="T377" s="43">
        <f>IF($A377=1,IF($R377=1,N($N377),0),"")</f>
        <v/>
      </c>
      <c r="U377" s="32">
        <f>IF($A377=1,YEAR($D377)*100+MONTH($D377),"")</f>
        <v/>
      </c>
      <c r="V377" s="32">
        <f>IF($A377=1,IF(COUNTIF(COA!$A:$A,$G377)=0,0,INDEX(COA!$H:$H,MATCH($G377,COA!$A:$A,0))),"")</f>
        <v/>
      </c>
      <c r="W377" s="32">
        <f>IF($A377=1,"","")</f>
        <v/>
      </c>
      <c r="X377" s="32">
        <f>IF($A377=1,IF($R377=1,"",IF($O377=ST_POST,IF($P377&lt;&gt;"",$P377,"حساب غير صالح أو غير نشط"),IF($O377=ST_REV,"معكوس: لا أثر على الدفاتر",IF($O377=ST_CANC,"ملغى",IF($O377=ST_APPR,"معتمد ولم يُرحَّل","مسودة"))))),"")</f>
        <v/>
      </c>
      <c r="Y377" s="32">
        <f>IF($A377=1,IF(AND($R377=1,OR(LG_Acct="",$G377=LG_Acct),OR(LG_Party="",$K377=LG_Party),OR(LG_Loc="ALL",$I377=LG_Loc),OR(LG_CC="ALL",$J377=LG_CC),$D377&gt;=LG_From,$D377&lt;=LG_To),$D377+ROW()/1000000,""),"")</f>
        <v/>
      </c>
      <c r="Z377" s="32">
        <f>IF($A377=1,IF(Sales_Daily!$T33="","",Sales_Daily!$T33),"")</f>
        <v/>
      </c>
      <c r="AA377" s="32">
        <f>IF($A377=1,IF(Sales_Daily!$U33="","",Sales_Daily!$U33),"")</f>
        <v/>
      </c>
      <c r="AB377" s="32">
        <f>IF($A377=1,IF(Sales_Daily!$V33="","",Sales_Daily!$V33),"")</f>
        <v/>
      </c>
      <c r="AC377" s="32">
        <f>IF($A377=1,IF(Sales_Daily!$W33="","",Sales_Daily!$W33),"")</f>
        <v/>
      </c>
      <c r="AD377" s="32">
        <f>IF($A377=1,IF(Sales_Daily!$X33="","",Sales_Daily!$X33),"")</f>
        <v/>
      </c>
      <c r="AE377" s="32">
        <f>IF($A377=1,0,"")</f>
        <v/>
      </c>
      <c r="AF377" s="32" t="inlineStr"/>
    </row>
    <row r="378">
      <c r="A378" s="32">
        <f>IF(AND(Sales_Daily!$AV33=1,N(Sales_Daily!$AE33)&gt;0),1,0)</f>
        <v/>
      </c>
      <c r="B378" s="32">
        <f>IF($A378=1,$E378&amp;"/10","")</f>
        <v/>
      </c>
      <c r="C378" s="32">
        <f>IF($A378=1,"J-"&amp;Sales_Daily!$A33,"")</f>
        <v/>
      </c>
      <c r="D378" s="33">
        <f>IF($A378=1,Sales_Daily!$B33,"")</f>
        <v/>
      </c>
      <c r="E378" s="32">
        <f>IF($A378=1,IF(Sales_Daily!$A33="","",Sales_Daily!$A33),"")</f>
        <v/>
      </c>
      <c r="F378" s="32">
        <f>IF($A378=1,"SAL","")</f>
        <v/>
      </c>
      <c r="G378" s="32">
        <f>IF($A378=1,IF(Sales_Daily!$AR33="","",Sales_Daily!$AR33),"")</f>
        <v/>
      </c>
      <c r="H378" s="32">
        <f>IF($A378=1,IF(COUNTIF(COA!$A:$A,$G378)=0,"حساب غير معرف",INDEX(COA!$B:$B,MATCH($G378,COA!$A:$A,0))),"")</f>
        <v/>
      </c>
      <c r="I378" s="32">
        <f>IF($A378=1,IF(Sales_Daily!$C33="","",Sales_Daily!$C33),"")</f>
        <v/>
      </c>
      <c r="J378" s="32">
        <f>IF($A378=1,"CC10","")</f>
        <v/>
      </c>
      <c r="K378" s="32">
        <f>IF($A378=1,"-","")</f>
        <v/>
      </c>
      <c r="L378" s="32">
        <f>IF($A378=1,"إيراد مبيعات - فئة بيتزا","")</f>
        <v/>
      </c>
      <c r="M378" s="43">
        <f>IF($A378=1,0,"")</f>
        <v/>
      </c>
      <c r="N378" s="43">
        <f>IF($A378=1,Sales_Daily!$AE33,"")</f>
        <v/>
      </c>
      <c r="O378" s="32">
        <f>IF($A378=1,Sales_Daily!$S33,"")</f>
        <v/>
      </c>
      <c r="P378" s="32">
        <f>IF($A378=1,IF(Sales_Daily!$AW33="","",Sales_Daily!$AW33),"")</f>
        <v/>
      </c>
      <c r="Q378" s="32">
        <f>IF($A378=1,Sales_Daily!$AY33,"")</f>
        <v/>
      </c>
      <c r="R378" s="32">
        <f>IF($A378=1,IF(AND($Q378=1,COUNTIFS(COA!$A:$A,$G378,COA!$R:$R,1)=1),1,0),"")</f>
        <v/>
      </c>
      <c r="S378" s="43">
        <f>IF($A378=1,IF($R378=1,N($M378),0),"")</f>
        <v/>
      </c>
      <c r="T378" s="43">
        <f>IF($A378=1,IF($R378=1,N($N378),0),"")</f>
        <v/>
      </c>
      <c r="U378" s="32">
        <f>IF($A378=1,YEAR($D378)*100+MONTH($D378),"")</f>
        <v/>
      </c>
      <c r="V378" s="32">
        <f>IF($A378=1,IF(COUNTIF(COA!$A:$A,$G378)=0,0,INDEX(COA!$H:$H,MATCH($G378,COA!$A:$A,0))),"")</f>
        <v/>
      </c>
      <c r="W378" s="32">
        <f>IF($A378=1,"","")</f>
        <v/>
      </c>
      <c r="X378" s="32">
        <f>IF($A378=1,IF($R378=1,"",IF($O378=ST_POST,IF($P378&lt;&gt;"",$P378,"حساب غير صالح أو غير نشط"),IF($O378=ST_REV,"معكوس: لا أثر على الدفاتر",IF($O378=ST_CANC,"ملغى",IF($O378=ST_APPR,"معتمد ولم يُرحَّل","مسودة"))))),"")</f>
        <v/>
      </c>
      <c r="Y378" s="32">
        <f>IF($A378=1,IF(AND($R378=1,OR(LG_Acct="",$G378=LG_Acct),OR(LG_Party="",$K378=LG_Party),OR(LG_Loc="ALL",$I378=LG_Loc),OR(LG_CC="ALL",$J378=LG_CC),$D378&gt;=LG_From,$D378&lt;=LG_To),$D378+ROW()/1000000,""),"")</f>
        <v/>
      </c>
      <c r="Z378" s="32">
        <f>IF($A378=1,IF(Sales_Daily!$T33="","",Sales_Daily!$T33),"")</f>
        <v/>
      </c>
      <c r="AA378" s="32">
        <f>IF($A378=1,IF(Sales_Daily!$U33="","",Sales_Daily!$U33),"")</f>
        <v/>
      </c>
      <c r="AB378" s="32">
        <f>IF($A378=1,IF(Sales_Daily!$V33="","",Sales_Daily!$V33),"")</f>
        <v/>
      </c>
      <c r="AC378" s="32">
        <f>IF($A378=1,IF(Sales_Daily!$W33="","",Sales_Daily!$W33),"")</f>
        <v/>
      </c>
      <c r="AD378" s="32">
        <f>IF($A378=1,IF(Sales_Daily!$X33="","",Sales_Daily!$X33),"")</f>
        <v/>
      </c>
      <c r="AE378" s="32">
        <f>IF($A378=1,0,"")</f>
        <v/>
      </c>
      <c r="AF378" s="32" t="inlineStr"/>
    </row>
    <row r="379">
      <c r="A379" s="32">
        <f>IF(AND(Sales_Daily!$AV33=1,N(Sales_Daily!$AF33)&gt;0),1,0)</f>
        <v/>
      </c>
      <c r="B379" s="32">
        <f>IF($A379=1,$E379&amp;"/11","")</f>
        <v/>
      </c>
      <c r="C379" s="32">
        <f>IF($A379=1,"J-"&amp;Sales_Daily!$A33,"")</f>
        <v/>
      </c>
      <c r="D379" s="33">
        <f>IF($A379=1,Sales_Daily!$B33,"")</f>
        <v/>
      </c>
      <c r="E379" s="32">
        <f>IF($A379=1,IF(Sales_Daily!$A33="","",Sales_Daily!$A33),"")</f>
        <v/>
      </c>
      <c r="F379" s="32">
        <f>IF($A379=1,"SAL","")</f>
        <v/>
      </c>
      <c r="G379" s="32">
        <f>IF($A379=1,IF(Sales_Daily!$AS33="","",Sales_Daily!$AS33),"")</f>
        <v/>
      </c>
      <c r="H379" s="32">
        <f>IF($A379=1,IF(COUNTIF(COA!$A:$A,$G379)=0,"حساب غير معرف",INDEX(COA!$B:$B,MATCH($G379,COA!$A:$A,0))),"")</f>
        <v/>
      </c>
      <c r="I379" s="32">
        <f>IF($A379=1,IF(Sales_Daily!$C33="","",Sales_Daily!$C33),"")</f>
        <v/>
      </c>
      <c r="J379" s="32">
        <f>IF($A379=1,"CC10","")</f>
        <v/>
      </c>
      <c r="K379" s="32">
        <f>IF($A379=1,"-","")</f>
        <v/>
      </c>
      <c r="L379" s="32">
        <f>IF($A379=1,"إيراد مبيعات - فئة مكرونات","")</f>
        <v/>
      </c>
      <c r="M379" s="43">
        <f>IF($A379=1,0,"")</f>
        <v/>
      </c>
      <c r="N379" s="43">
        <f>IF($A379=1,Sales_Daily!$AF33,"")</f>
        <v/>
      </c>
      <c r="O379" s="32">
        <f>IF($A379=1,Sales_Daily!$S33,"")</f>
        <v/>
      </c>
      <c r="P379" s="32">
        <f>IF($A379=1,IF(Sales_Daily!$AW33="","",Sales_Daily!$AW33),"")</f>
        <v/>
      </c>
      <c r="Q379" s="32">
        <f>IF($A379=1,Sales_Daily!$AY33,"")</f>
        <v/>
      </c>
      <c r="R379" s="32">
        <f>IF($A379=1,IF(AND($Q379=1,COUNTIFS(COA!$A:$A,$G379,COA!$R:$R,1)=1),1,0),"")</f>
        <v/>
      </c>
      <c r="S379" s="43">
        <f>IF($A379=1,IF($R379=1,N($M379),0),"")</f>
        <v/>
      </c>
      <c r="T379" s="43">
        <f>IF($A379=1,IF($R379=1,N($N379),0),"")</f>
        <v/>
      </c>
      <c r="U379" s="32">
        <f>IF($A379=1,YEAR($D379)*100+MONTH($D379),"")</f>
        <v/>
      </c>
      <c r="V379" s="32">
        <f>IF($A379=1,IF(COUNTIF(COA!$A:$A,$G379)=0,0,INDEX(COA!$H:$H,MATCH($G379,COA!$A:$A,0))),"")</f>
        <v/>
      </c>
      <c r="W379" s="32">
        <f>IF($A379=1,"","")</f>
        <v/>
      </c>
      <c r="X379" s="32">
        <f>IF($A379=1,IF($R379=1,"",IF($O379=ST_POST,IF($P379&lt;&gt;"",$P379,"حساب غير صالح أو غير نشط"),IF($O379=ST_REV,"معكوس: لا أثر على الدفاتر",IF($O379=ST_CANC,"ملغى",IF($O379=ST_APPR,"معتمد ولم يُرحَّل","مسودة"))))),"")</f>
        <v/>
      </c>
      <c r="Y379" s="32">
        <f>IF($A379=1,IF(AND($R379=1,OR(LG_Acct="",$G379=LG_Acct),OR(LG_Party="",$K379=LG_Party),OR(LG_Loc="ALL",$I379=LG_Loc),OR(LG_CC="ALL",$J379=LG_CC),$D379&gt;=LG_From,$D379&lt;=LG_To),$D379+ROW()/1000000,""),"")</f>
        <v/>
      </c>
      <c r="Z379" s="32">
        <f>IF($A379=1,IF(Sales_Daily!$T33="","",Sales_Daily!$T33),"")</f>
        <v/>
      </c>
      <c r="AA379" s="32">
        <f>IF($A379=1,IF(Sales_Daily!$U33="","",Sales_Daily!$U33),"")</f>
        <v/>
      </c>
      <c r="AB379" s="32">
        <f>IF($A379=1,IF(Sales_Daily!$V33="","",Sales_Daily!$V33),"")</f>
        <v/>
      </c>
      <c r="AC379" s="32">
        <f>IF($A379=1,IF(Sales_Daily!$W33="","",Sales_Daily!$W33),"")</f>
        <v/>
      </c>
      <c r="AD379" s="32">
        <f>IF($A379=1,IF(Sales_Daily!$X33="","",Sales_Daily!$X33),"")</f>
        <v/>
      </c>
      <c r="AE379" s="32">
        <f>IF($A379=1,0,"")</f>
        <v/>
      </c>
      <c r="AF379" s="32" t="inlineStr"/>
    </row>
    <row r="380">
      <c r="A380" s="32">
        <f>IF(AND(Sales_Daily!$AV33=1,N(Sales_Daily!$AG33)&gt;0),1,0)</f>
        <v/>
      </c>
      <c r="B380" s="32">
        <f>IF($A380=1,$E380&amp;"/12","")</f>
        <v/>
      </c>
      <c r="C380" s="32">
        <f>IF($A380=1,"J-"&amp;Sales_Daily!$A33,"")</f>
        <v/>
      </c>
      <c r="D380" s="33">
        <f>IF($A380=1,Sales_Daily!$B33,"")</f>
        <v/>
      </c>
      <c r="E380" s="32">
        <f>IF($A380=1,IF(Sales_Daily!$A33="","",Sales_Daily!$A33),"")</f>
        <v/>
      </c>
      <c r="F380" s="32">
        <f>IF($A380=1,"SAL","")</f>
        <v/>
      </c>
      <c r="G380" s="32">
        <f>IF($A380=1,IF(Sales_Daily!$AT33="","",Sales_Daily!$AT33),"")</f>
        <v/>
      </c>
      <c r="H380" s="32">
        <f>IF($A380=1,IF(COUNTIF(COA!$A:$A,$G380)=0,"حساب غير معرف",INDEX(COA!$B:$B,MATCH($G380,COA!$A:$A,0))),"")</f>
        <v/>
      </c>
      <c r="I380" s="32">
        <f>IF($A380=1,IF(Sales_Daily!$C33="","",Sales_Daily!$C33),"")</f>
        <v/>
      </c>
      <c r="J380" s="32">
        <f>IF($A380=1,"CC10","")</f>
        <v/>
      </c>
      <c r="K380" s="32">
        <f>IF($A380=1,"-","")</f>
        <v/>
      </c>
      <c r="L380" s="32">
        <f>IF($A380=1,"إيراد مبيعات - فئة أخرى","")</f>
        <v/>
      </c>
      <c r="M380" s="43">
        <f>IF($A380=1,0,"")</f>
        <v/>
      </c>
      <c r="N380" s="43">
        <f>IF($A380=1,Sales_Daily!$AG33,"")</f>
        <v/>
      </c>
      <c r="O380" s="32">
        <f>IF($A380=1,Sales_Daily!$S33,"")</f>
        <v/>
      </c>
      <c r="P380" s="32">
        <f>IF($A380=1,IF(Sales_Daily!$AW33="","",Sales_Daily!$AW33),"")</f>
        <v/>
      </c>
      <c r="Q380" s="32">
        <f>IF($A380=1,Sales_Daily!$AY33,"")</f>
        <v/>
      </c>
      <c r="R380" s="32">
        <f>IF($A380=1,IF(AND($Q380=1,COUNTIFS(COA!$A:$A,$G380,COA!$R:$R,1)=1),1,0),"")</f>
        <v/>
      </c>
      <c r="S380" s="43">
        <f>IF($A380=1,IF($R380=1,N($M380),0),"")</f>
        <v/>
      </c>
      <c r="T380" s="43">
        <f>IF($A380=1,IF($R380=1,N($N380),0),"")</f>
        <v/>
      </c>
      <c r="U380" s="32">
        <f>IF($A380=1,YEAR($D380)*100+MONTH($D380),"")</f>
        <v/>
      </c>
      <c r="V380" s="32">
        <f>IF($A380=1,IF(COUNTIF(COA!$A:$A,$G380)=0,0,INDEX(COA!$H:$H,MATCH($G380,COA!$A:$A,0))),"")</f>
        <v/>
      </c>
      <c r="W380" s="32">
        <f>IF($A380=1,"","")</f>
        <v/>
      </c>
      <c r="X380" s="32">
        <f>IF($A380=1,IF($R380=1,"",IF($O380=ST_POST,IF($P380&lt;&gt;"",$P380,"حساب غير صالح أو غير نشط"),IF($O380=ST_REV,"معكوس: لا أثر على الدفاتر",IF($O380=ST_CANC,"ملغى",IF($O380=ST_APPR,"معتمد ولم يُرحَّل","مسودة"))))),"")</f>
        <v/>
      </c>
      <c r="Y380" s="32">
        <f>IF($A380=1,IF(AND($R380=1,OR(LG_Acct="",$G380=LG_Acct),OR(LG_Party="",$K380=LG_Party),OR(LG_Loc="ALL",$I380=LG_Loc),OR(LG_CC="ALL",$J380=LG_CC),$D380&gt;=LG_From,$D380&lt;=LG_To),$D380+ROW()/1000000,""),"")</f>
        <v/>
      </c>
      <c r="Z380" s="32">
        <f>IF($A380=1,IF(Sales_Daily!$T33="","",Sales_Daily!$T33),"")</f>
        <v/>
      </c>
      <c r="AA380" s="32">
        <f>IF($A380=1,IF(Sales_Daily!$U33="","",Sales_Daily!$U33),"")</f>
        <v/>
      </c>
      <c r="AB380" s="32">
        <f>IF($A380=1,IF(Sales_Daily!$V33="","",Sales_Daily!$V33),"")</f>
        <v/>
      </c>
      <c r="AC380" s="32">
        <f>IF($A380=1,IF(Sales_Daily!$W33="","",Sales_Daily!$W33),"")</f>
        <v/>
      </c>
      <c r="AD380" s="32">
        <f>IF($A380=1,IF(Sales_Daily!$X33="","",Sales_Daily!$X33),"")</f>
        <v/>
      </c>
      <c r="AE380" s="32">
        <f>IF($A380=1,0,"")</f>
        <v/>
      </c>
      <c r="AF380" s="32" t="inlineStr"/>
    </row>
    <row r="381">
      <c r="A381" s="32">
        <f>IF(AND(Sales_Daily!$AV33=1,N(Sales_Daily!$AJ33)&gt;0),1,0)</f>
        <v/>
      </c>
      <c r="B381" s="32">
        <f>IF($A381=1,$E381&amp;"/13","")</f>
        <v/>
      </c>
      <c r="C381" s="32">
        <f>IF($A381=1,"J-"&amp;Sales_Daily!$A33,"")</f>
        <v/>
      </c>
      <c r="D381" s="33">
        <f>IF($A381=1,Sales_Daily!$B33,"")</f>
        <v/>
      </c>
      <c r="E381" s="32">
        <f>IF($A381=1,IF(Sales_Daily!$A33="","",Sales_Daily!$A33),"")</f>
        <v/>
      </c>
      <c r="F381" s="32">
        <f>IF($A381=1,"SAL","")</f>
        <v/>
      </c>
      <c r="G381" s="32">
        <f>IF($A381=1,ACC_VAT_OUT,"")</f>
        <v/>
      </c>
      <c r="H381" s="32">
        <f>IF($A381=1,IF(COUNTIF(COA!$A:$A,$G381)=0,"حساب غير معرف",INDEX(COA!$B:$B,MATCH($G381,COA!$A:$A,0))),"")</f>
        <v/>
      </c>
      <c r="I381" s="32">
        <f>IF($A381=1,IF(Sales_Daily!$C33="","",Sales_Daily!$C33),"")</f>
        <v/>
      </c>
      <c r="J381" s="32">
        <f>IF($A381=1,"CC10","")</f>
        <v/>
      </c>
      <c r="K381" s="32">
        <f>IF($A381=1,"-","")</f>
        <v/>
      </c>
      <c r="L381" s="32">
        <f>IF($A381=1,"ضريبة القيمة المضافة - مخرجات","")</f>
        <v/>
      </c>
      <c r="M381" s="43">
        <f>IF($A381=1,0,"")</f>
        <v/>
      </c>
      <c r="N381" s="43">
        <f>IF($A381=1,Sales_Daily!$AJ33,"")</f>
        <v/>
      </c>
      <c r="O381" s="32">
        <f>IF($A381=1,Sales_Daily!$S33,"")</f>
        <v/>
      </c>
      <c r="P381" s="32">
        <f>IF($A381=1,IF(Sales_Daily!$AW33="","",Sales_Daily!$AW33),"")</f>
        <v/>
      </c>
      <c r="Q381" s="32">
        <f>IF($A381=1,Sales_Daily!$AY33,"")</f>
        <v/>
      </c>
      <c r="R381" s="32">
        <f>IF($A381=1,IF(AND($Q381=1,COUNTIFS(COA!$A:$A,$G381,COA!$R:$R,1)=1),1,0),"")</f>
        <v/>
      </c>
      <c r="S381" s="43">
        <f>IF($A381=1,IF($R381=1,N($M381),0),"")</f>
        <v/>
      </c>
      <c r="T381" s="43">
        <f>IF($A381=1,IF($R381=1,N($N381),0),"")</f>
        <v/>
      </c>
      <c r="U381" s="32">
        <f>IF($A381=1,YEAR($D381)*100+MONTH($D381),"")</f>
        <v/>
      </c>
      <c r="V381" s="32">
        <f>IF($A381=1,IF(COUNTIF(COA!$A:$A,$G381)=0,0,INDEX(COA!$H:$H,MATCH($G381,COA!$A:$A,0))),"")</f>
        <v/>
      </c>
      <c r="W381" s="32">
        <f>IF($A381=1,"","")</f>
        <v/>
      </c>
      <c r="X381" s="32">
        <f>IF($A381=1,IF($R381=1,"",IF($O381=ST_POST,IF($P381&lt;&gt;"",$P381,"حساب غير صالح أو غير نشط"),IF($O381=ST_REV,"معكوس: لا أثر على الدفاتر",IF($O381=ST_CANC,"ملغى",IF($O381=ST_APPR,"معتمد ولم يُرحَّل","مسودة"))))),"")</f>
        <v/>
      </c>
      <c r="Y381" s="32">
        <f>IF($A381=1,IF(AND($R381=1,OR(LG_Acct="",$G381=LG_Acct),OR(LG_Party="",$K381=LG_Party),OR(LG_Loc="ALL",$I381=LG_Loc),OR(LG_CC="ALL",$J381=LG_CC),$D381&gt;=LG_From,$D381&lt;=LG_To),$D381+ROW()/1000000,""),"")</f>
        <v/>
      </c>
      <c r="Z381" s="32">
        <f>IF($A381=1,IF(Sales_Daily!$T33="","",Sales_Daily!$T33),"")</f>
        <v/>
      </c>
      <c r="AA381" s="32">
        <f>IF($A381=1,IF(Sales_Daily!$U33="","",Sales_Daily!$U33),"")</f>
        <v/>
      </c>
      <c r="AB381" s="32">
        <f>IF($A381=1,IF(Sales_Daily!$V33="","",Sales_Daily!$V33),"")</f>
        <v/>
      </c>
      <c r="AC381" s="32">
        <f>IF($A381=1,IF(Sales_Daily!$W33="","",Sales_Daily!$W33),"")</f>
        <v/>
      </c>
      <c r="AD381" s="32">
        <f>IF($A381=1,IF(Sales_Daily!$X33="","",Sales_Daily!$X33),"")</f>
        <v/>
      </c>
      <c r="AE381" s="32">
        <f>IF($A381=1,0,"")</f>
        <v/>
      </c>
      <c r="AF381" s="32" t="inlineStr"/>
    </row>
    <row r="382">
      <c r="A382" s="32">
        <f>IF(AND(Sales_Daily!$AV34=1,N(Sales_Daily!$L34)&gt;0),1,0)</f>
        <v/>
      </c>
      <c r="B382" s="32">
        <f>IF($A382=1,$E382&amp;"/1","")</f>
        <v/>
      </c>
      <c r="C382" s="32">
        <f>IF($A382=1,"J-"&amp;Sales_Daily!$A34,"")</f>
        <v/>
      </c>
      <c r="D382" s="33">
        <f>IF($A382=1,Sales_Daily!$B34,"")</f>
        <v/>
      </c>
      <c r="E382" s="32">
        <f>IF($A382=1,IF(Sales_Daily!$A34="","",Sales_Daily!$A34),"")</f>
        <v/>
      </c>
      <c r="F382" s="32">
        <f>IF($A382=1,"SAL","")</f>
        <v/>
      </c>
      <c r="G382" s="32">
        <f>IF($A382=1,IF(Sales_Daily!$AK34="","",Sales_Daily!$AK34),"")</f>
        <v/>
      </c>
      <c r="H382" s="32">
        <f>IF($A382=1,IF(COUNTIF(COA!$A:$A,$G382)=0,"حساب غير معرف",INDEX(COA!$B:$B,MATCH($G382,COA!$A:$A,0))),"")</f>
        <v/>
      </c>
      <c r="I382" s="32">
        <f>IF($A382=1,IF(Sales_Daily!$C34="","",Sales_Daily!$C34),"")</f>
        <v/>
      </c>
      <c r="J382" s="32">
        <f>IF($A382=1,"CC10","")</f>
        <v/>
      </c>
      <c r="K382" s="32">
        <f>IF($A382=1,"-","")</f>
        <v/>
      </c>
      <c r="L382" s="32">
        <f>IF($A382=1,"مبيعات - تحصيل CASH","")</f>
        <v/>
      </c>
      <c r="M382" s="43">
        <f>IF($A382=1,Sales_Daily!$L34,"")</f>
        <v/>
      </c>
      <c r="N382" s="43">
        <f>IF($A382=1,0,"")</f>
        <v/>
      </c>
      <c r="O382" s="32">
        <f>IF($A382=1,Sales_Daily!$S34,"")</f>
        <v/>
      </c>
      <c r="P382" s="32">
        <f>IF($A382=1,IF(Sales_Daily!$AW34="","",Sales_Daily!$AW34),"")</f>
        <v/>
      </c>
      <c r="Q382" s="32">
        <f>IF($A382=1,Sales_Daily!$AY34,"")</f>
        <v/>
      </c>
      <c r="R382" s="32">
        <f>IF($A382=1,IF(AND($Q382=1,COUNTIFS(COA!$A:$A,$G382,COA!$R:$R,1)=1),1,0),"")</f>
        <v/>
      </c>
      <c r="S382" s="43">
        <f>IF($A382=1,IF($R382=1,N($M382),0),"")</f>
        <v/>
      </c>
      <c r="T382" s="43">
        <f>IF($A382=1,IF($R382=1,N($N382),0),"")</f>
        <v/>
      </c>
      <c r="U382" s="32">
        <f>IF($A382=1,YEAR($D382)*100+MONTH($D382),"")</f>
        <v/>
      </c>
      <c r="V382" s="32">
        <f>IF($A382=1,IF(COUNTIF(COA!$A:$A,$G382)=0,0,INDEX(COA!$H:$H,MATCH($G382,COA!$A:$A,0))),"")</f>
        <v/>
      </c>
      <c r="W382" s="32">
        <f>IF($A382=1,"OPERATING","")</f>
        <v/>
      </c>
      <c r="X382" s="32">
        <f>IF($A382=1,IF($R382=1,"",IF($O382=ST_POST,IF($P382&lt;&gt;"",$P382,"حساب غير صالح أو غير نشط"),IF($O382=ST_REV,"معكوس: لا أثر على الدفاتر",IF($O382=ST_CANC,"ملغى",IF($O382=ST_APPR,"معتمد ولم يُرحَّل","مسودة"))))),"")</f>
        <v/>
      </c>
      <c r="Y382" s="32">
        <f>IF($A382=1,IF(AND($R382=1,OR(LG_Acct="",$G382=LG_Acct),OR(LG_Party="",$K382=LG_Party),OR(LG_Loc="ALL",$I382=LG_Loc),OR(LG_CC="ALL",$J382=LG_CC),$D382&gt;=LG_From,$D382&lt;=LG_To),$D382+ROW()/1000000,""),"")</f>
        <v/>
      </c>
      <c r="Z382" s="32">
        <f>IF($A382=1,IF(Sales_Daily!$T34="","",Sales_Daily!$T34),"")</f>
        <v/>
      </c>
      <c r="AA382" s="32">
        <f>IF($A382=1,IF(Sales_Daily!$U34="","",Sales_Daily!$U34),"")</f>
        <v/>
      </c>
      <c r="AB382" s="32">
        <f>IF($A382=1,IF(Sales_Daily!$V34="","",Sales_Daily!$V34),"")</f>
        <v/>
      </c>
      <c r="AC382" s="32">
        <f>IF($A382=1,IF(Sales_Daily!$W34="","",Sales_Daily!$W34),"")</f>
        <v/>
      </c>
      <c r="AD382" s="32">
        <f>IF($A382=1,IF(Sales_Daily!$X34="","",Sales_Daily!$X34),"")</f>
        <v/>
      </c>
      <c r="AE382" s="32">
        <f>IF($A382=1,0,"")</f>
        <v/>
      </c>
      <c r="AF382" s="32" t="inlineStr"/>
    </row>
    <row r="383">
      <c r="A383" s="32">
        <f>IF(AND(Sales_Daily!$AV34=1,N(Sales_Daily!$M34)&gt;0),1,0)</f>
        <v/>
      </c>
      <c r="B383" s="32">
        <f>IF($A383=1,$E383&amp;"/2","")</f>
        <v/>
      </c>
      <c r="C383" s="32">
        <f>IF($A383=1,"J-"&amp;Sales_Daily!$A34,"")</f>
        <v/>
      </c>
      <c r="D383" s="33">
        <f>IF($A383=1,Sales_Daily!$B34,"")</f>
        <v/>
      </c>
      <c r="E383" s="32">
        <f>IF($A383=1,IF(Sales_Daily!$A34="","",Sales_Daily!$A34),"")</f>
        <v/>
      </c>
      <c r="F383" s="32">
        <f>IF($A383=1,"SAL","")</f>
        <v/>
      </c>
      <c r="G383" s="32">
        <f>IF($A383=1,IF(Sales_Daily!$AL34="","",Sales_Daily!$AL34),"")</f>
        <v/>
      </c>
      <c r="H383" s="32">
        <f>IF($A383=1,IF(COUNTIF(COA!$A:$A,$G383)=0,"حساب غير معرف",INDEX(COA!$B:$B,MATCH($G383,COA!$A:$A,0))),"")</f>
        <v/>
      </c>
      <c r="I383" s="32">
        <f>IF($A383=1,IF(Sales_Daily!$C34="","",Sales_Daily!$C34),"")</f>
        <v/>
      </c>
      <c r="J383" s="32">
        <f>IF($A383=1,"CC10","")</f>
        <v/>
      </c>
      <c r="K383" s="32">
        <f>IF($A383=1,"-","")</f>
        <v/>
      </c>
      <c r="L383" s="32">
        <f>IF($A383=1,"مبيعات - تحصيل CARD","")</f>
        <v/>
      </c>
      <c r="M383" s="43">
        <f>IF($A383=1,Sales_Daily!$M34,"")</f>
        <v/>
      </c>
      <c r="N383" s="43">
        <f>IF($A383=1,0,"")</f>
        <v/>
      </c>
      <c r="O383" s="32">
        <f>IF($A383=1,Sales_Daily!$S34,"")</f>
        <v/>
      </c>
      <c r="P383" s="32">
        <f>IF($A383=1,IF(Sales_Daily!$AW34="","",Sales_Daily!$AW34),"")</f>
        <v/>
      </c>
      <c r="Q383" s="32">
        <f>IF($A383=1,Sales_Daily!$AY34,"")</f>
        <v/>
      </c>
      <c r="R383" s="32">
        <f>IF($A383=1,IF(AND($Q383=1,COUNTIFS(COA!$A:$A,$G383,COA!$R:$R,1)=1),1,0),"")</f>
        <v/>
      </c>
      <c r="S383" s="43">
        <f>IF($A383=1,IF($R383=1,N($M383),0),"")</f>
        <v/>
      </c>
      <c r="T383" s="43">
        <f>IF($A383=1,IF($R383=1,N($N383),0),"")</f>
        <v/>
      </c>
      <c r="U383" s="32">
        <f>IF($A383=1,YEAR($D383)*100+MONTH($D383),"")</f>
        <v/>
      </c>
      <c r="V383" s="32">
        <f>IF($A383=1,IF(COUNTIF(COA!$A:$A,$G383)=0,0,INDEX(COA!$H:$H,MATCH($G383,COA!$A:$A,0))),"")</f>
        <v/>
      </c>
      <c r="W383" s="32">
        <f>IF($A383=1,"OPERATING","")</f>
        <v/>
      </c>
      <c r="X383" s="32">
        <f>IF($A383=1,IF($R383=1,"",IF($O383=ST_POST,IF($P383&lt;&gt;"",$P383,"حساب غير صالح أو غير نشط"),IF($O383=ST_REV,"معكوس: لا أثر على الدفاتر",IF($O383=ST_CANC,"ملغى",IF($O383=ST_APPR,"معتمد ولم يُرحَّل","مسودة"))))),"")</f>
        <v/>
      </c>
      <c r="Y383" s="32">
        <f>IF($A383=1,IF(AND($R383=1,OR(LG_Acct="",$G383=LG_Acct),OR(LG_Party="",$K383=LG_Party),OR(LG_Loc="ALL",$I383=LG_Loc),OR(LG_CC="ALL",$J383=LG_CC),$D383&gt;=LG_From,$D383&lt;=LG_To),$D383+ROW()/1000000,""),"")</f>
        <v/>
      </c>
      <c r="Z383" s="32">
        <f>IF($A383=1,IF(Sales_Daily!$T34="","",Sales_Daily!$T34),"")</f>
        <v/>
      </c>
      <c r="AA383" s="32">
        <f>IF($A383=1,IF(Sales_Daily!$U34="","",Sales_Daily!$U34),"")</f>
        <v/>
      </c>
      <c r="AB383" s="32">
        <f>IF($A383=1,IF(Sales_Daily!$V34="","",Sales_Daily!$V34),"")</f>
        <v/>
      </c>
      <c r="AC383" s="32">
        <f>IF($A383=1,IF(Sales_Daily!$W34="","",Sales_Daily!$W34),"")</f>
        <v/>
      </c>
      <c r="AD383" s="32">
        <f>IF($A383=1,IF(Sales_Daily!$X34="","",Sales_Daily!$X34),"")</f>
        <v/>
      </c>
      <c r="AE383" s="32">
        <f>IF($A383=1,0,"")</f>
        <v/>
      </c>
      <c r="AF383" s="32" t="inlineStr"/>
    </row>
    <row r="384">
      <c r="A384" s="32">
        <f>IF(AND(Sales_Daily!$AV34=1,N(Sales_Daily!$N34)&gt;0),1,0)</f>
        <v/>
      </c>
      <c r="B384" s="32">
        <f>IF($A384=1,$E384&amp;"/3","")</f>
        <v/>
      </c>
      <c r="C384" s="32">
        <f>IF($A384=1,"J-"&amp;Sales_Daily!$A34,"")</f>
        <v/>
      </c>
      <c r="D384" s="33">
        <f>IF($A384=1,Sales_Daily!$B34,"")</f>
        <v/>
      </c>
      <c r="E384" s="32">
        <f>IF($A384=1,IF(Sales_Daily!$A34="","",Sales_Daily!$A34),"")</f>
        <v/>
      </c>
      <c r="F384" s="32">
        <f>IF($A384=1,"SAL","")</f>
        <v/>
      </c>
      <c r="G384" s="32">
        <f>IF($A384=1,IF(Sales_Daily!$AM34="","",Sales_Daily!$AM34),"")</f>
        <v/>
      </c>
      <c r="H384" s="32">
        <f>IF($A384=1,IF(COUNTIF(COA!$A:$A,$G384)=0,"حساب غير معرف",INDEX(COA!$B:$B,MATCH($G384,COA!$A:$A,0))),"")</f>
        <v/>
      </c>
      <c r="I384" s="32">
        <f>IF($A384=1,IF(Sales_Daily!$C34="","",Sales_Daily!$C34),"")</f>
        <v/>
      </c>
      <c r="J384" s="32">
        <f>IF($A384=1,"CC10","")</f>
        <v/>
      </c>
      <c r="K384" s="32">
        <f>IF($A384=1,"-","")</f>
        <v/>
      </c>
      <c r="L384" s="32">
        <f>IF($A384=1,"مبيعات - تحصيل TLB","")</f>
        <v/>
      </c>
      <c r="M384" s="43">
        <f>IF($A384=1,Sales_Daily!$N34,"")</f>
        <v/>
      </c>
      <c r="N384" s="43">
        <f>IF($A384=1,0,"")</f>
        <v/>
      </c>
      <c r="O384" s="32">
        <f>IF($A384=1,Sales_Daily!$S34,"")</f>
        <v/>
      </c>
      <c r="P384" s="32">
        <f>IF($A384=1,IF(Sales_Daily!$AW34="","",Sales_Daily!$AW34),"")</f>
        <v/>
      </c>
      <c r="Q384" s="32">
        <f>IF($A384=1,Sales_Daily!$AY34,"")</f>
        <v/>
      </c>
      <c r="R384" s="32">
        <f>IF($A384=1,IF(AND($Q384=1,COUNTIFS(COA!$A:$A,$G384,COA!$R:$R,1)=1),1,0),"")</f>
        <v/>
      </c>
      <c r="S384" s="43">
        <f>IF($A384=1,IF($R384=1,N($M384),0),"")</f>
        <v/>
      </c>
      <c r="T384" s="43">
        <f>IF($A384=1,IF($R384=1,N($N384),0),"")</f>
        <v/>
      </c>
      <c r="U384" s="32">
        <f>IF($A384=1,YEAR($D384)*100+MONTH($D384),"")</f>
        <v/>
      </c>
      <c r="V384" s="32">
        <f>IF($A384=1,IF(COUNTIF(COA!$A:$A,$G384)=0,0,INDEX(COA!$H:$H,MATCH($G384,COA!$A:$A,0))),"")</f>
        <v/>
      </c>
      <c r="W384" s="32">
        <f>IF($A384=1,"OPERATING","")</f>
        <v/>
      </c>
      <c r="X384" s="32">
        <f>IF($A384=1,IF($R384=1,"",IF($O384=ST_POST,IF($P384&lt;&gt;"",$P384,"حساب غير صالح أو غير نشط"),IF($O384=ST_REV,"معكوس: لا أثر على الدفاتر",IF($O384=ST_CANC,"ملغى",IF($O384=ST_APPR,"معتمد ولم يُرحَّل","مسودة"))))),"")</f>
        <v/>
      </c>
      <c r="Y384" s="32">
        <f>IF($A384=1,IF(AND($R384=1,OR(LG_Acct="",$G384=LG_Acct),OR(LG_Party="",$K384=LG_Party),OR(LG_Loc="ALL",$I384=LG_Loc),OR(LG_CC="ALL",$J384=LG_CC),$D384&gt;=LG_From,$D384&lt;=LG_To),$D384+ROW()/1000000,""),"")</f>
        <v/>
      </c>
      <c r="Z384" s="32">
        <f>IF($A384=1,IF(Sales_Daily!$T34="","",Sales_Daily!$T34),"")</f>
        <v/>
      </c>
      <c r="AA384" s="32">
        <f>IF($A384=1,IF(Sales_Daily!$U34="","",Sales_Daily!$U34),"")</f>
        <v/>
      </c>
      <c r="AB384" s="32">
        <f>IF($A384=1,IF(Sales_Daily!$V34="","",Sales_Daily!$V34),"")</f>
        <v/>
      </c>
      <c r="AC384" s="32">
        <f>IF($A384=1,IF(Sales_Daily!$W34="","",Sales_Daily!$W34),"")</f>
        <v/>
      </c>
      <c r="AD384" s="32">
        <f>IF($A384=1,IF(Sales_Daily!$X34="","",Sales_Daily!$X34),"")</f>
        <v/>
      </c>
      <c r="AE384" s="32">
        <f>IF($A384=1,0,"")</f>
        <v/>
      </c>
      <c r="AF384" s="32" t="inlineStr"/>
    </row>
    <row r="385">
      <c r="A385" s="32">
        <f>IF(AND(Sales_Daily!$AV34=1,N(Sales_Daily!$O34)&gt;0),1,0)</f>
        <v/>
      </c>
      <c r="B385" s="32">
        <f>IF($A385=1,$E385&amp;"/4","")</f>
        <v/>
      </c>
      <c r="C385" s="32">
        <f>IF($A385=1,"J-"&amp;Sales_Daily!$A34,"")</f>
        <v/>
      </c>
      <c r="D385" s="33">
        <f>IF($A385=1,Sales_Daily!$B34,"")</f>
        <v/>
      </c>
      <c r="E385" s="32">
        <f>IF($A385=1,IF(Sales_Daily!$A34="","",Sales_Daily!$A34),"")</f>
        <v/>
      </c>
      <c r="F385" s="32">
        <f>IF($A385=1,"SAL","")</f>
        <v/>
      </c>
      <c r="G385" s="32">
        <f>IF($A385=1,IF(Sales_Daily!$AN34="","",Sales_Daily!$AN34),"")</f>
        <v/>
      </c>
      <c r="H385" s="32">
        <f>IF($A385=1,IF(COUNTIF(COA!$A:$A,$G385)=0,"حساب غير معرف",INDEX(COA!$B:$B,MATCH($G385,COA!$A:$A,0))),"")</f>
        <v/>
      </c>
      <c r="I385" s="32">
        <f>IF($A385=1,IF(Sales_Daily!$C34="","",Sales_Daily!$C34),"")</f>
        <v/>
      </c>
      <c r="J385" s="32">
        <f>IF($A385=1,"CC10","")</f>
        <v/>
      </c>
      <c r="K385" s="32">
        <f>IF($A385=1,"-","")</f>
        <v/>
      </c>
      <c r="L385" s="32">
        <f>IF($A385=1,"مبيعات - تحصيل DLV2","")</f>
        <v/>
      </c>
      <c r="M385" s="43">
        <f>IF($A385=1,Sales_Daily!$O34,"")</f>
        <v/>
      </c>
      <c r="N385" s="43">
        <f>IF($A385=1,0,"")</f>
        <v/>
      </c>
      <c r="O385" s="32">
        <f>IF($A385=1,Sales_Daily!$S34,"")</f>
        <v/>
      </c>
      <c r="P385" s="32">
        <f>IF($A385=1,IF(Sales_Daily!$AW34="","",Sales_Daily!$AW34),"")</f>
        <v/>
      </c>
      <c r="Q385" s="32">
        <f>IF($A385=1,Sales_Daily!$AY34,"")</f>
        <v/>
      </c>
      <c r="R385" s="32">
        <f>IF($A385=1,IF(AND($Q385=1,COUNTIFS(COA!$A:$A,$G385,COA!$R:$R,1)=1),1,0),"")</f>
        <v/>
      </c>
      <c r="S385" s="43">
        <f>IF($A385=1,IF($R385=1,N($M385),0),"")</f>
        <v/>
      </c>
      <c r="T385" s="43">
        <f>IF($A385=1,IF($R385=1,N($N385),0),"")</f>
        <v/>
      </c>
      <c r="U385" s="32">
        <f>IF($A385=1,YEAR($D385)*100+MONTH($D385),"")</f>
        <v/>
      </c>
      <c r="V385" s="32">
        <f>IF($A385=1,IF(COUNTIF(COA!$A:$A,$G385)=0,0,INDEX(COA!$H:$H,MATCH($G385,COA!$A:$A,0))),"")</f>
        <v/>
      </c>
      <c r="W385" s="32">
        <f>IF($A385=1,"OPERATING","")</f>
        <v/>
      </c>
      <c r="X385" s="32">
        <f>IF($A385=1,IF($R385=1,"",IF($O385=ST_POST,IF($P385&lt;&gt;"",$P385,"حساب غير صالح أو غير نشط"),IF($O385=ST_REV,"معكوس: لا أثر على الدفاتر",IF($O385=ST_CANC,"ملغى",IF($O385=ST_APPR,"معتمد ولم يُرحَّل","مسودة"))))),"")</f>
        <v/>
      </c>
      <c r="Y385" s="32">
        <f>IF($A385=1,IF(AND($R385=1,OR(LG_Acct="",$G385=LG_Acct),OR(LG_Party="",$K385=LG_Party),OR(LG_Loc="ALL",$I385=LG_Loc),OR(LG_CC="ALL",$J385=LG_CC),$D385&gt;=LG_From,$D385&lt;=LG_To),$D385+ROW()/1000000,""),"")</f>
        <v/>
      </c>
      <c r="Z385" s="32">
        <f>IF($A385=1,IF(Sales_Daily!$T34="","",Sales_Daily!$T34),"")</f>
        <v/>
      </c>
      <c r="AA385" s="32">
        <f>IF($A385=1,IF(Sales_Daily!$U34="","",Sales_Daily!$U34),"")</f>
        <v/>
      </c>
      <c r="AB385" s="32">
        <f>IF($A385=1,IF(Sales_Daily!$V34="","",Sales_Daily!$V34),"")</f>
        <v/>
      </c>
      <c r="AC385" s="32">
        <f>IF($A385=1,IF(Sales_Daily!$W34="","",Sales_Daily!$W34),"")</f>
        <v/>
      </c>
      <c r="AD385" s="32">
        <f>IF($A385=1,IF(Sales_Daily!$X34="","",Sales_Daily!$X34),"")</f>
        <v/>
      </c>
      <c r="AE385" s="32">
        <f>IF($A385=1,0,"")</f>
        <v/>
      </c>
      <c r="AF385" s="32" t="inlineStr"/>
    </row>
    <row r="386">
      <c r="A386" s="32">
        <f>IF(AND(Sales_Daily!$AV34=1,N(Sales_Daily!$P34)&gt;0),1,0)</f>
        <v/>
      </c>
      <c r="B386" s="32">
        <f>IF($A386=1,$E386&amp;"/5","")</f>
        <v/>
      </c>
      <c r="C386" s="32">
        <f>IF($A386=1,"J-"&amp;Sales_Daily!$A34,"")</f>
        <v/>
      </c>
      <c r="D386" s="33">
        <f>IF($A386=1,Sales_Daily!$B34,"")</f>
        <v/>
      </c>
      <c r="E386" s="32">
        <f>IF($A386=1,IF(Sales_Daily!$A34="","",Sales_Daily!$A34),"")</f>
        <v/>
      </c>
      <c r="F386" s="32">
        <f>IF($A386=1,"SAL","")</f>
        <v/>
      </c>
      <c r="G386" s="32">
        <f>IF($A386=1,IF(Sales_Daily!$AO34="","",Sales_Daily!$AO34),"")</f>
        <v/>
      </c>
      <c r="H386" s="32">
        <f>IF($A386=1,IF(COUNTIF(COA!$A:$A,$G386)=0,"حساب غير معرف",INDEX(COA!$B:$B,MATCH($G386,COA!$A:$A,0))),"")</f>
        <v/>
      </c>
      <c r="I386" s="32">
        <f>IF($A386=1,IF(Sales_Daily!$C34="","",Sales_Daily!$C34),"")</f>
        <v/>
      </c>
      <c r="J386" s="32">
        <f>IF($A386=1,"CC10","")</f>
        <v/>
      </c>
      <c r="K386" s="32">
        <f>IF($A386=1,"-","")</f>
        <v/>
      </c>
      <c r="L386" s="32">
        <f>IF($A386=1,"مبيعات - تحصيل INSTA","")</f>
        <v/>
      </c>
      <c r="M386" s="43">
        <f>IF($A386=1,Sales_Daily!$P34,"")</f>
        <v/>
      </c>
      <c r="N386" s="43">
        <f>IF($A386=1,0,"")</f>
        <v/>
      </c>
      <c r="O386" s="32">
        <f>IF($A386=1,Sales_Daily!$S34,"")</f>
        <v/>
      </c>
      <c r="P386" s="32">
        <f>IF($A386=1,IF(Sales_Daily!$AW34="","",Sales_Daily!$AW34),"")</f>
        <v/>
      </c>
      <c r="Q386" s="32">
        <f>IF($A386=1,Sales_Daily!$AY34,"")</f>
        <v/>
      </c>
      <c r="R386" s="32">
        <f>IF($A386=1,IF(AND($Q386=1,COUNTIFS(COA!$A:$A,$G386,COA!$R:$R,1)=1),1,0),"")</f>
        <v/>
      </c>
      <c r="S386" s="43">
        <f>IF($A386=1,IF($R386=1,N($M386),0),"")</f>
        <v/>
      </c>
      <c r="T386" s="43">
        <f>IF($A386=1,IF($R386=1,N($N386),0),"")</f>
        <v/>
      </c>
      <c r="U386" s="32">
        <f>IF($A386=1,YEAR($D386)*100+MONTH($D386),"")</f>
        <v/>
      </c>
      <c r="V386" s="32">
        <f>IF($A386=1,IF(COUNTIF(COA!$A:$A,$G386)=0,0,INDEX(COA!$H:$H,MATCH($G386,COA!$A:$A,0))),"")</f>
        <v/>
      </c>
      <c r="W386" s="32">
        <f>IF($A386=1,"OPERATING","")</f>
        <v/>
      </c>
      <c r="X386" s="32">
        <f>IF($A386=1,IF($R386=1,"",IF($O386=ST_POST,IF($P386&lt;&gt;"",$P386,"حساب غير صالح أو غير نشط"),IF($O386=ST_REV,"معكوس: لا أثر على الدفاتر",IF($O386=ST_CANC,"ملغى",IF($O386=ST_APPR,"معتمد ولم يُرحَّل","مسودة"))))),"")</f>
        <v/>
      </c>
      <c r="Y386" s="32">
        <f>IF($A386=1,IF(AND($R386=1,OR(LG_Acct="",$G386=LG_Acct),OR(LG_Party="",$K386=LG_Party),OR(LG_Loc="ALL",$I386=LG_Loc),OR(LG_CC="ALL",$J386=LG_CC),$D386&gt;=LG_From,$D386&lt;=LG_To),$D386+ROW()/1000000,""),"")</f>
        <v/>
      </c>
      <c r="Z386" s="32">
        <f>IF($A386=1,IF(Sales_Daily!$T34="","",Sales_Daily!$T34),"")</f>
        <v/>
      </c>
      <c r="AA386" s="32">
        <f>IF($A386=1,IF(Sales_Daily!$U34="","",Sales_Daily!$U34),"")</f>
        <v/>
      </c>
      <c r="AB386" s="32">
        <f>IF($A386=1,IF(Sales_Daily!$V34="","",Sales_Daily!$V34),"")</f>
        <v/>
      </c>
      <c r="AC386" s="32">
        <f>IF($A386=1,IF(Sales_Daily!$W34="","",Sales_Daily!$W34),"")</f>
        <v/>
      </c>
      <c r="AD386" s="32">
        <f>IF($A386=1,IF(Sales_Daily!$X34="","",Sales_Daily!$X34),"")</f>
        <v/>
      </c>
      <c r="AE386" s="32">
        <f>IF($A386=1,0,"")</f>
        <v/>
      </c>
      <c r="AF386" s="32" t="inlineStr"/>
    </row>
    <row r="387">
      <c r="A387" s="32">
        <f>IF(AND(Sales_Daily!$AV34=1,N(Sales_Daily!$Q34)&gt;0),1,0)</f>
        <v/>
      </c>
      <c r="B387" s="32">
        <f>IF($A387=1,$E387&amp;"/6","")</f>
        <v/>
      </c>
      <c r="C387" s="32">
        <f>IF($A387=1,"J-"&amp;Sales_Daily!$A34,"")</f>
        <v/>
      </c>
      <c r="D387" s="33">
        <f>IF($A387=1,Sales_Daily!$B34,"")</f>
        <v/>
      </c>
      <c r="E387" s="32">
        <f>IF($A387=1,IF(Sales_Daily!$A34="","",Sales_Daily!$A34),"")</f>
        <v/>
      </c>
      <c r="F387" s="32">
        <f>IF($A387=1,"SAL","")</f>
        <v/>
      </c>
      <c r="G387" s="32">
        <f>IF($A387=1,IF(Sales_Daily!$AP34="","",Sales_Daily!$AP34),"")</f>
        <v/>
      </c>
      <c r="H387" s="32">
        <f>IF($A387=1,IF(COUNTIF(COA!$A:$A,$G387)=0,"حساب غير معرف",INDEX(COA!$B:$B,MATCH($G387,COA!$A:$A,0))),"")</f>
        <v/>
      </c>
      <c r="I387" s="32">
        <f>IF($A387=1,IF(Sales_Daily!$C34="","",Sales_Daily!$C34),"")</f>
        <v/>
      </c>
      <c r="J387" s="32">
        <f>IF($A387=1,"CC10","")</f>
        <v/>
      </c>
      <c r="K387" s="32">
        <f>IF($A387=1,"-","")</f>
        <v/>
      </c>
      <c r="L387" s="32">
        <f>IF($A387=1,"مبيعات - تحصيل OTH","")</f>
        <v/>
      </c>
      <c r="M387" s="43">
        <f>IF($A387=1,Sales_Daily!$Q34,"")</f>
        <v/>
      </c>
      <c r="N387" s="43">
        <f>IF($A387=1,0,"")</f>
        <v/>
      </c>
      <c r="O387" s="32">
        <f>IF($A387=1,Sales_Daily!$S34,"")</f>
        <v/>
      </c>
      <c r="P387" s="32">
        <f>IF($A387=1,IF(Sales_Daily!$AW34="","",Sales_Daily!$AW34),"")</f>
        <v/>
      </c>
      <c r="Q387" s="32">
        <f>IF($A387=1,Sales_Daily!$AY34,"")</f>
        <v/>
      </c>
      <c r="R387" s="32">
        <f>IF($A387=1,IF(AND($Q387=1,COUNTIFS(COA!$A:$A,$G387,COA!$R:$R,1)=1),1,0),"")</f>
        <v/>
      </c>
      <c r="S387" s="43">
        <f>IF($A387=1,IF($R387=1,N($M387),0),"")</f>
        <v/>
      </c>
      <c r="T387" s="43">
        <f>IF($A387=1,IF($R387=1,N($N387),0),"")</f>
        <v/>
      </c>
      <c r="U387" s="32">
        <f>IF($A387=1,YEAR($D387)*100+MONTH($D387),"")</f>
        <v/>
      </c>
      <c r="V387" s="32">
        <f>IF($A387=1,IF(COUNTIF(COA!$A:$A,$G387)=0,0,INDEX(COA!$H:$H,MATCH($G387,COA!$A:$A,0))),"")</f>
        <v/>
      </c>
      <c r="W387" s="32">
        <f>IF($A387=1,"OPERATING","")</f>
        <v/>
      </c>
      <c r="X387" s="32">
        <f>IF($A387=1,IF($R387=1,"",IF($O387=ST_POST,IF($P387&lt;&gt;"",$P387,"حساب غير صالح أو غير نشط"),IF($O387=ST_REV,"معكوس: لا أثر على الدفاتر",IF($O387=ST_CANC,"ملغى",IF($O387=ST_APPR,"معتمد ولم يُرحَّل","مسودة"))))),"")</f>
        <v/>
      </c>
      <c r="Y387" s="32">
        <f>IF($A387=1,IF(AND($R387=1,OR(LG_Acct="",$G387=LG_Acct),OR(LG_Party="",$K387=LG_Party),OR(LG_Loc="ALL",$I387=LG_Loc),OR(LG_CC="ALL",$J387=LG_CC),$D387&gt;=LG_From,$D387&lt;=LG_To),$D387+ROW()/1000000,""),"")</f>
        <v/>
      </c>
      <c r="Z387" s="32">
        <f>IF($A387=1,IF(Sales_Daily!$T34="","",Sales_Daily!$T34),"")</f>
        <v/>
      </c>
      <c r="AA387" s="32">
        <f>IF($A387=1,IF(Sales_Daily!$U34="","",Sales_Daily!$U34),"")</f>
        <v/>
      </c>
      <c r="AB387" s="32">
        <f>IF($A387=1,IF(Sales_Daily!$V34="","",Sales_Daily!$V34),"")</f>
        <v/>
      </c>
      <c r="AC387" s="32">
        <f>IF($A387=1,IF(Sales_Daily!$W34="","",Sales_Daily!$W34),"")</f>
        <v/>
      </c>
      <c r="AD387" s="32">
        <f>IF($A387=1,IF(Sales_Daily!$X34="","",Sales_Daily!$X34),"")</f>
        <v/>
      </c>
      <c r="AE387" s="32">
        <f>IF($A387=1,0,"")</f>
        <v/>
      </c>
      <c r="AF387" s="32" t="inlineStr"/>
    </row>
    <row r="388">
      <c r="A388" s="32">
        <f>IF(AND(Sales_Daily!$AV34=1,N(Sales_Daily!$AH34)&gt;0),1,0)</f>
        <v/>
      </c>
      <c r="B388" s="32">
        <f>IF($A388=1,$E388&amp;"/7","")</f>
        <v/>
      </c>
      <c r="C388" s="32">
        <f>IF($A388=1,"J-"&amp;Sales_Daily!$A34,"")</f>
        <v/>
      </c>
      <c r="D388" s="33">
        <f>IF($A388=1,Sales_Daily!$B34,"")</f>
        <v/>
      </c>
      <c r="E388" s="32">
        <f>IF($A388=1,IF(Sales_Daily!$A34="","",Sales_Daily!$A34),"")</f>
        <v/>
      </c>
      <c r="F388" s="32">
        <f>IF($A388=1,"SAL","")</f>
        <v/>
      </c>
      <c r="G388" s="32">
        <f>IF($A388=1,ACC_DISC,"")</f>
        <v/>
      </c>
      <c r="H388" s="32">
        <f>IF($A388=1,IF(COUNTIF(COA!$A:$A,$G388)=0,"حساب غير معرف",INDEX(COA!$B:$B,MATCH($G388,COA!$A:$A,0))),"")</f>
        <v/>
      </c>
      <c r="I388" s="32">
        <f>IF($A388=1,IF(Sales_Daily!$C34="","",Sales_Daily!$C34),"")</f>
        <v/>
      </c>
      <c r="J388" s="32">
        <f>IF($A388=1,"CC10","")</f>
        <v/>
      </c>
      <c r="K388" s="32">
        <f>IF($A388=1,"-","")</f>
        <v/>
      </c>
      <c r="L388" s="32">
        <f>IF($A388=1,"خصومات المبيعات والعروض","")</f>
        <v/>
      </c>
      <c r="M388" s="43">
        <f>IF($A388=1,Sales_Daily!$AH34,"")</f>
        <v/>
      </c>
      <c r="N388" s="43">
        <f>IF($A388=1,0,"")</f>
        <v/>
      </c>
      <c r="O388" s="32">
        <f>IF($A388=1,Sales_Daily!$S34,"")</f>
        <v/>
      </c>
      <c r="P388" s="32">
        <f>IF($A388=1,IF(Sales_Daily!$AW34="","",Sales_Daily!$AW34),"")</f>
        <v/>
      </c>
      <c r="Q388" s="32">
        <f>IF($A388=1,Sales_Daily!$AY34,"")</f>
        <v/>
      </c>
      <c r="R388" s="32">
        <f>IF($A388=1,IF(AND($Q388=1,COUNTIFS(COA!$A:$A,$G388,COA!$R:$R,1)=1),1,0),"")</f>
        <v/>
      </c>
      <c r="S388" s="43">
        <f>IF($A388=1,IF($R388=1,N($M388),0),"")</f>
        <v/>
      </c>
      <c r="T388" s="43">
        <f>IF($A388=1,IF($R388=1,N($N388),0),"")</f>
        <v/>
      </c>
      <c r="U388" s="32">
        <f>IF($A388=1,YEAR($D388)*100+MONTH($D388),"")</f>
        <v/>
      </c>
      <c r="V388" s="32">
        <f>IF($A388=1,IF(COUNTIF(COA!$A:$A,$G388)=0,0,INDEX(COA!$H:$H,MATCH($G388,COA!$A:$A,0))),"")</f>
        <v/>
      </c>
      <c r="W388" s="32">
        <f>IF($A388=1,"","")</f>
        <v/>
      </c>
      <c r="X388" s="32">
        <f>IF($A388=1,IF($R388=1,"",IF($O388=ST_POST,IF($P388&lt;&gt;"",$P388,"حساب غير صالح أو غير نشط"),IF($O388=ST_REV,"معكوس: لا أثر على الدفاتر",IF($O388=ST_CANC,"ملغى",IF($O388=ST_APPR,"معتمد ولم يُرحَّل","مسودة"))))),"")</f>
        <v/>
      </c>
      <c r="Y388" s="32">
        <f>IF($A388=1,IF(AND($R388=1,OR(LG_Acct="",$G388=LG_Acct),OR(LG_Party="",$K388=LG_Party),OR(LG_Loc="ALL",$I388=LG_Loc),OR(LG_CC="ALL",$J388=LG_CC),$D388&gt;=LG_From,$D388&lt;=LG_To),$D388+ROW()/1000000,""),"")</f>
        <v/>
      </c>
      <c r="Z388" s="32">
        <f>IF($A388=1,IF(Sales_Daily!$T34="","",Sales_Daily!$T34),"")</f>
        <v/>
      </c>
      <c r="AA388" s="32">
        <f>IF($A388=1,IF(Sales_Daily!$U34="","",Sales_Daily!$U34),"")</f>
        <v/>
      </c>
      <c r="AB388" s="32">
        <f>IF($A388=1,IF(Sales_Daily!$V34="","",Sales_Daily!$V34),"")</f>
        <v/>
      </c>
      <c r="AC388" s="32">
        <f>IF($A388=1,IF(Sales_Daily!$W34="","",Sales_Daily!$W34),"")</f>
        <v/>
      </c>
      <c r="AD388" s="32">
        <f>IF($A388=1,IF(Sales_Daily!$X34="","",Sales_Daily!$X34),"")</f>
        <v/>
      </c>
      <c r="AE388" s="32">
        <f>IF($A388=1,0,"")</f>
        <v/>
      </c>
      <c r="AF388" s="32" t="inlineStr"/>
    </row>
    <row r="389">
      <c r="A389" s="32">
        <f>IF(AND(Sales_Daily!$AV34=1,N(Sales_Daily!$AI34)&gt;0),1,0)</f>
        <v/>
      </c>
      <c r="B389" s="32">
        <f>IF($A389=1,$E389&amp;"/8","")</f>
        <v/>
      </c>
      <c r="C389" s="32">
        <f>IF($A389=1,"J-"&amp;Sales_Daily!$A34,"")</f>
        <v/>
      </c>
      <c r="D389" s="33">
        <f>IF($A389=1,Sales_Daily!$B34,"")</f>
        <v/>
      </c>
      <c r="E389" s="32">
        <f>IF($A389=1,IF(Sales_Daily!$A34="","",Sales_Daily!$A34),"")</f>
        <v/>
      </c>
      <c r="F389" s="32">
        <f>IF($A389=1,"SAL","")</f>
        <v/>
      </c>
      <c r="G389" s="32">
        <f>IF($A389=1,ACC_RET,"")</f>
        <v/>
      </c>
      <c r="H389" s="32">
        <f>IF($A389=1,IF(COUNTIF(COA!$A:$A,$G389)=0,"حساب غير معرف",INDEX(COA!$B:$B,MATCH($G389,COA!$A:$A,0))),"")</f>
        <v/>
      </c>
      <c r="I389" s="32">
        <f>IF($A389=1,IF(Sales_Daily!$C34="","",Sales_Daily!$C34),"")</f>
        <v/>
      </c>
      <c r="J389" s="32">
        <f>IF($A389=1,"CC10","")</f>
        <v/>
      </c>
      <c r="K389" s="32">
        <f>IF($A389=1,"-","")</f>
        <v/>
      </c>
      <c r="L389" s="32">
        <f>IF($A389=1,"مرتجعات وإلغاءات المبيعات","")</f>
        <v/>
      </c>
      <c r="M389" s="43">
        <f>IF($A389=1,Sales_Daily!$AI34,"")</f>
        <v/>
      </c>
      <c r="N389" s="43">
        <f>IF($A389=1,0,"")</f>
        <v/>
      </c>
      <c r="O389" s="32">
        <f>IF($A389=1,Sales_Daily!$S34,"")</f>
        <v/>
      </c>
      <c r="P389" s="32">
        <f>IF($A389=1,IF(Sales_Daily!$AW34="","",Sales_Daily!$AW34),"")</f>
        <v/>
      </c>
      <c r="Q389" s="32">
        <f>IF($A389=1,Sales_Daily!$AY34,"")</f>
        <v/>
      </c>
      <c r="R389" s="32">
        <f>IF($A389=1,IF(AND($Q389=1,COUNTIFS(COA!$A:$A,$G389,COA!$R:$R,1)=1),1,0),"")</f>
        <v/>
      </c>
      <c r="S389" s="43">
        <f>IF($A389=1,IF($R389=1,N($M389),0),"")</f>
        <v/>
      </c>
      <c r="T389" s="43">
        <f>IF($A389=1,IF($R389=1,N($N389),0),"")</f>
        <v/>
      </c>
      <c r="U389" s="32">
        <f>IF($A389=1,YEAR($D389)*100+MONTH($D389),"")</f>
        <v/>
      </c>
      <c r="V389" s="32">
        <f>IF($A389=1,IF(COUNTIF(COA!$A:$A,$G389)=0,0,INDEX(COA!$H:$H,MATCH($G389,COA!$A:$A,0))),"")</f>
        <v/>
      </c>
      <c r="W389" s="32">
        <f>IF($A389=1,"","")</f>
        <v/>
      </c>
      <c r="X389" s="32">
        <f>IF($A389=1,IF($R389=1,"",IF($O389=ST_POST,IF($P389&lt;&gt;"",$P389,"حساب غير صالح أو غير نشط"),IF($O389=ST_REV,"معكوس: لا أثر على الدفاتر",IF($O389=ST_CANC,"ملغى",IF($O389=ST_APPR,"معتمد ولم يُرحَّل","مسودة"))))),"")</f>
        <v/>
      </c>
      <c r="Y389" s="32">
        <f>IF($A389=1,IF(AND($R389=1,OR(LG_Acct="",$G389=LG_Acct),OR(LG_Party="",$K389=LG_Party),OR(LG_Loc="ALL",$I389=LG_Loc),OR(LG_CC="ALL",$J389=LG_CC),$D389&gt;=LG_From,$D389&lt;=LG_To),$D389+ROW()/1000000,""),"")</f>
        <v/>
      </c>
      <c r="Z389" s="32">
        <f>IF($A389=1,IF(Sales_Daily!$T34="","",Sales_Daily!$T34),"")</f>
        <v/>
      </c>
      <c r="AA389" s="32">
        <f>IF($A389=1,IF(Sales_Daily!$U34="","",Sales_Daily!$U34),"")</f>
        <v/>
      </c>
      <c r="AB389" s="32">
        <f>IF($A389=1,IF(Sales_Daily!$V34="","",Sales_Daily!$V34),"")</f>
        <v/>
      </c>
      <c r="AC389" s="32">
        <f>IF($A389=1,IF(Sales_Daily!$W34="","",Sales_Daily!$W34),"")</f>
        <v/>
      </c>
      <c r="AD389" s="32">
        <f>IF($A389=1,IF(Sales_Daily!$X34="","",Sales_Daily!$X34),"")</f>
        <v/>
      </c>
      <c r="AE389" s="32">
        <f>IF($A389=1,0,"")</f>
        <v/>
      </c>
      <c r="AF389" s="32" t="inlineStr"/>
    </row>
    <row r="390">
      <c r="A390" s="32">
        <f>IF(AND(Sales_Daily!$AV34=1,N(Sales_Daily!$AD34)&gt;0),1,0)</f>
        <v/>
      </c>
      <c r="B390" s="32">
        <f>IF($A390=1,$E390&amp;"/9","")</f>
        <v/>
      </c>
      <c r="C390" s="32">
        <f>IF($A390=1,"J-"&amp;Sales_Daily!$A34,"")</f>
        <v/>
      </c>
      <c r="D390" s="33">
        <f>IF($A390=1,Sales_Daily!$B34,"")</f>
        <v/>
      </c>
      <c r="E390" s="32">
        <f>IF($A390=1,IF(Sales_Daily!$A34="","",Sales_Daily!$A34),"")</f>
        <v/>
      </c>
      <c r="F390" s="32">
        <f>IF($A390=1,"SAL","")</f>
        <v/>
      </c>
      <c r="G390" s="32">
        <f>IF($A390=1,IF(Sales_Daily!$AQ34="","",Sales_Daily!$AQ34),"")</f>
        <v/>
      </c>
      <c r="H390" s="32">
        <f>IF($A390=1,IF(COUNTIF(COA!$A:$A,$G390)=0,"حساب غير معرف",INDEX(COA!$B:$B,MATCH($G390,COA!$A:$A,0))),"")</f>
        <v/>
      </c>
      <c r="I390" s="32">
        <f>IF($A390=1,IF(Sales_Daily!$C34="","",Sales_Daily!$C34),"")</f>
        <v/>
      </c>
      <c r="J390" s="32">
        <f>IF($A390=1,"CC10","")</f>
        <v/>
      </c>
      <c r="K390" s="32">
        <f>IF($A390=1,"-","")</f>
        <v/>
      </c>
      <c r="L390" s="32">
        <f>IF($A390=1,"إيراد مبيعات - فئة فطير","")</f>
        <v/>
      </c>
      <c r="M390" s="43">
        <f>IF($A390=1,0,"")</f>
        <v/>
      </c>
      <c r="N390" s="43">
        <f>IF($A390=1,Sales_Daily!$AD34,"")</f>
        <v/>
      </c>
      <c r="O390" s="32">
        <f>IF($A390=1,Sales_Daily!$S34,"")</f>
        <v/>
      </c>
      <c r="P390" s="32">
        <f>IF($A390=1,IF(Sales_Daily!$AW34="","",Sales_Daily!$AW34),"")</f>
        <v/>
      </c>
      <c r="Q390" s="32">
        <f>IF($A390=1,Sales_Daily!$AY34,"")</f>
        <v/>
      </c>
      <c r="R390" s="32">
        <f>IF($A390=1,IF(AND($Q390=1,COUNTIFS(COA!$A:$A,$G390,COA!$R:$R,1)=1),1,0),"")</f>
        <v/>
      </c>
      <c r="S390" s="43">
        <f>IF($A390=1,IF($R390=1,N($M390),0),"")</f>
        <v/>
      </c>
      <c r="T390" s="43">
        <f>IF($A390=1,IF($R390=1,N($N390),0),"")</f>
        <v/>
      </c>
      <c r="U390" s="32">
        <f>IF($A390=1,YEAR($D390)*100+MONTH($D390),"")</f>
        <v/>
      </c>
      <c r="V390" s="32">
        <f>IF($A390=1,IF(COUNTIF(COA!$A:$A,$G390)=0,0,INDEX(COA!$H:$H,MATCH($G390,COA!$A:$A,0))),"")</f>
        <v/>
      </c>
      <c r="W390" s="32">
        <f>IF($A390=1,"","")</f>
        <v/>
      </c>
      <c r="X390" s="32">
        <f>IF($A390=1,IF($R390=1,"",IF($O390=ST_POST,IF($P390&lt;&gt;"",$P390,"حساب غير صالح أو غير نشط"),IF($O390=ST_REV,"معكوس: لا أثر على الدفاتر",IF($O390=ST_CANC,"ملغى",IF($O390=ST_APPR,"معتمد ولم يُرحَّل","مسودة"))))),"")</f>
        <v/>
      </c>
      <c r="Y390" s="32">
        <f>IF($A390=1,IF(AND($R390=1,OR(LG_Acct="",$G390=LG_Acct),OR(LG_Party="",$K390=LG_Party),OR(LG_Loc="ALL",$I390=LG_Loc),OR(LG_CC="ALL",$J390=LG_CC),$D390&gt;=LG_From,$D390&lt;=LG_To),$D390+ROW()/1000000,""),"")</f>
        <v/>
      </c>
      <c r="Z390" s="32">
        <f>IF($A390=1,IF(Sales_Daily!$T34="","",Sales_Daily!$T34),"")</f>
        <v/>
      </c>
      <c r="AA390" s="32">
        <f>IF($A390=1,IF(Sales_Daily!$U34="","",Sales_Daily!$U34),"")</f>
        <v/>
      </c>
      <c r="AB390" s="32">
        <f>IF($A390=1,IF(Sales_Daily!$V34="","",Sales_Daily!$V34),"")</f>
        <v/>
      </c>
      <c r="AC390" s="32">
        <f>IF($A390=1,IF(Sales_Daily!$W34="","",Sales_Daily!$W34),"")</f>
        <v/>
      </c>
      <c r="AD390" s="32">
        <f>IF($A390=1,IF(Sales_Daily!$X34="","",Sales_Daily!$X34),"")</f>
        <v/>
      </c>
      <c r="AE390" s="32">
        <f>IF($A390=1,0,"")</f>
        <v/>
      </c>
      <c r="AF390" s="32" t="inlineStr"/>
    </row>
    <row r="391">
      <c r="A391" s="32">
        <f>IF(AND(Sales_Daily!$AV34=1,N(Sales_Daily!$AE34)&gt;0),1,0)</f>
        <v/>
      </c>
      <c r="B391" s="32">
        <f>IF($A391=1,$E391&amp;"/10","")</f>
        <v/>
      </c>
      <c r="C391" s="32">
        <f>IF($A391=1,"J-"&amp;Sales_Daily!$A34,"")</f>
        <v/>
      </c>
      <c r="D391" s="33">
        <f>IF($A391=1,Sales_Daily!$B34,"")</f>
        <v/>
      </c>
      <c r="E391" s="32">
        <f>IF($A391=1,IF(Sales_Daily!$A34="","",Sales_Daily!$A34),"")</f>
        <v/>
      </c>
      <c r="F391" s="32">
        <f>IF($A391=1,"SAL","")</f>
        <v/>
      </c>
      <c r="G391" s="32">
        <f>IF($A391=1,IF(Sales_Daily!$AR34="","",Sales_Daily!$AR34),"")</f>
        <v/>
      </c>
      <c r="H391" s="32">
        <f>IF($A391=1,IF(COUNTIF(COA!$A:$A,$G391)=0,"حساب غير معرف",INDEX(COA!$B:$B,MATCH($G391,COA!$A:$A,0))),"")</f>
        <v/>
      </c>
      <c r="I391" s="32">
        <f>IF($A391=1,IF(Sales_Daily!$C34="","",Sales_Daily!$C34),"")</f>
        <v/>
      </c>
      <c r="J391" s="32">
        <f>IF($A391=1,"CC10","")</f>
        <v/>
      </c>
      <c r="K391" s="32">
        <f>IF($A391=1,"-","")</f>
        <v/>
      </c>
      <c r="L391" s="32">
        <f>IF($A391=1,"إيراد مبيعات - فئة بيتزا","")</f>
        <v/>
      </c>
      <c r="M391" s="43">
        <f>IF($A391=1,0,"")</f>
        <v/>
      </c>
      <c r="N391" s="43">
        <f>IF($A391=1,Sales_Daily!$AE34,"")</f>
        <v/>
      </c>
      <c r="O391" s="32">
        <f>IF($A391=1,Sales_Daily!$S34,"")</f>
        <v/>
      </c>
      <c r="P391" s="32">
        <f>IF($A391=1,IF(Sales_Daily!$AW34="","",Sales_Daily!$AW34),"")</f>
        <v/>
      </c>
      <c r="Q391" s="32">
        <f>IF($A391=1,Sales_Daily!$AY34,"")</f>
        <v/>
      </c>
      <c r="R391" s="32">
        <f>IF($A391=1,IF(AND($Q391=1,COUNTIFS(COA!$A:$A,$G391,COA!$R:$R,1)=1),1,0),"")</f>
        <v/>
      </c>
      <c r="S391" s="43">
        <f>IF($A391=1,IF($R391=1,N($M391),0),"")</f>
        <v/>
      </c>
      <c r="T391" s="43">
        <f>IF($A391=1,IF($R391=1,N($N391),0),"")</f>
        <v/>
      </c>
      <c r="U391" s="32">
        <f>IF($A391=1,YEAR($D391)*100+MONTH($D391),"")</f>
        <v/>
      </c>
      <c r="V391" s="32">
        <f>IF($A391=1,IF(COUNTIF(COA!$A:$A,$G391)=0,0,INDEX(COA!$H:$H,MATCH($G391,COA!$A:$A,0))),"")</f>
        <v/>
      </c>
      <c r="W391" s="32">
        <f>IF($A391=1,"","")</f>
        <v/>
      </c>
      <c r="X391" s="32">
        <f>IF($A391=1,IF($R391=1,"",IF($O391=ST_POST,IF($P391&lt;&gt;"",$P391,"حساب غير صالح أو غير نشط"),IF($O391=ST_REV,"معكوس: لا أثر على الدفاتر",IF($O391=ST_CANC,"ملغى",IF($O391=ST_APPR,"معتمد ولم يُرحَّل","مسودة"))))),"")</f>
        <v/>
      </c>
      <c r="Y391" s="32">
        <f>IF($A391=1,IF(AND($R391=1,OR(LG_Acct="",$G391=LG_Acct),OR(LG_Party="",$K391=LG_Party),OR(LG_Loc="ALL",$I391=LG_Loc),OR(LG_CC="ALL",$J391=LG_CC),$D391&gt;=LG_From,$D391&lt;=LG_To),$D391+ROW()/1000000,""),"")</f>
        <v/>
      </c>
      <c r="Z391" s="32">
        <f>IF($A391=1,IF(Sales_Daily!$T34="","",Sales_Daily!$T34),"")</f>
        <v/>
      </c>
      <c r="AA391" s="32">
        <f>IF($A391=1,IF(Sales_Daily!$U34="","",Sales_Daily!$U34),"")</f>
        <v/>
      </c>
      <c r="AB391" s="32">
        <f>IF($A391=1,IF(Sales_Daily!$V34="","",Sales_Daily!$V34),"")</f>
        <v/>
      </c>
      <c r="AC391" s="32">
        <f>IF($A391=1,IF(Sales_Daily!$W34="","",Sales_Daily!$W34),"")</f>
        <v/>
      </c>
      <c r="AD391" s="32">
        <f>IF($A391=1,IF(Sales_Daily!$X34="","",Sales_Daily!$X34),"")</f>
        <v/>
      </c>
      <c r="AE391" s="32">
        <f>IF($A391=1,0,"")</f>
        <v/>
      </c>
      <c r="AF391" s="32" t="inlineStr"/>
    </row>
    <row r="392">
      <c r="A392" s="32">
        <f>IF(AND(Sales_Daily!$AV34=1,N(Sales_Daily!$AF34)&gt;0),1,0)</f>
        <v/>
      </c>
      <c r="B392" s="32">
        <f>IF($A392=1,$E392&amp;"/11","")</f>
        <v/>
      </c>
      <c r="C392" s="32">
        <f>IF($A392=1,"J-"&amp;Sales_Daily!$A34,"")</f>
        <v/>
      </c>
      <c r="D392" s="33">
        <f>IF($A392=1,Sales_Daily!$B34,"")</f>
        <v/>
      </c>
      <c r="E392" s="32">
        <f>IF($A392=1,IF(Sales_Daily!$A34="","",Sales_Daily!$A34),"")</f>
        <v/>
      </c>
      <c r="F392" s="32">
        <f>IF($A392=1,"SAL","")</f>
        <v/>
      </c>
      <c r="G392" s="32">
        <f>IF($A392=1,IF(Sales_Daily!$AS34="","",Sales_Daily!$AS34),"")</f>
        <v/>
      </c>
      <c r="H392" s="32">
        <f>IF($A392=1,IF(COUNTIF(COA!$A:$A,$G392)=0,"حساب غير معرف",INDEX(COA!$B:$B,MATCH($G392,COA!$A:$A,0))),"")</f>
        <v/>
      </c>
      <c r="I392" s="32">
        <f>IF($A392=1,IF(Sales_Daily!$C34="","",Sales_Daily!$C34),"")</f>
        <v/>
      </c>
      <c r="J392" s="32">
        <f>IF($A392=1,"CC10","")</f>
        <v/>
      </c>
      <c r="K392" s="32">
        <f>IF($A392=1,"-","")</f>
        <v/>
      </c>
      <c r="L392" s="32">
        <f>IF($A392=1,"إيراد مبيعات - فئة مكرونات","")</f>
        <v/>
      </c>
      <c r="M392" s="43">
        <f>IF($A392=1,0,"")</f>
        <v/>
      </c>
      <c r="N392" s="43">
        <f>IF($A392=1,Sales_Daily!$AF34,"")</f>
        <v/>
      </c>
      <c r="O392" s="32">
        <f>IF($A392=1,Sales_Daily!$S34,"")</f>
        <v/>
      </c>
      <c r="P392" s="32">
        <f>IF($A392=1,IF(Sales_Daily!$AW34="","",Sales_Daily!$AW34),"")</f>
        <v/>
      </c>
      <c r="Q392" s="32">
        <f>IF($A392=1,Sales_Daily!$AY34,"")</f>
        <v/>
      </c>
      <c r="R392" s="32">
        <f>IF($A392=1,IF(AND($Q392=1,COUNTIFS(COA!$A:$A,$G392,COA!$R:$R,1)=1),1,0),"")</f>
        <v/>
      </c>
      <c r="S392" s="43">
        <f>IF($A392=1,IF($R392=1,N($M392),0),"")</f>
        <v/>
      </c>
      <c r="T392" s="43">
        <f>IF($A392=1,IF($R392=1,N($N392),0),"")</f>
        <v/>
      </c>
      <c r="U392" s="32">
        <f>IF($A392=1,YEAR($D392)*100+MONTH($D392),"")</f>
        <v/>
      </c>
      <c r="V392" s="32">
        <f>IF($A392=1,IF(COUNTIF(COA!$A:$A,$G392)=0,0,INDEX(COA!$H:$H,MATCH($G392,COA!$A:$A,0))),"")</f>
        <v/>
      </c>
      <c r="W392" s="32">
        <f>IF($A392=1,"","")</f>
        <v/>
      </c>
      <c r="X392" s="32">
        <f>IF($A392=1,IF($R392=1,"",IF($O392=ST_POST,IF($P392&lt;&gt;"",$P392,"حساب غير صالح أو غير نشط"),IF($O392=ST_REV,"معكوس: لا أثر على الدفاتر",IF($O392=ST_CANC,"ملغى",IF($O392=ST_APPR,"معتمد ولم يُرحَّل","مسودة"))))),"")</f>
        <v/>
      </c>
      <c r="Y392" s="32">
        <f>IF($A392=1,IF(AND($R392=1,OR(LG_Acct="",$G392=LG_Acct),OR(LG_Party="",$K392=LG_Party),OR(LG_Loc="ALL",$I392=LG_Loc),OR(LG_CC="ALL",$J392=LG_CC),$D392&gt;=LG_From,$D392&lt;=LG_To),$D392+ROW()/1000000,""),"")</f>
        <v/>
      </c>
      <c r="Z392" s="32">
        <f>IF($A392=1,IF(Sales_Daily!$T34="","",Sales_Daily!$T34),"")</f>
        <v/>
      </c>
      <c r="AA392" s="32">
        <f>IF($A392=1,IF(Sales_Daily!$U34="","",Sales_Daily!$U34),"")</f>
        <v/>
      </c>
      <c r="AB392" s="32">
        <f>IF($A392=1,IF(Sales_Daily!$V34="","",Sales_Daily!$V34),"")</f>
        <v/>
      </c>
      <c r="AC392" s="32">
        <f>IF($A392=1,IF(Sales_Daily!$W34="","",Sales_Daily!$W34),"")</f>
        <v/>
      </c>
      <c r="AD392" s="32">
        <f>IF($A392=1,IF(Sales_Daily!$X34="","",Sales_Daily!$X34),"")</f>
        <v/>
      </c>
      <c r="AE392" s="32">
        <f>IF($A392=1,0,"")</f>
        <v/>
      </c>
      <c r="AF392" s="32" t="inlineStr"/>
    </row>
    <row r="393">
      <c r="A393" s="32">
        <f>IF(AND(Sales_Daily!$AV34=1,N(Sales_Daily!$AG34)&gt;0),1,0)</f>
        <v/>
      </c>
      <c r="B393" s="32">
        <f>IF($A393=1,$E393&amp;"/12","")</f>
        <v/>
      </c>
      <c r="C393" s="32">
        <f>IF($A393=1,"J-"&amp;Sales_Daily!$A34,"")</f>
        <v/>
      </c>
      <c r="D393" s="33">
        <f>IF($A393=1,Sales_Daily!$B34,"")</f>
        <v/>
      </c>
      <c r="E393" s="32">
        <f>IF($A393=1,IF(Sales_Daily!$A34="","",Sales_Daily!$A34),"")</f>
        <v/>
      </c>
      <c r="F393" s="32">
        <f>IF($A393=1,"SAL","")</f>
        <v/>
      </c>
      <c r="G393" s="32">
        <f>IF($A393=1,IF(Sales_Daily!$AT34="","",Sales_Daily!$AT34),"")</f>
        <v/>
      </c>
      <c r="H393" s="32">
        <f>IF($A393=1,IF(COUNTIF(COA!$A:$A,$G393)=0,"حساب غير معرف",INDEX(COA!$B:$B,MATCH($G393,COA!$A:$A,0))),"")</f>
        <v/>
      </c>
      <c r="I393" s="32">
        <f>IF($A393=1,IF(Sales_Daily!$C34="","",Sales_Daily!$C34),"")</f>
        <v/>
      </c>
      <c r="J393" s="32">
        <f>IF($A393=1,"CC10","")</f>
        <v/>
      </c>
      <c r="K393" s="32">
        <f>IF($A393=1,"-","")</f>
        <v/>
      </c>
      <c r="L393" s="32">
        <f>IF($A393=1,"إيراد مبيعات - فئة أخرى","")</f>
        <v/>
      </c>
      <c r="M393" s="43">
        <f>IF($A393=1,0,"")</f>
        <v/>
      </c>
      <c r="N393" s="43">
        <f>IF($A393=1,Sales_Daily!$AG34,"")</f>
        <v/>
      </c>
      <c r="O393" s="32">
        <f>IF($A393=1,Sales_Daily!$S34,"")</f>
        <v/>
      </c>
      <c r="P393" s="32">
        <f>IF($A393=1,IF(Sales_Daily!$AW34="","",Sales_Daily!$AW34),"")</f>
        <v/>
      </c>
      <c r="Q393" s="32">
        <f>IF($A393=1,Sales_Daily!$AY34,"")</f>
        <v/>
      </c>
      <c r="R393" s="32">
        <f>IF($A393=1,IF(AND($Q393=1,COUNTIFS(COA!$A:$A,$G393,COA!$R:$R,1)=1),1,0),"")</f>
        <v/>
      </c>
      <c r="S393" s="43">
        <f>IF($A393=1,IF($R393=1,N($M393),0),"")</f>
        <v/>
      </c>
      <c r="T393" s="43">
        <f>IF($A393=1,IF($R393=1,N($N393),0),"")</f>
        <v/>
      </c>
      <c r="U393" s="32">
        <f>IF($A393=1,YEAR($D393)*100+MONTH($D393),"")</f>
        <v/>
      </c>
      <c r="V393" s="32">
        <f>IF($A393=1,IF(COUNTIF(COA!$A:$A,$G393)=0,0,INDEX(COA!$H:$H,MATCH($G393,COA!$A:$A,0))),"")</f>
        <v/>
      </c>
      <c r="W393" s="32">
        <f>IF($A393=1,"","")</f>
        <v/>
      </c>
      <c r="X393" s="32">
        <f>IF($A393=1,IF($R393=1,"",IF($O393=ST_POST,IF($P393&lt;&gt;"",$P393,"حساب غير صالح أو غير نشط"),IF($O393=ST_REV,"معكوس: لا أثر على الدفاتر",IF($O393=ST_CANC,"ملغى",IF($O393=ST_APPR,"معتمد ولم يُرحَّل","مسودة"))))),"")</f>
        <v/>
      </c>
      <c r="Y393" s="32">
        <f>IF($A393=1,IF(AND($R393=1,OR(LG_Acct="",$G393=LG_Acct),OR(LG_Party="",$K393=LG_Party),OR(LG_Loc="ALL",$I393=LG_Loc),OR(LG_CC="ALL",$J393=LG_CC),$D393&gt;=LG_From,$D393&lt;=LG_To),$D393+ROW()/1000000,""),"")</f>
        <v/>
      </c>
      <c r="Z393" s="32">
        <f>IF($A393=1,IF(Sales_Daily!$T34="","",Sales_Daily!$T34),"")</f>
        <v/>
      </c>
      <c r="AA393" s="32">
        <f>IF($A393=1,IF(Sales_Daily!$U34="","",Sales_Daily!$U34),"")</f>
        <v/>
      </c>
      <c r="AB393" s="32">
        <f>IF($A393=1,IF(Sales_Daily!$V34="","",Sales_Daily!$V34),"")</f>
        <v/>
      </c>
      <c r="AC393" s="32">
        <f>IF($A393=1,IF(Sales_Daily!$W34="","",Sales_Daily!$W34),"")</f>
        <v/>
      </c>
      <c r="AD393" s="32">
        <f>IF($A393=1,IF(Sales_Daily!$X34="","",Sales_Daily!$X34),"")</f>
        <v/>
      </c>
      <c r="AE393" s="32">
        <f>IF($A393=1,0,"")</f>
        <v/>
      </c>
      <c r="AF393" s="32" t="inlineStr"/>
    </row>
    <row r="394">
      <c r="A394" s="32">
        <f>IF(AND(Sales_Daily!$AV34=1,N(Sales_Daily!$AJ34)&gt;0),1,0)</f>
        <v/>
      </c>
      <c r="B394" s="32">
        <f>IF($A394=1,$E394&amp;"/13","")</f>
        <v/>
      </c>
      <c r="C394" s="32">
        <f>IF($A394=1,"J-"&amp;Sales_Daily!$A34,"")</f>
        <v/>
      </c>
      <c r="D394" s="33">
        <f>IF($A394=1,Sales_Daily!$B34,"")</f>
        <v/>
      </c>
      <c r="E394" s="32">
        <f>IF($A394=1,IF(Sales_Daily!$A34="","",Sales_Daily!$A34),"")</f>
        <v/>
      </c>
      <c r="F394" s="32">
        <f>IF($A394=1,"SAL","")</f>
        <v/>
      </c>
      <c r="G394" s="32">
        <f>IF($A394=1,ACC_VAT_OUT,"")</f>
        <v/>
      </c>
      <c r="H394" s="32">
        <f>IF($A394=1,IF(COUNTIF(COA!$A:$A,$G394)=0,"حساب غير معرف",INDEX(COA!$B:$B,MATCH($G394,COA!$A:$A,0))),"")</f>
        <v/>
      </c>
      <c r="I394" s="32">
        <f>IF($A394=1,IF(Sales_Daily!$C34="","",Sales_Daily!$C34),"")</f>
        <v/>
      </c>
      <c r="J394" s="32">
        <f>IF($A394=1,"CC10","")</f>
        <v/>
      </c>
      <c r="K394" s="32">
        <f>IF($A394=1,"-","")</f>
        <v/>
      </c>
      <c r="L394" s="32">
        <f>IF($A394=1,"ضريبة القيمة المضافة - مخرجات","")</f>
        <v/>
      </c>
      <c r="M394" s="43">
        <f>IF($A394=1,0,"")</f>
        <v/>
      </c>
      <c r="N394" s="43">
        <f>IF($A394=1,Sales_Daily!$AJ34,"")</f>
        <v/>
      </c>
      <c r="O394" s="32">
        <f>IF($A394=1,Sales_Daily!$S34,"")</f>
        <v/>
      </c>
      <c r="P394" s="32">
        <f>IF($A394=1,IF(Sales_Daily!$AW34="","",Sales_Daily!$AW34),"")</f>
        <v/>
      </c>
      <c r="Q394" s="32">
        <f>IF($A394=1,Sales_Daily!$AY34,"")</f>
        <v/>
      </c>
      <c r="R394" s="32">
        <f>IF($A394=1,IF(AND($Q394=1,COUNTIFS(COA!$A:$A,$G394,COA!$R:$R,1)=1),1,0),"")</f>
        <v/>
      </c>
      <c r="S394" s="43">
        <f>IF($A394=1,IF($R394=1,N($M394),0),"")</f>
        <v/>
      </c>
      <c r="T394" s="43">
        <f>IF($A394=1,IF($R394=1,N($N394),0),"")</f>
        <v/>
      </c>
      <c r="U394" s="32">
        <f>IF($A394=1,YEAR($D394)*100+MONTH($D394),"")</f>
        <v/>
      </c>
      <c r="V394" s="32">
        <f>IF($A394=1,IF(COUNTIF(COA!$A:$A,$G394)=0,0,INDEX(COA!$H:$H,MATCH($G394,COA!$A:$A,0))),"")</f>
        <v/>
      </c>
      <c r="W394" s="32">
        <f>IF($A394=1,"","")</f>
        <v/>
      </c>
      <c r="X394" s="32">
        <f>IF($A394=1,IF($R394=1,"",IF($O394=ST_POST,IF($P394&lt;&gt;"",$P394,"حساب غير صالح أو غير نشط"),IF($O394=ST_REV,"معكوس: لا أثر على الدفاتر",IF($O394=ST_CANC,"ملغى",IF($O394=ST_APPR,"معتمد ولم يُرحَّل","مسودة"))))),"")</f>
        <v/>
      </c>
      <c r="Y394" s="32">
        <f>IF($A394=1,IF(AND($R394=1,OR(LG_Acct="",$G394=LG_Acct),OR(LG_Party="",$K394=LG_Party),OR(LG_Loc="ALL",$I394=LG_Loc),OR(LG_CC="ALL",$J394=LG_CC),$D394&gt;=LG_From,$D394&lt;=LG_To),$D394+ROW()/1000000,""),"")</f>
        <v/>
      </c>
      <c r="Z394" s="32">
        <f>IF($A394=1,IF(Sales_Daily!$T34="","",Sales_Daily!$T34),"")</f>
        <v/>
      </c>
      <c r="AA394" s="32">
        <f>IF($A394=1,IF(Sales_Daily!$U34="","",Sales_Daily!$U34),"")</f>
        <v/>
      </c>
      <c r="AB394" s="32">
        <f>IF($A394=1,IF(Sales_Daily!$V34="","",Sales_Daily!$V34),"")</f>
        <v/>
      </c>
      <c r="AC394" s="32">
        <f>IF($A394=1,IF(Sales_Daily!$W34="","",Sales_Daily!$W34),"")</f>
        <v/>
      </c>
      <c r="AD394" s="32">
        <f>IF($A394=1,IF(Sales_Daily!$X34="","",Sales_Daily!$X34),"")</f>
        <v/>
      </c>
      <c r="AE394" s="32">
        <f>IF($A394=1,0,"")</f>
        <v/>
      </c>
      <c r="AF394" s="32" t="inlineStr"/>
    </row>
    <row r="395">
      <c r="A395" s="32">
        <f>IF(AND(Sales_Daily!$AV35=1,N(Sales_Daily!$L35)&gt;0),1,0)</f>
        <v/>
      </c>
      <c r="B395" s="32">
        <f>IF($A395=1,$E395&amp;"/1","")</f>
        <v/>
      </c>
      <c r="C395" s="32">
        <f>IF($A395=1,"J-"&amp;Sales_Daily!$A35,"")</f>
        <v/>
      </c>
      <c r="D395" s="33">
        <f>IF($A395=1,Sales_Daily!$B35,"")</f>
        <v/>
      </c>
      <c r="E395" s="32">
        <f>IF($A395=1,IF(Sales_Daily!$A35="","",Sales_Daily!$A35),"")</f>
        <v/>
      </c>
      <c r="F395" s="32">
        <f>IF($A395=1,"SAL","")</f>
        <v/>
      </c>
      <c r="G395" s="32">
        <f>IF($A395=1,IF(Sales_Daily!$AK35="","",Sales_Daily!$AK35),"")</f>
        <v/>
      </c>
      <c r="H395" s="32">
        <f>IF($A395=1,IF(COUNTIF(COA!$A:$A,$G395)=0,"حساب غير معرف",INDEX(COA!$B:$B,MATCH($G395,COA!$A:$A,0))),"")</f>
        <v/>
      </c>
      <c r="I395" s="32">
        <f>IF($A395=1,IF(Sales_Daily!$C35="","",Sales_Daily!$C35),"")</f>
        <v/>
      </c>
      <c r="J395" s="32">
        <f>IF($A395=1,"CC10","")</f>
        <v/>
      </c>
      <c r="K395" s="32">
        <f>IF($A395=1,"-","")</f>
        <v/>
      </c>
      <c r="L395" s="32">
        <f>IF($A395=1,"مبيعات - تحصيل CASH","")</f>
        <v/>
      </c>
      <c r="M395" s="43">
        <f>IF($A395=1,Sales_Daily!$L35,"")</f>
        <v/>
      </c>
      <c r="N395" s="43">
        <f>IF($A395=1,0,"")</f>
        <v/>
      </c>
      <c r="O395" s="32">
        <f>IF($A395=1,Sales_Daily!$S35,"")</f>
        <v/>
      </c>
      <c r="P395" s="32">
        <f>IF($A395=1,IF(Sales_Daily!$AW35="","",Sales_Daily!$AW35),"")</f>
        <v/>
      </c>
      <c r="Q395" s="32">
        <f>IF($A395=1,Sales_Daily!$AY35,"")</f>
        <v/>
      </c>
      <c r="R395" s="32">
        <f>IF($A395=1,IF(AND($Q395=1,COUNTIFS(COA!$A:$A,$G395,COA!$R:$R,1)=1),1,0),"")</f>
        <v/>
      </c>
      <c r="S395" s="43">
        <f>IF($A395=1,IF($R395=1,N($M395),0),"")</f>
        <v/>
      </c>
      <c r="T395" s="43">
        <f>IF($A395=1,IF($R395=1,N($N395),0),"")</f>
        <v/>
      </c>
      <c r="U395" s="32">
        <f>IF($A395=1,YEAR($D395)*100+MONTH($D395),"")</f>
        <v/>
      </c>
      <c r="V395" s="32">
        <f>IF($A395=1,IF(COUNTIF(COA!$A:$A,$G395)=0,0,INDEX(COA!$H:$H,MATCH($G395,COA!$A:$A,0))),"")</f>
        <v/>
      </c>
      <c r="W395" s="32">
        <f>IF($A395=1,"OPERATING","")</f>
        <v/>
      </c>
      <c r="X395" s="32">
        <f>IF($A395=1,IF($R395=1,"",IF($O395=ST_POST,IF($P395&lt;&gt;"",$P395,"حساب غير صالح أو غير نشط"),IF($O395=ST_REV,"معكوس: لا أثر على الدفاتر",IF($O395=ST_CANC,"ملغى",IF($O395=ST_APPR,"معتمد ولم يُرحَّل","مسودة"))))),"")</f>
        <v/>
      </c>
      <c r="Y395" s="32">
        <f>IF($A395=1,IF(AND($R395=1,OR(LG_Acct="",$G395=LG_Acct),OR(LG_Party="",$K395=LG_Party),OR(LG_Loc="ALL",$I395=LG_Loc),OR(LG_CC="ALL",$J395=LG_CC),$D395&gt;=LG_From,$D395&lt;=LG_To),$D395+ROW()/1000000,""),"")</f>
        <v/>
      </c>
      <c r="Z395" s="32">
        <f>IF($A395=1,IF(Sales_Daily!$T35="","",Sales_Daily!$T35),"")</f>
        <v/>
      </c>
      <c r="AA395" s="32">
        <f>IF($A395=1,IF(Sales_Daily!$U35="","",Sales_Daily!$U35),"")</f>
        <v/>
      </c>
      <c r="AB395" s="32">
        <f>IF($A395=1,IF(Sales_Daily!$V35="","",Sales_Daily!$V35),"")</f>
        <v/>
      </c>
      <c r="AC395" s="32">
        <f>IF($A395=1,IF(Sales_Daily!$W35="","",Sales_Daily!$W35),"")</f>
        <v/>
      </c>
      <c r="AD395" s="32">
        <f>IF($A395=1,IF(Sales_Daily!$X35="","",Sales_Daily!$X35),"")</f>
        <v/>
      </c>
      <c r="AE395" s="32">
        <f>IF($A395=1,0,"")</f>
        <v/>
      </c>
      <c r="AF395" s="32" t="inlineStr"/>
    </row>
    <row r="396">
      <c r="A396" s="32">
        <f>IF(AND(Sales_Daily!$AV35=1,N(Sales_Daily!$M35)&gt;0),1,0)</f>
        <v/>
      </c>
      <c r="B396" s="32">
        <f>IF($A396=1,$E396&amp;"/2","")</f>
        <v/>
      </c>
      <c r="C396" s="32">
        <f>IF($A396=1,"J-"&amp;Sales_Daily!$A35,"")</f>
        <v/>
      </c>
      <c r="D396" s="33">
        <f>IF($A396=1,Sales_Daily!$B35,"")</f>
        <v/>
      </c>
      <c r="E396" s="32">
        <f>IF($A396=1,IF(Sales_Daily!$A35="","",Sales_Daily!$A35),"")</f>
        <v/>
      </c>
      <c r="F396" s="32">
        <f>IF($A396=1,"SAL","")</f>
        <v/>
      </c>
      <c r="G396" s="32">
        <f>IF($A396=1,IF(Sales_Daily!$AL35="","",Sales_Daily!$AL35),"")</f>
        <v/>
      </c>
      <c r="H396" s="32">
        <f>IF($A396=1,IF(COUNTIF(COA!$A:$A,$G396)=0,"حساب غير معرف",INDEX(COA!$B:$B,MATCH($G396,COA!$A:$A,0))),"")</f>
        <v/>
      </c>
      <c r="I396" s="32">
        <f>IF($A396=1,IF(Sales_Daily!$C35="","",Sales_Daily!$C35),"")</f>
        <v/>
      </c>
      <c r="J396" s="32">
        <f>IF($A396=1,"CC10","")</f>
        <v/>
      </c>
      <c r="K396" s="32">
        <f>IF($A396=1,"-","")</f>
        <v/>
      </c>
      <c r="L396" s="32">
        <f>IF($A396=1,"مبيعات - تحصيل CARD","")</f>
        <v/>
      </c>
      <c r="M396" s="43">
        <f>IF($A396=1,Sales_Daily!$M35,"")</f>
        <v/>
      </c>
      <c r="N396" s="43">
        <f>IF($A396=1,0,"")</f>
        <v/>
      </c>
      <c r="O396" s="32">
        <f>IF($A396=1,Sales_Daily!$S35,"")</f>
        <v/>
      </c>
      <c r="P396" s="32">
        <f>IF($A396=1,IF(Sales_Daily!$AW35="","",Sales_Daily!$AW35),"")</f>
        <v/>
      </c>
      <c r="Q396" s="32">
        <f>IF($A396=1,Sales_Daily!$AY35,"")</f>
        <v/>
      </c>
      <c r="R396" s="32">
        <f>IF($A396=1,IF(AND($Q396=1,COUNTIFS(COA!$A:$A,$G396,COA!$R:$R,1)=1),1,0),"")</f>
        <v/>
      </c>
      <c r="S396" s="43">
        <f>IF($A396=1,IF($R396=1,N($M396),0),"")</f>
        <v/>
      </c>
      <c r="T396" s="43">
        <f>IF($A396=1,IF($R396=1,N($N396),0),"")</f>
        <v/>
      </c>
      <c r="U396" s="32">
        <f>IF($A396=1,YEAR($D396)*100+MONTH($D396),"")</f>
        <v/>
      </c>
      <c r="V396" s="32">
        <f>IF($A396=1,IF(COUNTIF(COA!$A:$A,$G396)=0,0,INDEX(COA!$H:$H,MATCH($G396,COA!$A:$A,0))),"")</f>
        <v/>
      </c>
      <c r="W396" s="32">
        <f>IF($A396=1,"OPERATING","")</f>
        <v/>
      </c>
      <c r="X396" s="32">
        <f>IF($A396=1,IF($R396=1,"",IF($O396=ST_POST,IF($P396&lt;&gt;"",$P396,"حساب غير صالح أو غير نشط"),IF($O396=ST_REV,"معكوس: لا أثر على الدفاتر",IF($O396=ST_CANC,"ملغى",IF($O396=ST_APPR,"معتمد ولم يُرحَّل","مسودة"))))),"")</f>
        <v/>
      </c>
      <c r="Y396" s="32">
        <f>IF($A396=1,IF(AND($R396=1,OR(LG_Acct="",$G396=LG_Acct),OR(LG_Party="",$K396=LG_Party),OR(LG_Loc="ALL",$I396=LG_Loc),OR(LG_CC="ALL",$J396=LG_CC),$D396&gt;=LG_From,$D396&lt;=LG_To),$D396+ROW()/1000000,""),"")</f>
        <v/>
      </c>
      <c r="Z396" s="32">
        <f>IF($A396=1,IF(Sales_Daily!$T35="","",Sales_Daily!$T35),"")</f>
        <v/>
      </c>
      <c r="AA396" s="32">
        <f>IF($A396=1,IF(Sales_Daily!$U35="","",Sales_Daily!$U35),"")</f>
        <v/>
      </c>
      <c r="AB396" s="32">
        <f>IF($A396=1,IF(Sales_Daily!$V35="","",Sales_Daily!$V35),"")</f>
        <v/>
      </c>
      <c r="AC396" s="32">
        <f>IF($A396=1,IF(Sales_Daily!$W35="","",Sales_Daily!$W35),"")</f>
        <v/>
      </c>
      <c r="AD396" s="32">
        <f>IF($A396=1,IF(Sales_Daily!$X35="","",Sales_Daily!$X35),"")</f>
        <v/>
      </c>
      <c r="AE396" s="32">
        <f>IF($A396=1,0,"")</f>
        <v/>
      </c>
      <c r="AF396" s="32" t="inlineStr"/>
    </row>
    <row r="397">
      <c r="A397" s="32">
        <f>IF(AND(Sales_Daily!$AV35=1,N(Sales_Daily!$N35)&gt;0),1,0)</f>
        <v/>
      </c>
      <c r="B397" s="32">
        <f>IF($A397=1,$E397&amp;"/3","")</f>
        <v/>
      </c>
      <c r="C397" s="32">
        <f>IF($A397=1,"J-"&amp;Sales_Daily!$A35,"")</f>
        <v/>
      </c>
      <c r="D397" s="33">
        <f>IF($A397=1,Sales_Daily!$B35,"")</f>
        <v/>
      </c>
      <c r="E397" s="32">
        <f>IF($A397=1,IF(Sales_Daily!$A35="","",Sales_Daily!$A35),"")</f>
        <v/>
      </c>
      <c r="F397" s="32">
        <f>IF($A397=1,"SAL","")</f>
        <v/>
      </c>
      <c r="G397" s="32">
        <f>IF($A397=1,IF(Sales_Daily!$AM35="","",Sales_Daily!$AM35),"")</f>
        <v/>
      </c>
      <c r="H397" s="32">
        <f>IF($A397=1,IF(COUNTIF(COA!$A:$A,$G397)=0,"حساب غير معرف",INDEX(COA!$B:$B,MATCH($G397,COA!$A:$A,0))),"")</f>
        <v/>
      </c>
      <c r="I397" s="32">
        <f>IF($A397=1,IF(Sales_Daily!$C35="","",Sales_Daily!$C35),"")</f>
        <v/>
      </c>
      <c r="J397" s="32">
        <f>IF($A397=1,"CC10","")</f>
        <v/>
      </c>
      <c r="K397" s="32">
        <f>IF($A397=1,"-","")</f>
        <v/>
      </c>
      <c r="L397" s="32">
        <f>IF($A397=1,"مبيعات - تحصيل TLB","")</f>
        <v/>
      </c>
      <c r="M397" s="43">
        <f>IF($A397=1,Sales_Daily!$N35,"")</f>
        <v/>
      </c>
      <c r="N397" s="43">
        <f>IF($A397=1,0,"")</f>
        <v/>
      </c>
      <c r="O397" s="32">
        <f>IF($A397=1,Sales_Daily!$S35,"")</f>
        <v/>
      </c>
      <c r="P397" s="32">
        <f>IF($A397=1,IF(Sales_Daily!$AW35="","",Sales_Daily!$AW35),"")</f>
        <v/>
      </c>
      <c r="Q397" s="32">
        <f>IF($A397=1,Sales_Daily!$AY35,"")</f>
        <v/>
      </c>
      <c r="R397" s="32">
        <f>IF($A397=1,IF(AND($Q397=1,COUNTIFS(COA!$A:$A,$G397,COA!$R:$R,1)=1),1,0),"")</f>
        <v/>
      </c>
      <c r="S397" s="43">
        <f>IF($A397=1,IF($R397=1,N($M397),0),"")</f>
        <v/>
      </c>
      <c r="T397" s="43">
        <f>IF($A397=1,IF($R397=1,N($N397),0),"")</f>
        <v/>
      </c>
      <c r="U397" s="32">
        <f>IF($A397=1,YEAR($D397)*100+MONTH($D397),"")</f>
        <v/>
      </c>
      <c r="V397" s="32">
        <f>IF($A397=1,IF(COUNTIF(COA!$A:$A,$G397)=0,0,INDEX(COA!$H:$H,MATCH($G397,COA!$A:$A,0))),"")</f>
        <v/>
      </c>
      <c r="W397" s="32">
        <f>IF($A397=1,"OPERATING","")</f>
        <v/>
      </c>
      <c r="X397" s="32">
        <f>IF($A397=1,IF($R397=1,"",IF($O397=ST_POST,IF($P397&lt;&gt;"",$P397,"حساب غير صالح أو غير نشط"),IF($O397=ST_REV,"معكوس: لا أثر على الدفاتر",IF($O397=ST_CANC,"ملغى",IF($O397=ST_APPR,"معتمد ولم يُرحَّل","مسودة"))))),"")</f>
        <v/>
      </c>
      <c r="Y397" s="32">
        <f>IF($A397=1,IF(AND($R397=1,OR(LG_Acct="",$G397=LG_Acct),OR(LG_Party="",$K397=LG_Party),OR(LG_Loc="ALL",$I397=LG_Loc),OR(LG_CC="ALL",$J397=LG_CC),$D397&gt;=LG_From,$D397&lt;=LG_To),$D397+ROW()/1000000,""),"")</f>
        <v/>
      </c>
      <c r="Z397" s="32">
        <f>IF($A397=1,IF(Sales_Daily!$T35="","",Sales_Daily!$T35),"")</f>
        <v/>
      </c>
      <c r="AA397" s="32">
        <f>IF($A397=1,IF(Sales_Daily!$U35="","",Sales_Daily!$U35),"")</f>
        <v/>
      </c>
      <c r="AB397" s="32">
        <f>IF($A397=1,IF(Sales_Daily!$V35="","",Sales_Daily!$V35),"")</f>
        <v/>
      </c>
      <c r="AC397" s="32">
        <f>IF($A397=1,IF(Sales_Daily!$W35="","",Sales_Daily!$W35),"")</f>
        <v/>
      </c>
      <c r="AD397" s="32">
        <f>IF($A397=1,IF(Sales_Daily!$X35="","",Sales_Daily!$X35),"")</f>
        <v/>
      </c>
      <c r="AE397" s="32">
        <f>IF($A397=1,0,"")</f>
        <v/>
      </c>
      <c r="AF397" s="32" t="inlineStr"/>
    </row>
    <row r="398">
      <c r="A398" s="32">
        <f>IF(AND(Sales_Daily!$AV35=1,N(Sales_Daily!$O35)&gt;0),1,0)</f>
        <v/>
      </c>
      <c r="B398" s="32">
        <f>IF($A398=1,$E398&amp;"/4","")</f>
        <v/>
      </c>
      <c r="C398" s="32">
        <f>IF($A398=1,"J-"&amp;Sales_Daily!$A35,"")</f>
        <v/>
      </c>
      <c r="D398" s="33">
        <f>IF($A398=1,Sales_Daily!$B35,"")</f>
        <v/>
      </c>
      <c r="E398" s="32">
        <f>IF($A398=1,IF(Sales_Daily!$A35="","",Sales_Daily!$A35),"")</f>
        <v/>
      </c>
      <c r="F398" s="32">
        <f>IF($A398=1,"SAL","")</f>
        <v/>
      </c>
      <c r="G398" s="32">
        <f>IF($A398=1,IF(Sales_Daily!$AN35="","",Sales_Daily!$AN35),"")</f>
        <v/>
      </c>
      <c r="H398" s="32">
        <f>IF($A398=1,IF(COUNTIF(COA!$A:$A,$G398)=0,"حساب غير معرف",INDEX(COA!$B:$B,MATCH($G398,COA!$A:$A,0))),"")</f>
        <v/>
      </c>
      <c r="I398" s="32">
        <f>IF($A398=1,IF(Sales_Daily!$C35="","",Sales_Daily!$C35),"")</f>
        <v/>
      </c>
      <c r="J398" s="32">
        <f>IF($A398=1,"CC10","")</f>
        <v/>
      </c>
      <c r="K398" s="32">
        <f>IF($A398=1,"-","")</f>
        <v/>
      </c>
      <c r="L398" s="32">
        <f>IF($A398=1,"مبيعات - تحصيل DLV2","")</f>
        <v/>
      </c>
      <c r="M398" s="43">
        <f>IF($A398=1,Sales_Daily!$O35,"")</f>
        <v/>
      </c>
      <c r="N398" s="43">
        <f>IF($A398=1,0,"")</f>
        <v/>
      </c>
      <c r="O398" s="32">
        <f>IF($A398=1,Sales_Daily!$S35,"")</f>
        <v/>
      </c>
      <c r="P398" s="32">
        <f>IF($A398=1,IF(Sales_Daily!$AW35="","",Sales_Daily!$AW35),"")</f>
        <v/>
      </c>
      <c r="Q398" s="32">
        <f>IF($A398=1,Sales_Daily!$AY35,"")</f>
        <v/>
      </c>
      <c r="R398" s="32">
        <f>IF($A398=1,IF(AND($Q398=1,COUNTIFS(COA!$A:$A,$G398,COA!$R:$R,1)=1),1,0),"")</f>
        <v/>
      </c>
      <c r="S398" s="43">
        <f>IF($A398=1,IF($R398=1,N($M398),0),"")</f>
        <v/>
      </c>
      <c r="T398" s="43">
        <f>IF($A398=1,IF($R398=1,N($N398),0),"")</f>
        <v/>
      </c>
      <c r="U398" s="32">
        <f>IF($A398=1,YEAR($D398)*100+MONTH($D398),"")</f>
        <v/>
      </c>
      <c r="V398" s="32">
        <f>IF($A398=1,IF(COUNTIF(COA!$A:$A,$G398)=0,0,INDEX(COA!$H:$H,MATCH($G398,COA!$A:$A,0))),"")</f>
        <v/>
      </c>
      <c r="W398" s="32">
        <f>IF($A398=1,"OPERATING","")</f>
        <v/>
      </c>
      <c r="X398" s="32">
        <f>IF($A398=1,IF($R398=1,"",IF($O398=ST_POST,IF($P398&lt;&gt;"",$P398,"حساب غير صالح أو غير نشط"),IF($O398=ST_REV,"معكوس: لا أثر على الدفاتر",IF($O398=ST_CANC,"ملغى",IF($O398=ST_APPR,"معتمد ولم يُرحَّل","مسودة"))))),"")</f>
        <v/>
      </c>
      <c r="Y398" s="32">
        <f>IF($A398=1,IF(AND($R398=1,OR(LG_Acct="",$G398=LG_Acct),OR(LG_Party="",$K398=LG_Party),OR(LG_Loc="ALL",$I398=LG_Loc),OR(LG_CC="ALL",$J398=LG_CC),$D398&gt;=LG_From,$D398&lt;=LG_To),$D398+ROW()/1000000,""),"")</f>
        <v/>
      </c>
      <c r="Z398" s="32">
        <f>IF($A398=1,IF(Sales_Daily!$T35="","",Sales_Daily!$T35),"")</f>
        <v/>
      </c>
      <c r="AA398" s="32">
        <f>IF($A398=1,IF(Sales_Daily!$U35="","",Sales_Daily!$U35),"")</f>
        <v/>
      </c>
      <c r="AB398" s="32">
        <f>IF($A398=1,IF(Sales_Daily!$V35="","",Sales_Daily!$V35),"")</f>
        <v/>
      </c>
      <c r="AC398" s="32">
        <f>IF($A398=1,IF(Sales_Daily!$W35="","",Sales_Daily!$W35),"")</f>
        <v/>
      </c>
      <c r="AD398" s="32">
        <f>IF($A398=1,IF(Sales_Daily!$X35="","",Sales_Daily!$X35),"")</f>
        <v/>
      </c>
      <c r="AE398" s="32">
        <f>IF($A398=1,0,"")</f>
        <v/>
      </c>
      <c r="AF398" s="32" t="inlineStr"/>
    </row>
    <row r="399">
      <c r="A399" s="32">
        <f>IF(AND(Sales_Daily!$AV35=1,N(Sales_Daily!$P35)&gt;0),1,0)</f>
        <v/>
      </c>
      <c r="B399" s="32">
        <f>IF($A399=1,$E399&amp;"/5","")</f>
        <v/>
      </c>
      <c r="C399" s="32">
        <f>IF($A399=1,"J-"&amp;Sales_Daily!$A35,"")</f>
        <v/>
      </c>
      <c r="D399" s="33">
        <f>IF($A399=1,Sales_Daily!$B35,"")</f>
        <v/>
      </c>
      <c r="E399" s="32">
        <f>IF($A399=1,IF(Sales_Daily!$A35="","",Sales_Daily!$A35),"")</f>
        <v/>
      </c>
      <c r="F399" s="32">
        <f>IF($A399=1,"SAL","")</f>
        <v/>
      </c>
      <c r="G399" s="32">
        <f>IF($A399=1,IF(Sales_Daily!$AO35="","",Sales_Daily!$AO35),"")</f>
        <v/>
      </c>
      <c r="H399" s="32">
        <f>IF($A399=1,IF(COUNTIF(COA!$A:$A,$G399)=0,"حساب غير معرف",INDEX(COA!$B:$B,MATCH($G399,COA!$A:$A,0))),"")</f>
        <v/>
      </c>
      <c r="I399" s="32">
        <f>IF($A399=1,IF(Sales_Daily!$C35="","",Sales_Daily!$C35),"")</f>
        <v/>
      </c>
      <c r="J399" s="32">
        <f>IF($A399=1,"CC10","")</f>
        <v/>
      </c>
      <c r="K399" s="32">
        <f>IF($A399=1,"-","")</f>
        <v/>
      </c>
      <c r="L399" s="32">
        <f>IF($A399=1,"مبيعات - تحصيل INSTA","")</f>
        <v/>
      </c>
      <c r="M399" s="43">
        <f>IF($A399=1,Sales_Daily!$P35,"")</f>
        <v/>
      </c>
      <c r="N399" s="43">
        <f>IF($A399=1,0,"")</f>
        <v/>
      </c>
      <c r="O399" s="32">
        <f>IF($A399=1,Sales_Daily!$S35,"")</f>
        <v/>
      </c>
      <c r="P399" s="32">
        <f>IF($A399=1,IF(Sales_Daily!$AW35="","",Sales_Daily!$AW35),"")</f>
        <v/>
      </c>
      <c r="Q399" s="32">
        <f>IF($A399=1,Sales_Daily!$AY35,"")</f>
        <v/>
      </c>
      <c r="R399" s="32">
        <f>IF($A399=1,IF(AND($Q399=1,COUNTIFS(COA!$A:$A,$G399,COA!$R:$R,1)=1),1,0),"")</f>
        <v/>
      </c>
      <c r="S399" s="43">
        <f>IF($A399=1,IF($R399=1,N($M399),0),"")</f>
        <v/>
      </c>
      <c r="T399" s="43">
        <f>IF($A399=1,IF($R399=1,N($N399),0),"")</f>
        <v/>
      </c>
      <c r="U399" s="32">
        <f>IF($A399=1,YEAR($D399)*100+MONTH($D399),"")</f>
        <v/>
      </c>
      <c r="V399" s="32">
        <f>IF($A399=1,IF(COUNTIF(COA!$A:$A,$G399)=0,0,INDEX(COA!$H:$H,MATCH($G399,COA!$A:$A,0))),"")</f>
        <v/>
      </c>
      <c r="W399" s="32">
        <f>IF($A399=1,"OPERATING","")</f>
        <v/>
      </c>
      <c r="X399" s="32">
        <f>IF($A399=1,IF($R399=1,"",IF($O399=ST_POST,IF($P399&lt;&gt;"",$P399,"حساب غير صالح أو غير نشط"),IF($O399=ST_REV,"معكوس: لا أثر على الدفاتر",IF($O399=ST_CANC,"ملغى",IF($O399=ST_APPR,"معتمد ولم يُرحَّل","مسودة"))))),"")</f>
        <v/>
      </c>
      <c r="Y399" s="32">
        <f>IF($A399=1,IF(AND($R399=1,OR(LG_Acct="",$G399=LG_Acct),OR(LG_Party="",$K399=LG_Party),OR(LG_Loc="ALL",$I399=LG_Loc),OR(LG_CC="ALL",$J399=LG_CC),$D399&gt;=LG_From,$D399&lt;=LG_To),$D399+ROW()/1000000,""),"")</f>
        <v/>
      </c>
      <c r="Z399" s="32">
        <f>IF($A399=1,IF(Sales_Daily!$T35="","",Sales_Daily!$T35),"")</f>
        <v/>
      </c>
      <c r="AA399" s="32">
        <f>IF($A399=1,IF(Sales_Daily!$U35="","",Sales_Daily!$U35),"")</f>
        <v/>
      </c>
      <c r="AB399" s="32">
        <f>IF($A399=1,IF(Sales_Daily!$V35="","",Sales_Daily!$V35),"")</f>
        <v/>
      </c>
      <c r="AC399" s="32">
        <f>IF($A399=1,IF(Sales_Daily!$W35="","",Sales_Daily!$W35),"")</f>
        <v/>
      </c>
      <c r="AD399" s="32">
        <f>IF($A399=1,IF(Sales_Daily!$X35="","",Sales_Daily!$X35),"")</f>
        <v/>
      </c>
      <c r="AE399" s="32">
        <f>IF($A399=1,0,"")</f>
        <v/>
      </c>
      <c r="AF399" s="32" t="inlineStr"/>
    </row>
    <row r="400">
      <c r="A400" s="32">
        <f>IF(AND(Sales_Daily!$AV35=1,N(Sales_Daily!$Q35)&gt;0),1,0)</f>
        <v/>
      </c>
      <c r="B400" s="32">
        <f>IF($A400=1,$E400&amp;"/6","")</f>
        <v/>
      </c>
      <c r="C400" s="32">
        <f>IF($A400=1,"J-"&amp;Sales_Daily!$A35,"")</f>
        <v/>
      </c>
      <c r="D400" s="33">
        <f>IF($A400=1,Sales_Daily!$B35,"")</f>
        <v/>
      </c>
      <c r="E400" s="32">
        <f>IF($A400=1,IF(Sales_Daily!$A35="","",Sales_Daily!$A35),"")</f>
        <v/>
      </c>
      <c r="F400" s="32">
        <f>IF($A400=1,"SAL","")</f>
        <v/>
      </c>
      <c r="G400" s="32">
        <f>IF($A400=1,IF(Sales_Daily!$AP35="","",Sales_Daily!$AP35),"")</f>
        <v/>
      </c>
      <c r="H400" s="32">
        <f>IF($A400=1,IF(COUNTIF(COA!$A:$A,$G400)=0,"حساب غير معرف",INDEX(COA!$B:$B,MATCH($G400,COA!$A:$A,0))),"")</f>
        <v/>
      </c>
      <c r="I400" s="32">
        <f>IF($A400=1,IF(Sales_Daily!$C35="","",Sales_Daily!$C35),"")</f>
        <v/>
      </c>
      <c r="J400" s="32">
        <f>IF($A400=1,"CC10","")</f>
        <v/>
      </c>
      <c r="K400" s="32">
        <f>IF($A400=1,"-","")</f>
        <v/>
      </c>
      <c r="L400" s="32">
        <f>IF($A400=1,"مبيعات - تحصيل OTH","")</f>
        <v/>
      </c>
      <c r="M400" s="43">
        <f>IF($A400=1,Sales_Daily!$Q35,"")</f>
        <v/>
      </c>
      <c r="N400" s="43">
        <f>IF($A400=1,0,"")</f>
        <v/>
      </c>
      <c r="O400" s="32">
        <f>IF($A400=1,Sales_Daily!$S35,"")</f>
        <v/>
      </c>
      <c r="P400" s="32">
        <f>IF($A400=1,IF(Sales_Daily!$AW35="","",Sales_Daily!$AW35),"")</f>
        <v/>
      </c>
      <c r="Q400" s="32">
        <f>IF($A400=1,Sales_Daily!$AY35,"")</f>
        <v/>
      </c>
      <c r="R400" s="32">
        <f>IF($A400=1,IF(AND($Q400=1,COUNTIFS(COA!$A:$A,$G400,COA!$R:$R,1)=1),1,0),"")</f>
        <v/>
      </c>
      <c r="S400" s="43">
        <f>IF($A400=1,IF($R400=1,N($M400),0),"")</f>
        <v/>
      </c>
      <c r="T400" s="43">
        <f>IF($A400=1,IF($R400=1,N($N400),0),"")</f>
        <v/>
      </c>
      <c r="U400" s="32">
        <f>IF($A400=1,YEAR($D400)*100+MONTH($D400),"")</f>
        <v/>
      </c>
      <c r="V400" s="32">
        <f>IF($A400=1,IF(COUNTIF(COA!$A:$A,$G400)=0,0,INDEX(COA!$H:$H,MATCH($G400,COA!$A:$A,0))),"")</f>
        <v/>
      </c>
      <c r="W400" s="32">
        <f>IF($A400=1,"OPERATING","")</f>
        <v/>
      </c>
      <c r="X400" s="32">
        <f>IF($A400=1,IF($R400=1,"",IF($O400=ST_POST,IF($P400&lt;&gt;"",$P400,"حساب غير صالح أو غير نشط"),IF($O400=ST_REV,"معكوس: لا أثر على الدفاتر",IF($O400=ST_CANC,"ملغى",IF($O400=ST_APPR,"معتمد ولم يُرحَّل","مسودة"))))),"")</f>
        <v/>
      </c>
      <c r="Y400" s="32">
        <f>IF($A400=1,IF(AND($R400=1,OR(LG_Acct="",$G400=LG_Acct),OR(LG_Party="",$K400=LG_Party),OR(LG_Loc="ALL",$I400=LG_Loc),OR(LG_CC="ALL",$J400=LG_CC),$D400&gt;=LG_From,$D400&lt;=LG_To),$D400+ROW()/1000000,""),"")</f>
        <v/>
      </c>
      <c r="Z400" s="32">
        <f>IF($A400=1,IF(Sales_Daily!$T35="","",Sales_Daily!$T35),"")</f>
        <v/>
      </c>
      <c r="AA400" s="32">
        <f>IF($A400=1,IF(Sales_Daily!$U35="","",Sales_Daily!$U35),"")</f>
        <v/>
      </c>
      <c r="AB400" s="32">
        <f>IF($A400=1,IF(Sales_Daily!$V35="","",Sales_Daily!$V35),"")</f>
        <v/>
      </c>
      <c r="AC400" s="32">
        <f>IF($A400=1,IF(Sales_Daily!$W35="","",Sales_Daily!$W35),"")</f>
        <v/>
      </c>
      <c r="AD400" s="32">
        <f>IF($A400=1,IF(Sales_Daily!$X35="","",Sales_Daily!$X35),"")</f>
        <v/>
      </c>
      <c r="AE400" s="32">
        <f>IF($A400=1,0,"")</f>
        <v/>
      </c>
      <c r="AF400" s="32" t="inlineStr"/>
    </row>
    <row r="401">
      <c r="A401" s="32">
        <f>IF(AND(Sales_Daily!$AV35=1,N(Sales_Daily!$AH35)&gt;0),1,0)</f>
        <v/>
      </c>
      <c r="B401" s="32">
        <f>IF($A401=1,$E401&amp;"/7","")</f>
        <v/>
      </c>
      <c r="C401" s="32">
        <f>IF($A401=1,"J-"&amp;Sales_Daily!$A35,"")</f>
        <v/>
      </c>
      <c r="D401" s="33">
        <f>IF($A401=1,Sales_Daily!$B35,"")</f>
        <v/>
      </c>
      <c r="E401" s="32">
        <f>IF($A401=1,IF(Sales_Daily!$A35="","",Sales_Daily!$A35),"")</f>
        <v/>
      </c>
      <c r="F401" s="32">
        <f>IF($A401=1,"SAL","")</f>
        <v/>
      </c>
      <c r="G401" s="32">
        <f>IF($A401=1,ACC_DISC,"")</f>
        <v/>
      </c>
      <c r="H401" s="32">
        <f>IF($A401=1,IF(COUNTIF(COA!$A:$A,$G401)=0,"حساب غير معرف",INDEX(COA!$B:$B,MATCH($G401,COA!$A:$A,0))),"")</f>
        <v/>
      </c>
      <c r="I401" s="32">
        <f>IF($A401=1,IF(Sales_Daily!$C35="","",Sales_Daily!$C35),"")</f>
        <v/>
      </c>
      <c r="J401" s="32">
        <f>IF($A401=1,"CC10","")</f>
        <v/>
      </c>
      <c r="K401" s="32">
        <f>IF($A401=1,"-","")</f>
        <v/>
      </c>
      <c r="L401" s="32">
        <f>IF($A401=1,"خصومات المبيعات والعروض","")</f>
        <v/>
      </c>
      <c r="M401" s="43">
        <f>IF($A401=1,Sales_Daily!$AH35,"")</f>
        <v/>
      </c>
      <c r="N401" s="43">
        <f>IF($A401=1,0,"")</f>
        <v/>
      </c>
      <c r="O401" s="32">
        <f>IF($A401=1,Sales_Daily!$S35,"")</f>
        <v/>
      </c>
      <c r="P401" s="32">
        <f>IF($A401=1,IF(Sales_Daily!$AW35="","",Sales_Daily!$AW35),"")</f>
        <v/>
      </c>
      <c r="Q401" s="32">
        <f>IF($A401=1,Sales_Daily!$AY35,"")</f>
        <v/>
      </c>
      <c r="R401" s="32">
        <f>IF($A401=1,IF(AND($Q401=1,COUNTIFS(COA!$A:$A,$G401,COA!$R:$R,1)=1),1,0),"")</f>
        <v/>
      </c>
      <c r="S401" s="43">
        <f>IF($A401=1,IF($R401=1,N($M401),0),"")</f>
        <v/>
      </c>
      <c r="T401" s="43">
        <f>IF($A401=1,IF($R401=1,N($N401),0),"")</f>
        <v/>
      </c>
      <c r="U401" s="32">
        <f>IF($A401=1,YEAR($D401)*100+MONTH($D401),"")</f>
        <v/>
      </c>
      <c r="V401" s="32">
        <f>IF($A401=1,IF(COUNTIF(COA!$A:$A,$G401)=0,0,INDEX(COA!$H:$H,MATCH($G401,COA!$A:$A,0))),"")</f>
        <v/>
      </c>
      <c r="W401" s="32">
        <f>IF($A401=1,"","")</f>
        <v/>
      </c>
      <c r="X401" s="32">
        <f>IF($A401=1,IF($R401=1,"",IF($O401=ST_POST,IF($P401&lt;&gt;"",$P401,"حساب غير صالح أو غير نشط"),IF($O401=ST_REV,"معكوس: لا أثر على الدفاتر",IF($O401=ST_CANC,"ملغى",IF($O401=ST_APPR,"معتمد ولم يُرحَّل","مسودة"))))),"")</f>
        <v/>
      </c>
      <c r="Y401" s="32">
        <f>IF($A401=1,IF(AND($R401=1,OR(LG_Acct="",$G401=LG_Acct),OR(LG_Party="",$K401=LG_Party),OR(LG_Loc="ALL",$I401=LG_Loc),OR(LG_CC="ALL",$J401=LG_CC),$D401&gt;=LG_From,$D401&lt;=LG_To),$D401+ROW()/1000000,""),"")</f>
        <v/>
      </c>
      <c r="Z401" s="32">
        <f>IF($A401=1,IF(Sales_Daily!$T35="","",Sales_Daily!$T35),"")</f>
        <v/>
      </c>
      <c r="AA401" s="32">
        <f>IF($A401=1,IF(Sales_Daily!$U35="","",Sales_Daily!$U35),"")</f>
        <v/>
      </c>
      <c r="AB401" s="32">
        <f>IF($A401=1,IF(Sales_Daily!$V35="","",Sales_Daily!$V35),"")</f>
        <v/>
      </c>
      <c r="AC401" s="32">
        <f>IF($A401=1,IF(Sales_Daily!$W35="","",Sales_Daily!$W35),"")</f>
        <v/>
      </c>
      <c r="AD401" s="32">
        <f>IF($A401=1,IF(Sales_Daily!$X35="","",Sales_Daily!$X35),"")</f>
        <v/>
      </c>
      <c r="AE401" s="32">
        <f>IF($A401=1,0,"")</f>
        <v/>
      </c>
      <c r="AF401" s="32" t="inlineStr"/>
    </row>
    <row r="402">
      <c r="A402" s="32">
        <f>IF(AND(Sales_Daily!$AV35=1,N(Sales_Daily!$AI35)&gt;0),1,0)</f>
        <v/>
      </c>
      <c r="B402" s="32">
        <f>IF($A402=1,$E402&amp;"/8","")</f>
        <v/>
      </c>
      <c r="C402" s="32">
        <f>IF($A402=1,"J-"&amp;Sales_Daily!$A35,"")</f>
        <v/>
      </c>
      <c r="D402" s="33">
        <f>IF($A402=1,Sales_Daily!$B35,"")</f>
        <v/>
      </c>
      <c r="E402" s="32">
        <f>IF($A402=1,IF(Sales_Daily!$A35="","",Sales_Daily!$A35),"")</f>
        <v/>
      </c>
      <c r="F402" s="32">
        <f>IF($A402=1,"SAL","")</f>
        <v/>
      </c>
      <c r="G402" s="32">
        <f>IF($A402=1,ACC_RET,"")</f>
        <v/>
      </c>
      <c r="H402" s="32">
        <f>IF($A402=1,IF(COUNTIF(COA!$A:$A,$G402)=0,"حساب غير معرف",INDEX(COA!$B:$B,MATCH($G402,COA!$A:$A,0))),"")</f>
        <v/>
      </c>
      <c r="I402" s="32">
        <f>IF($A402=1,IF(Sales_Daily!$C35="","",Sales_Daily!$C35),"")</f>
        <v/>
      </c>
      <c r="J402" s="32">
        <f>IF($A402=1,"CC10","")</f>
        <v/>
      </c>
      <c r="K402" s="32">
        <f>IF($A402=1,"-","")</f>
        <v/>
      </c>
      <c r="L402" s="32">
        <f>IF($A402=1,"مرتجعات وإلغاءات المبيعات","")</f>
        <v/>
      </c>
      <c r="M402" s="43">
        <f>IF($A402=1,Sales_Daily!$AI35,"")</f>
        <v/>
      </c>
      <c r="N402" s="43">
        <f>IF($A402=1,0,"")</f>
        <v/>
      </c>
      <c r="O402" s="32">
        <f>IF($A402=1,Sales_Daily!$S35,"")</f>
        <v/>
      </c>
      <c r="P402" s="32">
        <f>IF($A402=1,IF(Sales_Daily!$AW35="","",Sales_Daily!$AW35),"")</f>
        <v/>
      </c>
      <c r="Q402" s="32">
        <f>IF($A402=1,Sales_Daily!$AY35,"")</f>
        <v/>
      </c>
      <c r="R402" s="32">
        <f>IF($A402=1,IF(AND($Q402=1,COUNTIFS(COA!$A:$A,$G402,COA!$R:$R,1)=1),1,0),"")</f>
        <v/>
      </c>
      <c r="S402" s="43">
        <f>IF($A402=1,IF($R402=1,N($M402),0),"")</f>
        <v/>
      </c>
      <c r="T402" s="43">
        <f>IF($A402=1,IF($R402=1,N($N402),0),"")</f>
        <v/>
      </c>
      <c r="U402" s="32">
        <f>IF($A402=1,YEAR($D402)*100+MONTH($D402),"")</f>
        <v/>
      </c>
      <c r="V402" s="32">
        <f>IF($A402=1,IF(COUNTIF(COA!$A:$A,$G402)=0,0,INDEX(COA!$H:$H,MATCH($G402,COA!$A:$A,0))),"")</f>
        <v/>
      </c>
      <c r="W402" s="32">
        <f>IF($A402=1,"","")</f>
        <v/>
      </c>
      <c r="X402" s="32">
        <f>IF($A402=1,IF($R402=1,"",IF($O402=ST_POST,IF($P402&lt;&gt;"",$P402,"حساب غير صالح أو غير نشط"),IF($O402=ST_REV,"معكوس: لا أثر على الدفاتر",IF($O402=ST_CANC,"ملغى",IF($O402=ST_APPR,"معتمد ولم يُرحَّل","مسودة"))))),"")</f>
        <v/>
      </c>
      <c r="Y402" s="32">
        <f>IF($A402=1,IF(AND($R402=1,OR(LG_Acct="",$G402=LG_Acct),OR(LG_Party="",$K402=LG_Party),OR(LG_Loc="ALL",$I402=LG_Loc),OR(LG_CC="ALL",$J402=LG_CC),$D402&gt;=LG_From,$D402&lt;=LG_To),$D402+ROW()/1000000,""),"")</f>
        <v/>
      </c>
      <c r="Z402" s="32">
        <f>IF($A402=1,IF(Sales_Daily!$T35="","",Sales_Daily!$T35),"")</f>
        <v/>
      </c>
      <c r="AA402" s="32">
        <f>IF($A402=1,IF(Sales_Daily!$U35="","",Sales_Daily!$U35),"")</f>
        <v/>
      </c>
      <c r="AB402" s="32">
        <f>IF($A402=1,IF(Sales_Daily!$V35="","",Sales_Daily!$V35),"")</f>
        <v/>
      </c>
      <c r="AC402" s="32">
        <f>IF($A402=1,IF(Sales_Daily!$W35="","",Sales_Daily!$W35),"")</f>
        <v/>
      </c>
      <c r="AD402" s="32">
        <f>IF($A402=1,IF(Sales_Daily!$X35="","",Sales_Daily!$X35),"")</f>
        <v/>
      </c>
      <c r="AE402" s="32">
        <f>IF($A402=1,0,"")</f>
        <v/>
      </c>
      <c r="AF402" s="32" t="inlineStr"/>
    </row>
    <row r="403">
      <c r="A403" s="32">
        <f>IF(AND(Sales_Daily!$AV35=1,N(Sales_Daily!$AD35)&gt;0),1,0)</f>
        <v/>
      </c>
      <c r="B403" s="32">
        <f>IF($A403=1,$E403&amp;"/9","")</f>
        <v/>
      </c>
      <c r="C403" s="32">
        <f>IF($A403=1,"J-"&amp;Sales_Daily!$A35,"")</f>
        <v/>
      </c>
      <c r="D403" s="33">
        <f>IF($A403=1,Sales_Daily!$B35,"")</f>
        <v/>
      </c>
      <c r="E403" s="32">
        <f>IF($A403=1,IF(Sales_Daily!$A35="","",Sales_Daily!$A35),"")</f>
        <v/>
      </c>
      <c r="F403" s="32">
        <f>IF($A403=1,"SAL","")</f>
        <v/>
      </c>
      <c r="G403" s="32">
        <f>IF($A403=1,IF(Sales_Daily!$AQ35="","",Sales_Daily!$AQ35),"")</f>
        <v/>
      </c>
      <c r="H403" s="32">
        <f>IF($A403=1,IF(COUNTIF(COA!$A:$A,$G403)=0,"حساب غير معرف",INDEX(COA!$B:$B,MATCH($G403,COA!$A:$A,0))),"")</f>
        <v/>
      </c>
      <c r="I403" s="32">
        <f>IF($A403=1,IF(Sales_Daily!$C35="","",Sales_Daily!$C35),"")</f>
        <v/>
      </c>
      <c r="J403" s="32">
        <f>IF($A403=1,"CC10","")</f>
        <v/>
      </c>
      <c r="K403" s="32">
        <f>IF($A403=1,"-","")</f>
        <v/>
      </c>
      <c r="L403" s="32">
        <f>IF($A403=1,"إيراد مبيعات - فئة فطير","")</f>
        <v/>
      </c>
      <c r="M403" s="43">
        <f>IF($A403=1,0,"")</f>
        <v/>
      </c>
      <c r="N403" s="43">
        <f>IF($A403=1,Sales_Daily!$AD35,"")</f>
        <v/>
      </c>
      <c r="O403" s="32">
        <f>IF($A403=1,Sales_Daily!$S35,"")</f>
        <v/>
      </c>
      <c r="P403" s="32">
        <f>IF($A403=1,IF(Sales_Daily!$AW35="","",Sales_Daily!$AW35),"")</f>
        <v/>
      </c>
      <c r="Q403" s="32">
        <f>IF($A403=1,Sales_Daily!$AY35,"")</f>
        <v/>
      </c>
      <c r="R403" s="32">
        <f>IF($A403=1,IF(AND($Q403=1,COUNTIFS(COA!$A:$A,$G403,COA!$R:$R,1)=1),1,0),"")</f>
        <v/>
      </c>
      <c r="S403" s="43">
        <f>IF($A403=1,IF($R403=1,N($M403),0),"")</f>
        <v/>
      </c>
      <c r="T403" s="43">
        <f>IF($A403=1,IF($R403=1,N($N403),0),"")</f>
        <v/>
      </c>
      <c r="U403" s="32">
        <f>IF($A403=1,YEAR($D403)*100+MONTH($D403),"")</f>
        <v/>
      </c>
      <c r="V403" s="32">
        <f>IF($A403=1,IF(COUNTIF(COA!$A:$A,$G403)=0,0,INDEX(COA!$H:$H,MATCH($G403,COA!$A:$A,0))),"")</f>
        <v/>
      </c>
      <c r="W403" s="32">
        <f>IF($A403=1,"","")</f>
        <v/>
      </c>
      <c r="X403" s="32">
        <f>IF($A403=1,IF($R403=1,"",IF($O403=ST_POST,IF($P403&lt;&gt;"",$P403,"حساب غير صالح أو غير نشط"),IF($O403=ST_REV,"معكوس: لا أثر على الدفاتر",IF($O403=ST_CANC,"ملغى",IF($O403=ST_APPR,"معتمد ولم يُرحَّل","مسودة"))))),"")</f>
        <v/>
      </c>
      <c r="Y403" s="32">
        <f>IF($A403=1,IF(AND($R403=1,OR(LG_Acct="",$G403=LG_Acct),OR(LG_Party="",$K403=LG_Party),OR(LG_Loc="ALL",$I403=LG_Loc),OR(LG_CC="ALL",$J403=LG_CC),$D403&gt;=LG_From,$D403&lt;=LG_To),$D403+ROW()/1000000,""),"")</f>
        <v/>
      </c>
      <c r="Z403" s="32">
        <f>IF($A403=1,IF(Sales_Daily!$T35="","",Sales_Daily!$T35),"")</f>
        <v/>
      </c>
      <c r="AA403" s="32">
        <f>IF($A403=1,IF(Sales_Daily!$U35="","",Sales_Daily!$U35),"")</f>
        <v/>
      </c>
      <c r="AB403" s="32">
        <f>IF($A403=1,IF(Sales_Daily!$V35="","",Sales_Daily!$V35),"")</f>
        <v/>
      </c>
      <c r="AC403" s="32">
        <f>IF($A403=1,IF(Sales_Daily!$W35="","",Sales_Daily!$W35),"")</f>
        <v/>
      </c>
      <c r="AD403" s="32">
        <f>IF($A403=1,IF(Sales_Daily!$X35="","",Sales_Daily!$X35),"")</f>
        <v/>
      </c>
      <c r="AE403" s="32">
        <f>IF($A403=1,0,"")</f>
        <v/>
      </c>
      <c r="AF403" s="32" t="inlineStr"/>
    </row>
    <row r="404">
      <c r="A404" s="32">
        <f>IF(AND(Sales_Daily!$AV35=1,N(Sales_Daily!$AE35)&gt;0),1,0)</f>
        <v/>
      </c>
      <c r="B404" s="32">
        <f>IF($A404=1,$E404&amp;"/10","")</f>
        <v/>
      </c>
      <c r="C404" s="32">
        <f>IF($A404=1,"J-"&amp;Sales_Daily!$A35,"")</f>
        <v/>
      </c>
      <c r="D404" s="33">
        <f>IF($A404=1,Sales_Daily!$B35,"")</f>
        <v/>
      </c>
      <c r="E404" s="32">
        <f>IF($A404=1,IF(Sales_Daily!$A35="","",Sales_Daily!$A35),"")</f>
        <v/>
      </c>
      <c r="F404" s="32">
        <f>IF($A404=1,"SAL","")</f>
        <v/>
      </c>
      <c r="G404" s="32">
        <f>IF($A404=1,IF(Sales_Daily!$AR35="","",Sales_Daily!$AR35),"")</f>
        <v/>
      </c>
      <c r="H404" s="32">
        <f>IF($A404=1,IF(COUNTIF(COA!$A:$A,$G404)=0,"حساب غير معرف",INDEX(COA!$B:$B,MATCH($G404,COA!$A:$A,0))),"")</f>
        <v/>
      </c>
      <c r="I404" s="32">
        <f>IF($A404=1,IF(Sales_Daily!$C35="","",Sales_Daily!$C35),"")</f>
        <v/>
      </c>
      <c r="J404" s="32">
        <f>IF($A404=1,"CC10","")</f>
        <v/>
      </c>
      <c r="K404" s="32">
        <f>IF($A404=1,"-","")</f>
        <v/>
      </c>
      <c r="L404" s="32">
        <f>IF($A404=1,"إيراد مبيعات - فئة بيتزا","")</f>
        <v/>
      </c>
      <c r="M404" s="43">
        <f>IF($A404=1,0,"")</f>
        <v/>
      </c>
      <c r="N404" s="43">
        <f>IF($A404=1,Sales_Daily!$AE35,"")</f>
        <v/>
      </c>
      <c r="O404" s="32">
        <f>IF($A404=1,Sales_Daily!$S35,"")</f>
        <v/>
      </c>
      <c r="P404" s="32">
        <f>IF($A404=1,IF(Sales_Daily!$AW35="","",Sales_Daily!$AW35),"")</f>
        <v/>
      </c>
      <c r="Q404" s="32">
        <f>IF($A404=1,Sales_Daily!$AY35,"")</f>
        <v/>
      </c>
      <c r="R404" s="32">
        <f>IF($A404=1,IF(AND($Q404=1,COUNTIFS(COA!$A:$A,$G404,COA!$R:$R,1)=1),1,0),"")</f>
        <v/>
      </c>
      <c r="S404" s="43">
        <f>IF($A404=1,IF($R404=1,N($M404),0),"")</f>
        <v/>
      </c>
      <c r="T404" s="43">
        <f>IF($A404=1,IF($R404=1,N($N404),0),"")</f>
        <v/>
      </c>
      <c r="U404" s="32">
        <f>IF($A404=1,YEAR($D404)*100+MONTH($D404),"")</f>
        <v/>
      </c>
      <c r="V404" s="32">
        <f>IF($A404=1,IF(COUNTIF(COA!$A:$A,$G404)=0,0,INDEX(COA!$H:$H,MATCH($G404,COA!$A:$A,0))),"")</f>
        <v/>
      </c>
      <c r="W404" s="32">
        <f>IF($A404=1,"","")</f>
        <v/>
      </c>
      <c r="X404" s="32">
        <f>IF($A404=1,IF($R404=1,"",IF($O404=ST_POST,IF($P404&lt;&gt;"",$P404,"حساب غير صالح أو غير نشط"),IF($O404=ST_REV,"معكوس: لا أثر على الدفاتر",IF($O404=ST_CANC,"ملغى",IF($O404=ST_APPR,"معتمد ولم يُرحَّل","مسودة"))))),"")</f>
        <v/>
      </c>
      <c r="Y404" s="32">
        <f>IF($A404=1,IF(AND($R404=1,OR(LG_Acct="",$G404=LG_Acct),OR(LG_Party="",$K404=LG_Party),OR(LG_Loc="ALL",$I404=LG_Loc),OR(LG_CC="ALL",$J404=LG_CC),$D404&gt;=LG_From,$D404&lt;=LG_To),$D404+ROW()/1000000,""),"")</f>
        <v/>
      </c>
      <c r="Z404" s="32">
        <f>IF($A404=1,IF(Sales_Daily!$T35="","",Sales_Daily!$T35),"")</f>
        <v/>
      </c>
      <c r="AA404" s="32">
        <f>IF($A404=1,IF(Sales_Daily!$U35="","",Sales_Daily!$U35),"")</f>
        <v/>
      </c>
      <c r="AB404" s="32">
        <f>IF($A404=1,IF(Sales_Daily!$V35="","",Sales_Daily!$V35),"")</f>
        <v/>
      </c>
      <c r="AC404" s="32">
        <f>IF($A404=1,IF(Sales_Daily!$W35="","",Sales_Daily!$W35),"")</f>
        <v/>
      </c>
      <c r="AD404" s="32">
        <f>IF($A404=1,IF(Sales_Daily!$X35="","",Sales_Daily!$X35),"")</f>
        <v/>
      </c>
      <c r="AE404" s="32">
        <f>IF($A404=1,0,"")</f>
        <v/>
      </c>
      <c r="AF404" s="32" t="inlineStr"/>
    </row>
    <row r="405">
      <c r="A405" s="32">
        <f>IF(AND(Sales_Daily!$AV35=1,N(Sales_Daily!$AF35)&gt;0),1,0)</f>
        <v/>
      </c>
      <c r="B405" s="32">
        <f>IF($A405=1,$E405&amp;"/11","")</f>
        <v/>
      </c>
      <c r="C405" s="32">
        <f>IF($A405=1,"J-"&amp;Sales_Daily!$A35,"")</f>
        <v/>
      </c>
      <c r="D405" s="33">
        <f>IF($A405=1,Sales_Daily!$B35,"")</f>
        <v/>
      </c>
      <c r="E405" s="32">
        <f>IF($A405=1,IF(Sales_Daily!$A35="","",Sales_Daily!$A35),"")</f>
        <v/>
      </c>
      <c r="F405" s="32">
        <f>IF($A405=1,"SAL","")</f>
        <v/>
      </c>
      <c r="G405" s="32">
        <f>IF($A405=1,IF(Sales_Daily!$AS35="","",Sales_Daily!$AS35),"")</f>
        <v/>
      </c>
      <c r="H405" s="32">
        <f>IF($A405=1,IF(COUNTIF(COA!$A:$A,$G405)=0,"حساب غير معرف",INDEX(COA!$B:$B,MATCH($G405,COA!$A:$A,0))),"")</f>
        <v/>
      </c>
      <c r="I405" s="32">
        <f>IF($A405=1,IF(Sales_Daily!$C35="","",Sales_Daily!$C35),"")</f>
        <v/>
      </c>
      <c r="J405" s="32">
        <f>IF($A405=1,"CC10","")</f>
        <v/>
      </c>
      <c r="K405" s="32">
        <f>IF($A405=1,"-","")</f>
        <v/>
      </c>
      <c r="L405" s="32">
        <f>IF($A405=1,"إيراد مبيعات - فئة مكرونات","")</f>
        <v/>
      </c>
      <c r="M405" s="43">
        <f>IF($A405=1,0,"")</f>
        <v/>
      </c>
      <c r="N405" s="43">
        <f>IF($A405=1,Sales_Daily!$AF35,"")</f>
        <v/>
      </c>
      <c r="O405" s="32">
        <f>IF($A405=1,Sales_Daily!$S35,"")</f>
        <v/>
      </c>
      <c r="P405" s="32">
        <f>IF($A405=1,IF(Sales_Daily!$AW35="","",Sales_Daily!$AW35),"")</f>
        <v/>
      </c>
      <c r="Q405" s="32">
        <f>IF($A405=1,Sales_Daily!$AY35,"")</f>
        <v/>
      </c>
      <c r="R405" s="32">
        <f>IF($A405=1,IF(AND($Q405=1,COUNTIFS(COA!$A:$A,$G405,COA!$R:$R,1)=1),1,0),"")</f>
        <v/>
      </c>
      <c r="S405" s="43">
        <f>IF($A405=1,IF($R405=1,N($M405),0),"")</f>
        <v/>
      </c>
      <c r="T405" s="43">
        <f>IF($A405=1,IF($R405=1,N($N405),0),"")</f>
        <v/>
      </c>
      <c r="U405" s="32">
        <f>IF($A405=1,YEAR($D405)*100+MONTH($D405),"")</f>
        <v/>
      </c>
      <c r="V405" s="32">
        <f>IF($A405=1,IF(COUNTIF(COA!$A:$A,$G405)=0,0,INDEX(COA!$H:$H,MATCH($G405,COA!$A:$A,0))),"")</f>
        <v/>
      </c>
      <c r="W405" s="32">
        <f>IF($A405=1,"","")</f>
        <v/>
      </c>
      <c r="X405" s="32">
        <f>IF($A405=1,IF($R405=1,"",IF($O405=ST_POST,IF($P405&lt;&gt;"",$P405,"حساب غير صالح أو غير نشط"),IF($O405=ST_REV,"معكوس: لا أثر على الدفاتر",IF($O405=ST_CANC,"ملغى",IF($O405=ST_APPR,"معتمد ولم يُرحَّل","مسودة"))))),"")</f>
        <v/>
      </c>
      <c r="Y405" s="32">
        <f>IF($A405=1,IF(AND($R405=1,OR(LG_Acct="",$G405=LG_Acct),OR(LG_Party="",$K405=LG_Party),OR(LG_Loc="ALL",$I405=LG_Loc),OR(LG_CC="ALL",$J405=LG_CC),$D405&gt;=LG_From,$D405&lt;=LG_To),$D405+ROW()/1000000,""),"")</f>
        <v/>
      </c>
      <c r="Z405" s="32">
        <f>IF($A405=1,IF(Sales_Daily!$T35="","",Sales_Daily!$T35),"")</f>
        <v/>
      </c>
      <c r="AA405" s="32">
        <f>IF($A405=1,IF(Sales_Daily!$U35="","",Sales_Daily!$U35),"")</f>
        <v/>
      </c>
      <c r="AB405" s="32">
        <f>IF($A405=1,IF(Sales_Daily!$V35="","",Sales_Daily!$V35),"")</f>
        <v/>
      </c>
      <c r="AC405" s="32">
        <f>IF($A405=1,IF(Sales_Daily!$W35="","",Sales_Daily!$W35),"")</f>
        <v/>
      </c>
      <c r="AD405" s="32">
        <f>IF($A405=1,IF(Sales_Daily!$X35="","",Sales_Daily!$X35),"")</f>
        <v/>
      </c>
      <c r="AE405" s="32">
        <f>IF($A405=1,0,"")</f>
        <v/>
      </c>
      <c r="AF405" s="32" t="inlineStr"/>
    </row>
    <row r="406">
      <c r="A406" s="32">
        <f>IF(AND(Sales_Daily!$AV35=1,N(Sales_Daily!$AG35)&gt;0),1,0)</f>
        <v/>
      </c>
      <c r="B406" s="32">
        <f>IF($A406=1,$E406&amp;"/12","")</f>
        <v/>
      </c>
      <c r="C406" s="32">
        <f>IF($A406=1,"J-"&amp;Sales_Daily!$A35,"")</f>
        <v/>
      </c>
      <c r="D406" s="33">
        <f>IF($A406=1,Sales_Daily!$B35,"")</f>
        <v/>
      </c>
      <c r="E406" s="32">
        <f>IF($A406=1,IF(Sales_Daily!$A35="","",Sales_Daily!$A35),"")</f>
        <v/>
      </c>
      <c r="F406" s="32">
        <f>IF($A406=1,"SAL","")</f>
        <v/>
      </c>
      <c r="G406" s="32">
        <f>IF($A406=1,IF(Sales_Daily!$AT35="","",Sales_Daily!$AT35),"")</f>
        <v/>
      </c>
      <c r="H406" s="32">
        <f>IF($A406=1,IF(COUNTIF(COA!$A:$A,$G406)=0,"حساب غير معرف",INDEX(COA!$B:$B,MATCH($G406,COA!$A:$A,0))),"")</f>
        <v/>
      </c>
      <c r="I406" s="32">
        <f>IF($A406=1,IF(Sales_Daily!$C35="","",Sales_Daily!$C35),"")</f>
        <v/>
      </c>
      <c r="J406" s="32">
        <f>IF($A406=1,"CC10","")</f>
        <v/>
      </c>
      <c r="K406" s="32">
        <f>IF($A406=1,"-","")</f>
        <v/>
      </c>
      <c r="L406" s="32">
        <f>IF($A406=1,"إيراد مبيعات - فئة أخرى","")</f>
        <v/>
      </c>
      <c r="M406" s="43">
        <f>IF($A406=1,0,"")</f>
        <v/>
      </c>
      <c r="N406" s="43">
        <f>IF($A406=1,Sales_Daily!$AG35,"")</f>
        <v/>
      </c>
      <c r="O406" s="32">
        <f>IF($A406=1,Sales_Daily!$S35,"")</f>
        <v/>
      </c>
      <c r="P406" s="32">
        <f>IF($A406=1,IF(Sales_Daily!$AW35="","",Sales_Daily!$AW35),"")</f>
        <v/>
      </c>
      <c r="Q406" s="32">
        <f>IF($A406=1,Sales_Daily!$AY35,"")</f>
        <v/>
      </c>
      <c r="R406" s="32">
        <f>IF($A406=1,IF(AND($Q406=1,COUNTIFS(COA!$A:$A,$G406,COA!$R:$R,1)=1),1,0),"")</f>
        <v/>
      </c>
      <c r="S406" s="43">
        <f>IF($A406=1,IF($R406=1,N($M406),0),"")</f>
        <v/>
      </c>
      <c r="T406" s="43">
        <f>IF($A406=1,IF($R406=1,N($N406),0),"")</f>
        <v/>
      </c>
      <c r="U406" s="32">
        <f>IF($A406=1,YEAR($D406)*100+MONTH($D406),"")</f>
        <v/>
      </c>
      <c r="V406" s="32">
        <f>IF($A406=1,IF(COUNTIF(COA!$A:$A,$G406)=0,0,INDEX(COA!$H:$H,MATCH($G406,COA!$A:$A,0))),"")</f>
        <v/>
      </c>
      <c r="W406" s="32">
        <f>IF($A406=1,"","")</f>
        <v/>
      </c>
      <c r="X406" s="32">
        <f>IF($A406=1,IF($R406=1,"",IF($O406=ST_POST,IF($P406&lt;&gt;"",$P406,"حساب غير صالح أو غير نشط"),IF($O406=ST_REV,"معكوس: لا أثر على الدفاتر",IF($O406=ST_CANC,"ملغى",IF($O406=ST_APPR,"معتمد ولم يُرحَّل","مسودة"))))),"")</f>
        <v/>
      </c>
      <c r="Y406" s="32">
        <f>IF($A406=1,IF(AND($R406=1,OR(LG_Acct="",$G406=LG_Acct),OR(LG_Party="",$K406=LG_Party),OR(LG_Loc="ALL",$I406=LG_Loc),OR(LG_CC="ALL",$J406=LG_CC),$D406&gt;=LG_From,$D406&lt;=LG_To),$D406+ROW()/1000000,""),"")</f>
        <v/>
      </c>
      <c r="Z406" s="32">
        <f>IF($A406=1,IF(Sales_Daily!$T35="","",Sales_Daily!$T35),"")</f>
        <v/>
      </c>
      <c r="AA406" s="32">
        <f>IF($A406=1,IF(Sales_Daily!$U35="","",Sales_Daily!$U35),"")</f>
        <v/>
      </c>
      <c r="AB406" s="32">
        <f>IF($A406=1,IF(Sales_Daily!$V35="","",Sales_Daily!$V35),"")</f>
        <v/>
      </c>
      <c r="AC406" s="32">
        <f>IF($A406=1,IF(Sales_Daily!$W35="","",Sales_Daily!$W35),"")</f>
        <v/>
      </c>
      <c r="AD406" s="32">
        <f>IF($A406=1,IF(Sales_Daily!$X35="","",Sales_Daily!$X35),"")</f>
        <v/>
      </c>
      <c r="AE406" s="32">
        <f>IF($A406=1,0,"")</f>
        <v/>
      </c>
      <c r="AF406" s="32" t="inlineStr"/>
    </row>
    <row r="407">
      <c r="A407" s="32">
        <f>IF(AND(Sales_Daily!$AV35=1,N(Sales_Daily!$AJ35)&gt;0),1,0)</f>
        <v/>
      </c>
      <c r="B407" s="32">
        <f>IF($A407=1,$E407&amp;"/13","")</f>
        <v/>
      </c>
      <c r="C407" s="32">
        <f>IF($A407=1,"J-"&amp;Sales_Daily!$A35,"")</f>
        <v/>
      </c>
      <c r="D407" s="33">
        <f>IF($A407=1,Sales_Daily!$B35,"")</f>
        <v/>
      </c>
      <c r="E407" s="32">
        <f>IF($A407=1,IF(Sales_Daily!$A35="","",Sales_Daily!$A35),"")</f>
        <v/>
      </c>
      <c r="F407" s="32">
        <f>IF($A407=1,"SAL","")</f>
        <v/>
      </c>
      <c r="G407" s="32">
        <f>IF($A407=1,ACC_VAT_OUT,"")</f>
        <v/>
      </c>
      <c r="H407" s="32">
        <f>IF($A407=1,IF(COUNTIF(COA!$A:$A,$G407)=0,"حساب غير معرف",INDEX(COA!$B:$B,MATCH($G407,COA!$A:$A,0))),"")</f>
        <v/>
      </c>
      <c r="I407" s="32">
        <f>IF($A407=1,IF(Sales_Daily!$C35="","",Sales_Daily!$C35),"")</f>
        <v/>
      </c>
      <c r="J407" s="32">
        <f>IF($A407=1,"CC10","")</f>
        <v/>
      </c>
      <c r="K407" s="32">
        <f>IF($A407=1,"-","")</f>
        <v/>
      </c>
      <c r="L407" s="32">
        <f>IF($A407=1,"ضريبة القيمة المضافة - مخرجات","")</f>
        <v/>
      </c>
      <c r="M407" s="43">
        <f>IF($A407=1,0,"")</f>
        <v/>
      </c>
      <c r="N407" s="43">
        <f>IF($A407=1,Sales_Daily!$AJ35,"")</f>
        <v/>
      </c>
      <c r="O407" s="32">
        <f>IF($A407=1,Sales_Daily!$S35,"")</f>
        <v/>
      </c>
      <c r="P407" s="32">
        <f>IF($A407=1,IF(Sales_Daily!$AW35="","",Sales_Daily!$AW35),"")</f>
        <v/>
      </c>
      <c r="Q407" s="32">
        <f>IF($A407=1,Sales_Daily!$AY35,"")</f>
        <v/>
      </c>
      <c r="R407" s="32">
        <f>IF($A407=1,IF(AND($Q407=1,COUNTIFS(COA!$A:$A,$G407,COA!$R:$R,1)=1),1,0),"")</f>
        <v/>
      </c>
      <c r="S407" s="43">
        <f>IF($A407=1,IF($R407=1,N($M407),0),"")</f>
        <v/>
      </c>
      <c r="T407" s="43">
        <f>IF($A407=1,IF($R407=1,N($N407),0),"")</f>
        <v/>
      </c>
      <c r="U407" s="32">
        <f>IF($A407=1,YEAR($D407)*100+MONTH($D407),"")</f>
        <v/>
      </c>
      <c r="V407" s="32">
        <f>IF($A407=1,IF(COUNTIF(COA!$A:$A,$G407)=0,0,INDEX(COA!$H:$H,MATCH($G407,COA!$A:$A,0))),"")</f>
        <v/>
      </c>
      <c r="W407" s="32">
        <f>IF($A407=1,"","")</f>
        <v/>
      </c>
      <c r="X407" s="32">
        <f>IF($A407=1,IF($R407=1,"",IF($O407=ST_POST,IF($P407&lt;&gt;"",$P407,"حساب غير صالح أو غير نشط"),IF($O407=ST_REV,"معكوس: لا أثر على الدفاتر",IF($O407=ST_CANC,"ملغى",IF($O407=ST_APPR,"معتمد ولم يُرحَّل","مسودة"))))),"")</f>
        <v/>
      </c>
      <c r="Y407" s="32">
        <f>IF($A407=1,IF(AND($R407=1,OR(LG_Acct="",$G407=LG_Acct),OR(LG_Party="",$K407=LG_Party),OR(LG_Loc="ALL",$I407=LG_Loc),OR(LG_CC="ALL",$J407=LG_CC),$D407&gt;=LG_From,$D407&lt;=LG_To),$D407+ROW()/1000000,""),"")</f>
        <v/>
      </c>
      <c r="Z407" s="32">
        <f>IF($A407=1,IF(Sales_Daily!$T35="","",Sales_Daily!$T35),"")</f>
        <v/>
      </c>
      <c r="AA407" s="32">
        <f>IF($A407=1,IF(Sales_Daily!$U35="","",Sales_Daily!$U35),"")</f>
        <v/>
      </c>
      <c r="AB407" s="32">
        <f>IF($A407=1,IF(Sales_Daily!$V35="","",Sales_Daily!$V35),"")</f>
        <v/>
      </c>
      <c r="AC407" s="32">
        <f>IF($A407=1,IF(Sales_Daily!$W35="","",Sales_Daily!$W35),"")</f>
        <v/>
      </c>
      <c r="AD407" s="32">
        <f>IF($A407=1,IF(Sales_Daily!$X35="","",Sales_Daily!$X35),"")</f>
        <v/>
      </c>
      <c r="AE407" s="32">
        <f>IF($A407=1,0,"")</f>
        <v/>
      </c>
      <c r="AF407" s="32" t="inlineStr"/>
    </row>
    <row r="408">
      <c r="A408" s="32">
        <f>IF(AND(Sales_Daily!$AV36=1,N(Sales_Daily!$L36)&gt;0),1,0)</f>
        <v/>
      </c>
      <c r="B408" s="32">
        <f>IF($A408=1,$E408&amp;"/1","")</f>
        <v/>
      </c>
      <c r="C408" s="32">
        <f>IF($A408=1,"J-"&amp;Sales_Daily!$A36,"")</f>
        <v/>
      </c>
      <c r="D408" s="33">
        <f>IF($A408=1,Sales_Daily!$B36,"")</f>
        <v/>
      </c>
      <c r="E408" s="32">
        <f>IF($A408=1,IF(Sales_Daily!$A36="","",Sales_Daily!$A36),"")</f>
        <v/>
      </c>
      <c r="F408" s="32">
        <f>IF($A408=1,"SAL","")</f>
        <v/>
      </c>
      <c r="G408" s="32">
        <f>IF($A408=1,IF(Sales_Daily!$AK36="","",Sales_Daily!$AK36),"")</f>
        <v/>
      </c>
      <c r="H408" s="32">
        <f>IF($A408=1,IF(COUNTIF(COA!$A:$A,$G408)=0,"حساب غير معرف",INDEX(COA!$B:$B,MATCH($G408,COA!$A:$A,0))),"")</f>
        <v/>
      </c>
      <c r="I408" s="32">
        <f>IF($A408=1,IF(Sales_Daily!$C36="","",Sales_Daily!$C36),"")</f>
        <v/>
      </c>
      <c r="J408" s="32">
        <f>IF($A408=1,"CC10","")</f>
        <v/>
      </c>
      <c r="K408" s="32">
        <f>IF($A408=1,"-","")</f>
        <v/>
      </c>
      <c r="L408" s="32">
        <f>IF($A408=1,"مبيعات - تحصيل CASH","")</f>
        <v/>
      </c>
      <c r="M408" s="43">
        <f>IF($A408=1,Sales_Daily!$L36,"")</f>
        <v/>
      </c>
      <c r="N408" s="43">
        <f>IF($A408=1,0,"")</f>
        <v/>
      </c>
      <c r="O408" s="32">
        <f>IF($A408=1,Sales_Daily!$S36,"")</f>
        <v/>
      </c>
      <c r="P408" s="32">
        <f>IF($A408=1,IF(Sales_Daily!$AW36="","",Sales_Daily!$AW36),"")</f>
        <v/>
      </c>
      <c r="Q408" s="32">
        <f>IF($A408=1,Sales_Daily!$AY36,"")</f>
        <v/>
      </c>
      <c r="R408" s="32">
        <f>IF($A408=1,IF(AND($Q408=1,COUNTIFS(COA!$A:$A,$G408,COA!$R:$R,1)=1),1,0),"")</f>
        <v/>
      </c>
      <c r="S408" s="43">
        <f>IF($A408=1,IF($R408=1,N($M408),0),"")</f>
        <v/>
      </c>
      <c r="T408" s="43">
        <f>IF($A408=1,IF($R408=1,N($N408),0),"")</f>
        <v/>
      </c>
      <c r="U408" s="32">
        <f>IF($A408=1,YEAR($D408)*100+MONTH($D408),"")</f>
        <v/>
      </c>
      <c r="V408" s="32">
        <f>IF($A408=1,IF(COUNTIF(COA!$A:$A,$G408)=0,0,INDEX(COA!$H:$H,MATCH($G408,COA!$A:$A,0))),"")</f>
        <v/>
      </c>
      <c r="W408" s="32">
        <f>IF($A408=1,"OPERATING","")</f>
        <v/>
      </c>
      <c r="X408" s="32">
        <f>IF($A408=1,IF($R408=1,"",IF($O408=ST_POST,IF($P408&lt;&gt;"",$P408,"حساب غير صالح أو غير نشط"),IF($O408=ST_REV,"معكوس: لا أثر على الدفاتر",IF($O408=ST_CANC,"ملغى",IF($O408=ST_APPR,"معتمد ولم يُرحَّل","مسودة"))))),"")</f>
        <v/>
      </c>
      <c r="Y408" s="32">
        <f>IF($A408=1,IF(AND($R408=1,OR(LG_Acct="",$G408=LG_Acct),OR(LG_Party="",$K408=LG_Party),OR(LG_Loc="ALL",$I408=LG_Loc),OR(LG_CC="ALL",$J408=LG_CC),$D408&gt;=LG_From,$D408&lt;=LG_To),$D408+ROW()/1000000,""),"")</f>
        <v/>
      </c>
      <c r="Z408" s="32">
        <f>IF($A408=1,IF(Sales_Daily!$T36="","",Sales_Daily!$T36),"")</f>
        <v/>
      </c>
      <c r="AA408" s="32">
        <f>IF($A408=1,IF(Sales_Daily!$U36="","",Sales_Daily!$U36),"")</f>
        <v/>
      </c>
      <c r="AB408" s="32">
        <f>IF($A408=1,IF(Sales_Daily!$V36="","",Sales_Daily!$V36),"")</f>
        <v/>
      </c>
      <c r="AC408" s="32">
        <f>IF($A408=1,IF(Sales_Daily!$W36="","",Sales_Daily!$W36),"")</f>
        <v/>
      </c>
      <c r="AD408" s="32">
        <f>IF($A408=1,IF(Sales_Daily!$X36="","",Sales_Daily!$X36),"")</f>
        <v/>
      </c>
      <c r="AE408" s="32">
        <f>IF($A408=1,0,"")</f>
        <v/>
      </c>
      <c r="AF408" s="32" t="inlineStr"/>
    </row>
    <row r="409">
      <c r="A409" s="32">
        <f>IF(AND(Sales_Daily!$AV36=1,N(Sales_Daily!$M36)&gt;0),1,0)</f>
        <v/>
      </c>
      <c r="B409" s="32">
        <f>IF($A409=1,$E409&amp;"/2","")</f>
        <v/>
      </c>
      <c r="C409" s="32">
        <f>IF($A409=1,"J-"&amp;Sales_Daily!$A36,"")</f>
        <v/>
      </c>
      <c r="D409" s="33">
        <f>IF($A409=1,Sales_Daily!$B36,"")</f>
        <v/>
      </c>
      <c r="E409" s="32">
        <f>IF($A409=1,IF(Sales_Daily!$A36="","",Sales_Daily!$A36),"")</f>
        <v/>
      </c>
      <c r="F409" s="32">
        <f>IF($A409=1,"SAL","")</f>
        <v/>
      </c>
      <c r="G409" s="32">
        <f>IF($A409=1,IF(Sales_Daily!$AL36="","",Sales_Daily!$AL36),"")</f>
        <v/>
      </c>
      <c r="H409" s="32">
        <f>IF($A409=1,IF(COUNTIF(COA!$A:$A,$G409)=0,"حساب غير معرف",INDEX(COA!$B:$B,MATCH($G409,COA!$A:$A,0))),"")</f>
        <v/>
      </c>
      <c r="I409" s="32">
        <f>IF($A409=1,IF(Sales_Daily!$C36="","",Sales_Daily!$C36),"")</f>
        <v/>
      </c>
      <c r="J409" s="32">
        <f>IF($A409=1,"CC10","")</f>
        <v/>
      </c>
      <c r="K409" s="32">
        <f>IF($A409=1,"-","")</f>
        <v/>
      </c>
      <c r="L409" s="32">
        <f>IF($A409=1,"مبيعات - تحصيل CARD","")</f>
        <v/>
      </c>
      <c r="M409" s="43">
        <f>IF($A409=1,Sales_Daily!$M36,"")</f>
        <v/>
      </c>
      <c r="N409" s="43">
        <f>IF($A409=1,0,"")</f>
        <v/>
      </c>
      <c r="O409" s="32">
        <f>IF($A409=1,Sales_Daily!$S36,"")</f>
        <v/>
      </c>
      <c r="P409" s="32">
        <f>IF($A409=1,IF(Sales_Daily!$AW36="","",Sales_Daily!$AW36),"")</f>
        <v/>
      </c>
      <c r="Q409" s="32">
        <f>IF($A409=1,Sales_Daily!$AY36,"")</f>
        <v/>
      </c>
      <c r="R409" s="32">
        <f>IF($A409=1,IF(AND($Q409=1,COUNTIFS(COA!$A:$A,$G409,COA!$R:$R,1)=1),1,0),"")</f>
        <v/>
      </c>
      <c r="S409" s="43">
        <f>IF($A409=1,IF($R409=1,N($M409),0),"")</f>
        <v/>
      </c>
      <c r="T409" s="43">
        <f>IF($A409=1,IF($R409=1,N($N409),0),"")</f>
        <v/>
      </c>
      <c r="U409" s="32">
        <f>IF($A409=1,YEAR($D409)*100+MONTH($D409),"")</f>
        <v/>
      </c>
      <c r="V409" s="32">
        <f>IF($A409=1,IF(COUNTIF(COA!$A:$A,$G409)=0,0,INDEX(COA!$H:$H,MATCH($G409,COA!$A:$A,0))),"")</f>
        <v/>
      </c>
      <c r="W409" s="32">
        <f>IF($A409=1,"OPERATING","")</f>
        <v/>
      </c>
      <c r="X409" s="32">
        <f>IF($A409=1,IF($R409=1,"",IF($O409=ST_POST,IF($P409&lt;&gt;"",$P409,"حساب غير صالح أو غير نشط"),IF($O409=ST_REV,"معكوس: لا أثر على الدفاتر",IF($O409=ST_CANC,"ملغى",IF($O409=ST_APPR,"معتمد ولم يُرحَّل","مسودة"))))),"")</f>
        <v/>
      </c>
      <c r="Y409" s="32">
        <f>IF($A409=1,IF(AND($R409=1,OR(LG_Acct="",$G409=LG_Acct),OR(LG_Party="",$K409=LG_Party),OR(LG_Loc="ALL",$I409=LG_Loc),OR(LG_CC="ALL",$J409=LG_CC),$D409&gt;=LG_From,$D409&lt;=LG_To),$D409+ROW()/1000000,""),"")</f>
        <v/>
      </c>
      <c r="Z409" s="32">
        <f>IF($A409=1,IF(Sales_Daily!$T36="","",Sales_Daily!$T36),"")</f>
        <v/>
      </c>
      <c r="AA409" s="32">
        <f>IF($A409=1,IF(Sales_Daily!$U36="","",Sales_Daily!$U36),"")</f>
        <v/>
      </c>
      <c r="AB409" s="32">
        <f>IF($A409=1,IF(Sales_Daily!$V36="","",Sales_Daily!$V36),"")</f>
        <v/>
      </c>
      <c r="AC409" s="32">
        <f>IF($A409=1,IF(Sales_Daily!$W36="","",Sales_Daily!$W36),"")</f>
        <v/>
      </c>
      <c r="AD409" s="32">
        <f>IF($A409=1,IF(Sales_Daily!$X36="","",Sales_Daily!$X36),"")</f>
        <v/>
      </c>
      <c r="AE409" s="32">
        <f>IF($A409=1,0,"")</f>
        <v/>
      </c>
      <c r="AF409" s="32" t="inlineStr"/>
    </row>
    <row r="410">
      <c r="A410" s="32">
        <f>IF(AND(Sales_Daily!$AV36=1,N(Sales_Daily!$N36)&gt;0),1,0)</f>
        <v/>
      </c>
      <c r="B410" s="32">
        <f>IF($A410=1,$E410&amp;"/3","")</f>
        <v/>
      </c>
      <c r="C410" s="32">
        <f>IF($A410=1,"J-"&amp;Sales_Daily!$A36,"")</f>
        <v/>
      </c>
      <c r="D410" s="33">
        <f>IF($A410=1,Sales_Daily!$B36,"")</f>
        <v/>
      </c>
      <c r="E410" s="32">
        <f>IF($A410=1,IF(Sales_Daily!$A36="","",Sales_Daily!$A36),"")</f>
        <v/>
      </c>
      <c r="F410" s="32">
        <f>IF($A410=1,"SAL","")</f>
        <v/>
      </c>
      <c r="G410" s="32">
        <f>IF($A410=1,IF(Sales_Daily!$AM36="","",Sales_Daily!$AM36),"")</f>
        <v/>
      </c>
      <c r="H410" s="32">
        <f>IF($A410=1,IF(COUNTIF(COA!$A:$A,$G410)=0,"حساب غير معرف",INDEX(COA!$B:$B,MATCH($G410,COA!$A:$A,0))),"")</f>
        <v/>
      </c>
      <c r="I410" s="32">
        <f>IF($A410=1,IF(Sales_Daily!$C36="","",Sales_Daily!$C36),"")</f>
        <v/>
      </c>
      <c r="J410" s="32">
        <f>IF($A410=1,"CC10","")</f>
        <v/>
      </c>
      <c r="K410" s="32">
        <f>IF($A410=1,"-","")</f>
        <v/>
      </c>
      <c r="L410" s="32">
        <f>IF($A410=1,"مبيعات - تحصيل TLB","")</f>
        <v/>
      </c>
      <c r="M410" s="43">
        <f>IF($A410=1,Sales_Daily!$N36,"")</f>
        <v/>
      </c>
      <c r="N410" s="43">
        <f>IF($A410=1,0,"")</f>
        <v/>
      </c>
      <c r="O410" s="32">
        <f>IF($A410=1,Sales_Daily!$S36,"")</f>
        <v/>
      </c>
      <c r="P410" s="32">
        <f>IF($A410=1,IF(Sales_Daily!$AW36="","",Sales_Daily!$AW36),"")</f>
        <v/>
      </c>
      <c r="Q410" s="32">
        <f>IF($A410=1,Sales_Daily!$AY36,"")</f>
        <v/>
      </c>
      <c r="R410" s="32">
        <f>IF($A410=1,IF(AND($Q410=1,COUNTIFS(COA!$A:$A,$G410,COA!$R:$R,1)=1),1,0),"")</f>
        <v/>
      </c>
      <c r="S410" s="43">
        <f>IF($A410=1,IF($R410=1,N($M410),0),"")</f>
        <v/>
      </c>
      <c r="T410" s="43">
        <f>IF($A410=1,IF($R410=1,N($N410),0),"")</f>
        <v/>
      </c>
      <c r="U410" s="32">
        <f>IF($A410=1,YEAR($D410)*100+MONTH($D410),"")</f>
        <v/>
      </c>
      <c r="V410" s="32">
        <f>IF($A410=1,IF(COUNTIF(COA!$A:$A,$G410)=0,0,INDEX(COA!$H:$H,MATCH($G410,COA!$A:$A,0))),"")</f>
        <v/>
      </c>
      <c r="W410" s="32">
        <f>IF($A410=1,"OPERATING","")</f>
        <v/>
      </c>
      <c r="X410" s="32">
        <f>IF($A410=1,IF($R410=1,"",IF($O410=ST_POST,IF($P410&lt;&gt;"",$P410,"حساب غير صالح أو غير نشط"),IF($O410=ST_REV,"معكوس: لا أثر على الدفاتر",IF($O410=ST_CANC,"ملغى",IF($O410=ST_APPR,"معتمد ولم يُرحَّل","مسودة"))))),"")</f>
        <v/>
      </c>
      <c r="Y410" s="32">
        <f>IF($A410=1,IF(AND($R410=1,OR(LG_Acct="",$G410=LG_Acct),OR(LG_Party="",$K410=LG_Party),OR(LG_Loc="ALL",$I410=LG_Loc),OR(LG_CC="ALL",$J410=LG_CC),$D410&gt;=LG_From,$D410&lt;=LG_To),$D410+ROW()/1000000,""),"")</f>
        <v/>
      </c>
      <c r="Z410" s="32">
        <f>IF($A410=1,IF(Sales_Daily!$T36="","",Sales_Daily!$T36),"")</f>
        <v/>
      </c>
      <c r="AA410" s="32">
        <f>IF($A410=1,IF(Sales_Daily!$U36="","",Sales_Daily!$U36),"")</f>
        <v/>
      </c>
      <c r="AB410" s="32">
        <f>IF($A410=1,IF(Sales_Daily!$V36="","",Sales_Daily!$V36),"")</f>
        <v/>
      </c>
      <c r="AC410" s="32">
        <f>IF($A410=1,IF(Sales_Daily!$W36="","",Sales_Daily!$W36),"")</f>
        <v/>
      </c>
      <c r="AD410" s="32">
        <f>IF($A410=1,IF(Sales_Daily!$X36="","",Sales_Daily!$X36),"")</f>
        <v/>
      </c>
      <c r="AE410" s="32">
        <f>IF($A410=1,0,"")</f>
        <v/>
      </c>
      <c r="AF410" s="32" t="inlineStr"/>
    </row>
    <row r="411">
      <c r="A411" s="32">
        <f>IF(AND(Sales_Daily!$AV36=1,N(Sales_Daily!$O36)&gt;0),1,0)</f>
        <v/>
      </c>
      <c r="B411" s="32">
        <f>IF($A411=1,$E411&amp;"/4","")</f>
        <v/>
      </c>
      <c r="C411" s="32">
        <f>IF($A411=1,"J-"&amp;Sales_Daily!$A36,"")</f>
        <v/>
      </c>
      <c r="D411" s="33">
        <f>IF($A411=1,Sales_Daily!$B36,"")</f>
        <v/>
      </c>
      <c r="E411" s="32">
        <f>IF($A411=1,IF(Sales_Daily!$A36="","",Sales_Daily!$A36),"")</f>
        <v/>
      </c>
      <c r="F411" s="32">
        <f>IF($A411=1,"SAL","")</f>
        <v/>
      </c>
      <c r="G411" s="32">
        <f>IF($A411=1,IF(Sales_Daily!$AN36="","",Sales_Daily!$AN36),"")</f>
        <v/>
      </c>
      <c r="H411" s="32">
        <f>IF($A411=1,IF(COUNTIF(COA!$A:$A,$G411)=0,"حساب غير معرف",INDEX(COA!$B:$B,MATCH($G411,COA!$A:$A,0))),"")</f>
        <v/>
      </c>
      <c r="I411" s="32">
        <f>IF($A411=1,IF(Sales_Daily!$C36="","",Sales_Daily!$C36),"")</f>
        <v/>
      </c>
      <c r="J411" s="32">
        <f>IF($A411=1,"CC10","")</f>
        <v/>
      </c>
      <c r="K411" s="32">
        <f>IF($A411=1,"-","")</f>
        <v/>
      </c>
      <c r="L411" s="32">
        <f>IF($A411=1,"مبيعات - تحصيل DLV2","")</f>
        <v/>
      </c>
      <c r="M411" s="43">
        <f>IF($A411=1,Sales_Daily!$O36,"")</f>
        <v/>
      </c>
      <c r="N411" s="43">
        <f>IF($A411=1,0,"")</f>
        <v/>
      </c>
      <c r="O411" s="32">
        <f>IF($A411=1,Sales_Daily!$S36,"")</f>
        <v/>
      </c>
      <c r="P411" s="32">
        <f>IF($A411=1,IF(Sales_Daily!$AW36="","",Sales_Daily!$AW36),"")</f>
        <v/>
      </c>
      <c r="Q411" s="32">
        <f>IF($A411=1,Sales_Daily!$AY36,"")</f>
        <v/>
      </c>
      <c r="R411" s="32">
        <f>IF($A411=1,IF(AND($Q411=1,COUNTIFS(COA!$A:$A,$G411,COA!$R:$R,1)=1),1,0),"")</f>
        <v/>
      </c>
      <c r="S411" s="43">
        <f>IF($A411=1,IF($R411=1,N($M411),0),"")</f>
        <v/>
      </c>
      <c r="T411" s="43">
        <f>IF($A411=1,IF($R411=1,N($N411),0),"")</f>
        <v/>
      </c>
      <c r="U411" s="32">
        <f>IF($A411=1,YEAR($D411)*100+MONTH($D411),"")</f>
        <v/>
      </c>
      <c r="V411" s="32">
        <f>IF($A411=1,IF(COUNTIF(COA!$A:$A,$G411)=0,0,INDEX(COA!$H:$H,MATCH($G411,COA!$A:$A,0))),"")</f>
        <v/>
      </c>
      <c r="W411" s="32">
        <f>IF($A411=1,"OPERATING","")</f>
        <v/>
      </c>
      <c r="X411" s="32">
        <f>IF($A411=1,IF($R411=1,"",IF($O411=ST_POST,IF($P411&lt;&gt;"",$P411,"حساب غير صالح أو غير نشط"),IF($O411=ST_REV,"معكوس: لا أثر على الدفاتر",IF($O411=ST_CANC,"ملغى",IF($O411=ST_APPR,"معتمد ولم يُرحَّل","مسودة"))))),"")</f>
        <v/>
      </c>
      <c r="Y411" s="32">
        <f>IF($A411=1,IF(AND($R411=1,OR(LG_Acct="",$G411=LG_Acct),OR(LG_Party="",$K411=LG_Party),OR(LG_Loc="ALL",$I411=LG_Loc),OR(LG_CC="ALL",$J411=LG_CC),$D411&gt;=LG_From,$D411&lt;=LG_To),$D411+ROW()/1000000,""),"")</f>
        <v/>
      </c>
      <c r="Z411" s="32">
        <f>IF($A411=1,IF(Sales_Daily!$T36="","",Sales_Daily!$T36),"")</f>
        <v/>
      </c>
      <c r="AA411" s="32">
        <f>IF($A411=1,IF(Sales_Daily!$U36="","",Sales_Daily!$U36),"")</f>
        <v/>
      </c>
      <c r="AB411" s="32">
        <f>IF($A411=1,IF(Sales_Daily!$V36="","",Sales_Daily!$V36),"")</f>
        <v/>
      </c>
      <c r="AC411" s="32">
        <f>IF($A411=1,IF(Sales_Daily!$W36="","",Sales_Daily!$W36),"")</f>
        <v/>
      </c>
      <c r="AD411" s="32">
        <f>IF($A411=1,IF(Sales_Daily!$X36="","",Sales_Daily!$X36),"")</f>
        <v/>
      </c>
      <c r="AE411" s="32">
        <f>IF($A411=1,0,"")</f>
        <v/>
      </c>
      <c r="AF411" s="32" t="inlineStr"/>
    </row>
    <row r="412">
      <c r="A412" s="32">
        <f>IF(AND(Sales_Daily!$AV36=1,N(Sales_Daily!$P36)&gt;0),1,0)</f>
        <v/>
      </c>
      <c r="B412" s="32">
        <f>IF($A412=1,$E412&amp;"/5","")</f>
        <v/>
      </c>
      <c r="C412" s="32">
        <f>IF($A412=1,"J-"&amp;Sales_Daily!$A36,"")</f>
        <v/>
      </c>
      <c r="D412" s="33">
        <f>IF($A412=1,Sales_Daily!$B36,"")</f>
        <v/>
      </c>
      <c r="E412" s="32">
        <f>IF($A412=1,IF(Sales_Daily!$A36="","",Sales_Daily!$A36),"")</f>
        <v/>
      </c>
      <c r="F412" s="32">
        <f>IF($A412=1,"SAL","")</f>
        <v/>
      </c>
      <c r="G412" s="32">
        <f>IF($A412=1,IF(Sales_Daily!$AO36="","",Sales_Daily!$AO36),"")</f>
        <v/>
      </c>
      <c r="H412" s="32">
        <f>IF($A412=1,IF(COUNTIF(COA!$A:$A,$G412)=0,"حساب غير معرف",INDEX(COA!$B:$B,MATCH($G412,COA!$A:$A,0))),"")</f>
        <v/>
      </c>
      <c r="I412" s="32">
        <f>IF($A412=1,IF(Sales_Daily!$C36="","",Sales_Daily!$C36),"")</f>
        <v/>
      </c>
      <c r="J412" s="32">
        <f>IF($A412=1,"CC10","")</f>
        <v/>
      </c>
      <c r="K412" s="32">
        <f>IF($A412=1,"-","")</f>
        <v/>
      </c>
      <c r="L412" s="32">
        <f>IF($A412=1,"مبيعات - تحصيل INSTA","")</f>
        <v/>
      </c>
      <c r="M412" s="43">
        <f>IF($A412=1,Sales_Daily!$P36,"")</f>
        <v/>
      </c>
      <c r="N412" s="43">
        <f>IF($A412=1,0,"")</f>
        <v/>
      </c>
      <c r="O412" s="32">
        <f>IF($A412=1,Sales_Daily!$S36,"")</f>
        <v/>
      </c>
      <c r="P412" s="32">
        <f>IF($A412=1,IF(Sales_Daily!$AW36="","",Sales_Daily!$AW36),"")</f>
        <v/>
      </c>
      <c r="Q412" s="32">
        <f>IF($A412=1,Sales_Daily!$AY36,"")</f>
        <v/>
      </c>
      <c r="R412" s="32">
        <f>IF($A412=1,IF(AND($Q412=1,COUNTIFS(COA!$A:$A,$G412,COA!$R:$R,1)=1),1,0),"")</f>
        <v/>
      </c>
      <c r="S412" s="43">
        <f>IF($A412=1,IF($R412=1,N($M412),0),"")</f>
        <v/>
      </c>
      <c r="T412" s="43">
        <f>IF($A412=1,IF($R412=1,N($N412),0),"")</f>
        <v/>
      </c>
      <c r="U412" s="32">
        <f>IF($A412=1,YEAR($D412)*100+MONTH($D412),"")</f>
        <v/>
      </c>
      <c r="V412" s="32">
        <f>IF($A412=1,IF(COUNTIF(COA!$A:$A,$G412)=0,0,INDEX(COA!$H:$H,MATCH($G412,COA!$A:$A,0))),"")</f>
        <v/>
      </c>
      <c r="W412" s="32">
        <f>IF($A412=1,"OPERATING","")</f>
        <v/>
      </c>
      <c r="X412" s="32">
        <f>IF($A412=1,IF($R412=1,"",IF($O412=ST_POST,IF($P412&lt;&gt;"",$P412,"حساب غير صالح أو غير نشط"),IF($O412=ST_REV,"معكوس: لا أثر على الدفاتر",IF($O412=ST_CANC,"ملغى",IF($O412=ST_APPR,"معتمد ولم يُرحَّل","مسودة"))))),"")</f>
        <v/>
      </c>
      <c r="Y412" s="32">
        <f>IF($A412=1,IF(AND($R412=1,OR(LG_Acct="",$G412=LG_Acct),OR(LG_Party="",$K412=LG_Party),OR(LG_Loc="ALL",$I412=LG_Loc),OR(LG_CC="ALL",$J412=LG_CC),$D412&gt;=LG_From,$D412&lt;=LG_To),$D412+ROW()/1000000,""),"")</f>
        <v/>
      </c>
      <c r="Z412" s="32">
        <f>IF($A412=1,IF(Sales_Daily!$T36="","",Sales_Daily!$T36),"")</f>
        <v/>
      </c>
      <c r="AA412" s="32">
        <f>IF($A412=1,IF(Sales_Daily!$U36="","",Sales_Daily!$U36),"")</f>
        <v/>
      </c>
      <c r="AB412" s="32">
        <f>IF($A412=1,IF(Sales_Daily!$V36="","",Sales_Daily!$V36),"")</f>
        <v/>
      </c>
      <c r="AC412" s="32">
        <f>IF($A412=1,IF(Sales_Daily!$W36="","",Sales_Daily!$W36),"")</f>
        <v/>
      </c>
      <c r="AD412" s="32">
        <f>IF($A412=1,IF(Sales_Daily!$X36="","",Sales_Daily!$X36),"")</f>
        <v/>
      </c>
      <c r="AE412" s="32">
        <f>IF($A412=1,0,"")</f>
        <v/>
      </c>
      <c r="AF412" s="32" t="inlineStr"/>
    </row>
    <row r="413">
      <c r="A413" s="32">
        <f>IF(AND(Sales_Daily!$AV36=1,N(Sales_Daily!$Q36)&gt;0),1,0)</f>
        <v/>
      </c>
      <c r="B413" s="32">
        <f>IF($A413=1,$E413&amp;"/6","")</f>
        <v/>
      </c>
      <c r="C413" s="32">
        <f>IF($A413=1,"J-"&amp;Sales_Daily!$A36,"")</f>
        <v/>
      </c>
      <c r="D413" s="33">
        <f>IF($A413=1,Sales_Daily!$B36,"")</f>
        <v/>
      </c>
      <c r="E413" s="32">
        <f>IF($A413=1,IF(Sales_Daily!$A36="","",Sales_Daily!$A36),"")</f>
        <v/>
      </c>
      <c r="F413" s="32">
        <f>IF($A413=1,"SAL","")</f>
        <v/>
      </c>
      <c r="G413" s="32">
        <f>IF($A413=1,IF(Sales_Daily!$AP36="","",Sales_Daily!$AP36),"")</f>
        <v/>
      </c>
      <c r="H413" s="32">
        <f>IF($A413=1,IF(COUNTIF(COA!$A:$A,$G413)=0,"حساب غير معرف",INDEX(COA!$B:$B,MATCH($G413,COA!$A:$A,0))),"")</f>
        <v/>
      </c>
      <c r="I413" s="32">
        <f>IF($A413=1,IF(Sales_Daily!$C36="","",Sales_Daily!$C36),"")</f>
        <v/>
      </c>
      <c r="J413" s="32">
        <f>IF($A413=1,"CC10","")</f>
        <v/>
      </c>
      <c r="K413" s="32">
        <f>IF($A413=1,"-","")</f>
        <v/>
      </c>
      <c r="L413" s="32">
        <f>IF($A413=1,"مبيعات - تحصيل OTH","")</f>
        <v/>
      </c>
      <c r="M413" s="43">
        <f>IF($A413=1,Sales_Daily!$Q36,"")</f>
        <v/>
      </c>
      <c r="N413" s="43">
        <f>IF($A413=1,0,"")</f>
        <v/>
      </c>
      <c r="O413" s="32">
        <f>IF($A413=1,Sales_Daily!$S36,"")</f>
        <v/>
      </c>
      <c r="P413" s="32">
        <f>IF($A413=1,IF(Sales_Daily!$AW36="","",Sales_Daily!$AW36),"")</f>
        <v/>
      </c>
      <c r="Q413" s="32">
        <f>IF($A413=1,Sales_Daily!$AY36,"")</f>
        <v/>
      </c>
      <c r="R413" s="32">
        <f>IF($A413=1,IF(AND($Q413=1,COUNTIFS(COA!$A:$A,$G413,COA!$R:$R,1)=1),1,0),"")</f>
        <v/>
      </c>
      <c r="S413" s="43">
        <f>IF($A413=1,IF($R413=1,N($M413),0),"")</f>
        <v/>
      </c>
      <c r="T413" s="43">
        <f>IF($A413=1,IF($R413=1,N($N413),0),"")</f>
        <v/>
      </c>
      <c r="U413" s="32">
        <f>IF($A413=1,YEAR($D413)*100+MONTH($D413),"")</f>
        <v/>
      </c>
      <c r="V413" s="32">
        <f>IF($A413=1,IF(COUNTIF(COA!$A:$A,$G413)=0,0,INDEX(COA!$H:$H,MATCH($G413,COA!$A:$A,0))),"")</f>
        <v/>
      </c>
      <c r="W413" s="32">
        <f>IF($A413=1,"OPERATING","")</f>
        <v/>
      </c>
      <c r="X413" s="32">
        <f>IF($A413=1,IF($R413=1,"",IF($O413=ST_POST,IF($P413&lt;&gt;"",$P413,"حساب غير صالح أو غير نشط"),IF($O413=ST_REV,"معكوس: لا أثر على الدفاتر",IF($O413=ST_CANC,"ملغى",IF($O413=ST_APPR,"معتمد ولم يُرحَّل","مسودة"))))),"")</f>
        <v/>
      </c>
      <c r="Y413" s="32">
        <f>IF($A413=1,IF(AND($R413=1,OR(LG_Acct="",$G413=LG_Acct),OR(LG_Party="",$K413=LG_Party),OR(LG_Loc="ALL",$I413=LG_Loc),OR(LG_CC="ALL",$J413=LG_CC),$D413&gt;=LG_From,$D413&lt;=LG_To),$D413+ROW()/1000000,""),"")</f>
        <v/>
      </c>
      <c r="Z413" s="32">
        <f>IF($A413=1,IF(Sales_Daily!$T36="","",Sales_Daily!$T36),"")</f>
        <v/>
      </c>
      <c r="AA413" s="32">
        <f>IF($A413=1,IF(Sales_Daily!$U36="","",Sales_Daily!$U36),"")</f>
        <v/>
      </c>
      <c r="AB413" s="32">
        <f>IF($A413=1,IF(Sales_Daily!$V36="","",Sales_Daily!$V36),"")</f>
        <v/>
      </c>
      <c r="AC413" s="32">
        <f>IF($A413=1,IF(Sales_Daily!$W36="","",Sales_Daily!$W36),"")</f>
        <v/>
      </c>
      <c r="AD413" s="32">
        <f>IF($A413=1,IF(Sales_Daily!$X36="","",Sales_Daily!$X36),"")</f>
        <v/>
      </c>
      <c r="AE413" s="32">
        <f>IF($A413=1,0,"")</f>
        <v/>
      </c>
      <c r="AF413" s="32" t="inlineStr"/>
    </row>
    <row r="414">
      <c r="A414" s="32">
        <f>IF(AND(Sales_Daily!$AV36=1,N(Sales_Daily!$AH36)&gt;0),1,0)</f>
        <v/>
      </c>
      <c r="B414" s="32">
        <f>IF($A414=1,$E414&amp;"/7","")</f>
        <v/>
      </c>
      <c r="C414" s="32">
        <f>IF($A414=1,"J-"&amp;Sales_Daily!$A36,"")</f>
        <v/>
      </c>
      <c r="D414" s="33">
        <f>IF($A414=1,Sales_Daily!$B36,"")</f>
        <v/>
      </c>
      <c r="E414" s="32">
        <f>IF($A414=1,IF(Sales_Daily!$A36="","",Sales_Daily!$A36),"")</f>
        <v/>
      </c>
      <c r="F414" s="32">
        <f>IF($A414=1,"SAL","")</f>
        <v/>
      </c>
      <c r="G414" s="32">
        <f>IF($A414=1,ACC_DISC,"")</f>
        <v/>
      </c>
      <c r="H414" s="32">
        <f>IF($A414=1,IF(COUNTIF(COA!$A:$A,$G414)=0,"حساب غير معرف",INDEX(COA!$B:$B,MATCH($G414,COA!$A:$A,0))),"")</f>
        <v/>
      </c>
      <c r="I414" s="32">
        <f>IF($A414=1,IF(Sales_Daily!$C36="","",Sales_Daily!$C36),"")</f>
        <v/>
      </c>
      <c r="J414" s="32">
        <f>IF($A414=1,"CC10","")</f>
        <v/>
      </c>
      <c r="K414" s="32">
        <f>IF($A414=1,"-","")</f>
        <v/>
      </c>
      <c r="L414" s="32">
        <f>IF($A414=1,"خصومات المبيعات والعروض","")</f>
        <v/>
      </c>
      <c r="M414" s="43">
        <f>IF($A414=1,Sales_Daily!$AH36,"")</f>
        <v/>
      </c>
      <c r="N414" s="43">
        <f>IF($A414=1,0,"")</f>
        <v/>
      </c>
      <c r="O414" s="32">
        <f>IF($A414=1,Sales_Daily!$S36,"")</f>
        <v/>
      </c>
      <c r="P414" s="32">
        <f>IF($A414=1,IF(Sales_Daily!$AW36="","",Sales_Daily!$AW36),"")</f>
        <v/>
      </c>
      <c r="Q414" s="32">
        <f>IF($A414=1,Sales_Daily!$AY36,"")</f>
        <v/>
      </c>
      <c r="R414" s="32">
        <f>IF($A414=1,IF(AND($Q414=1,COUNTIFS(COA!$A:$A,$G414,COA!$R:$R,1)=1),1,0),"")</f>
        <v/>
      </c>
      <c r="S414" s="43">
        <f>IF($A414=1,IF($R414=1,N($M414),0),"")</f>
        <v/>
      </c>
      <c r="T414" s="43">
        <f>IF($A414=1,IF($R414=1,N($N414),0),"")</f>
        <v/>
      </c>
      <c r="U414" s="32">
        <f>IF($A414=1,YEAR($D414)*100+MONTH($D414),"")</f>
        <v/>
      </c>
      <c r="V414" s="32">
        <f>IF($A414=1,IF(COUNTIF(COA!$A:$A,$G414)=0,0,INDEX(COA!$H:$H,MATCH($G414,COA!$A:$A,0))),"")</f>
        <v/>
      </c>
      <c r="W414" s="32">
        <f>IF($A414=1,"","")</f>
        <v/>
      </c>
      <c r="X414" s="32">
        <f>IF($A414=1,IF($R414=1,"",IF($O414=ST_POST,IF($P414&lt;&gt;"",$P414,"حساب غير صالح أو غير نشط"),IF($O414=ST_REV,"معكوس: لا أثر على الدفاتر",IF($O414=ST_CANC,"ملغى",IF($O414=ST_APPR,"معتمد ولم يُرحَّل","مسودة"))))),"")</f>
        <v/>
      </c>
      <c r="Y414" s="32">
        <f>IF($A414=1,IF(AND($R414=1,OR(LG_Acct="",$G414=LG_Acct),OR(LG_Party="",$K414=LG_Party),OR(LG_Loc="ALL",$I414=LG_Loc),OR(LG_CC="ALL",$J414=LG_CC),$D414&gt;=LG_From,$D414&lt;=LG_To),$D414+ROW()/1000000,""),"")</f>
        <v/>
      </c>
      <c r="Z414" s="32">
        <f>IF($A414=1,IF(Sales_Daily!$T36="","",Sales_Daily!$T36),"")</f>
        <v/>
      </c>
      <c r="AA414" s="32">
        <f>IF($A414=1,IF(Sales_Daily!$U36="","",Sales_Daily!$U36),"")</f>
        <v/>
      </c>
      <c r="AB414" s="32">
        <f>IF($A414=1,IF(Sales_Daily!$V36="","",Sales_Daily!$V36),"")</f>
        <v/>
      </c>
      <c r="AC414" s="32">
        <f>IF($A414=1,IF(Sales_Daily!$W36="","",Sales_Daily!$W36),"")</f>
        <v/>
      </c>
      <c r="AD414" s="32">
        <f>IF($A414=1,IF(Sales_Daily!$X36="","",Sales_Daily!$X36),"")</f>
        <v/>
      </c>
      <c r="AE414" s="32">
        <f>IF($A414=1,0,"")</f>
        <v/>
      </c>
      <c r="AF414" s="32" t="inlineStr"/>
    </row>
    <row r="415">
      <c r="A415" s="32">
        <f>IF(AND(Sales_Daily!$AV36=1,N(Sales_Daily!$AI36)&gt;0),1,0)</f>
        <v/>
      </c>
      <c r="B415" s="32">
        <f>IF($A415=1,$E415&amp;"/8","")</f>
        <v/>
      </c>
      <c r="C415" s="32">
        <f>IF($A415=1,"J-"&amp;Sales_Daily!$A36,"")</f>
        <v/>
      </c>
      <c r="D415" s="33">
        <f>IF($A415=1,Sales_Daily!$B36,"")</f>
        <v/>
      </c>
      <c r="E415" s="32">
        <f>IF($A415=1,IF(Sales_Daily!$A36="","",Sales_Daily!$A36),"")</f>
        <v/>
      </c>
      <c r="F415" s="32">
        <f>IF($A415=1,"SAL","")</f>
        <v/>
      </c>
      <c r="G415" s="32">
        <f>IF($A415=1,ACC_RET,"")</f>
        <v/>
      </c>
      <c r="H415" s="32">
        <f>IF($A415=1,IF(COUNTIF(COA!$A:$A,$G415)=0,"حساب غير معرف",INDEX(COA!$B:$B,MATCH($G415,COA!$A:$A,0))),"")</f>
        <v/>
      </c>
      <c r="I415" s="32">
        <f>IF($A415=1,IF(Sales_Daily!$C36="","",Sales_Daily!$C36),"")</f>
        <v/>
      </c>
      <c r="J415" s="32">
        <f>IF($A415=1,"CC10","")</f>
        <v/>
      </c>
      <c r="K415" s="32">
        <f>IF($A415=1,"-","")</f>
        <v/>
      </c>
      <c r="L415" s="32">
        <f>IF($A415=1,"مرتجعات وإلغاءات المبيعات","")</f>
        <v/>
      </c>
      <c r="M415" s="43">
        <f>IF($A415=1,Sales_Daily!$AI36,"")</f>
        <v/>
      </c>
      <c r="N415" s="43">
        <f>IF($A415=1,0,"")</f>
        <v/>
      </c>
      <c r="O415" s="32">
        <f>IF($A415=1,Sales_Daily!$S36,"")</f>
        <v/>
      </c>
      <c r="P415" s="32">
        <f>IF($A415=1,IF(Sales_Daily!$AW36="","",Sales_Daily!$AW36),"")</f>
        <v/>
      </c>
      <c r="Q415" s="32">
        <f>IF($A415=1,Sales_Daily!$AY36,"")</f>
        <v/>
      </c>
      <c r="R415" s="32">
        <f>IF($A415=1,IF(AND($Q415=1,COUNTIFS(COA!$A:$A,$G415,COA!$R:$R,1)=1),1,0),"")</f>
        <v/>
      </c>
      <c r="S415" s="43">
        <f>IF($A415=1,IF($R415=1,N($M415),0),"")</f>
        <v/>
      </c>
      <c r="T415" s="43">
        <f>IF($A415=1,IF($R415=1,N($N415),0),"")</f>
        <v/>
      </c>
      <c r="U415" s="32">
        <f>IF($A415=1,YEAR($D415)*100+MONTH($D415),"")</f>
        <v/>
      </c>
      <c r="V415" s="32">
        <f>IF($A415=1,IF(COUNTIF(COA!$A:$A,$G415)=0,0,INDEX(COA!$H:$H,MATCH($G415,COA!$A:$A,0))),"")</f>
        <v/>
      </c>
      <c r="W415" s="32">
        <f>IF($A415=1,"","")</f>
        <v/>
      </c>
      <c r="X415" s="32">
        <f>IF($A415=1,IF($R415=1,"",IF($O415=ST_POST,IF($P415&lt;&gt;"",$P415,"حساب غير صالح أو غير نشط"),IF($O415=ST_REV,"معكوس: لا أثر على الدفاتر",IF($O415=ST_CANC,"ملغى",IF($O415=ST_APPR,"معتمد ولم يُرحَّل","مسودة"))))),"")</f>
        <v/>
      </c>
      <c r="Y415" s="32">
        <f>IF($A415=1,IF(AND($R415=1,OR(LG_Acct="",$G415=LG_Acct),OR(LG_Party="",$K415=LG_Party),OR(LG_Loc="ALL",$I415=LG_Loc),OR(LG_CC="ALL",$J415=LG_CC),$D415&gt;=LG_From,$D415&lt;=LG_To),$D415+ROW()/1000000,""),"")</f>
        <v/>
      </c>
      <c r="Z415" s="32">
        <f>IF($A415=1,IF(Sales_Daily!$T36="","",Sales_Daily!$T36),"")</f>
        <v/>
      </c>
      <c r="AA415" s="32">
        <f>IF($A415=1,IF(Sales_Daily!$U36="","",Sales_Daily!$U36),"")</f>
        <v/>
      </c>
      <c r="AB415" s="32">
        <f>IF($A415=1,IF(Sales_Daily!$V36="","",Sales_Daily!$V36),"")</f>
        <v/>
      </c>
      <c r="AC415" s="32">
        <f>IF($A415=1,IF(Sales_Daily!$W36="","",Sales_Daily!$W36),"")</f>
        <v/>
      </c>
      <c r="AD415" s="32">
        <f>IF($A415=1,IF(Sales_Daily!$X36="","",Sales_Daily!$X36),"")</f>
        <v/>
      </c>
      <c r="AE415" s="32">
        <f>IF($A415=1,0,"")</f>
        <v/>
      </c>
      <c r="AF415" s="32" t="inlineStr"/>
    </row>
    <row r="416">
      <c r="A416" s="32">
        <f>IF(AND(Sales_Daily!$AV36=1,N(Sales_Daily!$AD36)&gt;0),1,0)</f>
        <v/>
      </c>
      <c r="B416" s="32">
        <f>IF($A416=1,$E416&amp;"/9","")</f>
        <v/>
      </c>
      <c r="C416" s="32">
        <f>IF($A416=1,"J-"&amp;Sales_Daily!$A36,"")</f>
        <v/>
      </c>
      <c r="D416" s="33">
        <f>IF($A416=1,Sales_Daily!$B36,"")</f>
        <v/>
      </c>
      <c r="E416" s="32">
        <f>IF($A416=1,IF(Sales_Daily!$A36="","",Sales_Daily!$A36),"")</f>
        <v/>
      </c>
      <c r="F416" s="32">
        <f>IF($A416=1,"SAL","")</f>
        <v/>
      </c>
      <c r="G416" s="32">
        <f>IF($A416=1,IF(Sales_Daily!$AQ36="","",Sales_Daily!$AQ36),"")</f>
        <v/>
      </c>
      <c r="H416" s="32">
        <f>IF($A416=1,IF(COUNTIF(COA!$A:$A,$G416)=0,"حساب غير معرف",INDEX(COA!$B:$B,MATCH($G416,COA!$A:$A,0))),"")</f>
        <v/>
      </c>
      <c r="I416" s="32">
        <f>IF($A416=1,IF(Sales_Daily!$C36="","",Sales_Daily!$C36),"")</f>
        <v/>
      </c>
      <c r="J416" s="32">
        <f>IF($A416=1,"CC10","")</f>
        <v/>
      </c>
      <c r="K416" s="32">
        <f>IF($A416=1,"-","")</f>
        <v/>
      </c>
      <c r="L416" s="32">
        <f>IF($A416=1,"إيراد مبيعات - فئة فطير","")</f>
        <v/>
      </c>
      <c r="M416" s="43">
        <f>IF($A416=1,0,"")</f>
        <v/>
      </c>
      <c r="N416" s="43">
        <f>IF($A416=1,Sales_Daily!$AD36,"")</f>
        <v/>
      </c>
      <c r="O416" s="32">
        <f>IF($A416=1,Sales_Daily!$S36,"")</f>
        <v/>
      </c>
      <c r="P416" s="32">
        <f>IF($A416=1,IF(Sales_Daily!$AW36="","",Sales_Daily!$AW36),"")</f>
        <v/>
      </c>
      <c r="Q416" s="32">
        <f>IF($A416=1,Sales_Daily!$AY36,"")</f>
        <v/>
      </c>
      <c r="R416" s="32">
        <f>IF($A416=1,IF(AND($Q416=1,COUNTIFS(COA!$A:$A,$G416,COA!$R:$R,1)=1),1,0),"")</f>
        <v/>
      </c>
      <c r="S416" s="43">
        <f>IF($A416=1,IF($R416=1,N($M416),0),"")</f>
        <v/>
      </c>
      <c r="T416" s="43">
        <f>IF($A416=1,IF($R416=1,N($N416),0),"")</f>
        <v/>
      </c>
      <c r="U416" s="32">
        <f>IF($A416=1,YEAR($D416)*100+MONTH($D416),"")</f>
        <v/>
      </c>
      <c r="V416" s="32">
        <f>IF($A416=1,IF(COUNTIF(COA!$A:$A,$G416)=0,0,INDEX(COA!$H:$H,MATCH($G416,COA!$A:$A,0))),"")</f>
        <v/>
      </c>
      <c r="W416" s="32">
        <f>IF($A416=1,"","")</f>
        <v/>
      </c>
      <c r="X416" s="32">
        <f>IF($A416=1,IF($R416=1,"",IF($O416=ST_POST,IF($P416&lt;&gt;"",$P416,"حساب غير صالح أو غير نشط"),IF($O416=ST_REV,"معكوس: لا أثر على الدفاتر",IF($O416=ST_CANC,"ملغى",IF($O416=ST_APPR,"معتمد ولم يُرحَّل","مسودة"))))),"")</f>
        <v/>
      </c>
      <c r="Y416" s="32">
        <f>IF($A416=1,IF(AND($R416=1,OR(LG_Acct="",$G416=LG_Acct),OR(LG_Party="",$K416=LG_Party),OR(LG_Loc="ALL",$I416=LG_Loc),OR(LG_CC="ALL",$J416=LG_CC),$D416&gt;=LG_From,$D416&lt;=LG_To),$D416+ROW()/1000000,""),"")</f>
        <v/>
      </c>
      <c r="Z416" s="32">
        <f>IF($A416=1,IF(Sales_Daily!$T36="","",Sales_Daily!$T36),"")</f>
        <v/>
      </c>
      <c r="AA416" s="32">
        <f>IF($A416=1,IF(Sales_Daily!$U36="","",Sales_Daily!$U36),"")</f>
        <v/>
      </c>
      <c r="AB416" s="32">
        <f>IF($A416=1,IF(Sales_Daily!$V36="","",Sales_Daily!$V36),"")</f>
        <v/>
      </c>
      <c r="AC416" s="32">
        <f>IF($A416=1,IF(Sales_Daily!$W36="","",Sales_Daily!$W36),"")</f>
        <v/>
      </c>
      <c r="AD416" s="32">
        <f>IF($A416=1,IF(Sales_Daily!$X36="","",Sales_Daily!$X36),"")</f>
        <v/>
      </c>
      <c r="AE416" s="32">
        <f>IF($A416=1,0,"")</f>
        <v/>
      </c>
      <c r="AF416" s="32" t="inlineStr"/>
    </row>
    <row r="417">
      <c r="A417" s="32">
        <f>IF(AND(Sales_Daily!$AV36=1,N(Sales_Daily!$AE36)&gt;0),1,0)</f>
        <v/>
      </c>
      <c r="B417" s="32">
        <f>IF($A417=1,$E417&amp;"/10","")</f>
        <v/>
      </c>
      <c r="C417" s="32">
        <f>IF($A417=1,"J-"&amp;Sales_Daily!$A36,"")</f>
        <v/>
      </c>
      <c r="D417" s="33">
        <f>IF($A417=1,Sales_Daily!$B36,"")</f>
        <v/>
      </c>
      <c r="E417" s="32">
        <f>IF($A417=1,IF(Sales_Daily!$A36="","",Sales_Daily!$A36),"")</f>
        <v/>
      </c>
      <c r="F417" s="32">
        <f>IF($A417=1,"SAL","")</f>
        <v/>
      </c>
      <c r="G417" s="32">
        <f>IF($A417=1,IF(Sales_Daily!$AR36="","",Sales_Daily!$AR36),"")</f>
        <v/>
      </c>
      <c r="H417" s="32">
        <f>IF($A417=1,IF(COUNTIF(COA!$A:$A,$G417)=0,"حساب غير معرف",INDEX(COA!$B:$B,MATCH($G417,COA!$A:$A,0))),"")</f>
        <v/>
      </c>
      <c r="I417" s="32">
        <f>IF($A417=1,IF(Sales_Daily!$C36="","",Sales_Daily!$C36),"")</f>
        <v/>
      </c>
      <c r="J417" s="32">
        <f>IF($A417=1,"CC10","")</f>
        <v/>
      </c>
      <c r="K417" s="32">
        <f>IF($A417=1,"-","")</f>
        <v/>
      </c>
      <c r="L417" s="32">
        <f>IF($A417=1,"إيراد مبيعات - فئة بيتزا","")</f>
        <v/>
      </c>
      <c r="M417" s="43">
        <f>IF($A417=1,0,"")</f>
        <v/>
      </c>
      <c r="N417" s="43">
        <f>IF($A417=1,Sales_Daily!$AE36,"")</f>
        <v/>
      </c>
      <c r="O417" s="32">
        <f>IF($A417=1,Sales_Daily!$S36,"")</f>
        <v/>
      </c>
      <c r="P417" s="32">
        <f>IF($A417=1,IF(Sales_Daily!$AW36="","",Sales_Daily!$AW36),"")</f>
        <v/>
      </c>
      <c r="Q417" s="32">
        <f>IF($A417=1,Sales_Daily!$AY36,"")</f>
        <v/>
      </c>
      <c r="R417" s="32">
        <f>IF($A417=1,IF(AND($Q417=1,COUNTIFS(COA!$A:$A,$G417,COA!$R:$R,1)=1),1,0),"")</f>
        <v/>
      </c>
      <c r="S417" s="43">
        <f>IF($A417=1,IF($R417=1,N($M417),0),"")</f>
        <v/>
      </c>
      <c r="T417" s="43">
        <f>IF($A417=1,IF($R417=1,N($N417),0),"")</f>
        <v/>
      </c>
      <c r="U417" s="32">
        <f>IF($A417=1,YEAR($D417)*100+MONTH($D417),"")</f>
        <v/>
      </c>
      <c r="V417" s="32">
        <f>IF($A417=1,IF(COUNTIF(COA!$A:$A,$G417)=0,0,INDEX(COA!$H:$H,MATCH($G417,COA!$A:$A,0))),"")</f>
        <v/>
      </c>
      <c r="W417" s="32">
        <f>IF($A417=1,"","")</f>
        <v/>
      </c>
      <c r="X417" s="32">
        <f>IF($A417=1,IF($R417=1,"",IF($O417=ST_POST,IF($P417&lt;&gt;"",$P417,"حساب غير صالح أو غير نشط"),IF($O417=ST_REV,"معكوس: لا أثر على الدفاتر",IF($O417=ST_CANC,"ملغى",IF($O417=ST_APPR,"معتمد ولم يُرحَّل","مسودة"))))),"")</f>
        <v/>
      </c>
      <c r="Y417" s="32">
        <f>IF($A417=1,IF(AND($R417=1,OR(LG_Acct="",$G417=LG_Acct),OR(LG_Party="",$K417=LG_Party),OR(LG_Loc="ALL",$I417=LG_Loc),OR(LG_CC="ALL",$J417=LG_CC),$D417&gt;=LG_From,$D417&lt;=LG_To),$D417+ROW()/1000000,""),"")</f>
        <v/>
      </c>
      <c r="Z417" s="32">
        <f>IF($A417=1,IF(Sales_Daily!$T36="","",Sales_Daily!$T36),"")</f>
        <v/>
      </c>
      <c r="AA417" s="32">
        <f>IF($A417=1,IF(Sales_Daily!$U36="","",Sales_Daily!$U36),"")</f>
        <v/>
      </c>
      <c r="AB417" s="32">
        <f>IF($A417=1,IF(Sales_Daily!$V36="","",Sales_Daily!$V36),"")</f>
        <v/>
      </c>
      <c r="AC417" s="32">
        <f>IF($A417=1,IF(Sales_Daily!$W36="","",Sales_Daily!$W36),"")</f>
        <v/>
      </c>
      <c r="AD417" s="32">
        <f>IF($A417=1,IF(Sales_Daily!$X36="","",Sales_Daily!$X36),"")</f>
        <v/>
      </c>
      <c r="AE417" s="32">
        <f>IF($A417=1,0,"")</f>
        <v/>
      </c>
      <c r="AF417" s="32" t="inlineStr"/>
    </row>
    <row r="418">
      <c r="A418" s="32">
        <f>IF(AND(Sales_Daily!$AV36=1,N(Sales_Daily!$AF36)&gt;0),1,0)</f>
        <v/>
      </c>
      <c r="B418" s="32">
        <f>IF($A418=1,$E418&amp;"/11","")</f>
        <v/>
      </c>
      <c r="C418" s="32">
        <f>IF($A418=1,"J-"&amp;Sales_Daily!$A36,"")</f>
        <v/>
      </c>
      <c r="D418" s="33">
        <f>IF($A418=1,Sales_Daily!$B36,"")</f>
        <v/>
      </c>
      <c r="E418" s="32">
        <f>IF($A418=1,IF(Sales_Daily!$A36="","",Sales_Daily!$A36),"")</f>
        <v/>
      </c>
      <c r="F418" s="32">
        <f>IF($A418=1,"SAL","")</f>
        <v/>
      </c>
      <c r="G418" s="32">
        <f>IF($A418=1,IF(Sales_Daily!$AS36="","",Sales_Daily!$AS36),"")</f>
        <v/>
      </c>
      <c r="H418" s="32">
        <f>IF($A418=1,IF(COUNTIF(COA!$A:$A,$G418)=0,"حساب غير معرف",INDEX(COA!$B:$B,MATCH($G418,COA!$A:$A,0))),"")</f>
        <v/>
      </c>
      <c r="I418" s="32">
        <f>IF($A418=1,IF(Sales_Daily!$C36="","",Sales_Daily!$C36),"")</f>
        <v/>
      </c>
      <c r="J418" s="32">
        <f>IF($A418=1,"CC10","")</f>
        <v/>
      </c>
      <c r="K418" s="32">
        <f>IF($A418=1,"-","")</f>
        <v/>
      </c>
      <c r="L418" s="32">
        <f>IF($A418=1,"إيراد مبيعات - فئة مكرونات","")</f>
        <v/>
      </c>
      <c r="M418" s="43">
        <f>IF($A418=1,0,"")</f>
        <v/>
      </c>
      <c r="N418" s="43">
        <f>IF($A418=1,Sales_Daily!$AF36,"")</f>
        <v/>
      </c>
      <c r="O418" s="32">
        <f>IF($A418=1,Sales_Daily!$S36,"")</f>
        <v/>
      </c>
      <c r="P418" s="32">
        <f>IF($A418=1,IF(Sales_Daily!$AW36="","",Sales_Daily!$AW36),"")</f>
        <v/>
      </c>
      <c r="Q418" s="32">
        <f>IF($A418=1,Sales_Daily!$AY36,"")</f>
        <v/>
      </c>
      <c r="R418" s="32">
        <f>IF($A418=1,IF(AND($Q418=1,COUNTIFS(COA!$A:$A,$G418,COA!$R:$R,1)=1),1,0),"")</f>
        <v/>
      </c>
      <c r="S418" s="43">
        <f>IF($A418=1,IF($R418=1,N($M418),0),"")</f>
        <v/>
      </c>
      <c r="T418" s="43">
        <f>IF($A418=1,IF($R418=1,N($N418),0),"")</f>
        <v/>
      </c>
      <c r="U418" s="32">
        <f>IF($A418=1,YEAR($D418)*100+MONTH($D418),"")</f>
        <v/>
      </c>
      <c r="V418" s="32">
        <f>IF($A418=1,IF(COUNTIF(COA!$A:$A,$G418)=0,0,INDEX(COA!$H:$H,MATCH($G418,COA!$A:$A,0))),"")</f>
        <v/>
      </c>
      <c r="W418" s="32">
        <f>IF($A418=1,"","")</f>
        <v/>
      </c>
      <c r="X418" s="32">
        <f>IF($A418=1,IF($R418=1,"",IF($O418=ST_POST,IF($P418&lt;&gt;"",$P418,"حساب غير صالح أو غير نشط"),IF($O418=ST_REV,"معكوس: لا أثر على الدفاتر",IF($O418=ST_CANC,"ملغى",IF($O418=ST_APPR,"معتمد ولم يُرحَّل","مسودة"))))),"")</f>
        <v/>
      </c>
      <c r="Y418" s="32">
        <f>IF($A418=1,IF(AND($R418=1,OR(LG_Acct="",$G418=LG_Acct),OR(LG_Party="",$K418=LG_Party),OR(LG_Loc="ALL",$I418=LG_Loc),OR(LG_CC="ALL",$J418=LG_CC),$D418&gt;=LG_From,$D418&lt;=LG_To),$D418+ROW()/1000000,""),"")</f>
        <v/>
      </c>
      <c r="Z418" s="32">
        <f>IF($A418=1,IF(Sales_Daily!$T36="","",Sales_Daily!$T36),"")</f>
        <v/>
      </c>
      <c r="AA418" s="32">
        <f>IF($A418=1,IF(Sales_Daily!$U36="","",Sales_Daily!$U36),"")</f>
        <v/>
      </c>
      <c r="AB418" s="32">
        <f>IF($A418=1,IF(Sales_Daily!$V36="","",Sales_Daily!$V36),"")</f>
        <v/>
      </c>
      <c r="AC418" s="32">
        <f>IF($A418=1,IF(Sales_Daily!$W36="","",Sales_Daily!$W36),"")</f>
        <v/>
      </c>
      <c r="AD418" s="32">
        <f>IF($A418=1,IF(Sales_Daily!$X36="","",Sales_Daily!$X36),"")</f>
        <v/>
      </c>
      <c r="AE418" s="32">
        <f>IF($A418=1,0,"")</f>
        <v/>
      </c>
      <c r="AF418" s="32" t="inlineStr"/>
    </row>
    <row r="419">
      <c r="A419" s="32">
        <f>IF(AND(Sales_Daily!$AV36=1,N(Sales_Daily!$AG36)&gt;0),1,0)</f>
        <v/>
      </c>
      <c r="B419" s="32">
        <f>IF($A419=1,$E419&amp;"/12","")</f>
        <v/>
      </c>
      <c r="C419" s="32">
        <f>IF($A419=1,"J-"&amp;Sales_Daily!$A36,"")</f>
        <v/>
      </c>
      <c r="D419" s="33">
        <f>IF($A419=1,Sales_Daily!$B36,"")</f>
        <v/>
      </c>
      <c r="E419" s="32">
        <f>IF($A419=1,IF(Sales_Daily!$A36="","",Sales_Daily!$A36),"")</f>
        <v/>
      </c>
      <c r="F419" s="32">
        <f>IF($A419=1,"SAL","")</f>
        <v/>
      </c>
      <c r="G419" s="32">
        <f>IF($A419=1,IF(Sales_Daily!$AT36="","",Sales_Daily!$AT36),"")</f>
        <v/>
      </c>
      <c r="H419" s="32">
        <f>IF($A419=1,IF(COUNTIF(COA!$A:$A,$G419)=0,"حساب غير معرف",INDEX(COA!$B:$B,MATCH($G419,COA!$A:$A,0))),"")</f>
        <v/>
      </c>
      <c r="I419" s="32">
        <f>IF($A419=1,IF(Sales_Daily!$C36="","",Sales_Daily!$C36),"")</f>
        <v/>
      </c>
      <c r="J419" s="32">
        <f>IF($A419=1,"CC10","")</f>
        <v/>
      </c>
      <c r="K419" s="32">
        <f>IF($A419=1,"-","")</f>
        <v/>
      </c>
      <c r="L419" s="32">
        <f>IF($A419=1,"إيراد مبيعات - فئة أخرى","")</f>
        <v/>
      </c>
      <c r="M419" s="43">
        <f>IF($A419=1,0,"")</f>
        <v/>
      </c>
      <c r="N419" s="43">
        <f>IF($A419=1,Sales_Daily!$AG36,"")</f>
        <v/>
      </c>
      <c r="O419" s="32">
        <f>IF($A419=1,Sales_Daily!$S36,"")</f>
        <v/>
      </c>
      <c r="P419" s="32">
        <f>IF($A419=1,IF(Sales_Daily!$AW36="","",Sales_Daily!$AW36),"")</f>
        <v/>
      </c>
      <c r="Q419" s="32">
        <f>IF($A419=1,Sales_Daily!$AY36,"")</f>
        <v/>
      </c>
      <c r="R419" s="32">
        <f>IF($A419=1,IF(AND($Q419=1,COUNTIFS(COA!$A:$A,$G419,COA!$R:$R,1)=1),1,0),"")</f>
        <v/>
      </c>
      <c r="S419" s="43">
        <f>IF($A419=1,IF($R419=1,N($M419),0),"")</f>
        <v/>
      </c>
      <c r="T419" s="43">
        <f>IF($A419=1,IF($R419=1,N($N419),0),"")</f>
        <v/>
      </c>
      <c r="U419" s="32">
        <f>IF($A419=1,YEAR($D419)*100+MONTH($D419),"")</f>
        <v/>
      </c>
      <c r="V419" s="32">
        <f>IF($A419=1,IF(COUNTIF(COA!$A:$A,$G419)=0,0,INDEX(COA!$H:$H,MATCH($G419,COA!$A:$A,0))),"")</f>
        <v/>
      </c>
      <c r="W419" s="32">
        <f>IF($A419=1,"","")</f>
        <v/>
      </c>
      <c r="X419" s="32">
        <f>IF($A419=1,IF($R419=1,"",IF($O419=ST_POST,IF($P419&lt;&gt;"",$P419,"حساب غير صالح أو غير نشط"),IF($O419=ST_REV,"معكوس: لا أثر على الدفاتر",IF($O419=ST_CANC,"ملغى",IF($O419=ST_APPR,"معتمد ولم يُرحَّل","مسودة"))))),"")</f>
        <v/>
      </c>
      <c r="Y419" s="32">
        <f>IF($A419=1,IF(AND($R419=1,OR(LG_Acct="",$G419=LG_Acct),OR(LG_Party="",$K419=LG_Party),OR(LG_Loc="ALL",$I419=LG_Loc),OR(LG_CC="ALL",$J419=LG_CC),$D419&gt;=LG_From,$D419&lt;=LG_To),$D419+ROW()/1000000,""),"")</f>
        <v/>
      </c>
      <c r="Z419" s="32">
        <f>IF($A419=1,IF(Sales_Daily!$T36="","",Sales_Daily!$T36),"")</f>
        <v/>
      </c>
      <c r="AA419" s="32">
        <f>IF($A419=1,IF(Sales_Daily!$U36="","",Sales_Daily!$U36),"")</f>
        <v/>
      </c>
      <c r="AB419" s="32">
        <f>IF($A419=1,IF(Sales_Daily!$V36="","",Sales_Daily!$V36),"")</f>
        <v/>
      </c>
      <c r="AC419" s="32">
        <f>IF($A419=1,IF(Sales_Daily!$W36="","",Sales_Daily!$W36),"")</f>
        <v/>
      </c>
      <c r="AD419" s="32">
        <f>IF($A419=1,IF(Sales_Daily!$X36="","",Sales_Daily!$X36),"")</f>
        <v/>
      </c>
      <c r="AE419" s="32">
        <f>IF($A419=1,0,"")</f>
        <v/>
      </c>
      <c r="AF419" s="32" t="inlineStr"/>
    </row>
    <row r="420">
      <c r="A420" s="32">
        <f>IF(AND(Sales_Daily!$AV36=1,N(Sales_Daily!$AJ36)&gt;0),1,0)</f>
        <v/>
      </c>
      <c r="B420" s="32">
        <f>IF($A420=1,$E420&amp;"/13","")</f>
        <v/>
      </c>
      <c r="C420" s="32">
        <f>IF($A420=1,"J-"&amp;Sales_Daily!$A36,"")</f>
        <v/>
      </c>
      <c r="D420" s="33">
        <f>IF($A420=1,Sales_Daily!$B36,"")</f>
        <v/>
      </c>
      <c r="E420" s="32">
        <f>IF($A420=1,IF(Sales_Daily!$A36="","",Sales_Daily!$A36),"")</f>
        <v/>
      </c>
      <c r="F420" s="32">
        <f>IF($A420=1,"SAL","")</f>
        <v/>
      </c>
      <c r="G420" s="32">
        <f>IF($A420=1,ACC_VAT_OUT,"")</f>
        <v/>
      </c>
      <c r="H420" s="32">
        <f>IF($A420=1,IF(COUNTIF(COA!$A:$A,$G420)=0,"حساب غير معرف",INDEX(COA!$B:$B,MATCH($G420,COA!$A:$A,0))),"")</f>
        <v/>
      </c>
      <c r="I420" s="32">
        <f>IF($A420=1,IF(Sales_Daily!$C36="","",Sales_Daily!$C36),"")</f>
        <v/>
      </c>
      <c r="J420" s="32">
        <f>IF($A420=1,"CC10","")</f>
        <v/>
      </c>
      <c r="K420" s="32">
        <f>IF($A420=1,"-","")</f>
        <v/>
      </c>
      <c r="L420" s="32">
        <f>IF($A420=1,"ضريبة القيمة المضافة - مخرجات","")</f>
        <v/>
      </c>
      <c r="M420" s="43">
        <f>IF($A420=1,0,"")</f>
        <v/>
      </c>
      <c r="N420" s="43">
        <f>IF($A420=1,Sales_Daily!$AJ36,"")</f>
        <v/>
      </c>
      <c r="O420" s="32">
        <f>IF($A420=1,Sales_Daily!$S36,"")</f>
        <v/>
      </c>
      <c r="P420" s="32">
        <f>IF($A420=1,IF(Sales_Daily!$AW36="","",Sales_Daily!$AW36),"")</f>
        <v/>
      </c>
      <c r="Q420" s="32">
        <f>IF($A420=1,Sales_Daily!$AY36,"")</f>
        <v/>
      </c>
      <c r="R420" s="32">
        <f>IF($A420=1,IF(AND($Q420=1,COUNTIFS(COA!$A:$A,$G420,COA!$R:$R,1)=1),1,0),"")</f>
        <v/>
      </c>
      <c r="S420" s="43">
        <f>IF($A420=1,IF($R420=1,N($M420),0),"")</f>
        <v/>
      </c>
      <c r="T420" s="43">
        <f>IF($A420=1,IF($R420=1,N($N420),0),"")</f>
        <v/>
      </c>
      <c r="U420" s="32">
        <f>IF($A420=1,YEAR($D420)*100+MONTH($D420),"")</f>
        <v/>
      </c>
      <c r="V420" s="32">
        <f>IF($A420=1,IF(COUNTIF(COA!$A:$A,$G420)=0,0,INDEX(COA!$H:$H,MATCH($G420,COA!$A:$A,0))),"")</f>
        <v/>
      </c>
      <c r="W420" s="32">
        <f>IF($A420=1,"","")</f>
        <v/>
      </c>
      <c r="X420" s="32">
        <f>IF($A420=1,IF($R420=1,"",IF($O420=ST_POST,IF($P420&lt;&gt;"",$P420,"حساب غير صالح أو غير نشط"),IF($O420=ST_REV,"معكوس: لا أثر على الدفاتر",IF($O420=ST_CANC,"ملغى",IF($O420=ST_APPR,"معتمد ولم يُرحَّل","مسودة"))))),"")</f>
        <v/>
      </c>
      <c r="Y420" s="32">
        <f>IF($A420=1,IF(AND($R420=1,OR(LG_Acct="",$G420=LG_Acct),OR(LG_Party="",$K420=LG_Party),OR(LG_Loc="ALL",$I420=LG_Loc),OR(LG_CC="ALL",$J420=LG_CC),$D420&gt;=LG_From,$D420&lt;=LG_To),$D420+ROW()/1000000,""),"")</f>
        <v/>
      </c>
      <c r="Z420" s="32">
        <f>IF($A420=1,IF(Sales_Daily!$T36="","",Sales_Daily!$T36),"")</f>
        <v/>
      </c>
      <c r="AA420" s="32">
        <f>IF($A420=1,IF(Sales_Daily!$U36="","",Sales_Daily!$U36),"")</f>
        <v/>
      </c>
      <c r="AB420" s="32">
        <f>IF($A420=1,IF(Sales_Daily!$V36="","",Sales_Daily!$V36),"")</f>
        <v/>
      </c>
      <c r="AC420" s="32">
        <f>IF($A420=1,IF(Sales_Daily!$W36="","",Sales_Daily!$W36),"")</f>
        <v/>
      </c>
      <c r="AD420" s="32">
        <f>IF($A420=1,IF(Sales_Daily!$X36="","",Sales_Daily!$X36),"")</f>
        <v/>
      </c>
      <c r="AE420" s="32">
        <f>IF($A420=1,0,"")</f>
        <v/>
      </c>
      <c r="AF420" s="32" t="inlineStr"/>
    </row>
    <row r="421">
      <c r="A421" s="32">
        <f>IF(AND(Sales_Daily!$AV37=1,N(Sales_Daily!$L37)&gt;0),1,0)</f>
        <v/>
      </c>
      <c r="B421" s="32">
        <f>IF($A421=1,$E421&amp;"/1","")</f>
        <v/>
      </c>
      <c r="C421" s="32">
        <f>IF($A421=1,"J-"&amp;Sales_Daily!$A37,"")</f>
        <v/>
      </c>
      <c r="D421" s="33">
        <f>IF($A421=1,Sales_Daily!$B37,"")</f>
        <v/>
      </c>
      <c r="E421" s="32">
        <f>IF($A421=1,IF(Sales_Daily!$A37="","",Sales_Daily!$A37),"")</f>
        <v/>
      </c>
      <c r="F421" s="32">
        <f>IF($A421=1,"SAL","")</f>
        <v/>
      </c>
      <c r="G421" s="32">
        <f>IF($A421=1,IF(Sales_Daily!$AK37="","",Sales_Daily!$AK37),"")</f>
        <v/>
      </c>
      <c r="H421" s="32">
        <f>IF($A421=1,IF(COUNTIF(COA!$A:$A,$G421)=0,"حساب غير معرف",INDEX(COA!$B:$B,MATCH($G421,COA!$A:$A,0))),"")</f>
        <v/>
      </c>
      <c r="I421" s="32">
        <f>IF($A421=1,IF(Sales_Daily!$C37="","",Sales_Daily!$C37),"")</f>
        <v/>
      </c>
      <c r="J421" s="32">
        <f>IF($A421=1,"CC10","")</f>
        <v/>
      </c>
      <c r="K421" s="32">
        <f>IF($A421=1,"-","")</f>
        <v/>
      </c>
      <c r="L421" s="32">
        <f>IF($A421=1,"مبيعات - تحصيل CASH","")</f>
        <v/>
      </c>
      <c r="M421" s="43">
        <f>IF($A421=1,Sales_Daily!$L37,"")</f>
        <v/>
      </c>
      <c r="N421" s="43">
        <f>IF($A421=1,0,"")</f>
        <v/>
      </c>
      <c r="O421" s="32">
        <f>IF($A421=1,Sales_Daily!$S37,"")</f>
        <v/>
      </c>
      <c r="P421" s="32">
        <f>IF($A421=1,IF(Sales_Daily!$AW37="","",Sales_Daily!$AW37),"")</f>
        <v/>
      </c>
      <c r="Q421" s="32">
        <f>IF($A421=1,Sales_Daily!$AY37,"")</f>
        <v/>
      </c>
      <c r="R421" s="32">
        <f>IF($A421=1,IF(AND($Q421=1,COUNTIFS(COA!$A:$A,$G421,COA!$R:$R,1)=1),1,0),"")</f>
        <v/>
      </c>
      <c r="S421" s="43">
        <f>IF($A421=1,IF($R421=1,N($M421),0),"")</f>
        <v/>
      </c>
      <c r="T421" s="43">
        <f>IF($A421=1,IF($R421=1,N($N421),0),"")</f>
        <v/>
      </c>
      <c r="U421" s="32">
        <f>IF($A421=1,YEAR($D421)*100+MONTH($D421),"")</f>
        <v/>
      </c>
      <c r="V421" s="32">
        <f>IF($A421=1,IF(COUNTIF(COA!$A:$A,$G421)=0,0,INDEX(COA!$H:$H,MATCH($G421,COA!$A:$A,0))),"")</f>
        <v/>
      </c>
      <c r="W421" s="32">
        <f>IF($A421=1,"OPERATING","")</f>
        <v/>
      </c>
      <c r="X421" s="32">
        <f>IF($A421=1,IF($R421=1,"",IF($O421=ST_POST,IF($P421&lt;&gt;"",$P421,"حساب غير صالح أو غير نشط"),IF($O421=ST_REV,"معكوس: لا أثر على الدفاتر",IF($O421=ST_CANC,"ملغى",IF($O421=ST_APPR,"معتمد ولم يُرحَّل","مسودة"))))),"")</f>
        <v/>
      </c>
      <c r="Y421" s="32">
        <f>IF($A421=1,IF(AND($R421=1,OR(LG_Acct="",$G421=LG_Acct),OR(LG_Party="",$K421=LG_Party),OR(LG_Loc="ALL",$I421=LG_Loc),OR(LG_CC="ALL",$J421=LG_CC),$D421&gt;=LG_From,$D421&lt;=LG_To),$D421+ROW()/1000000,""),"")</f>
        <v/>
      </c>
      <c r="Z421" s="32">
        <f>IF($A421=1,IF(Sales_Daily!$T37="","",Sales_Daily!$T37),"")</f>
        <v/>
      </c>
      <c r="AA421" s="32">
        <f>IF($A421=1,IF(Sales_Daily!$U37="","",Sales_Daily!$U37),"")</f>
        <v/>
      </c>
      <c r="AB421" s="32">
        <f>IF($A421=1,IF(Sales_Daily!$V37="","",Sales_Daily!$V37),"")</f>
        <v/>
      </c>
      <c r="AC421" s="32">
        <f>IF($A421=1,IF(Sales_Daily!$W37="","",Sales_Daily!$W37),"")</f>
        <v/>
      </c>
      <c r="AD421" s="32">
        <f>IF($A421=1,IF(Sales_Daily!$X37="","",Sales_Daily!$X37),"")</f>
        <v/>
      </c>
      <c r="AE421" s="32">
        <f>IF($A421=1,0,"")</f>
        <v/>
      </c>
      <c r="AF421" s="32" t="inlineStr"/>
    </row>
    <row r="422">
      <c r="A422" s="32">
        <f>IF(AND(Sales_Daily!$AV37=1,N(Sales_Daily!$M37)&gt;0),1,0)</f>
        <v/>
      </c>
      <c r="B422" s="32">
        <f>IF($A422=1,$E422&amp;"/2","")</f>
        <v/>
      </c>
      <c r="C422" s="32">
        <f>IF($A422=1,"J-"&amp;Sales_Daily!$A37,"")</f>
        <v/>
      </c>
      <c r="D422" s="33">
        <f>IF($A422=1,Sales_Daily!$B37,"")</f>
        <v/>
      </c>
      <c r="E422" s="32">
        <f>IF($A422=1,IF(Sales_Daily!$A37="","",Sales_Daily!$A37),"")</f>
        <v/>
      </c>
      <c r="F422" s="32">
        <f>IF($A422=1,"SAL","")</f>
        <v/>
      </c>
      <c r="G422" s="32">
        <f>IF($A422=1,IF(Sales_Daily!$AL37="","",Sales_Daily!$AL37),"")</f>
        <v/>
      </c>
      <c r="H422" s="32">
        <f>IF($A422=1,IF(COUNTIF(COA!$A:$A,$G422)=0,"حساب غير معرف",INDEX(COA!$B:$B,MATCH($G422,COA!$A:$A,0))),"")</f>
        <v/>
      </c>
      <c r="I422" s="32">
        <f>IF($A422=1,IF(Sales_Daily!$C37="","",Sales_Daily!$C37),"")</f>
        <v/>
      </c>
      <c r="J422" s="32">
        <f>IF($A422=1,"CC10","")</f>
        <v/>
      </c>
      <c r="K422" s="32">
        <f>IF($A422=1,"-","")</f>
        <v/>
      </c>
      <c r="L422" s="32">
        <f>IF($A422=1,"مبيعات - تحصيل CARD","")</f>
        <v/>
      </c>
      <c r="M422" s="43">
        <f>IF($A422=1,Sales_Daily!$M37,"")</f>
        <v/>
      </c>
      <c r="N422" s="43">
        <f>IF($A422=1,0,"")</f>
        <v/>
      </c>
      <c r="O422" s="32">
        <f>IF($A422=1,Sales_Daily!$S37,"")</f>
        <v/>
      </c>
      <c r="P422" s="32">
        <f>IF($A422=1,IF(Sales_Daily!$AW37="","",Sales_Daily!$AW37),"")</f>
        <v/>
      </c>
      <c r="Q422" s="32">
        <f>IF($A422=1,Sales_Daily!$AY37,"")</f>
        <v/>
      </c>
      <c r="R422" s="32">
        <f>IF($A422=1,IF(AND($Q422=1,COUNTIFS(COA!$A:$A,$G422,COA!$R:$R,1)=1),1,0),"")</f>
        <v/>
      </c>
      <c r="S422" s="43">
        <f>IF($A422=1,IF($R422=1,N($M422),0),"")</f>
        <v/>
      </c>
      <c r="T422" s="43">
        <f>IF($A422=1,IF($R422=1,N($N422),0),"")</f>
        <v/>
      </c>
      <c r="U422" s="32">
        <f>IF($A422=1,YEAR($D422)*100+MONTH($D422),"")</f>
        <v/>
      </c>
      <c r="V422" s="32">
        <f>IF($A422=1,IF(COUNTIF(COA!$A:$A,$G422)=0,0,INDEX(COA!$H:$H,MATCH($G422,COA!$A:$A,0))),"")</f>
        <v/>
      </c>
      <c r="W422" s="32">
        <f>IF($A422=1,"OPERATING","")</f>
        <v/>
      </c>
      <c r="X422" s="32">
        <f>IF($A422=1,IF($R422=1,"",IF($O422=ST_POST,IF($P422&lt;&gt;"",$P422,"حساب غير صالح أو غير نشط"),IF($O422=ST_REV,"معكوس: لا أثر على الدفاتر",IF($O422=ST_CANC,"ملغى",IF($O422=ST_APPR,"معتمد ولم يُرحَّل","مسودة"))))),"")</f>
        <v/>
      </c>
      <c r="Y422" s="32">
        <f>IF($A422=1,IF(AND($R422=1,OR(LG_Acct="",$G422=LG_Acct),OR(LG_Party="",$K422=LG_Party),OR(LG_Loc="ALL",$I422=LG_Loc),OR(LG_CC="ALL",$J422=LG_CC),$D422&gt;=LG_From,$D422&lt;=LG_To),$D422+ROW()/1000000,""),"")</f>
        <v/>
      </c>
      <c r="Z422" s="32">
        <f>IF($A422=1,IF(Sales_Daily!$T37="","",Sales_Daily!$T37),"")</f>
        <v/>
      </c>
      <c r="AA422" s="32">
        <f>IF($A422=1,IF(Sales_Daily!$U37="","",Sales_Daily!$U37),"")</f>
        <v/>
      </c>
      <c r="AB422" s="32">
        <f>IF($A422=1,IF(Sales_Daily!$V37="","",Sales_Daily!$V37),"")</f>
        <v/>
      </c>
      <c r="AC422" s="32">
        <f>IF($A422=1,IF(Sales_Daily!$W37="","",Sales_Daily!$W37),"")</f>
        <v/>
      </c>
      <c r="AD422" s="32">
        <f>IF($A422=1,IF(Sales_Daily!$X37="","",Sales_Daily!$X37),"")</f>
        <v/>
      </c>
      <c r="AE422" s="32">
        <f>IF($A422=1,0,"")</f>
        <v/>
      </c>
      <c r="AF422" s="32" t="inlineStr"/>
    </row>
    <row r="423">
      <c r="A423" s="32">
        <f>IF(AND(Sales_Daily!$AV37=1,N(Sales_Daily!$N37)&gt;0),1,0)</f>
        <v/>
      </c>
      <c r="B423" s="32">
        <f>IF($A423=1,$E423&amp;"/3","")</f>
        <v/>
      </c>
      <c r="C423" s="32">
        <f>IF($A423=1,"J-"&amp;Sales_Daily!$A37,"")</f>
        <v/>
      </c>
      <c r="D423" s="33">
        <f>IF($A423=1,Sales_Daily!$B37,"")</f>
        <v/>
      </c>
      <c r="E423" s="32">
        <f>IF($A423=1,IF(Sales_Daily!$A37="","",Sales_Daily!$A37),"")</f>
        <v/>
      </c>
      <c r="F423" s="32">
        <f>IF($A423=1,"SAL","")</f>
        <v/>
      </c>
      <c r="G423" s="32">
        <f>IF($A423=1,IF(Sales_Daily!$AM37="","",Sales_Daily!$AM37),"")</f>
        <v/>
      </c>
      <c r="H423" s="32">
        <f>IF($A423=1,IF(COUNTIF(COA!$A:$A,$G423)=0,"حساب غير معرف",INDEX(COA!$B:$B,MATCH($G423,COA!$A:$A,0))),"")</f>
        <v/>
      </c>
      <c r="I423" s="32">
        <f>IF($A423=1,IF(Sales_Daily!$C37="","",Sales_Daily!$C37),"")</f>
        <v/>
      </c>
      <c r="J423" s="32">
        <f>IF($A423=1,"CC10","")</f>
        <v/>
      </c>
      <c r="K423" s="32">
        <f>IF($A423=1,"-","")</f>
        <v/>
      </c>
      <c r="L423" s="32">
        <f>IF($A423=1,"مبيعات - تحصيل TLB","")</f>
        <v/>
      </c>
      <c r="M423" s="43">
        <f>IF($A423=1,Sales_Daily!$N37,"")</f>
        <v/>
      </c>
      <c r="N423" s="43">
        <f>IF($A423=1,0,"")</f>
        <v/>
      </c>
      <c r="O423" s="32">
        <f>IF($A423=1,Sales_Daily!$S37,"")</f>
        <v/>
      </c>
      <c r="P423" s="32">
        <f>IF($A423=1,IF(Sales_Daily!$AW37="","",Sales_Daily!$AW37),"")</f>
        <v/>
      </c>
      <c r="Q423" s="32">
        <f>IF($A423=1,Sales_Daily!$AY37,"")</f>
        <v/>
      </c>
      <c r="R423" s="32">
        <f>IF($A423=1,IF(AND($Q423=1,COUNTIFS(COA!$A:$A,$G423,COA!$R:$R,1)=1),1,0),"")</f>
        <v/>
      </c>
      <c r="S423" s="43">
        <f>IF($A423=1,IF($R423=1,N($M423),0),"")</f>
        <v/>
      </c>
      <c r="T423" s="43">
        <f>IF($A423=1,IF($R423=1,N($N423),0),"")</f>
        <v/>
      </c>
      <c r="U423" s="32">
        <f>IF($A423=1,YEAR($D423)*100+MONTH($D423),"")</f>
        <v/>
      </c>
      <c r="V423" s="32">
        <f>IF($A423=1,IF(COUNTIF(COA!$A:$A,$G423)=0,0,INDEX(COA!$H:$H,MATCH($G423,COA!$A:$A,0))),"")</f>
        <v/>
      </c>
      <c r="W423" s="32">
        <f>IF($A423=1,"OPERATING","")</f>
        <v/>
      </c>
      <c r="X423" s="32">
        <f>IF($A423=1,IF($R423=1,"",IF($O423=ST_POST,IF($P423&lt;&gt;"",$P423,"حساب غير صالح أو غير نشط"),IF($O423=ST_REV,"معكوس: لا أثر على الدفاتر",IF($O423=ST_CANC,"ملغى",IF($O423=ST_APPR,"معتمد ولم يُرحَّل","مسودة"))))),"")</f>
        <v/>
      </c>
      <c r="Y423" s="32">
        <f>IF($A423=1,IF(AND($R423=1,OR(LG_Acct="",$G423=LG_Acct),OR(LG_Party="",$K423=LG_Party),OR(LG_Loc="ALL",$I423=LG_Loc),OR(LG_CC="ALL",$J423=LG_CC),$D423&gt;=LG_From,$D423&lt;=LG_To),$D423+ROW()/1000000,""),"")</f>
        <v/>
      </c>
      <c r="Z423" s="32">
        <f>IF($A423=1,IF(Sales_Daily!$T37="","",Sales_Daily!$T37),"")</f>
        <v/>
      </c>
      <c r="AA423" s="32">
        <f>IF($A423=1,IF(Sales_Daily!$U37="","",Sales_Daily!$U37),"")</f>
        <v/>
      </c>
      <c r="AB423" s="32">
        <f>IF($A423=1,IF(Sales_Daily!$V37="","",Sales_Daily!$V37),"")</f>
        <v/>
      </c>
      <c r="AC423" s="32">
        <f>IF($A423=1,IF(Sales_Daily!$W37="","",Sales_Daily!$W37),"")</f>
        <v/>
      </c>
      <c r="AD423" s="32">
        <f>IF($A423=1,IF(Sales_Daily!$X37="","",Sales_Daily!$X37),"")</f>
        <v/>
      </c>
      <c r="AE423" s="32">
        <f>IF($A423=1,0,"")</f>
        <v/>
      </c>
      <c r="AF423" s="32" t="inlineStr"/>
    </row>
    <row r="424">
      <c r="A424" s="32">
        <f>IF(AND(Sales_Daily!$AV37=1,N(Sales_Daily!$O37)&gt;0),1,0)</f>
        <v/>
      </c>
      <c r="B424" s="32">
        <f>IF($A424=1,$E424&amp;"/4","")</f>
        <v/>
      </c>
      <c r="C424" s="32">
        <f>IF($A424=1,"J-"&amp;Sales_Daily!$A37,"")</f>
        <v/>
      </c>
      <c r="D424" s="33">
        <f>IF($A424=1,Sales_Daily!$B37,"")</f>
        <v/>
      </c>
      <c r="E424" s="32">
        <f>IF($A424=1,IF(Sales_Daily!$A37="","",Sales_Daily!$A37),"")</f>
        <v/>
      </c>
      <c r="F424" s="32">
        <f>IF($A424=1,"SAL","")</f>
        <v/>
      </c>
      <c r="G424" s="32">
        <f>IF($A424=1,IF(Sales_Daily!$AN37="","",Sales_Daily!$AN37),"")</f>
        <v/>
      </c>
      <c r="H424" s="32">
        <f>IF($A424=1,IF(COUNTIF(COA!$A:$A,$G424)=0,"حساب غير معرف",INDEX(COA!$B:$B,MATCH($G424,COA!$A:$A,0))),"")</f>
        <v/>
      </c>
      <c r="I424" s="32">
        <f>IF($A424=1,IF(Sales_Daily!$C37="","",Sales_Daily!$C37),"")</f>
        <v/>
      </c>
      <c r="J424" s="32">
        <f>IF($A424=1,"CC10","")</f>
        <v/>
      </c>
      <c r="K424" s="32">
        <f>IF($A424=1,"-","")</f>
        <v/>
      </c>
      <c r="L424" s="32">
        <f>IF($A424=1,"مبيعات - تحصيل DLV2","")</f>
        <v/>
      </c>
      <c r="M424" s="43">
        <f>IF($A424=1,Sales_Daily!$O37,"")</f>
        <v/>
      </c>
      <c r="N424" s="43">
        <f>IF($A424=1,0,"")</f>
        <v/>
      </c>
      <c r="O424" s="32">
        <f>IF($A424=1,Sales_Daily!$S37,"")</f>
        <v/>
      </c>
      <c r="P424" s="32">
        <f>IF($A424=1,IF(Sales_Daily!$AW37="","",Sales_Daily!$AW37),"")</f>
        <v/>
      </c>
      <c r="Q424" s="32">
        <f>IF($A424=1,Sales_Daily!$AY37,"")</f>
        <v/>
      </c>
      <c r="R424" s="32">
        <f>IF($A424=1,IF(AND($Q424=1,COUNTIFS(COA!$A:$A,$G424,COA!$R:$R,1)=1),1,0),"")</f>
        <v/>
      </c>
      <c r="S424" s="43">
        <f>IF($A424=1,IF($R424=1,N($M424),0),"")</f>
        <v/>
      </c>
      <c r="T424" s="43">
        <f>IF($A424=1,IF($R424=1,N($N424),0),"")</f>
        <v/>
      </c>
      <c r="U424" s="32">
        <f>IF($A424=1,YEAR($D424)*100+MONTH($D424),"")</f>
        <v/>
      </c>
      <c r="V424" s="32">
        <f>IF($A424=1,IF(COUNTIF(COA!$A:$A,$G424)=0,0,INDEX(COA!$H:$H,MATCH($G424,COA!$A:$A,0))),"")</f>
        <v/>
      </c>
      <c r="W424" s="32">
        <f>IF($A424=1,"OPERATING","")</f>
        <v/>
      </c>
      <c r="X424" s="32">
        <f>IF($A424=1,IF($R424=1,"",IF($O424=ST_POST,IF($P424&lt;&gt;"",$P424,"حساب غير صالح أو غير نشط"),IF($O424=ST_REV,"معكوس: لا أثر على الدفاتر",IF($O424=ST_CANC,"ملغى",IF($O424=ST_APPR,"معتمد ولم يُرحَّل","مسودة"))))),"")</f>
        <v/>
      </c>
      <c r="Y424" s="32">
        <f>IF($A424=1,IF(AND($R424=1,OR(LG_Acct="",$G424=LG_Acct),OR(LG_Party="",$K424=LG_Party),OR(LG_Loc="ALL",$I424=LG_Loc),OR(LG_CC="ALL",$J424=LG_CC),$D424&gt;=LG_From,$D424&lt;=LG_To),$D424+ROW()/1000000,""),"")</f>
        <v/>
      </c>
      <c r="Z424" s="32">
        <f>IF($A424=1,IF(Sales_Daily!$T37="","",Sales_Daily!$T37),"")</f>
        <v/>
      </c>
      <c r="AA424" s="32">
        <f>IF($A424=1,IF(Sales_Daily!$U37="","",Sales_Daily!$U37),"")</f>
        <v/>
      </c>
      <c r="AB424" s="32">
        <f>IF($A424=1,IF(Sales_Daily!$V37="","",Sales_Daily!$V37),"")</f>
        <v/>
      </c>
      <c r="AC424" s="32">
        <f>IF($A424=1,IF(Sales_Daily!$W37="","",Sales_Daily!$W37),"")</f>
        <v/>
      </c>
      <c r="AD424" s="32">
        <f>IF($A424=1,IF(Sales_Daily!$X37="","",Sales_Daily!$X37),"")</f>
        <v/>
      </c>
      <c r="AE424" s="32">
        <f>IF($A424=1,0,"")</f>
        <v/>
      </c>
      <c r="AF424" s="32" t="inlineStr"/>
    </row>
    <row r="425">
      <c r="A425" s="32">
        <f>IF(AND(Sales_Daily!$AV37=1,N(Sales_Daily!$P37)&gt;0),1,0)</f>
        <v/>
      </c>
      <c r="B425" s="32">
        <f>IF($A425=1,$E425&amp;"/5","")</f>
        <v/>
      </c>
      <c r="C425" s="32">
        <f>IF($A425=1,"J-"&amp;Sales_Daily!$A37,"")</f>
        <v/>
      </c>
      <c r="D425" s="33">
        <f>IF($A425=1,Sales_Daily!$B37,"")</f>
        <v/>
      </c>
      <c r="E425" s="32">
        <f>IF($A425=1,IF(Sales_Daily!$A37="","",Sales_Daily!$A37),"")</f>
        <v/>
      </c>
      <c r="F425" s="32">
        <f>IF($A425=1,"SAL","")</f>
        <v/>
      </c>
      <c r="G425" s="32">
        <f>IF($A425=1,IF(Sales_Daily!$AO37="","",Sales_Daily!$AO37),"")</f>
        <v/>
      </c>
      <c r="H425" s="32">
        <f>IF($A425=1,IF(COUNTIF(COA!$A:$A,$G425)=0,"حساب غير معرف",INDEX(COA!$B:$B,MATCH($G425,COA!$A:$A,0))),"")</f>
        <v/>
      </c>
      <c r="I425" s="32">
        <f>IF($A425=1,IF(Sales_Daily!$C37="","",Sales_Daily!$C37),"")</f>
        <v/>
      </c>
      <c r="J425" s="32">
        <f>IF($A425=1,"CC10","")</f>
        <v/>
      </c>
      <c r="K425" s="32">
        <f>IF($A425=1,"-","")</f>
        <v/>
      </c>
      <c r="L425" s="32">
        <f>IF($A425=1,"مبيعات - تحصيل INSTA","")</f>
        <v/>
      </c>
      <c r="M425" s="43">
        <f>IF($A425=1,Sales_Daily!$P37,"")</f>
        <v/>
      </c>
      <c r="N425" s="43">
        <f>IF($A425=1,0,"")</f>
        <v/>
      </c>
      <c r="O425" s="32">
        <f>IF($A425=1,Sales_Daily!$S37,"")</f>
        <v/>
      </c>
      <c r="P425" s="32">
        <f>IF($A425=1,IF(Sales_Daily!$AW37="","",Sales_Daily!$AW37),"")</f>
        <v/>
      </c>
      <c r="Q425" s="32">
        <f>IF($A425=1,Sales_Daily!$AY37,"")</f>
        <v/>
      </c>
      <c r="R425" s="32">
        <f>IF($A425=1,IF(AND($Q425=1,COUNTIFS(COA!$A:$A,$G425,COA!$R:$R,1)=1),1,0),"")</f>
        <v/>
      </c>
      <c r="S425" s="43">
        <f>IF($A425=1,IF($R425=1,N($M425),0),"")</f>
        <v/>
      </c>
      <c r="T425" s="43">
        <f>IF($A425=1,IF($R425=1,N($N425),0),"")</f>
        <v/>
      </c>
      <c r="U425" s="32">
        <f>IF($A425=1,YEAR($D425)*100+MONTH($D425),"")</f>
        <v/>
      </c>
      <c r="V425" s="32">
        <f>IF($A425=1,IF(COUNTIF(COA!$A:$A,$G425)=0,0,INDEX(COA!$H:$H,MATCH($G425,COA!$A:$A,0))),"")</f>
        <v/>
      </c>
      <c r="W425" s="32">
        <f>IF($A425=1,"OPERATING","")</f>
        <v/>
      </c>
      <c r="X425" s="32">
        <f>IF($A425=1,IF($R425=1,"",IF($O425=ST_POST,IF($P425&lt;&gt;"",$P425,"حساب غير صالح أو غير نشط"),IF($O425=ST_REV,"معكوس: لا أثر على الدفاتر",IF($O425=ST_CANC,"ملغى",IF($O425=ST_APPR,"معتمد ولم يُرحَّل","مسودة"))))),"")</f>
        <v/>
      </c>
      <c r="Y425" s="32">
        <f>IF($A425=1,IF(AND($R425=1,OR(LG_Acct="",$G425=LG_Acct),OR(LG_Party="",$K425=LG_Party),OR(LG_Loc="ALL",$I425=LG_Loc),OR(LG_CC="ALL",$J425=LG_CC),$D425&gt;=LG_From,$D425&lt;=LG_To),$D425+ROW()/1000000,""),"")</f>
        <v/>
      </c>
      <c r="Z425" s="32">
        <f>IF($A425=1,IF(Sales_Daily!$T37="","",Sales_Daily!$T37),"")</f>
        <v/>
      </c>
      <c r="AA425" s="32">
        <f>IF($A425=1,IF(Sales_Daily!$U37="","",Sales_Daily!$U37),"")</f>
        <v/>
      </c>
      <c r="AB425" s="32">
        <f>IF($A425=1,IF(Sales_Daily!$V37="","",Sales_Daily!$V37),"")</f>
        <v/>
      </c>
      <c r="AC425" s="32">
        <f>IF($A425=1,IF(Sales_Daily!$W37="","",Sales_Daily!$W37),"")</f>
        <v/>
      </c>
      <c r="AD425" s="32">
        <f>IF($A425=1,IF(Sales_Daily!$X37="","",Sales_Daily!$X37),"")</f>
        <v/>
      </c>
      <c r="AE425" s="32">
        <f>IF($A425=1,0,"")</f>
        <v/>
      </c>
      <c r="AF425" s="32" t="inlineStr"/>
    </row>
    <row r="426">
      <c r="A426" s="32">
        <f>IF(AND(Sales_Daily!$AV37=1,N(Sales_Daily!$Q37)&gt;0),1,0)</f>
        <v/>
      </c>
      <c r="B426" s="32">
        <f>IF($A426=1,$E426&amp;"/6","")</f>
        <v/>
      </c>
      <c r="C426" s="32">
        <f>IF($A426=1,"J-"&amp;Sales_Daily!$A37,"")</f>
        <v/>
      </c>
      <c r="D426" s="33">
        <f>IF($A426=1,Sales_Daily!$B37,"")</f>
        <v/>
      </c>
      <c r="E426" s="32">
        <f>IF($A426=1,IF(Sales_Daily!$A37="","",Sales_Daily!$A37),"")</f>
        <v/>
      </c>
      <c r="F426" s="32">
        <f>IF($A426=1,"SAL","")</f>
        <v/>
      </c>
      <c r="G426" s="32">
        <f>IF($A426=1,IF(Sales_Daily!$AP37="","",Sales_Daily!$AP37),"")</f>
        <v/>
      </c>
      <c r="H426" s="32">
        <f>IF($A426=1,IF(COUNTIF(COA!$A:$A,$G426)=0,"حساب غير معرف",INDEX(COA!$B:$B,MATCH($G426,COA!$A:$A,0))),"")</f>
        <v/>
      </c>
      <c r="I426" s="32">
        <f>IF($A426=1,IF(Sales_Daily!$C37="","",Sales_Daily!$C37),"")</f>
        <v/>
      </c>
      <c r="J426" s="32">
        <f>IF($A426=1,"CC10","")</f>
        <v/>
      </c>
      <c r="K426" s="32">
        <f>IF($A426=1,"-","")</f>
        <v/>
      </c>
      <c r="L426" s="32">
        <f>IF($A426=1,"مبيعات - تحصيل OTH","")</f>
        <v/>
      </c>
      <c r="M426" s="43">
        <f>IF($A426=1,Sales_Daily!$Q37,"")</f>
        <v/>
      </c>
      <c r="N426" s="43">
        <f>IF($A426=1,0,"")</f>
        <v/>
      </c>
      <c r="O426" s="32">
        <f>IF($A426=1,Sales_Daily!$S37,"")</f>
        <v/>
      </c>
      <c r="P426" s="32">
        <f>IF($A426=1,IF(Sales_Daily!$AW37="","",Sales_Daily!$AW37),"")</f>
        <v/>
      </c>
      <c r="Q426" s="32">
        <f>IF($A426=1,Sales_Daily!$AY37,"")</f>
        <v/>
      </c>
      <c r="R426" s="32">
        <f>IF($A426=1,IF(AND($Q426=1,COUNTIFS(COA!$A:$A,$G426,COA!$R:$R,1)=1),1,0),"")</f>
        <v/>
      </c>
      <c r="S426" s="43">
        <f>IF($A426=1,IF($R426=1,N($M426),0),"")</f>
        <v/>
      </c>
      <c r="T426" s="43">
        <f>IF($A426=1,IF($R426=1,N($N426),0),"")</f>
        <v/>
      </c>
      <c r="U426" s="32">
        <f>IF($A426=1,YEAR($D426)*100+MONTH($D426),"")</f>
        <v/>
      </c>
      <c r="V426" s="32">
        <f>IF($A426=1,IF(COUNTIF(COA!$A:$A,$G426)=0,0,INDEX(COA!$H:$H,MATCH($G426,COA!$A:$A,0))),"")</f>
        <v/>
      </c>
      <c r="W426" s="32">
        <f>IF($A426=1,"OPERATING","")</f>
        <v/>
      </c>
      <c r="X426" s="32">
        <f>IF($A426=1,IF($R426=1,"",IF($O426=ST_POST,IF($P426&lt;&gt;"",$P426,"حساب غير صالح أو غير نشط"),IF($O426=ST_REV,"معكوس: لا أثر على الدفاتر",IF($O426=ST_CANC,"ملغى",IF($O426=ST_APPR,"معتمد ولم يُرحَّل","مسودة"))))),"")</f>
        <v/>
      </c>
      <c r="Y426" s="32">
        <f>IF($A426=1,IF(AND($R426=1,OR(LG_Acct="",$G426=LG_Acct),OR(LG_Party="",$K426=LG_Party),OR(LG_Loc="ALL",$I426=LG_Loc),OR(LG_CC="ALL",$J426=LG_CC),$D426&gt;=LG_From,$D426&lt;=LG_To),$D426+ROW()/1000000,""),"")</f>
        <v/>
      </c>
      <c r="Z426" s="32">
        <f>IF($A426=1,IF(Sales_Daily!$T37="","",Sales_Daily!$T37),"")</f>
        <v/>
      </c>
      <c r="AA426" s="32">
        <f>IF($A426=1,IF(Sales_Daily!$U37="","",Sales_Daily!$U37),"")</f>
        <v/>
      </c>
      <c r="AB426" s="32">
        <f>IF($A426=1,IF(Sales_Daily!$V37="","",Sales_Daily!$V37),"")</f>
        <v/>
      </c>
      <c r="AC426" s="32">
        <f>IF($A426=1,IF(Sales_Daily!$W37="","",Sales_Daily!$W37),"")</f>
        <v/>
      </c>
      <c r="AD426" s="32">
        <f>IF($A426=1,IF(Sales_Daily!$X37="","",Sales_Daily!$X37),"")</f>
        <v/>
      </c>
      <c r="AE426" s="32">
        <f>IF($A426=1,0,"")</f>
        <v/>
      </c>
      <c r="AF426" s="32" t="inlineStr"/>
    </row>
    <row r="427">
      <c r="A427" s="32">
        <f>IF(AND(Sales_Daily!$AV37=1,N(Sales_Daily!$AH37)&gt;0),1,0)</f>
        <v/>
      </c>
      <c r="B427" s="32">
        <f>IF($A427=1,$E427&amp;"/7","")</f>
        <v/>
      </c>
      <c r="C427" s="32">
        <f>IF($A427=1,"J-"&amp;Sales_Daily!$A37,"")</f>
        <v/>
      </c>
      <c r="D427" s="33">
        <f>IF($A427=1,Sales_Daily!$B37,"")</f>
        <v/>
      </c>
      <c r="E427" s="32">
        <f>IF($A427=1,IF(Sales_Daily!$A37="","",Sales_Daily!$A37),"")</f>
        <v/>
      </c>
      <c r="F427" s="32">
        <f>IF($A427=1,"SAL","")</f>
        <v/>
      </c>
      <c r="G427" s="32">
        <f>IF($A427=1,ACC_DISC,"")</f>
        <v/>
      </c>
      <c r="H427" s="32">
        <f>IF($A427=1,IF(COUNTIF(COA!$A:$A,$G427)=0,"حساب غير معرف",INDEX(COA!$B:$B,MATCH($G427,COA!$A:$A,0))),"")</f>
        <v/>
      </c>
      <c r="I427" s="32">
        <f>IF($A427=1,IF(Sales_Daily!$C37="","",Sales_Daily!$C37),"")</f>
        <v/>
      </c>
      <c r="J427" s="32">
        <f>IF($A427=1,"CC10","")</f>
        <v/>
      </c>
      <c r="K427" s="32">
        <f>IF($A427=1,"-","")</f>
        <v/>
      </c>
      <c r="L427" s="32">
        <f>IF($A427=1,"خصومات المبيعات والعروض","")</f>
        <v/>
      </c>
      <c r="M427" s="43">
        <f>IF($A427=1,Sales_Daily!$AH37,"")</f>
        <v/>
      </c>
      <c r="N427" s="43">
        <f>IF($A427=1,0,"")</f>
        <v/>
      </c>
      <c r="O427" s="32">
        <f>IF($A427=1,Sales_Daily!$S37,"")</f>
        <v/>
      </c>
      <c r="P427" s="32">
        <f>IF($A427=1,IF(Sales_Daily!$AW37="","",Sales_Daily!$AW37),"")</f>
        <v/>
      </c>
      <c r="Q427" s="32">
        <f>IF($A427=1,Sales_Daily!$AY37,"")</f>
        <v/>
      </c>
      <c r="R427" s="32">
        <f>IF($A427=1,IF(AND($Q427=1,COUNTIFS(COA!$A:$A,$G427,COA!$R:$R,1)=1),1,0),"")</f>
        <v/>
      </c>
      <c r="S427" s="43">
        <f>IF($A427=1,IF($R427=1,N($M427),0),"")</f>
        <v/>
      </c>
      <c r="T427" s="43">
        <f>IF($A427=1,IF($R427=1,N($N427),0),"")</f>
        <v/>
      </c>
      <c r="U427" s="32">
        <f>IF($A427=1,YEAR($D427)*100+MONTH($D427),"")</f>
        <v/>
      </c>
      <c r="V427" s="32">
        <f>IF($A427=1,IF(COUNTIF(COA!$A:$A,$G427)=0,0,INDEX(COA!$H:$H,MATCH($G427,COA!$A:$A,0))),"")</f>
        <v/>
      </c>
      <c r="W427" s="32">
        <f>IF($A427=1,"","")</f>
        <v/>
      </c>
      <c r="X427" s="32">
        <f>IF($A427=1,IF($R427=1,"",IF($O427=ST_POST,IF($P427&lt;&gt;"",$P427,"حساب غير صالح أو غير نشط"),IF($O427=ST_REV,"معكوس: لا أثر على الدفاتر",IF($O427=ST_CANC,"ملغى",IF($O427=ST_APPR,"معتمد ولم يُرحَّل","مسودة"))))),"")</f>
        <v/>
      </c>
      <c r="Y427" s="32">
        <f>IF($A427=1,IF(AND($R427=1,OR(LG_Acct="",$G427=LG_Acct),OR(LG_Party="",$K427=LG_Party),OR(LG_Loc="ALL",$I427=LG_Loc),OR(LG_CC="ALL",$J427=LG_CC),$D427&gt;=LG_From,$D427&lt;=LG_To),$D427+ROW()/1000000,""),"")</f>
        <v/>
      </c>
      <c r="Z427" s="32">
        <f>IF($A427=1,IF(Sales_Daily!$T37="","",Sales_Daily!$T37),"")</f>
        <v/>
      </c>
      <c r="AA427" s="32">
        <f>IF($A427=1,IF(Sales_Daily!$U37="","",Sales_Daily!$U37),"")</f>
        <v/>
      </c>
      <c r="AB427" s="32">
        <f>IF($A427=1,IF(Sales_Daily!$V37="","",Sales_Daily!$V37),"")</f>
        <v/>
      </c>
      <c r="AC427" s="32">
        <f>IF($A427=1,IF(Sales_Daily!$W37="","",Sales_Daily!$W37),"")</f>
        <v/>
      </c>
      <c r="AD427" s="32">
        <f>IF($A427=1,IF(Sales_Daily!$X37="","",Sales_Daily!$X37),"")</f>
        <v/>
      </c>
      <c r="AE427" s="32">
        <f>IF($A427=1,0,"")</f>
        <v/>
      </c>
      <c r="AF427" s="32" t="inlineStr"/>
    </row>
    <row r="428">
      <c r="A428" s="32">
        <f>IF(AND(Sales_Daily!$AV37=1,N(Sales_Daily!$AI37)&gt;0),1,0)</f>
        <v/>
      </c>
      <c r="B428" s="32">
        <f>IF($A428=1,$E428&amp;"/8","")</f>
        <v/>
      </c>
      <c r="C428" s="32">
        <f>IF($A428=1,"J-"&amp;Sales_Daily!$A37,"")</f>
        <v/>
      </c>
      <c r="D428" s="33">
        <f>IF($A428=1,Sales_Daily!$B37,"")</f>
        <v/>
      </c>
      <c r="E428" s="32">
        <f>IF($A428=1,IF(Sales_Daily!$A37="","",Sales_Daily!$A37),"")</f>
        <v/>
      </c>
      <c r="F428" s="32">
        <f>IF($A428=1,"SAL","")</f>
        <v/>
      </c>
      <c r="G428" s="32">
        <f>IF($A428=1,ACC_RET,"")</f>
        <v/>
      </c>
      <c r="H428" s="32">
        <f>IF($A428=1,IF(COUNTIF(COA!$A:$A,$G428)=0,"حساب غير معرف",INDEX(COA!$B:$B,MATCH($G428,COA!$A:$A,0))),"")</f>
        <v/>
      </c>
      <c r="I428" s="32">
        <f>IF($A428=1,IF(Sales_Daily!$C37="","",Sales_Daily!$C37),"")</f>
        <v/>
      </c>
      <c r="J428" s="32">
        <f>IF($A428=1,"CC10","")</f>
        <v/>
      </c>
      <c r="K428" s="32">
        <f>IF($A428=1,"-","")</f>
        <v/>
      </c>
      <c r="L428" s="32">
        <f>IF($A428=1,"مرتجعات وإلغاءات المبيعات","")</f>
        <v/>
      </c>
      <c r="M428" s="43">
        <f>IF($A428=1,Sales_Daily!$AI37,"")</f>
        <v/>
      </c>
      <c r="N428" s="43">
        <f>IF($A428=1,0,"")</f>
        <v/>
      </c>
      <c r="O428" s="32">
        <f>IF($A428=1,Sales_Daily!$S37,"")</f>
        <v/>
      </c>
      <c r="P428" s="32">
        <f>IF($A428=1,IF(Sales_Daily!$AW37="","",Sales_Daily!$AW37),"")</f>
        <v/>
      </c>
      <c r="Q428" s="32">
        <f>IF($A428=1,Sales_Daily!$AY37,"")</f>
        <v/>
      </c>
      <c r="R428" s="32">
        <f>IF($A428=1,IF(AND($Q428=1,COUNTIFS(COA!$A:$A,$G428,COA!$R:$R,1)=1),1,0),"")</f>
        <v/>
      </c>
      <c r="S428" s="43">
        <f>IF($A428=1,IF($R428=1,N($M428),0),"")</f>
        <v/>
      </c>
      <c r="T428" s="43">
        <f>IF($A428=1,IF($R428=1,N($N428),0),"")</f>
        <v/>
      </c>
      <c r="U428" s="32">
        <f>IF($A428=1,YEAR($D428)*100+MONTH($D428),"")</f>
        <v/>
      </c>
      <c r="V428" s="32">
        <f>IF($A428=1,IF(COUNTIF(COA!$A:$A,$G428)=0,0,INDEX(COA!$H:$H,MATCH($G428,COA!$A:$A,0))),"")</f>
        <v/>
      </c>
      <c r="W428" s="32">
        <f>IF($A428=1,"","")</f>
        <v/>
      </c>
      <c r="X428" s="32">
        <f>IF($A428=1,IF($R428=1,"",IF($O428=ST_POST,IF($P428&lt;&gt;"",$P428,"حساب غير صالح أو غير نشط"),IF($O428=ST_REV,"معكوس: لا أثر على الدفاتر",IF($O428=ST_CANC,"ملغى",IF($O428=ST_APPR,"معتمد ولم يُرحَّل","مسودة"))))),"")</f>
        <v/>
      </c>
      <c r="Y428" s="32">
        <f>IF($A428=1,IF(AND($R428=1,OR(LG_Acct="",$G428=LG_Acct),OR(LG_Party="",$K428=LG_Party),OR(LG_Loc="ALL",$I428=LG_Loc),OR(LG_CC="ALL",$J428=LG_CC),$D428&gt;=LG_From,$D428&lt;=LG_To),$D428+ROW()/1000000,""),"")</f>
        <v/>
      </c>
      <c r="Z428" s="32">
        <f>IF($A428=1,IF(Sales_Daily!$T37="","",Sales_Daily!$T37),"")</f>
        <v/>
      </c>
      <c r="AA428" s="32">
        <f>IF($A428=1,IF(Sales_Daily!$U37="","",Sales_Daily!$U37),"")</f>
        <v/>
      </c>
      <c r="AB428" s="32">
        <f>IF($A428=1,IF(Sales_Daily!$V37="","",Sales_Daily!$V37),"")</f>
        <v/>
      </c>
      <c r="AC428" s="32">
        <f>IF($A428=1,IF(Sales_Daily!$W37="","",Sales_Daily!$W37),"")</f>
        <v/>
      </c>
      <c r="AD428" s="32">
        <f>IF($A428=1,IF(Sales_Daily!$X37="","",Sales_Daily!$X37),"")</f>
        <v/>
      </c>
      <c r="AE428" s="32">
        <f>IF($A428=1,0,"")</f>
        <v/>
      </c>
      <c r="AF428" s="32" t="inlineStr"/>
    </row>
    <row r="429">
      <c r="A429" s="32">
        <f>IF(AND(Sales_Daily!$AV37=1,N(Sales_Daily!$AD37)&gt;0),1,0)</f>
        <v/>
      </c>
      <c r="B429" s="32">
        <f>IF($A429=1,$E429&amp;"/9","")</f>
        <v/>
      </c>
      <c r="C429" s="32">
        <f>IF($A429=1,"J-"&amp;Sales_Daily!$A37,"")</f>
        <v/>
      </c>
      <c r="D429" s="33">
        <f>IF($A429=1,Sales_Daily!$B37,"")</f>
        <v/>
      </c>
      <c r="E429" s="32">
        <f>IF($A429=1,IF(Sales_Daily!$A37="","",Sales_Daily!$A37),"")</f>
        <v/>
      </c>
      <c r="F429" s="32">
        <f>IF($A429=1,"SAL","")</f>
        <v/>
      </c>
      <c r="G429" s="32">
        <f>IF($A429=1,IF(Sales_Daily!$AQ37="","",Sales_Daily!$AQ37),"")</f>
        <v/>
      </c>
      <c r="H429" s="32">
        <f>IF($A429=1,IF(COUNTIF(COA!$A:$A,$G429)=0,"حساب غير معرف",INDEX(COA!$B:$B,MATCH($G429,COA!$A:$A,0))),"")</f>
        <v/>
      </c>
      <c r="I429" s="32">
        <f>IF($A429=1,IF(Sales_Daily!$C37="","",Sales_Daily!$C37),"")</f>
        <v/>
      </c>
      <c r="J429" s="32">
        <f>IF($A429=1,"CC10","")</f>
        <v/>
      </c>
      <c r="K429" s="32">
        <f>IF($A429=1,"-","")</f>
        <v/>
      </c>
      <c r="L429" s="32">
        <f>IF($A429=1,"إيراد مبيعات - فئة فطير","")</f>
        <v/>
      </c>
      <c r="M429" s="43">
        <f>IF($A429=1,0,"")</f>
        <v/>
      </c>
      <c r="N429" s="43">
        <f>IF($A429=1,Sales_Daily!$AD37,"")</f>
        <v/>
      </c>
      <c r="O429" s="32">
        <f>IF($A429=1,Sales_Daily!$S37,"")</f>
        <v/>
      </c>
      <c r="P429" s="32">
        <f>IF($A429=1,IF(Sales_Daily!$AW37="","",Sales_Daily!$AW37),"")</f>
        <v/>
      </c>
      <c r="Q429" s="32">
        <f>IF($A429=1,Sales_Daily!$AY37,"")</f>
        <v/>
      </c>
      <c r="R429" s="32">
        <f>IF($A429=1,IF(AND($Q429=1,COUNTIFS(COA!$A:$A,$G429,COA!$R:$R,1)=1),1,0),"")</f>
        <v/>
      </c>
      <c r="S429" s="43">
        <f>IF($A429=1,IF($R429=1,N($M429),0),"")</f>
        <v/>
      </c>
      <c r="T429" s="43">
        <f>IF($A429=1,IF($R429=1,N($N429),0),"")</f>
        <v/>
      </c>
      <c r="U429" s="32">
        <f>IF($A429=1,YEAR($D429)*100+MONTH($D429),"")</f>
        <v/>
      </c>
      <c r="V429" s="32">
        <f>IF($A429=1,IF(COUNTIF(COA!$A:$A,$G429)=0,0,INDEX(COA!$H:$H,MATCH($G429,COA!$A:$A,0))),"")</f>
        <v/>
      </c>
      <c r="W429" s="32">
        <f>IF($A429=1,"","")</f>
        <v/>
      </c>
      <c r="X429" s="32">
        <f>IF($A429=1,IF($R429=1,"",IF($O429=ST_POST,IF($P429&lt;&gt;"",$P429,"حساب غير صالح أو غير نشط"),IF($O429=ST_REV,"معكوس: لا أثر على الدفاتر",IF($O429=ST_CANC,"ملغى",IF($O429=ST_APPR,"معتمد ولم يُرحَّل","مسودة"))))),"")</f>
        <v/>
      </c>
      <c r="Y429" s="32">
        <f>IF($A429=1,IF(AND($R429=1,OR(LG_Acct="",$G429=LG_Acct),OR(LG_Party="",$K429=LG_Party),OR(LG_Loc="ALL",$I429=LG_Loc),OR(LG_CC="ALL",$J429=LG_CC),$D429&gt;=LG_From,$D429&lt;=LG_To),$D429+ROW()/1000000,""),"")</f>
        <v/>
      </c>
      <c r="Z429" s="32">
        <f>IF($A429=1,IF(Sales_Daily!$T37="","",Sales_Daily!$T37),"")</f>
        <v/>
      </c>
      <c r="AA429" s="32">
        <f>IF($A429=1,IF(Sales_Daily!$U37="","",Sales_Daily!$U37),"")</f>
        <v/>
      </c>
      <c r="AB429" s="32">
        <f>IF($A429=1,IF(Sales_Daily!$V37="","",Sales_Daily!$V37),"")</f>
        <v/>
      </c>
      <c r="AC429" s="32">
        <f>IF($A429=1,IF(Sales_Daily!$W37="","",Sales_Daily!$W37),"")</f>
        <v/>
      </c>
      <c r="AD429" s="32">
        <f>IF($A429=1,IF(Sales_Daily!$X37="","",Sales_Daily!$X37),"")</f>
        <v/>
      </c>
      <c r="AE429" s="32">
        <f>IF($A429=1,0,"")</f>
        <v/>
      </c>
      <c r="AF429" s="32" t="inlineStr"/>
    </row>
    <row r="430">
      <c r="A430" s="32">
        <f>IF(AND(Sales_Daily!$AV37=1,N(Sales_Daily!$AE37)&gt;0),1,0)</f>
        <v/>
      </c>
      <c r="B430" s="32">
        <f>IF($A430=1,$E430&amp;"/10","")</f>
        <v/>
      </c>
      <c r="C430" s="32">
        <f>IF($A430=1,"J-"&amp;Sales_Daily!$A37,"")</f>
        <v/>
      </c>
      <c r="D430" s="33">
        <f>IF($A430=1,Sales_Daily!$B37,"")</f>
        <v/>
      </c>
      <c r="E430" s="32">
        <f>IF($A430=1,IF(Sales_Daily!$A37="","",Sales_Daily!$A37),"")</f>
        <v/>
      </c>
      <c r="F430" s="32">
        <f>IF($A430=1,"SAL","")</f>
        <v/>
      </c>
      <c r="G430" s="32">
        <f>IF($A430=1,IF(Sales_Daily!$AR37="","",Sales_Daily!$AR37),"")</f>
        <v/>
      </c>
      <c r="H430" s="32">
        <f>IF($A430=1,IF(COUNTIF(COA!$A:$A,$G430)=0,"حساب غير معرف",INDEX(COA!$B:$B,MATCH($G430,COA!$A:$A,0))),"")</f>
        <v/>
      </c>
      <c r="I430" s="32">
        <f>IF($A430=1,IF(Sales_Daily!$C37="","",Sales_Daily!$C37),"")</f>
        <v/>
      </c>
      <c r="J430" s="32">
        <f>IF($A430=1,"CC10","")</f>
        <v/>
      </c>
      <c r="K430" s="32">
        <f>IF($A430=1,"-","")</f>
        <v/>
      </c>
      <c r="L430" s="32">
        <f>IF($A430=1,"إيراد مبيعات - فئة بيتزا","")</f>
        <v/>
      </c>
      <c r="M430" s="43">
        <f>IF($A430=1,0,"")</f>
        <v/>
      </c>
      <c r="N430" s="43">
        <f>IF($A430=1,Sales_Daily!$AE37,"")</f>
        <v/>
      </c>
      <c r="O430" s="32">
        <f>IF($A430=1,Sales_Daily!$S37,"")</f>
        <v/>
      </c>
      <c r="P430" s="32">
        <f>IF($A430=1,IF(Sales_Daily!$AW37="","",Sales_Daily!$AW37),"")</f>
        <v/>
      </c>
      <c r="Q430" s="32">
        <f>IF($A430=1,Sales_Daily!$AY37,"")</f>
        <v/>
      </c>
      <c r="R430" s="32">
        <f>IF($A430=1,IF(AND($Q430=1,COUNTIFS(COA!$A:$A,$G430,COA!$R:$R,1)=1),1,0),"")</f>
        <v/>
      </c>
      <c r="S430" s="43">
        <f>IF($A430=1,IF($R430=1,N($M430),0),"")</f>
        <v/>
      </c>
      <c r="T430" s="43">
        <f>IF($A430=1,IF($R430=1,N($N430),0),"")</f>
        <v/>
      </c>
      <c r="U430" s="32">
        <f>IF($A430=1,YEAR($D430)*100+MONTH($D430),"")</f>
        <v/>
      </c>
      <c r="V430" s="32">
        <f>IF($A430=1,IF(COUNTIF(COA!$A:$A,$G430)=0,0,INDEX(COA!$H:$H,MATCH($G430,COA!$A:$A,0))),"")</f>
        <v/>
      </c>
      <c r="W430" s="32">
        <f>IF($A430=1,"","")</f>
        <v/>
      </c>
      <c r="X430" s="32">
        <f>IF($A430=1,IF($R430=1,"",IF($O430=ST_POST,IF($P430&lt;&gt;"",$P430,"حساب غير صالح أو غير نشط"),IF($O430=ST_REV,"معكوس: لا أثر على الدفاتر",IF($O430=ST_CANC,"ملغى",IF($O430=ST_APPR,"معتمد ولم يُرحَّل","مسودة"))))),"")</f>
        <v/>
      </c>
      <c r="Y430" s="32">
        <f>IF($A430=1,IF(AND($R430=1,OR(LG_Acct="",$G430=LG_Acct),OR(LG_Party="",$K430=LG_Party),OR(LG_Loc="ALL",$I430=LG_Loc),OR(LG_CC="ALL",$J430=LG_CC),$D430&gt;=LG_From,$D430&lt;=LG_To),$D430+ROW()/1000000,""),"")</f>
        <v/>
      </c>
      <c r="Z430" s="32">
        <f>IF($A430=1,IF(Sales_Daily!$T37="","",Sales_Daily!$T37),"")</f>
        <v/>
      </c>
      <c r="AA430" s="32">
        <f>IF($A430=1,IF(Sales_Daily!$U37="","",Sales_Daily!$U37),"")</f>
        <v/>
      </c>
      <c r="AB430" s="32">
        <f>IF($A430=1,IF(Sales_Daily!$V37="","",Sales_Daily!$V37),"")</f>
        <v/>
      </c>
      <c r="AC430" s="32">
        <f>IF($A430=1,IF(Sales_Daily!$W37="","",Sales_Daily!$W37),"")</f>
        <v/>
      </c>
      <c r="AD430" s="32">
        <f>IF($A430=1,IF(Sales_Daily!$X37="","",Sales_Daily!$X37),"")</f>
        <v/>
      </c>
      <c r="AE430" s="32">
        <f>IF($A430=1,0,"")</f>
        <v/>
      </c>
      <c r="AF430" s="32" t="inlineStr"/>
    </row>
    <row r="431">
      <c r="A431" s="32">
        <f>IF(AND(Sales_Daily!$AV37=1,N(Sales_Daily!$AF37)&gt;0),1,0)</f>
        <v/>
      </c>
      <c r="B431" s="32">
        <f>IF($A431=1,$E431&amp;"/11","")</f>
        <v/>
      </c>
      <c r="C431" s="32">
        <f>IF($A431=1,"J-"&amp;Sales_Daily!$A37,"")</f>
        <v/>
      </c>
      <c r="D431" s="33">
        <f>IF($A431=1,Sales_Daily!$B37,"")</f>
        <v/>
      </c>
      <c r="E431" s="32">
        <f>IF($A431=1,IF(Sales_Daily!$A37="","",Sales_Daily!$A37),"")</f>
        <v/>
      </c>
      <c r="F431" s="32">
        <f>IF($A431=1,"SAL","")</f>
        <v/>
      </c>
      <c r="G431" s="32">
        <f>IF($A431=1,IF(Sales_Daily!$AS37="","",Sales_Daily!$AS37),"")</f>
        <v/>
      </c>
      <c r="H431" s="32">
        <f>IF($A431=1,IF(COUNTIF(COA!$A:$A,$G431)=0,"حساب غير معرف",INDEX(COA!$B:$B,MATCH($G431,COA!$A:$A,0))),"")</f>
        <v/>
      </c>
      <c r="I431" s="32">
        <f>IF($A431=1,IF(Sales_Daily!$C37="","",Sales_Daily!$C37),"")</f>
        <v/>
      </c>
      <c r="J431" s="32">
        <f>IF($A431=1,"CC10","")</f>
        <v/>
      </c>
      <c r="K431" s="32">
        <f>IF($A431=1,"-","")</f>
        <v/>
      </c>
      <c r="L431" s="32">
        <f>IF($A431=1,"إيراد مبيعات - فئة مكرونات","")</f>
        <v/>
      </c>
      <c r="M431" s="43">
        <f>IF($A431=1,0,"")</f>
        <v/>
      </c>
      <c r="N431" s="43">
        <f>IF($A431=1,Sales_Daily!$AF37,"")</f>
        <v/>
      </c>
      <c r="O431" s="32">
        <f>IF($A431=1,Sales_Daily!$S37,"")</f>
        <v/>
      </c>
      <c r="P431" s="32">
        <f>IF($A431=1,IF(Sales_Daily!$AW37="","",Sales_Daily!$AW37),"")</f>
        <v/>
      </c>
      <c r="Q431" s="32">
        <f>IF($A431=1,Sales_Daily!$AY37,"")</f>
        <v/>
      </c>
      <c r="R431" s="32">
        <f>IF($A431=1,IF(AND($Q431=1,COUNTIFS(COA!$A:$A,$G431,COA!$R:$R,1)=1),1,0),"")</f>
        <v/>
      </c>
      <c r="S431" s="43">
        <f>IF($A431=1,IF($R431=1,N($M431),0),"")</f>
        <v/>
      </c>
      <c r="T431" s="43">
        <f>IF($A431=1,IF($R431=1,N($N431),0),"")</f>
        <v/>
      </c>
      <c r="U431" s="32">
        <f>IF($A431=1,YEAR($D431)*100+MONTH($D431),"")</f>
        <v/>
      </c>
      <c r="V431" s="32">
        <f>IF($A431=1,IF(COUNTIF(COA!$A:$A,$G431)=0,0,INDEX(COA!$H:$H,MATCH($G431,COA!$A:$A,0))),"")</f>
        <v/>
      </c>
      <c r="W431" s="32">
        <f>IF($A431=1,"","")</f>
        <v/>
      </c>
      <c r="X431" s="32">
        <f>IF($A431=1,IF($R431=1,"",IF($O431=ST_POST,IF($P431&lt;&gt;"",$P431,"حساب غير صالح أو غير نشط"),IF($O431=ST_REV,"معكوس: لا أثر على الدفاتر",IF($O431=ST_CANC,"ملغى",IF($O431=ST_APPR,"معتمد ولم يُرحَّل","مسودة"))))),"")</f>
        <v/>
      </c>
      <c r="Y431" s="32">
        <f>IF($A431=1,IF(AND($R431=1,OR(LG_Acct="",$G431=LG_Acct),OR(LG_Party="",$K431=LG_Party),OR(LG_Loc="ALL",$I431=LG_Loc),OR(LG_CC="ALL",$J431=LG_CC),$D431&gt;=LG_From,$D431&lt;=LG_To),$D431+ROW()/1000000,""),"")</f>
        <v/>
      </c>
      <c r="Z431" s="32">
        <f>IF($A431=1,IF(Sales_Daily!$T37="","",Sales_Daily!$T37),"")</f>
        <v/>
      </c>
      <c r="AA431" s="32">
        <f>IF($A431=1,IF(Sales_Daily!$U37="","",Sales_Daily!$U37),"")</f>
        <v/>
      </c>
      <c r="AB431" s="32">
        <f>IF($A431=1,IF(Sales_Daily!$V37="","",Sales_Daily!$V37),"")</f>
        <v/>
      </c>
      <c r="AC431" s="32">
        <f>IF($A431=1,IF(Sales_Daily!$W37="","",Sales_Daily!$W37),"")</f>
        <v/>
      </c>
      <c r="AD431" s="32">
        <f>IF($A431=1,IF(Sales_Daily!$X37="","",Sales_Daily!$X37),"")</f>
        <v/>
      </c>
      <c r="AE431" s="32">
        <f>IF($A431=1,0,"")</f>
        <v/>
      </c>
      <c r="AF431" s="32" t="inlineStr"/>
    </row>
    <row r="432">
      <c r="A432" s="32">
        <f>IF(AND(Sales_Daily!$AV37=1,N(Sales_Daily!$AG37)&gt;0),1,0)</f>
        <v/>
      </c>
      <c r="B432" s="32">
        <f>IF($A432=1,$E432&amp;"/12","")</f>
        <v/>
      </c>
      <c r="C432" s="32">
        <f>IF($A432=1,"J-"&amp;Sales_Daily!$A37,"")</f>
        <v/>
      </c>
      <c r="D432" s="33">
        <f>IF($A432=1,Sales_Daily!$B37,"")</f>
        <v/>
      </c>
      <c r="E432" s="32">
        <f>IF($A432=1,IF(Sales_Daily!$A37="","",Sales_Daily!$A37),"")</f>
        <v/>
      </c>
      <c r="F432" s="32">
        <f>IF($A432=1,"SAL","")</f>
        <v/>
      </c>
      <c r="G432" s="32">
        <f>IF($A432=1,IF(Sales_Daily!$AT37="","",Sales_Daily!$AT37),"")</f>
        <v/>
      </c>
      <c r="H432" s="32">
        <f>IF($A432=1,IF(COUNTIF(COA!$A:$A,$G432)=0,"حساب غير معرف",INDEX(COA!$B:$B,MATCH($G432,COA!$A:$A,0))),"")</f>
        <v/>
      </c>
      <c r="I432" s="32">
        <f>IF($A432=1,IF(Sales_Daily!$C37="","",Sales_Daily!$C37),"")</f>
        <v/>
      </c>
      <c r="J432" s="32">
        <f>IF($A432=1,"CC10","")</f>
        <v/>
      </c>
      <c r="K432" s="32">
        <f>IF($A432=1,"-","")</f>
        <v/>
      </c>
      <c r="L432" s="32">
        <f>IF($A432=1,"إيراد مبيعات - فئة أخرى","")</f>
        <v/>
      </c>
      <c r="M432" s="43">
        <f>IF($A432=1,0,"")</f>
        <v/>
      </c>
      <c r="N432" s="43">
        <f>IF($A432=1,Sales_Daily!$AG37,"")</f>
        <v/>
      </c>
      <c r="O432" s="32">
        <f>IF($A432=1,Sales_Daily!$S37,"")</f>
        <v/>
      </c>
      <c r="P432" s="32">
        <f>IF($A432=1,IF(Sales_Daily!$AW37="","",Sales_Daily!$AW37),"")</f>
        <v/>
      </c>
      <c r="Q432" s="32">
        <f>IF($A432=1,Sales_Daily!$AY37,"")</f>
        <v/>
      </c>
      <c r="R432" s="32">
        <f>IF($A432=1,IF(AND($Q432=1,COUNTIFS(COA!$A:$A,$G432,COA!$R:$R,1)=1),1,0),"")</f>
        <v/>
      </c>
      <c r="S432" s="43">
        <f>IF($A432=1,IF($R432=1,N($M432),0),"")</f>
        <v/>
      </c>
      <c r="T432" s="43">
        <f>IF($A432=1,IF($R432=1,N($N432),0),"")</f>
        <v/>
      </c>
      <c r="U432" s="32">
        <f>IF($A432=1,YEAR($D432)*100+MONTH($D432),"")</f>
        <v/>
      </c>
      <c r="V432" s="32">
        <f>IF($A432=1,IF(COUNTIF(COA!$A:$A,$G432)=0,0,INDEX(COA!$H:$H,MATCH($G432,COA!$A:$A,0))),"")</f>
        <v/>
      </c>
      <c r="W432" s="32">
        <f>IF($A432=1,"","")</f>
        <v/>
      </c>
      <c r="X432" s="32">
        <f>IF($A432=1,IF($R432=1,"",IF($O432=ST_POST,IF($P432&lt;&gt;"",$P432,"حساب غير صالح أو غير نشط"),IF($O432=ST_REV,"معكوس: لا أثر على الدفاتر",IF($O432=ST_CANC,"ملغى",IF($O432=ST_APPR,"معتمد ولم يُرحَّل","مسودة"))))),"")</f>
        <v/>
      </c>
      <c r="Y432" s="32">
        <f>IF($A432=1,IF(AND($R432=1,OR(LG_Acct="",$G432=LG_Acct),OR(LG_Party="",$K432=LG_Party),OR(LG_Loc="ALL",$I432=LG_Loc),OR(LG_CC="ALL",$J432=LG_CC),$D432&gt;=LG_From,$D432&lt;=LG_To),$D432+ROW()/1000000,""),"")</f>
        <v/>
      </c>
      <c r="Z432" s="32">
        <f>IF($A432=1,IF(Sales_Daily!$T37="","",Sales_Daily!$T37),"")</f>
        <v/>
      </c>
      <c r="AA432" s="32">
        <f>IF($A432=1,IF(Sales_Daily!$U37="","",Sales_Daily!$U37),"")</f>
        <v/>
      </c>
      <c r="AB432" s="32">
        <f>IF($A432=1,IF(Sales_Daily!$V37="","",Sales_Daily!$V37),"")</f>
        <v/>
      </c>
      <c r="AC432" s="32">
        <f>IF($A432=1,IF(Sales_Daily!$W37="","",Sales_Daily!$W37),"")</f>
        <v/>
      </c>
      <c r="AD432" s="32">
        <f>IF($A432=1,IF(Sales_Daily!$X37="","",Sales_Daily!$X37),"")</f>
        <v/>
      </c>
      <c r="AE432" s="32">
        <f>IF($A432=1,0,"")</f>
        <v/>
      </c>
      <c r="AF432" s="32" t="inlineStr"/>
    </row>
    <row r="433">
      <c r="A433" s="32">
        <f>IF(AND(Sales_Daily!$AV37=1,N(Sales_Daily!$AJ37)&gt;0),1,0)</f>
        <v/>
      </c>
      <c r="B433" s="32">
        <f>IF($A433=1,$E433&amp;"/13","")</f>
        <v/>
      </c>
      <c r="C433" s="32">
        <f>IF($A433=1,"J-"&amp;Sales_Daily!$A37,"")</f>
        <v/>
      </c>
      <c r="D433" s="33">
        <f>IF($A433=1,Sales_Daily!$B37,"")</f>
        <v/>
      </c>
      <c r="E433" s="32">
        <f>IF($A433=1,IF(Sales_Daily!$A37="","",Sales_Daily!$A37),"")</f>
        <v/>
      </c>
      <c r="F433" s="32">
        <f>IF($A433=1,"SAL","")</f>
        <v/>
      </c>
      <c r="G433" s="32">
        <f>IF($A433=1,ACC_VAT_OUT,"")</f>
        <v/>
      </c>
      <c r="H433" s="32">
        <f>IF($A433=1,IF(COUNTIF(COA!$A:$A,$G433)=0,"حساب غير معرف",INDEX(COA!$B:$B,MATCH($G433,COA!$A:$A,0))),"")</f>
        <v/>
      </c>
      <c r="I433" s="32">
        <f>IF($A433=1,IF(Sales_Daily!$C37="","",Sales_Daily!$C37),"")</f>
        <v/>
      </c>
      <c r="J433" s="32">
        <f>IF($A433=1,"CC10","")</f>
        <v/>
      </c>
      <c r="K433" s="32">
        <f>IF($A433=1,"-","")</f>
        <v/>
      </c>
      <c r="L433" s="32">
        <f>IF($A433=1,"ضريبة القيمة المضافة - مخرجات","")</f>
        <v/>
      </c>
      <c r="M433" s="43">
        <f>IF($A433=1,0,"")</f>
        <v/>
      </c>
      <c r="N433" s="43">
        <f>IF($A433=1,Sales_Daily!$AJ37,"")</f>
        <v/>
      </c>
      <c r="O433" s="32">
        <f>IF($A433=1,Sales_Daily!$S37,"")</f>
        <v/>
      </c>
      <c r="P433" s="32">
        <f>IF($A433=1,IF(Sales_Daily!$AW37="","",Sales_Daily!$AW37),"")</f>
        <v/>
      </c>
      <c r="Q433" s="32">
        <f>IF($A433=1,Sales_Daily!$AY37,"")</f>
        <v/>
      </c>
      <c r="R433" s="32">
        <f>IF($A433=1,IF(AND($Q433=1,COUNTIFS(COA!$A:$A,$G433,COA!$R:$R,1)=1),1,0),"")</f>
        <v/>
      </c>
      <c r="S433" s="43">
        <f>IF($A433=1,IF($R433=1,N($M433),0),"")</f>
        <v/>
      </c>
      <c r="T433" s="43">
        <f>IF($A433=1,IF($R433=1,N($N433),0),"")</f>
        <v/>
      </c>
      <c r="U433" s="32">
        <f>IF($A433=1,YEAR($D433)*100+MONTH($D433),"")</f>
        <v/>
      </c>
      <c r="V433" s="32">
        <f>IF($A433=1,IF(COUNTIF(COA!$A:$A,$G433)=0,0,INDEX(COA!$H:$H,MATCH($G433,COA!$A:$A,0))),"")</f>
        <v/>
      </c>
      <c r="W433" s="32">
        <f>IF($A433=1,"","")</f>
        <v/>
      </c>
      <c r="X433" s="32">
        <f>IF($A433=1,IF($R433=1,"",IF($O433=ST_POST,IF($P433&lt;&gt;"",$P433,"حساب غير صالح أو غير نشط"),IF($O433=ST_REV,"معكوس: لا أثر على الدفاتر",IF($O433=ST_CANC,"ملغى",IF($O433=ST_APPR,"معتمد ولم يُرحَّل","مسودة"))))),"")</f>
        <v/>
      </c>
      <c r="Y433" s="32">
        <f>IF($A433=1,IF(AND($R433=1,OR(LG_Acct="",$G433=LG_Acct),OR(LG_Party="",$K433=LG_Party),OR(LG_Loc="ALL",$I433=LG_Loc),OR(LG_CC="ALL",$J433=LG_CC),$D433&gt;=LG_From,$D433&lt;=LG_To),$D433+ROW()/1000000,""),"")</f>
        <v/>
      </c>
      <c r="Z433" s="32">
        <f>IF($A433=1,IF(Sales_Daily!$T37="","",Sales_Daily!$T37),"")</f>
        <v/>
      </c>
      <c r="AA433" s="32">
        <f>IF($A433=1,IF(Sales_Daily!$U37="","",Sales_Daily!$U37),"")</f>
        <v/>
      </c>
      <c r="AB433" s="32">
        <f>IF($A433=1,IF(Sales_Daily!$V37="","",Sales_Daily!$V37),"")</f>
        <v/>
      </c>
      <c r="AC433" s="32">
        <f>IF($A433=1,IF(Sales_Daily!$W37="","",Sales_Daily!$W37),"")</f>
        <v/>
      </c>
      <c r="AD433" s="32">
        <f>IF($A433=1,IF(Sales_Daily!$X37="","",Sales_Daily!$X37),"")</f>
        <v/>
      </c>
      <c r="AE433" s="32">
        <f>IF($A433=1,0,"")</f>
        <v/>
      </c>
      <c r="AF433" s="32" t="inlineStr"/>
    </row>
    <row r="434">
      <c r="A434" s="32">
        <f>IF(AND(Sales_Daily!$AV38=1,N(Sales_Daily!$L38)&gt;0),1,0)</f>
        <v/>
      </c>
      <c r="B434" s="32">
        <f>IF($A434=1,$E434&amp;"/1","")</f>
        <v/>
      </c>
      <c r="C434" s="32">
        <f>IF($A434=1,"J-"&amp;Sales_Daily!$A38,"")</f>
        <v/>
      </c>
      <c r="D434" s="33">
        <f>IF($A434=1,Sales_Daily!$B38,"")</f>
        <v/>
      </c>
      <c r="E434" s="32">
        <f>IF($A434=1,IF(Sales_Daily!$A38="","",Sales_Daily!$A38),"")</f>
        <v/>
      </c>
      <c r="F434" s="32">
        <f>IF($A434=1,"SAL","")</f>
        <v/>
      </c>
      <c r="G434" s="32">
        <f>IF($A434=1,IF(Sales_Daily!$AK38="","",Sales_Daily!$AK38),"")</f>
        <v/>
      </c>
      <c r="H434" s="32">
        <f>IF($A434=1,IF(COUNTIF(COA!$A:$A,$G434)=0,"حساب غير معرف",INDEX(COA!$B:$B,MATCH($G434,COA!$A:$A,0))),"")</f>
        <v/>
      </c>
      <c r="I434" s="32">
        <f>IF($A434=1,IF(Sales_Daily!$C38="","",Sales_Daily!$C38),"")</f>
        <v/>
      </c>
      <c r="J434" s="32">
        <f>IF($A434=1,"CC10","")</f>
        <v/>
      </c>
      <c r="K434" s="32">
        <f>IF($A434=1,"-","")</f>
        <v/>
      </c>
      <c r="L434" s="32">
        <f>IF($A434=1,"مبيعات - تحصيل CASH","")</f>
        <v/>
      </c>
      <c r="M434" s="43">
        <f>IF($A434=1,Sales_Daily!$L38,"")</f>
        <v/>
      </c>
      <c r="N434" s="43">
        <f>IF($A434=1,0,"")</f>
        <v/>
      </c>
      <c r="O434" s="32">
        <f>IF($A434=1,Sales_Daily!$S38,"")</f>
        <v/>
      </c>
      <c r="P434" s="32">
        <f>IF($A434=1,IF(Sales_Daily!$AW38="","",Sales_Daily!$AW38),"")</f>
        <v/>
      </c>
      <c r="Q434" s="32">
        <f>IF($A434=1,Sales_Daily!$AY38,"")</f>
        <v/>
      </c>
      <c r="R434" s="32">
        <f>IF($A434=1,IF(AND($Q434=1,COUNTIFS(COA!$A:$A,$G434,COA!$R:$R,1)=1),1,0),"")</f>
        <v/>
      </c>
      <c r="S434" s="43">
        <f>IF($A434=1,IF($R434=1,N($M434),0),"")</f>
        <v/>
      </c>
      <c r="T434" s="43">
        <f>IF($A434=1,IF($R434=1,N($N434),0),"")</f>
        <v/>
      </c>
      <c r="U434" s="32">
        <f>IF($A434=1,YEAR($D434)*100+MONTH($D434),"")</f>
        <v/>
      </c>
      <c r="V434" s="32">
        <f>IF($A434=1,IF(COUNTIF(COA!$A:$A,$G434)=0,0,INDEX(COA!$H:$H,MATCH($G434,COA!$A:$A,0))),"")</f>
        <v/>
      </c>
      <c r="W434" s="32">
        <f>IF($A434=1,"OPERATING","")</f>
        <v/>
      </c>
      <c r="X434" s="32">
        <f>IF($A434=1,IF($R434=1,"",IF($O434=ST_POST,IF($P434&lt;&gt;"",$P434,"حساب غير صالح أو غير نشط"),IF($O434=ST_REV,"معكوس: لا أثر على الدفاتر",IF($O434=ST_CANC,"ملغى",IF($O434=ST_APPR,"معتمد ولم يُرحَّل","مسودة"))))),"")</f>
        <v/>
      </c>
      <c r="Y434" s="32">
        <f>IF($A434=1,IF(AND($R434=1,OR(LG_Acct="",$G434=LG_Acct),OR(LG_Party="",$K434=LG_Party),OR(LG_Loc="ALL",$I434=LG_Loc),OR(LG_CC="ALL",$J434=LG_CC),$D434&gt;=LG_From,$D434&lt;=LG_To),$D434+ROW()/1000000,""),"")</f>
        <v/>
      </c>
      <c r="Z434" s="32">
        <f>IF($A434=1,IF(Sales_Daily!$T38="","",Sales_Daily!$T38),"")</f>
        <v/>
      </c>
      <c r="AA434" s="32">
        <f>IF($A434=1,IF(Sales_Daily!$U38="","",Sales_Daily!$U38),"")</f>
        <v/>
      </c>
      <c r="AB434" s="32">
        <f>IF($A434=1,IF(Sales_Daily!$V38="","",Sales_Daily!$V38),"")</f>
        <v/>
      </c>
      <c r="AC434" s="32">
        <f>IF($A434=1,IF(Sales_Daily!$W38="","",Sales_Daily!$W38),"")</f>
        <v/>
      </c>
      <c r="AD434" s="32">
        <f>IF($A434=1,IF(Sales_Daily!$X38="","",Sales_Daily!$X38),"")</f>
        <v/>
      </c>
      <c r="AE434" s="32">
        <f>IF($A434=1,0,"")</f>
        <v/>
      </c>
      <c r="AF434" s="32" t="inlineStr"/>
    </row>
    <row r="435">
      <c r="A435" s="32">
        <f>IF(AND(Sales_Daily!$AV38=1,N(Sales_Daily!$M38)&gt;0),1,0)</f>
        <v/>
      </c>
      <c r="B435" s="32">
        <f>IF($A435=1,$E435&amp;"/2","")</f>
        <v/>
      </c>
      <c r="C435" s="32">
        <f>IF($A435=1,"J-"&amp;Sales_Daily!$A38,"")</f>
        <v/>
      </c>
      <c r="D435" s="33">
        <f>IF($A435=1,Sales_Daily!$B38,"")</f>
        <v/>
      </c>
      <c r="E435" s="32">
        <f>IF($A435=1,IF(Sales_Daily!$A38="","",Sales_Daily!$A38),"")</f>
        <v/>
      </c>
      <c r="F435" s="32">
        <f>IF($A435=1,"SAL","")</f>
        <v/>
      </c>
      <c r="G435" s="32">
        <f>IF($A435=1,IF(Sales_Daily!$AL38="","",Sales_Daily!$AL38),"")</f>
        <v/>
      </c>
      <c r="H435" s="32">
        <f>IF($A435=1,IF(COUNTIF(COA!$A:$A,$G435)=0,"حساب غير معرف",INDEX(COA!$B:$B,MATCH($G435,COA!$A:$A,0))),"")</f>
        <v/>
      </c>
      <c r="I435" s="32">
        <f>IF($A435=1,IF(Sales_Daily!$C38="","",Sales_Daily!$C38),"")</f>
        <v/>
      </c>
      <c r="J435" s="32">
        <f>IF($A435=1,"CC10","")</f>
        <v/>
      </c>
      <c r="K435" s="32">
        <f>IF($A435=1,"-","")</f>
        <v/>
      </c>
      <c r="L435" s="32">
        <f>IF($A435=1,"مبيعات - تحصيل CARD","")</f>
        <v/>
      </c>
      <c r="M435" s="43">
        <f>IF($A435=1,Sales_Daily!$M38,"")</f>
        <v/>
      </c>
      <c r="N435" s="43">
        <f>IF($A435=1,0,"")</f>
        <v/>
      </c>
      <c r="O435" s="32">
        <f>IF($A435=1,Sales_Daily!$S38,"")</f>
        <v/>
      </c>
      <c r="P435" s="32">
        <f>IF($A435=1,IF(Sales_Daily!$AW38="","",Sales_Daily!$AW38),"")</f>
        <v/>
      </c>
      <c r="Q435" s="32">
        <f>IF($A435=1,Sales_Daily!$AY38,"")</f>
        <v/>
      </c>
      <c r="R435" s="32">
        <f>IF($A435=1,IF(AND($Q435=1,COUNTIFS(COA!$A:$A,$G435,COA!$R:$R,1)=1),1,0),"")</f>
        <v/>
      </c>
      <c r="S435" s="43">
        <f>IF($A435=1,IF($R435=1,N($M435),0),"")</f>
        <v/>
      </c>
      <c r="T435" s="43">
        <f>IF($A435=1,IF($R435=1,N($N435),0),"")</f>
        <v/>
      </c>
      <c r="U435" s="32">
        <f>IF($A435=1,YEAR($D435)*100+MONTH($D435),"")</f>
        <v/>
      </c>
      <c r="V435" s="32">
        <f>IF($A435=1,IF(COUNTIF(COA!$A:$A,$G435)=0,0,INDEX(COA!$H:$H,MATCH($G435,COA!$A:$A,0))),"")</f>
        <v/>
      </c>
      <c r="W435" s="32">
        <f>IF($A435=1,"OPERATING","")</f>
        <v/>
      </c>
      <c r="X435" s="32">
        <f>IF($A435=1,IF($R435=1,"",IF($O435=ST_POST,IF($P435&lt;&gt;"",$P435,"حساب غير صالح أو غير نشط"),IF($O435=ST_REV,"معكوس: لا أثر على الدفاتر",IF($O435=ST_CANC,"ملغى",IF($O435=ST_APPR,"معتمد ولم يُرحَّل","مسودة"))))),"")</f>
        <v/>
      </c>
      <c r="Y435" s="32">
        <f>IF($A435=1,IF(AND($R435=1,OR(LG_Acct="",$G435=LG_Acct),OR(LG_Party="",$K435=LG_Party),OR(LG_Loc="ALL",$I435=LG_Loc),OR(LG_CC="ALL",$J435=LG_CC),$D435&gt;=LG_From,$D435&lt;=LG_To),$D435+ROW()/1000000,""),"")</f>
        <v/>
      </c>
      <c r="Z435" s="32">
        <f>IF($A435=1,IF(Sales_Daily!$T38="","",Sales_Daily!$T38),"")</f>
        <v/>
      </c>
      <c r="AA435" s="32">
        <f>IF($A435=1,IF(Sales_Daily!$U38="","",Sales_Daily!$U38),"")</f>
        <v/>
      </c>
      <c r="AB435" s="32">
        <f>IF($A435=1,IF(Sales_Daily!$V38="","",Sales_Daily!$V38),"")</f>
        <v/>
      </c>
      <c r="AC435" s="32">
        <f>IF($A435=1,IF(Sales_Daily!$W38="","",Sales_Daily!$W38),"")</f>
        <v/>
      </c>
      <c r="AD435" s="32">
        <f>IF($A435=1,IF(Sales_Daily!$X38="","",Sales_Daily!$X38),"")</f>
        <v/>
      </c>
      <c r="AE435" s="32">
        <f>IF($A435=1,0,"")</f>
        <v/>
      </c>
      <c r="AF435" s="32" t="inlineStr"/>
    </row>
    <row r="436">
      <c r="A436" s="32">
        <f>IF(AND(Sales_Daily!$AV38=1,N(Sales_Daily!$N38)&gt;0),1,0)</f>
        <v/>
      </c>
      <c r="B436" s="32">
        <f>IF($A436=1,$E436&amp;"/3","")</f>
        <v/>
      </c>
      <c r="C436" s="32">
        <f>IF($A436=1,"J-"&amp;Sales_Daily!$A38,"")</f>
        <v/>
      </c>
      <c r="D436" s="33">
        <f>IF($A436=1,Sales_Daily!$B38,"")</f>
        <v/>
      </c>
      <c r="E436" s="32">
        <f>IF($A436=1,IF(Sales_Daily!$A38="","",Sales_Daily!$A38),"")</f>
        <v/>
      </c>
      <c r="F436" s="32">
        <f>IF($A436=1,"SAL","")</f>
        <v/>
      </c>
      <c r="G436" s="32">
        <f>IF($A436=1,IF(Sales_Daily!$AM38="","",Sales_Daily!$AM38),"")</f>
        <v/>
      </c>
      <c r="H436" s="32">
        <f>IF($A436=1,IF(COUNTIF(COA!$A:$A,$G436)=0,"حساب غير معرف",INDEX(COA!$B:$B,MATCH($G436,COA!$A:$A,0))),"")</f>
        <v/>
      </c>
      <c r="I436" s="32">
        <f>IF($A436=1,IF(Sales_Daily!$C38="","",Sales_Daily!$C38),"")</f>
        <v/>
      </c>
      <c r="J436" s="32">
        <f>IF($A436=1,"CC10","")</f>
        <v/>
      </c>
      <c r="K436" s="32">
        <f>IF($A436=1,"-","")</f>
        <v/>
      </c>
      <c r="L436" s="32">
        <f>IF($A436=1,"مبيعات - تحصيل TLB","")</f>
        <v/>
      </c>
      <c r="M436" s="43">
        <f>IF($A436=1,Sales_Daily!$N38,"")</f>
        <v/>
      </c>
      <c r="N436" s="43">
        <f>IF($A436=1,0,"")</f>
        <v/>
      </c>
      <c r="O436" s="32">
        <f>IF($A436=1,Sales_Daily!$S38,"")</f>
        <v/>
      </c>
      <c r="P436" s="32">
        <f>IF($A436=1,IF(Sales_Daily!$AW38="","",Sales_Daily!$AW38),"")</f>
        <v/>
      </c>
      <c r="Q436" s="32">
        <f>IF($A436=1,Sales_Daily!$AY38,"")</f>
        <v/>
      </c>
      <c r="R436" s="32">
        <f>IF($A436=1,IF(AND($Q436=1,COUNTIFS(COA!$A:$A,$G436,COA!$R:$R,1)=1),1,0),"")</f>
        <v/>
      </c>
      <c r="S436" s="43">
        <f>IF($A436=1,IF($R436=1,N($M436),0),"")</f>
        <v/>
      </c>
      <c r="T436" s="43">
        <f>IF($A436=1,IF($R436=1,N($N436),0),"")</f>
        <v/>
      </c>
      <c r="U436" s="32">
        <f>IF($A436=1,YEAR($D436)*100+MONTH($D436),"")</f>
        <v/>
      </c>
      <c r="V436" s="32">
        <f>IF($A436=1,IF(COUNTIF(COA!$A:$A,$G436)=0,0,INDEX(COA!$H:$H,MATCH($G436,COA!$A:$A,0))),"")</f>
        <v/>
      </c>
      <c r="W436" s="32">
        <f>IF($A436=1,"OPERATING","")</f>
        <v/>
      </c>
      <c r="X436" s="32">
        <f>IF($A436=1,IF($R436=1,"",IF($O436=ST_POST,IF($P436&lt;&gt;"",$P436,"حساب غير صالح أو غير نشط"),IF($O436=ST_REV,"معكوس: لا أثر على الدفاتر",IF($O436=ST_CANC,"ملغى",IF($O436=ST_APPR,"معتمد ولم يُرحَّل","مسودة"))))),"")</f>
        <v/>
      </c>
      <c r="Y436" s="32">
        <f>IF($A436=1,IF(AND($R436=1,OR(LG_Acct="",$G436=LG_Acct),OR(LG_Party="",$K436=LG_Party),OR(LG_Loc="ALL",$I436=LG_Loc),OR(LG_CC="ALL",$J436=LG_CC),$D436&gt;=LG_From,$D436&lt;=LG_To),$D436+ROW()/1000000,""),"")</f>
        <v/>
      </c>
      <c r="Z436" s="32">
        <f>IF($A436=1,IF(Sales_Daily!$T38="","",Sales_Daily!$T38),"")</f>
        <v/>
      </c>
      <c r="AA436" s="32">
        <f>IF($A436=1,IF(Sales_Daily!$U38="","",Sales_Daily!$U38),"")</f>
        <v/>
      </c>
      <c r="AB436" s="32">
        <f>IF($A436=1,IF(Sales_Daily!$V38="","",Sales_Daily!$V38),"")</f>
        <v/>
      </c>
      <c r="AC436" s="32">
        <f>IF($A436=1,IF(Sales_Daily!$W38="","",Sales_Daily!$W38),"")</f>
        <v/>
      </c>
      <c r="AD436" s="32">
        <f>IF($A436=1,IF(Sales_Daily!$X38="","",Sales_Daily!$X38),"")</f>
        <v/>
      </c>
      <c r="AE436" s="32">
        <f>IF($A436=1,0,"")</f>
        <v/>
      </c>
      <c r="AF436" s="32" t="inlineStr"/>
    </row>
    <row r="437">
      <c r="A437" s="32">
        <f>IF(AND(Sales_Daily!$AV38=1,N(Sales_Daily!$O38)&gt;0),1,0)</f>
        <v/>
      </c>
      <c r="B437" s="32">
        <f>IF($A437=1,$E437&amp;"/4","")</f>
        <v/>
      </c>
      <c r="C437" s="32">
        <f>IF($A437=1,"J-"&amp;Sales_Daily!$A38,"")</f>
        <v/>
      </c>
      <c r="D437" s="33">
        <f>IF($A437=1,Sales_Daily!$B38,"")</f>
        <v/>
      </c>
      <c r="E437" s="32">
        <f>IF($A437=1,IF(Sales_Daily!$A38="","",Sales_Daily!$A38),"")</f>
        <v/>
      </c>
      <c r="F437" s="32">
        <f>IF($A437=1,"SAL","")</f>
        <v/>
      </c>
      <c r="G437" s="32">
        <f>IF($A437=1,IF(Sales_Daily!$AN38="","",Sales_Daily!$AN38),"")</f>
        <v/>
      </c>
      <c r="H437" s="32">
        <f>IF($A437=1,IF(COUNTIF(COA!$A:$A,$G437)=0,"حساب غير معرف",INDEX(COA!$B:$B,MATCH($G437,COA!$A:$A,0))),"")</f>
        <v/>
      </c>
      <c r="I437" s="32">
        <f>IF($A437=1,IF(Sales_Daily!$C38="","",Sales_Daily!$C38),"")</f>
        <v/>
      </c>
      <c r="J437" s="32">
        <f>IF($A437=1,"CC10","")</f>
        <v/>
      </c>
      <c r="K437" s="32">
        <f>IF($A437=1,"-","")</f>
        <v/>
      </c>
      <c r="L437" s="32">
        <f>IF($A437=1,"مبيعات - تحصيل DLV2","")</f>
        <v/>
      </c>
      <c r="M437" s="43">
        <f>IF($A437=1,Sales_Daily!$O38,"")</f>
        <v/>
      </c>
      <c r="N437" s="43">
        <f>IF($A437=1,0,"")</f>
        <v/>
      </c>
      <c r="O437" s="32">
        <f>IF($A437=1,Sales_Daily!$S38,"")</f>
        <v/>
      </c>
      <c r="P437" s="32">
        <f>IF($A437=1,IF(Sales_Daily!$AW38="","",Sales_Daily!$AW38),"")</f>
        <v/>
      </c>
      <c r="Q437" s="32">
        <f>IF($A437=1,Sales_Daily!$AY38,"")</f>
        <v/>
      </c>
      <c r="R437" s="32">
        <f>IF($A437=1,IF(AND($Q437=1,COUNTIFS(COA!$A:$A,$G437,COA!$R:$R,1)=1),1,0),"")</f>
        <v/>
      </c>
      <c r="S437" s="43">
        <f>IF($A437=1,IF($R437=1,N($M437),0),"")</f>
        <v/>
      </c>
      <c r="T437" s="43">
        <f>IF($A437=1,IF($R437=1,N($N437),0),"")</f>
        <v/>
      </c>
      <c r="U437" s="32">
        <f>IF($A437=1,YEAR($D437)*100+MONTH($D437),"")</f>
        <v/>
      </c>
      <c r="V437" s="32">
        <f>IF($A437=1,IF(COUNTIF(COA!$A:$A,$G437)=0,0,INDEX(COA!$H:$H,MATCH($G437,COA!$A:$A,0))),"")</f>
        <v/>
      </c>
      <c r="W437" s="32">
        <f>IF($A437=1,"OPERATING","")</f>
        <v/>
      </c>
      <c r="X437" s="32">
        <f>IF($A437=1,IF($R437=1,"",IF($O437=ST_POST,IF($P437&lt;&gt;"",$P437,"حساب غير صالح أو غير نشط"),IF($O437=ST_REV,"معكوس: لا أثر على الدفاتر",IF($O437=ST_CANC,"ملغى",IF($O437=ST_APPR,"معتمد ولم يُرحَّل","مسودة"))))),"")</f>
        <v/>
      </c>
      <c r="Y437" s="32">
        <f>IF($A437=1,IF(AND($R437=1,OR(LG_Acct="",$G437=LG_Acct),OR(LG_Party="",$K437=LG_Party),OR(LG_Loc="ALL",$I437=LG_Loc),OR(LG_CC="ALL",$J437=LG_CC),$D437&gt;=LG_From,$D437&lt;=LG_To),$D437+ROW()/1000000,""),"")</f>
        <v/>
      </c>
      <c r="Z437" s="32">
        <f>IF($A437=1,IF(Sales_Daily!$T38="","",Sales_Daily!$T38),"")</f>
        <v/>
      </c>
      <c r="AA437" s="32">
        <f>IF($A437=1,IF(Sales_Daily!$U38="","",Sales_Daily!$U38),"")</f>
        <v/>
      </c>
      <c r="AB437" s="32">
        <f>IF($A437=1,IF(Sales_Daily!$V38="","",Sales_Daily!$V38),"")</f>
        <v/>
      </c>
      <c r="AC437" s="32">
        <f>IF($A437=1,IF(Sales_Daily!$W38="","",Sales_Daily!$W38),"")</f>
        <v/>
      </c>
      <c r="AD437" s="32">
        <f>IF($A437=1,IF(Sales_Daily!$X38="","",Sales_Daily!$X38),"")</f>
        <v/>
      </c>
      <c r="AE437" s="32">
        <f>IF($A437=1,0,"")</f>
        <v/>
      </c>
      <c r="AF437" s="32" t="inlineStr"/>
    </row>
    <row r="438">
      <c r="A438" s="32">
        <f>IF(AND(Sales_Daily!$AV38=1,N(Sales_Daily!$P38)&gt;0),1,0)</f>
        <v/>
      </c>
      <c r="B438" s="32">
        <f>IF($A438=1,$E438&amp;"/5","")</f>
        <v/>
      </c>
      <c r="C438" s="32">
        <f>IF($A438=1,"J-"&amp;Sales_Daily!$A38,"")</f>
        <v/>
      </c>
      <c r="D438" s="33">
        <f>IF($A438=1,Sales_Daily!$B38,"")</f>
        <v/>
      </c>
      <c r="E438" s="32">
        <f>IF($A438=1,IF(Sales_Daily!$A38="","",Sales_Daily!$A38),"")</f>
        <v/>
      </c>
      <c r="F438" s="32">
        <f>IF($A438=1,"SAL","")</f>
        <v/>
      </c>
      <c r="G438" s="32">
        <f>IF($A438=1,IF(Sales_Daily!$AO38="","",Sales_Daily!$AO38),"")</f>
        <v/>
      </c>
      <c r="H438" s="32">
        <f>IF($A438=1,IF(COUNTIF(COA!$A:$A,$G438)=0,"حساب غير معرف",INDEX(COA!$B:$B,MATCH($G438,COA!$A:$A,0))),"")</f>
        <v/>
      </c>
      <c r="I438" s="32">
        <f>IF($A438=1,IF(Sales_Daily!$C38="","",Sales_Daily!$C38),"")</f>
        <v/>
      </c>
      <c r="J438" s="32">
        <f>IF($A438=1,"CC10","")</f>
        <v/>
      </c>
      <c r="K438" s="32">
        <f>IF($A438=1,"-","")</f>
        <v/>
      </c>
      <c r="L438" s="32">
        <f>IF($A438=1,"مبيعات - تحصيل INSTA","")</f>
        <v/>
      </c>
      <c r="M438" s="43">
        <f>IF($A438=1,Sales_Daily!$P38,"")</f>
        <v/>
      </c>
      <c r="N438" s="43">
        <f>IF($A438=1,0,"")</f>
        <v/>
      </c>
      <c r="O438" s="32">
        <f>IF($A438=1,Sales_Daily!$S38,"")</f>
        <v/>
      </c>
      <c r="P438" s="32">
        <f>IF($A438=1,IF(Sales_Daily!$AW38="","",Sales_Daily!$AW38),"")</f>
        <v/>
      </c>
      <c r="Q438" s="32">
        <f>IF($A438=1,Sales_Daily!$AY38,"")</f>
        <v/>
      </c>
      <c r="R438" s="32">
        <f>IF($A438=1,IF(AND($Q438=1,COUNTIFS(COA!$A:$A,$G438,COA!$R:$R,1)=1),1,0),"")</f>
        <v/>
      </c>
      <c r="S438" s="43">
        <f>IF($A438=1,IF($R438=1,N($M438),0),"")</f>
        <v/>
      </c>
      <c r="T438" s="43">
        <f>IF($A438=1,IF($R438=1,N($N438),0),"")</f>
        <v/>
      </c>
      <c r="U438" s="32">
        <f>IF($A438=1,YEAR($D438)*100+MONTH($D438),"")</f>
        <v/>
      </c>
      <c r="V438" s="32">
        <f>IF($A438=1,IF(COUNTIF(COA!$A:$A,$G438)=0,0,INDEX(COA!$H:$H,MATCH($G438,COA!$A:$A,0))),"")</f>
        <v/>
      </c>
      <c r="W438" s="32">
        <f>IF($A438=1,"OPERATING","")</f>
        <v/>
      </c>
      <c r="X438" s="32">
        <f>IF($A438=1,IF($R438=1,"",IF($O438=ST_POST,IF($P438&lt;&gt;"",$P438,"حساب غير صالح أو غير نشط"),IF($O438=ST_REV,"معكوس: لا أثر على الدفاتر",IF($O438=ST_CANC,"ملغى",IF($O438=ST_APPR,"معتمد ولم يُرحَّل","مسودة"))))),"")</f>
        <v/>
      </c>
      <c r="Y438" s="32">
        <f>IF($A438=1,IF(AND($R438=1,OR(LG_Acct="",$G438=LG_Acct),OR(LG_Party="",$K438=LG_Party),OR(LG_Loc="ALL",$I438=LG_Loc),OR(LG_CC="ALL",$J438=LG_CC),$D438&gt;=LG_From,$D438&lt;=LG_To),$D438+ROW()/1000000,""),"")</f>
        <v/>
      </c>
      <c r="Z438" s="32">
        <f>IF($A438=1,IF(Sales_Daily!$T38="","",Sales_Daily!$T38),"")</f>
        <v/>
      </c>
      <c r="AA438" s="32">
        <f>IF($A438=1,IF(Sales_Daily!$U38="","",Sales_Daily!$U38),"")</f>
        <v/>
      </c>
      <c r="AB438" s="32">
        <f>IF($A438=1,IF(Sales_Daily!$V38="","",Sales_Daily!$V38),"")</f>
        <v/>
      </c>
      <c r="AC438" s="32">
        <f>IF($A438=1,IF(Sales_Daily!$W38="","",Sales_Daily!$W38),"")</f>
        <v/>
      </c>
      <c r="AD438" s="32">
        <f>IF($A438=1,IF(Sales_Daily!$X38="","",Sales_Daily!$X38),"")</f>
        <v/>
      </c>
      <c r="AE438" s="32">
        <f>IF($A438=1,0,"")</f>
        <v/>
      </c>
      <c r="AF438" s="32" t="inlineStr"/>
    </row>
    <row r="439">
      <c r="A439" s="32">
        <f>IF(AND(Sales_Daily!$AV38=1,N(Sales_Daily!$Q38)&gt;0),1,0)</f>
        <v/>
      </c>
      <c r="B439" s="32">
        <f>IF($A439=1,$E439&amp;"/6","")</f>
        <v/>
      </c>
      <c r="C439" s="32">
        <f>IF($A439=1,"J-"&amp;Sales_Daily!$A38,"")</f>
        <v/>
      </c>
      <c r="D439" s="33">
        <f>IF($A439=1,Sales_Daily!$B38,"")</f>
        <v/>
      </c>
      <c r="E439" s="32">
        <f>IF($A439=1,IF(Sales_Daily!$A38="","",Sales_Daily!$A38),"")</f>
        <v/>
      </c>
      <c r="F439" s="32">
        <f>IF($A439=1,"SAL","")</f>
        <v/>
      </c>
      <c r="G439" s="32">
        <f>IF($A439=1,IF(Sales_Daily!$AP38="","",Sales_Daily!$AP38),"")</f>
        <v/>
      </c>
      <c r="H439" s="32">
        <f>IF($A439=1,IF(COUNTIF(COA!$A:$A,$G439)=0,"حساب غير معرف",INDEX(COA!$B:$B,MATCH($G439,COA!$A:$A,0))),"")</f>
        <v/>
      </c>
      <c r="I439" s="32">
        <f>IF($A439=1,IF(Sales_Daily!$C38="","",Sales_Daily!$C38),"")</f>
        <v/>
      </c>
      <c r="J439" s="32">
        <f>IF($A439=1,"CC10","")</f>
        <v/>
      </c>
      <c r="K439" s="32">
        <f>IF($A439=1,"-","")</f>
        <v/>
      </c>
      <c r="L439" s="32">
        <f>IF($A439=1,"مبيعات - تحصيل OTH","")</f>
        <v/>
      </c>
      <c r="M439" s="43">
        <f>IF($A439=1,Sales_Daily!$Q38,"")</f>
        <v/>
      </c>
      <c r="N439" s="43">
        <f>IF($A439=1,0,"")</f>
        <v/>
      </c>
      <c r="O439" s="32">
        <f>IF($A439=1,Sales_Daily!$S38,"")</f>
        <v/>
      </c>
      <c r="P439" s="32">
        <f>IF($A439=1,IF(Sales_Daily!$AW38="","",Sales_Daily!$AW38),"")</f>
        <v/>
      </c>
      <c r="Q439" s="32">
        <f>IF($A439=1,Sales_Daily!$AY38,"")</f>
        <v/>
      </c>
      <c r="R439" s="32">
        <f>IF($A439=1,IF(AND($Q439=1,COUNTIFS(COA!$A:$A,$G439,COA!$R:$R,1)=1),1,0),"")</f>
        <v/>
      </c>
      <c r="S439" s="43">
        <f>IF($A439=1,IF($R439=1,N($M439),0),"")</f>
        <v/>
      </c>
      <c r="T439" s="43">
        <f>IF($A439=1,IF($R439=1,N($N439),0),"")</f>
        <v/>
      </c>
      <c r="U439" s="32">
        <f>IF($A439=1,YEAR($D439)*100+MONTH($D439),"")</f>
        <v/>
      </c>
      <c r="V439" s="32">
        <f>IF($A439=1,IF(COUNTIF(COA!$A:$A,$G439)=0,0,INDEX(COA!$H:$H,MATCH($G439,COA!$A:$A,0))),"")</f>
        <v/>
      </c>
      <c r="W439" s="32">
        <f>IF($A439=1,"OPERATING","")</f>
        <v/>
      </c>
      <c r="X439" s="32">
        <f>IF($A439=1,IF($R439=1,"",IF($O439=ST_POST,IF($P439&lt;&gt;"",$P439,"حساب غير صالح أو غير نشط"),IF($O439=ST_REV,"معكوس: لا أثر على الدفاتر",IF($O439=ST_CANC,"ملغى",IF($O439=ST_APPR,"معتمد ولم يُرحَّل","مسودة"))))),"")</f>
        <v/>
      </c>
      <c r="Y439" s="32">
        <f>IF($A439=1,IF(AND($R439=1,OR(LG_Acct="",$G439=LG_Acct),OR(LG_Party="",$K439=LG_Party),OR(LG_Loc="ALL",$I439=LG_Loc),OR(LG_CC="ALL",$J439=LG_CC),$D439&gt;=LG_From,$D439&lt;=LG_To),$D439+ROW()/1000000,""),"")</f>
        <v/>
      </c>
      <c r="Z439" s="32">
        <f>IF($A439=1,IF(Sales_Daily!$T38="","",Sales_Daily!$T38),"")</f>
        <v/>
      </c>
      <c r="AA439" s="32">
        <f>IF($A439=1,IF(Sales_Daily!$U38="","",Sales_Daily!$U38),"")</f>
        <v/>
      </c>
      <c r="AB439" s="32">
        <f>IF($A439=1,IF(Sales_Daily!$V38="","",Sales_Daily!$V38),"")</f>
        <v/>
      </c>
      <c r="AC439" s="32">
        <f>IF($A439=1,IF(Sales_Daily!$W38="","",Sales_Daily!$W38),"")</f>
        <v/>
      </c>
      <c r="AD439" s="32">
        <f>IF($A439=1,IF(Sales_Daily!$X38="","",Sales_Daily!$X38),"")</f>
        <v/>
      </c>
      <c r="AE439" s="32">
        <f>IF($A439=1,0,"")</f>
        <v/>
      </c>
      <c r="AF439" s="32" t="inlineStr"/>
    </row>
    <row r="440">
      <c r="A440" s="32">
        <f>IF(AND(Sales_Daily!$AV38=1,N(Sales_Daily!$AH38)&gt;0),1,0)</f>
        <v/>
      </c>
      <c r="B440" s="32">
        <f>IF($A440=1,$E440&amp;"/7","")</f>
        <v/>
      </c>
      <c r="C440" s="32">
        <f>IF($A440=1,"J-"&amp;Sales_Daily!$A38,"")</f>
        <v/>
      </c>
      <c r="D440" s="33">
        <f>IF($A440=1,Sales_Daily!$B38,"")</f>
        <v/>
      </c>
      <c r="E440" s="32">
        <f>IF($A440=1,IF(Sales_Daily!$A38="","",Sales_Daily!$A38),"")</f>
        <v/>
      </c>
      <c r="F440" s="32">
        <f>IF($A440=1,"SAL","")</f>
        <v/>
      </c>
      <c r="G440" s="32">
        <f>IF($A440=1,ACC_DISC,"")</f>
        <v/>
      </c>
      <c r="H440" s="32">
        <f>IF($A440=1,IF(COUNTIF(COA!$A:$A,$G440)=0,"حساب غير معرف",INDEX(COA!$B:$B,MATCH($G440,COA!$A:$A,0))),"")</f>
        <v/>
      </c>
      <c r="I440" s="32">
        <f>IF($A440=1,IF(Sales_Daily!$C38="","",Sales_Daily!$C38),"")</f>
        <v/>
      </c>
      <c r="J440" s="32">
        <f>IF($A440=1,"CC10","")</f>
        <v/>
      </c>
      <c r="K440" s="32">
        <f>IF($A440=1,"-","")</f>
        <v/>
      </c>
      <c r="L440" s="32">
        <f>IF($A440=1,"خصومات المبيعات والعروض","")</f>
        <v/>
      </c>
      <c r="M440" s="43">
        <f>IF($A440=1,Sales_Daily!$AH38,"")</f>
        <v/>
      </c>
      <c r="N440" s="43">
        <f>IF($A440=1,0,"")</f>
        <v/>
      </c>
      <c r="O440" s="32">
        <f>IF($A440=1,Sales_Daily!$S38,"")</f>
        <v/>
      </c>
      <c r="P440" s="32">
        <f>IF($A440=1,IF(Sales_Daily!$AW38="","",Sales_Daily!$AW38),"")</f>
        <v/>
      </c>
      <c r="Q440" s="32">
        <f>IF($A440=1,Sales_Daily!$AY38,"")</f>
        <v/>
      </c>
      <c r="R440" s="32">
        <f>IF($A440=1,IF(AND($Q440=1,COUNTIFS(COA!$A:$A,$G440,COA!$R:$R,1)=1),1,0),"")</f>
        <v/>
      </c>
      <c r="S440" s="43">
        <f>IF($A440=1,IF($R440=1,N($M440),0),"")</f>
        <v/>
      </c>
      <c r="T440" s="43">
        <f>IF($A440=1,IF($R440=1,N($N440),0),"")</f>
        <v/>
      </c>
      <c r="U440" s="32">
        <f>IF($A440=1,YEAR($D440)*100+MONTH($D440),"")</f>
        <v/>
      </c>
      <c r="V440" s="32">
        <f>IF($A440=1,IF(COUNTIF(COA!$A:$A,$G440)=0,0,INDEX(COA!$H:$H,MATCH($G440,COA!$A:$A,0))),"")</f>
        <v/>
      </c>
      <c r="W440" s="32">
        <f>IF($A440=1,"","")</f>
        <v/>
      </c>
      <c r="X440" s="32">
        <f>IF($A440=1,IF($R440=1,"",IF($O440=ST_POST,IF($P440&lt;&gt;"",$P440,"حساب غير صالح أو غير نشط"),IF($O440=ST_REV,"معكوس: لا أثر على الدفاتر",IF($O440=ST_CANC,"ملغى",IF($O440=ST_APPR,"معتمد ولم يُرحَّل","مسودة"))))),"")</f>
        <v/>
      </c>
      <c r="Y440" s="32">
        <f>IF($A440=1,IF(AND($R440=1,OR(LG_Acct="",$G440=LG_Acct),OR(LG_Party="",$K440=LG_Party),OR(LG_Loc="ALL",$I440=LG_Loc),OR(LG_CC="ALL",$J440=LG_CC),$D440&gt;=LG_From,$D440&lt;=LG_To),$D440+ROW()/1000000,""),"")</f>
        <v/>
      </c>
      <c r="Z440" s="32">
        <f>IF($A440=1,IF(Sales_Daily!$T38="","",Sales_Daily!$T38),"")</f>
        <v/>
      </c>
      <c r="AA440" s="32">
        <f>IF($A440=1,IF(Sales_Daily!$U38="","",Sales_Daily!$U38),"")</f>
        <v/>
      </c>
      <c r="AB440" s="32">
        <f>IF($A440=1,IF(Sales_Daily!$V38="","",Sales_Daily!$V38),"")</f>
        <v/>
      </c>
      <c r="AC440" s="32">
        <f>IF($A440=1,IF(Sales_Daily!$W38="","",Sales_Daily!$W38),"")</f>
        <v/>
      </c>
      <c r="AD440" s="32">
        <f>IF($A440=1,IF(Sales_Daily!$X38="","",Sales_Daily!$X38),"")</f>
        <v/>
      </c>
      <c r="AE440" s="32">
        <f>IF($A440=1,0,"")</f>
        <v/>
      </c>
      <c r="AF440" s="32" t="inlineStr"/>
    </row>
    <row r="441">
      <c r="A441" s="32">
        <f>IF(AND(Sales_Daily!$AV38=1,N(Sales_Daily!$AI38)&gt;0),1,0)</f>
        <v/>
      </c>
      <c r="B441" s="32">
        <f>IF($A441=1,$E441&amp;"/8","")</f>
        <v/>
      </c>
      <c r="C441" s="32">
        <f>IF($A441=1,"J-"&amp;Sales_Daily!$A38,"")</f>
        <v/>
      </c>
      <c r="D441" s="33">
        <f>IF($A441=1,Sales_Daily!$B38,"")</f>
        <v/>
      </c>
      <c r="E441" s="32">
        <f>IF($A441=1,IF(Sales_Daily!$A38="","",Sales_Daily!$A38),"")</f>
        <v/>
      </c>
      <c r="F441" s="32">
        <f>IF($A441=1,"SAL","")</f>
        <v/>
      </c>
      <c r="G441" s="32">
        <f>IF($A441=1,ACC_RET,"")</f>
        <v/>
      </c>
      <c r="H441" s="32">
        <f>IF($A441=1,IF(COUNTIF(COA!$A:$A,$G441)=0,"حساب غير معرف",INDEX(COA!$B:$B,MATCH($G441,COA!$A:$A,0))),"")</f>
        <v/>
      </c>
      <c r="I441" s="32">
        <f>IF($A441=1,IF(Sales_Daily!$C38="","",Sales_Daily!$C38),"")</f>
        <v/>
      </c>
      <c r="J441" s="32">
        <f>IF($A441=1,"CC10","")</f>
        <v/>
      </c>
      <c r="K441" s="32">
        <f>IF($A441=1,"-","")</f>
        <v/>
      </c>
      <c r="L441" s="32">
        <f>IF($A441=1,"مرتجعات وإلغاءات المبيعات","")</f>
        <v/>
      </c>
      <c r="M441" s="43">
        <f>IF($A441=1,Sales_Daily!$AI38,"")</f>
        <v/>
      </c>
      <c r="N441" s="43">
        <f>IF($A441=1,0,"")</f>
        <v/>
      </c>
      <c r="O441" s="32">
        <f>IF($A441=1,Sales_Daily!$S38,"")</f>
        <v/>
      </c>
      <c r="P441" s="32">
        <f>IF($A441=1,IF(Sales_Daily!$AW38="","",Sales_Daily!$AW38),"")</f>
        <v/>
      </c>
      <c r="Q441" s="32">
        <f>IF($A441=1,Sales_Daily!$AY38,"")</f>
        <v/>
      </c>
      <c r="R441" s="32">
        <f>IF($A441=1,IF(AND($Q441=1,COUNTIFS(COA!$A:$A,$G441,COA!$R:$R,1)=1),1,0),"")</f>
        <v/>
      </c>
      <c r="S441" s="43">
        <f>IF($A441=1,IF($R441=1,N($M441),0),"")</f>
        <v/>
      </c>
      <c r="T441" s="43">
        <f>IF($A441=1,IF($R441=1,N($N441),0),"")</f>
        <v/>
      </c>
      <c r="U441" s="32">
        <f>IF($A441=1,YEAR($D441)*100+MONTH($D441),"")</f>
        <v/>
      </c>
      <c r="V441" s="32">
        <f>IF($A441=1,IF(COUNTIF(COA!$A:$A,$G441)=0,0,INDEX(COA!$H:$H,MATCH($G441,COA!$A:$A,0))),"")</f>
        <v/>
      </c>
      <c r="W441" s="32">
        <f>IF($A441=1,"","")</f>
        <v/>
      </c>
      <c r="X441" s="32">
        <f>IF($A441=1,IF($R441=1,"",IF($O441=ST_POST,IF($P441&lt;&gt;"",$P441,"حساب غير صالح أو غير نشط"),IF($O441=ST_REV,"معكوس: لا أثر على الدفاتر",IF($O441=ST_CANC,"ملغى",IF($O441=ST_APPR,"معتمد ولم يُرحَّل","مسودة"))))),"")</f>
        <v/>
      </c>
      <c r="Y441" s="32">
        <f>IF($A441=1,IF(AND($R441=1,OR(LG_Acct="",$G441=LG_Acct),OR(LG_Party="",$K441=LG_Party),OR(LG_Loc="ALL",$I441=LG_Loc),OR(LG_CC="ALL",$J441=LG_CC),$D441&gt;=LG_From,$D441&lt;=LG_To),$D441+ROW()/1000000,""),"")</f>
        <v/>
      </c>
      <c r="Z441" s="32">
        <f>IF($A441=1,IF(Sales_Daily!$T38="","",Sales_Daily!$T38),"")</f>
        <v/>
      </c>
      <c r="AA441" s="32">
        <f>IF($A441=1,IF(Sales_Daily!$U38="","",Sales_Daily!$U38),"")</f>
        <v/>
      </c>
      <c r="AB441" s="32">
        <f>IF($A441=1,IF(Sales_Daily!$V38="","",Sales_Daily!$V38),"")</f>
        <v/>
      </c>
      <c r="AC441" s="32">
        <f>IF($A441=1,IF(Sales_Daily!$W38="","",Sales_Daily!$W38),"")</f>
        <v/>
      </c>
      <c r="AD441" s="32">
        <f>IF($A441=1,IF(Sales_Daily!$X38="","",Sales_Daily!$X38),"")</f>
        <v/>
      </c>
      <c r="AE441" s="32">
        <f>IF($A441=1,0,"")</f>
        <v/>
      </c>
      <c r="AF441" s="32" t="inlineStr"/>
    </row>
    <row r="442">
      <c r="A442" s="32">
        <f>IF(AND(Sales_Daily!$AV38=1,N(Sales_Daily!$AD38)&gt;0),1,0)</f>
        <v/>
      </c>
      <c r="B442" s="32">
        <f>IF($A442=1,$E442&amp;"/9","")</f>
        <v/>
      </c>
      <c r="C442" s="32">
        <f>IF($A442=1,"J-"&amp;Sales_Daily!$A38,"")</f>
        <v/>
      </c>
      <c r="D442" s="33">
        <f>IF($A442=1,Sales_Daily!$B38,"")</f>
        <v/>
      </c>
      <c r="E442" s="32">
        <f>IF($A442=1,IF(Sales_Daily!$A38="","",Sales_Daily!$A38),"")</f>
        <v/>
      </c>
      <c r="F442" s="32">
        <f>IF($A442=1,"SAL","")</f>
        <v/>
      </c>
      <c r="G442" s="32">
        <f>IF($A442=1,IF(Sales_Daily!$AQ38="","",Sales_Daily!$AQ38),"")</f>
        <v/>
      </c>
      <c r="H442" s="32">
        <f>IF($A442=1,IF(COUNTIF(COA!$A:$A,$G442)=0,"حساب غير معرف",INDEX(COA!$B:$B,MATCH($G442,COA!$A:$A,0))),"")</f>
        <v/>
      </c>
      <c r="I442" s="32">
        <f>IF($A442=1,IF(Sales_Daily!$C38="","",Sales_Daily!$C38),"")</f>
        <v/>
      </c>
      <c r="J442" s="32">
        <f>IF($A442=1,"CC10","")</f>
        <v/>
      </c>
      <c r="K442" s="32">
        <f>IF($A442=1,"-","")</f>
        <v/>
      </c>
      <c r="L442" s="32">
        <f>IF($A442=1,"إيراد مبيعات - فئة فطير","")</f>
        <v/>
      </c>
      <c r="M442" s="43">
        <f>IF($A442=1,0,"")</f>
        <v/>
      </c>
      <c r="N442" s="43">
        <f>IF($A442=1,Sales_Daily!$AD38,"")</f>
        <v/>
      </c>
      <c r="O442" s="32">
        <f>IF($A442=1,Sales_Daily!$S38,"")</f>
        <v/>
      </c>
      <c r="P442" s="32">
        <f>IF($A442=1,IF(Sales_Daily!$AW38="","",Sales_Daily!$AW38),"")</f>
        <v/>
      </c>
      <c r="Q442" s="32">
        <f>IF($A442=1,Sales_Daily!$AY38,"")</f>
        <v/>
      </c>
      <c r="R442" s="32">
        <f>IF($A442=1,IF(AND($Q442=1,COUNTIFS(COA!$A:$A,$G442,COA!$R:$R,1)=1),1,0),"")</f>
        <v/>
      </c>
      <c r="S442" s="43">
        <f>IF($A442=1,IF($R442=1,N($M442),0),"")</f>
        <v/>
      </c>
      <c r="T442" s="43">
        <f>IF($A442=1,IF($R442=1,N($N442),0),"")</f>
        <v/>
      </c>
      <c r="U442" s="32">
        <f>IF($A442=1,YEAR($D442)*100+MONTH($D442),"")</f>
        <v/>
      </c>
      <c r="V442" s="32">
        <f>IF($A442=1,IF(COUNTIF(COA!$A:$A,$G442)=0,0,INDEX(COA!$H:$H,MATCH($G442,COA!$A:$A,0))),"")</f>
        <v/>
      </c>
      <c r="W442" s="32">
        <f>IF($A442=1,"","")</f>
        <v/>
      </c>
      <c r="X442" s="32">
        <f>IF($A442=1,IF($R442=1,"",IF($O442=ST_POST,IF($P442&lt;&gt;"",$P442,"حساب غير صالح أو غير نشط"),IF($O442=ST_REV,"معكوس: لا أثر على الدفاتر",IF($O442=ST_CANC,"ملغى",IF($O442=ST_APPR,"معتمد ولم يُرحَّل","مسودة"))))),"")</f>
        <v/>
      </c>
      <c r="Y442" s="32">
        <f>IF($A442=1,IF(AND($R442=1,OR(LG_Acct="",$G442=LG_Acct),OR(LG_Party="",$K442=LG_Party),OR(LG_Loc="ALL",$I442=LG_Loc),OR(LG_CC="ALL",$J442=LG_CC),$D442&gt;=LG_From,$D442&lt;=LG_To),$D442+ROW()/1000000,""),"")</f>
        <v/>
      </c>
      <c r="Z442" s="32">
        <f>IF($A442=1,IF(Sales_Daily!$T38="","",Sales_Daily!$T38),"")</f>
        <v/>
      </c>
      <c r="AA442" s="32">
        <f>IF($A442=1,IF(Sales_Daily!$U38="","",Sales_Daily!$U38),"")</f>
        <v/>
      </c>
      <c r="AB442" s="32">
        <f>IF($A442=1,IF(Sales_Daily!$V38="","",Sales_Daily!$V38),"")</f>
        <v/>
      </c>
      <c r="AC442" s="32">
        <f>IF($A442=1,IF(Sales_Daily!$W38="","",Sales_Daily!$W38),"")</f>
        <v/>
      </c>
      <c r="AD442" s="32">
        <f>IF($A442=1,IF(Sales_Daily!$X38="","",Sales_Daily!$X38),"")</f>
        <v/>
      </c>
      <c r="AE442" s="32">
        <f>IF($A442=1,0,"")</f>
        <v/>
      </c>
      <c r="AF442" s="32" t="inlineStr"/>
    </row>
    <row r="443">
      <c r="A443" s="32">
        <f>IF(AND(Sales_Daily!$AV38=1,N(Sales_Daily!$AE38)&gt;0),1,0)</f>
        <v/>
      </c>
      <c r="B443" s="32">
        <f>IF($A443=1,$E443&amp;"/10","")</f>
        <v/>
      </c>
      <c r="C443" s="32">
        <f>IF($A443=1,"J-"&amp;Sales_Daily!$A38,"")</f>
        <v/>
      </c>
      <c r="D443" s="33">
        <f>IF($A443=1,Sales_Daily!$B38,"")</f>
        <v/>
      </c>
      <c r="E443" s="32">
        <f>IF($A443=1,IF(Sales_Daily!$A38="","",Sales_Daily!$A38),"")</f>
        <v/>
      </c>
      <c r="F443" s="32">
        <f>IF($A443=1,"SAL","")</f>
        <v/>
      </c>
      <c r="G443" s="32">
        <f>IF($A443=1,IF(Sales_Daily!$AR38="","",Sales_Daily!$AR38),"")</f>
        <v/>
      </c>
      <c r="H443" s="32">
        <f>IF($A443=1,IF(COUNTIF(COA!$A:$A,$G443)=0,"حساب غير معرف",INDEX(COA!$B:$B,MATCH($G443,COA!$A:$A,0))),"")</f>
        <v/>
      </c>
      <c r="I443" s="32">
        <f>IF($A443=1,IF(Sales_Daily!$C38="","",Sales_Daily!$C38),"")</f>
        <v/>
      </c>
      <c r="J443" s="32">
        <f>IF($A443=1,"CC10","")</f>
        <v/>
      </c>
      <c r="K443" s="32">
        <f>IF($A443=1,"-","")</f>
        <v/>
      </c>
      <c r="L443" s="32">
        <f>IF($A443=1,"إيراد مبيعات - فئة بيتزا","")</f>
        <v/>
      </c>
      <c r="M443" s="43">
        <f>IF($A443=1,0,"")</f>
        <v/>
      </c>
      <c r="N443" s="43">
        <f>IF($A443=1,Sales_Daily!$AE38,"")</f>
        <v/>
      </c>
      <c r="O443" s="32">
        <f>IF($A443=1,Sales_Daily!$S38,"")</f>
        <v/>
      </c>
      <c r="P443" s="32">
        <f>IF($A443=1,IF(Sales_Daily!$AW38="","",Sales_Daily!$AW38),"")</f>
        <v/>
      </c>
      <c r="Q443" s="32">
        <f>IF($A443=1,Sales_Daily!$AY38,"")</f>
        <v/>
      </c>
      <c r="R443" s="32">
        <f>IF($A443=1,IF(AND($Q443=1,COUNTIFS(COA!$A:$A,$G443,COA!$R:$R,1)=1),1,0),"")</f>
        <v/>
      </c>
      <c r="S443" s="43">
        <f>IF($A443=1,IF($R443=1,N($M443),0),"")</f>
        <v/>
      </c>
      <c r="T443" s="43">
        <f>IF($A443=1,IF($R443=1,N($N443),0),"")</f>
        <v/>
      </c>
      <c r="U443" s="32">
        <f>IF($A443=1,YEAR($D443)*100+MONTH($D443),"")</f>
        <v/>
      </c>
      <c r="V443" s="32">
        <f>IF($A443=1,IF(COUNTIF(COA!$A:$A,$G443)=0,0,INDEX(COA!$H:$H,MATCH($G443,COA!$A:$A,0))),"")</f>
        <v/>
      </c>
      <c r="W443" s="32">
        <f>IF($A443=1,"","")</f>
        <v/>
      </c>
      <c r="X443" s="32">
        <f>IF($A443=1,IF($R443=1,"",IF($O443=ST_POST,IF($P443&lt;&gt;"",$P443,"حساب غير صالح أو غير نشط"),IF($O443=ST_REV,"معكوس: لا أثر على الدفاتر",IF($O443=ST_CANC,"ملغى",IF($O443=ST_APPR,"معتمد ولم يُرحَّل","مسودة"))))),"")</f>
        <v/>
      </c>
      <c r="Y443" s="32">
        <f>IF($A443=1,IF(AND($R443=1,OR(LG_Acct="",$G443=LG_Acct),OR(LG_Party="",$K443=LG_Party),OR(LG_Loc="ALL",$I443=LG_Loc),OR(LG_CC="ALL",$J443=LG_CC),$D443&gt;=LG_From,$D443&lt;=LG_To),$D443+ROW()/1000000,""),"")</f>
        <v/>
      </c>
      <c r="Z443" s="32">
        <f>IF($A443=1,IF(Sales_Daily!$T38="","",Sales_Daily!$T38),"")</f>
        <v/>
      </c>
      <c r="AA443" s="32">
        <f>IF($A443=1,IF(Sales_Daily!$U38="","",Sales_Daily!$U38),"")</f>
        <v/>
      </c>
      <c r="AB443" s="32">
        <f>IF($A443=1,IF(Sales_Daily!$V38="","",Sales_Daily!$V38),"")</f>
        <v/>
      </c>
      <c r="AC443" s="32">
        <f>IF($A443=1,IF(Sales_Daily!$W38="","",Sales_Daily!$W38),"")</f>
        <v/>
      </c>
      <c r="AD443" s="32">
        <f>IF($A443=1,IF(Sales_Daily!$X38="","",Sales_Daily!$X38),"")</f>
        <v/>
      </c>
      <c r="AE443" s="32">
        <f>IF($A443=1,0,"")</f>
        <v/>
      </c>
      <c r="AF443" s="32" t="inlineStr"/>
    </row>
    <row r="444">
      <c r="A444" s="32">
        <f>IF(AND(Sales_Daily!$AV38=1,N(Sales_Daily!$AF38)&gt;0),1,0)</f>
        <v/>
      </c>
      <c r="B444" s="32">
        <f>IF($A444=1,$E444&amp;"/11","")</f>
        <v/>
      </c>
      <c r="C444" s="32">
        <f>IF($A444=1,"J-"&amp;Sales_Daily!$A38,"")</f>
        <v/>
      </c>
      <c r="D444" s="33">
        <f>IF($A444=1,Sales_Daily!$B38,"")</f>
        <v/>
      </c>
      <c r="E444" s="32">
        <f>IF($A444=1,IF(Sales_Daily!$A38="","",Sales_Daily!$A38),"")</f>
        <v/>
      </c>
      <c r="F444" s="32">
        <f>IF($A444=1,"SAL","")</f>
        <v/>
      </c>
      <c r="G444" s="32">
        <f>IF($A444=1,IF(Sales_Daily!$AS38="","",Sales_Daily!$AS38),"")</f>
        <v/>
      </c>
      <c r="H444" s="32">
        <f>IF($A444=1,IF(COUNTIF(COA!$A:$A,$G444)=0,"حساب غير معرف",INDEX(COA!$B:$B,MATCH($G444,COA!$A:$A,0))),"")</f>
        <v/>
      </c>
      <c r="I444" s="32">
        <f>IF($A444=1,IF(Sales_Daily!$C38="","",Sales_Daily!$C38),"")</f>
        <v/>
      </c>
      <c r="J444" s="32">
        <f>IF($A444=1,"CC10","")</f>
        <v/>
      </c>
      <c r="K444" s="32">
        <f>IF($A444=1,"-","")</f>
        <v/>
      </c>
      <c r="L444" s="32">
        <f>IF($A444=1,"إيراد مبيعات - فئة مكرونات","")</f>
        <v/>
      </c>
      <c r="M444" s="43">
        <f>IF($A444=1,0,"")</f>
        <v/>
      </c>
      <c r="N444" s="43">
        <f>IF($A444=1,Sales_Daily!$AF38,"")</f>
        <v/>
      </c>
      <c r="O444" s="32">
        <f>IF($A444=1,Sales_Daily!$S38,"")</f>
        <v/>
      </c>
      <c r="P444" s="32">
        <f>IF($A444=1,IF(Sales_Daily!$AW38="","",Sales_Daily!$AW38),"")</f>
        <v/>
      </c>
      <c r="Q444" s="32">
        <f>IF($A444=1,Sales_Daily!$AY38,"")</f>
        <v/>
      </c>
      <c r="R444" s="32">
        <f>IF($A444=1,IF(AND($Q444=1,COUNTIFS(COA!$A:$A,$G444,COA!$R:$R,1)=1),1,0),"")</f>
        <v/>
      </c>
      <c r="S444" s="43">
        <f>IF($A444=1,IF($R444=1,N($M444),0),"")</f>
        <v/>
      </c>
      <c r="T444" s="43">
        <f>IF($A444=1,IF($R444=1,N($N444),0),"")</f>
        <v/>
      </c>
      <c r="U444" s="32">
        <f>IF($A444=1,YEAR($D444)*100+MONTH($D444),"")</f>
        <v/>
      </c>
      <c r="V444" s="32">
        <f>IF($A444=1,IF(COUNTIF(COA!$A:$A,$G444)=0,0,INDEX(COA!$H:$H,MATCH($G444,COA!$A:$A,0))),"")</f>
        <v/>
      </c>
      <c r="W444" s="32">
        <f>IF($A444=1,"","")</f>
        <v/>
      </c>
      <c r="X444" s="32">
        <f>IF($A444=1,IF($R444=1,"",IF($O444=ST_POST,IF($P444&lt;&gt;"",$P444,"حساب غير صالح أو غير نشط"),IF($O444=ST_REV,"معكوس: لا أثر على الدفاتر",IF($O444=ST_CANC,"ملغى",IF($O444=ST_APPR,"معتمد ولم يُرحَّل","مسودة"))))),"")</f>
        <v/>
      </c>
      <c r="Y444" s="32">
        <f>IF($A444=1,IF(AND($R444=1,OR(LG_Acct="",$G444=LG_Acct),OR(LG_Party="",$K444=LG_Party),OR(LG_Loc="ALL",$I444=LG_Loc),OR(LG_CC="ALL",$J444=LG_CC),$D444&gt;=LG_From,$D444&lt;=LG_To),$D444+ROW()/1000000,""),"")</f>
        <v/>
      </c>
      <c r="Z444" s="32">
        <f>IF($A444=1,IF(Sales_Daily!$T38="","",Sales_Daily!$T38),"")</f>
        <v/>
      </c>
      <c r="AA444" s="32">
        <f>IF($A444=1,IF(Sales_Daily!$U38="","",Sales_Daily!$U38),"")</f>
        <v/>
      </c>
      <c r="AB444" s="32">
        <f>IF($A444=1,IF(Sales_Daily!$V38="","",Sales_Daily!$V38),"")</f>
        <v/>
      </c>
      <c r="AC444" s="32">
        <f>IF($A444=1,IF(Sales_Daily!$W38="","",Sales_Daily!$W38),"")</f>
        <v/>
      </c>
      <c r="AD444" s="32">
        <f>IF($A444=1,IF(Sales_Daily!$X38="","",Sales_Daily!$X38),"")</f>
        <v/>
      </c>
      <c r="AE444" s="32">
        <f>IF($A444=1,0,"")</f>
        <v/>
      </c>
      <c r="AF444" s="32" t="inlineStr"/>
    </row>
    <row r="445">
      <c r="A445" s="32">
        <f>IF(AND(Sales_Daily!$AV38=1,N(Sales_Daily!$AG38)&gt;0),1,0)</f>
        <v/>
      </c>
      <c r="B445" s="32">
        <f>IF($A445=1,$E445&amp;"/12","")</f>
        <v/>
      </c>
      <c r="C445" s="32">
        <f>IF($A445=1,"J-"&amp;Sales_Daily!$A38,"")</f>
        <v/>
      </c>
      <c r="D445" s="33">
        <f>IF($A445=1,Sales_Daily!$B38,"")</f>
        <v/>
      </c>
      <c r="E445" s="32">
        <f>IF($A445=1,IF(Sales_Daily!$A38="","",Sales_Daily!$A38),"")</f>
        <v/>
      </c>
      <c r="F445" s="32">
        <f>IF($A445=1,"SAL","")</f>
        <v/>
      </c>
      <c r="G445" s="32">
        <f>IF($A445=1,IF(Sales_Daily!$AT38="","",Sales_Daily!$AT38),"")</f>
        <v/>
      </c>
      <c r="H445" s="32">
        <f>IF($A445=1,IF(COUNTIF(COA!$A:$A,$G445)=0,"حساب غير معرف",INDEX(COA!$B:$B,MATCH($G445,COA!$A:$A,0))),"")</f>
        <v/>
      </c>
      <c r="I445" s="32">
        <f>IF($A445=1,IF(Sales_Daily!$C38="","",Sales_Daily!$C38),"")</f>
        <v/>
      </c>
      <c r="J445" s="32">
        <f>IF($A445=1,"CC10","")</f>
        <v/>
      </c>
      <c r="K445" s="32">
        <f>IF($A445=1,"-","")</f>
        <v/>
      </c>
      <c r="L445" s="32">
        <f>IF($A445=1,"إيراد مبيعات - فئة أخرى","")</f>
        <v/>
      </c>
      <c r="M445" s="43">
        <f>IF($A445=1,0,"")</f>
        <v/>
      </c>
      <c r="N445" s="43">
        <f>IF($A445=1,Sales_Daily!$AG38,"")</f>
        <v/>
      </c>
      <c r="O445" s="32">
        <f>IF($A445=1,Sales_Daily!$S38,"")</f>
        <v/>
      </c>
      <c r="P445" s="32">
        <f>IF($A445=1,IF(Sales_Daily!$AW38="","",Sales_Daily!$AW38),"")</f>
        <v/>
      </c>
      <c r="Q445" s="32">
        <f>IF($A445=1,Sales_Daily!$AY38,"")</f>
        <v/>
      </c>
      <c r="R445" s="32">
        <f>IF($A445=1,IF(AND($Q445=1,COUNTIFS(COA!$A:$A,$G445,COA!$R:$R,1)=1),1,0),"")</f>
        <v/>
      </c>
      <c r="S445" s="43">
        <f>IF($A445=1,IF($R445=1,N($M445),0),"")</f>
        <v/>
      </c>
      <c r="T445" s="43">
        <f>IF($A445=1,IF($R445=1,N($N445),0),"")</f>
        <v/>
      </c>
      <c r="U445" s="32">
        <f>IF($A445=1,YEAR($D445)*100+MONTH($D445),"")</f>
        <v/>
      </c>
      <c r="V445" s="32">
        <f>IF($A445=1,IF(COUNTIF(COA!$A:$A,$G445)=0,0,INDEX(COA!$H:$H,MATCH($G445,COA!$A:$A,0))),"")</f>
        <v/>
      </c>
      <c r="W445" s="32">
        <f>IF($A445=1,"","")</f>
        <v/>
      </c>
      <c r="X445" s="32">
        <f>IF($A445=1,IF($R445=1,"",IF($O445=ST_POST,IF($P445&lt;&gt;"",$P445,"حساب غير صالح أو غير نشط"),IF($O445=ST_REV,"معكوس: لا أثر على الدفاتر",IF($O445=ST_CANC,"ملغى",IF($O445=ST_APPR,"معتمد ولم يُرحَّل","مسودة"))))),"")</f>
        <v/>
      </c>
      <c r="Y445" s="32">
        <f>IF($A445=1,IF(AND($R445=1,OR(LG_Acct="",$G445=LG_Acct),OR(LG_Party="",$K445=LG_Party),OR(LG_Loc="ALL",$I445=LG_Loc),OR(LG_CC="ALL",$J445=LG_CC),$D445&gt;=LG_From,$D445&lt;=LG_To),$D445+ROW()/1000000,""),"")</f>
        <v/>
      </c>
      <c r="Z445" s="32">
        <f>IF($A445=1,IF(Sales_Daily!$T38="","",Sales_Daily!$T38),"")</f>
        <v/>
      </c>
      <c r="AA445" s="32">
        <f>IF($A445=1,IF(Sales_Daily!$U38="","",Sales_Daily!$U38),"")</f>
        <v/>
      </c>
      <c r="AB445" s="32">
        <f>IF($A445=1,IF(Sales_Daily!$V38="","",Sales_Daily!$V38),"")</f>
        <v/>
      </c>
      <c r="AC445" s="32">
        <f>IF($A445=1,IF(Sales_Daily!$W38="","",Sales_Daily!$W38),"")</f>
        <v/>
      </c>
      <c r="AD445" s="32">
        <f>IF($A445=1,IF(Sales_Daily!$X38="","",Sales_Daily!$X38),"")</f>
        <v/>
      </c>
      <c r="AE445" s="32">
        <f>IF($A445=1,0,"")</f>
        <v/>
      </c>
      <c r="AF445" s="32" t="inlineStr"/>
    </row>
    <row r="446">
      <c r="A446" s="32">
        <f>IF(AND(Sales_Daily!$AV38=1,N(Sales_Daily!$AJ38)&gt;0),1,0)</f>
        <v/>
      </c>
      <c r="B446" s="32">
        <f>IF($A446=1,$E446&amp;"/13","")</f>
        <v/>
      </c>
      <c r="C446" s="32">
        <f>IF($A446=1,"J-"&amp;Sales_Daily!$A38,"")</f>
        <v/>
      </c>
      <c r="D446" s="33">
        <f>IF($A446=1,Sales_Daily!$B38,"")</f>
        <v/>
      </c>
      <c r="E446" s="32">
        <f>IF($A446=1,IF(Sales_Daily!$A38="","",Sales_Daily!$A38),"")</f>
        <v/>
      </c>
      <c r="F446" s="32">
        <f>IF($A446=1,"SAL","")</f>
        <v/>
      </c>
      <c r="G446" s="32">
        <f>IF($A446=1,ACC_VAT_OUT,"")</f>
        <v/>
      </c>
      <c r="H446" s="32">
        <f>IF($A446=1,IF(COUNTIF(COA!$A:$A,$G446)=0,"حساب غير معرف",INDEX(COA!$B:$B,MATCH($G446,COA!$A:$A,0))),"")</f>
        <v/>
      </c>
      <c r="I446" s="32">
        <f>IF($A446=1,IF(Sales_Daily!$C38="","",Sales_Daily!$C38),"")</f>
        <v/>
      </c>
      <c r="J446" s="32">
        <f>IF($A446=1,"CC10","")</f>
        <v/>
      </c>
      <c r="K446" s="32">
        <f>IF($A446=1,"-","")</f>
        <v/>
      </c>
      <c r="L446" s="32">
        <f>IF($A446=1,"ضريبة القيمة المضافة - مخرجات","")</f>
        <v/>
      </c>
      <c r="M446" s="43">
        <f>IF($A446=1,0,"")</f>
        <v/>
      </c>
      <c r="N446" s="43">
        <f>IF($A446=1,Sales_Daily!$AJ38,"")</f>
        <v/>
      </c>
      <c r="O446" s="32">
        <f>IF($A446=1,Sales_Daily!$S38,"")</f>
        <v/>
      </c>
      <c r="P446" s="32">
        <f>IF($A446=1,IF(Sales_Daily!$AW38="","",Sales_Daily!$AW38),"")</f>
        <v/>
      </c>
      <c r="Q446" s="32">
        <f>IF($A446=1,Sales_Daily!$AY38,"")</f>
        <v/>
      </c>
      <c r="R446" s="32">
        <f>IF($A446=1,IF(AND($Q446=1,COUNTIFS(COA!$A:$A,$G446,COA!$R:$R,1)=1),1,0),"")</f>
        <v/>
      </c>
      <c r="S446" s="43">
        <f>IF($A446=1,IF($R446=1,N($M446),0),"")</f>
        <v/>
      </c>
      <c r="T446" s="43">
        <f>IF($A446=1,IF($R446=1,N($N446),0),"")</f>
        <v/>
      </c>
      <c r="U446" s="32">
        <f>IF($A446=1,YEAR($D446)*100+MONTH($D446),"")</f>
        <v/>
      </c>
      <c r="V446" s="32">
        <f>IF($A446=1,IF(COUNTIF(COA!$A:$A,$G446)=0,0,INDEX(COA!$H:$H,MATCH($G446,COA!$A:$A,0))),"")</f>
        <v/>
      </c>
      <c r="W446" s="32">
        <f>IF($A446=1,"","")</f>
        <v/>
      </c>
      <c r="X446" s="32">
        <f>IF($A446=1,IF($R446=1,"",IF($O446=ST_POST,IF($P446&lt;&gt;"",$P446,"حساب غير صالح أو غير نشط"),IF($O446=ST_REV,"معكوس: لا أثر على الدفاتر",IF($O446=ST_CANC,"ملغى",IF($O446=ST_APPR,"معتمد ولم يُرحَّل","مسودة"))))),"")</f>
        <v/>
      </c>
      <c r="Y446" s="32">
        <f>IF($A446=1,IF(AND($R446=1,OR(LG_Acct="",$G446=LG_Acct),OR(LG_Party="",$K446=LG_Party),OR(LG_Loc="ALL",$I446=LG_Loc),OR(LG_CC="ALL",$J446=LG_CC),$D446&gt;=LG_From,$D446&lt;=LG_To),$D446+ROW()/1000000,""),"")</f>
        <v/>
      </c>
      <c r="Z446" s="32">
        <f>IF($A446=1,IF(Sales_Daily!$T38="","",Sales_Daily!$T38),"")</f>
        <v/>
      </c>
      <c r="AA446" s="32">
        <f>IF($A446=1,IF(Sales_Daily!$U38="","",Sales_Daily!$U38),"")</f>
        <v/>
      </c>
      <c r="AB446" s="32">
        <f>IF($A446=1,IF(Sales_Daily!$V38="","",Sales_Daily!$V38),"")</f>
        <v/>
      </c>
      <c r="AC446" s="32">
        <f>IF($A446=1,IF(Sales_Daily!$W38="","",Sales_Daily!$W38),"")</f>
        <v/>
      </c>
      <c r="AD446" s="32">
        <f>IF($A446=1,IF(Sales_Daily!$X38="","",Sales_Daily!$X38),"")</f>
        <v/>
      </c>
      <c r="AE446" s="32">
        <f>IF($A446=1,0,"")</f>
        <v/>
      </c>
      <c r="AF446" s="32" t="inlineStr"/>
    </row>
    <row r="447">
      <c r="A447" s="32">
        <f>IF(AND(Sales_Daily!$AV39=1,N(Sales_Daily!$L39)&gt;0),1,0)</f>
        <v/>
      </c>
      <c r="B447" s="32">
        <f>IF($A447=1,$E447&amp;"/1","")</f>
        <v/>
      </c>
      <c r="C447" s="32">
        <f>IF($A447=1,"J-"&amp;Sales_Daily!$A39,"")</f>
        <v/>
      </c>
      <c r="D447" s="33">
        <f>IF($A447=1,Sales_Daily!$B39,"")</f>
        <v/>
      </c>
      <c r="E447" s="32">
        <f>IF($A447=1,IF(Sales_Daily!$A39="","",Sales_Daily!$A39),"")</f>
        <v/>
      </c>
      <c r="F447" s="32">
        <f>IF($A447=1,"SAL","")</f>
        <v/>
      </c>
      <c r="G447" s="32">
        <f>IF($A447=1,IF(Sales_Daily!$AK39="","",Sales_Daily!$AK39),"")</f>
        <v/>
      </c>
      <c r="H447" s="32">
        <f>IF($A447=1,IF(COUNTIF(COA!$A:$A,$G447)=0,"حساب غير معرف",INDEX(COA!$B:$B,MATCH($G447,COA!$A:$A,0))),"")</f>
        <v/>
      </c>
      <c r="I447" s="32">
        <f>IF($A447=1,IF(Sales_Daily!$C39="","",Sales_Daily!$C39),"")</f>
        <v/>
      </c>
      <c r="J447" s="32">
        <f>IF($A447=1,"CC10","")</f>
        <v/>
      </c>
      <c r="K447" s="32">
        <f>IF($A447=1,"-","")</f>
        <v/>
      </c>
      <c r="L447" s="32">
        <f>IF($A447=1,"مبيعات - تحصيل CASH","")</f>
        <v/>
      </c>
      <c r="M447" s="43">
        <f>IF($A447=1,Sales_Daily!$L39,"")</f>
        <v/>
      </c>
      <c r="N447" s="43">
        <f>IF($A447=1,0,"")</f>
        <v/>
      </c>
      <c r="O447" s="32">
        <f>IF($A447=1,Sales_Daily!$S39,"")</f>
        <v/>
      </c>
      <c r="P447" s="32">
        <f>IF($A447=1,IF(Sales_Daily!$AW39="","",Sales_Daily!$AW39),"")</f>
        <v/>
      </c>
      <c r="Q447" s="32">
        <f>IF($A447=1,Sales_Daily!$AY39,"")</f>
        <v/>
      </c>
      <c r="R447" s="32">
        <f>IF($A447=1,IF(AND($Q447=1,COUNTIFS(COA!$A:$A,$G447,COA!$R:$R,1)=1),1,0),"")</f>
        <v/>
      </c>
      <c r="S447" s="43">
        <f>IF($A447=1,IF($R447=1,N($M447),0),"")</f>
        <v/>
      </c>
      <c r="T447" s="43">
        <f>IF($A447=1,IF($R447=1,N($N447),0),"")</f>
        <v/>
      </c>
      <c r="U447" s="32">
        <f>IF($A447=1,YEAR($D447)*100+MONTH($D447),"")</f>
        <v/>
      </c>
      <c r="V447" s="32">
        <f>IF($A447=1,IF(COUNTIF(COA!$A:$A,$G447)=0,0,INDEX(COA!$H:$H,MATCH($G447,COA!$A:$A,0))),"")</f>
        <v/>
      </c>
      <c r="W447" s="32">
        <f>IF($A447=1,"OPERATING","")</f>
        <v/>
      </c>
      <c r="X447" s="32">
        <f>IF($A447=1,IF($R447=1,"",IF($O447=ST_POST,IF($P447&lt;&gt;"",$P447,"حساب غير صالح أو غير نشط"),IF($O447=ST_REV,"معكوس: لا أثر على الدفاتر",IF($O447=ST_CANC,"ملغى",IF($O447=ST_APPR,"معتمد ولم يُرحَّل","مسودة"))))),"")</f>
        <v/>
      </c>
      <c r="Y447" s="32">
        <f>IF($A447=1,IF(AND($R447=1,OR(LG_Acct="",$G447=LG_Acct),OR(LG_Party="",$K447=LG_Party),OR(LG_Loc="ALL",$I447=LG_Loc),OR(LG_CC="ALL",$J447=LG_CC),$D447&gt;=LG_From,$D447&lt;=LG_To),$D447+ROW()/1000000,""),"")</f>
        <v/>
      </c>
      <c r="Z447" s="32">
        <f>IF($A447=1,IF(Sales_Daily!$T39="","",Sales_Daily!$T39),"")</f>
        <v/>
      </c>
      <c r="AA447" s="32">
        <f>IF($A447=1,IF(Sales_Daily!$U39="","",Sales_Daily!$U39),"")</f>
        <v/>
      </c>
      <c r="AB447" s="32">
        <f>IF($A447=1,IF(Sales_Daily!$V39="","",Sales_Daily!$V39),"")</f>
        <v/>
      </c>
      <c r="AC447" s="32">
        <f>IF($A447=1,IF(Sales_Daily!$W39="","",Sales_Daily!$W39),"")</f>
        <v/>
      </c>
      <c r="AD447" s="32">
        <f>IF($A447=1,IF(Sales_Daily!$X39="","",Sales_Daily!$X39),"")</f>
        <v/>
      </c>
      <c r="AE447" s="32">
        <f>IF($A447=1,0,"")</f>
        <v/>
      </c>
      <c r="AF447" s="32" t="inlineStr"/>
    </row>
    <row r="448">
      <c r="A448" s="32">
        <f>IF(AND(Sales_Daily!$AV39=1,N(Sales_Daily!$M39)&gt;0),1,0)</f>
        <v/>
      </c>
      <c r="B448" s="32">
        <f>IF($A448=1,$E448&amp;"/2","")</f>
        <v/>
      </c>
      <c r="C448" s="32">
        <f>IF($A448=1,"J-"&amp;Sales_Daily!$A39,"")</f>
        <v/>
      </c>
      <c r="D448" s="33">
        <f>IF($A448=1,Sales_Daily!$B39,"")</f>
        <v/>
      </c>
      <c r="E448" s="32">
        <f>IF($A448=1,IF(Sales_Daily!$A39="","",Sales_Daily!$A39),"")</f>
        <v/>
      </c>
      <c r="F448" s="32">
        <f>IF($A448=1,"SAL","")</f>
        <v/>
      </c>
      <c r="G448" s="32">
        <f>IF($A448=1,IF(Sales_Daily!$AL39="","",Sales_Daily!$AL39),"")</f>
        <v/>
      </c>
      <c r="H448" s="32">
        <f>IF($A448=1,IF(COUNTIF(COA!$A:$A,$G448)=0,"حساب غير معرف",INDEX(COA!$B:$B,MATCH($G448,COA!$A:$A,0))),"")</f>
        <v/>
      </c>
      <c r="I448" s="32">
        <f>IF($A448=1,IF(Sales_Daily!$C39="","",Sales_Daily!$C39),"")</f>
        <v/>
      </c>
      <c r="J448" s="32">
        <f>IF($A448=1,"CC10","")</f>
        <v/>
      </c>
      <c r="K448" s="32">
        <f>IF($A448=1,"-","")</f>
        <v/>
      </c>
      <c r="L448" s="32">
        <f>IF($A448=1,"مبيعات - تحصيل CARD","")</f>
        <v/>
      </c>
      <c r="M448" s="43">
        <f>IF($A448=1,Sales_Daily!$M39,"")</f>
        <v/>
      </c>
      <c r="N448" s="43">
        <f>IF($A448=1,0,"")</f>
        <v/>
      </c>
      <c r="O448" s="32">
        <f>IF($A448=1,Sales_Daily!$S39,"")</f>
        <v/>
      </c>
      <c r="P448" s="32">
        <f>IF($A448=1,IF(Sales_Daily!$AW39="","",Sales_Daily!$AW39),"")</f>
        <v/>
      </c>
      <c r="Q448" s="32">
        <f>IF($A448=1,Sales_Daily!$AY39,"")</f>
        <v/>
      </c>
      <c r="R448" s="32">
        <f>IF($A448=1,IF(AND($Q448=1,COUNTIFS(COA!$A:$A,$G448,COA!$R:$R,1)=1),1,0),"")</f>
        <v/>
      </c>
      <c r="S448" s="43">
        <f>IF($A448=1,IF($R448=1,N($M448),0),"")</f>
        <v/>
      </c>
      <c r="T448" s="43">
        <f>IF($A448=1,IF($R448=1,N($N448),0),"")</f>
        <v/>
      </c>
      <c r="U448" s="32">
        <f>IF($A448=1,YEAR($D448)*100+MONTH($D448),"")</f>
        <v/>
      </c>
      <c r="V448" s="32">
        <f>IF($A448=1,IF(COUNTIF(COA!$A:$A,$G448)=0,0,INDEX(COA!$H:$H,MATCH($G448,COA!$A:$A,0))),"")</f>
        <v/>
      </c>
      <c r="W448" s="32">
        <f>IF($A448=1,"OPERATING","")</f>
        <v/>
      </c>
      <c r="X448" s="32">
        <f>IF($A448=1,IF($R448=1,"",IF($O448=ST_POST,IF($P448&lt;&gt;"",$P448,"حساب غير صالح أو غير نشط"),IF($O448=ST_REV,"معكوس: لا أثر على الدفاتر",IF($O448=ST_CANC,"ملغى",IF($O448=ST_APPR,"معتمد ولم يُرحَّل","مسودة"))))),"")</f>
        <v/>
      </c>
      <c r="Y448" s="32">
        <f>IF($A448=1,IF(AND($R448=1,OR(LG_Acct="",$G448=LG_Acct),OR(LG_Party="",$K448=LG_Party),OR(LG_Loc="ALL",$I448=LG_Loc),OR(LG_CC="ALL",$J448=LG_CC),$D448&gt;=LG_From,$D448&lt;=LG_To),$D448+ROW()/1000000,""),"")</f>
        <v/>
      </c>
      <c r="Z448" s="32">
        <f>IF($A448=1,IF(Sales_Daily!$T39="","",Sales_Daily!$T39),"")</f>
        <v/>
      </c>
      <c r="AA448" s="32">
        <f>IF($A448=1,IF(Sales_Daily!$U39="","",Sales_Daily!$U39),"")</f>
        <v/>
      </c>
      <c r="AB448" s="32">
        <f>IF($A448=1,IF(Sales_Daily!$V39="","",Sales_Daily!$V39),"")</f>
        <v/>
      </c>
      <c r="AC448" s="32">
        <f>IF($A448=1,IF(Sales_Daily!$W39="","",Sales_Daily!$W39),"")</f>
        <v/>
      </c>
      <c r="AD448" s="32">
        <f>IF($A448=1,IF(Sales_Daily!$X39="","",Sales_Daily!$X39),"")</f>
        <v/>
      </c>
      <c r="AE448" s="32">
        <f>IF($A448=1,0,"")</f>
        <v/>
      </c>
      <c r="AF448" s="32" t="inlineStr"/>
    </row>
    <row r="449">
      <c r="A449" s="32">
        <f>IF(AND(Sales_Daily!$AV39=1,N(Sales_Daily!$N39)&gt;0),1,0)</f>
        <v/>
      </c>
      <c r="B449" s="32">
        <f>IF($A449=1,$E449&amp;"/3","")</f>
        <v/>
      </c>
      <c r="C449" s="32">
        <f>IF($A449=1,"J-"&amp;Sales_Daily!$A39,"")</f>
        <v/>
      </c>
      <c r="D449" s="33">
        <f>IF($A449=1,Sales_Daily!$B39,"")</f>
        <v/>
      </c>
      <c r="E449" s="32">
        <f>IF($A449=1,IF(Sales_Daily!$A39="","",Sales_Daily!$A39),"")</f>
        <v/>
      </c>
      <c r="F449" s="32">
        <f>IF($A449=1,"SAL","")</f>
        <v/>
      </c>
      <c r="G449" s="32">
        <f>IF($A449=1,IF(Sales_Daily!$AM39="","",Sales_Daily!$AM39),"")</f>
        <v/>
      </c>
      <c r="H449" s="32">
        <f>IF($A449=1,IF(COUNTIF(COA!$A:$A,$G449)=0,"حساب غير معرف",INDEX(COA!$B:$B,MATCH($G449,COA!$A:$A,0))),"")</f>
        <v/>
      </c>
      <c r="I449" s="32">
        <f>IF($A449=1,IF(Sales_Daily!$C39="","",Sales_Daily!$C39),"")</f>
        <v/>
      </c>
      <c r="J449" s="32">
        <f>IF($A449=1,"CC10","")</f>
        <v/>
      </c>
      <c r="K449" s="32">
        <f>IF($A449=1,"-","")</f>
        <v/>
      </c>
      <c r="L449" s="32">
        <f>IF($A449=1,"مبيعات - تحصيل TLB","")</f>
        <v/>
      </c>
      <c r="M449" s="43">
        <f>IF($A449=1,Sales_Daily!$N39,"")</f>
        <v/>
      </c>
      <c r="N449" s="43">
        <f>IF($A449=1,0,"")</f>
        <v/>
      </c>
      <c r="O449" s="32">
        <f>IF($A449=1,Sales_Daily!$S39,"")</f>
        <v/>
      </c>
      <c r="P449" s="32">
        <f>IF($A449=1,IF(Sales_Daily!$AW39="","",Sales_Daily!$AW39),"")</f>
        <v/>
      </c>
      <c r="Q449" s="32">
        <f>IF($A449=1,Sales_Daily!$AY39,"")</f>
        <v/>
      </c>
      <c r="R449" s="32">
        <f>IF($A449=1,IF(AND($Q449=1,COUNTIFS(COA!$A:$A,$G449,COA!$R:$R,1)=1),1,0),"")</f>
        <v/>
      </c>
      <c r="S449" s="43">
        <f>IF($A449=1,IF($R449=1,N($M449),0),"")</f>
        <v/>
      </c>
      <c r="T449" s="43">
        <f>IF($A449=1,IF($R449=1,N($N449),0),"")</f>
        <v/>
      </c>
      <c r="U449" s="32">
        <f>IF($A449=1,YEAR($D449)*100+MONTH($D449),"")</f>
        <v/>
      </c>
      <c r="V449" s="32">
        <f>IF($A449=1,IF(COUNTIF(COA!$A:$A,$G449)=0,0,INDEX(COA!$H:$H,MATCH($G449,COA!$A:$A,0))),"")</f>
        <v/>
      </c>
      <c r="W449" s="32">
        <f>IF($A449=1,"OPERATING","")</f>
        <v/>
      </c>
      <c r="X449" s="32">
        <f>IF($A449=1,IF($R449=1,"",IF($O449=ST_POST,IF($P449&lt;&gt;"",$P449,"حساب غير صالح أو غير نشط"),IF($O449=ST_REV,"معكوس: لا أثر على الدفاتر",IF($O449=ST_CANC,"ملغى",IF($O449=ST_APPR,"معتمد ولم يُرحَّل","مسودة"))))),"")</f>
        <v/>
      </c>
      <c r="Y449" s="32">
        <f>IF($A449=1,IF(AND($R449=1,OR(LG_Acct="",$G449=LG_Acct),OR(LG_Party="",$K449=LG_Party),OR(LG_Loc="ALL",$I449=LG_Loc),OR(LG_CC="ALL",$J449=LG_CC),$D449&gt;=LG_From,$D449&lt;=LG_To),$D449+ROW()/1000000,""),"")</f>
        <v/>
      </c>
      <c r="Z449" s="32">
        <f>IF($A449=1,IF(Sales_Daily!$T39="","",Sales_Daily!$T39),"")</f>
        <v/>
      </c>
      <c r="AA449" s="32">
        <f>IF($A449=1,IF(Sales_Daily!$U39="","",Sales_Daily!$U39),"")</f>
        <v/>
      </c>
      <c r="AB449" s="32">
        <f>IF($A449=1,IF(Sales_Daily!$V39="","",Sales_Daily!$V39),"")</f>
        <v/>
      </c>
      <c r="AC449" s="32">
        <f>IF($A449=1,IF(Sales_Daily!$W39="","",Sales_Daily!$W39),"")</f>
        <v/>
      </c>
      <c r="AD449" s="32">
        <f>IF($A449=1,IF(Sales_Daily!$X39="","",Sales_Daily!$X39),"")</f>
        <v/>
      </c>
      <c r="AE449" s="32">
        <f>IF($A449=1,0,"")</f>
        <v/>
      </c>
      <c r="AF449" s="32" t="inlineStr"/>
    </row>
    <row r="450">
      <c r="A450" s="32">
        <f>IF(AND(Sales_Daily!$AV39=1,N(Sales_Daily!$O39)&gt;0),1,0)</f>
        <v/>
      </c>
      <c r="B450" s="32">
        <f>IF($A450=1,$E450&amp;"/4","")</f>
        <v/>
      </c>
      <c r="C450" s="32">
        <f>IF($A450=1,"J-"&amp;Sales_Daily!$A39,"")</f>
        <v/>
      </c>
      <c r="D450" s="33">
        <f>IF($A450=1,Sales_Daily!$B39,"")</f>
        <v/>
      </c>
      <c r="E450" s="32">
        <f>IF($A450=1,IF(Sales_Daily!$A39="","",Sales_Daily!$A39),"")</f>
        <v/>
      </c>
      <c r="F450" s="32">
        <f>IF($A450=1,"SAL","")</f>
        <v/>
      </c>
      <c r="G450" s="32">
        <f>IF($A450=1,IF(Sales_Daily!$AN39="","",Sales_Daily!$AN39),"")</f>
        <v/>
      </c>
      <c r="H450" s="32">
        <f>IF($A450=1,IF(COUNTIF(COA!$A:$A,$G450)=0,"حساب غير معرف",INDEX(COA!$B:$B,MATCH($G450,COA!$A:$A,0))),"")</f>
        <v/>
      </c>
      <c r="I450" s="32">
        <f>IF($A450=1,IF(Sales_Daily!$C39="","",Sales_Daily!$C39),"")</f>
        <v/>
      </c>
      <c r="J450" s="32">
        <f>IF($A450=1,"CC10","")</f>
        <v/>
      </c>
      <c r="K450" s="32">
        <f>IF($A450=1,"-","")</f>
        <v/>
      </c>
      <c r="L450" s="32">
        <f>IF($A450=1,"مبيعات - تحصيل DLV2","")</f>
        <v/>
      </c>
      <c r="M450" s="43">
        <f>IF($A450=1,Sales_Daily!$O39,"")</f>
        <v/>
      </c>
      <c r="N450" s="43">
        <f>IF($A450=1,0,"")</f>
        <v/>
      </c>
      <c r="O450" s="32">
        <f>IF($A450=1,Sales_Daily!$S39,"")</f>
        <v/>
      </c>
      <c r="P450" s="32">
        <f>IF($A450=1,IF(Sales_Daily!$AW39="","",Sales_Daily!$AW39),"")</f>
        <v/>
      </c>
      <c r="Q450" s="32">
        <f>IF($A450=1,Sales_Daily!$AY39,"")</f>
        <v/>
      </c>
      <c r="R450" s="32">
        <f>IF($A450=1,IF(AND($Q450=1,COUNTIFS(COA!$A:$A,$G450,COA!$R:$R,1)=1),1,0),"")</f>
        <v/>
      </c>
      <c r="S450" s="43">
        <f>IF($A450=1,IF($R450=1,N($M450),0),"")</f>
        <v/>
      </c>
      <c r="T450" s="43">
        <f>IF($A450=1,IF($R450=1,N($N450),0),"")</f>
        <v/>
      </c>
      <c r="U450" s="32">
        <f>IF($A450=1,YEAR($D450)*100+MONTH($D450),"")</f>
        <v/>
      </c>
      <c r="V450" s="32">
        <f>IF($A450=1,IF(COUNTIF(COA!$A:$A,$G450)=0,0,INDEX(COA!$H:$H,MATCH($G450,COA!$A:$A,0))),"")</f>
        <v/>
      </c>
      <c r="W450" s="32">
        <f>IF($A450=1,"OPERATING","")</f>
        <v/>
      </c>
      <c r="X450" s="32">
        <f>IF($A450=1,IF($R450=1,"",IF($O450=ST_POST,IF($P450&lt;&gt;"",$P450,"حساب غير صالح أو غير نشط"),IF($O450=ST_REV,"معكوس: لا أثر على الدفاتر",IF($O450=ST_CANC,"ملغى",IF($O450=ST_APPR,"معتمد ولم يُرحَّل","مسودة"))))),"")</f>
        <v/>
      </c>
      <c r="Y450" s="32">
        <f>IF($A450=1,IF(AND($R450=1,OR(LG_Acct="",$G450=LG_Acct),OR(LG_Party="",$K450=LG_Party),OR(LG_Loc="ALL",$I450=LG_Loc),OR(LG_CC="ALL",$J450=LG_CC),$D450&gt;=LG_From,$D450&lt;=LG_To),$D450+ROW()/1000000,""),"")</f>
        <v/>
      </c>
      <c r="Z450" s="32">
        <f>IF($A450=1,IF(Sales_Daily!$T39="","",Sales_Daily!$T39),"")</f>
        <v/>
      </c>
      <c r="AA450" s="32">
        <f>IF($A450=1,IF(Sales_Daily!$U39="","",Sales_Daily!$U39),"")</f>
        <v/>
      </c>
      <c r="AB450" s="32">
        <f>IF($A450=1,IF(Sales_Daily!$V39="","",Sales_Daily!$V39),"")</f>
        <v/>
      </c>
      <c r="AC450" s="32">
        <f>IF($A450=1,IF(Sales_Daily!$W39="","",Sales_Daily!$W39),"")</f>
        <v/>
      </c>
      <c r="AD450" s="32">
        <f>IF($A450=1,IF(Sales_Daily!$X39="","",Sales_Daily!$X39),"")</f>
        <v/>
      </c>
      <c r="AE450" s="32">
        <f>IF($A450=1,0,"")</f>
        <v/>
      </c>
      <c r="AF450" s="32" t="inlineStr"/>
    </row>
    <row r="451">
      <c r="A451" s="32">
        <f>IF(AND(Sales_Daily!$AV39=1,N(Sales_Daily!$P39)&gt;0),1,0)</f>
        <v/>
      </c>
      <c r="B451" s="32">
        <f>IF($A451=1,$E451&amp;"/5","")</f>
        <v/>
      </c>
      <c r="C451" s="32">
        <f>IF($A451=1,"J-"&amp;Sales_Daily!$A39,"")</f>
        <v/>
      </c>
      <c r="D451" s="33">
        <f>IF($A451=1,Sales_Daily!$B39,"")</f>
        <v/>
      </c>
      <c r="E451" s="32">
        <f>IF($A451=1,IF(Sales_Daily!$A39="","",Sales_Daily!$A39),"")</f>
        <v/>
      </c>
      <c r="F451" s="32">
        <f>IF($A451=1,"SAL","")</f>
        <v/>
      </c>
      <c r="G451" s="32">
        <f>IF($A451=1,IF(Sales_Daily!$AO39="","",Sales_Daily!$AO39),"")</f>
        <v/>
      </c>
      <c r="H451" s="32">
        <f>IF($A451=1,IF(COUNTIF(COA!$A:$A,$G451)=0,"حساب غير معرف",INDEX(COA!$B:$B,MATCH($G451,COA!$A:$A,0))),"")</f>
        <v/>
      </c>
      <c r="I451" s="32">
        <f>IF($A451=1,IF(Sales_Daily!$C39="","",Sales_Daily!$C39),"")</f>
        <v/>
      </c>
      <c r="J451" s="32">
        <f>IF($A451=1,"CC10","")</f>
        <v/>
      </c>
      <c r="K451" s="32">
        <f>IF($A451=1,"-","")</f>
        <v/>
      </c>
      <c r="L451" s="32">
        <f>IF($A451=1,"مبيعات - تحصيل INSTA","")</f>
        <v/>
      </c>
      <c r="M451" s="43">
        <f>IF($A451=1,Sales_Daily!$P39,"")</f>
        <v/>
      </c>
      <c r="N451" s="43">
        <f>IF($A451=1,0,"")</f>
        <v/>
      </c>
      <c r="O451" s="32">
        <f>IF($A451=1,Sales_Daily!$S39,"")</f>
        <v/>
      </c>
      <c r="P451" s="32">
        <f>IF($A451=1,IF(Sales_Daily!$AW39="","",Sales_Daily!$AW39),"")</f>
        <v/>
      </c>
      <c r="Q451" s="32">
        <f>IF($A451=1,Sales_Daily!$AY39,"")</f>
        <v/>
      </c>
      <c r="R451" s="32">
        <f>IF($A451=1,IF(AND($Q451=1,COUNTIFS(COA!$A:$A,$G451,COA!$R:$R,1)=1),1,0),"")</f>
        <v/>
      </c>
      <c r="S451" s="43">
        <f>IF($A451=1,IF($R451=1,N($M451),0),"")</f>
        <v/>
      </c>
      <c r="T451" s="43">
        <f>IF($A451=1,IF($R451=1,N($N451),0),"")</f>
        <v/>
      </c>
      <c r="U451" s="32">
        <f>IF($A451=1,YEAR($D451)*100+MONTH($D451),"")</f>
        <v/>
      </c>
      <c r="V451" s="32">
        <f>IF($A451=1,IF(COUNTIF(COA!$A:$A,$G451)=0,0,INDEX(COA!$H:$H,MATCH($G451,COA!$A:$A,0))),"")</f>
        <v/>
      </c>
      <c r="W451" s="32">
        <f>IF($A451=1,"OPERATING","")</f>
        <v/>
      </c>
      <c r="X451" s="32">
        <f>IF($A451=1,IF($R451=1,"",IF($O451=ST_POST,IF($P451&lt;&gt;"",$P451,"حساب غير صالح أو غير نشط"),IF($O451=ST_REV,"معكوس: لا أثر على الدفاتر",IF($O451=ST_CANC,"ملغى",IF($O451=ST_APPR,"معتمد ولم يُرحَّل","مسودة"))))),"")</f>
        <v/>
      </c>
      <c r="Y451" s="32">
        <f>IF($A451=1,IF(AND($R451=1,OR(LG_Acct="",$G451=LG_Acct),OR(LG_Party="",$K451=LG_Party),OR(LG_Loc="ALL",$I451=LG_Loc),OR(LG_CC="ALL",$J451=LG_CC),$D451&gt;=LG_From,$D451&lt;=LG_To),$D451+ROW()/1000000,""),"")</f>
        <v/>
      </c>
      <c r="Z451" s="32">
        <f>IF($A451=1,IF(Sales_Daily!$T39="","",Sales_Daily!$T39),"")</f>
        <v/>
      </c>
      <c r="AA451" s="32">
        <f>IF($A451=1,IF(Sales_Daily!$U39="","",Sales_Daily!$U39),"")</f>
        <v/>
      </c>
      <c r="AB451" s="32">
        <f>IF($A451=1,IF(Sales_Daily!$V39="","",Sales_Daily!$V39),"")</f>
        <v/>
      </c>
      <c r="AC451" s="32">
        <f>IF($A451=1,IF(Sales_Daily!$W39="","",Sales_Daily!$W39),"")</f>
        <v/>
      </c>
      <c r="AD451" s="32">
        <f>IF($A451=1,IF(Sales_Daily!$X39="","",Sales_Daily!$X39),"")</f>
        <v/>
      </c>
      <c r="AE451" s="32">
        <f>IF($A451=1,0,"")</f>
        <v/>
      </c>
      <c r="AF451" s="32" t="inlineStr"/>
    </row>
    <row r="452">
      <c r="A452" s="32">
        <f>IF(AND(Sales_Daily!$AV39=1,N(Sales_Daily!$Q39)&gt;0),1,0)</f>
        <v/>
      </c>
      <c r="B452" s="32">
        <f>IF($A452=1,$E452&amp;"/6","")</f>
        <v/>
      </c>
      <c r="C452" s="32">
        <f>IF($A452=1,"J-"&amp;Sales_Daily!$A39,"")</f>
        <v/>
      </c>
      <c r="D452" s="33">
        <f>IF($A452=1,Sales_Daily!$B39,"")</f>
        <v/>
      </c>
      <c r="E452" s="32">
        <f>IF($A452=1,IF(Sales_Daily!$A39="","",Sales_Daily!$A39),"")</f>
        <v/>
      </c>
      <c r="F452" s="32">
        <f>IF($A452=1,"SAL","")</f>
        <v/>
      </c>
      <c r="G452" s="32">
        <f>IF($A452=1,IF(Sales_Daily!$AP39="","",Sales_Daily!$AP39),"")</f>
        <v/>
      </c>
      <c r="H452" s="32">
        <f>IF($A452=1,IF(COUNTIF(COA!$A:$A,$G452)=0,"حساب غير معرف",INDEX(COA!$B:$B,MATCH($G452,COA!$A:$A,0))),"")</f>
        <v/>
      </c>
      <c r="I452" s="32">
        <f>IF($A452=1,IF(Sales_Daily!$C39="","",Sales_Daily!$C39),"")</f>
        <v/>
      </c>
      <c r="J452" s="32">
        <f>IF($A452=1,"CC10","")</f>
        <v/>
      </c>
      <c r="K452" s="32">
        <f>IF($A452=1,"-","")</f>
        <v/>
      </c>
      <c r="L452" s="32">
        <f>IF($A452=1,"مبيعات - تحصيل OTH","")</f>
        <v/>
      </c>
      <c r="M452" s="43">
        <f>IF($A452=1,Sales_Daily!$Q39,"")</f>
        <v/>
      </c>
      <c r="N452" s="43">
        <f>IF($A452=1,0,"")</f>
        <v/>
      </c>
      <c r="O452" s="32">
        <f>IF($A452=1,Sales_Daily!$S39,"")</f>
        <v/>
      </c>
      <c r="P452" s="32">
        <f>IF($A452=1,IF(Sales_Daily!$AW39="","",Sales_Daily!$AW39),"")</f>
        <v/>
      </c>
      <c r="Q452" s="32">
        <f>IF($A452=1,Sales_Daily!$AY39,"")</f>
        <v/>
      </c>
      <c r="R452" s="32">
        <f>IF($A452=1,IF(AND($Q452=1,COUNTIFS(COA!$A:$A,$G452,COA!$R:$R,1)=1),1,0),"")</f>
        <v/>
      </c>
      <c r="S452" s="43">
        <f>IF($A452=1,IF($R452=1,N($M452),0),"")</f>
        <v/>
      </c>
      <c r="T452" s="43">
        <f>IF($A452=1,IF($R452=1,N($N452),0),"")</f>
        <v/>
      </c>
      <c r="U452" s="32">
        <f>IF($A452=1,YEAR($D452)*100+MONTH($D452),"")</f>
        <v/>
      </c>
      <c r="V452" s="32">
        <f>IF($A452=1,IF(COUNTIF(COA!$A:$A,$G452)=0,0,INDEX(COA!$H:$H,MATCH($G452,COA!$A:$A,0))),"")</f>
        <v/>
      </c>
      <c r="W452" s="32">
        <f>IF($A452=1,"OPERATING","")</f>
        <v/>
      </c>
      <c r="X452" s="32">
        <f>IF($A452=1,IF($R452=1,"",IF($O452=ST_POST,IF($P452&lt;&gt;"",$P452,"حساب غير صالح أو غير نشط"),IF($O452=ST_REV,"معكوس: لا أثر على الدفاتر",IF($O452=ST_CANC,"ملغى",IF($O452=ST_APPR,"معتمد ولم يُرحَّل","مسودة"))))),"")</f>
        <v/>
      </c>
      <c r="Y452" s="32">
        <f>IF($A452=1,IF(AND($R452=1,OR(LG_Acct="",$G452=LG_Acct),OR(LG_Party="",$K452=LG_Party),OR(LG_Loc="ALL",$I452=LG_Loc),OR(LG_CC="ALL",$J452=LG_CC),$D452&gt;=LG_From,$D452&lt;=LG_To),$D452+ROW()/1000000,""),"")</f>
        <v/>
      </c>
      <c r="Z452" s="32">
        <f>IF($A452=1,IF(Sales_Daily!$T39="","",Sales_Daily!$T39),"")</f>
        <v/>
      </c>
      <c r="AA452" s="32">
        <f>IF($A452=1,IF(Sales_Daily!$U39="","",Sales_Daily!$U39),"")</f>
        <v/>
      </c>
      <c r="AB452" s="32">
        <f>IF($A452=1,IF(Sales_Daily!$V39="","",Sales_Daily!$V39),"")</f>
        <v/>
      </c>
      <c r="AC452" s="32">
        <f>IF($A452=1,IF(Sales_Daily!$W39="","",Sales_Daily!$W39),"")</f>
        <v/>
      </c>
      <c r="AD452" s="32">
        <f>IF($A452=1,IF(Sales_Daily!$X39="","",Sales_Daily!$X39),"")</f>
        <v/>
      </c>
      <c r="AE452" s="32">
        <f>IF($A452=1,0,"")</f>
        <v/>
      </c>
      <c r="AF452" s="32" t="inlineStr"/>
    </row>
    <row r="453">
      <c r="A453" s="32">
        <f>IF(AND(Sales_Daily!$AV39=1,N(Sales_Daily!$AH39)&gt;0),1,0)</f>
        <v/>
      </c>
      <c r="B453" s="32">
        <f>IF($A453=1,$E453&amp;"/7","")</f>
        <v/>
      </c>
      <c r="C453" s="32">
        <f>IF($A453=1,"J-"&amp;Sales_Daily!$A39,"")</f>
        <v/>
      </c>
      <c r="D453" s="33">
        <f>IF($A453=1,Sales_Daily!$B39,"")</f>
        <v/>
      </c>
      <c r="E453" s="32">
        <f>IF($A453=1,IF(Sales_Daily!$A39="","",Sales_Daily!$A39),"")</f>
        <v/>
      </c>
      <c r="F453" s="32">
        <f>IF($A453=1,"SAL","")</f>
        <v/>
      </c>
      <c r="G453" s="32">
        <f>IF($A453=1,ACC_DISC,"")</f>
        <v/>
      </c>
      <c r="H453" s="32">
        <f>IF($A453=1,IF(COUNTIF(COA!$A:$A,$G453)=0,"حساب غير معرف",INDEX(COA!$B:$B,MATCH($G453,COA!$A:$A,0))),"")</f>
        <v/>
      </c>
      <c r="I453" s="32">
        <f>IF($A453=1,IF(Sales_Daily!$C39="","",Sales_Daily!$C39),"")</f>
        <v/>
      </c>
      <c r="J453" s="32">
        <f>IF($A453=1,"CC10","")</f>
        <v/>
      </c>
      <c r="K453" s="32">
        <f>IF($A453=1,"-","")</f>
        <v/>
      </c>
      <c r="L453" s="32">
        <f>IF($A453=1,"خصومات المبيعات والعروض","")</f>
        <v/>
      </c>
      <c r="M453" s="43">
        <f>IF($A453=1,Sales_Daily!$AH39,"")</f>
        <v/>
      </c>
      <c r="N453" s="43">
        <f>IF($A453=1,0,"")</f>
        <v/>
      </c>
      <c r="O453" s="32">
        <f>IF($A453=1,Sales_Daily!$S39,"")</f>
        <v/>
      </c>
      <c r="P453" s="32">
        <f>IF($A453=1,IF(Sales_Daily!$AW39="","",Sales_Daily!$AW39),"")</f>
        <v/>
      </c>
      <c r="Q453" s="32">
        <f>IF($A453=1,Sales_Daily!$AY39,"")</f>
        <v/>
      </c>
      <c r="R453" s="32">
        <f>IF($A453=1,IF(AND($Q453=1,COUNTIFS(COA!$A:$A,$G453,COA!$R:$R,1)=1),1,0),"")</f>
        <v/>
      </c>
      <c r="S453" s="43">
        <f>IF($A453=1,IF($R453=1,N($M453),0),"")</f>
        <v/>
      </c>
      <c r="T453" s="43">
        <f>IF($A453=1,IF($R453=1,N($N453),0),"")</f>
        <v/>
      </c>
      <c r="U453" s="32">
        <f>IF($A453=1,YEAR($D453)*100+MONTH($D453),"")</f>
        <v/>
      </c>
      <c r="V453" s="32">
        <f>IF($A453=1,IF(COUNTIF(COA!$A:$A,$G453)=0,0,INDEX(COA!$H:$H,MATCH($G453,COA!$A:$A,0))),"")</f>
        <v/>
      </c>
      <c r="W453" s="32">
        <f>IF($A453=1,"","")</f>
        <v/>
      </c>
      <c r="X453" s="32">
        <f>IF($A453=1,IF($R453=1,"",IF($O453=ST_POST,IF($P453&lt;&gt;"",$P453,"حساب غير صالح أو غير نشط"),IF($O453=ST_REV,"معكوس: لا أثر على الدفاتر",IF($O453=ST_CANC,"ملغى",IF($O453=ST_APPR,"معتمد ولم يُرحَّل","مسودة"))))),"")</f>
        <v/>
      </c>
      <c r="Y453" s="32">
        <f>IF($A453=1,IF(AND($R453=1,OR(LG_Acct="",$G453=LG_Acct),OR(LG_Party="",$K453=LG_Party),OR(LG_Loc="ALL",$I453=LG_Loc),OR(LG_CC="ALL",$J453=LG_CC),$D453&gt;=LG_From,$D453&lt;=LG_To),$D453+ROW()/1000000,""),"")</f>
        <v/>
      </c>
      <c r="Z453" s="32">
        <f>IF($A453=1,IF(Sales_Daily!$T39="","",Sales_Daily!$T39),"")</f>
        <v/>
      </c>
      <c r="AA453" s="32">
        <f>IF($A453=1,IF(Sales_Daily!$U39="","",Sales_Daily!$U39),"")</f>
        <v/>
      </c>
      <c r="AB453" s="32">
        <f>IF($A453=1,IF(Sales_Daily!$V39="","",Sales_Daily!$V39),"")</f>
        <v/>
      </c>
      <c r="AC453" s="32">
        <f>IF($A453=1,IF(Sales_Daily!$W39="","",Sales_Daily!$W39),"")</f>
        <v/>
      </c>
      <c r="AD453" s="32">
        <f>IF($A453=1,IF(Sales_Daily!$X39="","",Sales_Daily!$X39),"")</f>
        <v/>
      </c>
      <c r="AE453" s="32">
        <f>IF($A453=1,0,"")</f>
        <v/>
      </c>
      <c r="AF453" s="32" t="inlineStr"/>
    </row>
    <row r="454">
      <c r="A454" s="32">
        <f>IF(AND(Sales_Daily!$AV39=1,N(Sales_Daily!$AI39)&gt;0),1,0)</f>
        <v/>
      </c>
      <c r="B454" s="32">
        <f>IF($A454=1,$E454&amp;"/8","")</f>
        <v/>
      </c>
      <c r="C454" s="32">
        <f>IF($A454=1,"J-"&amp;Sales_Daily!$A39,"")</f>
        <v/>
      </c>
      <c r="D454" s="33">
        <f>IF($A454=1,Sales_Daily!$B39,"")</f>
        <v/>
      </c>
      <c r="E454" s="32">
        <f>IF($A454=1,IF(Sales_Daily!$A39="","",Sales_Daily!$A39),"")</f>
        <v/>
      </c>
      <c r="F454" s="32">
        <f>IF($A454=1,"SAL","")</f>
        <v/>
      </c>
      <c r="G454" s="32">
        <f>IF($A454=1,ACC_RET,"")</f>
        <v/>
      </c>
      <c r="H454" s="32">
        <f>IF($A454=1,IF(COUNTIF(COA!$A:$A,$G454)=0,"حساب غير معرف",INDEX(COA!$B:$B,MATCH($G454,COA!$A:$A,0))),"")</f>
        <v/>
      </c>
      <c r="I454" s="32">
        <f>IF($A454=1,IF(Sales_Daily!$C39="","",Sales_Daily!$C39),"")</f>
        <v/>
      </c>
      <c r="J454" s="32">
        <f>IF($A454=1,"CC10","")</f>
        <v/>
      </c>
      <c r="K454" s="32">
        <f>IF($A454=1,"-","")</f>
        <v/>
      </c>
      <c r="L454" s="32">
        <f>IF($A454=1,"مرتجعات وإلغاءات المبيعات","")</f>
        <v/>
      </c>
      <c r="M454" s="43">
        <f>IF($A454=1,Sales_Daily!$AI39,"")</f>
        <v/>
      </c>
      <c r="N454" s="43">
        <f>IF($A454=1,0,"")</f>
        <v/>
      </c>
      <c r="O454" s="32">
        <f>IF($A454=1,Sales_Daily!$S39,"")</f>
        <v/>
      </c>
      <c r="P454" s="32">
        <f>IF($A454=1,IF(Sales_Daily!$AW39="","",Sales_Daily!$AW39),"")</f>
        <v/>
      </c>
      <c r="Q454" s="32">
        <f>IF($A454=1,Sales_Daily!$AY39,"")</f>
        <v/>
      </c>
      <c r="R454" s="32">
        <f>IF($A454=1,IF(AND($Q454=1,COUNTIFS(COA!$A:$A,$G454,COA!$R:$R,1)=1),1,0),"")</f>
        <v/>
      </c>
      <c r="S454" s="43">
        <f>IF($A454=1,IF($R454=1,N($M454),0),"")</f>
        <v/>
      </c>
      <c r="T454" s="43">
        <f>IF($A454=1,IF($R454=1,N($N454),0),"")</f>
        <v/>
      </c>
      <c r="U454" s="32">
        <f>IF($A454=1,YEAR($D454)*100+MONTH($D454),"")</f>
        <v/>
      </c>
      <c r="V454" s="32">
        <f>IF($A454=1,IF(COUNTIF(COA!$A:$A,$G454)=0,0,INDEX(COA!$H:$H,MATCH($G454,COA!$A:$A,0))),"")</f>
        <v/>
      </c>
      <c r="W454" s="32">
        <f>IF($A454=1,"","")</f>
        <v/>
      </c>
      <c r="X454" s="32">
        <f>IF($A454=1,IF($R454=1,"",IF($O454=ST_POST,IF($P454&lt;&gt;"",$P454,"حساب غير صالح أو غير نشط"),IF($O454=ST_REV,"معكوس: لا أثر على الدفاتر",IF($O454=ST_CANC,"ملغى",IF($O454=ST_APPR,"معتمد ولم يُرحَّل","مسودة"))))),"")</f>
        <v/>
      </c>
      <c r="Y454" s="32">
        <f>IF($A454=1,IF(AND($R454=1,OR(LG_Acct="",$G454=LG_Acct),OR(LG_Party="",$K454=LG_Party),OR(LG_Loc="ALL",$I454=LG_Loc),OR(LG_CC="ALL",$J454=LG_CC),$D454&gt;=LG_From,$D454&lt;=LG_To),$D454+ROW()/1000000,""),"")</f>
        <v/>
      </c>
      <c r="Z454" s="32">
        <f>IF($A454=1,IF(Sales_Daily!$T39="","",Sales_Daily!$T39),"")</f>
        <v/>
      </c>
      <c r="AA454" s="32">
        <f>IF($A454=1,IF(Sales_Daily!$U39="","",Sales_Daily!$U39),"")</f>
        <v/>
      </c>
      <c r="AB454" s="32">
        <f>IF($A454=1,IF(Sales_Daily!$V39="","",Sales_Daily!$V39),"")</f>
        <v/>
      </c>
      <c r="AC454" s="32">
        <f>IF($A454=1,IF(Sales_Daily!$W39="","",Sales_Daily!$W39),"")</f>
        <v/>
      </c>
      <c r="AD454" s="32">
        <f>IF($A454=1,IF(Sales_Daily!$X39="","",Sales_Daily!$X39),"")</f>
        <v/>
      </c>
      <c r="AE454" s="32">
        <f>IF($A454=1,0,"")</f>
        <v/>
      </c>
      <c r="AF454" s="32" t="inlineStr"/>
    </row>
    <row r="455">
      <c r="A455" s="32">
        <f>IF(AND(Sales_Daily!$AV39=1,N(Sales_Daily!$AD39)&gt;0),1,0)</f>
        <v/>
      </c>
      <c r="B455" s="32">
        <f>IF($A455=1,$E455&amp;"/9","")</f>
        <v/>
      </c>
      <c r="C455" s="32">
        <f>IF($A455=1,"J-"&amp;Sales_Daily!$A39,"")</f>
        <v/>
      </c>
      <c r="D455" s="33">
        <f>IF($A455=1,Sales_Daily!$B39,"")</f>
        <v/>
      </c>
      <c r="E455" s="32">
        <f>IF($A455=1,IF(Sales_Daily!$A39="","",Sales_Daily!$A39),"")</f>
        <v/>
      </c>
      <c r="F455" s="32">
        <f>IF($A455=1,"SAL","")</f>
        <v/>
      </c>
      <c r="G455" s="32">
        <f>IF($A455=1,IF(Sales_Daily!$AQ39="","",Sales_Daily!$AQ39),"")</f>
        <v/>
      </c>
      <c r="H455" s="32">
        <f>IF($A455=1,IF(COUNTIF(COA!$A:$A,$G455)=0,"حساب غير معرف",INDEX(COA!$B:$B,MATCH($G455,COA!$A:$A,0))),"")</f>
        <v/>
      </c>
      <c r="I455" s="32">
        <f>IF($A455=1,IF(Sales_Daily!$C39="","",Sales_Daily!$C39),"")</f>
        <v/>
      </c>
      <c r="J455" s="32">
        <f>IF($A455=1,"CC10","")</f>
        <v/>
      </c>
      <c r="K455" s="32">
        <f>IF($A455=1,"-","")</f>
        <v/>
      </c>
      <c r="L455" s="32">
        <f>IF($A455=1,"إيراد مبيعات - فئة فطير","")</f>
        <v/>
      </c>
      <c r="M455" s="43">
        <f>IF($A455=1,0,"")</f>
        <v/>
      </c>
      <c r="N455" s="43">
        <f>IF($A455=1,Sales_Daily!$AD39,"")</f>
        <v/>
      </c>
      <c r="O455" s="32">
        <f>IF($A455=1,Sales_Daily!$S39,"")</f>
        <v/>
      </c>
      <c r="P455" s="32">
        <f>IF($A455=1,IF(Sales_Daily!$AW39="","",Sales_Daily!$AW39),"")</f>
        <v/>
      </c>
      <c r="Q455" s="32">
        <f>IF($A455=1,Sales_Daily!$AY39,"")</f>
        <v/>
      </c>
      <c r="R455" s="32">
        <f>IF($A455=1,IF(AND($Q455=1,COUNTIFS(COA!$A:$A,$G455,COA!$R:$R,1)=1),1,0),"")</f>
        <v/>
      </c>
      <c r="S455" s="43">
        <f>IF($A455=1,IF($R455=1,N($M455),0),"")</f>
        <v/>
      </c>
      <c r="T455" s="43">
        <f>IF($A455=1,IF($R455=1,N($N455),0),"")</f>
        <v/>
      </c>
      <c r="U455" s="32">
        <f>IF($A455=1,YEAR($D455)*100+MONTH($D455),"")</f>
        <v/>
      </c>
      <c r="V455" s="32">
        <f>IF($A455=1,IF(COUNTIF(COA!$A:$A,$G455)=0,0,INDEX(COA!$H:$H,MATCH($G455,COA!$A:$A,0))),"")</f>
        <v/>
      </c>
      <c r="W455" s="32">
        <f>IF($A455=1,"","")</f>
        <v/>
      </c>
      <c r="X455" s="32">
        <f>IF($A455=1,IF($R455=1,"",IF($O455=ST_POST,IF($P455&lt;&gt;"",$P455,"حساب غير صالح أو غير نشط"),IF($O455=ST_REV,"معكوس: لا أثر على الدفاتر",IF($O455=ST_CANC,"ملغى",IF($O455=ST_APPR,"معتمد ولم يُرحَّل","مسودة"))))),"")</f>
        <v/>
      </c>
      <c r="Y455" s="32">
        <f>IF($A455=1,IF(AND($R455=1,OR(LG_Acct="",$G455=LG_Acct),OR(LG_Party="",$K455=LG_Party),OR(LG_Loc="ALL",$I455=LG_Loc),OR(LG_CC="ALL",$J455=LG_CC),$D455&gt;=LG_From,$D455&lt;=LG_To),$D455+ROW()/1000000,""),"")</f>
        <v/>
      </c>
      <c r="Z455" s="32">
        <f>IF($A455=1,IF(Sales_Daily!$T39="","",Sales_Daily!$T39),"")</f>
        <v/>
      </c>
      <c r="AA455" s="32">
        <f>IF($A455=1,IF(Sales_Daily!$U39="","",Sales_Daily!$U39),"")</f>
        <v/>
      </c>
      <c r="AB455" s="32">
        <f>IF($A455=1,IF(Sales_Daily!$V39="","",Sales_Daily!$V39),"")</f>
        <v/>
      </c>
      <c r="AC455" s="32">
        <f>IF($A455=1,IF(Sales_Daily!$W39="","",Sales_Daily!$W39),"")</f>
        <v/>
      </c>
      <c r="AD455" s="32">
        <f>IF($A455=1,IF(Sales_Daily!$X39="","",Sales_Daily!$X39),"")</f>
        <v/>
      </c>
      <c r="AE455" s="32">
        <f>IF($A455=1,0,"")</f>
        <v/>
      </c>
      <c r="AF455" s="32" t="inlineStr"/>
    </row>
    <row r="456">
      <c r="A456" s="32">
        <f>IF(AND(Sales_Daily!$AV39=1,N(Sales_Daily!$AE39)&gt;0),1,0)</f>
        <v/>
      </c>
      <c r="B456" s="32">
        <f>IF($A456=1,$E456&amp;"/10","")</f>
        <v/>
      </c>
      <c r="C456" s="32">
        <f>IF($A456=1,"J-"&amp;Sales_Daily!$A39,"")</f>
        <v/>
      </c>
      <c r="D456" s="33">
        <f>IF($A456=1,Sales_Daily!$B39,"")</f>
        <v/>
      </c>
      <c r="E456" s="32">
        <f>IF($A456=1,IF(Sales_Daily!$A39="","",Sales_Daily!$A39),"")</f>
        <v/>
      </c>
      <c r="F456" s="32">
        <f>IF($A456=1,"SAL","")</f>
        <v/>
      </c>
      <c r="G456" s="32">
        <f>IF($A456=1,IF(Sales_Daily!$AR39="","",Sales_Daily!$AR39),"")</f>
        <v/>
      </c>
      <c r="H456" s="32">
        <f>IF($A456=1,IF(COUNTIF(COA!$A:$A,$G456)=0,"حساب غير معرف",INDEX(COA!$B:$B,MATCH($G456,COA!$A:$A,0))),"")</f>
        <v/>
      </c>
      <c r="I456" s="32">
        <f>IF($A456=1,IF(Sales_Daily!$C39="","",Sales_Daily!$C39),"")</f>
        <v/>
      </c>
      <c r="J456" s="32">
        <f>IF($A456=1,"CC10","")</f>
        <v/>
      </c>
      <c r="K456" s="32">
        <f>IF($A456=1,"-","")</f>
        <v/>
      </c>
      <c r="L456" s="32">
        <f>IF($A456=1,"إيراد مبيعات - فئة بيتزا","")</f>
        <v/>
      </c>
      <c r="M456" s="43">
        <f>IF($A456=1,0,"")</f>
        <v/>
      </c>
      <c r="N456" s="43">
        <f>IF($A456=1,Sales_Daily!$AE39,"")</f>
        <v/>
      </c>
      <c r="O456" s="32">
        <f>IF($A456=1,Sales_Daily!$S39,"")</f>
        <v/>
      </c>
      <c r="P456" s="32">
        <f>IF($A456=1,IF(Sales_Daily!$AW39="","",Sales_Daily!$AW39),"")</f>
        <v/>
      </c>
      <c r="Q456" s="32">
        <f>IF($A456=1,Sales_Daily!$AY39,"")</f>
        <v/>
      </c>
      <c r="R456" s="32">
        <f>IF($A456=1,IF(AND($Q456=1,COUNTIFS(COA!$A:$A,$G456,COA!$R:$R,1)=1),1,0),"")</f>
        <v/>
      </c>
      <c r="S456" s="43">
        <f>IF($A456=1,IF($R456=1,N($M456),0),"")</f>
        <v/>
      </c>
      <c r="T456" s="43">
        <f>IF($A456=1,IF($R456=1,N($N456),0),"")</f>
        <v/>
      </c>
      <c r="U456" s="32">
        <f>IF($A456=1,YEAR($D456)*100+MONTH($D456),"")</f>
        <v/>
      </c>
      <c r="V456" s="32">
        <f>IF($A456=1,IF(COUNTIF(COA!$A:$A,$G456)=0,0,INDEX(COA!$H:$H,MATCH($G456,COA!$A:$A,0))),"")</f>
        <v/>
      </c>
      <c r="W456" s="32">
        <f>IF($A456=1,"","")</f>
        <v/>
      </c>
      <c r="X456" s="32">
        <f>IF($A456=1,IF($R456=1,"",IF($O456=ST_POST,IF($P456&lt;&gt;"",$P456,"حساب غير صالح أو غير نشط"),IF($O456=ST_REV,"معكوس: لا أثر على الدفاتر",IF($O456=ST_CANC,"ملغى",IF($O456=ST_APPR,"معتمد ولم يُرحَّل","مسودة"))))),"")</f>
        <v/>
      </c>
      <c r="Y456" s="32">
        <f>IF($A456=1,IF(AND($R456=1,OR(LG_Acct="",$G456=LG_Acct),OR(LG_Party="",$K456=LG_Party),OR(LG_Loc="ALL",$I456=LG_Loc),OR(LG_CC="ALL",$J456=LG_CC),$D456&gt;=LG_From,$D456&lt;=LG_To),$D456+ROW()/1000000,""),"")</f>
        <v/>
      </c>
      <c r="Z456" s="32">
        <f>IF($A456=1,IF(Sales_Daily!$T39="","",Sales_Daily!$T39),"")</f>
        <v/>
      </c>
      <c r="AA456" s="32">
        <f>IF($A456=1,IF(Sales_Daily!$U39="","",Sales_Daily!$U39),"")</f>
        <v/>
      </c>
      <c r="AB456" s="32">
        <f>IF($A456=1,IF(Sales_Daily!$V39="","",Sales_Daily!$V39),"")</f>
        <v/>
      </c>
      <c r="AC456" s="32">
        <f>IF($A456=1,IF(Sales_Daily!$W39="","",Sales_Daily!$W39),"")</f>
        <v/>
      </c>
      <c r="AD456" s="32">
        <f>IF($A456=1,IF(Sales_Daily!$X39="","",Sales_Daily!$X39),"")</f>
        <v/>
      </c>
      <c r="AE456" s="32">
        <f>IF($A456=1,0,"")</f>
        <v/>
      </c>
      <c r="AF456" s="32" t="inlineStr"/>
    </row>
    <row r="457">
      <c r="A457" s="32">
        <f>IF(AND(Sales_Daily!$AV39=1,N(Sales_Daily!$AF39)&gt;0),1,0)</f>
        <v/>
      </c>
      <c r="B457" s="32">
        <f>IF($A457=1,$E457&amp;"/11","")</f>
        <v/>
      </c>
      <c r="C457" s="32">
        <f>IF($A457=1,"J-"&amp;Sales_Daily!$A39,"")</f>
        <v/>
      </c>
      <c r="D457" s="33">
        <f>IF($A457=1,Sales_Daily!$B39,"")</f>
        <v/>
      </c>
      <c r="E457" s="32">
        <f>IF($A457=1,IF(Sales_Daily!$A39="","",Sales_Daily!$A39),"")</f>
        <v/>
      </c>
      <c r="F457" s="32">
        <f>IF($A457=1,"SAL","")</f>
        <v/>
      </c>
      <c r="G457" s="32">
        <f>IF($A457=1,IF(Sales_Daily!$AS39="","",Sales_Daily!$AS39),"")</f>
        <v/>
      </c>
      <c r="H457" s="32">
        <f>IF($A457=1,IF(COUNTIF(COA!$A:$A,$G457)=0,"حساب غير معرف",INDEX(COA!$B:$B,MATCH($G457,COA!$A:$A,0))),"")</f>
        <v/>
      </c>
      <c r="I457" s="32">
        <f>IF($A457=1,IF(Sales_Daily!$C39="","",Sales_Daily!$C39),"")</f>
        <v/>
      </c>
      <c r="J457" s="32">
        <f>IF($A457=1,"CC10","")</f>
        <v/>
      </c>
      <c r="K457" s="32">
        <f>IF($A457=1,"-","")</f>
        <v/>
      </c>
      <c r="L457" s="32">
        <f>IF($A457=1,"إيراد مبيعات - فئة مكرونات","")</f>
        <v/>
      </c>
      <c r="M457" s="43">
        <f>IF($A457=1,0,"")</f>
        <v/>
      </c>
      <c r="N457" s="43">
        <f>IF($A457=1,Sales_Daily!$AF39,"")</f>
        <v/>
      </c>
      <c r="O457" s="32">
        <f>IF($A457=1,Sales_Daily!$S39,"")</f>
        <v/>
      </c>
      <c r="P457" s="32">
        <f>IF($A457=1,IF(Sales_Daily!$AW39="","",Sales_Daily!$AW39),"")</f>
        <v/>
      </c>
      <c r="Q457" s="32">
        <f>IF($A457=1,Sales_Daily!$AY39,"")</f>
        <v/>
      </c>
      <c r="R457" s="32">
        <f>IF($A457=1,IF(AND($Q457=1,COUNTIFS(COA!$A:$A,$G457,COA!$R:$R,1)=1),1,0),"")</f>
        <v/>
      </c>
      <c r="S457" s="43">
        <f>IF($A457=1,IF($R457=1,N($M457),0),"")</f>
        <v/>
      </c>
      <c r="T457" s="43">
        <f>IF($A457=1,IF($R457=1,N($N457),0),"")</f>
        <v/>
      </c>
      <c r="U457" s="32">
        <f>IF($A457=1,YEAR($D457)*100+MONTH($D457),"")</f>
        <v/>
      </c>
      <c r="V457" s="32">
        <f>IF($A457=1,IF(COUNTIF(COA!$A:$A,$G457)=0,0,INDEX(COA!$H:$H,MATCH($G457,COA!$A:$A,0))),"")</f>
        <v/>
      </c>
      <c r="W457" s="32">
        <f>IF($A457=1,"","")</f>
        <v/>
      </c>
      <c r="X457" s="32">
        <f>IF($A457=1,IF($R457=1,"",IF($O457=ST_POST,IF($P457&lt;&gt;"",$P457,"حساب غير صالح أو غير نشط"),IF($O457=ST_REV,"معكوس: لا أثر على الدفاتر",IF($O457=ST_CANC,"ملغى",IF($O457=ST_APPR,"معتمد ولم يُرحَّل","مسودة"))))),"")</f>
        <v/>
      </c>
      <c r="Y457" s="32">
        <f>IF($A457=1,IF(AND($R457=1,OR(LG_Acct="",$G457=LG_Acct),OR(LG_Party="",$K457=LG_Party),OR(LG_Loc="ALL",$I457=LG_Loc),OR(LG_CC="ALL",$J457=LG_CC),$D457&gt;=LG_From,$D457&lt;=LG_To),$D457+ROW()/1000000,""),"")</f>
        <v/>
      </c>
      <c r="Z457" s="32">
        <f>IF($A457=1,IF(Sales_Daily!$T39="","",Sales_Daily!$T39),"")</f>
        <v/>
      </c>
      <c r="AA457" s="32">
        <f>IF($A457=1,IF(Sales_Daily!$U39="","",Sales_Daily!$U39),"")</f>
        <v/>
      </c>
      <c r="AB457" s="32">
        <f>IF($A457=1,IF(Sales_Daily!$V39="","",Sales_Daily!$V39),"")</f>
        <v/>
      </c>
      <c r="AC457" s="32">
        <f>IF($A457=1,IF(Sales_Daily!$W39="","",Sales_Daily!$W39),"")</f>
        <v/>
      </c>
      <c r="AD457" s="32">
        <f>IF($A457=1,IF(Sales_Daily!$X39="","",Sales_Daily!$X39),"")</f>
        <v/>
      </c>
      <c r="AE457" s="32">
        <f>IF($A457=1,0,"")</f>
        <v/>
      </c>
      <c r="AF457" s="32" t="inlineStr"/>
    </row>
    <row r="458">
      <c r="A458" s="32">
        <f>IF(AND(Sales_Daily!$AV39=1,N(Sales_Daily!$AG39)&gt;0),1,0)</f>
        <v/>
      </c>
      <c r="B458" s="32">
        <f>IF($A458=1,$E458&amp;"/12","")</f>
        <v/>
      </c>
      <c r="C458" s="32">
        <f>IF($A458=1,"J-"&amp;Sales_Daily!$A39,"")</f>
        <v/>
      </c>
      <c r="D458" s="33">
        <f>IF($A458=1,Sales_Daily!$B39,"")</f>
        <v/>
      </c>
      <c r="E458" s="32">
        <f>IF($A458=1,IF(Sales_Daily!$A39="","",Sales_Daily!$A39),"")</f>
        <v/>
      </c>
      <c r="F458" s="32">
        <f>IF($A458=1,"SAL","")</f>
        <v/>
      </c>
      <c r="G458" s="32">
        <f>IF($A458=1,IF(Sales_Daily!$AT39="","",Sales_Daily!$AT39),"")</f>
        <v/>
      </c>
      <c r="H458" s="32">
        <f>IF($A458=1,IF(COUNTIF(COA!$A:$A,$G458)=0,"حساب غير معرف",INDEX(COA!$B:$B,MATCH($G458,COA!$A:$A,0))),"")</f>
        <v/>
      </c>
      <c r="I458" s="32">
        <f>IF($A458=1,IF(Sales_Daily!$C39="","",Sales_Daily!$C39),"")</f>
        <v/>
      </c>
      <c r="J458" s="32">
        <f>IF($A458=1,"CC10","")</f>
        <v/>
      </c>
      <c r="K458" s="32">
        <f>IF($A458=1,"-","")</f>
        <v/>
      </c>
      <c r="L458" s="32">
        <f>IF($A458=1,"إيراد مبيعات - فئة أخرى","")</f>
        <v/>
      </c>
      <c r="M458" s="43">
        <f>IF($A458=1,0,"")</f>
        <v/>
      </c>
      <c r="N458" s="43">
        <f>IF($A458=1,Sales_Daily!$AG39,"")</f>
        <v/>
      </c>
      <c r="O458" s="32">
        <f>IF($A458=1,Sales_Daily!$S39,"")</f>
        <v/>
      </c>
      <c r="P458" s="32">
        <f>IF($A458=1,IF(Sales_Daily!$AW39="","",Sales_Daily!$AW39),"")</f>
        <v/>
      </c>
      <c r="Q458" s="32">
        <f>IF($A458=1,Sales_Daily!$AY39,"")</f>
        <v/>
      </c>
      <c r="R458" s="32">
        <f>IF($A458=1,IF(AND($Q458=1,COUNTIFS(COA!$A:$A,$G458,COA!$R:$R,1)=1),1,0),"")</f>
        <v/>
      </c>
      <c r="S458" s="43">
        <f>IF($A458=1,IF($R458=1,N($M458),0),"")</f>
        <v/>
      </c>
      <c r="T458" s="43">
        <f>IF($A458=1,IF($R458=1,N($N458),0),"")</f>
        <v/>
      </c>
      <c r="U458" s="32">
        <f>IF($A458=1,YEAR($D458)*100+MONTH($D458),"")</f>
        <v/>
      </c>
      <c r="V458" s="32">
        <f>IF($A458=1,IF(COUNTIF(COA!$A:$A,$G458)=0,0,INDEX(COA!$H:$H,MATCH($G458,COA!$A:$A,0))),"")</f>
        <v/>
      </c>
      <c r="W458" s="32">
        <f>IF($A458=1,"","")</f>
        <v/>
      </c>
      <c r="X458" s="32">
        <f>IF($A458=1,IF($R458=1,"",IF($O458=ST_POST,IF($P458&lt;&gt;"",$P458,"حساب غير صالح أو غير نشط"),IF($O458=ST_REV,"معكوس: لا أثر على الدفاتر",IF($O458=ST_CANC,"ملغى",IF($O458=ST_APPR,"معتمد ولم يُرحَّل","مسودة"))))),"")</f>
        <v/>
      </c>
      <c r="Y458" s="32">
        <f>IF($A458=1,IF(AND($R458=1,OR(LG_Acct="",$G458=LG_Acct),OR(LG_Party="",$K458=LG_Party),OR(LG_Loc="ALL",$I458=LG_Loc),OR(LG_CC="ALL",$J458=LG_CC),$D458&gt;=LG_From,$D458&lt;=LG_To),$D458+ROW()/1000000,""),"")</f>
        <v/>
      </c>
      <c r="Z458" s="32">
        <f>IF($A458=1,IF(Sales_Daily!$T39="","",Sales_Daily!$T39),"")</f>
        <v/>
      </c>
      <c r="AA458" s="32">
        <f>IF($A458=1,IF(Sales_Daily!$U39="","",Sales_Daily!$U39),"")</f>
        <v/>
      </c>
      <c r="AB458" s="32">
        <f>IF($A458=1,IF(Sales_Daily!$V39="","",Sales_Daily!$V39),"")</f>
        <v/>
      </c>
      <c r="AC458" s="32">
        <f>IF($A458=1,IF(Sales_Daily!$W39="","",Sales_Daily!$W39),"")</f>
        <v/>
      </c>
      <c r="AD458" s="32">
        <f>IF($A458=1,IF(Sales_Daily!$X39="","",Sales_Daily!$X39),"")</f>
        <v/>
      </c>
      <c r="AE458" s="32">
        <f>IF($A458=1,0,"")</f>
        <v/>
      </c>
      <c r="AF458" s="32" t="inlineStr"/>
    </row>
    <row r="459">
      <c r="A459" s="32">
        <f>IF(AND(Sales_Daily!$AV39=1,N(Sales_Daily!$AJ39)&gt;0),1,0)</f>
        <v/>
      </c>
      <c r="B459" s="32">
        <f>IF($A459=1,$E459&amp;"/13","")</f>
        <v/>
      </c>
      <c r="C459" s="32">
        <f>IF($A459=1,"J-"&amp;Sales_Daily!$A39,"")</f>
        <v/>
      </c>
      <c r="D459" s="33">
        <f>IF($A459=1,Sales_Daily!$B39,"")</f>
        <v/>
      </c>
      <c r="E459" s="32">
        <f>IF($A459=1,IF(Sales_Daily!$A39="","",Sales_Daily!$A39),"")</f>
        <v/>
      </c>
      <c r="F459" s="32">
        <f>IF($A459=1,"SAL","")</f>
        <v/>
      </c>
      <c r="G459" s="32">
        <f>IF($A459=1,ACC_VAT_OUT,"")</f>
        <v/>
      </c>
      <c r="H459" s="32">
        <f>IF($A459=1,IF(COUNTIF(COA!$A:$A,$G459)=0,"حساب غير معرف",INDEX(COA!$B:$B,MATCH($G459,COA!$A:$A,0))),"")</f>
        <v/>
      </c>
      <c r="I459" s="32">
        <f>IF($A459=1,IF(Sales_Daily!$C39="","",Sales_Daily!$C39),"")</f>
        <v/>
      </c>
      <c r="J459" s="32">
        <f>IF($A459=1,"CC10","")</f>
        <v/>
      </c>
      <c r="K459" s="32">
        <f>IF($A459=1,"-","")</f>
        <v/>
      </c>
      <c r="L459" s="32">
        <f>IF($A459=1,"ضريبة القيمة المضافة - مخرجات","")</f>
        <v/>
      </c>
      <c r="M459" s="43">
        <f>IF($A459=1,0,"")</f>
        <v/>
      </c>
      <c r="N459" s="43">
        <f>IF($A459=1,Sales_Daily!$AJ39,"")</f>
        <v/>
      </c>
      <c r="O459" s="32">
        <f>IF($A459=1,Sales_Daily!$S39,"")</f>
        <v/>
      </c>
      <c r="P459" s="32">
        <f>IF($A459=1,IF(Sales_Daily!$AW39="","",Sales_Daily!$AW39),"")</f>
        <v/>
      </c>
      <c r="Q459" s="32">
        <f>IF($A459=1,Sales_Daily!$AY39,"")</f>
        <v/>
      </c>
      <c r="R459" s="32">
        <f>IF($A459=1,IF(AND($Q459=1,COUNTIFS(COA!$A:$A,$G459,COA!$R:$R,1)=1),1,0),"")</f>
        <v/>
      </c>
      <c r="S459" s="43">
        <f>IF($A459=1,IF($R459=1,N($M459),0),"")</f>
        <v/>
      </c>
      <c r="T459" s="43">
        <f>IF($A459=1,IF($R459=1,N($N459),0),"")</f>
        <v/>
      </c>
      <c r="U459" s="32">
        <f>IF($A459=1,YEAR($D459)*100+MONTH($D459),"")</f>
        <v/>
      </c>
      <c r="V459" s="32">
        <f>IF($A459=1,IF(COUNTIF(COA!$A:$A,$G459)=0,0,INDEX(COA!$H:$H,MATCH($G459,COA!$A:$A,0))),"")</f>
        <v/>
      </c>
      <c r="W459" s="32">
        <f>IF($A459=1,"","")</f>
        <v/>
      </c>
      <c r="X459" s="32">
        <f>IF($A459=1,IF($R459=1,"",IF($O459=ST_POST,IF($P459&lt;&gt;"",$P459,"حساب غير صالح أو غير نشط"),IF($O459=ST_REV,"معكوس: لا أثر على الدفاتر",IF($O459=ST_CANC,"ملغى",IF($O459=ST_APPR,"معتمد ولم يُرحَّل","مسودة"))))),"")</f>
        <v/>
      </c>
      <c r="Y459" s="32">
        <f>IF($A459=1,IF(AND($R459=1,OR(LG_Acct="",$G459=LG_Acct),OR(LG_Party="",$K459=LG_Party),OR(LG_Loc="ALL",$I459=LG_Loc),OR(LG_CC="ALL",$J459=LG_CC),$D459&gt;=LG_From,$D459&lt;=LG_To),$D459+ROW()/1000000,""),"")</f>
        <v/>
      </c>
      <c r="Z459" s="32">
        <f>IF($A459=1,IF(Sales_Daily!$T39="","",Sales_Daily!$T39),"")</f>
        <v/>
      </c>
      <c r="AA459" s="32">
        <f>IF($A459=1,IF(Sales_Daily!$U39="","",Sales_Daily!$U39),"")</f>
        <v/>
      </c>
      <c r="AB459" s="32">
        <f>IF($A459=1,IF(Sales_Daily!$V39="","",Sales_Daily!$V39),"")</f>
        <v/>
      </c>
      <c r="AC459" s="32">
        <f>IF($A459=1,IF(Sales_Daily!$W39="","",Sales_Daily!$W39),"")</f>
        <v/>
      </c>
      <c r="AD459" s="32">
        <f>IF($A459=1,IF(Sales_Daily!$X39="","",Sales_Daily!$X39),"")</f>
        <v/>
      </c>
      <c r="AE459" s="32">
        <f>IF($A459=1,0,"")</f>
        <v/>
      </c>
      <c r="AF459" s="32" t="inlineStr"/>
    </row>
    <row r="460">
      <c r="A460" s="32">
        <f>IF(AND(Sales_Daily!$AV40=1,N(Sales_Daily!$L40)&gt;0),1,0)</f>
        <v/>
      </c>
      <c r="B460" s="32">
        <f>IF($A460=1,$E460&amp;"/1","")</f>
        <v/>
      </c>
      <c r="C460" s="32">
        <f>IF($A460=1,"J-"&amp;Sales_Daily!$A40,"")</f>
        <v/>
      </c>
      <c r="D460" s="33">
        <f>IF($A460=1,Sales_Daily!$B40,"")</f>
        <v/>
      </c>
      <c r="E460" s="32">
        <f>IF($A460=1,IF(Sales_Daily!$A40="","",Sales_Daily!$A40),"")</f>
        <v/>
      </c>
      <c r="F460" s="32">
        <f>IF($A460=1,"SAL","")</f>
        <v/>
      </c>
      <c r="G460" s="32">
        <f>IF($A460=1,IF(Sales_Daily!$AK40="","",Sales_Daily!$AK40),"")</f>
        <v/>
      </c>
      <c r="H460" s="32">
        <f>IF($A460=1,IF(COUNTIF(COA!$A:$A,$G460)=0,"حساب غير معرف",INDEX(COA!$B:$B,MATCH($G460,COA!$A:$A,0))),"")</f>
        <v/>
      </c>
      <c r="I460" s="32">
        <f>IF($A460=1,IF(Sales_Daily!$C40="","",Sales_Daily!$C40),"")</f>
        <v/>
      </c>
      <c r="J460" s="32">
        <f>IF($A460=1,"CC10","")</f>
        <v/>
      </c>
      <c r="K460" s="32">
        <f>IF($A460=1,"-","")</f>
        <v/>
      </c>
      <c r="L460" s="32">
        <f>IF($A460=1,"مبيعات - تحصيل CASH","")</f>
        <v/>
      </c>
      <c r="M460" s="43">
        <f>IF($A460=1,Sales_Daily!$L40,"")</f>
        <v/>
      </c>
      <c r="N460" s="43">
        <f>IF($A460=1,0,"")</f>
        <v/>
      </c>
      <c r="O460" s="32">
        <f>IF($A460=1,Sales_Daily!$S40,"")</f>
        <v/>
      </c>
      <c r="P460" s="32">
        <f>IF($A460=1,IF(Sales_Daily!$AW40="","",Sales_Daily!$AW40),"")</f>
        <v/>
      </c>
      <c r="Q460" s="32">
        <f>IF($A460=1,Sales_Daily!$AY40,"")</f>
        <v/>
      </c>
      <c r="R460" s="32">
        <f>IF($A460=1,IF(AND($Q460=1,COUNTIFS(COA!$A:$A,$G460,COA!$R:$R,1)=1),1,0),"")</f>
        <v/>
      </c>
      <c r="S460" s="43">
        <f>IF($A460=1,IF($R460=1,N($M460),0),"")</f>
        <v/>
      </c>
      <c r="T460" s="43">
        <f>IF($A460=1,IF($R460=1,N($N460),0),"")</f>
        <v/>
      </c>
      <c r="U460" s="32">
        <f>IF($A460=1,YEAR($D460)*100+MONTH($D460),"")</f>
        <v/>
      </c>
      <c r="V460" s="32">
        <f>IF($A460=1,IF(COUNTIF(COA!$A:$A,$G460)=0,0,INDEX(COA!$H:$H,MATCH($G460,COA!$A:$A,0))),"")</f>
        <v/>
      </c>
      <c r="W460" s="32">
        <f>IF($A460=1,"OPERATING","")</f>
        <v/>
      </c>
      <c r="X460" s="32">
        <f>IF($A460=1,IF($R460=1,"",IF($O460=ST_POST,IF($P460&lt;&gt;"",$P460,"حساب غير صالح أو غير نشط"),IF($O460=ST_REV,"معكوس: لا أثر على الدفاتر",IF($O460=ST_CANC,"ملغى",IF($O460=ST_APPR,"معتمد ولم يُرحَّل","مسودة"))))),"")</f>
        <v/>
      </c>
      <c r="Y460" s="32">
        <f>IF($A460=1,IF(AND($R460=1,OR(LG_Acct="",$G460=LG_Acct),OR(LG_Party="",$K460=LG_Party),OR(LG_Loc="ALL",$I460=LG_Loc),OR(LG_CC="ALL",$J460=LG_CC),$D460&gt;=LG_From,$D460&lt;=LG_To),$D460+ROW()/1000000,""),"")</f>
        <v/>
      </c>
      <c r="Z460" s="32">
        <f>IF($A460=1,IF(Sales_Daily!$T40="","",Sales_Daily!$T40),"")</f>
        <v/>
      </c>
      <c r="AA460" s="32">
        <f>IF($A460=1,IF(Sales_Daily!$U40="","",Sales_Daily!$U40),"")</f>
        <v/>
      </c>
      <c r="AB460" s="32">
        <f>IF($A460=1,IF(Sales_Daily!$V40="","",Sales_Daily!$V40),"")</f>
        <v/>
      </c>
      <c r="AC460" s="32">
        <f>IF($A460=1,IF(Sales_Daily!$W40="","",Sales_Daily!$W40),"")</f>
        <v/>
      </c>
      <c r="AD460" s="32">
        <f>IF($A460=1,IF(Sales_Daily!$X40="","",Sales_Daily!$X40),"")</f>
        <v/>
      </c>
      <c r="AE460" s="32">
        <f>IF($A460=1,0,"")</f>
        <v/>
      </c>
      <c r="AF460" s="32" t="inlineStr"/>
    </row>
    <row r="461">
      <c r="A461" s="32">
        <f>IF(AND(Sales_Daily!$AV40=1,N(Sales_Daily!$M40)&gt;0),1,0)</f>
        <v/>
      </c>
      <c r="B461" s="32">
        <f>IF($A461=1,$E461&amp;"/2","")</f>
        <v/>
      </c>
      <c r="C461" s="32">
        <f>IF($A461=1,"J-"&amp;Sales_Daily!$A40,"")</f>
        <v/>
      </c>
      <c r="D461" s="33">
        <f>IF($A461=1,Sales_Daily!$B40,"")</f>
        <v/>
      </c>
      <c r="E461" s="32">
        <f>IF($A461=1,IF(Sales_Daily!$A40="","",Sales_Daily!$A40),"")</f>
        <v/>
      </c>
      <c r="F461" s="32">
        <f>IF($A461=1,"SAL","")</f>
        <v/>
      </c>
      <c r="G461" s="32">
        <f>IF($A461=1,IF(Sales_Daily!$AL40="","",Sales_Daily!$AL40),"")</f>
        <v/>
      </c>
      <c r="H461" s="32">
        <f>IF($A461=1,IF(COUNTIF(COA!$A:$A,$G461)=0,"حساب غير معرف",INDEX(COA!$B:$B,MATCH($G461,COA!$A:$A,0))),"")</f>
        <v/>
      </c>
      <c r="I461" s="32">
        <f>IF($A461=1,IF(Sales_Daily!$C40="","",Sales_Daily!$C40),"")</f>
        <v/>
      </c>
      <c r="J461" s="32">
        <f>IF($A461=1,"CC10","")</f>
        <v/>
      </c>
      <c r="K461" s="32">
        <f>IF($A461=1,"-","")</f>
        <v/>
      </c>
      <c r="L461" s="32">
        <f>IF($A461=1,"مبيعات - تحصيل CARD","")</f>
        <v/>
      </c>
      <c r="M461" s="43">
        <f>IF($A461=1,Sales_Daily!$M40,"")</f>
        <v/>
      </c>
      <c r="N461" s="43">
        <f>IF($A461=1,0,"")</f>
        <v/>
      </c>
      <c r="O461" s="32">
        <f>IF($A461=1,Sales_Daily!$S40,"")</f>
        <v/>
      </c>
      <c r="P461" s="32">
        <f>IF($A461=1,IF(Sales_Daily!$AW40="","",Sales_Daily!$AW40),"")</f>
        <v/>
      </c>
      <c r="Q461" s="32">
        <f>IF($A461=1,Sales_Daily!$AY40,"")</f>
        <v/>
      </c>
      <c r="R461" s="32">
        <f>IF($A461=1,IF(AND($Q461=1,COUNTIFS(COA!$A:$A,$G461,COA!$R:$R,1)=1),1,0),"")</f>
        <v/>
      </c>
      <c r="S461" s="43">
        <f>IF($A461=1,IF($R461=1,N($M461),0),"")</f>
        <v/>
      </c>
      <c r="T461" s="43">
        <f>IF($A461=1,IF($R461=1,N($N461),0),"")</f>
        <v/>
      </c>
      <c r="U461" s="32">
        <f>IF($A461=1,YEAR($D461)*100+MONTH($D461),"")</f>
        <v/>
      </c>
      <c r="V461" s="32">
        <f>IF($A461=1,IF(COUNTIF(COA!$A:$A,$G461)=0,0,INDEX(COA!$H:$H,MATCH($G461,COA!$A:$A,0))),"")</f>
        <v/>
      </c>
      <c r="W461" s="32">
        <f>IF($A461=1,"OPERATING","")</f>
        <v/>
      </c>
      <c r="X461" s="32">
        <f>IF($A461=1,IF($R461=1,"",IF($O461=ST_POST,IF($P461&lt;&gt;"",$P461,"حساب غير صالح أو غير نشط"),IF($O461=ST_REV,"معكوس: لا أثر على الدفاتر",IF($O461=ST_CANC,"ملغى",IF($O461=ST_APPR,"معتمد ولم يُرحَّل","مسودة"))))),"")</f>
        <v/>
      </c>
      <c r="Y461" s="32">
        <f>IF($A461=1,IF(AND($R461=1,OR(LG_Acct="",$G461=LG_Acct),OR(LG_Party="",$K461=LG_Party),OR(LG_Loc="ALL",$I461=LG_Loc),OR(LG_CC="ALL",$J461=LG_CC),$D461&gt;=LG_From,$D461&lt;=LG_To),$D461+ROW()/1000000,""),"")</f>
        <v/>
      </c>
      <c r="Z461" s="32">
        <f>IF($A461=1,IF(Sales_Daily!$T40="","",Sales_Daily!$T40),"")</f>
        <v/>
      </c>
      <c r="AA461" s="32">
        <f>IF($A461=1,IF(Sales_Daily!$U40="","",Sales_Daily!$U40),"")</f>
        <v/>
      </c>
      <c r="AB461" s="32">
        <f>IF($A461=1,IF(Sales_Daily!$V40="","",Sales_Daily!$V40),"")</f>
        <v/>
      </c>
      <c r="AC461" s="32">
        <f>IF($A461=1,IF(Sales_Daily!$W40="","",Sales_Daily!$W40),"")</f>
        <v/>
      </c>
      <c r="AD461" s="32">
        <f>IF($A461=1,IF(Sales_Daily!$X40="","",Sales_Daily!$X40),"")</f>
        <v/>
      </c>
      <c r="AE461" s="32">
        <f>IF($A461=1,0,"")</f>
        <v/>
      </c>
      <c r="AF461" s="32" t="inlineStr"/>
    </row>
    <row r="462">
      <c r="A462" s="32">
        <f>IF(AND(Sales_Daily!$AV40=1,N(Sales_Daily!$N40)&gt;0),1,0)</f>
        <v/>
      </c>
      <c r="B462" s="32">
        <f>IF($A462=1,$E462&amp;"/3","")</f>
        <v/>
      </c>
      <c r="C462" s="32">
        <f>IF($A462=1,"J-"&amp;Sales_Daily!$A40,"")</f>
        <v/>
      </c>
      <c r="D462" s="33">
        <f>IF($A462=1,Sales_Daily!$B40,"")</f>
        <v/>
      </c>
      <c r="E462" s="32">
        <f>IF($A462=1,IF(Sales_Daily!$A40="","",Sales_Daily!$A40),"")</f>
        <v/>
      </c>
      <c r="F462" s="32">
        <f>IF($A462=1,"SAL","")</f>
        <v/>
      </c>
      <c r="G462" s="32">
        <f>IF($A462=1,IF(Sales_Daily!$AM40="","",Sales_Daily!$AM40),"")</f>
        <v/>
      </c>
      <c r="H462" s="32">
        <f>IF($A462=1,IF(COUNTIF(COA!$A:$A,$G462)=0,"حساب غير معرف",INDEX(COA!$B:$B,MATCH($G462,COA!$A:$A,0))),"")</f>
        <v/>
      </c>
      <c r="I462" s="32">
        <f>IF($A462=1,IF(Sales_Daily!$C40="","",Sales_Daily!$C40),"")</f>
        <v/>
      </c>
      <c r="J462" s="32">
        <f>IF($A462=1,"CC10","")</f>
        <v/>
      </c>
      <c r="K462" s="32">
        <f>IF($A462=1,"-","")</f>
        <v/>
      </c>
      <c r="L462" s="32">
        <f>IF($A462=1,"مبيعات - تحصيل TLB","")</f>
        <v/>
      </c>
      <c r="M462" s="43">
        <f>IF($A462=1,Sales_Daily!$N40,"")</f>
        <v/>
      </c>
      <c r="N462" s="43">
        <f>IF($A462=1,0,"")</f>
        <v/>
      </c>
      <c r="O462" s="32">
        <f>IF($A462=1,Sales_Daily!$S40,"")</f>
        <v/>
      </c>
      <c r="P462" s="32">
        <f>IF($A462=1,IF(Sales_Daily!$AW40="","",Sales_Daily!$AW40),"")</f>
        <v/>
      </c>
      <c r="Q462" s="32">
        <f>IF($A462=1,Sales_Daily!$AY40,"")</f>
        <v/>
      </c>
      <c r="R462" s="32">
        <f>IF($A462=1,IF(AND($Q462=1,COUNTIFS(COA!$A:$A,$G462,COA!$R:$R,1)=1),1,0),"")</f>
        <v/>
      </c>
      <c r="S462" s="43">
        <f>IF($A462=1,IF($R462=1,N($M462),0),"")</f>
        <v/>
      </c>
      <c r="T462" s="43">
        <f>IF($A462=1,IF($R462=1,N($N462),0),"")</f>
        <v/>
      </c>
      <c r="U462" s="32">
        <f>IF($A462=1,YEAR($D462)*100+MONTH($D462),"")</f>
        <v/>
      </c>
      <c r="V462" s="32">
        <f>IF($A462=1,IF(COUNTIF(COA!$A:$A,$G462)=0,0,INDEX(COA!$H:$H,MATCH($G462,COA!$A:$A,0))),"")</f>
        <v/>
      </c>
      <c r="W462" s="32">
        <f>IF($A462=1,"OPERATING","")</f>
        <v/>
      </c>
      <c r="X462" s="32">
        <f>IF($A462=1,IF($R462=1,"",IF($O462=ST_POST,IF($P462&lt;&gt;"",$P462,"حساب غير صالح أو غير نشط"),IF($O462=ST_REV,"معكوس: لا أثر على الدفاتر",IF($O462=ST_CANC,"ملغى",IF($O462=ST_APPR,"معتمد ولم يُرحَّل","مسودة"))))),"")</f>
        <v/>
      </c>
      <c r="Y462" s="32">
        <f>IF($A462=1,IF(AND($R462=1,OR(LG_Acct="",$G462=LG_Acct),OR(LG_Party="",$K462=LG_Party),OR(LG_Loc="ALL",$I462=LG_Loc),OR(LG_CC="ALL",$J462=LG_CC),$D462&gt;=LG_From,$D462&lt;=LG_To),$D462+ROW()/1000000,""),"")</f>
        <v/>
      </c>
      <c r="Z462" s="32">
        <f>IF($A462=1,IF(Sales_Daily!$T40="","",Sales_Daily!$T40),"")</f>
        <v/>
      </c>
      <c r="AA462" s="32">
        <f>IF($A462=1,IF(Sales_Daily!$U40="","",Sales_Daily!$U40),"")</f>
        <v/>
      </c>
      <c r="AB462" s="32">
        <f>IF($A462=1,IF(Sales_Daily!$V40="","",Sales_Daily!$V40),"")</f>
        <v/>
      </c>
      <c r="AC462" s="32">
        <f>IF($A462=1,IF(Sales_Daily!$W40="","",Sales_Daily!$W40),"")</f>
        <v/>
      </c>
      <c r="AD462" s="32">
        <f>IF($A462=1,IF(Sales_Daily!$X40="","",Sales_Daily!$X40),"")</f>
        <v/>
      </c>
      <c r="AE462" s="32">
        <f>IF($A462=1,0,"")</f>
        <v/>
      </c>
      <c r="AF462" s="32" t="inlineStr"/>
    </row>
    <row r="463">
      <c r="A463" s="32">
        <f>IF(AND(Sales_Daily!$AV40=1,N(Sales_Daily!$O40)&gt;0),1,0)</f>
        <v/>
      </c>
      <c r="B463" s="32">
        <f>IF($A463=1,$E463&amp;"/4","")</f>
        <v/>
      </c>
      <c r="C463" s="32">
        <f>IF($A463=1,"J-"&amp;Sales_Daily!$A40,"")</f>
        <v/>
      </c>
      <c r="D463" s="33">
        <f>IF($A463=1,Sales_Daily!$B40,"")</f>
        <v/>
      </c>
      <c r="E463" s="32">
        <f>IF($A463=1,IF(Sales_Daily!$A40="","",Sales_Daily!$A40),"")</f>
        <v/>
      </c>
      <c r="F463" s="32">
        <f>IF($A463=1,"SAL","")</f>
        <v/>
      </c>
      <c r="G463" s="32">
        <f>IF($A463=1,IF(Sales_Daily!$AN40="","",Sales_Daily!$AN40),"")</f>
        <v/>
      </c>
      <c r="H463" s="32">
        <f>IF($A463=1,IF(COUNTIF(COA!$A:$A,$G463)=0,"حساب غير معرف",INDEX(COA!$B:$B,MATCH($G463,COA!$A:$A,0))),"")</f>
        <v/>
      </c>
      <c r="I463" s="32">
        <f>IF($A463=1,IF(Sales_Daily!$C40="","",Sales_Daily!$C40),"")</f>
        <v/>
      </c>
      <c r="J463" s="32">
        <f>IF($A463=1,"CC10","")</f>
        <v/>
      </c>
      <c r="K463" s="32">
        <f>IF($A463=1,"-","")</f>
        <v/>
      </c>
      <c r="L463" s="32">
        <f>IF($A463=1,"مبيعات - تحصيل DLV2","")</f>
        <v/>
      </c>
      <c r="M463" s="43">
        <f>IF($A463=1,Sales_Daily!$O40,"")</f>
        <v/>
      </c>
      <c r="N463" s="43">
        <f>IF($A463=1,0,"")</f>
        <v/>
      </c>
      <c r="O463" s="32">
        <f>IF($A463=1,Sales_Daily!$S40,"")</f>
        <v/>
      </c>
      <c r="P463" s="32">
        <f>IF($A463=1,IF(Sales_Daily!$AW40="","",Sales_Daily!$AW40),"")</f>
        <v/>
      </c>
      <c r="Q463" s="32">
        <f>IF($A463=1,Sales_Daily!$AY40,"")</f>
        <v/>
      </c>
      <c r="R463" s="32">
        <f>IF($A463=1,IF(AND($Q463=1,COUNTIFS(COA!$A:$A,$G463,COA!$R:$R,1)=1),1,0),"")</f>
        <v/>
      </c>
      <c r="S463" s="43">
        <f>IF($A463=1,IF($R463=1,N($M463),0),"")</f>
        <v/>
      </c>
      <c r="T463" s="43">
        <f>IF($A463=1,IF($R463=1,N($N463),0),"")</f>
        <v/>
      </c>
      <c r="U463" s="32">
        <f>IF($A463=1,YEAR($D463)*100+MONTH($D463),"")</f>
        <v/>
      </c>
      <c r="V463" s="32">
        <f>IF($A463=1,IF(COUNTIF(COA!$A:$A,$G463)=0,0,INDEX(COA!$H:$H,MATCH($G463,COA!$A:$A,0))),"")</f>
        <v/>
      </c>
      <c r="W463" s="32">
        <f>IF($A463=1,"OPERATING","")</f>
        <v/>
      </c>
      <c r="X463" s="32">
        <f>IF($A463=1,IF($R463=1,"",IF($O463=ST_POST,IF($P463&lt;&gt;"",$P463,"حساب غير صالح أو غير نشط"),IF($O463=ST_REV,"معكوس: لا أثر على الدفاتر",IF($O463=ST_CANC,"ملغى",IF($O463=ST_APPR,"معتمد ولم يُرحَّل","مسودة"))))),"")</f>
        <v/>
      </c>
      <c r="Y463" s="32">
        <f>IF($A463=1,IF(AND($R463=1,OR(LG_Acct="",$G463=LG_Acct),OR(LG_Party="",$K463=LG_Party),OR(LG_Loc="ALL",$I463=LG_Loc),OR(LG_CC="ALL",$J463=LG_CC),$D463&gt;=LG_From,$D463&lt;=LG_To),$D463+ROW()/1000000,""),"")</f>
        <v/>
      </c>
      <c r="Z463" s="32">
        <f>IF($A463=1,IF(Sales_Daily!$T40="","",Sales_Daily!$T40),"")</f>
        <v/>
      </c>
      <c r="AA463" s="32">
        <f>IF($A463=1,IF(Sales_Daily!$U40="","",Sales_Daily!$U40),"")</f>
        <v/>
      </c>
      <c r="AB463" s="32">
        <f>IF($A463=1,IF(Sales_Daily!$V40="","",Sales_Daily!$V40),"")</f>
        <v/>
      </c>
      <c r="AC463" s="32">
        <f>IF($A463=1,IF(Sales_Daily!$W40="","",Sales_Daily!$W40),"")</f>
        <v/>
      </c>
      <c r="AD463" s="32">
        <f>IF($A463=1,IF(Sales_Daily!$X40="","",Sales_Daily!$X40),"")</f>
        <v/>
      </c>
      <c r="AE463" s="32">
        <f>IF($A463=1,0,"")</f>
        <v/>
      </c>
      <c r="AF463" s="32" t="inlineStr"/>
    </row>
    <row r="464">
      <c r="A464" s="32">
        <f>IF(AND(Sales_Daily!$AV40=1,N(Sales_Daily!$P40)&gt;0),1,0)</f>
        <v/>
      </c>
      <c r="B464" s="32">
        <f>IF($A464=1,$E464&amp;"/5","")</f>
        <v/>
      </c>
      <c r="C464" s="32">
        <f>IF($A464=1,"J-"&amp;Sales_Daily!$A40,"")</f>
        <v/>
      </c>
      <c r="D464" s="33">
        <f>IF($A464=1,Sales_Daily!$B40,"")</f>
        <v/>
      </c>
      <c r="E464" s="32">
        <f>IF($A464=1,IF(Sales_Daily!$A40="","",Sales_Daily!$A40),"")</f>
        <v/>
      </c>
      <c r="F464" s="32">
        <f>IF($A464=1,"SAL","")</f>
        <v/>
      </c>
      <c r="G464" s="32">
        <f>IF($A464=1,IF(Sales_Daily!$AO40="","",Sales_Daily!$AO40),"")</f>
        <v/>
      </c>
      <c r="H464" s="32">
        <f>IF($A464=1,IF(COUNTIF(COA!$A:$A,$G464)=0,"حساب غير معرف",INDEX(COA!$B:$B,MATCH($G464,COA!$A:$A,0))),"")</f>
        <v/>
      </c>
      <c r="I464" s="32">
        <f>IF($A464=1,IF(Sales_Daily!$C40="","",Sales_Daily!$C40),"")</f>
        <v/>
      </c>
      <c r="J464" s="32">
        <f>IF($A464=1,"CC10","")</f>
        <v/>
      </c>
      <c r="K464" s="32">
        <f>IF($A464=1,"-","")</f>
        <v/>
      </c>
      <c r="L464" s="32">
        <f>IF($A464=1,"مبيعات - تحصيل INSTA","")</f>
        <v/>
      </c>
      <c r="M464" s="43">
        <f>IF($A464=1,Sales_Daily!$P40,"")</f>
        <v/>
      </c>
      <c r="N464" s="43">
        <f>IF($A464=1,0,"")</f>
        <v/>
      </c>
      <c r="O464" s="32">
        <f>IF($A464=1,Sales_Daily!$S40,"")</f>
        <v/>
      </c>
      <c r="P464" s="32">
        <f>IF($A464=1,IF(Sales_Daily!$AW40="","",Sales_Daily!$AW40),"")</f>
        <v/>
      </c>
      <c r="Q464" s="32">
        <f>IF($A464=1,Sales_Daily!$AY40,"")</f>
        <v/>
      </c>
      <c r="R464" s="32">
        <f>IF($A464=1,IF(AND($Q464=1,COUNTIFS(COA!$A:$A,$G464,COA!$R:$R,1)=1),1,0),"")</f>
        <v/>
      </c>
      <c r="S464" s="43">
        <f>IF($A464=1,IF($R464=1,N($M464),0),"")</f>
        <v/>
      </c>
      <c r="T464" s="43">
        <f>IF($A464=1,IF($R464=1,N($N464),0),"")</f>
        <v/>
      </c>
      <c r="U464" s="32">
        <f>IF($A464=1,YEAR($D464)*100+MONTH($D464),"")</f>
        <v/>
      </c>
      <c r="V464" s="32">
        <f>IF($A464=1,IF(COUNTIF(COA!$A:$A,$G464)=0,0,INDEX(COA!$H:$H,MATCH($G464,COA!$A:$A,0))),"")</f>
        <v/>
      </c>
      <c r="W464" s="32">
        <f>IF($A464=1,"OPERATING","")</f>
        <v/>
      </c>
      <c r="X464" s="32">
        <f>IF($A464=1,IF($R464=1,"",IF($O464=ST_POST,IF($P464&lt;&gt;"",$P464,"حساب غير صالح أو غير نشط"),IF($O464=ST_REV,"معكوس: لا أثر على الدفاتر",IF($O464=ST_CANC,"ملغى",IF($O464=ST_APPR,"معتمد ولم يُرحَّل","مسودة"))))),"")</f>
        <v/>
      </c>
      <c r="Y464" s="32">
        <f>IF($A464=1,IF(AND($R464=1,OR(LG_Acct="",$G464=LG_Acct),OR(LG_Party="",$K464=LG_Party),OR(LG_Loc="ALL",$I464=LG_Loc),OR(LG_CC="ALL",$J464=LG_CC),$D464&gt;=LG_From,$D464&lt;=LG_To),$D464+ROW()/1000000,""),"")</f>
        <v/>
      </c>
      <c r="Z464" s="32">
        <f>IF($A464=1,IF(Sales_Daily!$T40="","",Sales_Daily!$T40),"")</f>
        <v/>
      </c>
      <c r="AA464" s="32">
        <f>IF($A464=1,IF(Sales_Daily!$U40="","",Sales_Daily!$U40),"")</f>
        <v/>
      </c>
      <c r="AB464" s="32">
        <f>IF($A464=1,IF(Sales_Daily!$V40="","",Sales_Daily!$V40),"")</f>
        <v/>
      </c>
      <c r="AC464" s="32">
        <f>IF($A464=1,IF(Sales_Daily!$W40="","",Sales_Daily!$W40),"")</f>
        <v/>
      </c>
      <c r="AD464" s="32">
        <f>IF($A464=1,IF(Sales_Daily!$X40="","",Sales_Daily!$X40),"")</f>
        <v/>
      </c>
      <c r="AE464" s="32">
        <f>IF($A464=1,0,"")</f>
        <v/>
      </c>
      <c r="AF464" s="32" t="inlineStr"/>
    </row>
    <row r="465">
      <c r="A465" s="32">
        <f>IF(AND(Sales_Daily!$AV40=1,N(Sales_Daily!$Q40)&gt;0),1,0)</f>
        <v/>
      </c>
      <c r="B465" s="32">
        <f>IF($A465=1,$E465&amp;"/6","")</f>
        <v/>
      </c>
      <c r="C465" s="32">
        <f>IF($A465=1,"J-"&amp;Sales_Daily!$A40,"")</f>
        <v/>
      </c>
      <c r="D465" s="33">
        <f>IF($A465=1,Sales_Daily!$B40,"")</f>
        <v/>
      </c>
      <c r="E465" s="32">
        <f>IF($A465=1,IF(Sales_Daily!$A40="","",Sales_Daily!$A40),"")</f>
        <v/>
      </c>
      <c r="F465" s="32">
        <f>IF($A465=1,"SAL","")</f>
        <v/>
      </c>
      <c r="G465" s="32">
        <f>IF($A465=1,IF(Sales_Daily!$AP40="","",Sales_Daily!$AP40),"")</f>
        <v/>
      </c>
      <c r="H465" s="32">
        <f>IF($A465=1,IF(COUNTIF(COA!$A:$A,$G465)=0,"حساب غير معرف",INDEX(COA!$B:$B,MATCH($G465,COA!$A:$A,0))),"")</f>
        <v/>
      </c>
      <c r="I465" s="32">
        <f>IF($A465=1,IF(Sales_Daily!$C40="","",Sales_Daily!$C40),"")</f>
        <v/>
      </c>
      <c r="J465" s="32">
        <f>IF($A465=1,"CC10","")</f>
        <v/>
      </c>
      <c r="K465" s="32">
        <f>IF($A465=1,"-","")</f>
        <v/>
      </c>
      <c r="L465" s="32">
        <f>IF($A465=1,"مبيعات - تحصيل OTH","")</f>
        <v/>
      </c>
      <c r="M465" s="43">
        <f>IF($A465=1,Sales_Daily!$Q40,"")</f>
        <v/>
      </c>
      <c r="N465" s="43">
        <f>IF($A465=1,0,"")</f>
        <v/>
      </c>
      <c r="O465" s="32">
        <f>IF($A465=1,Sales_Daily!$S40,"")</f>
        <v/>
      </c>
      <c r="P465" s="32">
        <f>IF($A465=1,IF(Sales_Daily!$AW40="","",Sales_Daily!$AW40),"")</f>
        <v/>
      </c>
      <c r="Q465" s="32">
        <f>IF($A465=1,Sales_Daily!$AY40,"")</f>
        <v/>
      </c>
      <c r="R465" s="32">
        <f>IF($A465=1,IF(AND($Q465=1,COUNTIFS(COA!$A:$A,$G465,COA!$R:$R,1)=1),1,0),"")</f>
        <v/>
      </c>
      <c r="S465" s="43">
        <f>IF($A465=1,IF($R465=1,N($M465),0),"")</f>
        <v/>
      </c>
      <c r="T465" s="43">
        <f>IF($A465=1,IF($R465=1,N($N465),0),"")</f>
        <v/>
      </c>
      <c r="U465" s="32">
        <f>IF($A465=1,YEAR($D465)*100+MONTH($D465),"")</f>
        <v/>
      </c>
      <c r="V465" s="32">
        <f>IF($A465=1,IF(COUNTIF(COA!$A:$A,$G465)=0,0,INDEX(COA!$H:$H,MATCH($G465,COA!$A:$A,0))),"")</f>
        <v/>
      </c>
      <c r="W465" s="32">
        <f>IF($A465=1,"OPERATING","")</f>
        <v/>
      </c>
      <c r="X465" s="32">
        <f>IF($A465=1,IF($R465=1,"",IF($O465=ST_POST,IF($P465&lt;&gt;"",$P465,"حساب غير صالح أو غير نشط"),IF($O465=ST_REV,"معكوس: لا أثر على الدفاتر",IF($O465=ST_CANC,"ملغى",IF($O465=ST_APPR,"معتمد ولم يُرحَّل","مسودة"))))),"")</f>
        <v/>
      </c>
      <c r="Y465" s="32">
        <f>IF($A465=1,IF(AND($R465=1,OR(LG_Acct="",$G465=LG_Acct),OR(LG_Party="",$K465=LG_Party),OR(LG_Loc="ALL",$I465=LG_Loc),OR(LG_CC="ALL",$J465=LG_CC),$D465&gt;=LG_From,$D465&lt;=LG_To),$D465+ROW()/1000000,""),"")</f>
        <v/>
      </c>
      <c r="Z465" s="32">
        <f>IF($A465=1,IF(Sales_Daily!$T40="","",Sales_Daily!$T40),"")</f>
        <v/>
      </c>
      <c r="AA465" s="32">
        <f>IF($A465=1,IF(Sales_Daily!$U40="","",Sales_Daily!$U40),"")</f>
        <v/>
      </c>
      <c r="AB465" s="32">
        <f>IF($A465=1,IF(Sales_Daily!$V40="","",Sales_Daily!$V40),"")</f>
        <v/>
      </c>
      <c r="AC465" s="32">
        <f>IF($A465=1,IF(Sales_Daily!$W40="","",Sales_Daily!$W40),"")</f>
        <v/>
      </c>
      <c r="AD465" s="32">
        <f>IF($A465=1,IF(Sales_Daily!$X40="","",Sales_Daily!$X40),"")</f>
        <v/>
      </c>
      <c r="AE465" s="32">
        <f>IF($A465=1,0,"")</f>
        <v/>
      </c>
      <c r="AF465" s="32" t="inlineStr"/>
    </row>
    <row r="466">
      <c r="A466" s="32">
        <f>IF(AND(Sales_Daily!$AV40=1,N(Sales_Daily!$AH40)&gt;0),1,0)</f>
        <v/>
      </c>
      <c r="B466" s="32">
        <f>IF($A466=1,$E466&amp;"/7","")</f>
        <v/>
      </c>
      <c r="C466" s="32">
        <f>IF($A466=1,"J-"&amp;Sales_Daily!$A40,"")</f>
        <v/>
      </c>
      <c r="D466" s="33">
        <f>IF($A466=1,Sales_Daily!$B40,"")</f>
        <v/>
      </c>
      <c r="E466" s="32">
        <f>IF($A466=1,IF(Sales_Daily!$A40="","",Sales_Daily!$A40),"")</f>
        <v/>
      </c>
      <c r="F466" s="32">
        <f>IF($A466=1,"SAL","")</f>
        <v/>
      </c>
      <c r="G466" s="32">
        <f>IF($A466=1,ACC_DISC,"")</f>
        <v/>
      </c>
      <c r="H466" s="32">
        <f>IF($A466=1,IF(COUNTIF(COA!$A:$A,$G466)=0,"حساب غير معرف",INDEX(COA!$B:$B,MATCH($G466,COA!$A:$A,0))),"")</f>
        <v/>
      </c>
      <c r="I466" s="32">
        <f>IF($A466=1,IF(Sales_Daily!$C40="","",Sales_Daily!$C40),"")</f>
        <v/>
      </c>
      <c r="J466" s="32">
        <f>IF($A466=1,"CC10","")</f>
        <v/>
      </c>
      <c r="K466" s="32">
        <f>IF($A466=1,"-","")</f>
        <v/>
      </c>
      <c r="L466" s="32">
        <f>IF($A466=1,"خصومات المبيعات والعروض","")</f>
        <v/>
      </c>
      <c r="M466" s="43">
        <f>IF($A466=1,Sales_Daily!$AH40,"")</f>
        <v/>
      </c>
      <c r="N466" s="43">
        <f>IF($A466=1,0,"")</f>
        <v/>
      </c>
      <c r="O466" s="32">
        <f>IF($A466=1,Sales_Daily!$S40,"")</f>
        <v/>
      </c>
      <c r="P466" s="32">
        <f>IF($A466=1,IF(Sales_Daily!$AW40="","",Sales_Daily!$AW40),"")</f>
        <v/>
      </c>
      <c r="Q466" s="32">
        <f>IF($A466=1,Sales_Daily!$AY40,"")</f>
        <v/>
      </c>
      <c r="R466" s="32">
        <f>IF($A466=1,IF(AND($Q466=1,COUNTIFS(COA!$A:$A,$G466,COA!$R:$R,1)=1),1,0),"")</f>
        <v/>
      </c>
      <c r="S466" s="43">
        <f>IF($A466=1,IF($R466=1,N($M466),0),"")</f>
        <v/>
      </c>
      <c r="T466" s="43">
        <f>IF($A466=1,IF($R466=1,N($N466),0),"")</f>
        <v/>
      </c>
      <c r="U466" s="32">
        <f>IF($A466=1,YEAR($D466)*100+MONTH($D466),"")</f>
        <v/>
      </c>
      <c r="V466" s="32">
        <f>IF($A466=1,IF(COUNTIF(COA!$A:$A,$G466)=0,0,INDEX(COA!$H:$H,MATCH($G466,COA!$A:$A,0))),"")</f>
        <v/>
      </c>
      <c r="W466" s="32">
        <f>IF($A466=1,"","")</f>
        <v/>
      </c>
      <c r="X466" s="32">
        <f>IF($A466=1,IF($R466=1,"",IF($O466=ST_POST,IF($P466&lt;&gt;"",$P466,"حساب غير صالح أو غير نشط"),IF($O466=ST_REV,"معكوس: لا أثر على الدفاتر",IF($O466=ST_CANC,"ملغى",IF($O466=ST_APPR,"معتمد ولم يُرحَّل","مسودة"))))),"")</f>
        <v/>
      </c>
      <c r="Y466" s="32">
        <f>IF($A466=1,IF(AND($R466=1,OR(LG_Acct="",$G466=LG_Acct),OR(LG_Party="",$K466=LG_Party),OR(LG_Loc="ALL",$I466=LG_Loc),OR(LG_CC="ALL",$J466=LG_CC),$D466&gt;=LG_From,$D466&lt;=LG_To),$D466+ROW()/1000000,""),"")</f>
        <v/>
      </c>
      <c r="Z466" s="32">
        <f>IF($A466=1,IF(Sales_Daily!$T40="","",Sales_Daily!$T40),"")</f>
        <v/>
      </c>
      <c r="AA466" s="32">
        <f>IF($A466=1,IF(Sales_Daily!$U40="","",Sales_Daily!$U40),"")</f>
        <v/>
      </c>
      <c r="AB466" s="32">
        <f>IF($A466=1,IF(Sales_Daily!$V40="","",Sales_Daily!$V40),"")</f>
        <v/>
      </c>
      <c r="AC466" s="32">
        <f>IF($A466=1,IF(Sales_Daily!$W40="","",Sales_Daily!$W40),"")</f>
        <v/>
      </c>
      <c r="AD466" s="32">
        <f>IF($A466=1,IF(Sales_Daily!$X40="","",Sales_Daily!$X40),"")</f>
        <v/>
      </c>
      <c r="AE466" s="32">
        <f>IF($A466=1,0,"")</f>
        <v/>
      </c>
      <c r="AF466" s="32" t="inlineStr"/>
    </row>
    <row r="467">
      <c r="A467" s="32">
        <f>IF(AND(Sales_Daily!$AV40=1,N(Sales_Daily!$AI40)&gt;0),1,0)</f>
        <v/>
      </c>
      <c r="B467" s="32">
        <f>IF($A467=1,$E467&amp;"/8","")</f>
        <v/>
      </c>
      <c r="C467" s="32">
        <f>IF($A467=1,"J-"&amp;Sales_Daily!$A40,"")</f>
        <v/>
      </c>
      <c r="D467" s="33">
        <f>IF($A467=1,Sales_Daily!$B40,"")</f>
        <v/>
      </c>
      <c r="E467" s="32">
        <f>IF($A467=1,IF(Sales_Daily!$A40="","",Sales_Daily!$A40),"")</f>
        <v/>
      </c>
      <c r="F467" s="32">
        <f>IF($A467=1,"SAL","")</f>
        <v/>
      </c>
      <c r="G467" s="32">
        <f>IF($A467=1,ACC_RET,"")</f>
        <v/>
      </c>
      <c r="H467" s="32">
        <f>IF($A467=1,IF(COUNTIF(COA!$A:$A,$G467)=0,"حساب غير معرف",INDEX(COA!$B:$B,MATCH($G467,COA!$A:$A,0))),"")</f>
        <v/>
      </c>
      <c r="I467" s="32">
        <f>IF($A467=1,IF(Sales_Daily!$C40="","",Sales_Daily!$C40),"")</f>
        <v/>
      </c>
      <c r="J467" s="32">
        <f>IF($A467=1,"CC10","")</f>
        <v/>
      </c>
      <c r="K467" s="32">
        <f>IF($A467=1,"-","")</f>
        <v/>
      </c>
      <c r="L467" s="32">
        <f>IF($A467=1,"مرتجعات وإلغاءات المبيعات","")</f>
        <v/>
      </c>
      <c r="M467" s="43">
        <f>IF($A467=1,Sales_Daily!$AI40,"")</f>
        <v/>
      </c>
      <c r="N467" s="43">
        <f>IF($A467=1,0,"")</f>
        <v/>
      </c>
      <c r="O467" s="32">
        <f>IF($A467=1,Sales_Daily!$S40,"")</f>
        <v/>
      </c>
      <c r="P467" s="32">
        <f>IF($A467=1,IF(Sales_Daily!$AW40="","",Sales_Daily!$AW40),"")</f>
        <v/>
      </c>
      <c r="Q467" s="32">
        <f>IF($A467=1,Sales_Daily!$AY40,"")</f>
        <v/>
      </c>
      <c r="R467" s="32">
        <f>IF($A467=1,IF(AND($Q467=1,COUNTIFS(COA!$A:$A,$G467,COA!$R:$R,1)=1),1,0),"")</f>
        <v/>
      </c>
      <c r="S467" s="43">
        <f>IF($A467=1,IF($R467=1,N($M467),0),"")</f>
        <v/>
      </c>
      <c r="T467" s="43">
        <f>IF($A467=1,IF($R467=1,N($N467),0),"")</f>
        <v/>
      </c>
      <c r="U467" s="32">
        <f>IF($A467=1,YEAR($D467)*100+MONTH($D467),"")</f>
        <v/>
      </c>
      <c r="V467" s="32">
        <f>IF($A467=1,IF(COUNTIF(COA!$A:$A,$G467)=0,0,INDEX(COA!$H:$H,MATCH($G467,COA!$A:$A,0))),"")</f>
        <v/>
      </c>
      <c r="W467" s="32">
        <f>IF($A467=1,"","")</f>
        <v/>
      </c>
      <c r="X467" s="32">
        <f>IF($A467=1,IF($R467=1,"",IF($O467=ST_POST,IF($P467&lt;&gt;"",$P467,"حساب غير صالح أو غير نشط"),IF($O467=ST_REV,"معكوس: لا أثر على الدفاتر",IF($O467=ST_CANC,"ملغى",IF($O467=ST_APPR,"معتمد ولم يُرحَّل","مسودة"))))),"")</f>
        <v/>
      </c>
      <c r="Y467" s="32">
        <f>IF($A467=1,IF(AND($R467=1,OR(LG_Acct="",$G467=LG_Acct),OR(LG_Party="",$K467=LG_Party),OR(LG_Loc="ALL",$I467=LG_Loc),OR(LG_CC="ALL",$J467=LG_CC),$D467&gt;=LG_From,$D467&lt;=LG_To),$D467+ROW()/1000000,""),"")</f>
        <v/>
      </c>
      <c r="Z467" s="32">
        <f>IF($A467=1,IF(Sales_Daily!$T40="","",Sales_Daily!$T40),"")</f>
        <v/>
      </c>
      <c r="AA467" s="32">
        <f>IF($A467=1,IF(Sales_Daily!$U40="","",Sales_Daily!$U40),"")</f>
        <v/>
      </c>
      <c r="AB467" s="32">
        <f>IF($A467=1,IF(Sales_Daily!$V40="","",Sales_Daily!$V40),"")</f>
        <v/>
      </c>
      <c r="AC467" s="32">
        <f>IF($A467=1,IF(Sales_Daily!$W40="","",Sales_Daily!$W40),"")</f>
        <v/>
      </c>
      <c r="AD467" s="32">
        <f>IF($A467=1,IF(Sales_Daily!$X40="","",Sales_Daily!$X40),"")</f>
        <v/>
      </c>
      <c r="AE467" s="32">
        <f>IF($A467=1,0,"")</f>
        <v/>
      </c>
      <c r="AF467" s="32" t="inlineStr"/>
    </row>
    <row r="468">
      <c r="A468" s="32">
        <f>IF(AND(Sales_Daily!$AV40=1,N(Sales_Daily!$AD40)&gt;0),1,0)</f>
        <v/>
      </c>
      <c r="B468" s="32">
        <f>IF($A468=1,$E468&amp;"/9","")</f>
        <v/>
      </c>
      <c r="C468" s="32">
        <f>IF($A468=1,"J-"&amp;Sales_Daily!$A40,"")</f>
        <v/>
      </c>
      <c r="D468" s="33">
        <f>IF($A468=1,Sales_Daily!$B40,"")</f>
        <v/>
      </c>
      <c r="E468" s="32">
        <f>IF($A468=1,IF(Sales_Daily!$A40="","",Sales_Daily!$A40),"")</f>
        <v/>
      </c>
      <c r="F468" s="32">
        <f>IF($A468=1,"SAL","")</f>
        <v/>
      </c>
      <c r="G468" s="32">
        <f>IF($A468=1,IF(Sales_Daily!$AQ40="","",Sales_Daily!$AQ40),"")</f>
        <v/>
      </c>
      <c r="H468" s="32">
        <f>IF($A468=1,IF(COUNTIF(COA!$A:$A,$G468)=0,"حساب غير معرف",INDEX(COA!$B:$B,MATCH($G468,COA!$A:$A,0))),"")</f>
        <v/>
      </c>
      <c r="I468" s="32">
        <f>IF($A468=1,IF(Sales_Daily!$C40="","",Sales_Daily!$C40),"")</f>
        <v/>
      </c>
      <c r="J468" s="32">
        <f>IF($A468=1,"CC10","")</f>
        <v/>
      </c>
      <c r="K468" s="32">
        <f>IF($A468=1,"-","")</f>
        <v/>
      </c>
      <c r="L468" s="32">
        <f>IF($A468=1,"إيراد مبيعات - فئة فطير","")</f>
        <v/>
      </c>
      <c r="M468" s="43">
        <f>IF($A468=1,0,"")</f>
        <v/>
      </c>
      <c r="N468" s="43">
        <f>IF($A468=1,Sales_Daily!$AD40,"")</f>
        <v/>
      </c>
      <c r="O468" s="32">
        <f>IF($A468=1,Sales_Daily!$S40,"")</f>
        <v/>
      </c>
      <c r="P468" s="32">
        <f>IF($A468=1,IF(Sales_Daily!$AW40="","",Sales_Daily!$AW40),"")</f>
        <v/>
      </c>
      <c r="Q468" s="32">
        <f>IF($A468=1,Sales_Daily!$AY40,"")</f>
        <v/>
      </c>
      <c r="R468" s="32">
        <f>IF($A468=1,IF(AND($Q468=1,COUNTIFS(COA!$A:$A,$G468,COA!$R:$R,1)=1),1,0),"")</f>
        <v/>
      </c>
      <c r="S468" s="43">
        <f>IF($A468=1,IF($R468=1,N($M468),0),"")</f>
        <v/>
      </c>
      <c r="T468" s="43">
        <f>IF($A468=1,IF($R468=1,N($N468),0),"")</f>
        <v/>
      </c>
      <c r="U468" s="32">
        <f>IF($A468=1,YEAR($D468)*100+MONTH($D468),"")</f>
        <v/>
      </c>
      <c r="V468" s="32">
        <f>IF($A468=1,IF(COUNTIF(COA!$A:$A,$G468)=0,0,INDEX(COA!$H:$H,MATCH($G468,COA!$A:$A,0))),"")</f>
        <v/>
      </c>
      <c r="W468" s="32">
        <f>IF($A468=1,"","")</f>
        <v/>
      </c>
      <c r="X468" s="32">
        <f>IF($A468=1,IF($R468=1,"",IF($O468=ST_POST,IF($P468&lt;&gt;"",$P468,"حساب غير صالح أو غير نشط"),IF($O468=ST_REV,"معكوس: لا أثر على الدفاتر",IF($O468=ST_CANC,"ملغى",IF($O468=ST_APPR,"معتمد ولم يُرحَّل","مسودة"))))),"")</f>
        <v/>
      </c>
      <c r="Y468" s="32">
        <f>IF($A468=1,IF(AND($R468=1,OR(LG_Acct="",$G468=LG_Acct),OR(LG_Party="",$K468=LG_Party),OR(LG_Loc="ALL",$I468=LG_Loc),OR(LG_CC="ALL",$J468=LG_CC),$D468&gt;=LG_From,$D468&lt;=LG_To),$D468+ROW()/1000000,""),"")</f>
        <v/>
      </c>
      <c r="Z468" s="32">
        <f>IF($A468=1,IF(Sales_Daily!$T40="","",Sales_Daily!$T40),"")</f>
        <v/>
      </c>
      <c r="AA468" s="32">
        <f>IF($A468=1,IF(Sales_Daily!$U40="","",Sales_Daily!$U40),"")</f>
        <v/>
      </c>
      <c r="AB468" s="32">
        <f>IF($A468=1,IF(Sales_Daily!$V40="","",Sales_Daily!$V40),"")</f>
        <v/>
      </c>
      <c r="AC468" s="32">
        <f>IF($A468=1,IF(Sales_Daily!$W40="","",Sales_Daily!$W40),"")</f>
        <v/>
      </c>
      <c r="AD468" s="32">
        <f>IF($A468=1,IF(Sales_Daily!$X40="","",Sales_Daily!$X40),"")</f>
        <v/>
      </c>
      <c r="AE468" s="32">
        <f>IF($A468=1,0,"")</f>
        <v/>
      </c>
      <c r="AF468" s="32" t="inlineStr"/>
    </row>
    <row r="469">
      <c r="A469" s="32">
        <f>IF(AND(Sales_Daily!$AV40=1,N(Sales_Daily!$AE40)&gt;0),1,0)</f>
        <v/>
      </c>
      <c r="B469" s="32">
        <f>IF($A469=1,$E469&amp;"/10","")</f>
        <v/>
      </c>
      <c r="C469" s="32">
        <f>IF($A469=1,"J-"&amp;Sales_Daily!$A40,"")</f>
        <v/>
      </c>
      <c r="D469" s="33">
        <f>IF($A469=1,Sales_Daily!$B40,"")</f>
        <v/>
      </c>
      <c r="E469" s="32">
        <f>IF($A469=1,IF(Sales_Daily!$A40="","",Sales_Daily!$A40),"")</f>
        <v/>
      </c>
      <c r="F469" s="32">
        <f>IF($A469=1,"SAL","")</f>
        <v/>
      </c>
      <c r="G469" s="32">
        <f>IF($A469=1,IF(Sales_Daily!$AR40="","",Sales_Daily!$AR40),"")</f>
        <v/>
      </c>
      <c r="H469" s="32">
        <f>IF($A469=1,IF(COUNTIF(COA!$A:$A,$G469)=0,"حساب غير معرف",INDEX(COA!$B:$B,MATCH($G469,COA!$A:$A,0))),"")</f>
        <v/>
      </c>
      <c r="I469" s="32">
        <f>IF($A469=1,IF(Sales_Daily!$C40="","",Sales_Daily!$C40),"")</f>
        <v/>
      </c>
      <c r="J469" s="32">
        <f>IF($A469=1,"CC10","")</f>
        <v/>
      </c>
      <c r="K469" s="32">
        <f>IF($A469=1,"-","")</f>
        <v/>
      </c>
      <c r="L469" s="32">
        <f>IF($A469=1,"إيراد مبيعات - فئة بيتزا","")</f>
        <v/>
      </c>
      <c r="M469" s="43">
        <f>IF($A469=1,0,"")</f>
        <v/>
      </c>
      <c r="N469" s="43">
        <f>IF($A469=1,Sales_Daily!$AE40,"")</f>
        <v/>
      </c>
      <c r="O469" s="32">
        <f>IF($A469=1,Sales_Daily!$S40,"")</f>
        <v/>
      </c>
      <c r="P469" s="32">
        <f>IF($A469=1,IF(Sales_Daily!$AW40="","",Sales_Daily!$AW40),"")</f>
        <v/>
      </c>
      <c r="Q469" s="32">
        <f>IF($A469=1,Sales_Daily!$AY40,"")</f>
        <v/>
      </c>
      <c r="R469" s="32">
        <f>IF($A469=1,IF(AND($Q469=1,COUNTIFS(COA!$A:$A,$G469,COA!$R:$R,1)=1),1,0),"")</f>
        <v/>
      </c>
      <c r="S469" s="43">
        <f>IF($A469=1,IF($R469=1,N($M469),0),"")</f>
        <v/>
      </c>
      <c r="T469" s="43">
        <f>IF($A469=1,IF($R469=1,N($N469),0),"")</f>
        <v/>
      </c>
      <c r="U469" s="32">
        <f>IF($A469=1,YEAR($D469)*100+MONTH($D469),"")</f>
        <v/>
      </c>
      <c r="V469" s="32">
        <f>IF($A469=1,IF(COUNTIF(COA!$A:$A,$G469)=0,0,INDEX(COA!$H:$H,MATCH($G469,COA!$A:$A,0))),"")</f>
        <v/>
      </c>
      <c r="W469" s="32">
        <f>IF($A469=1,"","")</f>
        <v/>
      </c>
      <c r="X469" s="32">
        <f>IF($A469=1,IF($R469=1,"",IF($O469=ST_POST,IF($P469&lt;&gt;"",$P469,"حساب غير صالح أو غير نشط"),IF($O469=ST_REV,"معكوس: لا أثر على الدفاتر",IF($O469=ST_CANC,"ملغى",IF($O469=ST_APPR,"معتمد ولم يُرحَّل","مسودة"))))),"")</f>
        <v/>
      </c>
      <c r="Y469" s="32">
        <f>IF($A469=1,IF(AND($R469=1,OR(LG_Acct="",$G469=LG_Acct),OR(LG_Party="",$K469=LG_Party),OR(LG_Loc="ALL",$I469=LG_Loc),OR(LG_CC="ALL",$J469=LG_CC),$D469&gt;=LG_From,$D469&lt;=LG_To),$D469+ROW()/1000000,""),"")</f>
        <v/>
      </c>
      <c r="Z469" s="32">
        <f>IF($A469=1,IF(Sales_Daily!$T40="","",Sales_Daily!$T40),"")</f>
        <v/>
      </c>
      <c r="AA469" s="32">
        <f>IF($A469=1,IF(Sales_Daily!$U40="","",Sales_Daily!$U40),"")</f>
        <v/>
      </c>
      <c r="AB469" s="32">
        <f>IF($A469=1,IF(Sales_Daily!$V40="","",Sales_Daily!$V40),"")</f>
        <v/>
      </c>
      <c r="AC469" s="32">
        <f>IF($A469=1,IF(Sales_Daily!$W40="","",Sales_Daily!$W40),"")</f>
        <v/>
      </c>
      <c r="AD469" s="32">
        <f>IF($A469=1,IF(Sales_Daily!$X40="","",Sales_Daily!$X40),"")</f>
        <v/>
      </c>
      <c r="AE469" s="32">
        <f>IF($A469=1,0,"")</f>
        <v/>
      </c>
      <c r="AF469" s="32" t="inlineStr"/>
    </row>
    <row r="470">
      <c r="A470" s="32">
        <f>IF(AND(Sales_Daily!$AV40=1,N(Sales_Daily!$AF40)&gt;0),1,0)</f>
        <v/>
      </c>
      <c r="B470" s="32">
        <f>IF($A470=1,$E470&amp;"/11","")</f>
        <v/>
      </c>
      <c r="C470" s="32">
        <f>IF($A470=1,"J-"&amp;Sales_Daily!$A40,"")</f>
        <v/>
      </c>
      <c r="D470" s="33">
        <f>IF($A470=1,Sales_Daily!$B40,"")</f>
        <v/>
      </c>
      <c r="E470" s="32">
        <f>IF($A470=1,IF(Sales_Daily!$A40="","",Sales_Daily!$A40),"")</f>
        <v/>
      </c>
      <c r="F470" s="32">
        <f>IF($A470=1,"SAL","")</f>
        <v/>
      </c>
      <c r="G470" s="32">
        <f>IF($A470=1,IF(Sales_Daily!$AS40="","",Sales_Daily!$AS40),"")</f>
        <v/>
      </c>
      <c r="H470" s="32">
        <f>IF($A470=1,IF(COUNTIF(COA!$A:$A,$G470)=0,"حساب غير معرف",INDEX(COA!$B:$B,MATCH($G470,COA!$A:$A,0))),"")</f>
        <v/>
      </c>
      <c r="I470" s="32">
        <f>IF($A470=1,IF(Sales_Daily!$C40="","",Sales_Daily!$C40),"")</f>
        <v/>
      </c>
      <c r="J470" s="32">
        <f>IF($A470=1,"CC10","")</f>
        <v/>
      </c>
      <c r="K470" s="32">
        <f>IF($A470=1,"-","")</f>
        <v/>
      </c>
      <c r="L470" s="32">
        <f>IF($A470=1,"إيراد مبيعات - فئة مكرونات","")</f>
        <v/>
      </c>
      <c r="M470" s="43">
        <f>IF($A470=1,0,"")</f>
        <v/>
      </c>
      <c r="N470" s="43">
        <f>IF($A470=1,Sales_Daily!$AF40,"")</f>
        <v/>
      </c>
      <c r="O470" s="32">
        <f>IF($A470=1,Sales_Daily!$S40,"")</f>
        <v/>
      </c>
      <c r="P470" s="32">
        <f>IF($A470=1,IF(Sales_Daily!$AW40="","",Sales_Daily!$AW40),"")</f>
        <v/>
      </c>
      <c r="Q470" s="32">
        <f>IF($A470=1,Sales_Daily!$AY40,"")</f>
        <v/>
      </c>
      <c r="R470" s="32">
        <f>IF($A470=1,IF(AND($Q470=1,COUNTIFS(COA!$A:$A,$G470,COA!$R:$R,1)=1),1,0),"")</f>
        <v/>
      </c>
      <c r="S470" s="43">
        <f>IF($A470=1,IF($R470=1,N($M470),0),"")</f>
        <v/>
      </c>
      <c r="T470" s="43">
        <f>IF($A470=1,IF($R470=1,N($N470),0),"")</f>
        <v/>
      </c>
      <c r="U470" s="32">
        <f>IF($A470=1,YEAR($D470)*100+MONTH($D470),"")</f>
        <v/>
      </c>
      <c r="V470" s="32">
        <f>IF($A470=1,IF(COUNTIF(COA!$A:$A,$G470)=0,0,INDEX(COA!$H:$H,MATCH($G470,COA!$A:$A,0))),"")</f>
        <v/>
      </c>
      <c r="W470" s="32">
        <f>IF($A470=1,"","")</f>
        <v/>
      </c>
      <c r="X470" s="32">
        <f>IF($A470=1,IF($R470=1,"",IF($O470=ST_POST,IF($P470&lt;&gt;"",$P470,"حساب غير صالح أو غير نشط"),IF($O470=ST_REV,"معكوس: لا أثر على الدفاتر",IF($O470=ST_CANC,"ملغى",IF($O470=ST_APPR,"معتمد ولم يُرحَّل","مسودة"))))),"")</f>
        <v/>
      </c>
      <c r="Y470" s="32">
        <f>IF($A470=1,IF(AND($R470=1,OR(LG_Acct="",$G470=LG_Acct),OR(LG_Party="",$K470=LG_Party),OR(LG_Loc="ALL",$I470=LG_Loc),OR(LG_CC="ALL",$J470=LG_CC),$D470&gt;=LG_From,$D470&lt;=LG_To),$D470+ROW()/1000000,""),"")</f>
        <v/>
      </c>
      <c r="Z470" s="32">
        <f>IF($A470=1,IF(Sales_Daily!$T40="","",Sales_Daily!$T40),"")</f>
        <v/>
      </c>
      <c r="AA470" s="32">
        <f>IF($A470=1,IF(Sales_Daily!$U40="","",Sales_Daily!$U40),"")</f>
        <v/>
      </c>
      <c r="AB470" s="32">
        <f>IF($A470=1,IF(Sales_Daily!$V40="","",Sales_Daily!$V40),"")</f>
        <v/>
      </c>
      <c r="AC470" s="32">
        <f>IF($A470=1,IF(Sales_Daily!$W40="","",Sales_Daily!$W40),"")</f>
        <v/>
      </c>
      <c r="AD470" s="32">
        <f>IF($A470=1,IF(Sales_Daily!$X40="","",Sales_Daily!$X40),"")</f>
        <v/>
      </c>
      <c r="AE470" s="32">
        <f>IF($A470=1,0,"")</f>
        <v/>
      </c>
      <c r="AF470" s="32" t="inlineStr"/>
    </row>
    <row r="471">
      <c r="A471" s="32">
        <f>IF(AND(Sales_Daily!$AV40=1,N(Sales_Daily!$AG40)&gt;0),1,0)</f>
        <v/>
      </c>
      <c r="B471" s="32">
        <f>IF($A471=1,$E471&amp;"/12","")</f>
        <v/>
      </c>
      <c r="C471" s="32">
        <f>IF($A471=1,"J-"&amp;Sales_Daily!$A40,"")</f>
        <v/>
      </c>
      <c r="D471" s="33">
        <f>IF($A471=1,Sales_Daily!$B40,"")</f>
        <v/>
      </c>
      <c r="E471" s="32">
        <f>IF($A471=1,IF(Sales_Daily!$A40="","",Sales_Daily!$A40),"")</f>
        <v/>
      </c>
      <c r="F471" s="32">
        <f>IF($A471=1,"SAL","")</f>
        <v/>
      </c>
      <c r="G471" s="32">
        <f>IF($A471=1,IF(Sales_Daily!$AT40="","",Sales_Daily!$AT40),"")</f>
        <v/>
      </c>
      <c r="H471" s="32">
        <f>IF($A471=1,IF(COUNTIF(COA!$A:$A,$G471)=0,"حساب غير معرف",INDEX(COA!$B:$B,MATCH($G471,COA!$A:$A,0))),"")</f>
        <v/>
      </c>
      <c r="I471" s="32">
        <f>IF($A471=1,IF(Sales_Daily!$C40="","",Sales_Daily!$C40),"")</f>
        <v/>
      </c>
      <c r="J471" s="32">
        <f>IF($A471=1,"CC10","")</f>
        <v/>
      </c>
      <c r="K471" s="32">
        <f>IF($A471=1,"-","")</f>
        <v/>
      </c>
      <c r="L471" s="32">
        <f>IF($A471=1,"إيراد مبيعات - فئة أخرى","")</f>
        <v/>
      </c>
      <c r="M471" s="43">
        <f>IF($A471=1,0,"")</f>
        <v/>
      </c>
      <c r="N471" s="43">
        <f>IF($A471=1,Sales_Daily!$AG40,"")</f>
        <v/>
      </c>
      <c r="O471" s="32">
        <f>IF($A471=1,Sales_Daily!$S40,"")</f>
        <v/>
      </c>
      <c r="P471" s="32">
        <f>IF($A471=1,IF(Sales_Daily!$AW40="","",Sales_Daily!$AW40),"")</f>
        <v/>
      </c>
      <c r="Q471" s="32">
        <f>IF($A471=1,Sales_Daily!$AY40,"")</f>
        <v/>
      </c>
      <c r="R471" s="32">
        <f>IF($A471=1,IF(AND($Q471=1,COUNTIFS(COA!$A:$A,$G471,COA!$R:$R,1)=1),1,0),"")</f>
        <v/>
      </c>
      <c r="S471" s="43">
        <f>IF($A471=1,IF($R471=1,N($M471),0),"")</f>
        <v/>
      </c>
      <c r="T471" s="43">
        <f>IF($A471=1,IF($R471=1,N($N471),0),"")</f>
        <v/>
      </c>
      <c r="U471" s="32">
        <f>IF($A471=1,YEAR($D471)*100+MONTH($D471),"")</f>
        <v/>
      </c>
      <c r="V471" s="32">
        <f>IF($A471=1,IF(COUNTIF(COA!$A:$A,$G471)=0,0,INDEX(COA!$H:$H,MATCH($G471,COA!$A:$A,0))),"")</f>
        <v/>
      </c>
      <c r="W471" s="32">
        <f>IF($A471=1,"","")</f>
        <v/>
      </c>
      <c r="X471" s="32">
        <f>IF($A471=1,IF($R471=1,"",IF($O471=ST_POST,IF($P471&lt;&gt;"",$P471,"حساب غير صالح أو غير نشط"),IF($O471=ST_REV,"معكوس: لا أثر على الدفاتر",IF($O471=ST_CANC,"ملغى",IF($O471=ST_APPR,"معتمد ولم يُرحَّل","مسودة"))))),"")</f>
        <v/>
      </c>
      <c r="Y471" s="32">
        <f>IF($A471=1,IF(AND($R471=1,OR(LG_Acct="",$G471=LG_Acct),OR(LG_Party="",$K471=LG_Party),OR(LG_Loc="ALL",$I471=LG_Loc),OR(LG_CC="ALL",$J471=LG_CC),$D471&gt;=LG_From,$D471&lt;=LG_To),$D471+ROW()/1000000,""),"")</f>
        <v/>
      </c>
      <c r="Z471" s="32">
        <f>IF($A471=1,IF(Sales_Daily!$T40="","",Sales_Daily!$T40),"")</f>
        <v/>
      </c>
      <c r="AA471" s="32">
        <f>IF($A471=1,IF(Sales_Daily!$U40="","",Sales_Daily!$U40),"")</f>
        <v/>
      </c>
      <c r="AB471" s="32">
        <f>IF($A471=1,IF(Sales_Daily!$V40="","",Sales_Daily!$V40),"")</f>
        <v/>
      </c>
      <c r="AC471" s="32">
        <f>IF($A471=1,IF(Sales_Daily!$W40="","",Sales_Daily!$W40),"")</f>
        <v/>
      </c>
      <c r="AD471" s="32">
        <f>IF($A471=1,IF(Sales_Daily!$X40="","",Sales_Daily!$X40),"")</f>
        <v/>
      </c>
      <c r="AE471" s="32">
        <f>IF($A471=1,0,"")</f>
        <v/>
      </c>
      <c r="AF471" s="32" t="inlineStr"/>
    </row>
    <row r="472">
      <c r="A472" s="32">
        <f>IF(AND(Sales_Daily!$AV40=1,N(Sales_Daily!$AJ40)&gt;0),1,0)</f>
        <v/>
      </c>
      <c r="B472" s="32">
        <f>IF($A472=1,$E472&amp;"/13","")</f>
        <v/>
      </c>
      <c r="C472" s="32">
        <f>IF($A472=1,"J-"&amp;Sales_Daily!$A40,"")</f>
        <v/>
      </c>
      <c r="D472" s="33">
        <f>IF($A472=1,Sales_Daily!$B40,"")</f>
        <v/>
      </c>
      <c r="E472" s="32">
        <f>IF($A472=1,IF(Sales_Daily!$A40="","",Sales_Daily!$A40),"")</f>
        <v/>
      </c>
      <c r="F472" s="32">
        <f>IF($A472=1,"SAL","")</f>
        <v/>
      </c>
      <c r="G472" s="32">
        <f>IF($A472=1,ACC_VAT_OUT,"")</f>
        <v/>
      </c>
      <c r="H472" s="32">
        <f>IF($A472=1,IF(COUNTIF(COA!$A:$A,$G472)=0,"حساب غير معرف",INDEX(COA!$B:$B,MATCH($G472,COA!$A:$A,0))),"")</f>
        <v/>
      </c>
      <c r="I472" s="32">
        <f>IF($A472=1,IF(Sales_Daily!$C40="","",Sales_Daily!$C40),"")</f>
        <v/>
      </c>
      <c r="J472" s="32">
        <f>IF($A472=1,"CC10","")</f>
        <v/>
      </c>
      <c r="K472" s="32">
        <f>IF($A472=1,"-","")</f>
        <v/>
      </c>
      <c r="L472" s="32">
        <f>IF($A472=1,"ضريبة القيمة المضافة - مخرجات","")</f>
        <v/>
      </c>
      <c r="M472" s="43">
        <f>IF($A472=1,0,"")</f>
        <v/>
      </c>
      <c r="N472" s="43">
        <f>IF($A472=1,Sales_Daily!$AJ40,"")</f>
        <v/>
      </c>
      <c r="O472" s="32">
        <f>IF($A472=1,Sales_Daily!$S40,"")</f>
        <v/>
      </c>
      <c r="P472" s="32">
        <f>IF($A472=1,IF(Sales_Daily!$AW40="","",Sales_Daily!$AW40),"")</f>
        <v/>
      </c>
      <c r="Q472" s="32">
        <f>IF($A472=1,Sales_Daily!$AY40,"")</f>
        <v/>
      </c>
      <c r="R472" s="32">
        <f>IF($A472=1,IF(AND($Q472=1,COUNTIFS(COA!$A:$A,$G472,COA!$R:$R,1)=1),1,0),"")</f>
        <v/>
      </c>
      <c r="S472" s="43">
        <f>IF($A472=1,IF($R472=1,N($M472),0),"")</f>
        <v/>
      </c>
      <c r="T472" s="43">
        <f>IF($A472=1,IF($R472=1,N($N472),0),"")</f>
        <v/>
      </c>
      <c r="U472" s="32">
        <f>IF($A472=1,YEAR($D472)*100+MONTH($D472),"")</f>
        <v/>
      </c>
      <c r="V472" s="32">
        <f>IF($A472=1,IF(COUNTIF(COA!$A:$A,$G472)=0,0,INDEX(COA!$H:$H,MATCH($G472,COA!$A:$A,0))),"")</f>
        <v/>
      </c>
      <c r="W472" s="32">
        <f>IF($A472=1,"","")</f>
        <v/>
      </c>
      <c r="X472" s="32">
        <f>IF($A472=1,IF($R472=1,"",IF($O472=ST_POST,IF($P472&lt;&gt;"",$P472,"حساب غير صالح أو غير نشط"),IF($O472=ST_REV,"معكوس: لا أثر على الدفاتر",IF($O472=ST_CANC,"ملغى",IF($O472=ST_APPR,"معتمد ولم يُرحَّل","مسودة"))))),"")</f>
        <v/>
      </c>
      <c r="Y472" s="32">
        <f>IF($A472=1,IF(AND($R472=1,OR(LG_Acct="",$G472=LG_Acct),OR(LG_Party="",$K472=LG_Party),OR(LG_Loc="ALL",$I472=LG_Loc),OR(LG_CC="ALL",$J472=LG_CC),$D472&gt;=LG_From,$D472&lt;=LG_To),$D472+ROW()/1000000,""),"")</f>
        <v/>
      </c>
      <c r="Z472" s="32">
        <f>IF($A472=1,IF(Sales_Daily!$T40="","",Sales_Daily!$T40),"")</f>
        <v/>
      </c>
      <c r="AA472" s="32">
        <f>IF($A472=1,IF(Sales_Daily!$U40="","",Sales_Daily!$U40),"")</f>
        <v/>
      </c>
      <c r="AB472" s="32">
        <f>IF($A472=1,IF(Sales_Daily!$V40="","",Sales_Daily!$V40),"")</f>
        <v/>
      </c>
      <c r="AC472" s="32">
        <f>IF($A472=1,IF(Sales_Daily!$W40="","",Sales_Daily!$W40),"")</f>
        <v/>
      </c>
      <c r="AD472" s="32">
        <f>IF($A472=1,IF(Sales_Daily!$X40="","",Sales_Daily!$X40),"")</f>
        <v/>
      </c>
      <c r="AE472" s="32">
        <f>IF($A472=1,0,"")</f>
        <v/>
      </c>
      <c r="AF472" s="32" t="inlineStr"/>
    </row>
    <row r="473">
      <c r="A473" s="32">
        <f>IF(AND(Sales_Daily!$AV41=1,N(Sales_Daily!$L41)&gt;0),1,0)</f>
        <v/>
      </c>
      <c r="B473" s="32">
        <f>IF($A473=1,$E473&amp;"/1","")</f>
        <v/>
      </c>
      <c r="C473" s="32">
        <f>IF($A473=1,"J-"&amp;Sales_Daily!$A41,"")</f>
        <v/>
      </c>
      <c r="D473" s="33">
        <f>IF($A473=1,Sales_Daily!$B41,"")</f>
        <v/>
      </c>
      <c r="E473" s="32">
        <f>IF($A473=1,IF(Sales_Daily!$A41="","",Sales_Daily!$A41),"")</f>
        <v/>
      </c>
      <c r="F473" s="32">
        <f>IF($A473=1,"SAL","")</f>
        <v/>
      </c>
      <c r="G473" s="32">
        <f>IF($A473=1,IF(Sales_Daily!$AK41="","",Sales_Daily!$AK41),"")</f>
        <v/>
      </c>
      <c r="H473" s="32">
        <f>IF($A473=1,IF(COUNTIF(COA!$A:$A,$G473)=0,"حساب غير معرف",INDEX(COA!$B:$B,MATCH($G473,COA!$A:$A,0))),"")</f>
        <v/>
      </c>
      <c r="I473" s="32">
        <f>IF($A473=1,IF(Sales_Daily!$C41="","",Sales_Daily!$C41),"")</f>
        <v/>
      </c>
      <c r="J473" s="32">
        <f>IF($A473=1,"CC10","")</f>
        <v/>
      </c>
      <c r="K473" s="32">
        <f>IF($A473=1,"-","")</f>
        <v/>
      </c>
      <c r="L473" s="32">
        <f>IF($A473=1,"مبيعات - تحصيل CASH","")</f>
        <v/>
      </c>
      <c r="M473" s="43">
        <f>IF($A473=1,Sales_Daily!$L41,"")</f>
        <v/>
      </c>
      <c r="N473" s="43">
        <f>IF($A473=1,0,"")</f>
        <v/>
      </c>
      <c r="O473" s="32">
        <f>IF($A473=1,Sales_Daily!$S41,"")</f>
        <v/>
      </c>
      <c r="P473" s="32">
        <f>IF($A473=1,IF(Sales_Daily!$AW41="","",Sales_Daily!$AW41),"")</f>
        <v/>
      </c>
      <c r="Q473" s="32">
        <f>IF($A473=1,Sales_Daily!$AY41,"")</f>
        <v/>
      </c>
      <c r="R473" s="32">
        <f>IF($A473=1,IF(AND($Q473=1,COUNTIFS(COA!$A:$A,$G473,COA!$R:$R,1)=1),1,0),"")</f>
        <v/>
      </c>
      <c r="S473" s="43">
        <f>IF($A473=1,IF($R473=1,N($M473),0),"")</f>
        <v/>
      </c>
      <c r="T473" s="43">
        <f>IF($A473=1,IF($R473=1,N($N473),0),"")</f>
        <v/>
      </c>
      <c r="U473" s="32">
        <f>IF($A473=1,YEAR($D473)*100+MONTH($D473),"")</f>
        <v/>
      </c>
      <c r="V473" s="32">
        <f>IF($A473=1,IF(COUNTIF(COA!$A:$A,$G473)=0,0,INDEX(COA!$H:$H,MATCH($G473,COA!$A:$A,0))),"")</f>
        <v/>
      </c>
      <c r="W473" s="32">
        <f>IF($A473=1,"OPERATING","")</f>
        <v/>
      </c>
      <c r="X473" s="32">
        <f>IF($A473=1,IF($R473=1,"",IF($O473=ST_POST,IF($P473&lt;&gt;"",$P473,"حساب غير صالح أو غير نشط"),IF($O473=ST_REV,"معكوس: لا أثر على الدفاتر",IF($O473=ST_CANC,"ملغى",IF($O473=ST_APPR,"معتمد ولم يُرحَّل","مسودة"))))),"")</f>
        <v/>
      </c>
      <c r="Y473" s="32">
        <f>IF($A473=1,IF(AND($R473=1,OR(LG_Acct="",$G473=LG_Acct),OR(LG_Party="",$K473=LG_Party),OR(LG_Loc="ALL",$I473=LG_Loc),OR(LG_CC="ALL",$J473=LG_CC),$D473&gt;=LG_From,$D473&lt;=LG_To),$D473+ROW()/1000000,""),"")</f>
        <v/>
      </c>
      <c r="Z473" s="32">
        <f>IF($A473=1,IF(Sales_Daily!$T41="","",Sales_Daily!$T41),"")</f>
        <v/>
      </c>
      <c r="AA473" s="32">
        <f>IF($A473=1,IF(Sales_Daily!$U41="","",Sales_Daily!$U41),"")</f>
        <v/>
      </c>
      <c r="AB473" s="32">
        <f>IF($A473=1,IF(Sales_Daily!$V41="","",Sales_Daily!$V41),"")</f>
        <v/>
      </c>
      <c r="AC473" s="32">
        <f>IF($A473=1,IF(Sales_Daily!$W41="","",Sales_Daily!$W41),"")</f>
        <v/>
      </c>
      <c r="AD473" s="32">
        <f>IF($A473=1,IF(Sales_Daily!$X41="","",Sales_Daily!$X41),"")</f>
        <v/>
      </c>
      <c r="AE473" s="32">
        <f>IF($A473=1,0,"")</f>
        <v/>
      </c>
      <c r="AF473" s="32" t="inlineStr"/>
    </row>
    <row r="474">
      <c r="A474" s="32">
        <f>IF(AND(Sales_Daily!$AV41=1,N(Sales_Daily!$M41)&gt;0),1,0)</f>
        <v/>
      </c>
      <c r="B474" s="32">
        <f>IF($A474=1,$E474&amp;"/2","")</f>
        <v/>
      </c>
      <c r="C474" s="32">
        <f>IF($A474=1,"J-"&amp;Sales_Daily!$A41,"")</f>
        <v/>
      </c>
      <c r="D474" s="33">
        <f>IF($A474=1,Sales_Daily!$B41,"")</f>
        <v/>
      </c>
      <c r="E474" s="32">
        <f>IF($A474=1,IF(Sales_Daily!$A41="","",Sales_Daily!$A41),"")</f>
        <v/>
      </c>
      <c r="F474" s="32">
        <f>IF($A474=1,"SAL","")</f>
        <v/>
      </c>
      <c r="G474" s="32">
        <f>IF($A474=1,IF(Sales_Daily!$AL41="","",Sales_Daily!$AL41),"")</f>
        <v/>
      </c>
      <c r="H474" s="32">
        <f>IF($A474=1,IF(COUNTIF(COA!$A:$A,$G474)=0,"حساب غير معرف",INDEX(COA!$B:$B,MATCH($G474,COA!$A:$A,0))),"")</f>
        <v/>
      </c>
      <c r="I474" s="32">
        <f>IF($A474=1,IF(Sales_Daily!$C41="","",Sales_Daily!$C41),"")</f>
        <v/>
      </c>
      <c r="J474" s="32">
        <f>IF($A474=1,"CC10","")</f>
        <v/>
      </c>
      <c r="K474" s="32">
        <f>IF($A474=1,"-","")</f>
        <v/>
      </c>
      <c r="L474" s="32">
        <f>IF($A474=1,"مبيعات - تحصيل CARD","")</f>
        <v/>
      </c>
      <c r="M474" s="43">
        <f>IF($A474=1,Sales_Daily!$M41,"")</f>
        <v/>
      </c>
      <c r="N474" s="43">
        <f>IF($A474=1,0,"")</f>
        <v/>
      </c>
      <c r="O474" s="32">
        <f>IF($A474=1,Sales_Daily!$S41,"")</f>
        <v/>
      </c>
      <c r="P474" s="32">
        <f>IF($A474=1,IF(Sales_Daily!$AW41="","",Sales_Daily!$AW41),"")</f>
        <v/>
      </c>
      <c r="Q474" s="32">
        <f>IF($A474=1,Sales_Daily!$AY41,"")</f>
        <v/>
      </c>
      <c r="R474" s="32">
        <f>IF($A474=1,IF(AND($Q474=1,COUNTIFS(COA!$A:$A,$G474,COA!$R:$R,1)=1),1,0),"")</f>
        <v/>
      </c>
      <c r="S474" s="43">
        <f>IF($A474=1,IF($R474=1,N($M474),0),"")</f>
        <v/>
      </c>
      <c r="T474" s="43">
        <f>IF($A474=1,IF($R474=1,N($N474),0),"")</f>
        <v/>
      </c>
      <c r="U474" s="32">
        <f>IF($A474=1,YEAR($D474)*100+MONTH($D474),"")</f>
        <v/>
      </c>
      <c r="V474" s="32">
        <f>IF($A474=1,IF(COUNTIF(COA!$A:$A,$G474)=0,0,INDEX(COA!$H:$H,MATCH($G474,COA!$A:$A,0))),"")</f>
        <v/>
      </c>
      <c r="W474" s="32">
        <f>IF($A474=1,"OPERATING","")</f>
        <v/>
      </c>
      <c r="X474" s="32">
        <f>IF($A474=1,IF($R474=1,"",IF($O474=ST_POST,IF($P474&lt;&gt;"",$P474,"حساب غير صالح أو غير نشط"),IF($O474=ST_REV,"معكوس: لا أثر على الدفاتر",IF($O474=ST_CANC,"ملغى",IF($O474=ST_APPR,"معتمد ولم يُرحَّل","مسودة"))))),"")</f>
        <v/>
      </c>
      <c r="Y474" s="32">
        <f>IF($A474=1,IF(AND($R474=1,OR(LG_Acct="",$G474=LG_Acct),OR(LG_Party="",$K474=LG_Party),OR(LG_Loc="ALL",$I474=LG_Loc),OR(LG_CC="ALL",$J474=LG_CC),$D474&gt;=LG_From,$D474&lt;=LG_To),$D474+ROW()/1000000,""),"")</f>
        <v/>
      </c>
      <c r="Z474" s="32">
        <f>IF($A474=1,IF(Sales_Daily!$T41="","",Sales_Daily!$T41),"")</f>
        <v/>
      </c>
      <c r="AA474" s="32">
        <f>IF($A474=1,IF(Sales_Daily!$U41="","",Sales_Daily!$U41),"")</f>
        <v/>
      </c>
      <c r="AB474" s="32">
        <f>IF($A474=1,IF(Sales_Daily!$V41="","",Sales_Daily!$V41),"")</f>
        <v/>
      </c>
      <c r="AC474" s="32">
        <f>IF($A474=1,IF(Sales_Daily!$W41="","",Sales_Daily!$W41),"")</f>
        <v/>
      </c>
      <c r="AD474" s="32">
        <f>IF($A474=1,IF(Sales_Daily!$X41="","",Sales_Daily!$X41),"")</f>
        <v/>
      </c>
      <c r="AE474" s="32">
        <f>IF($A474=1,0,"")</f>
        <v/>
      </c>
      <c r="AF474" s="32" t="inlineStr"/>
    </row>
    <row r="475">
      <c r="A475" s="32">
        <f>IF(AND(Sales_Daily!$AV41=1,N(Sales_Daily!$N41)&gt;0),1,0)</f>
        <v/>
      </c>
      <c r="B475" s="32">
        <f>IF($A475=1,$E475&amp;"/3","")</f>
        <v/>
      </c>
      <c r="C475" s="32">
        <f>IF($A475=1,"J-"&amp;Sales_Daily!$A41,"")</f>
        <v/>
      </c>
      <c r="D475" s="33">
        <f>IF($A475=1,Sales_Daily!$B41,"")</f>
        <v/>
      </c>
      <c r="E475" s="32">
        <f>IF($A475=1,IF(Sales_Daily!$A41="","",Sales_Daily!$A41),"")</f>
        <v/>
      </c>
      <c r="F475" s="32">
        <f>IF($A475=1,"SAL","")</f>
        <v/>
      </c>
      <c r="G475" s="32">
        <f>IF($A475=1,IF(Sales_Daily!$AM41="","",Sales_Daily!$AM41),"")</f>
        <v/>
      </c>
      <c r="H475" s="32">
        <f>IF($A475=1,IF(COUNTIF(COA!$A:$A,$G475)=0,"حساب غير معرف",INDEX(COA!$B:$B,MATCH($G475,COA!$A:$A,0))),"")</f>
        <v/>
      </c>
      <c r="I475" s="32">
        <f>IF($A475=1,IF(Sales_Daily!$C41="","",Sales_Daily!$C41),"")</f>
        <v/>
      </c>
      <c r="J475" s="32">
        <f>IF($A475=1,"CC10","")</f>
        <v/>
      </c>
      <c r="K475" s="32">
        <f>IF($A475=1,"-","")</f>
        <v/>
      </c>
      <c r="L475" s="32">
        <f>IF($A475=1,"مبيعات - تحصيل TLB","")</f>
        <v/>
      </c>
      <c r="M475" s="43">
        <f>IF($A475=1,Sales_Daily!$N41,"")</f>
        <v/>
      </c>
      <c r="N475" s="43">
        <f>IF($A475=1,0,"")</f>
        <v/>
      </c>
      <c r="O475" s="32">
        <f>IF($A475=1,Sales_Daily!$S41,"")</f>
        <v/>
      </c>
      <c r="P475" s="32">
        <f>IF($A475=1,IF(Sales_Daily!$AW41="","",Sales_Daily!$AW41),"")</f>
        <v/>
      </c>
      <c r="Q475" s="32">
        <f>IF($A475=1,Sales_Daily!$AY41,"")</f>
        <v/>
      </c>
      <c r="R475" s="32">
        <f>IF($A475=1,IF(AND($Q475=1,COUNTIFS(COA!$A:$A,$G475,COA!$R:$R,1)=1),1,0),"")</f>
        <v/>
      </c>
      <c r="S475" s="43">
        <f>IF($A475=1,IF($R475=1,N($M475),0),"")</f>
        <v/>
      </c>
      <c r="T475" s="43">
        <f>IF($A475=1,IF($R475=1,N($N475),0),"")</f>
        <v/>
      </c>
      <c r="U475" s="32">
        <f>IF($A475=1,YEAR($D475)*100+MONTH($D475),"")</f>
        <v/>
      </c>
      <c r="V475" s="32">
        <f>IF($A475=1,IF(COUNTIF(COA!$A:$A,$G475)=0,0,INDEX(COA!$H:$H,MATCH($G475,COA!$A:$A,0))),"")</f>
        <v/>
      </c>
      <c r="W475" s="32">
        <f>IF($A475=1,"OPERATING","")</f>
        <v/>
      </c>
      <c r="X475" s="32">
        <f>IF($A475=1,IF($R475=1,"",IF($O475=ST_POST,IF($P475&lt;&gt;"",$P475,"حساب غير صالح أو غير نشط"),IF($O475=ST_REV,"معكوس: لا أثر على الدفاتر",IF($O475=ST_CANC,"ملغى",IF($O475=ST_APPR,"معتمد ولم يُرحَّل","مسودة"))))),"")</f>
        <v/>
      </c>
      <c r="Y475" s="32">
        <f>IF($A475=1,IF(AND($R475=1,OR(LG_Acct="",$G475=LG_Acct),OR(LG_Party="",$K475=LG_Party),OR(LG_Loc="ALL",$I475=LG_Loc),OR(LG_CC="ALL",$J475=LG_CC),$D475&gt;=LG_From,$D475&lt;=LG_To),$D475+ROW()/1000000,""),"")</f>
        <v/>
      </c>
      <c r="Z475" s="32">
        <f>IF($A475=1,IF(Sales_Daily!$T41="","",Sales_Daily!$T41),"")</f>
        <v/>
      </c>
      <c r="AA475" s="32">
        <f>IF($A475=1,IF(Sales_Daily!$U41="","",Sales_Daily!$U41),"")</f>
        <v/>
      </c>
      <c r="AB475" s="32">
        <f>IF($A475=1,IF(Sales_Daily!$V41="","",Sales_Daily!$V41),"")</f>
        <v/>
      </c>
      <c r="AC475" s="32">
        <f>IF($A475=1,IF(Sales_Daily!$W41="","",Sales_Daily!$W41),"")</f>
        <v/>
      </c>
      <c r="AD475" s="32">
        <f>IF($A475=1,IF(Sales_Daily!$X41="","",Sales_Daily!$X41),"")</f>
        <v/>
      </c>
      <c r="AE475" s="32">
        <f>IF($A475=1,0,"")</f>
        <v/>
      </c>
      <c r="AF475" s="32" t="inlineStr"/>
    </row>
    <row r="476">
      <c r="A476" s="32">
        <f>IF(AND(Sales_Daily!$AV41=1,N(Sales_Daily!$O41)&gt;0),1,0)</f>
        <v/>
      </c>
      <c r="B476" s="32">
        <f>IF($A476=1,$E476&amp;"/4","")</f>
        <v/>
      </c>
      <c r="C476" s="32">
        <f>IF($A476=1,"J-"&amp;Sales_Daily!$A41,"")</f>
        <v/>
      </c>
      <c r="D476" s="33">
        <f>IF($A476=1,Sales_Daily!$B41,"")</f>
        <v/>
      </c>
      <c r="E476" s="32">
        <f>IF($A476=1,IF(Sales_Daily!$A41="","",Sales_Daily!$A41),"")</f>
        <v/>
      </c>
      <c r="F476" s="32">
        <f>IF($A476=1,"SAL","")</f>
        <v/>
      </c>
      <c r="G476" s="32">
        <f>IF($A476=1,IF(Sales_Daily!$AN41="","",Sales_Daily!$AN41),"")</f>
        <v/>
      </c>
      <c r="H476" s="32">
        <f>IF($A476=1,IF(COUNTIF(COA!$A:$A,$G476)=0,"حساب غير معرف",INDEX(COA!$B:$B,MATCH($G476,COA!$A:$A,0))),"")</f>
        <v/>
      </c>
      <c r="I476" s="32">
        <f>IF($A476=1,IF(Sales_Daily!$C41="","",Sales_Daily!$C41),"")</f>
        <v/>
      </c>
      <c r="J476" s="32">
        <f>IF($A476=1,"CC10","")</f>
        <v/>
      </c>
      <c r="K476" s="32">
        <f>IF($A476=1,"-","")</f>
        <v/>
      </c>
      <c r="L476" s="32">
        <f>IF($A476=1,"مبيعات - تحصيل DLV2","")</f>
        <v/>
      </c>
      <c r="M476" s="43">
        <f>IF($A476=1,Sales_Daily!$O41,"")</f>
        <v/>
      </c>
      <c r="N476" s="43">
        <f>IF($A476=1,0,"")</f>
        <v/>
      </c>
      <c r="O476" s="32">
        <f>IF($A476=1,Sales_Daily!$S41,"")</f>
        <v/>
      </c>
      <c r="P476" s="32">
        <f>IF($A476=1,IF(Sales_Daily!$AW41="","",Sales_Daily!$AW41),"")</f>
        <v/>
      </c>
      <c r="Q476" s="32">
        <f>IF($A476=1,Sales_Daily!$AY41,"")</f>
        <v/>
      </c>
      <c r="R476" s="32">
        <f>IF($A476=1,IF(AND($Q476=1,COUNTIFS(COA!$A:$A,$G476,COA!$R:$R,1)=1),1,0),"")</f>
        <v/>
      </c>
      <c r="S476" s="43">
        <f>IF($A476=1,IF($R476=1,N($M476),0),"")</f>
        <v/>
      </c>
      <c r="T476" s="43">
        <f>IF($A476=1,IF($R476=1,N($N476),0),"")</f>
        <v/>
      </c>
      <c r="U476" s="32">
        <f>IF($A476=1,YEAR($D476)*100+MONTH($D476),"")</f>
        <v/>
      </c>
      <c r="V476" s="32">
        <f>IF($A476=1,IF(COUNTIF(COA!$A:$A,$G476)=0,0,INDEX(COA!$H:$H,MATCH($G476,COA!$A:$A,0))),"")</f>
        <v/>
      </c>
      <c r="W476" s="32">
        <f>IF($A476=1,"OPERATING","")</f>
        <v/>
      </c>
      <c r="X476" s="32">
        <f>IF($A476=1,IF($R476=1,"",IF($O476=ST_POST,IF($P476&lt;&gt;"",$P476,"حساب غير صالح أو غير نشط"),IF($O476=ST_REV,"معكوس: لا أثر على الدفاتر",IF($O476=ST_CANC,"ملغى",IF($O476=ST_APPR,"معتمد ولم يُرحَّل","مسودة"))))),"")</f>
        <v/>
      </c>
      <c r="Y476" s="32">
        <f>IF($A476=1,IF(AND($R476=1,OR(LG_Acct="",$G476=LG_Acct),OR(LG_Party="",$K476=LG_Party),OR(LG_Loc="ALL",$I476=LG_Loc),OR(LG_CC="ALL",$J476=LG_CC),$D476&gt;=LG_From,$D476&lt;=LG_To),$D476+ROW()/1000000,""),"")</f>
        <v/>
      </c>
      <c r="Z476" s="32">
        <f>IF($A476=1,IF(Sales_Daily!$T41="","",Sales_Daily!$T41),"")</f>
        <v/>
      </c>
      <c r="AA476" s="32">
        <f>IF($A476=1,IF(Sales_Daily!$U41="","",Sales_Daily!$U41),"")</f>
        <v/>
      </c>
      <c r="AB476" s="32">
        <f>IF($A476=1,IF(Sales_Daily!$V41="","",Sales_Daily!$V41),"")</f>
        <v/>
      </c>
      <c r="AC476" s="32">
        <f>IF($A476=1,IF(Sales_Daily!$W41="","",Sales_Daily!$W41),"")</f>
        <v/>
      </c>
      <c r="AD476" s="32">
        <f>IF($A476=1,IF(Sales_Daily!$X41="","",Sales_Daily!$X41),"")</f>
        <v/>
      </c>
      <c r="AE476" s="32">
        <f>IF($A476=1,0,"")</f>
        <v/>
      </c>
      <c r="AF476" s="32" t="inlineStr"/>
    </row>
    <row r="477">
      <c r="A477" s="32">
        <f>IF(AND(Sales_Daily!$AV41=1,N(Sales_Daily!$P41)&gt;0),1,0)</f>
        <v/>
      </c>
      <c r="B477" s="32">
        <f>IF($A477=1,$E477&amp;"/5","")</f>
        <v/>
      </c>
      <c r="C477" s="32">
        <f>IF($A477=1,"J-"&amp;Sales_Daily!$A41,"")</f>
        <v/>
      </c>
      <c r="D477" s="33">
        <f>IF($A477=1,Sales_Daily!$B41,"")</f>
        <v/>
      </c>
      <c r="E477" s="32">
        <f>IF($A477=1,IF(Sales_Daily!$A41="","",Sales_Daily!$A41),"")</f>
        <v/>
      </c>
      <c r="F477" s="32">
        <f>IF($A477=1,"SAL","")</f>
        <v/>
      </c>
      <c r="G477" s="32">
        <f>IF($A477=1,IF(Sales_Daily!$AO41="","",Sales_Daily!$AO41),"")</f>
        <v/>
      </c>
      <c r="H477" s="32">
        <f>IF($A477=1,IF(COUNTIF(COA!$A:$A,$G477)=0,"حساب غير معرف",INDEX(COA!$B:$B,MATCH($G477,COA!$A:$A,0))),"")</f>
        <v/>
      </c>
      <c r="I477" s="32">
        <f>IF($A477=1,IF(Sales_Daily!$C41="","",Sales_Daily!$C41),"")</f>
        <v/>
      </c>
      <c r="J477" s="32">
        <f>IF($A477=1,"CC10","")</f>
        <v/>
      </c>
      <c r="K477" s="32">
        <f>IF($A477=1,"-","")</f>
        <v/>
      </c>
      <c r="L477" s="32">
        <f>IF($A477=1,"مبيعات - تحصيل INSTA","")</f>
        <v/>
      </c>
      <c r="M477" s="43">
        <f>IF($A477=1,Sales_Daily!$P41,"")</f>
        <v/>
      </c>
      <c r="N477" s="43">
        <f>IF($A477=1,0,"")</f>
        <v/>
      </c>
      <c r="O477" s="32">
        <f>IF($A477=1,Sales_Daily!$S41,"")</f>
        <v/>
      </c>
      <c r="P477" s="32">
        <f>IF($A477=1,IF(Sales_Daily!$AW41="","",Sales_Daily!$AW41),"")</f>
        <v/>
      </c>
      <c r="Q477" s="32">
        <f>IF($A477=1,Sales_Daily!$AY41,"")</f>
        <v/>
      </c>
      <c r="R477" s="32">
        <f>IF($A477=1,IF(AND($Q477=1,COUNTIFS(COA!$A:$A,$G477,COA!$R:$R,1)=1),1,0),"")</f>
        <v/>
      </c>
      <c r="S477" s="43">
        <f>IF($A477=1,IF($R477=1,N($M477),0),"")</f>
        <v/>
      </c>
      <c r="T477" s="43">
        <f>IF($A477=1,IF($R477=1,N($N477),0),"")</f>
        <v/>
      </c>
      <c r="U477" s="32">
        <f>IF($A477=1,YEAR($D477)*100+MONTH($D477),"")</f>
        <v/>
      </c>
      <c r="V477" s="32">
        <f>IF($A477=1,IF(COUNTIF(COA!$A:$A,$G477)=0,0,INDEX(COA!$H:$H,MATCH($G477,COA!$A:$A,0))),"")</f>
        <v/>
      </c>
      <c r="W477" s="32">
        <f>IF($A477=1,"OPERATING","")</f>
        <v/>
      </c>
      <c r="X477" s="32">
        <f>IF($A477=1,IF($R477=1,"",IF($O477=ST_POST,IF($P477&lt;&gt;"",$P477,"حساب غير صالح أو غير نشط"),IF($O477=ST_REV,"معكوس: لا أثر على الدفاتر",IF($O477=ST_CANC,"ملغى",IF($O477=ST_APPR,"معتمد ولم يُرحَّل","مسودة"))))),"")</f>
        <v/>
      </c>
      <c r="Y477" s="32">
        <f>IF($A477=1,IF(AND($R477=1,OR(LG_Acct="",$G477=LG_Acct),OR(LG_Party="",$K477=LG_Party),OR(LG_Loc="ALL",$I477=LG_Loc),OR(LG_CC="ALL",$J477=LG_CC),$D477&gt;=LG_From,$D477&lt;=LG_To),$D477+ROW()/1000000,""),"")</f>
        <v/>
      </c>
      <c r="Z477" s="32">
        <f>IF($A477=1,IF(Sales_Daily!$T41="","",Sales_Daily!$T41),"")</f>
        <v/>
      </c>
      <c r="AA477" s="32">
        <f>IF($A477=1,IF(Sales_Daily!$U41="","",Sales_Daily!$U41),"")</f>
        <v/>
      </c>
      <c r="AB477" s="32">
        <f>IF($A477=1,IF(Sales_Daily!$V41="","",Sales_Daily!$V41),"")</f>
        <v/>
      </c>
      <c r="AC477" s="32">
        <f>IF($A477=1,IF(Sales_Daily!$W41="","",Sales_Daily!$W41),"")</f>
        <v/>
      </c>
      <c r="AD477" s="32">
        <f>IF($A477=1,IF(Sales_Daily!$X41="","",Sales_Daily!$X41),"")</f>
        <v/>
      </c>
      <c r="AE477" s="32">
        <f>IF($A477=1,0,"")</f>
        <v/>
      </c>
      <c r="AF477" s="32" t="inlineStr"/>
    </row>
    <row r="478">
      <c r="A478" s="32">
        <f>IF(AND(Sales_Daily!$AV41=1,N(Sales_Daily!$Q41)&gt;0),1,0)</f>
        <v/>
      </c>
      <c r="B478" s="32">
        <f>IF($A478=1,$E478&amp;"/6","")</f>
        <v/>
      </c>
      <c r="C478" s="32">
        <f>IF($A478=1,"J-"&amp;Sales_Daily!$A41,"")</f>
        <v/>
      </c>
      <c r="D478" s="33">
        <f>IF($A478=1,Sales_Daily!$B41,"")</f>
        <v/>
      </c>
      <c r="E478" s="32">
        <f>IF($A478=1,IF(Sales_Daily!$A41="","",Sales_Daily!$A41),"")</f>
        <v/>
      </c>
      <c r="F478" s="32">
        <f>IF($A478=1,"SAL","")</f>
        <v/>
      </c>
      <c r="G478" s="32">
        <f>IF($A478=1,IF(Sales_Daily!$AP41="","",Sales_Daily!$AP41),"")</f>
        <v/>
      </c>
      <c r="H478" s="32">
        <f>IF($A478=1,IF(COUNTIF(COA!$A:$A,$G478)=0,"حساب غير معرف",INDEX(COA!$B:$B,MATCH($G478,COA!$A:$A,0))),"")</f>
        <v/>
      </c>
      <c r="I478" s="32">
        <f>IF($A478=1,IF(Sales_Daily!$C41="","",Sales_Daily!$C41),"")</f>
        <v/>
      </c>
      <c r="J478" s="32">
        <f>IF($A478=1,"CC10","")</f>
        <v/>
      </c>
      <c r="K478" s="32">
        <f>IF($A478=1,"-","")</f>
        <v/>
      </c>
      <c r="L478" s="32">
        <f>IF($A478=1,"مبيعات - تحصيل OTH","")</f>
        <v/>
      </c>
      <c r="M478" s="43">
        <f>IF($A478=1,Sales_Daily!$Q41,"")</f>
        <v/>
      </c>
      <c r="N478" s="43">
        <f>IF($A478=1,0,"")</f>
        <v/>
      </c>
      <c r="O478" s="32">
        <f>IF($A478=1,Sales_Daily!$S41,"")</f>
        <v/>
      </c>
      <c r="P478" s="32">
        <f>IF($A478=1,IF(Sales_Daily!$AW41="","",Sales_Daily!$AW41),"")</f>
        <v/>
      </c>
      <c r="Q478" s="32">
        <f>IF($A478=1,Sales_Daily!$AY41,"")</f>
        <v/>
      </c>
      <c r="R478" s="32">
        <f>IF($A478=1,IF(AND($Q478=1,COUNTIFS(COA!$A:$A,$G478,COA!$R:$R,1)=1),1,0),"")</f>
        <v/>
      </c>
      <c r="S478" s="43">
        <f>IF($A478=1,IF($R478=1,N($M478),0),"")</f>
        <v/>
      </c>
      <c r="T478" s="43">
        <f>IF($A478=1,IF($R478=1,N($N478),0),"")</f>
        <v/>
      </c>
      <c r="U478" s="32">
        <f>IF($A478=1,YEAR($D478)*100+MONTH($D478),"")</f>
        <v/>
      </c>
      <c r="V478" s="32">
        <f>IF($A478=1,IF(COUNTIF(COA!$A:$A,$G478)=0,0,INDEX(COA!$H:$H,MATCH($G478,COA!$A:$A,0))),"")</f>
        <v/>
      </c>
      <c r="W478" s="32">
        <f>IF($A478=1,"OPERATING","")</f>
        <v/>
      </c>
      <c r="X478" s="32">
        <f>IF($A478=1,IF($R478=1,"",IF($O478=ST_POST,IF($P478&lt;&gt;"",$P478,"حساب غير صالح أو غير نشط"),IF($O478=ST_REV,"معكوس: لا أثر على الدفاتر",IF($O478=ST_CANC,"ملغى",IF($O478=ST_APPR,"معتمد ولم يُرحَّل","مسودة"))))),"")</f>
        <v/>
      </c>
      <c r="Y478" s="32">
        <f>IF($A478=1,IF(AND($R478=1,OR(LG_Acct="",$G478=LG_Acct),OR(LG_Party="",$K478=LG_Party),OR(LG_Loc="ALL",$I478=LG_Loc),OR(LG_CC="ALL",$J478=LG_CC),$D478&gt;=LG_From,$D478&lt;=LG_To),$D478+ROW()/1000000,""),"")</f>
        <v/>
      </c>
      <c r="Z478" s="32">
        <f>IF($A478=1,IF(Sales_Daily!$T41="","",Sales_Daily!$T41),"")</f>
        <v/>
      </c>
      <c r="AA478" s="32">
        <f>IF($A478=1,IF(Sales_Daily!$U41="","",Sales_Daily!$U41),"")</f>
        <v/>
      </c>
      <c r="AB478" s="32">
        <f>IF($A478=1,IF(Sales_Daily!$V41="","",Sales_Daily!$V41),"")</f>
        <v/>
      </c>
      <c r="AC478" s="32">
        <f>IF($A478=1,IF(Sales_Daily!$W41="","",Sales_Daily!$W41),"")</f>
        <v/>
      </c>
      <c r="AD478" s="32">
        <f>IF($A478=1,IF(Sales_Daily!$X41="","",Sales_Daily!$X41),"")</f>
        <v/>
      </c>
      <c r="AE478" s="32">
        <f>IF($A478=1,0,"")</f>
        <v/>
      </c>
      <c r="AF478" s="32" t="inlineStr"/>
    </row>
    <row r="479">
      <c r="A479" s="32">
        <f>IF(AND(Sales_Daily!$AV41=1,N(Sales_Daily!$AH41)&gt;0),1,0)</f>
        <v/>
      </c>
      <c r="B479" s="32">
        <f>IF($A479=1,$E479&amp;"/7","")</f>
        <v/>
      </c>
      <c r="C479" s="32">
        <f>IF($A479=1,"J-"&amp;Sales_Daily!$A41,"")</f>
        <v/>
      </c>
      <c r="D479" s="33">
        <f>IF($A479=1,Sales_Daily!$B41,"")</f>
        <v/>
      </c>
      <c r="E479" s="32">
        <f>IF($A479=1,IF(Sales_Daily!$A41="","",Sales_Daily!$A41),"")</f>
        <v/>
      </c>
      <c r="F479" s="32">
        <f>IF($A479=1,"SAL","")</f>
        <v/>
      </c>
      <c r="G479" s="32">
        <f>IF($A479=1,ACC_DISC,"")</f>
        <v/>
      </c>
      <c r="H479" s="32">
        <f>IF($A479=1,IF(COUNTIF(COA!$A:$A,$G479)=0,"حساب غير معرف",INDEX(COA!$B:$B,MATCH($G479,COA!$A:$A,0))),"")</f>
        <v/>
      </c>
      <c r="I479" s="32">
        <f>IF($A479=1,IF(Sales_Daily!$C41="","",Sales_Daily!$C41),"")</f>
        <v/>
      </c>
      <c r="J479" s="32">
        <f>IF($A479=1,"CC10","")</f>
        <v/>
      </c>
      <c r="K479" s="32">
        <f>IF($A479=1,"-","")</f>
        <v/>
      </c>
      <c r="L479" s="32">
        <f>IF($A479=1,"خصومات المبيعات والعروض","")</f>
        <v/>
      </c>
      <c r="M479" s="43">
        <f>IF($A479=1,Sales_Daily!$AH41,"")</f>
        <v/>
      </c>
      <c r="N479" s="43">
        <f>IF($A479=1,0,"")</f>
        <v/>
      </c>
      <c r="O479" s="32">
        <f>IF($A479=1,Sales_Daily!$S41,"")</f>
        <v/>
      </c>
      <c r="P479" s="32">
        <f>IF($A479=1,IF(Sales_Daily!$AW41="","",Sales_Daily!$AW41),"")</f>
        <v/>
      </c>
      <c r="Q479" s="32">
        <f>IF($A479=1,Sales_Daily!$AY41,"")</f>
        <v/>
      </c>
      <c r="R479" s="32">
        <f>IF($A479=1,IF(AND($Q479=1,COUNTIFS(COA!$A:$A,$G479,COA!$R:$R,1)=1),1,0),"")</f>
        <v/>
      </c>
      <c r="S479" s="43">
        <f>IF($A479=1,IF($R479=1,N($M479),0),"")</f>
        <v/>
      </c>
      <c r="T479" s="43">
        <f>IF($A479=1,IF($R479=1,N($N479),0),"")</f>
        <v/>
      </c>
      <c r="U479" s="32">
        <f>IF($A479=1,YEAR($D479)*100+MONTH($D479),"")</f>
        <v/>
      </c>
      <c r="V479" s="32">
        <f>IF($A479=1,IF(COUNTIF(COA!$A:$A,$G479)=0,0,INDEX(COA!$H:$H,MATCH($G479,COA!$A:$A,0))),"")</f>
        <v/>
      </c>
      <c r="W479" s="32">
        <f>IF($A479=1,"","")</f>
        <v/>
      </c>
      <c r="X479" s="32">
        <f>IF($A479=1,IF($R479=1,"",IF($O479=ST_POST,IF($P479&lt;&gt;"",$P479,"حساب غير صالح أو غير نشط"),IF($O479=ST_REV,"معكوس: لا أثر على الدفاتر",IF($O479=ST_CANC,"ملغى",IF($O479=ST_APPR,"معتمد ولم يُرحَّل","مسودة"))))),"")</f>
        <v/>
      </c>
      <c r="Y479" s="32">
        <f>IF($A479=1,IF(AND($R479=1,OR(LG_Acct="",$G479=LG_Acct),OR(LG_Party="",$K479=LG_Party),OR(LG_Loc="ALL",$I479=LG_Loc),OR(LG_CC="ALL",$J479=LG_CC),$D479&gt;=LG_From,$D479&lt;=LG_To),$D479+ROW()/1000000,""),"")</f>
        <v/>
      </c>
      <c r="Z479" s="32">
        <f>IF($A479=1,IF(Sales_Daily!$T41="","",Sales_Daily!$T41),"")</f>
        <v/>
      </c>
      <c r="AA479" s="32">
        <f>IF($A479=1,IF(Sales_Daily!$U41="","",Sales_Daily!$U41),"")</f>
        <v/>
      </c>
      <c r="AB479" s="32">
        <f>IF($A479=1,IF(Sales_Daily!$V41="","",Sales_Daily!$V41),"")</f>
        <v/>
      </c>
      <c r="AC479" s="32">
        <f>IF($A479=1,IF(Sales_Daily!$W41="","",Sales_Daily!$W41),"")</f>
        <v/>
      </c>
      <c r="AD479" s="32">
        <f>IF($A479=1,IF(Sales_Daily!$X41="","",Sales_Daily!$X41),"")</f>
        <v/>
      </c>
      <c r="AE479" s="32">
        <f>IF($A479=1,0,"")</f>
        <v/>
      </c>
      <c r="AF479" s="32" t="inlineStr"/>
    </row>
    <row r="480">
      <c r="A480" s="32">
        <f>IF(AND(Sales_Daily!$AV41=1,N(Sales_Daily!$AI41)&gt;0),1,0)</f>
        <v/>
      </c>
      <c r="B480" s="32">
        <f>IF($A480=1,$E480&amp;"/8","")</f>
        <v/>
      </c>
      <c r="C480" s="32">
        <f>IF($A480=1,"J-"&amp;Sales_Daily!$A41,"")</f>
        <v/>
      </c>
      <c r="D480" s="33">
        <f>IF($A480=1,Sales_Daily!$B41,"")</f>
        <v/>
      </c>
      <c r="E480" s="32">
        <f>IF($A480=1,IF(Sales_Daily!$A41="","",Sales_Daily!$A41),"")</f>
        <v/>
      </c>
      <c r="F480" s="32">
        <f>IF($A480=1,"SAL","")</f>
        <v/>
      </c>
      <c r="G480" s="32">
        <f>IF($A480=1,ACC_RET,"")</f>
        <v/>
      </c>
      <c r="H480" s="32">
        <f>IF($A480=1,IF(COUNTIF(COA!$A:$A,$G480)=0,"حساب غير معرف",INDEX(COA!$B:$B,MATCH($G480,COA!$A:$A,0))),"")</f>
        <v/>
      </c>
      <c r="I480" s="32">
        <f>IF($A480=1,IF(Sales_Daily!$C41="","",Sales_Daily!$C41),"")</f>
        <v/>
      </c>
      <c r="J480" s="32">
        <f>IF($A480=1,"CC10","")</f>
        <v/>
      </c>
      <c r="K480" s="32">
        <f>IF($A480=1,"-","")</f>
        <v/>
      </c>
      <c r="L480" s="32">
        <f>IF($A480=1,"مرتجعات وإلغاءات المبيعات","")</f>
        <v/>
      </c>
      <c r="M480" s="43">
        <f>IF($A480=1,Sales_Daily!$AI41,"")</f>
        <v/>
      </c>
      <c r="N480" s="43">
        <f>IF($A480=1,0,"")</f>
        <v/>
      </c>
      <c r="O480" s="32">
        <f>IF($A480=1,Sales_Daily!$S41,"")</f>
        <v/>
      </c>
      <c r="P480" s="32">
        <f>IF($A480=1,IF(Sales_Daily!$AW41="","",Sales_Daily!$AW41),"")</f>
        <v/>
      </c>
      <c r="Q480" s="32">
        <f>IF($A480=1,Sales_Daily!$AY41,"")</f>
        <v/>
      </c>
      <c r="R480" s="32">
        <f>IF($A480=1,IF(AND($Q480=1,COUNTIFS(COA!$A:$A,$G480,COA!$R:$R,1)=1),1,0),"")</f>
        <v/>
      </c>
      <c r="S480" s="43">
        <f>IF($A480=1,IF($R480=1,N($M480),0),"")</f>
        <v/>
      </c>
      <c r="T480" s="43">
        <f>IF($A480=1,IF($R480=1,N($N480),0),"")</f>
        <v/>
      </c>
      <c r="U480" s="32">
        <f>IF($A480=1,YEAR($D480)*100+MONTH($D480),"")</f>
        <v/>
      </c>
      <c r="V480" s="32">
        <f>IF($A480=1,IF(COUNTIF(COA!$A:$A,$G480)=0,0,INDEX(COA!$H:$H,MATCH($G480,COA!$A:$A,0))),"")</f>
        <v/>
      </c>
      <c r="W480" s="32">
        <f>IF($A480=1,"","")</f>
        <v/>
      </c>
      <c r="X480" s="32">
        <f>IF($A480=1,IF($R480=1,"",IF($O480=ST_POST,IF($P480&lt;&gt;"",$P480,"حساب غير صالح أو غير نشط"),IF($O480=ST_REV,"معكوس: لا أثر على الدفاتر",IF($O480=ST_CANC,"ملغى",IF($O480=ST_APPR,"معتمد ولم يُرحَّل","مسودة"))))),"")</f>
        <v/>
      </c>
      <c r="Y480" s="32">
        <f>IF($A480=1,IF(AND($R480=1,OR(LG_Acct="",$G480=LG_Acct),OR(LG_Party="",$K480=LG_Party),OR(LG_Loc="ALL",$I480=LG_Loc),OR(LG_CC="ALL",$J480=LG_CC),$D480&gt;=LG_From,$D480&lt;=LG_To),$D480+ROW()/1000000,""),"")</f>
        <v/>
      </c>
      <c r="Z480" s="32">
        <f>IF($A480=1,IF(Sales_Daily!$T41="","",Sales_Daily!$T41),"")</f>
        <v/>
      </c>
      <c r="AA480" s="32">
        <f>IF($A480=1,IF(Sales_Daily!$U41="","",Sales_Daily!$U41),"")</f>
        <v/>
      </c>
      <c r="AB480" s="32">
        <f>IF($A480=1,IF(Sales_Daily!$V41="","",Sales_Daily!$V41),"")</f>
        <v/>
      </c>
      <c r="AC480" s="32">
        <f>IF($A480=1,IF(Sales_Daily!$W41="","",Sales_Daily!$W41),"")</f>
        <v/>
      </c>
      <c r="AD480" s="32">
        <f>IF($A480=1,IF(Sales_Daily!$X41="","",Sales_Daily!$X41),"")</f>
        <v/>
      </c>
      <c r="AE480" s="32">
        <f>IF($A480=1,0,"")</f>
        <v/>
      </c>
      <c r="AF480" s="32" t="inlineStr"/>
    </row>
    <row r="481">
      <c r="A481" s="32">
        <f>IF(AND(Sales_Daily!$AV41=1,N(Sales_Daily!$AD41)&gt;0),1,0)</f>
        <v/>
      </c>
      <c r="B481" s="32">
        <f>IF($A481=1,$E481&amp;"/9","")</f>
        <v/>
      </c>
      <c r="C481" s="32">
        <f>IF($A481=1,"J-"&amp;Sales_Daily!$A41,"")</f>
        <v/>
      </c>
      <c r="D481" s="33">
        <f>IF($A481=1,Sales_Daily!$B41,"")</f>
        <v/>
      </c>
      <c r="E481" s="32">
        <f>IF($A481=1,IF(Sales_Daily!$A41="","",Sales_Daily!$A41),"")</f>
        <v/>
      </c>
      <c r="F481" s="32">
        <f>IF($A481=1,"SAL","")</f>
        <v/>
      </c>
      <c r="G481" s="32">
        <f>IF($A481=1,IF(Sales_Daily!$AQ41="","",Sales_Daily!$AQ41),"")</f>
        <v/>
      </c>
      <c r="H481" s="32">
        <f>IF($A481=1,IF(COUNTIF(COA!$A:$A,$G481)=0,"حساب غير معرف",INDEX(COA!$B:$B,MATCH($G481,COA!$A:$A,0))),"")</f>
        <v/>
      </c>
      <c r="I481" s="32">
        <f>IF($A481=1,IF(Sales_Daily!$C41="","",Sales_Daily!$C41),"")</f>
        <v/>
      </c>
      <c r="J481" s="32">
        <f>IF($A481=1,"CC10","")</f>
        <v/>
      </c>
      <c r="K481" s="32">
        <f>IF($A481=1,"-","")</f>
        <v/>
      </c>
      <c r="L481" s="32">
        <f>IF($A481=1,"إيراد مبيعات - فئة فطير","")</f>
        <v/>
      </c>
      <c r="M481" s="43">
        <f>IF($A481=1,0,"")</f>
        <v/>
      </c>
      <c r="N481" s="43">
        <f>IF($A481=1,Sales_Daily!$AD41,"")</f>
        <v/>
      </c>
      <c r="O481" s="32">
        <f>IF($A481=1,Sales_Daily!$S41,"")</f>
        <v/>
      </c>
      <c r="P481" s="32">
        <f>IF($A481=1,IF(Sales_Daily!$AW41="","",Sales_Daily!$AW41),"")</f>
        <v/>
      </c>
      <c r="Q481" s="32">
        <f>IF($A481=1,Sales_Daily!$AY41,"")</f>
        <v/>
      </c>
      <c r="R481" s="32">
        <f>IF($A481=1,IF(AND($Q481=1,COUNTIFS(COA!$A:$A,$G481,COA!$R:$R,1)=1),1,0),"")</f>
        <v/>
      </c>
      <c r="S481" s="43">
        <f>IF($A481=1,IF($R481=1,N($M481),0),"")</f>
        <v/>
      </c>
      <c r="T481" s="43">
        <f>IF($A481=1,IF($R481=1,N($N481),0),"")</f>
        <v/>
      </c>
      <c r="U481" s="32">
        <f>IF($A481=1,YEAR($D481)*100+MONTH($D481),"")</f>
        <v/>
      </c>
      <c r="V481" s="32">
        <f>IF($A481=1,IF(COUNTIF(COA!$A:$A,$G481)=0,0,INDEX(COA!$H:$H,MATCH($G481,COA!$A:$A,0))),"")</f>
        <v/>
      </c>
      <c r="W481" s="32">
        <f>IF($A481=1,"","")</f>
        <v/>
      </c>
      <c r="X481" s="32">
        <f>IF($A481=1,IF($R481=1,"",IF($O481=ST_POST,IF($P481&lt;&gt;"",$P481,"حساب غير صالح أو غير نشط"),IF($O481=ST_REV,"معكوس: لا أثر على الدفاتر",IF($O481=ST_CANC,"ملغى",IF($O481=ST_APPR,"معتمد ولم يُرحَّل","مسودة"))))),"")</f>
        <v/>
      </c>
      <c r="Y481" s="32">
        <f>IF($A481=1,IF(AND($R481=1,OR(LG_Acct="",$G481=LG_Acct),OR(LG_Party="",$K481=LG_Party),OR(LG_Loc="ALL",$I481=LG_Loc),OR(LG_CC="ALL",$J481=LG_CC),$D481&gt;=LG_From,$D481&lt;=LG_To),$D481+ROW()/1000000,""),"")</f>
        <v/>
      </c>
      <c r="Z481" s="32">
        <f>IF($A481=1,IF(Sales_Daily!$T41="","",Sales_Daily!$T41),"")</f>
        <v/>
      </c>
      <c r="AA481" s="32">
        <f>IF($A481=1,IF(Sales_Daily!$U41="","",Sales_Daily!$U41),"")</f>
        <v/>
      </c>
      <c r="AB481" s="32">
        <f>IF($A481=1,IF(Sales_Daily!$V41="","",Sales_Daily!$V41),"")</f>
        <v/>
      </c>
      <c r="AC481" s="32">
        <f>IF($A481=1,IF(Sales_Daily!$W41="","",Sales_Daily!$W41),"")</f>
        <v/>
      </c>
      <c r="AD481" s="32">
        <f>IF($A481=1,IF(Sales_Daily!$X41="","",Sales_Daily!$X41),"")</f>
        <v/>
      </c>
      <c r="AE481" s="32">
        <f>IF($A481=1,0,"")</f>
        <v/>
      </c>
      <c r="AF481" s="32" t="inlineStr"/>
    </row>
    <row r="482">
      <c r="A482" s="32">
        <f>IF(AND(Sales_Daily!$AV41=1,N(Sales_Daily!$AE41)&gt;0),1,0)</f>
        <v/>
      </c>
      <c r="B482" s="32">
        <f>IF($A482=1,$E482&amp;"/10","")</f>
        <v/>
      </c>
      <c r="C482" s="32">
        <f>IF($A482=1,"J-"&amp;Sales_Daily!$A41,"")</f>
        <v/>
      </c>
      <c r="D482" s="33">
        <f>IF($A482=1,Sales_Daily!$B41,"")</f>
        <v/>
      </c>
      <c r="E482" s="32">
        <f>IF($A482=1,IF(Sales_Daily!$A41="","",Sales_Daily!$A41),"")</f>
        <v/>
      </c>
      <c r="F482" s="32">
        <f>IF($A482=1,"SAL","")</f>
        <v/>
      </c>
      <c r="G482" s="32">
        <f>IF($A482=1,IF(Sales_Daily!$AR41="","",Sales_Daily!$AR41),"")</f>
        <v/>
      </c>
      <c r="H482" s="32">
        <f>IF($A482=1,IF(COUNTIF(COA!$A:$A,$G482)=0,"حساب غير معرف",INDEX(COA!$B:$B,MATCH($G482,COA!$A:$A,0))),"")</f>
        <v/>
      </c>
      <c r="I482" s="32">
        <f>IF($A482=1,IF(Sales_Daily!$C41="","",Sales_Daily!$C41),"")</f>
        <v/>
      </c>
      <c r="J482" s="32">
        <f>IF($A482=1,"CC10","")</f>
        <v/>
      </c>
      <c r="K482" s="32">
        <f>IF($A482=1,"-","")</f>
        <v/>
      </c>
      <c r="L482" s="32">
        <f>IF($A482=1,"إيراد مبيعات - فئة بيتزا","")</f>
        <v/>
      </c>
      <c r="M482" s="43">
        <f>IF($A482=1,0,"")</f>
        <v/>
      </c>
      <c r="N482" s="43">
        <f>IF($A482=1,Sales_Daily!$AE41,"")</f>
        <v/>
      </c>
      <c r="O482" s="32">
        <f>IF($A482=1,Sales_Daily!$S41,"")</f>
        <v/>
      </c>
      <c r="P482" s="32">
        <f>IF($A482=1,IF(Sales_Daily!$AW41="","",Sales_Daily!$AW41),"")</f>
        <v/>
      </c>
      <c r="Q482" s="32">
        <f>IF($A482=1,Sales_Daily!$AY41,"")</f>
        <v/>
      </c>
      <c r="R482" s="32">
        <f>IF($A482=1,IF(AND($Q482=1,COUNTIFS(COA!$A:$A,$G482,COA!$R:$R,1)=1),1,0),"")</f>
        <v/>
      </c>
      <c r="S482" s="43">
        <f>IF($A482=1,IF($R482=1,N($M482),0),"")</f>
        <v/>
      </c>
      <c r="T482" s="43">
        <f>IF($A482=1,IF($R482=1,N($N482),0),"")</f>
        <v/>
      </c>
      <c r="U482" s="32">
        <f>IF($A482=1,YEAR($D482)*100+MONTH($D482),"")</f>
        <v/>
      </c>
      <c r="V482" s="32">
        <f>IF($A482=1,IF(COUNTIF(COA!$A:$A,$G482)=0,0,INDEX(COA!$H:$H,MATCH($G482,COA!$A:$A,0))),"")</f>
        <v/>
      </c>
      <c r="W482" s="32">
        <f>IF($A482=1,"","")</f>
        <v/>
      </c>
      <c r="X482" s="32">
        <f>IF($A482=1,IF($R482=1,"",IF($O482=ST_POST,IF($P482&lt;&gt;"",$P482,"حساب غير صالح أو غير نشط"),IF($O482=ST_REV,"معكوس: لا أثر على الدفاتر",IF($O482=ST_CANC,"ملغى",IF($O482=ST_APPR,"معتمد ولم يُرحَّل","مسودة"))))),"")</f>
        <v/>
      </c>
      <c r="Y482" s="32">
        <f>IF($A482=1,IF(AND($R482=1,OR(LG_Acct="",$G482=LG_Acct),OR(LG_Party="",$K482=LG_Party),OR(LG_Loc="ALL",$I482=LG_Loc),OR(LG_CC="ALL",$J482=LG_CC),$D482&gt;=LG_From,$D482&lt;=LG_To),$D482+ROW()/1000000,""),"")</f>
        <v/>
      </c>
      <c r="Z482" s="32">
        <f>IF($A482=1,IF(Sales_Daily!$T41="","",Sales_Daily!$T41),"")</f>
        <v/>
      </c>
      <c r="AA482" s="32">
        <f>IF($A482=1,IF(Sales_Daily!$U41="","",Sales_Daily!$U41),"")</f>
        <v/>
      </c>
      <c r="AB482" s="32">
        <f>IF($A482=1,IF(Sales_Daily!$V41="","",Sales_Daily!$V41),"")</f>
        <v/>
      </c>
      <c r="AC482" s="32">
        <f>IF($A482=1,IF(Sales_Daily!$W41="","",Sales_Daily!$W41),"")</f>
        <v/>
      </c>
      <c r="AD482" s="32">
        <f>IF($A482=1,IF(Sales_Daily!$X41="","",Sales_Daily!$X41),"")</f>
        <v/>
      </c>
      <c r="AE482" s="32">
        <f>IF($A482=1,0,"")</f>
        <v/>
      </c>
      <c r="AF482" s="32" t="inlineStr"/>
    </row>
    <row r="483">
      <c r="A483" s="32">
        <f>IF(AND(Sales_Daily!$AV41=1,N(Sales_Daily!$AF41)&gt;0),1,0)</f>
        <v/>
      </c>
      <c r="B483" s="32">
        <f>IF($A483=1,$E483&amp;"/11","")</f>
        <v/>
      </c>
      <c r="C483" s="32">
        <f>IF($A483=1,"J-"&amp;Sales_Daily!$A41,"")</f>
        <v/>
      </c>
      <c r="D483" s="33">
        <f>IF($A483=1,Sales_Daily!$B41,"")</f>
        <v/>
      </c>
      <c r="E483" s="32">
        <f>IF($A483=1,IF(Sales_Daily!$A41="","",Sales_Daily!$A41),"")</f>
        <v/>
      </c>
      <c r="F483" s="32">
        <f>IF($A483=1,"SAL","")</f>
        <v/>
      </c>
      <c r="G483" s="32">
        <f>IF($A483=1,IF(Sales_Daily!$AS41="","",Sales_Daily!$AS41),"")</f>
        <v/>
      </c>
      <c r="H483" s="32">
        <f>IF($A483=1,IF(COUNTIF(COA!$A:$A,$G483)=0,"حساب غير معرف",INDEX(COA!$B:$B,MATCH($G483,COA!$A:$A,0))),"")</f>
        <v/>
      </c>
      <c r="I483" s="32">
        <f>IF($A483=1,IF(Sales_Daily!$C41="","",Sales_Daily!$C41),"")</f>
        <v/>
      </c>
      <c r="J483" s="32">
        <f>IF($A483=1,"CC10","")</f>
        <v/>
      </c>
      <c r="K483" s="32">
        <f>IF($A483=1,"-","")</f>
        <v/>
      </c>
      <c r="L483" s="32">
        <f>IF($A483=1,"إيراد مبيعات - فئة مكرونات","")</f>
        <v/>
      </c>
      <c r="M483" s="43">
        <f>IF($A483=1,0,"")</f>
        <v/>
      </c>
      <c r="N483" s="43">
        <f>IF($A483=1,Sales_Daily!$AF41,"")</f>
        <v/>
      </c>
      <c r="O483" s="32">
        <f>IF($A483=1,Sales_Daily!$S41,"")</f>
        <v/>
      </c>
      <c r="P483" s="32">
        <f>IF($A483=1,IF(Sales_Daily!$AW41="","",Sales_Daily!$AW41),"")</f>
        <v/>
      </c>
      <c r="Q483" s="32">
        <f>IF($A483=1,Sales_Daily!$AY41,"")</f>
        <v/>
      </c>
      <c r="R483" s="32">
        <f>IF($A483=1,IF(AND($Q483=1,COUNTIFS(COA!$A:$A,$G483,COA!$R:$R,1)=1),1,0),"")</f>
        <v/>
      </c>
      <c r="S483" s="43">
        <f>IF($A483=1,IF($R483=1,N($M483),0),"")</f>
        <v/>
      </c>
      <c r="T483" s="43">
        <f>IF($A483=1,IF($R483=1,N($N483),0),"")</f>
        <v/>
      </c>
      <c r="U483" s="32">
        <f>IF($A483=1,YEAR($D483)*100+MONTH($D483),"")</f>
        <v/>
      </c>
      <c r="V483" s="32">
        <f>IF($A483=1,IF(COUNTIF(COA!$A:$A,$G483)=0,0,INDEX(COA!$H:$H,MATCH($G483,COA!$A:$A,0))),"")</f>
        <v/>
      </c>
      <c r="W483" s="32">
        <f>IF($A483=1,"","")</f>
        <v/>
      </c>
      <c r="X483" s="32">
        <f>IF($A483=1,IF($R483=1,"",IF($O483=ST_POST,IF($P483&lt;&gt;"",$P483,"حساب غير صالح أو غير نشط"),IF($O483=ST_REV,"معكوس: لا أثر على الدفاتر",IF($O483=ST_CANC,"ملغى",IF($O483=ST_APPR,"معتمد ولم يُرحَّل","مسودة"))))),"")</f>
        <v/>
      </c>
      <c r="Y483" s="32">
        <f>IF($A483=1,IF(AND($R483=1,OR(LG_Acct="",$G483=LG_Acct),OR(LG_Party="",$K483=LG_Party),OR(LG_Loc="ALL",$I483=LG_Loc),OR(LG_CC="ALL",$J483=LG_CC),$D483&gt;=LG_From,$D483&lt;=LG_To),$D483+ROW()/1000000,""),"")</f>
        <v/>
      </c>
      <c r="Z483" s="32">
        <f>IF($A483=1,IF(Sales_Daily!$T41="","",Sales_Daily!$T41),"")</f>
        <v/>
      </c>
      <c r="AA483" s="32">
        <f>IF($A483=1,IF(Sales_Daily!$U41="","",Sales_Daily!$U41),"")</f>
        <v/>
      </c>
      <c r="AB483" s="32">
        <f>IF($A483=1,IF(Sales_Daily!$V41="","",Sales_Daily!$V41),"")</f>
        <v/>
      </c>
      <c r="AC483" s="32">
        <f>IF($A483=1,IF(Sales_Daily!$W41="","",Sales_Daily!$W41),"")</f>
        <v/>
      </c>
      <c r="AD483" s="32">
        <f>IF($A483=1,IF(Sales_Daily!$X41="","",Sales_Daily!$X41),"")</f>
        <v/>
      </c>
      <c r="AE483" s="32">
        <f>IF($A483=1,0,"")</f>
        <v/>
      </c>
      <c r="AF483" s="32" t="inlineStr"/>
    </row>
    <row r="484">
      <c r="A484" s="32">
        <f>IF(AND(Sales_Daily!$AV41=1,N(Sales_Daily!$AG41)&gt;0),1,0)</f>
        <v/>
      </c>
      <c r="B484" s="32">
        <f>IF($A484=1,$E484&amp;"/12","")</f>
        <v/>
      </c>
      <c r="C484" s="32">
        <f>IF($A484=1,"J-"&amp;Sales_Daily!$A41,"")</f>
        <v/>
      </c>
      <c r="D484" s="33">
        <f>IF($A484=1,Sales_Daily!$B41,"")</f>
        <v/>
      </c>
      <c r="E484" s="32">
        <f>IF($A484=1,IF(Sales_Daily!$A41="","",Sales_Daily!$A41),"")</f>
        <v/>
      </c>
      <c r="F484" s="32">
        <f>IF($A484=1,"SAL","")</f>
        <v/>
      </c>
      <c r="G484" s="32">
        <f>IF($A484=1,IF(Sales_Daily!$AT41="","",Sales_Daily!$AT41),"")</f>
        <v/>
      </c>
      <c r="H484" s="32">
        <f>IF($A484=1,IF(COUNTIF(COA!$A:$A,$G484)=0,"حساب غير معرف",INDEX(COA!$B:$B,MATCH($G484,COA!$A:$A,0))),"")</f>
        <v/>
      </c>
      <c r="I484" s="32">
        <f>IF($A484=1,IF(Sales_Daily!$C41="","",Sales_Daily!$C41),"")</f>
        <v/>
      </c>
      <c r="J484" s="32">
        <f>IF($A484=1,"CC10","")</f>
        <v/>
      </c>
      <c r="K484" s="32">
        <f>IF($A484=1,"-","")</f>
        <v/>
      </c>
      <c r="L484" s="32">
        <f>IF($A484=1,"إيراد مبيعات - فئة أخرى","")</f>
        <v/>
      </c>
      <c r="M484" s="43">
        <f>IF($A484=1,0,"")</f>
        <v/>
      </c>
      <c r="N484" s="43">
        <f>IF($A484=1,Sales_Daily!$AG41,"")</f>
        <v/>
      </c>
      <c r="O484" s="32">
        <f>IF($A484=1,Sales_Daily!$S41,"")</f>
        <v/>
      </c>
      <c r="P484" s="32">
        <f>IF($A484=1,IF(Sales_Daily!$AW41="","",Sales_Daily!$AW41),"")</f>
        <v/>
      </c>
      <c r="Q484" s="32">
        <f>IF($A484=1,Sales_Daily!$AY41,"")</f>
        <v/>
      </c>
      <c r="R484" s="32">
        <f>IF($A484=1,IF(AND($Q484=1,COUNTIFS(COA!$A:$A,$G484,COA!$R:$R,1)=1),1,0),"")</f>
        <v/>
      </c>
      <c r="S484" s="43">
        <f>IF($A484=1,IF($R484=1,N($M484),0),"")</f>
        <v/>
      </c>
      <c r="T484" s="43">
        <f>IF($A484=1,IF($R484=1,N($N484),0),"")</f>
        <v/>
      </c>
      <c r="U484" s="32">
        <f>IF($A484=1,YEAR($D484)*100+MONTH($D484),"")</f>
        <v/>
      </c>
      <c r="V484" s="32">
        <f>IF($A484=1,IF(COUNTIF(COA!$A:$A,$G484)=0,0,INDEX(COA!$H:$H,MATCH($G484,COA!$A:$A,0))),"")</f>
        <v/>
      </c>
      <c r="W484" s="32">
        <f>IF($A484=1,"","")</f>
        <v/>
      </c>
      <c r="X484" s="32">
        <f>IF($A484=1,IF($R484=1,"",IF($O484=ST_POST,IF($P484&lt;&gt;"",$P484,"حساب غير صالح أو غير نشط"),IF($O484=ST_REV,"معكوس: لا أثر على الدفاتر",IF($O484=ST_CANC,"ملغى",IF($O484=ST_APPR,"معتمد ولم يُرحَّل","مسودة"))))),"")</f>
        <v/>
      </c>
      <c r="Y484" s="32">
        <f>IF($A484=1,IF(AND($R484=1,OR(LG_Acct="",$G484=LG_Acct),OR(LG_Party="",$K484=LG_Party),OR(LG_Loc="ALL",$I484=LG_Loc),OR(LG_CC="ALL",$J484=LG_CC),$D484&gt;=LG_From,$D484&lt;=LG_To),$D484+ROW()/1000000,""),"")</f>
        <v/>
      </c>
      <c r="Z484" s="32">
        <f>IF($A484=1,IF(Sales_Daily!$T41="","",Sales_Daily!$T41),"")</f>
        <v/>
      </c>
      <c r="AA484" s="32">
        <f>IF($A484=1,IF(Sales_Daily!$U41="","",Sales_Daily!$U41),"")</f>
        <v/>
      </c>
      <c r="AB484" s="32">
        <f>IF($A484=1,IF(Sales_Daily!$V41="","",Sales_Daily!$V41),"")</f>
        <v/>
      </c>
      <c r="AC484" s="32">
        <f>IF($A484=1,IF(Sales_Daily!$W41="","",Sales_Daily!$W41),"")</f>
        <v/>
      </c>
      <c r="AD484" s="32">
        <f>IF($A484=1,IF(Sales_Daily!$X41="","",Sales_Daily!$X41),"")</f>
        <v/>
      </c>
      <c r="AE484" s="32">
        <f>IF($A484=1,0,"")</f>
        <v/>
      </c>
      <c r="AF484" s="32" t="inlineStr"/>
    </row>
    <row r="485">
      <c r="A485" s="32">
        <f>IF(AND(Sales_Daily!$AV41=1,N(Sales_Daily!$AJ41)&gt;0),1,0)</f>
        <v/>
      </c>
      <c r="B485" s="32">
        <f>IF($A485=1,$E485&amp;"/13","")</f>
        <v/>
      </c>
      <c r="C485" s="32">
        <f>IF($A485=1,"J-"&amp;Sales_Daily!$A41,"")</f>
        <v/>
      </c>
      <c r="D485" s="33">
        <f>IF($A485=1,Sales_Daily!$B41,"")</f>
        <v/>
      </c>
      <c r="E485" s="32">
        <f>IF($A485=1,IF(Sales_Daily!$A41="","",Sales_Daily!$A41),"")</f>
        <v/>
      </c>
      <c r="F485" s="32">
        <f>IF($A485=1,"SAL","")</f>
        <v/>
      </c>
      <c r="G485" s="32">
        <f>IF($A485=1,ACC_VAT_OUT,"")</f>
        <v/>
      </c>
      <c r="H485" s="32">
        <f>IF($A485=1,IF(COUNTIF(COA!$A:$A,$G485)=0,"حساب غير معرف",INDEX(COA!$B:$B,MATCH($G485,COA!$A:$A,0))),"")</f>
        <v/>
      </c>
      <c r="I485" s="32">
        <f>IF($A485=1,IF(Sales_Daily!$C41="","",Sales_Daily!$C41),"")</f>
        <v/>
      </c>
      <c r="J485" s="32">
        <f>IF($A485=1,"CC10","")</f>
        <v/>
      </c>
      <c r="K485" s="32">
        <f>IF($A485=1,"-","")</f>
        <v/>
      </c>
      <c r="L485" s="32">
        <f>IF($A485=1,"ضريبة القيمة المضافة - مخرجات","")</f>
        <v/>
      </c>
      <c r="M485" s="43">
        <f>IF($A485=1,0,"")</f>
        <v/>
      </c>
      <c r="N485" s="43">
        <f>IF($A485=1,Sales_Daily!$AJ41,"")</f>
        <v/>
      </c>
      <c r="O485" s="32">
        <f>IF($A485=1,Sales_Daily!$S41,"")</f>
        <v/>
      </c>
      <c r="P485" s="32">
        <f>IF($A485=1,IF(Sales_Daily!$AW41="","",Sales_Daily!$AW41),"")</f>
        <v/>
      </c>
      <c r="Q485" s="32">
        <f>IF($A485=1,Sales_Daily!$AY41,"")</f>
        <v/>
      </c>
      <c r="R485" s="32">
        <f>IF($A485=1,IF(AND($Q485=1,COUNTIFS(COA!$A:$A,$G485,COA!$R:$R,1)=1),1,0),"")</f>
        <v/>
      </c>
      <c r="S485" s="43">
        <f>IF($A485=1,IF($R485=1,N($M485),0),"")</f>
        <v/>
      </c>
      <c r="T485" s="43">
        <f>IF($A485=1,IF($R485=1,N($N485),0),"")</f>
        <v/>
      </c>
      <c r="U485" s="32">
        <f>IF($A485=1,YEAR($D485)*100+MONTH($D485),"")</f>
        <v/>
      </c>
      <c r="V485" s="32">
        <f>IF($A485=1,IF(COUNTIF(COA!$A:$A,$G485)=0,0,INDEX(COA!$H:$H,MATCH($G485,COA!$A:$A,0))),"")</f>
        <v/>
      </c>
      <c r="W485" s="32">
        <f>IF($A485=1,"","")</f>
        <v/>
      </c>
      <c r="X485" s="32">
        <f>IF($A485=1,IF($R485=1,"",IF($O485=ST_POST,IF($P485&lt;&gt;"",$P485,"حساب غير صالح أو غير نشط"),IF($O485=ST_REV,"معكوس: لا أثر على الدفاتر",IF($O485=ST_CANC,"ملغى",IF($O485=ST_APPR,"معتمد ولم يُرحَّل","مسودة"))))),"")</f>
        <v/>
      </c>
      <c r="Y485" s="32">
        <f>IF($A485=1,IF(AND($R485=1,OR(LG_Acct="",$G485=LG_Acct),OR(LG_Party="",$K485=LG_Party),OR(LG_Loc="ALL",$I485=LG_Loc),OR(LG_CC="ALL",$J485=LG_CC),$D485&gt;=LG_From,$D485&lt;=LG_To),$D485+ROW()/1000000,""),"")</f>
        <v/>
      </c>
      <c r="Z485" s="32">
        <f>IF($A485=1,IF(Sales_Daily!$T41="","",Sales_Daily!$T41),"")</f>
        <v/>
      </c>
      <c r="AA485" s="32">
        <f>IF($A485=1,IF(Sales_Daily!$U41="","",Sales_Daily!$U41),"")</f>
        <v/>
      </c>
      <c r="AB485" s="32">
        <f>IF($A485=1,IF(Sales_Daily!$V41="","",Sales_Daily!$V41),"")</f>
        <v/>
      </c>
      <c r="AC485" s="32">
        <f>IF($A485=1,IF(Sales_Daily!$W41="","",Sales_Daily!$W41),"")</f>
        <v/>
      </c>
      <c r="AD485" s="32">
        <f>IF($A485=1,IF(Sales_Daily!$X41="","",Sales_Daily!$X41),"")</f>
        <v/>
      </c>
      <c r="AE485" s="32">
        <f>IF($A485=1,0,"")</f>
        <v/>
      </c>
      <c r="AF485" s="32" t="inlineStr"/>
    </row>
    <row r="486">
      <c r="A486" s="32">
        <f>IF(AND(Sales_Daily!$AV42=1,N(Sales_Daily!$L42)&gt;0),1,0)</f>
        <v/>
      </c>
      <c r="B486" s="32">
        <f>IF($A486=1,$E486&amp;"/1","")</f>
        <v/>
      </c>
      <c r="C486" s="32">
        <f>IF($A486=1,"J-"&amp;Sales_Daily!$A42,"")</f>
        <v/>
      </c>
      <c r="D486" s="33">
        <f>IF($A486=1,Sales_Daily!$B42,"")</f>
        <v/>
      </c>
      <c r="E486" s="32">
        <f>IF($A486=1,IF(Sales_Daily!$A42="","",Sales_Daily!$A42),"")</f>
        <v/>
      </c>
      <c r="F486" s="32">
        <f>IF($A486=1,"SAL","")</f>
        <v/>
      </c>
      <c r="G486" s="32">
        <f>IF($A486=1,IF(Sales_Daily!$AK42="","",Sales_Daily!$AK42),"")</f>
        <v/>
      </c>
      <c r="H486" s="32">
        <f>IF($A486=1,IF(COUNTIF(COA!$A:$A,$G486)=0,"حساب غير معرف",INDEX(COA!$B:$B,MATCH($G486,COA!$A:$A,0))),"")</f>
        <v/>
      </c>
      <c r="I486" s="32">
        <f>IF($A486=1,IF(Sales_Daily!$C42="","",Sales_Daily!$C42),"")</f>
        <v/>
      </c>
      <c r="J486" s="32">
        <f>IF($A486=1,"CC10","")</f>
        <v/>
      </c>
      <c r="K486" s="32">
        <f>IF($A486=1,"-","")</f>
        <v/>
      </c>
      <c r="L486" s="32">
        <f>IF($A486=1,"مبيعات - تحصيل CASH","")</f>
        <v/>
      </c>
      <c r="M486" s="43">
        <f>IF($A486=1,Sales_Daily!$L42,"")</f>
        <v/>
      </c>
      <c r="N486" s="43">
        <f>IF($A486=1,0,"")</f>
        <v/>
      </c>
      <c r="O486" s="32">
        <f>IF($A486=1,Sales_Daily!$S42,"")</f>
        <v/>
      </c>
      <c r="P486" s="32">
        <f>IF($A486=1,IF(Sales_Daily!$AW42="","",Sales_Daily!$AW42),"")</f>
        <v/>
      </c>
      <c r="Q486" s="32">
        <f>IF($A486=1,Sales_Daily!$AY42,"")</f>
        <v/>
      </c>
      <c r="R486" s="32">
        <f>IF($A486=1,IF(AND($Q486=1,COUNTIFS(COA!$A:$A,$G486,COA!$R:$R,1)=1),1,0),"")</f>
        <v/>
      </c>
      <c r="S486" s="43">
        <f>IF($A486=1,IF($R486=1,N($M486),0),"")</f>
        <v/>
      </c>
      <c r="T486" s="43">
        <f>IF($A486=1,IF($R486=1,N($N486),0),"")</f>
        <v/>
      </c>
      <c r="U486" s="32">
        <f>IF($A486=1,YEAR($D486)*100+MONTH($D486),"")</f>
        <v/>
      </c>
      <c r="V486" s="32">
        <f>IF($A486=1,IF(COUNTIF(COA!$A:$A,$G486)=0,0,INDEX(COA!$H:$H,MATCH($G486,COA!$A:$A,0))),"")</f>
        <v/>
      </c>
      <c r="W486" s="32">
        <f>IF($A486=1,"OPERATING","")</f>
        <v/>
      </c>
      <c r="X486" s="32">
        <f>IF($A486=1,IF($R486=1,"",IF($O486=ST_POST,IF($P486&lt;&gt;"",$P486,"حساب غير صالح أو غير نشط"),IF($O486=ST_REV,"معكوس: لا أثر على الدفاتر",IF($O486=ST_CANC,"ملغى",IF($O486=ST_APPR,"معتمد ولم يُرحَّل","مسودة"))))),"")</f>
        <v/>
      </c>
      <c r="Y486" s="32">
        <f>IF($A486=1,IF(AND($R486=1,OR(LG_Acct="",$G486=LG_Acct),OR(LG_Party="",$K486=LG_Party),OR(LG_Loc="ALL",$I486=LG_Loc),OR(LG_CC="ALL",$J486=LG_CC),$D486&gt;=LG_From,$D486&lt;=LG_To),$D486+ROW()/1000000,""),"")</f>
        <v/>
      </c>
      <c r="Z486" s="32">
        <f>IF($A486=1,IF(Sales_Daily!$T42="","",Sales_Daily!$T42),"")</f>
        <v/>
      </c>
      <c r="AA486" s="32">
        <f>IF($A486=1,IF(Sales_Daily!$U42="","",Sales_Daily!$U42),"")</f>
        <v/>
      </c>
      <c r="AB486" s="32">
        <f>IF($A486=1,IF(Sales_Daily!$V42="","",Sales_Daily!$V42),"")</f>
        <v/>
      </c>
      <c r="AC486" s="32">
        <f>IF($A486=1,IF(Sales_Daily!$W42="","",Sales_Daily!$W42),"")</f>
        <v/>
      </c>
      <c r="AD486" s="32">
        <f>IF($A486=1,IF(Sales_Daily!$X42="","",Sales_Daily!$X42),"")</f>
        <v/>
      </c>
      <c r="AE486" s="32">
        <f>IF($A486=1,0,"")</f>
        <v/>
      </c>
      <c r="AF486" s="32" t="inlineStr"/>
    </row>
    <row r="487">
      <c r="A487" s="32">
        <f>IF(AND(Sales_Daily!$AV42=1,N(Sales_Daily!$M42)&gt;0),1,0)</f>
        <v/>
      </c>
      <c r="B487" s="32">
        <f>IF($A487=1,$E487&amp;"/2","")</f>
        <v/>
      </c>
      <c r="C487" s="32">
        <f>IF($A487=1,"J-"&amp;Sales_Daily!$A42,"")</f>
        <v/>
      </c>
      <c r="D487" s="33">
        <f>IF($A487=1,Sales_Daily!$B42,"")</f>
        <v/>
      </c>
      <c r="E487" s="32">
        <f>IF($A487=1,IF(Sales_Daily!$A42="","",Sales_Daily!$A42),"")</f>
        <v/>
      </c>
      <c r="F487" s="32">
        <f>IF($A487=1,"SAL","")</f>
        <v/>
      </c>
      <c r="G487" s="32">
        <f>IF($A487=1,IF(Sales_Daily!$AL42="","",Sales_Daily!$AL42),"")</f>
        <v/>
      </c>
      <c r="H487" s="32">
        <f>IF($A487=1,IF(COUNTIF(COA!$A:$A,$G487)=0,"حساب غير معرف",INDEX(COA!$B:$B,MATCH($G487,COA!$A:$A,0))),"")</f>
        <v/>
      </c>
      <c r="I487" s="32">
        <f>IF($A487=1,IF(Sales_Daily!$C42="","",Sales_Daily!$C42),"")</f>
        <v/>
      </c>
      <c r="J487" s="32">
        <f>IF($A487=1,"CC10","")</f>
        <v/>
      </c>
      <c r="K487" s="32">
        <f>IF($A487=1,"-","")</f>
        <v/>
      </c>
      <c r="L487" s="32">
        <f>IF($A487=1,"مبيعات - تحصيل CARD","")</f>
        <v/>
      </c>
      <c r="M487" s="43">
        <f>IF($A487=1,Sales_Daily!$M42,"")</f>
        <v/>
      </c>
      <c r="N487" s="43">
        <f>IF($A487=1,0,"")</f>
        <v/>
      </c>
      <c r="O487" s="32">
        <f>IF($A487=1,Sales_Daily!$S42,"")</f>
        <v/>
      </c>
      <c r="P487" s="32">
        <f>IF($A487=1,IF(Sales_Daily!$AW42="","",Sales_Daily!$AW42),"")</f>
        <v/>
      </c>
      <c r="Q487" s="32">
        <f>IF($A487=1,Sales_Daily!$AY42,"")</f>
        <v/>
      </c>
      <c r="R487" s="32">
        <f>IF($A487=1,IF(AND($Q487=1,COUNTIFS(COA!$A:$A,$G487,COA!$R:$R,1)=1),1,0),"")</f>
        <v/>
      </c>
      <c r="S487" s="43">
        <f>IF($A487=1,IF($R487=1,N($M487),0),"")</f>
        <v/>
      </c>
      <c r="T487" s="43">
        <f>IF($A487=1,IF($R487=1,N($N487),0),"")</f>
        <v/>
      </c>
      <c r="U487" s="32">
        <f>IF($A487=1,YEAR($D487)*100+MONTH($D487),"")</f>
        <v/>
      </c>
      <c r="V487" s="32">
        <f>IF($A487=1,IF(COUNTIF(COA!$A:$A,$G487)=0,0,INDEX(COA!$H:$H,MATCH($G487,COA!$A:$A,0))),"")</f>
        <v/>
      </c>
      <c r="W487" s="32">
        <f>IF($A487=1,"OPERATING","")</f>
        <v/>
      </c>
      <c r="X487" s="32">
        <f>IF($A487=1,IF($R487=1,"",IF($O487=ST_POST,IF($P487&lt;&gt;"",$P487,"حساب غير صالح أو غير نشط"),IF($O487=ST_REV,"معكوس: لا أثر على الدفاتر",IF($O487=ST_CANC,"ملغى",IF($O487=ST_APPR,"معتمد ولم يُرحَّل","مسودة"))))),"")</f>
        <v/>
      </c>
      <c r="Y487" s="32">
        <f>IF($A487=1,IF(AND($R487=1,OR(LG_Acct="",$G487=LG_Acct),OR(LG_Party="",$K487=LG_Party),OR(LG_Loc="ALL",$I487=LG_Loc),OR(LG_CC="ALL",$J487=LG_CC),$D487&gt;=LG_From,$D487&lt;=LG_To),$D487+ROW()/1000000,""),"")</f>
        <v/>
      </c>
      <c r="Z487" s="32">
        <f>IF($A487=1,IF(Sales_Daily!$T42="","",Sales_Daily!$T42),"")</f>
        <v/>
      </c>
      <c r="AA487" s="32">
        <f>IF($A487=1,IF(Sales_Daily!$U42="","",Sales_Daily!$U42),"")</f>
        <v/>
      </c>
      <c r="AB487" s="32">
        <f>IF($A487=1,IF(Sales_Daily!$V42="","",Sales_Daily!$V42),"")</f>
        <v/>
      </c>
      <c r="AC487" s="32">
        <f>IF($A487=1,IF(Sales_Daily!$W42="","",Sales_Daily!$W42),"")</f>
        <v/>
      </c>
      <c r="AD487" s="32">
        <f>IF($A487=1,IF(Sales_Daily!$X42="","",Sales_Daily!$X42),"")</f>
        <v/>
      </c>
      <c r="AE487" s="32">
        <f>IF($A487=1,0,"")</f>
        <v/>
      </c>
      <c r="AF487" s="32" t="inlineStr"/>
    </row>
    <row r="488">
      <c r="A488" s="32">
        <f>IF(AND(Sales_Daily!$AV42=1,N(Sales_Daily!$N42)&gt;0),1,0)</f>
        <v/>
      </c>
      <c r="B488" s="32">
        <f>IF($A488=1,$E488&amp;"/3","")</f>
        <v/>
      </c>
      <c r="C488" s="32">
        <f>IF($A488=1,"J-"&amp;Sales_Daily!$A42,"")</f>
        <v/>
      </c>
      <c r="D488" s="33">
        <f>IF($A488=1,Sales_Daily!$B42,"")</f>
        <v/>
      </c>
      <c r="E488" s="32">
        <f>IF($A488=1,IF(Sales_Daily!$A42="","",Sales_Daily!$A42),"")</f>
        <v/>
      </c>
      <c r="F488" s="32">
        <f>IF($A488=1,"SAL","")</f>
        <v/>
      </c>
      <c r="G488" s="32">
        <f>IF($A488=1,IF(Sales_Daily!$AM42="","",Sales_Daily!$AM42),"")</f>
        <v/>
      </c>
      <c r="H488" s="32">
        <f>IF($A488=1,IF(COUNTIF(COA!$A:$A,$G488)=0,"حساب غير معرف",INDEX(COA!$B:$B,MATCH($G488,COA!$A:$A,0))),"")</f>
        <v/>
      </c>
      <c r="I488" s="32">
        <f>IF($A488=1,IF(Sales_Daily!$C42="","",Sales_Daily!$C42),"")</f>
        <v/>
      </c>
      <c r="J488" s="32">
        <f>IF($A488=1,"CC10","")</f>
        <v/>
      </c>
      <c r="K488" s="32">
        <f>IF($A488=1,"-","")</f>
        <v/>
      </c>
      <c r="L488" s="32">
        <f>IF($A488=1,"مبيعات - تحصيل TLB","")</f>
        <v/>
      </c>
      <c r="M488" s="43">
        <f>IF($A488=1,Sales_Daily!$N42,"")</f>
        <v/>
      </c>
      <c r="N488" s="43">
        <f>IF($A488=1,0,"")</f>
        <v/>
      </c>
      <c r="O488" s="32">
        <f>IF($A488=1,Sales_Daily!$S42,"")</f>
        <v/>
      </c>
      <c r="P488" s="32">
        <f>IF($A488=1,IF(Sales_Daily!$AW42="","",Sales_Daily!$AW42),"")</f>
        <v/>
      </c>
      <c r="Q488" s="32">
        <f>IF($A488=1,Sales_Daily!$AY42,"")</f>
        <v/>
      </c>
      <c r="R488" s="32">
        <f>IF($A488=1,IF(AND($Q488=1,COUNTIFS(COA!$A:$A,$G488,COA!$R:$R,1)=1),1,0),"")</f>
        <v/>
      </c>
      <c r="S488" s="43">
        <f>IF($A488=1,IF($R488=1,N($M488),0),"")</f>
        <v/>
      </c>
      <c r="T488" s="43">
        <f>IF($A488=1,IF($R488=1,N($N488),0),"")</f>
        <v/>
      </c>
      <c r="U488" s="32">
        <f>IF($A488=1,YEAR($D488)*100+MONTH($D488),"")</f>
        <v/>
      </c>
      <c r="V488" s="32">
        <f>IF($A488=1,IF(COUNTIF(COA!$A:$A,$G488)=0,0,INDEX(COA!$H:$H,MATCH($G488,COA!$A:$A,0))),"")</f>
        <v/>
      </c>
      <c r="W488" s="32">
        <f>IF($A488=1,"OPERATING","")</f>
        <v/>
      </c>
      <c r="X488" s="32">
        <f>IF($A488=1,IF($R488=1,"",IF($O488=ST_POST,IF($P488&lt;&gt;"",$P488,"حساب غير صالح أو غير نشط"),IF($O488=ST_REV,"معكوس: لا أثر على الدفاتر",IF($O488=ST_CANC,"ملغى",IF($O488=ST_APPR,"معتمد ولم يُرحَّل","مسودة"))))),"")</f>
        <v/>
      </c>
      <c r="Y488" s="32">
        <f>IF($A488=1,IF(AND($R488=1,OR(LG_Acct="",$G488=LG_Acct),OR(LG_Party="",$K488=LG_Party),OR(LG_Loc="ALL",$I488=LG_Loc),OR(LG_CC="ALL",$J488=LG_CC),$D488&gt;=LG_From,$D488&lt;=LG_To),$D488+ROW()/1000000,""),"")</f>
        <v/>
      </c>
      <c r="Z488" s="32">
        <f>IF($A488=1,IF(Sales_Daily!$T42="","",Sales_Daily!$T42),"")</f>
        <v/>
      </c>
      <c r="AA488" s="32">
        <f>IF($A488=1,IF(Sales_Daily!$U42="","",Sales_Daily!$U42),"")</f>
        <v/>
      </c>
      <c r="AB488" s="32">
        <f>IF($A488=1,IF(Sales_Daily!$V42="","",Sales_Daily!$V42),"")</f>
        <v/>
      </c>
      <c r="AC488" s="32">
        <f>IF($A488=1,IF(Sales_Daily!$W42="","",Sales_Daily!$W42),"")</f>
        <v/>
      </c>
      <c r="AD488" s="32">
        <f>IF($A488=1,IF(Sales_Daily!$X42="","",Sales_Daily!$X42),"")</f>
        <v/>
      </c>
      <c r="AE488" s="32">
        <f>IF($A488=1,0,"")</f>
        <v/>
      </c>
      <c r="AF488" s="32" t="inlineStr"/>
    </row>
    <row r="489">
      <c r="A489" s="32">
        <f>IF(AND(Sales_Daily!$AV42=1,N(Sales_Daily!$O42)&gt;0),1,0)</f>
        <v/>
      </c>
      <c r="B489" s="32">
        <f>IF($A489=1,$E489&amp;"/4","")</f>
        <v/>
      </c>
      <c r="C489" s="32">
        <f>IF($A489=1,"J-"&amp;Sales_Daily!$A42,"")</f>
        <v/>
      </c>
      <c r="D489" s="33">
        <f>IF($A489=1,Sales_Daily!$B42,"")</f>
        <v/>
      </c>
      <c r="E489" s="32">
        <f>IF($A489=1,IF(Sales_Daily!$A42="","",Sales_Daily!$A42),"")</f>
        <v/>
      </c>
      <c r="F489" s="32">
        <f>IF($A489=1,"SAL","")</f>
        <v/>
      </c>
      <c r="G489" s="32">
        <f>IF($A489=1,IF(Sales_Daily!$AN42="","",Sales_Daily!$AN42),"")</f>
        <v/>
      </c>
      <c r="H489" s="32">
        <f>IF($A489=1,IF(COUNTIF(COA!$A:$A,$G489)=0,"حساب غير معرف",INDEX(COA!$B:$B,MATCH($G489,COA!$A:$A,0))),"")</f>
        <v/>
      </c>
      <c r="I489" s="32">
        <f>IF($A489=1,IF(Sales_Daily!$C42="","",Sales_Daily!$C42),"")</f>
        <v/>
      </c>
      <c r="J489" s="32">
        <f>IF($A489=1,"CC10","")</f>
        <v/>
      </c>
      <c r="K489" s="32">
        <f>IF($A489=1,"-","")</f>
        <v/>
      </c>
      <c r="L489" s="32">
        <f>IF($A489=1,"مبيعات - تحصيل DLV2","")</f>
        <v/>
      </c>
      <c r="M489" s="43">
        <f>IF($A489=1,Sales_Daily!$O42,"")</f>
        <v/>
      </c>
      <c r="N489" s="43">
        <f>IF($A489=1,0,"")</f>
        <v/>
      </c>
      <c r="O489" s="32">
        <f>IF($A489=1,Sales_Daily!$S42,"")</f>
        <v/>
      </c>
      <c r="P489" s="32">
        <f>IF($A489=1,IF(Sales_Daily!$AW42="","",Sales_Daily!$AW42),"")</f>
        <v/>
      </c>
      <c r="Q489" s="32">
        <f>IF($A489=1,Sales_Daily!$AY42,"")</f>
        <v/>
      </c>
      <c r="R489" s="32">
        <f>IF($A489=1,IF(AND($Q489=1,COUNTIFS(COA!$A:$A,$G489,COA!$R:$R,1)=1),1,0),"")</f>
        <v/>
      </c>
      <c r="S489" s="43">
        <f>IF($A489=1,IF($R489=1,N($M489),0),"")</f>
        <v/>
      </c>
      <c r="T489" s="43">
        <f>IF($A489=1,IF($R489=1,N($N489),0),"")</f>
        <v/>
      </c>
      <c r="U489" s="32">
        <f>IF($A489=1,YEAR($D489)*100+MONTH($D489),"")</f>
        <v/>
      </c>
      <c r="V489" s="32">
        <f>IF($A489=1,IF(COUNTIF(COA!$A:$A,$G489)=0,0,INDEX(COA!$H:$H,MATCH($G489,COA!$A:$A,0))),"")</f>
        <v/>
      </c>
      <c r="W489" s="32">
        <f>IF($A489=1,"OPERATING","")</f>
        <v/>
      </c>
      <c r="X489" s="32">
        <f>IF($A489=1,IF($R489=1,"",IF($O489=ST_POST,IF($P489&lt;&gt;"",$P489,"حساب غير صالح أو غير نشط"),IF($O489=ST_REV,"معكوس: لا أثر على الدفاتر",IF($O489=ST_CANC,"ملغى",IF($O489=ST_APPR,"معتمد ولم يُرحَّل","مسودة"))))),"")</f>
        <v/>
      </c>
      <c r="Y489" s="32">
        <f>IF($A489=1,IF(AND($R489=1,OR(LG_Acct="",$G489=LG_Acct),OR(LG_Party="",$K489=LG_Party),OR(LG_Loc="ALL",$I489=LG_Loc),OR(LG_CC="ALL",$J489=LG_CC),$D489&gt;=LG_From,$D489&lt;=LG_To),$D489+ROW()/1000000,""),"")</f>
        <v/>
      </c>
      <c r="Z489" s="32">
        <f>IF($A489=1,IF(Sales_Daily!$T42="","",Sales_Daily!$T42),"")</f>
        <v/>
      </c>
      <c r="AA489" s="32">
        <f>IF($A489=1,IF(Sales_Daily!$U42="","",Sales_Daily!$U42),"")</f>
        <v/>
      </c>
      <c r="AB489" s="32">
        <f>IF($A489=1,IF(Sales_Daily!$V42="","",Sales_Daily!$V42),"")</f>
        <v/>
      </c>
      <c r="AC489" s="32">
        <f>IF($A489=1,IF(Sales_Daily!$W42="","",Sales_Daily!$W42),"")</f>
        <v/>
      </c>
      <c r="AD489" s="32">
        <f>IF($A489=1,IF(Sales_Daily!$X42="","",Sales_Daily!$X42),"")</f>
        <v/>
      </c>
      <c r="AE489" s="32">
        <f>IF($A489=1,0,"")</f>
        <v/>
      </c>
      <c r="AF489" s="32" t="inlineStr"/>
    </row>
    <row r="490">
      <c r="A490" s="32">
        <f>IF(AND(Sales_Daily!$AV42=1,N(Sales_Daily!$P42)&gt;0),1,0)</f>
        <v/>
      </c>
      <c r="B490" s="32">
        <f>IF($A490=1,$E490&amp;"/5","")</f>
        <v/>
      </c>
      <c r="C490" s="32">
        <f>IF($A490=1,"J-"&amp;Sales_Daily!$A42,"")</f>
        <v/>
      </c>
      <c r="D490" s="33">
        <f>IF($A490=1,Sales_Daily!$B42,"")</f>
        <v/>
      </c>
      <c r="E490" s="32">
        <f>IF($A490=1,IF(Sales_Daily!$A42="","",Sales_Daily!$A42),"")</f>
        <v/>
      </c>
      <c r="F490" s="32">
        <f>IF($A490=1,"SAL","")</f>
        <v/>
      </c>
      <c r="G490" s="32">
        <f>IF($A490=1,IF(Sales_Daily!$AO42="","",Sales_Daily!$AO42),"")</f>
        <v/>
      </c>
      <c r="H490" s="32">
        <f>IF($A490=1,IF(COUNTIF(COA!$A:$A,$G490)=0,"حساب غير معرف",INDEX(COA!$B:$B,MATCH($G490,COA!$A:$A,0))),"")</f>
        <v/>
      </c>
      <c r="I490" s="32">
        <f>IF($A490=1,IF(Sales_Daily!$C42="","",Sales_Daily!$C42),"")</f>
        <v/>
      </c>
      <c r="J490" s="32">
        <f>IF($A490=1,"CC10","")</f>
        <v/>
      </c>
      <c r="K490" s="32">
        <f>IF($A490=1,"-","")</f>
        <v/>
      </c>
      <c r="L490" s="32">
        <f>IF($A490=1,"مبيعات - تحصيل INSTA","")</f>
        <v/>
      </c>
      <c r="M490" s="43">
        <f>IF($A490=1,Sales_Daily!$P42,"")</f>
        <v/>
      </c>
      <c r="N490" s="43">
        <f>IF($A490=1,0,"")</f>
        <v/>
      </c>
      <c r="O490" s="32">
        <f>IF($A490=1,Sales_Daily!$S42,"")</f>
        <v/>
      </c>
      <c r="P490" s="32">
        <f>IF($A490=1,IF(Sales_Daily!$AW42="","",Sales_Daily!$AW42),"")</f>
        <v/>
      </c>
      <c r="Q490" s="32">
        <f>IF($A490=1,Sales_Daily!$AY42,"")</f>
        <v/>
      </c>
      <c r="R490" s="32">
        <f>IF($A490=1,IF(AND($Q490=1,COUNTIFS(COA!$A:$A,$G490,COA!$R:$R,1)=1),1,0),"")</f>
        <v/>
      </c>
      <c r="S490" s="43">
        <f>IF($A490=1,IF($R490=1,N($M490),0),"")</f>
        <v/>
      </c>
      <c r="T490" s="43">
        <f>IF($A490=1,IF($R490=1,N($N490),0),"")</f>
        <v/>
      </c>
      <c r="U490" s="32">
        <f>IF($A490=1,YEAR($D490)*100+MONTH($D490),"")</f>
        <v/>
      </c>
      <c r="V490" s="32">
        <f>IF($A490=1,IF(COUNTIF(COA!$A:$A,$G490)=0,0,INDEX(COA!$H:$H,MATCH($G490,COA!$A:$A,0))),"")</f>
        <v/>
      </c>
      <c r="W490" s="32">
        <f>IF($A490=1,"OPERATING","")</f>
        <v/>
      </c>
      <c r="X490" s="32">
        <f>IF($A490=1,IF($R490=1,"",IF($O490=ST_POST,IF($P490&lt;&gt;"",$P490,"حساب غير صالح أو غير نشط"),IF($O490=ST_REV,"معكوس: لا أثر على الدفاتر",IF($O490=ST_CANC,"ملغى",IF($O490=ST_APPR,"معتمد ولم يُرحَّل","مسودة"))))),"")</f>
        <v/>
      </c>
      <c r="Y490" s="32">
        <f>IF($A490=1,IF(AND($R490=1,OR(LG_Acct="",$G490=LG_Acct),OR(LG_Party="",$K490=LG_Party),OR(LG_Loc="ALL",$I490=LG_Loc),OR(LG_CC="ALL",$J490=LG_CC),$D490&gt;=LG_From,$D490&lt;=LG_To),$D490+ROW()/1000000,""),"")</f>
        <v/>
      </c>
      <c r="Z490" s="32">
        <f>IF($A490=1,IF(Sales_Daily!$T42="","",Sales_Daily!$T42),"")</f>
        <v/>
      </c>
      <c r="AA490" s="32">
        <f>IF($A490=1,IF(Sales_Daily!$U42="","",Sales_Daily!$U42),"")</f>
        <v/>
      </c>
      <c r="AB490" s="32">
        <f>IF($A490=1,IF(Sales_Daily!$V42="","",Sales_Daily!$V42),"")</f>
        <v/>
      </c>
      <c r="AC490" s="32">
        <f>IF($A490=1,IF(Sales_Daily!$W42="","",Sales_Daily!$W42),"")</f>
        <v/>
      </c>
      <c r="AD490" s="32">
        <f>IF($A490=1,IF(Sales_Daily!$X42="","",Sales_Daily!$X42),"")</f>
        <v/>
      </c>
      <c r="AE490" s="32">
        <f>IF($A490=1,0,"")</f>
        <v/>
      </c>
      <c r="AF490" s="32" t="inlineStr"/>
    </row>
    <row r="491">
      <c r="A491" s="32">
        <f>IF(AND(Sales_Daily!$AV42=1,N(Sales_Daily!$Q42)&gt;0),1,0)</f>
        <v/>
      </c>
      <c r="B491" s="32">
        <f>IF($A491=1,$E491&amp;"/6","")</f>
        <v/>
      </c>
      <c r="C491" s="32">
        <f>IF($A491=1,"J-"&amp;Sales_Daily!$A42,"")</f>
        <v/>
      </c>
      <c r="D491" s="33">
        <f>IF($A491=1,Sales_Daily!$B42,"")</f>
        <v/>
      </c>
      <c r="E491" s="32">
        <f>IF($A491=1,IF(Sales_Daily!$A42="","",Sales_Daily!$A42),"")</f>
        <v/>
      </c>
      <c r="F491" s="32">
        <f>IF($A491=1,"SAL","")</f>
        <v/>
      </c>
      <c r="G491" s="32">
        <f>IF($A491=1,IF(Sales_Daily!$AP42="","",Sales_Daily!$AP42),"")</f>
        <v/>
      </c>
      <c r="H491" s="32">
        <f>IF($A491=1,IF(COUNTIF(COA!$A:$A,$G491)=0,"حساب غير معرف",INDEX(COA!$B:$B,MATCH($G491,COA!$A:$A,0))),"")</f>
        <v/>
      </c>
      <c r="I491" s="32">
        <f>IF($A491=1,IF(Sales_Daily!$C42="","",Sales_Daily!$C42),"")</f>
        <v/>
      </c>
      <c r="J491" s="32">
        <f>IF($A491=1,"CC10","")</f>
        <v/>
      </c>
      <c r="K491" s="32">
        <f>IF($A491=1,"-","")</f>
        <v/>
      </c>
      <c r="L491" s="32">
        <f>IF($A491=1,"مبيعات - تحصيل OTH","")</f>
        <v/>
      </c>
      <c r="M491" s="43">
        <f>IF($A491=1,Sales_Daily!$Q42,"")</f>
        <v/>
      </c>
      <c r="N491" s="43">
        <f>IF($A491=1,0,"")</f>
        <v/>
      </c>
      <c r="O491" s="32">
        <f>IF($A491=1,Sales_Daily!$S42,"")</f>
        <v/>
      </c>
      <c r="P491" s="32">
        <f>IF($A491=1,IF(Sales_Daily!$AW42="","",Sales_Daily!$AW42),"")</f>
        <v/>
      </c>
      <c r="Q491" s="32">
        <f>IF($A491=1,Sales_Daily!$AY42,"")</f>
        <v/>
      </c>
      <c r="R491" s="32">
        <f>IF($A491=1,IF(AND($Q491=1,COUNTIFS(COA!$A:$A,$G491,COA!$R:$R,1)=1),1,0),"")</f>
        <v/>
      </c>
      <c r="S491" s="43">
        <f>IF($A491=1,IF($R491=1,N($M491),0),"")</f>
        <v/>
      </c>
      <c r="T491" s="43">
        <f>IF($A491=1,IF($R491=1,N($N491),0),"")</f>
        <v/>
      </c>
      <c r="U491" s="32">
        <f>IF($A491=1,YEAR($D491)*100+MONTH($D491),"")</f>
        <v/>
      </c>
      <c r="V491" s="32">
        <f>IF($A491=1,IF(COUNTIF(COA!$A:$A,$G491)=0,0,INDEX(COA!$H:$H,MATCH($G491,COA!$A:$A,0))),"")</f>
        <v/>
      </c>
      <c r="W491" s="32">
        <f>IF($A491=1,"OPERATING","")</f>
        <v/>
      </c>
      <c r="X491" s="32">
        <f>IF($A491=1,IF($R491=1,"",IF($O491=ST_POST,IF($P491&lt;&gt;"",$P491,"حساب غير صالح أو غير نشط"),IF($O491=ST_REV,"معكوس: لا أثر على الدفاتر",IF($O491=ST_CANC,"ملغى",IF($O491=ST_APPR,"معتمد ولم يُرحَّل","مسودة"))))),"")</f>
        <v/>
      </c>
      <c r="Y491" s="32">
        <f>IF($A491=1,IF(AND($R491=1,OR(LG_Acct="",$G491=LG_Acct),OR(LG_Party="",$K491=LG_Party),OR(LG_Loc="ALL",$I491=LG_Loc),OR(LG_CC="ALL",$J491=LG_CC),$D491&gt;=LG_From,$D491&lt;=LG_To),$D491+ROW()/1000000,""),"")</f>
        <v/>
      </c>
      <c r="Z491" s="32">
        <f>IF($A491=1,IF(Sales_Daily!$T42="","",Sales_Daily!$T42),"")</f>
        <v/>
      </c>
      <c r="AA491" s="32">
        <f>IF($A491=1,IF(Sales_Daily!$U42="","",Sales_Daily!$U42),"")</f>
        <v/>
      </c>
      <c r="AB491" s="32">
        <f>IF($A491=1,IF(Sales_Daily!$V42="","",Sales_Daily!$V42),"")</f>
        <v/>
      </c>
      <c r="AC491" s="32">
        <f>IF($A491=1,IF(Sales_Daily!$W42="","",Sales_Daily!$W42),"")</f>
        <v/>
      </c>
      <c r="AD491" s="32">
        <f>IF($A491=1,IF(Sales_Daily!$X42="","",Sales_Daily!$X42),"")</f>
        <v/>
      </c>
      <c r="AE491" s="32">
        <f>IF($A491=1,0,"")</f>
        <v/>
      </c>
      <c r="AF491" s="32" t="inlineStr"/>
    </row>
    <row r="492">
      <c r="A492" s="32">
        <f>IF(AND(Sales_Daily!$AV42=1,N(Sales_Daily!$AH42)&gt;0),1,0)</f>
        <v/>
      </c>
      <c r="B492" s="32">
        <f>IF($A492=1,$E492&amp;"/7","")</f>
        <v/>
      </c>
      <c r="C492" s="32">
        <f>IF($A492=1,"J-"&amp;Sales_Daily!$A42,"")</f>
        <v/>
      </c>
      <c r="D492" s="33">
        <f>IF($A492=1,Sales_Daily!$B42,"")</f>
        <v/>
      </c>
      <c r="E492" s="32">
        <f>IF($A492=1,IF(Sales_Daily!$A42="","",Sales_Daily!$A42),"")</f>
        <v/>
      </c>
      <c r="F492" s="32">
        <f>IF($A492=1,"SAL","")</f>
        <v/>
      </c>
      <c r="G492" s="32">
        <f>IF($A492=1,ACC_DISC,"")</f>
        <v/>
      </c>
      <c r="H492" s="32">
        <f>IF($A492=1,IF(COUNTIF(COA!$A:$A,$G492)=0,"حساب غير معرف",INDEX(COA!$B:$B,MATCH($G492,COA!$A:$A,0))),"")</f>
        <v/>
      </c>
      <c r="I492" s="32">
        <f>IF($A492=1,IF(Sales_Daily!$C42="","",Sales_Daily!$C42),"")</f>
        <v/>
      </c>
      <c r="J492" s="32">
        <f>IF($A492=1,"CC10","")</f>
        <v/>
      </c>
      <c r="K492" s="32">
        <f>IF($A492=1,"-","")</f>
        <v/>
      </c>
      <c r="L492" s="32">
        <f>IF($A492=1,"خصومات المبيعات والعروض","")</f>
        <v/>
      </c>
      <c r="M492" s="43">
        <f>IF($A492=1,Sales_Daily!$AH42,"")</f>
        <v/>
      </c>
      <c r="N492" s="43">
        <f>IF($A492=1,0,"")</f>
        <v/>
      </c>
      <c r="O492" s="32">
        <f>IF($A492=1,Sales_Daily!$S42,"")</f>
        <v/>
      </c>
      <c r="P492" s="32">
        <f>IF($A492=1,IF(Sales_Daily!$AW42="","",Sales_Daily!$AW42),"")</f>
        <v/>
      </c>
      <c r="Q492" s="32">
        <f>IF($A492=1,Sales_Daily!$AY42,"")</f>
        <v/>
      </c>
      <c r="R492" s="32">
        <f>IF($A492=1,IF(AND($Q492=1,COUNTIFS(COA!$A:$A,$G492,COA!$R:$R,1)=1),1,0),"")</f>
        <v/>
      </c>
      <c r="S492" s="43">
        <f>IF($A492=1,IF($R492=1,N($M492),0),"")</f>
        <v/>
      </c>
      <c r="T492" s="43">
        <f>IF($A492=1,IF($R492=1,N($N492),0),"")</f>
        <v/>
      </c>
      <c r="U492" s="32">
        <f>IF($A492=1,YEAR($D492)*100+MONTH($D492),"")</f>
        <v/>
      </c>
      <c r="V492" s="32">
        <f>IF($A492=1,IF(COUNTIF(COA!$A:$A,$G492)=0,0,INDEX(COA!$H:$H,MATCH($G492,COA!$A:$A,0))),"")</f>
        <v/>
      </c>
      <c r="W492" s="32">
        <f>IF($A492=1,"","")</f>
        <v/>
      </c>
      <c r="X492" s="32">
        <f>IF($A492=1,IF($R492=1,"",IF($O492=ST_POST,IF($P492&lt;&gt;"",$P492,"حساب غير صالح أو غير نشط"),IF($O492=ST_REV,"معكوس: لا أثر على الدفاتر",IF($O492=ST_CANC,"ملغى",IF($O492=ST_APPR,"معتمد ولم يُرحَّل","مسودة"))))),"")</f>
        <v/>
      </c>
      <c r="Y492" s="32">
        <f>IF($A492=1,IF(AND($R492=1,OR(LG_Acct="",$G492=LG_Acct),OR(LG_Party="",$K492=LG_Party),OR(LG_Loc="ALL",$I492=LG_Loc),OR(LG_CC="ALL",$J492=LG_CC),$D492&gt;=LG_From,$D492&lt;=LG_To),$D492+ROW()/1000000,""),"")</f>
        <v/>
      </c>
      <c r="Z492" s="32">
        <f>IF($A492=1,IF(Sales_Daily!$T42="","",Sales_Daily!$T42),"")</f>
        <v/>
      </c>
      <c r="AA492" s="32">
        <f>IF($A492=1,IF(Sales_Daily!$U42="","",Sales_Daily!$U42),"")</f>
        <v/>
      </c>
      <c r="AB492" s="32">
        <f>IF($A492=1,IF(Sales_Daily!$V42="","",Sales_Daily!$V42),"")</f>
        <v/>
      </c>
      <c r="AC492" s="32">
        <f>IF($A492=1,IF(Sales_Daily!$W42="","",Sales_Daily!$W42),"")</f>
        <v/>
      </c>
      <c r="AD492" s="32">
        <f>IF($A492=1,IF(Sales_Daily!$X42="","",Sales_Daily!$X42),"")</f>
        <v/>
      </c>
      <c r="AE492" s="32">
        <f>IF($A492=1,0,"")</f>
        <v/>
      </c>
      <c r="AF492" s="32" t="inlineStr"/>
    </row>
    <row r="493">
      <c r="A493" s="32">
        <f>IF(AND(Sales_Daily!$AV42=1,N(Sales_Daily!$AI42)&gt;0),1,0)</f>
        <v/>
      </c>
      <c r="B493" s="32">
        <f>IF($A493=1,$E493&amp;"/8","")</f>
        <v/>
      </c>
      <c r="C493" s="32">
        <f>IF($A493=1,"J-"&amp;Sales_Daily!$A42,"")</f>
        <v/>
      </c>
      <c r="D493" s="33">
        <f>IF($A493=1,Sales_Daily!$B42,"")</f>
        <v/>
      </c>
      <c r="E493" s="32">
        <f>IF($A493=1,IF(Sales_Daily!$A42="","",Sales_Daily!$A42),"")</f>
        <v/>
      </c>
      <c r="F493" s="32">
        <f>IF($A493=1,"SAL","")</f>
        <v/>
      </c>
      <c r="G493" s="32">
        <f>IF($A493=1,ACC_RET,"")</f>
        <v/>
      </c>
      <c r="H493" s="32">
        <f>IF($A493=1,IF(COUNTIF(COA!$A:$A,$G493)=0,"حساب غير معرف",INDEX(COA!$B:$B,MATCH($G493,COA!$A:$A,0))),"")</f>
        <v/>
      </c>
      <c r="I493" s="32">
        <f>IF($A493=1,IF(Sales_Daily!$C42="","",Sales_Daily!$C42),"")</f>
        <v/>
      </c>
      <c r="J493" s="32">
        <f>IF($A493=1,"CC10","")</f>
        <v/>
      </c>
      <c r="K493" s="32">
        <f>IF($A493=1,"-","")</f>
        <v/>
      </c>
      <c r="L493" s="32">
        <f>IF($A493=1,"مرتجعات وإلغاءات المبيعات","")</f>
        <v/>
      </c>
      <c r="M493" s="43">
        <f>IF($A493=1,Sales_Daily!$AI42,"")</f>
        <v/>
      </c>
      <c r="N493" s="43">
        <f>IF($A493=1,0,"")</f>
        <v/>
      </c>
      <c r="O493" s="32">
        <f>IF($A493=1,Sales_Daily!$S42,"")</f>
        <v/>
      </c>
      <c r="P493" s="32">
        <f>IF($A493=1,IF(Sales_Daily!$AW42="","",Sales_Daily!$AW42),"")</f>
        <v/>
      </c>
      <c r="Q493" s="32">
        <f>IF($A493=1,Sales_Daily!$AY42,"")</f>
        <v/>
      </c>
      <c r="R493" s="32">
        <f>IF($A493=1,IF(AND($Q493=1,COUNTIFS(COA!$A:$A,$G493,COA!$R:$R,1)=1),1,0),"")</f>
        <v/>
      </c>
      <c r="S493" s="43">
        <f>IF($A493=1,IF($R493=1,N($M493),0),"")</f>
        <v/>
      </c>
      <c r="T493" s="43">
        <f>IF($A493=1,IF($R493=1,N($N493),0),"")</f>
        <v/>
      </c>
      <c r="U493" s="32">
        <f>IF($A493=1,YEAR($D493)*100+MONTH($D493),"")</f>
        <v/>
      </c>
      <c r="V493" s="32">
        <f>IF($A493=1,IF(COUNTIF(COA!$A:$A,$G493)=0,0,INDEX(COA!$H:$H,MATCH($G493,COA!$A:$A,0))),"")</f>
        <v/>
      </c>
      <c r="W493" s="32">
        <f>IF($A493=1,"","")</f>
        <v/>
      </c>
      <c r="X493" s="32">
        <f>IF($A493=1,IF($R493=1,"",IF($O493=ST_POST,IF($P493&lt;&gt;"",$P493,"حساب غير صالح أو غير نشط"),IF($O493=ST_REV,"معكوس: لا أثر على الدفاتر",IF($O493=ST_CANC,"ملغى",IF($O493=ST_APPR,"معتمد ولم يُرحَّل","مسودة"))))),"")</f>
        <v/>
      </c>
      <c r="Y493" s="32">
        <f>IF($A493=1,IF(AND($R493=1,OR(LG_Acct="",$G493=LG_Acct),OR(LG_Party="",$K493=LG_Party),OR(LG_Loc="ALL",$I493=LG_Loc),OR(LG_CC="ALL",$J493=LG_CC),$D493&gt;=LG_From,$D493&lt;=LG_To),$D493+ROW()/1000000,""),"")</f>
        <v/>
      </c>
      <c r="Z493" s="32">
        <f>IF($A493=1,IF(Sales_Daily!$T42="","",Sales_Daily!$T42),"")</f>
        <v/>
      </c>
      <c r="AA493" s="32">
        <f>IF($A493=1,IF(Sales_Daily!$U42="","",Sales_Daily!$U42),"")</f>
        <v/>
      </c>
      <c r="AB493" s="32">
        <f>IF($A493=1,IF(Sales_Daily!$V42="","",Sales_Daily!$V42),"")</f>
        <v/>
      </c>
      <c r="AC493" s="32">
        <f>IF($A493=1,IF(Sales_Daily!$W42="","",Sales_Daily!$W42),"")</f>
        <v/>
      </c>
      <c r="AD493" s="32">
        <f>IF($A493=1,IF(Sales_Daily!$X42="","",Sales_Daily!$X42),"")</f>
        <v/>
      </c>
      <c r="AE493" s="32">
        <f>IF($A493=1,0,"")</f>
        <v/>
      </c>
      <c r="AF493" s="32" t="inlineStr"/>
    </row>
    <row r="494">
      <c r="A494" s="32">
        <f>IF(AND(Sales_Daily!$AV42=1,N(Sales_Daily!$AD42)&gt;0),1,0)</f>
        <v/>
      </c>
      <c r="B494" s="32">
        <f>IF($A494=1,$E494&amp;"/9","")</f>
        <v/>
      </c>
      <c r="C494" s="32">
        <f>IF($A494=1,"J-"&amp;Sales_Daily!$A42,"")</f>
        <v/>
      </c>
      <c r="D494" s="33">
        <f>IF($A494=1,Sales_Daily!$B42,"")</f>
        <v/>
      </c>
      <c r="E494" s="32">
        <f>IF($A494=1,IF(Sales_Daily!$A42="","",Sales_Daily!$A42),"")</f>
        <v/>
      </c>
      <c r="F494" s="32">
        <f>IF($A494=1,"SAL","")</f>
        <v/>
      </c>
      <c r="G494" s="32">
        <f>IF($A494=1,IF(Sales_Daily!$AQ42="","",Sales_Daily!$AQ42),"")</f>
        <v/>
      </c>
      <c r="H494" s="32">
        <f>IF($A494=1,IF(COUNTIF(COA!$A:$A,$G494)=0,"حساب غير معرف",INDEX(COA!$B:$B,MATCH($G494,COA!$A:$A,0))),"")</f>
        <v/>
      </c>
      <c r="I494" s="32">
        <f>IF($A494=1,IF(Sales_Daily!$C42="","",Sales_Daily!$C42),"")</f>
        <v/>
      </c>
      <c r="J494" s="32">
        <f>IF($A494=1,"CC10","")</f>
        <v/>
      </c>
      <c r="K494" s="32">
        <f>IF($A494=1,"-","")</f>
        <v/>
      </c>
      <c r="L494" s="32">
        <f>IF($A494=1,"إيراد مبيعات - فئة فطير","")</f>
        <v/>
      </c>
      <c r="M494" s="43">
        <f>IF($A494=1,0,"")</f>
        <v/>
      </c>
      <c r="N494" s="43">
        <f>IF($A494=1,Sales_Daily!$AD42,"")</f>
        <v/>
      </c>
      <c r="O494" s="32">
        <f>IF($A494=1,Sales_Daily!$S42,"")</f>
        <v/>
      </c>
      <c r="P494" s="32">
        <f>IF($A494=1,IF(Sales_Daily!$AW42="","",Sales_Daily!$AW42),"")</f>
        <v/>
      </c>
      <c r="Q494" s="32">
        <f>IF($A494=1,Sales_Daily!$AY42,"")</f>
        <v/>
      </c>
      <c r="R494" s="32">
        <f>IF($A494=1,IF(AND($Q494=1,COUNTIFS(COA!$A:$A,$G494,COA!$R:$R,1)=1),1,0),"")</f>
        <v/>
      </c>
      <c r="S494" s="43">
        <f>IF($A494=1,IF($R494=1,N($M494),0),"")</f>
        <v/>
      </c>
      <c r="T494" s="43">
        <f>IF($A494=1,IF($R494=1,N($N494),0),"")</f>
        <v/>
      </c>
      <c r="U494" s="32">
        <f>IF($A494=1,YEAR($D494)*100+MONTH($D494),"")</f>
        <v/>
      </c>
      <c r="V494" s="32">
        <f>IF($A494=1,IF(COUNTIF(COA!$A:$A,$G494)=0,0,INDEX(COA!$H:$H,MATCH($G494,COA!$A:$A,0))),"")</f>
        <v/>
      </c>
      <c r="W494" s="32">
        <f>IF($A494=1,"","")</f>
        <v/>
      </c>
      <c r="X494" s="32">
        <f>IF($A494=1,IF($R494=1,"",IF($O494=ST_POST,IF($P494&lt;&gt;"",$P494,"حساب غير صالح أو غير نشط"),IF($O494=ST_REV,"معكوس: لا أثر على الدفاتر",IF($O494=ST_CANC,"ملغى",IF($O494=ST_APPR,"معتمد ولم يُرحَّل","مسودة"))))),"")</f>
        <v/>
      </c>
      <c r="Y494" s="32">
        <f>IF($A494=1,IF(AND($R494=1,OR(LG_Acct="",$G494=LG_Acct),OR(LG_Party="",$K494=LG_Party),OR(LG_Loc="ALL",$I494=LG_Loc),OR(LG_CC="ALL",$J494=LG_CC),$D494&gt;=LG_From,$D494&lt;=LG_To),$D494+ROW()/1000000,""),"")</f>
        <v/>
      </c>
      <c r="Z494" s="32">
        <f>IF($A494=1,IF(Sales_Daily!$T42="","",Sales_Daily!$T42),"")</f>
        <v/>
      </c>
      <c r="AA494" s="32">
        <f>IF($A494=1,IF(Sales_Daily!$U42="","",Sales_Daily!$U42),"")</f>
        <v/>
      </c>
      <c r="AB494" s="32">
        <f>IF($A494=1,IF(Sales_Daily!$V42="","",Sales_Daily!$V42),"")</f>
        <v/>
      </c>
      <c r="AC494" s="32">
        <f>IF($A494=1,IF(Sales_Daily!$W42="","",Sales_Daily!$W42),"")</f>
        <v/>
      </c>
      <c r="AD494" s="32">
        <f>IF($A494=1,IF(Sales_Daily!$X42="","",Sales_Daily!$X42),"")</f>
        <v/>
      </c>
      <c r="AE494" s="32">
        <f>IF($A494=1,0,"")</f>
        <v/>
      </c>
      <c r="AF494" s="32" t="inlineStr"/>
    </row>
    <row r="495">
      <c r="A495" s="32">
        <f>IF(AND(Sales_Daily!$AV42=1,N(Sales_Daily!$AE42)&gt;0),1,0)</f>
        <v/>
      </c>
      <c r="B495" s="32">
        <f>IF($A495=1,$E495&amp;"/10","")</f>
        <v/>
      </c>
      <c r="C495" s="32">
        <f>IF($A495=1,"J-"&amp;Sales_Daily!$A42,"")</f>
        <v/>
      </c>
      <c r="D495" s="33">
        <f>IF($A495=1,Sales_Daily!$B42,"")</f>
        <v/>
      </c>
      <c r="E495" s="32">
        <f>IF($A495=1,IF(Sales_Daily!$A42="","",Sales_Daily!$A42),"")</f>
        <v/>
      </c>
      <c r="F495" s="32">
        <f>IF($A495=1,"SAL","")</f>
        <v/>
      </c>
      <c r="G495" s="32">
        <f>IF($A495=1,IF(Sales_Daily!$AR42="","",Sales_Daily!$AR42),"")</f>
        <v/>
      </c>
      <c r="H495" s="32">
        <f>IF($A495=1,IF(COUNTIF(COA!$A:$A,$G495)=0,"حساب غير معرف",INDEX(COA!$B:$B,MATCH($G495,COA!$A:$A,0))),"")</f>
        <v/>
      </c>
      <c r="I495" s="32">
        <f>IF($A495=1,IF(Sales_Daily!$C42="","",Sales_Daily!$C42),"")</f>
        <v/>
      </c>
      <c r="J495" s="32">
        <f>IF($A495=1,"CC10","")</f>
        <v/>
      </c>
      <c r="K495" s="32">
        <f>IF($A495=1,"-","")</f>
        <v/>
      </c>
      <c r="L495" s="32">
        <f>IF($A495=1,"إيراد مبيعات - فئة بيتزا","")</f>
        <v/>
      </c>
      <c r="M495" s="43">
        <f>IF($A495=1,0,"")</f>
        <v/>
      </c>
      <c r="N495" s="43">
        <f>IF($A495=1,Sales_Daily!$AE42,"")</f>
        <v/>
      </c>
      <c r="O495" s="32">
        <f>IF($A495=1,Sales_Daily!$S42,"")</f>
        <v/>
      </c>
      <c r="P495" s="32">
        <f>IF($A495=1,IF(Sales_Daily!$AW42="","",Sales_Daily!$AW42),"")</f>
        <v/>
      </c>
      <c r="Q495" s="32">
        <f>IF($A495=1,Sales_Daily!$AY42,"")</f>
        <v/>
      </c>
      <c r="R495" s="32">
        <f>IF($A495=1,IF(AND($Q495=1,COUNTIFS(COA!$A:$A,$G495,COA!$R:$R,1)=1),1,0),"")</f>
        <v/>
      </c>
      <c r="S495" s="43">
        <f>IF($A495=1,IF($R495=1,N($M495),0),"")</f>
        <v/>
      </c>
      <c r="T495" s="43">
        <f>IF($A495=1,IF($R495=1,N($N495),0),"")</f>
        <v/>
      </c>
      <c r="U495" s="32">
        <f>IF($A495=1,YEAR($D495)*100+MONTH($D495),"")</f>
        <v/>
      </c>
      <c r="V495" s="32">
        <f>IF($A495=1,IF(COUNTIF(COA!$A:$A,$G495)=0,0,INDEX(COA!$H:$H,MATCH($G495,COA!$A:$A,0))),"")</f>
        <v/>
      </c>
      <c r="W495" s="32">
        <f>IF($A495=1,"","")</f>
        <v/>
      </c>
      <c r="X495" s="32">
        <f>IF($A495=1,IF($R495=1,"",IF($O495=ST_POST,IF($P495&lt;&gt;"",$P495,"حساب غير صالح أو غير نشط"),IF($O495=ST_REV,"معكوس: لا أثر على الدفاتر",IF($O495=ST_CANC,"ملغى",IF($O495=ST_APPR,"معتمد ولم يُرحَّل","مسودة"))))),"")</f>
        <v/>
      </c>
      <c r="Y495" s="32">
        <f>IF($A495=1,IF(AND($R495=1,OR(LG_Acct="",$G495=LG_Acct),OR(LG_Party="",$K495=LG_Party),OR(LG_Loc="ALL",$I495=LG_Loc),OR(LG_CC="ALL",$J495=LG_CC),$D495&gt;=LG_From,$D495&lt;=LG_To),$D495+ROW()/1000000,""),"")</f>
        <v/>
      </c>
      <c r="Z495" s="32">
        <f>IF($A495=1,IF(Sales_Daily!$T42="","",Sales_Daily!$T42),"")</f>
        <v/>
      </c>
      <c r="AA495" s="32">
        <f>IF($A495=1,IF(Sales_Daily!$U42="","",Sales_Daily!$U42),"")</f>
        <v/>
      </c>
      <c r="AB495" s="32">
        <f>IF($A495=1,IF(Sales_Daily!$V42="","",Sales_Daily!$V42),"")</f>
        <v/>
      </c>
      <c r="AC495" s="32">
        <f>IF($A495=1,IF(Sales_Daily!$W42="","",Sales_Daily!$W42),"")</f>
        <v/>
      </c>
      <c r="AD495" s="32">
        <f>IF($A495=1,IF(Sales_Daily!$X42="","",Sales_Daily!$X42),"")</f>
        <v/>
      </c>
      <c r="AE495" s="32">
        <f>IF($A495=1,0,"")</f>
        <v/>
      </c>
      <c r="AF495" s="32" t="inlineStr"/>
    </row>
    <row r="496">
      <c r="A496" s="32">
        <f>IF(AND(Sales_Daily!$AV42=1,N(Sales_Daily!$AF42)&gt;0),1,0)</f>
        <v/>
      </c>
      <c r="B496" s="32">
        <f>IF($A496=1,$E496&amp;"/11","")</f>
        <v/>
      </c>
      <c r="C496" s="32">
        <f>IF($A496=1,"J-"&amp;Sales_Daily!$A42,"")</f>
        <v/>
      </c>
      <c r="D496" s="33">
        <f>IF($A496=1,Sales_Daily!$B42,"")</f>
        <v/>
      </c>
      <c r="E496" s="32">
        <f>IF($A496=1,IF(Sales_Daily!$A42="","",Sales_Daily!$A42),"")</f>
        <v/>
      </c>
      <c r="F496" s="32">
        <f>IF($A496=1,"SAL","")</f>
        <v/>
      </c>
      <c r="G496" s="32">
        <f>IF($A496=1,IF(Sales_Daily!$AS42="","",Sales_Daily!$AS42),"")</f>
        <v/>
      </c>
      <c r="H496" s="32">
        <f>IF($A496=1,IF(COUNTIF(COA!$A:$A,$G496)=0,"حساب غير معرف",INDEX(COA!$B:$B,MATCH($G496,COA!$A:$A,0))),"")</f>
        <v/>
      </c>
      <c r="I496" s="32">
        <f>IF($A496=1,IF(Sales_Daily!$C42="","",Sales_Daily!$C42),"")</f>
        <v/>
      </c>
      <c r="J496" s="32">
        <f>IF($A496=1,"CC10","")</f>
        <v/>
      </c>
      <c r="K496" s="32">
        <f>IF($A496=1,"-","")</f>
        <v/>
      </c>
      <c r="L496" s="32">
        <f>IF($A496=1,"إيراد مبيعات - فئة مكرونات","")</f>
        <v/>
      </c>
      <c r="M496" s="43">
        <f>IF($A496=1,0,"")</f>
        <v/>
      </c>
      <c r="N496" s="43">
        <f>IF($A496=1,Sales_Daily!$AF42,"")</f>
        <v/>
      </c>
      <c r="O496" s="32">
        <f>IF($A496=1,Sales_Daily!$S42,"")</f>
        <v/>
      </c>
      <c r="P496" s="32">
        <f>IF($A496=1,IF(Sales_Daily!$AW42="","",Sales_Daily!$AW42),"")</f>
        <v/>
      </c>
      <c r="Q496" s="32">
        <f>IF($A496=1,Sales_Daily!$AY42,"")</f>
        <v/>
      </c>
      <c r="R496" s="32">
        <f>IF($A496=1,IF(AND($Q496=1,COUNTIFS(COA!$A:$A,$G496,COA!$R:$R,1)=1),1,0),"")</f>
        <v/>
      </c>
      <c r="S496" s="43">
        <f>IF($A496=1,IF($R496=1,N($M496),0),"")</f>
        <v/>
      </c>
      <c r="T496" s="43">
        <f>IF($A496=1,IF($R496=1,N($N496),0),"")</f>
        <v/>
      </c>
      <c r="U496" s="32">
        <f>IF($A496=1,YEAR($D496)*100+MONTH($D496),"")</f>
        <v/>
      </c>
      <c r="V496" s="32">
        <f>IF($A496=1,IF(COUNTIF(COA!$A:$A,$G496)=0,0,INDEX(COA!$H:$H,MATCH($G496,COA!$A:$A,0))),"")</f>
        <v/>
      </c>
      <c r="W496" s="32">
        <f>IF($A496=1,"","")</f>
        <v/>
      </c>
      <c r="X496" s="32">
        <f>IF($A496=1,IF($R496=1,"",IF($O496=ST_POST,IF($P496&lt;&gt;"",$P496,"حساب غير صالح أو غير نشط"),IF($O496=ST_REV,"معكوس: لا أثر على الدفاتر",IF($O496=ST_CANC,"ملغى",IF($O496=ST_APPR,"معتمد ولم يُرحَّل","مسودة"))))),"")</f>
        <v/>
      </c>
      <c r="Y496" s="32">
        <f>IF($A496=1,IF(AND($R496=1,OR(LG_Acct="",$G496=LG_Acct),OR(LG_Party="",$K496=LG_Party),OR(LG_Loc="ALL",$I496=LG_Loc),OR(LG_CC="ALL",$J496=LG_CC),$D496&gt;=LG_From,$D496&lt;=LG_To),$D496+ROW()/1000000,""),"")</f>
        <v/>
      </c>
      <c r="Z496" s="32">
        <f>IF($A496=1,IF(Sales_Daily!$T42="","",Sales_Daily!$T42),"")</f>
        <v/>
      </c>
      <c r="AA496" s="32">
        <f>IF($A496=1,IF(Sales_Daily!$U42="","",Sales_Daily!$U42),"")</f>
        <v/>
      </c>
      <c r="AB496" s="32">
        <f>IF($A496=1,IF(Sales_Daily!$V42="","",Sales_Daily!$V42),"")</f>
        <v/>
      </c>
      <c r="AC496" s="32">
        <f>IF($A496=1,IF(Sales_Daily!$W42="","",Sales_Daily!$W42),"")</f>
        <v/>
      </c>
      <c r="AD496" s="32">
        <f>IF($A496=1,IF(Sales_Daily!$X42="","",Sales_Daily!$X42),"")</f>
        <v/>
      </c>
      <c r="AE496" s="32">
        <f>IF($A496=1,0,"")</f>
        <v/>
      </c>
      <c r="AF496" s="32" t="inlineStr"/>
    </row>
    <row r="497">
      <c r="A497" s="32">
        <f>IF(AND(Sales_Daily!$AV42=1,N(Sales_Daily!$AG42)&gt;0),1,0)</f>
        <v/>
      </c>
      <c r="B497" s="32">
        <f>IF($A497=1,$E497&amp;"/12","")</f>
        <v/>
      </c>
      <c r="C497" s="32">
        <f>IF($A497=1,"J-"&amp;Sales_Daily!$A42,"")</f>
        <v/>
      </c>
      <c r="D497" s="33">
        <f>IF($A497=1,Sales_Daily!$B42,"")</f>
        <v/>
      </c>
      <c r="E497" s="32">
        <f>IF($A497=1,IF(Sales_Daily!$A42="","",Sales_Daily!$A42),"")</f>
        <v/>
      </c>
      <c r="F497" s="32">
        <f>IF($A497=1,"SAL","")</f>
        <v/>
      </c>
      <c r="G497" s="32">
        <f>IF($A497=1,IF(Sales_Daily!$AT42="","",Sales_Daily!$AT42),"")</f>
        <v/>
      </c>
      <c r="H497" s="32">
        <f>IF($A497=1,IF(COUNTIF(COA!$A:$A,$G497)=0,"حساب غير معرف",INDEX(COA!$B:$B,MATCH($G497,COA!$A:$A,0))),"")</f>
        <v/>
      </c>
      <c r="I497" s="32">
        <f>IF($A497=1,IF(Sales_Daily!$C42="","",Sales_Daily!$C42),"")</f>
        <v/>
      </c>
      <c r="J497" s="32">
        <f>IF($A497=1,"CC10","")</f>
        <v/>
      </c>
      <c r="K497" s="32">
        <f>IF($A497=1,"-","")</f>
        <v/>
      </c>
      <c r="L497" s="32">
        <f>IF($A497=1,"إيراد مبيعات - فئة أخرى","")</f>
        <v/>
      </c>
      <c r="M497" s="43">
        <f>IF($A497=1,0,"")</f>
        <v/>
      </c>
      <c r="N497" s="43">
        <f>IF($A497=1,Sales_Daily!$AG42,"")</f>
        <v/>
      </c>
      <c r="O497" s="32">
        <f>IF($A497=1,Sales_Daily!$S42,"")</f>
        <v/>
      </c>
      <c r="P497" s="32">
        <f>IF($A497=1,IF(Sales_Daily!$AW42="","",Sales_Daily!$AW42),"")</f>
        <v/>
      </c>
      <c r="Q497" s="32">
        <f>IF($A497=1,Sales_Daily!$AY42,"")</f>
        <v/>
      </c>
      <c r="R497" s="32">
        <f>IF($A497=1,IF(AND($Q497=1,COUNTIFS(COA!$A:$A,$G497,COA!$R:$R,1)=1),1,0),"")</f>
        <v/>
      </c>
      <c r="S497" s="43">
        <f>IF($A497=1,IF($R497=1,N($M497),0),"")</f>
        <v/>
      </c>
      <c r="T497" s="43">
        <f>IF($A497=1,IF($R497=1,N($N497),0),"")</f>
        <v/>
      </c>
      <c r="U497" s="32">
        <f>IF($A497=1,YEAR($D497)*100+MONTH($D497),"")</f>
        <v/>
      </c>
      <c r="V497" s="32">
        <f>IF($A497=1,IF(COUNTIF(COA!$A:$A,$G497)=0,0,INDEX(COA!$H:$H,MATCH($G497,COA!$A:$A,0))),"")</f>
        <v/>
      </c>
      <c r="W497" s="32">
        <f>IF($A497=1,"","")</f>
        <v/>
      </c>
      <c r="X497" s="32">
        <f>IF($A497=1,IF($R497=1,"",IF($O497=ST_POST,IF($P497&lt;&gt;"",$P497,"حساب غير صالح أو غير نشط"),IF($O497=ST_REV,"معكوس: لا أثر على الدفاتر",IF($O497=ST_CANC,"ملغى",IF($O497=ST_APPR,"معتمد ولم يُرحَّل","مسودة"))))),"")</f>
        <v/>
      </c>
      <c r="Y497" s="32">
        <f>IF($A497=1,IF(AND($R497=1,OR(LG_Acct="",$G497=LG_Acct),OR(LG_Party="",$K497=LG_Party),OR(LG_Loc="ALL",$I497=LG_Loc),OR(LG_CC="ALL",$J497=LG_CC),$D497&gt;=LG_From,$D497&lt;=LG_To),$D497+ROW()/1000000,""),"")</f>
        <v/>
      </c>
      <c r="Z497" s="32">
        <f>IF($A497=1,IF(Sales_Daily!$T42="","",Sales_Daily!$T42),"")</f>
        <v/>
      </c>
      <c r="AA497" s="32">
        <f>IF($A497=1,IF(Sales_Daily!$U42="","",Sales_Daily!$U42),"")</f>
        <v/>
      </c>
      <c r="AB497" s="32">
        <f>IF($A497=1,IF(Sales_Daily!$V42="","",Sales_Daily!$V42),"")</f>
        <v/>
      </c>
      <c r="AC497" s="32">
        <f>IF($A497=1,IF(Sales_Daily!$W42="","",Sales_Daily!$W42),"")</f>
        <v/>
      </c>
      <c r="AD497" s="32">
        <f>IF($A497=1,IF(Sales_Daily!$X42="","",Sales_Daily!$X42),"")</f>
        <v/>
      </c>
      <c r="AE497" s="32">
        <f>IF($A497=1,0,"")</f>
        <v/>
      </c>
      <c r="AF497" s="32" t="inlineStr"/>
    </row>
    <row r="498">
      <c r="A498" s="32">
        <f>IF(AND(Sales_Daily!$AV42=1,N(Sales_Daily!$AJ42)&gt;0),1,0)</f>
        <v/>
      </c>
      <c r="B498" s="32">
        <f>IF($A498=1,$E498&amp;"/13","")</f>
        <v/>
      </c>
      <c r="C498" s="32">
        <f>IF($A498=1,"J-"&amp;Sales_Daily!$A42,"")</f>
        <v/>
      </c>
      <c r="D498" s="33">
        <f>IF($A498=1,Sales_Daily!$B42,"")</f>
        <v/>
      </c>
      <c r="E498" s="32">
        <f>IF($A498=1,IF(Sales_Daily!$A42="","",Sales_Daily!$A42),"")</f>
        <v/>
      </c>
      <c r="F498" s="32">
        <f>IF($A498=1,"SAL","")</f>
        <v/>
      </c>
      <c r="G498" s="32">
        <f>IF($A498=1,ACC_VAT_OUT,"")</f>
        <v/>
      </c>
      <c r="H498" s="32">
        <f>IF($A498=1,IF(COUNTIF(COA!$A:$A,$G498)=0,"حساب غير معرف",INDEX(COA!$B:$B,MATCH($G498,COA!$A:$A,0))),"")</f>
        <v/>
      </c>
      <c r="I498" s="32">
        <f>IF($A498=1,IF(Sales_Daily!$C42="","",Sales_Daily!$C42),"")</f>
        <v/>
      </c>
      <c r="J498" s="32">
        <f>IF($A498=1,"CC10","")</f>
        <v/>
      </c>
      <c r="K498" s="32">
        <f>IF($A498=1,"-","")</f>
        <v/>
      </c>
      <c r="L498" s="32">
        <f>IF($A498=1,"ضريبة القيمة المضافة - مخرجات","")</f>
        <v/>
      </c>
      <c r="M498" s="43">
        <f>IF($A498=1,0,"")</f>
        <v/>
      </c>
      <c r="N498" s="43">
        <f>IF($A498=1,Sales_Daily!$AJ42,"")</f>
        <v/>
      </c>
      <c r="O498" s="32">
        <f>IF($A498=1,Sales_Daily!$S42,"")</f>
        <v/>
      </c>
      <c r="P498" s="32">
        <f>IF($A498=1,IF(Sales_Daily!$AW42="","",Sales_Daily!$AW42),"")</f>
        <v/>
      </c>
      <c r="Q498" s="32">
        <f>IF($A498=1,Sales_Daily!$AY42,"")</f>
        <v/>
      </c>
      <c r="R498" s="32">
        <f>IF($A498=1,IF(AND($Q498=1,COUNTIFS(COA!$A:$A,$G498,COA!$R:$R,1)=1),1,0),"")</f>
        <v/>
      </c>
      <c r="S498" s="43">
        <f>IF($A498=1,IF($R498=1,N($M498),0),"")</f>
        <v/>
      </c>
      <c r="T498" s="43">
        <f>IF($A498=1,IF($R498=1,N($N498),0),"")</f>
        <v/>
      </c>
      <c r="U498" s="32">
        <f>IF($A498=1,YEAR($D498)*100+MONTH($D498),"")</f>
        <v/>
      </c>
      <c r="V498" s="32">
        <f>IF($A498=1,IF(COUNTIF(COA!$A:$A,$G498)=0,0,INDEX(COA!$H:$H,MATCH($G498,COA!$A:$A,0))),"")</f>
        <v/>
      </c>
      <c r="W498" s="32">
        <f>IF($A498=1,"","")</f>
        <v/>
      </c>
      <c r="X498" s="32">
        <f>IF($A498=1,IF($R498=1,"",IF($O498=ST_POST,IF($P498&lt;&gt;"",$P498,"حساب غير صالح أو غير نشط"),IF($O498=ST_REV,"معكوس: لا أثر على الدفاتر",IF($O498=ST_CANC,"ملغى",IF($O498=ST_APPR,"معتمد ولم يُرحَّل","مسودة"))))),"")</f>
        <v/>
      </c>
      <c r="Y498" s="32">
        <f>IF($A498=1,IF(AND($R498=1,OR(LG_Acct="",$G498=LG_Acct),OR(LG_Party="",$K498=LG_Party),OR(LG_Loc="ALL",$I498=LG_Loc),OR(LG_CC="ALL",$J498=LG_CC),$D498&gt;=LG_From,$D498&lt;=LG_To),$D498+ROW()/1000000,""),"")</f>
        <v/>
      </c>
      <c r="Z498" s="32">
        <f>IF($A498=1,IF(Sales_Daily!$T42="","",Sales_Daily!$T42),"")</f>
        <v/>
      </c>
      <c r="AA498" s="32">
        <f>IF($A498=1,IF(Sales_Daily!$U42="","",Sales_Daily!$U42),"")</f>
        <v/>
      </c>
      <c r="AB498" s="32">
        <f>IF($A498=1,IF(Sales_Daily!$V42="","",Sales_Daily!$V42),"")</f>
        <v/>
      </c>
      <c r="AC498" s="32">
        <f>IF($A498=1,IF(Sales_Daily!$W42="","",Sales_Daily!$W42),"")</f>
        <v/>
      </c>
      <c r="AD498" s="32">
        <f>IF($A498=1,IF(Sales_Daily!$X42="","",Sales_Daily!$X42),"")</f>
        <v/>
      </c>
      <c r="AE498" s="32">
        <f>IF($A498=1,0,"")</f>
        <v/>
      </c>
      <c r="AF498" s="32" t="inlineStr"/>
    </row>
    <row r="499">
      <c r="A499" s="32">
        <f>IF(AND(Sales_Daily!$AV43=1,N(Sales_Daily!$L43)&gt;0),1,0)</f>
        <v/>
      </c>
      <c r="B499" s="32">
        <f>IF($A499=1,$E499&amp;"/1","")</f>
        <v/>
      </c>
      <c r="C499" s="32">
        <f>IF($A499=1,"J-"&amp;Sales_Daily!$A43,"")</f>
        <v/>
      </c>
      <c r="D499" s="33">
        <f>IF($A499=1,Sales_Daily!$B43,"")</f>
        <v/>
      </c>
      <c r="E499" s="32">
        <f>IF($A499=1,IF(Sales_Daily!$A43="","",Sales_Daily!$A43),"")</f>
        <v/>
      </c>
      <c r="F499" s="32">
        <f>IF($A499=1,"SAL","")</f>
        <v/>
      </c>
      <c r="G499" s="32">
        <f>IF($A499=1,IF(Sales_Daily!$AK43="","",Sales_Daily!$AK43),"")</f>
        <v/>
      </c>
      <c r="H499" s="32">
        <f>IF($A499=1,IF(COUNTIF(COA!$A:$A,$G499)=0,"حساب غير معرف",INDEX(COA!$B:$B,MATCH($G499,COA!$A:$A,0))),"")</f>
        <v/>
      </c>
      <c r="I499" s="32">
        <f>IF($A499=1,IF(Sales_Daily!$C43="","",Sales_Daily!$C43),"")</f>
        <v/>
      </c>
      <c r="J499" s="32">
        <f>IF($A499=1,"CC10","")</f>
        <v/>
      </c>
      <c r="K499" s="32">
        <f>IF($A499=1,"-","")</f>
        <v/>
      </c>
      <c r="L499" s="32">
        <f>IF($A499=1,"مبيعات - تحصيل CASH","")</f>
        <v/>
      </c>
      <c r="M499" s="43">
        <f>IF($A499=1,Sales_Daily!$L43,"")</f>
        <v/>
      </c>
      <c r="N499" s="43">
        <f>IF($A499=1,0,"")</f>
        <v/>
      </c>
      <c r="O499" s="32">
        <f>IF($A499=1,Sales_Daily!$S43,"")</f>
        <v/>
      </c>
      <c r="P499" s="32">
        <f>IF($A499=1,IF(Sales_Daily!$AW43="","",Sales_Daily!$AW43),"")</f>
        <v/>
      </c>
      <c r="Q499" s="32">
        <f>IF($A499=1,Sales_Daily!$AY43,"")</f>
        <v/>
      </c>
      <c r="R499" s="32">
        <f>IF($A499=1,IF(AND($Q499=1,COUNTIFS(COA!$A:$A,$G499,COA!$R:$R,1)=1),1,0),"")</f>
        <v/>
      </c>
      <c r="S499" s="43">
        <f>IF($A499=1,IF($R499=1,N($M499),0),"")</f>
        <v/>
      </c>
      <c r="T499" s="43">
        <f>IF($A499=1,IF($R499=1,N($N499),0),"")</f>
        <v/>
      </c>
      <c r="U499" s="32">
        <f>IF($A499=1,YEAR($D499)*100+MONTH($D499),"")</f>
        <v/>
      </c>
      <c r="V499" s="32">
        <f>IF($A499=1,IF(COUNTIF(COA!$A:$A,$G499)=0,0,INDEX(COA!$H:$H,MATCH($G499,COA!$A:$A,0))),"")</f>
        <v/>
      </c>
      <c r="W499" s="32">
        <f>IF($A499=1,"OPERATING","")</f>
        <v/>
      </c>
      <c r="X499" s="32">
        <f>IF($A499=1,IF($R499=1,"",IF($O499=ST_POST,IF($P499&lt;&gt;"",$P499,"حساب غير صالح أو غير نشط"),IF($O499=ST_REV,"معكوس: لا أثر على الدفاتر",IF($O499=ST_CANC,"ملغى",IF($O499=ST_APPR,"معتمد ولم يُرحَّل","مسودة"))))),"")</f>
        <v/>
      </c>
      <c r="Y499" s="32">
        <f>IF($A499=1,IF(AND($R499=1,OR(LG_Acct="",$G499=LG_Acct),OR(LG_Party="",$K499=LG_Party),OR(LG_Loc="ALL",$I499=LG_Loc),OR(LG_CC="ALL",$J499=LG_CC),$D499&gt;=LG_From,$D499&lt;=LG_To),$D499+ROW()/1000000,""),"")</f>
        <v/>
      </c>
      <c r="Z499" s="32">
        <f>IF($A499=1,IF(Sales_Daily!$T43="","",Sales_Daily!$T43),"")</f>
        <v/>
      </c>
      <c r="AA499" s="32">
        <f>IF($A499=1,IF(Sales_Daily!$U43="","",Sales_Daily!$U43),"")</f>
        <v/>
      </c>
      <c r="AB499" s="32">
        <f>IF($A499=1,IF(Sales_Daily!$V43="","",Sales_Daily!$V43),"")</f>
        <v/>
      </c>
      <c r="AC499" s="32">
        <f>IF($A499=1,IF(Sales_Daily!$W43="","",Sales_Daily!$W43),"")</f>
        <v/>
      </c>
      <c r="AD499" s="32">
        <f>IF($A499=1,IF(Sales_Daily!$X43="","",Sales_Daily!$X43),"")</f>
        <v/>
      </c>
      <c r="AE499" s="32">
        <f>IF($A499=1,0,"")</f>
        <v/>
      </c>
      <c r="AF499" s="32" t="inlineStr"/>
    </row>
    <row r="500">
      <c r="A500" s="32">
        <f>IF(AND(Sales_Daily!$AV43=1,N(Sales_Daily!$M43)&gt;0),1,0)</f>
        <v/>
      </c>
      <c r="B500" s="32">
        <f>IF($A500=1,$E500&amp;"/2","")</f>
        <v/>
      </c>
      <c r="C500" s="32">
        <f>IF($A500=1,"J-"&amp;Sales_Daily!$A43,"")</f>
        <v/>
      </c>
      <c r="D500" s="33">
        <f>IF($A500=1,Sales_Daily!$B43,"")</f>
        <v/>
      </c>
      <c r="E500" s="32">
        <f>IF($A500=1,IF(Sales_Daily!$A43="","",Sales_Daily!$A43),"")</f>
        <v/>
      </c>
      <c r="F500" s="32">
        <f>IF($A500=1,"SAL","")</f>
        <v/>
      </c>
      <c r="G500" s="32">
        <f>IF($A500=1,IF(Sales_Daily!$AL43="","",Sales_Daily!$AL43),"")</f>
        <v/>
      </c>
      <c r="H500" s="32">
        <f>IF($A500=1,IF(COUNTIF(COA!$A:$A,$G500)=0,"حساب غير معرف",INDEX(COA!$B:$B,MATCH($G500,COA!$A:$A,0))),"")</f>
        <v/>
      </c>
      <c r="I500" s="32">
        <f>IF($A500=1,IF(Sales_Daily!$C43="","",Sales_Daily!$C43),"")</f>
        <v/>
      </c>
      <c r="J500" s="32">
        <f>IF($A500=1,"CC10","")</f>
        <v/>
      </c>
      <c r="K500" s="32">
        <f>IF($A500=1,"-","")</f>
        <v/>
      </c>
      <c r="L500" s="32">
        <f>IF($A500=1,"مبيعات - تحصيل CARD","")</f>
        <v/>
      </c>
      <c r="M500" s="43">
        <f>IF($A500=1,Sales_Daily!$M43,"")</f>
        <v/>
      </c>
      <c r="N500" s="43">
        <f>IF($A500=1,0,"")</f>
        <v/>
      </c>
      <c r="O500" s="32">
        <f>IF($A500=1,Sales_Daily!$S43,"")</f>
        <v/>
      </c>
      <c r="P500" s="32">
        <f>IF($A500=1,IF(Sales_Daily!$AW43="","",Sales_Daily!$AW43),"")</f>
        <v/>
      </c>
      <c r="Q500" s="32">
        <f>IF($A500=1,Sales_Daily!$AY43,"")</f>
        <v/>
      </c>
      <c r="R500" s="32">
        <f>IF($A500=1,IF(AND($Q500=1,COUNTIFS(COA!$A:$A,$G500,COA!$R:$R,1)=1),1,0),"")</f>
        <v/>
      </c>
      <c r="S500" s="43">
        <f>IF($A500=1,IF($R500=1,N($M500),0),"")</f>
        <v/>
      </c>
      <c r="T500" s="43">
        <f>IF($A500=1,IF($R500=1,N($N500),0),"")</f>
        <v/>
      </c>
      <c r="U500" s="32">
        <f>IF($A500=1,YEAR($D500)*100+MONTH($D500),"")</f>
        <v/>
      </c>
      <c r="V500" s="32">
        <f>IF($A500=1,IF(COUNTIF(COA!$A:$A,$G500)=0,0,INDEX(COA!$H:$H,MATCH($G500,COA!$A:$A,0))),"")</f>
        <v/>
      </c>
      <c r="W500" s="32">
        <f>IF($A500=1,"OPERATING","")</f>
        <v/>
      </c>
      <c r="X500" s="32">
        <f>IF($A500=1,IF($R500=1,"",IF($O500=ST_POST,IF($P500&lt;&gt;"",$P500,"حساب غير صالح أو غير نشط"),IF($O500=ST_REV,"معكوس: لا أثر على الدفاتر",IF($O500=ST_CANC,"ملغى",IF($O500=ST_APPR,"معتمد ولم يُرحَّل","مسودة"))))),"")</f>
        <v/>
      </c>
      <c r="Y500" s="32">
        <f>IF($A500=1,IF(AND($R500=1,OR(LG_Acct="",$G500=LG_Acct),OR(LG_Party="",$K500=LG_Party),OR(LG_Loc="ALL",$I500=LG_Loc),OR(LG_CC="ALL",$J500=LG_CC),$D500&gt;=LG_From,$D500&lt;=LG_To),$D500+ROW()/1000000,""),"")</f>
        <v/>
      </c>
      <c r="Z500" s="32">
        <f>IF($A500=1,IF(Sales_Daily!$T43="","",Sales_Daily!$T43),"")</f>
        <v/>
      </c>
      <c r="AA500" s="32">
        <f>IF($A500=1,IF(Sales_Daily!$U43="","",Sales_Daily!$U43),"")</f>
        <v/>
      </c>
      <c r="AB500" s="32">
        <f>IF($A500=1,IF(Sales_Daily!$V43="","",Sales_Daily!$V43),"")</f>
        <v/>
      </c>
      <c r="AC500" s="32">
        <f>IF($A500=1,IF(Sales_Daily!$W43="","",Sales_Daily!$W43),"")</f>
        <v/>
      </c>
      <c r="AD500" s="32">
        <f>IF($A500=1,IF(Sales_Daily!$X43="","",Sales_Daily!$X43),"")</f>
        <v/>
      </c>
      <c r="AE500" s="32">
        <f>IF($A500=1,0,"")</f>
        <v/>
      </c>
      <c r="AF500" s="32" t="inlineStr"/>
    </row>
    <row r="501">
      <c r="A501" s="32">
        <f>IF(AND(Sales_Daily!$AV43=1,N(Sales_Daily!$N43)&gt;0),1,0)</f>
        <v/>
      </c>
      <c r="B501" s="32">
        <f>IF($A501=1,$E501&amp;"/3","")</f>
        <v/>
      </c>
      <c r="C501" s="32">
        <f>IF($A501=1,"J-"&amp;Sales_Daily!$A43,"")</f>
        <v/>
      </c>
      <c r="D501" s="33">
        <f>IF($A501=1,Sales_Daily!$B43,"")</f>
        <v/>
      </c>
      <c r="E501" s="32">
        <f>IF($A501=1,IF(Sales_Daily!$A43="","",Sales_Daily!$A43),"")</f>
        <v/>
      </c>
      <c r="F501" s="32">
        <f>IF($A501=1,"SAL","")</f>
        <v/>
      </c>
      <c r="G501" s="32">
        <f>IF($A501=1,IF(Sales_Daily!$AM43="","",Sales_Daily!$AM43),"")</f>
        <v/>
      </c>
      <c r="H501" s="32">
        <f>IF($A501=1,IF(COUNTIF(COA!$A:$A,$G501)=0,"حساب غير معرف",INDEX(COA!$B:$B,MATCH($G501,COA!$A:$A,0))),"")</f>
        <v/>
      </c>
      <c r="I501" s="32">
        <f>IF($A501=1,IF(Sales_Daily!$C43="","",Sales_Daily!$C43),"")</f>
        <v/>
      </c>
      <c r="J501" s="32">
        <f>IF($A501=1,"CC10","")</f>
        <v/>
      </c>
      <c r="K501" s="32">
        <f>IF($A501=1,"-","")</f>
        <v/>
      </c>
      <c r="L501" s="32">
        <f>IF($A501=1,"مبيعات - تحصيل TLB","")</f>
        <v/>
      </c>
      <c r="M501" s="43">
        <f>IF($A501=1,Sales_Daily!$N43,"")</f>
        <v/>
      </c>
      <c r="N501" s="43">
        <f>IF($A501=1,0,"")</f>
        <v/>
      </c>
      <c r="O501" s="32">
        <f>IF($A501=1,Sales_Daily!$S43,"")</f>
        <v/>
      </c>
      <c r="P501" s="32">
        <f>IF($A501=1,IF(Sales_Daily!$AW43="","",Sales_Daily!$AW43),"")</f>
        <v/>
      </c>
      <c r="Q501" s="32">
        <f>IF($A501=1,Sales_Daily!$AY43,"")</f>
        <v/>
      </c>
      <c r="R501" s="32">
        <f>IF($A501=1,IF(AND($Q501=1,COUNTIFS(COA!$A:$A,$G501,COA!$R:$R,1)=1),1,0),"")</f>
        <v/>
      </c>
      <c r="S501" s="43">
        <f>IF($A501=1,IF($R501=1,N($M501),0),"")</f>
        <v/>
      </c>
      <c r="T501" s="43">
        <f>IF($A501=1,IF($R501=1,N($N501),0),"")</f>
        <v/>
      </c>
      <c r="U501" s="32">
        <f>IF($A501=1,YEAR($D501)*100+MONTH($D501),"")</f>
        <v/>
      </c>
      <c r="V501" s="32">
        <f>IF($A501=1,IF(COUNTIF(COA!$A:$A,$G501)=0,0,INDEX(COA!$H:$H,MATCH($G501,COA!$A:$A,0))),"")</f>
        <v/>
      </c>
      <c r="W501" s="32">
        <f>IF($A501=1,"OPERATING","")</f>
        <v/>
      </c>
      <c r="X501" s="32">
        <f>IF($A501=1,IF($R501=1,"",IF($O501=ST_POST,IF($P501&lt;&gt;"",$P501,"حساب غير صالح أو غير نشط"),IF($O501=ST_REV,"معكوس: لا أثر على الدفاتر",IF($O501=ST_CANC,"ملغى",IF($O501=ST_APPR,"معتمد ولم يُرحَّل","مسودة"))))),"")</f>
        <v/>
      </c>
      <c r="Y501" s="32">
        <f>IF($A501=1,IF(AND($R501=1,OR(LG_Acct="",$G501=LG_Acct),OR(LG_Party="",$K501=LG_Party),OR(LG_Loc="ALL",$I501=LG_Loc),OR(LG_CC="ALL",$J501=LG_CC),$D501&gt;=LG_From,$D501&lt;=LG_To),$D501+ROW()/1000000,""),"")</f>
        <v/>
      </c>
      <c r="Z501" s="32">
        <f>IF($A501=1,IF(Sales_Daily!$T43="","",Sales_Daily!$T43),"")</f>
        <v/>
      </c>
      <c r="AA501" s="32">
        <f>IF($A501=1,IF(Sales_Daily!$U43="","",Sales_Daily!$U43),"")</f>
        <v/>
      </c>
      <c r="AB501" s="32">
        <f>IF($A501=1,IF(Sales_Daily!$V43="","",Sales_Daily!$V43),"")</f>
        <v/>
      </c>
      <c r="AC501" s="32">
        <f>IF($A501=1,IF(Sales_Daily!$W43="","",Sales_Daily!$W43),"")</f>
        <v/>
      </c>
      <c r="AD501" s="32">
        <f>IF($A501=1,IF(Sales_Daily!$X43="","",Sales_Daily!$X43),"")</f>
        <v/>
      </c>
      <c r="AE501" s="32">
        <f>IF($A501=1,0,"")</f>
        <v/>
      </c>
      <c r="AF501" s="32" t="inlineStr"/>
    </row>
    <row r="502">
      <c r="A502" s="32">
        <f>IF(AND(Sales_Daily!$AV43=1,N(Sales_Daily!$O43)&gt;0),1,0)</f>
        <v/>
      </c>
      <c r="B502" s="32">
        <f>IF($A502=1,$E502&amp;"/4","")</f>
        <v/>
      </c>
      <c r="C502" s="32">
        <f>IF($A502=1,"J-"&amp;Sales_Daily!$A43,"")</f>
        <v/>
      </c>
      <c r="D502" s="33">
        <f>IF($A502=1,Sales_Daily!$B43,"")</f>
        <v/>
      </c>
      <c r="E502" s="32">
        <f>IF($A502=1,IF(Sales_Daily!$A43="","",Sales_Daily!$A43),"")</f>
        <v/>
      </c>
      <c r="F502" s="32">
        <f>IF($A502=1,"SAL","")</f>
        <v/>
      </c>
      <c r="G502" s="32">
        <f>IF($A502=1,IF(Sales_Daily!$AN43="","",Sales_Daily!$AN43),"")</f>
        <v/>
      </c>
      <c r="H502" s="32">
        <f>IF($A502=1,IF(COUNTIF(COA!$A:$A,$G502)=0,"حساب غير معرف",INDEX(COA!$B:$B,MATCH($G502,COA!$A:$A,0))),"")</f>
        <v/>
      </c>
      <c r="I502" s="32">
        <f>IF($A502=1,IF(Sales_Daily!$C43="","",Sales_Daily!$C43),"")</f>
        <v/>
      </c>
      <c r="J502" s="32">
        <f>IF($A502=1,"CC10","")</f>
        <v/>
      </c>
      <c r="K502" s="32">
        <f>IF($A502=1,"-","")</f>
        <v/>
      </c>
      <c r="L502" s="32">
        <f>IF($A502=1,"مبيعات - تحصيل DLV2","")</f>
        <v/>
      </c>
      <c r="M502" s="43">
        <f>IF($A502=1,Sales_Daily!$O43,"")</f>
        <v/>
      </c>
      <c r="N502" s="43">
        <f>IF($A502=1,0,"")</f>
        <v/>
      </c>
      <c r="O502" s="32">
        <f>IF($A502=1,Sales_Daily!$S43,"")</f>
        <v/>
      </c>
      <c r="P502" s="32">
        <f>IF($A502=1,IF(Sales_Daily!$AW43="","",Sales_Daily!$AW43),"")</f>
        <v/>
      </c>
      <c r="Q502" s="32">
        <f>IF($A502=1,Sales_Daily!$AY43,"")</f>
        <v/>
      </c>
      <c r="R502" s="32">
        <f>IF($A502=1,IF(AND($Q502=1,COUNTIFS(COA!$A:$A,$G502,COA!$R:$R,1)=1),1,0),"")</f>
        <v/>
      </c>
      <c r="S502" s="43">
        <f>IF($A502=1,IF($R502=1,N($M502),0),"")</f>
        <v/>
      </c>
      <c r="T502" s="43">
        <f>IF($A502=1,IF($R502=1,N($N502),0),"")</f>
        <v/>
      </c>
      <c r="U502" s="32">
        <f>IF($A502=1,YEAR($D502)*100+MONTH($D502),"")</f>
        <v/>
      </c>
      <c r="V502" s="32">
        <f>IF($A502=1,IF(COUNTIF(COA!$A:$A,$G502)=0,0,INDEX(COA!$H:$H,MATCH($G502,COA!$A:$A,0))),"")</f>
        <v/>
      </c>
      <c r="W502" s="32">
        <f>IF($A502=1,"OPERATING","")</f>
        <v/>
      </c>
      <c r="X502" s="32">
        <f>IF($A502=1,IF($R502=1,"",IF($O502=ST_POST,IF($P502&lt;&gt;"",$P502,"حساب غير صالح أو غير نشط"),IF($O502=ST_REV,"معكوس: لا أثر على الدفاتر",IF($O502=ST_CANC,"ملغى",IF($O502=ST_APPR,"معتمد ولم يُرحَّل","مسودة"))))),"")</f>
        <v/>
      </c>
      <c r="Y502" s="32">
        <f>IF($A502=1,IF(AND($R502=1,OR(LG_Acct="",$G502=LG_Acct),OR(LG_Party="",$K502=LG_Party),OR(LG_Loc="ALL",$I502=LG_Loc),OR(LG_CC="ALL",$J502=LG_CC),$D502&gt;=LG_From,$D502&lt;=LG_To),$D502+ROW()/1000000,""),"")</f>
        <v/>
      </c>
      <c r="Z502" s="32">
        <f>IF($A502=1,IF(Sales_Daily!$T43="","",Sales_Daily!$T43),"")</f>
        <v/>
      </c>
      <c r="AA502" s="32">
        <f>IF($A502=1,IF(Sales_Daily!$U43="","",Sales_Daily!$U43),"")</f>
        <v/>
      </c>
      <c r="AB502" s="32">
        <f>IF($A502=1,IF(Sales_Daily!$V43="","",Sales_Daily!$V43),"")</f>
        <v/>
      </c>
      <c r="AC502" s="32">
        <f>IF($A502=1,IF(Sales_Daily!$W43="","",Sales_Daily!$W43),"")</f>
        <v/>
      </c>
      <c r="AD502" s="32">
        <f>IF($A502=1,IF(Sales_Daily!$X43="","",Sales_Daily!$X43),"")</f>
        <v/>
      </c>
      <c r="AE502" s="32">
        <f>IF($A502=1,0,"")</f>
        <v/>
      </c>
      <c r="AF502" s="32" t="inlineStr"/>
    </row>
    <row r="503">
      <c r="A503" s="32">
        <f>IF(AND(Sales_Daily!$AV43=1,N(Sales_Daily!$P43)&gt;0),1,0)</f>
        <v/>
      </c>
      <c r="B503" s="32">
        <f>IF($A503=1,$E503&amp;"/5","")</f>
        <v/>
      </c>
      <c r="C503" s="32">
        <f>IF($A503=1,"J-"&amp;Sales_Daily!$A43,"")</f>
        <v/>
      </c>
      <c r="D503" s="33">
        <f>IF($A503=1,Sales_Daily!$B43,"")</f>
        <v/>
      </c>
      <c r="E503" s="32">
        <f>IF($A503=1,IF(Sales_Daily!$A43="","",Sales_Daily!$A43),"")</f>
        <v/>
      </c>
      <c r="F503" s="32">
        <f>IF($A503=1,"SAL","")</f>
        <v/>
      </c>
      <c r="G503" s="32">
        <f>IF($A503=1,IF(Sales_Daily!$AO43="","",Sales_Daily!$AO43),"")</f>
        <v/>
      </c>
      <c r="H503" s="32">
        <f>IF($A503=1,IF(COUNTIF(COA!$A:$A,$G503)=0,"حساب غير معرف",INDEX(COA!$B:$B,MATCH($G503,COA!$A:$A,0))),"")</f>
        <v/>
      </c>
      <c r="I503" s="32">
        <f>IF($A503=1,IF(Sales_Daily!$C43="","",Sales_Daily!$C43),"")</f>
        <v/>
      </c>
      <c r="J503" s="32">
        <f>IF($A503=1,"CC10","")</f>
        <v/>
      </c>
      <c r="K503" s="32">
        <f>IF($A503=1,"-","")</f>
        <v/>
      </c>
      <c r="L503" s="32">
        <f>IF($A503=1,"مبيعات - تحصيل INSTA","")</f>
        <v/>
      </c>
      <c r="M503" s="43">
        <f>IF($A503=1,Sales_Daily!$P43,"")</f>
        <v/>
      </c>
      <c r="N503" s="43">
        <f>IF($A503=1,0,"")</f>
        <v/>
      </c>
      <c r="O503" s="32">
        <f>IF($A503=1,Sales_Daily!$S43,"")</f>
        <v/>
      </c>
      <c r="P503" s="32">
        <f>IF($A503=1,IF(Sales_Daily!$AW43="","",Sales_Daily!$AW43),"")</f>
        <v/>
      </c>
      <c r="Q503" s="32">
        <f>IF($A503=1,Sales_Daily!$AY43,"")</f>
        <v/>
      </c>
      <c r="R503" s="32">
        <f>IF($A503=1,IF(AND($Q503=1,COUNTIFS(COA!$A:$A,$G503,COA!$R:$R,1)=1),1,0),"")</f>
        <v/>
      </c>
      <c r="S503" s="43">
        <f>IF($A503=1,IF($R503=1,N($M503),0),"")</f>
        <v/>
      </c>
      <c r="T503" s="43">
        <f>IF($A503=1,IF($R503=1,N($N503),0),"")</f>
        <v/>
      </c>
      <c r="U503" s="32">
        <f>IF($A503=1,YEAR($D503)*100+MONTH($D503),"")</f>
        <v/>
      </c>
      <c r="V503" s="32">
        <f>IF($A503=1,IF(COUNTIF(COA!$A:$A,$G503)=0,0,INDEX(COA!$H:$H,MATCH($G503,COA!$A:$A,0))),"")</f>
        <v/>
      </c>
      <c r="W503" s="32">
        <f>IF($A503=1,"OPERATING","")</f>
        <v/>
      </c>
      <c r="X503" s="32">
        <f>IF($A503=1,IF($R503=1,"",IF($O503=ST_POST,IF($P503&lt;&gt;"",$P503,"حساب غير صالح أو غير نشط"),IF($O503=ST_REV,"معكوس: لا أثر على الدفاتر",IF($O503=ST_CANC,"ملغى",IF($O503=ST_APPR,"معتمد ولم يُرحَّل","مسودة"))))),"")</f>
        <v/>
      </c>
      <c r="Y503" s="32">
        <f>IF($A503=1,IF(AND($R503=1,OR(LG_Acct="",$G503=LG_Acct),OR(LG_Party="",$K503=LG_Party),OR(LG_Loc="ALL",$I503=LG_Loc),OR(LG_CC="ALL",$J503=LG_CC),$D503&gt;=LG_From,$D503&lt;=LG_To),$D503+ROW()/1000000,""),"")</f>
        <v/>
      </c>
      <c r="Z503" s="32">
        <f>IF($A503=1,IF(Sales_Daily!$T43="","",Sales_Daily!$T43),"")</f>
        <v/>
      </c>
      <c r="AA503" s="32">
        <f>IF($A503=1,IF(Sales_Daily!$U43="","",Sales_Daily!$U43),"")</f>
        <v/>
      </c>
      <c r="AB503" s="32">
        <f>IF($A503=1,IF(Sales_Daily!$V43="","",Sales_Daily!$V43),"")</f>
        <v/>
      </c>
      <c r="AC503" s="32">
        <f>IF($A503=1,IF(Sales_Daily!$W43="","",Sales_Daily!$W43),"")</f>
        <v/>
      </c>
      <c r="AD503" s="32">
        <f>IF($A503=1,IF(Sales_Daily!$X43="","",Sales_Daily!$X43),"")</f>
        <v/>
      </c>
      <c r="AE503" s="32">
        <f>IF($A503=1,0,"")</f>
        <v/>
      </c>
      <c r="AF503" s="32" t="inlineStr"/>
    </row>
    <row r="504">
      <c r="A504" s="32">
        <f>IF(AND(Sales_Daily!$AV43=1,N(Sales_Daily!$Q43)&gt;0),1,0)</f>
        <v/>
      </c>
      <c r="B504" s="32">
        <f>IF($A504=1,$E504&amp;"/6","")</f>
        <v/>
      </c>
      <c r="C504" s="32">
        <f>IF($A504=1,"J-"&amp;Sales_Daily!$A43,"")</f>
        <v/>
      </c>
      <c r="D504" s="33">
        <f>IF($A504=1,Sales_Daily!$B43,"")</f>
        <v/>
      </c>
      <c r="E504" s="32">
        <f>IF($A504=1,IF(Sales_Daily!$A43="","",Sales_Daily!$A43),"")</f>
        <v/>
      </c>
      <c r="F504" s="32">
        <f>IF($A504=1,"SAL","")</f>
        <v/>
      </c>
      <c r="G504" s="32">
        <f>IF($A504=1,IF(Sales_Daily!$AP43="","",Sales_Daily!$AP43),"")</f>
        <v/>
      </c>
      <c r="H504" s="32">
        <f>IF($A504=1,IF(COUNTIF(COA!$A:$A,$G504)=0,"حساب غير معرف",INDEX(COA!$B:$B,MATCH($G504,COA!$A:$A,0))),"")</f>
        <v/>
      </c>
      <c r="I504" s="32">
        <f>IF($A504=1,IF(Sales_Daily!$C43="","",Sales_Daily!$C43),"")</f>
        <v/>
      </c>
      <c r="J504" s="32">
        <f>IF($A504=1,"CC10","")</f>
        <v/>
      </c>
      <c r="K504" s="32">
        <f>IF($A504=1,"-","")</f>
        <v/>
      </c>
      <c r="L504" s="32">
        <f>IF($A504=1,"مبيعات - تحصيل OTH","")</f>
        <v/>
      </c>
      <c r="M504" s="43">
        <f>IF($A504=1,Sales_Daily!$Q43,"")</f>
        <v/>
      </c>
      <c r="N504" s="43">
        <f>IF($A504=1,0,"")</f>
        <v/>
      </c>
      <c r="O504" s="32">
        <f>IF($A504=1,Sales_Daily!$S43,"")</f>
        <v/>
      </c>
      <c r="P504" s="32">
        <f>IF($A504=1,IF(Sales_Daily!$AW43="","",Sales_Daily!$AW43),"")</f>
        <v/>
      </c>
      <c r="Q504" s="32">
        <f>IF($A504=1,Sales_Daily!$AY43,"")</f>
        <v/>
      </c>
      <c r="R504" s="32">
        <f>IF($A504=1,IF(AND($Q504=1,COUNTIFS(COA!$A:$A,$G504,COA!$R:$R,1)=1),1,0),"")</f>
        <v/>
      </c>
      <c r="S504" s="43">
        <f>IF($A504=1,IF($R504=1,N($M504),0),"")</f>
        <v/>
      </c>
      <c r="T504" s="43">
        <f>IF($A504=1,IF($R504=1,N($N504),0),"")</f>
        <v/>
      </c>
      <c r="U504" s="32">
        <f>IF($A504=1,YEAR($D504)*100+MONTH($D504),"")</f>
        <v/>
      </c>
      <c r="V504" s="32">
        <f>IF($A504=1,IF(COUNTIF(COA!$A:$A,$G504)=0,0,INDEX(COA!$H:$H,MATCH($G504,COA!$A:$A,0))),"")</f>
        <v/>
      </c>
      <c r="W504" s="32">
        <f>IF($A504=1,"OPERATING","")</f>
        <v/>
      </c>
      <c r="X504" s="32">
        <f>IF($A504=1,IF($R504=1,"",IF($O504=ST_POST,IF($P504&lt;&gt;"",$P504,"حساب غير صالح أو غير نشط"),IF($O504=ST_REV,"معكوس: لا أثر على الدفاتر",IF($O504=ST_CANC,"ملغى",IF($O504=ST_APPR,"معتمد ولم يُرحَّل","مسودة"))))),"")</f>
        <v/>
      </c>
      <c r="Y504" s="32">
        <f>IF($A504=1,IF(AND($R504=1,OR(LG_Acct="",$G504=LG_Acct),OR(LG_Party="",$K504=LG_Party),OR(LG_Loc="ALL",$I504=LG_Loc),OR(LG_CC="ALL",$J504=LG_CC),$D504&gt;=LG_From,$D504&lt;=LG_To),$D504+ROW()/1000000,""),"")</f>
        <v/>
      </c>
      <c r="Z504" s="32">
        <f>IF($A504=1,IF(Sales_Daily!$T43="","",Sales_Daily!$T43),"")</f>
        <v/>
      </c>
      <c r="AA504" s="32">
        <f>IF($A504=1,IF(Sales_Daily!$U43="","",Sales_Daily!$U43),"")</f>
        <v/>
      </c>
      <c r="AB504" s="32">
        <f>IF($A504=1,IF(Sales_Daily!$V43="","",Sales_Daily!$V43),"")</f>
        <v/>
      </c>
      <c r="AC504" s="32">
        <f>IF($A504=1,IF(Sales_Daily!$W43="","",Sales_Daily!$W43),"")</f>
        <v/>
      </c>
      <c r="AD504" s="32">
        <f>IF($A504=1,IF(Sales_Daily!$X43="","",Sales_Daily!$X43),"")</f>
        <v/>
      </c>
      <c r="AE504" s="32">
        <f>IF($A504=1,0,"")</f>
        <v/>
      </c>
      <c r="AF504" s="32" t="inlineStr"/>
    </row>
    <row r="505">
      <c r="A505" s="32">
        <f>IF(AND(Sales_Daily!$AV43=1,N(Sales_Daily!$AH43)&gt;0),1,0)</f>
        <v/>
      </c>
      <c r="B505" s="32">
        <f>IF($A505=1,$E505&amp;"/7","")</f>
        <v/>
      </c>
      <c r="C505" s="32">
        <f>IF($A505=1,"J-"&amp;Sales_Daily!$A43,"")</f>
        <v/>
      </c>
      <c r="D505" s="33">
        <f>IF($A505=1,Sales_Daily!$B43,"")</f>
        <v/>
      </c>
      <c r="E505" s="32">
        <f>IF($A505=1,IF(Sales_Daily!$A43="","",Sales_Daily!$A43),"")</f>
        <v/>
      </c>
      <c r="F505" s="32">
        <f>IF($A505=1,"SAL","")</f>
        <v/>
      </c>
      <c r="G505" s="32">
        <f>IF($A505=1,ACC_DISC,"")</f>
        <v/>
      </c>
      <c r="H505" s="32">
        <f>IF($A505=1,IF(COUNTIF(COA!$A:$A,$G505)=0,"حساب غير معرف",INDEX(COA!$B:$B,MATCH($G505,COA!$A:$A,0))),"")</f>
        <v/>
      </c>
      <c r="I505" s="32">
        <f>IF($A505=1,IF(Sales_Daily!$C43="","",Sales_Daily!$C43),"")</f>
        <v/>
      </c>
      <c r="J505" s="32">
        <f>IF($A505=1,"CC10","")</f>
        <v/>
      </c>
      <c r="K505" s="32">
        <f>IF($A505=1,"-","")</f>
        <v/>
      </c>
      <c r="L505" s="32">
        <f>IF($A505=1,"خصومات المبيعات والعروض","")</f>
        <v/>
      </c>
      <c r="M505" s="43">
        <f>IF($A505=1,Sales_Daily!$AH43,"")</f>
        <v/>
      </c>
      <c r="N505" s="43">
        <f>IF($A505=1,0,"")</f>
        <v/>
      </c>
      <c r="O505" s="32">
        <f>IF($A505=1,Sales_Daily!$S43,"")</f>
        <v/>
      </c>
      <c r="P505" s="32">
        <f>IF($A505=1,IF(Sales_Daily!$AW43="","",Sales_Daily!$AW43),"")</f>
        <v/>
      </c>
      <c r="Q505" s="32">
        <f>IF($A505=1,Sales_Daily!$AY43,"")</f>
        <v/>
      </c>
      <c r="R505" s="32">
        <f>IF($A505=1,IF(AND($Q505=1,COUNTIFS(COA!$A:$A,$G505,COA!$R:$R,1)=1),1,0),"")</f>
        <v/>
      </c>
      <c r="S505" s="43">
        <f>IF($A505=1,IF($R505=1,N($M505),0),"")</f>
        <v/>
      </c>
      <c r="T505" s="43">
        <f>IF($A505=1,IF($R505=1,N($N505),0),"")</f>
        <v/>
      </c>
      <c r="U505" s="32">
        <f>IF($A505=1,YEAR($D505)*100+MONTH($D505),"")</f>
        <v/>
      </c>
      <c r="V505" s="32">
        <f>IF($A505=1,IF(COUNTIF(COA!$A:$A,$G505)=0,0,INDEX(COA!$H:$H,MATCH($G505,COA!$A:$A,0))),"")</f>
        <v/>
      </c>
      <c r="W505" s="32">
        <f>IF($A505=1,"","")</f>
        <v/>
      </c>
      <c r="X505" s="32">
        <f>IF($A505=1,IF($R505=1,"",IF($O505=ST_POST,IF($P505&lt;&gt;"",$P505,"حساب غير صالح أو غير نشط"),IF($O505=ST_REV,"معكوس: لا أثر على الدفاتر",IF($O505=ST_CANC,"ملغى",IF($O505=ST_APPR,"معتمد ولم يُرحَّل","مسودة"))))),"")</f>
        <v/>
      </c>
      <c r="Y505" s="32">
        <f>IF($A505=1,IF(AND($R505=1,OR(LG_Acct="",$G505=LG_Acct),OR(LG_Party="",$K505=LG_Party),OR(LG_Loc="ALL",$I505=LG_Loc),OR(LG_CC="ALL",$J505=LG_CC),$D505&gt;=LG_From,$D505&lt;=LG_To),$D505+ROW()/1000000,""),"")</f>
        <v/>
      </c>
      <c r="Z505" s="32">
        <f>IF($A505=1,IF(Sales_Daily!$T43="","",Sales_Daily!$T43),"")</f>
        <v/>
      </c>
      <c r="AA505" s="32">
        <f>IF($A505=1,IF(Sales_Daily!$U43="","",Sales_Daily!$U43),"")</f>
        <v/>
      </c>
      <c r="AB505" s="32">
        <f>IF($A505=1,IF(Sales_Daily!$V43="","",Sales_Daily!$V43),"")</f>
        <v/>
      </c>
      <c r="AC505" s="32">
        <f>IF($A505=1,IF(Sales_Daily!$W43="","",Sales_Daily!$W43),"")</f>
        <v/>
      </c>
      <c r="AD505" s="32">
        <f>IF($A505=1,IF(Sales_Daily!$X43="","",Sales_Daily!$X43),"")</f>
        <v/>
      </c>
      <c r="AE505" s="32">
        <f>IF($A505=1,0,"")</f>
        <v/>
      </c>
      <c r="AF505" s="32" t="inlineStr"/>
    </row>
    <row r="506">
      <c r="A506" s="32">
        <f>IF(AND(Sales_Daily!$AV43=1,N(Sales_Daily!$AI43)&gt;0),1,0)</f>
        <v/>
      </c>
      <c r="B506" s="32">
        <f>IF($A506=1,$E506&amp;"/8","")</f>
        <v/>
      </c>
      <c r="C506" s="32">
        <f>IF($A506=1,"J-"&amp;Sales_Daily!$A43,"")</f>
        <v/>
      </c>
      <c r="D506" s="33">
        <f>IF($A506=1,Sales_Daily!$B43,"")</f>
        <v/>
      </c>
      <c r="E506" s="32">
        <f>IF($A506=1,IF(Sales_Daily!$A43="","",Sales_Daily!$A43),"")</f>
        <v/>
      </c>
      <c r="F506" s="32">
        <f>IF($A506=1,"SAL","")</f>
        <v/>
      </c>
      <c r="G506" s="32">
        <f>IF($A506=1,ACC_RET,"")</f>
        <v/>
      </c>
      <c r="H506" s="32">
        <f>IF($A506=1,IF(COUNTIF(COA!$A:$A,$G506)=0,"حساب غير معرف",INDEX(COA!$B:$B,MATCH($G506,COA!$A:$A,0))),"")</f>
        <v/>
      </c>
      <c r="I506" s="32">
        <f>IF($A506=1,IF(Sales_Daily!$C43="","",Sales_Daily!$C43),"")</f>
        <v/>
      </c>
      <c r="J506" s="32">
        <f>IF($A506=1,"CC10","")</f>
        <v/>
      </c>
      <c r="K506" s="32">
        <f>IF($A506=1,"-","")</f>
        <v/>
      </c>
      <c r="L506" s="32">
        <f>IF($A506=1,"مرتجعات وإلغاءات المبيعات","")</f>
        <v/>
      </c>
      <c r="M506" s="43">
        <f>IF($A506=1,Sales_Daily!$AI43,"")</f>
        <v/>
      </c>
      <c r="N506" s="43">
        <f>IF($A506=1,0,"")</f>
        <v/>
      </c>
      <c r="O506" s="32">
        <f>IF($A506=1,Sales_Daily!$S43,"")</f>
        <v/>
      </c>
      <c r="P506" s="32">
        <f>IF($A506=1,IF(Sales_Daily!$AW43="","",Sales_Daily!$AW43),"")</f>
        <v/>
      </c>
      <c r="Q506" s="32">
        <f>IF($A506=1,Sales_Daily!$AY43,"")</f>
        <v/>
      </c>
      <c r="R506" s="32">
        <f>IF($A506=1,IF(AND($Q506=1,COUNTIFS(COA!$A:$A,$G506,COA!$R:$R,1)=1),1,0),"")</f>
        <v/>
      </c>
      <c r="S506" s="43">
        <f>IF($A506=1,IF($R506=1,N($M506),0),"")</f>
        <v/>
      </c>
      <c r="T506" s="43">
        <f>IF($A506=1,IF($R506=1,N($N506),0),"")</f>
        <v/>
      </c>
      <c r="U506" s="32">
        <f>IF($A506=1,YEAR($D506)*100+MONTH($D506),"")</f>
        <v/>
      </c>
      <c r="V506" s="32">
        <f>IF($A506=1,IF(COUNTIF(COA!$A:$A,$G506)=0,0,INDEX(COA!$H:$H,MATCH($G506,COA!$A:$A,0))),"")</f>
        <v/>
      </c>
      <c r="W506" s="32">
        <f>IF($A506=1,"","")</f>
        <v/>
      </c>
      <c r="X506" s="32">
        <f>IF($A506=1,IF($R506=1,"",IF($O506=ST_POST,IF($P506&lt;&gt;"",$P506,"حساب غير صالح أو غير نشط"),IF($O506=ST_REV,"معكوس: لا أثر على الدفاتر",IF($O506=ST_CANC,"ملغى",IF($O506=ST_APPR,"معتمد ولم يُرحَّل","مسودة"))))),"")</f>
        <v/>
      </c>
      <c r="Y506" s="32">
        <f>IF($A506=1,IF(AND($R506=1,OR(LG_Acct="",$G506=LG_Acct),OR(LG_Party="",$K506=LG_Party),OR(LG_Loc="ALL",$I506=LG_Loc),OR(LG_CC="ALL",$J506=LG_CC),$D506&gt;=LG_From,$D506&lt;=LG_To),$D506+ROW()/1000000,""),"")</f>
        <v/>
      </c>
      <c r="Z506" s="32">
        <f>IF($A506=1,IF(Sales_Daily!$T43="","",Sales_Daily!$T43),"")</f>
        <v/>
      </c>
      <c r="AA506" s="32">
        <f>IF($A506=1,IF(Sales_Daily!$U43="","",Sales_Daily!$U43),"")</f>
        <v/>
      </c>
      <c r="AB506" s="32">
        <f>IF($A506=1,IF(Sales_Daily!$V43="","",Sales_Daily!$V43),"")</f>
        <v/>
      </c>
      <c r="AC506" s="32">
        <f>IF($A506=1,IF(Sales_Daily!$W43="","",Sales_Daily!$W43),"")</f>
        <v/>
      </c>
      <c r="AD506" s="32">
        <f>IF($A506=1,IF(Sales_Daily!$X43="","",Sales_Daily!$X43),"")</f>
        <v/>
      </c>
      <c r="AE506" s="32">
        <f>IF($A506=1,0,"")</f>
        <v/>
      </c>
      <c r="AF506" s="32" t="inlineStr"/>
    </row>
    <row r="507">
      <c r="A507" s="32">
        <f>IF(AND(Sales_Daily!$AV43=1,N(Sales_Daily!$AD43)&gt;0),1,0)</f>
        <v/>
      </c>
      <c r="B507" s="32">
        <f>IF($A507=1,$E507&amp;"/9","")</f>
        <v/>
      </c>
      <c r="C507" s="32">
        <f>IF($A507=1,"J-"&amp;Sales_Daily!$A43,"")</f>
        <v/>
      </c>
      <c r="D507" s="33">
        <f>IF($A507=1,Sales_Daily!$B43,"")</f>
        <v/>
      </c>
      <c r="E507" s="32">
        <f>IF($A507=1,IF(Sales_Daily!$A43="","",Sales_Daily!$A43),"")</f>
        <v/>
      </c>
      <c r="F507" s="32">
        <f>IF($A507=1,"SAL","")</f>
        <v/>
      </c>
      <c r="G507" s="32">
        <f>IF($A507=1,IF(Sales_Daily!$AQ43="","",Sales_Daily!$AQ43),"")</f>
        <v/>
      </c>
      <c r="H507" s="32">
        <f>IF($A507=1,IF(COUNTIF(COA!$A:$A,$G507)=0,"حساب غير معرف",INDEX(COA!$B:$B,MATCH($G507,COA!$A:$A,0))),"")</f>
        <v/>
      </c>
      <c r="I507" s="32">
        <f>IF($A507=1,IF(Sales_Daily!$C43="","",Sales_Daily!$C43),"")</f>
        <v/>
      </c>
      <c r="J507" s="32">
        <f>IF($A507=1,"CC10","")</f>
        <v/>
      </c>
      <c r="K507" s="32">
        <f>IF($A507=1,"-","")</f>
        <v/>
      </c>
      <c r="L507" s="32">
        <f>IF($A507=1,"إيراد مبيعات - فئة فطير","")</f>
        <v/>
      </c>
      <c r="M507" s="43">
        <f>IF($A507=1,0,"")</f>
        <v/>
      </c>
      <c r="N507" s="43">
        <f>IF($A507=1,Sales_Daily!$AD43,"")</f>
        <v/>
      </c>
      <c r="O507" s="32">
        <f>IF($A507=1,Sales_Daily!$S43,"")</f>
        <v/>
      </c>
      <c r="P507" s="32">
        <f>IF($A507=1,IF(Sales_Daily!$AW43="","",Sales_Daily!$AW43),"")</f>
        <v/>
      </c>
      <c r="Q507" s="32">
        <f>IF($A507=1,Sales_Daily!$AY43,"")</f>
        <v/>
      </c>
      <c r="R507" s="32">
        <f>IF($A507=1,IF(AND($Q507=1,COUNTIFS(COA!$A:$A,$G507,COA!$R:$R,1)=1),1,0),"")</f>
        <v/>
      </c>
      <c r="S507" s="43">
        <f>IF($A507=1,IF($R507=1,N($M507),0),"")</f>
        <v/>
      </c>
      <c r="T507" s="43">
        <f>IF($A507=1,IF($R507=1,N($N507),0),"")</f>
        <v/>
      </c>
      <c r="U507" s="32">
        <f>IF($A507=1,YEAR($D507)*100+MONTH($D507),"")</f>
        <v/>
      </c>
      <c r="V507" s="32">
        <f>IF($A507=1,IF(COUNTIF(COA!$A:$A,$G507)=0,0,INDEX(COA!$H:$H,MATCH($G507,COA!$A:$A,0))),"")</f>
        <v/>
      </c>
      <c r="W507" s="32">
        <f>IF($A507=1,"","")</f>
        <v/>
      </c>
      <c r="X507" s="32">
        <f>IF($A507=1,IF($R507=1,"",IF($O507=ST_POST,IF($P507&lt;&gt;"",$P507,"حساب غير صالح أو غير نشط"),IF($O507=ST_REV,"معكوس: لا أثر على الدفاتر",IF($O507=ST_CANC,"ملغى",IF($O507=ST_APPR,"معتمد ولم يُرحَّل","مسودة"))))),"")</f>
        <v/>
      </c>
      <c r="Y507" s="32">
        <f>IF($A507=1,IF(AND($R507=1,OR(LG_Acct="",$G507=LG_Acct),OR(LG_Party="",$K507=LG_Party),OR(LG_Loc="ALL",$I507=LG_Loc),OR(LG_CC="ALL",$J507=LG_CC),$D507&gt;=LG_From,$D507&lt;=LG_To),$D507+ROW()/1000000,""),"")</f>
        <v/>
      </c>
      <c r="Z507" s="32">
        <f>IF($A507=1,IF(Sales_Daily!$T43="","",Sales_Daily!$T43),"")</f>
        <v/>
      </c>
      <c r="AA507" s="32">
        <f>IF($A507=1,IF(Sales_Daily!$U43="","",Sales_Daily!$U43),"")</f>
        <v/>
      </c>
      <c r="AB507" s="32">
        <f>IF($A507=1,IF(Sales_Daily!$V43="","",Sales_Daily!$V43),"")</f>
        <v/>
      </c>
      <c r="AC507" s="32">
        <f>IF($A507=1,IF(Sales_Daily!$W43="","",Sales_Daily!$W43),"")</f>
        <v/>
      </c>
      <c r="AD507" s="32">
        <f>IF($A507=1,IF(Sales_Daily!$X43="","",Sales_Daily!$X43),"")</f>
        <v/>
      </c>
      <c r="AE507" s="32">
        <f>IF($A507=1,0,"")</f>
        <v/>
      </c>
      <c r="AF507" s="32" t="inlineStr"/>
    </row>
    <row r="508">
      <c r="A508" s="32">
        <f>IF(AND(Sales_Daily!$AV43=1,N(Sales_Daily!$AE43)&gt;0),1,0)</f>
        <v/>
      </c>
      <c r="B508" s="32">
        <f>IF($A508=1,$E508&amp;"/10","")</f>
        <v/>
      </c>
      <c r="C508" s="32">
        <f>IF($A508=1,"J-"&amp;Sales_Daily!$A43,"")</f>
        <v/>
      </c>
      <c r="D508" s="33">
        <f>IF($A508=1,Sales_Daily!$B43,"")</f>
        <v/>
      </c>
      <c r="E508" s="32">
        <f>IF($A508=1,IF(Sales_Daily!$A43="","",Sales_Daily!$A43),"")</f>
        <v/>
      </c>
      <c r="F508" s="32">
        <f>IF($A508=1,"SAL","")</f>
        <v/>
      </c>
      <c r="G508" s="32">
        <f>IF($A508=1,IF(Sales_Daily!$AR43="","",Sales_Daily!$AR43),"")</f>
        <v/>
      </c>
      <c r="H508" s="32">
        <f>IF($A508=1,IF(COUNTIF(COA!$A:$A,$G508)=0,"حساب غير معرف",INDEX(COA!$B:$B,MATCH($G508,COA!$A:$A,0))),"")</f>
        <v/>
      </c>
      <c r="I508" s="32">
        <f>IF($A508=1,IF(Sales_Daily!$C43="","",Sales_Daily!$C43),"")</f>
        <v/>
      </c>
      <c r="J508" s="32">
        <f>IF($A508=1,"CC10","")</f>
        <v/>
      </c>
      <c r="K508" s="32">
        <f>IF($A508=1,"-","")</f>
        <v/>
      </c>
      <c r="L508" s="32">
        <f>IF($A508=1,"إيراد مبيعات - فئة بيتزا","")</f>
        <v/>
      </c>
      <c r="M508" s="43">
        <f>IF($A508=1,0,"")</f>
        <v/>
      </c>
      <c r="N508" s="43">
        <f>IF($A508=1,Sales_Daily!$AE43,"")</f>
        <v/>
      </c>
      <c r="O508" s="32">
        <f>IF($A508=1,Sales_Daily!$S43,"")</f>
        <v/>
      </c>
      <c r="P508" s="32">
        <f>IF($A508=1,IF(Sales_Daily!$AW43="","",Sales_Daily!$AW43),"")</f>
        <v/>
      </c>
      <c r="Q508" s="32">
        <f>IF($A508=1,Sales_Daily!$AY43,"")</f>
        <v/>
      </c>
      <c r="R508" s="32">
        <f>IF($A508=1,IF(AND($Q508=1,COUNTIFS(COA!$A:$A,$G508,COA!$R:$R,1)=1),1,0),"")</f>
        <v/>
      </c>
      <c r="S508" s="43">
        <f>IF($A508=1,IF($R508=1,N($M508),0),"")</f>
        <v/>
      </c>
      <c r="T508" s="43">
        <f>IF($A508=1,IF($R508=1,N($N508),0),"")</f>
        <v/>
      </c>
      <c r="U508" s="32">
        <f>IF($A508=1,YEAR($D508)*100+MONTH($D508),"")</f>
        <v/>
      </c>
      <c r="V508" s="32">
        <f>IF($A508=1,IF(COUNTIF(COA!$A:$A,$G508)=0,0,INDEX(COA!$H:$H,MATCH($G508,COA!$A:$A,0))),"")</f>
        <v/>
      </c>
      <c r="W508" s="32">
        <f>IF($A508=1,"","")</f>
        <v/>
      </c>
      <c r="X508" s="32">
        <f>IF($A508=1,IF($R508=1,"",IF($O508=ST_POST,IF($P508&lt;&gt;"",$P508,"حساب غير صالح أو غير نشط"),IF($O508=ST_REV,"معكوس: لا أثر على الدفاتر",IF($O508=ST_CANC,"ملغى",IF($O508=ST_APPR,"معتمد ولم يُرحَّل","مسودة"))))),"")</f>
        <v/>
      </c>
      <c r="Y508" s="32">
        <f>IF($A508=1,IF(AND($R508=1,OR(LG_Acct="",$G508=LG_Acct),OR(LG_Party="",$K508=LG_Party),OR(LG_Loc="ALL",$I508=LG_Loc),OR(LG_CC="ALL",$J508=LG_CC),$D508&gt;=LG_From,$D508&lt;=LG_To),$D508+ROW()/1000000,""),"")</f>
        <v/>
      </c>
      <c r="Z508" s="32">
        <f>IF($A508=1,IF(Sales_Daily!$T43="","",Sales_Daily!$T43),"")</f>
        <v/>
      </c>
      <c r="AA508" s="32">
        <f>IF($A508=1,IF(Sales_Daily!$U43="","",Sales_Daily!$U43),"")</f>
        <v/>
      </c>
      <c r="AB508" s="32">
        <f>IF($A508=1,IF(Sales_Daily!$V43="","",Sales_Daily!$V43),"")</f>
        <v/>
      </c>
      <c r="AC508" s="32">
        <f>IF($A508=1,IF(Sales_Daily!$W43="","",Sales_Daily!$W43),"")</f>
        <v/>
      </c>
      <c r="AD508" s="32">
        <f>IF($A508=1,IF(Sales_Daily!$X43="","",Sales_Daily!$X43),"")</f>
        <v/>
      </c>
      <c r="AE508" s="32">
        <f>IF($A508=1,0,"")</f>
        <v/>
      </c>
      <c r="AF508" s="32" t="inlineStr"/>
    </row>
    <row r="509">
      <c r="A509" s="32">
        <f>IF(AND(Sales_Daily!$AV43=1,N(Sales_Daily!$AF43)&gt;0),1,0)</f>
        <v/>
      </c>
      <c r="B509" s="32">
        <f>IF($A509=1,$E509&amp;"/11","")</f>
        <v/>
      </c>
      <c r="C509" s="32">
        <f>IF($A509=1,"J-"&amp;Sales_Daily!$A43,"")</f>
        <v/>
      </c>
      <c r="D509" s="33">
        <f>IF($A509=1,Sales_Daily!$B43,"")</f>
        <v/>
      </c>
      <c r="E509" s="32">
        <f>IF($A509=1,IF(Sales_Daily!$A43="","",Sales_Daily!$A43),"")</f>
        <v/>
      </c>
      <c r="F509" s="32">
        <f>IF($A509=1,"SAL","")</f>
        <v/>
      </c>
      <c r="G509" s="32">
        <f>IF($A509=1,IF(Sales_Daily!$AS43="","",Sales_Daily!$AS43),"")</f>
        <v/>
      </c>
      <c r="H509" s="32">
        <f>IF($A509=1,IF(COUNTIF(COA!$A:$A,$G509)=0,"حساب غير معرف",INDEX(COA!$B:$B,MATCH($G509,COA!$A:$A,0))),"")</f>
        <v/>
      </c>
      <c r="I509" s="32">
        <f>IF($A509=1,IF(Sales_Daily!$C43="","",Sales_Daily!$C43),"")</f>
        <v/>
      </c>
      <c r="J509" s="32">
        <f>IF($A509=1,"CC10","")</f>
        <v/>
      </c>
      <c r="K509" s="32">
        <f>IF($A509=1,"-","")</f>
        <v/>
      </c>
      <c r="L509" s="32">
        <f>IF($A509=1,"إيراد مبيعات - فئة مكرونات","")</f>
        <v/>
      </c>
      <c r="M509" s="43">
        <f>IF($A509=1,0,"")</f>
        <v/>
      </c>
      <c r="N509" s="43">
        <f>IF($A509=1,Sales_Daily!$AF43,"")</f>
        <v/>
      </c>
      <c r="O509" s="32">
        <f>IF($A509=1,Sales_Daily!$S43,"")</f>
        <v/>
      </c>
      <c r="P509" s="32">
        <f>IF($A509=1,IF(Sales_Daily!$AW43="","",Sales_Daily!$AW43),"")</f>
        <v/>
      </c>
      <c r="Q509" s="32">
        <f>IF($A509=1,Sales_Daily!$AY43,"")</f>
        <v/>
      </c>
      <c r="R509" s="32">
        <f>IF($A509=1,IF(AND($Q509=1,COUNTIFS(COA!$A:$A,$G509,COA!$R:$R,1)=1),1,0),"")</f>
        <v/>
      </c>
      <c r="S509" s="43">
        <f>IF($A509=1,IF($R509=1,N($M509),0),"")</f>
        <v/>
      </c>
      <c r="T509" s="43">
        <f>IF($A509=1,IF($R509=1,N($N509),0),"")</f>
        <v/>
      </c>
      <c r="U509" s="32">
        <f>IF($A509=1,YEAR($D509)*100+MONTH($D509),"")</f>
        <v/>
      </c>
      <c r="V509" s="32">
        <f>IF($A509=1,IF(COUNTIF(COA!$A:$A,$G509)=0,0,INDEX(COA!$H:$H,MATCH($G509,COA!$A:$A,0))),"")</f>
        <v/>
      </c>
      <c r="W509" s="32">
        <f>IF($A509=1,"","")</f>
        <v/>
      </c>
      <c r="X509" s="32">
        <f>IF($A509=1,IF($R509=1,"",IF($O509=ST_POST,IF($P509&lt;&gt;"",$P509,"حساب غير صالح أو غير نشط"),IF($O509=ST_REV,"معكوس: لا أثر على الدفاتر",IF($O509=ST_CANC,"ملغى",IF($O509=ST_APPR,"معتمد ولم يُرحَّل","مسودة"))))),"")</f>
        <v/>
      </c>
      <c r="Y509" s="32">
        <f>IF($A509=1,IF(AND($R509=1,OR(LG_Acct="",$G509=LG_Acct),OR(LG_Party="",$K509=LG_Party),OR(LG_Loc="ALL",$I509=LG_Loc),OR(LG_CC="ALL",$J509=LG_CC),$D509&gt;=LG_From,$D509&lt;=LG_To),$D509+ROW()/1000000,""),"")</f>
        <v/>
      </c>
      <c r="Z509" s="32">
        <f>IF($A509=1,IF(Sales_Daily!$T43="","",Sales_Daily!$T43),"")</f>
        <v/>
      </c>
      <c r="AA509" s="32">
        <f>IF($A509=1,IF(Sales_Daily!$U43="","",Sales_Daily!$U43),"")</f>
        <v/>
      </c>
      <c r="AB509" s="32">
        <f>IF($A509=1,IF(Sales_Daily!$V43="","",Sales_Daily!$V43),"")</f>
        <v/>
      </c>
      <c r="AC509" s="32">
        <f>IF($A509=1,IF(Sales_Daily!$W43="","",Sales_Daily!$W43),"")</f>
        <v/>
      </c>
      <c r="AD509" s="32">
        <f>IF($A509=1,IF(Sales_Daily!$X43="","",Sales_Daily!$X43),"")</f>
        <v/>
      </c>
      <c r="AE509" s="32">
        <f>IF($A509=1,0,"")</f>
        <v/>
      </c>
      <c r="AF509" s="32" t="inlineStr"/>
    </row>
    <row r="510">
      <c r="A510" s="32">
        <f>IF(AND(Sales_Daily!$AV43=1,N(Sales_Daily!$AG43)&gt;0),1,0)</f>
        <v/>
      </c>
      <c r="B510" s="32">
        <f>IF($A510=1,$E510&amp;"/12","")</f>
        <v/>
      </c>
      <c r="C510" s="32">
        <f>IF($A510=1,"J-"&amp;Sales_Daily!$A43,"")</f>
        <v/>
      </c>
      <c r="D510" s="33">
        <f>IF($A510=1,Sales_Daily!$B43,"")</f>
        <v/>
      </c>
      <c r="E510" s="32">
        <f>IF($A510=1,IF(Sales_Daily!$A43="","",Sales_Daily!$A43),"")</f>
        <v/>
      </c>
      <c r="F510" s="32">
        <f>IF($A510=1,"SAL","")</f>
        <v/>
      </c>
      <c r="G510" s="32">
        <f>IF($A510=1,IF(Sales_Daily!$AT43="","",Sales_Daily!$AT43),"")</f>
        <v/>
      </c>
      <c r="H510" s="32">
        <f>IF($A510=1,IF(COUNTIF(COA!$A:$A,$G510)=0,"حساب غير معرف",INDEX(COA!$B:$B,MATCH($G510,COA!$A:$A,0))),"")</f>
        <v/>
      </c>
      <c r="I510" s="32">
        <f>IF($A510=1,IF(Sales_Daily!$C43="","",Sales_Daily!$C43),"")</f>
        <v/>
      </c>
      <c r="J510" s="32">
        <f>IF($A510=1,"CC10","")</f>
        <v/>
      </c>
      <c r="K510" s="32">
        <f>IF($A510=1,"-","")</f>
        <v/>
      </c>
      <c r="L510" s="32">
        <f>IF($A510=1,"إيراد مبيعات - فئة أخرى","")</f>
        <v/>
      </c>
      <c r="M510" s="43">
        <f>IF($A510=1,0,"")</f>
        <v/>
      </c>
      <c r="N510" s="43">
        <f>IF($A510=1,Sales_Daily!$AG43,"")</f>
        <v/>
      </c>
      <c r="O510" s="32">
        <f>IF($A510=1,Sales_Daily!$S43,"")</f>
        <v/>
      </c>
      <c r="P510" s="32">
        <f>IF($A510=1,IF(Sales_Daily!$AW43="","",Sales_Daily!$AW43),"")</f>
        <v/>
      </c>
      <c r="Q510" s="32">
        <f>IF($A510=1,Sales_Daily!$AY43,"")</f>
        <v/>
      </c>
      <c r="R510" s="32">
        <f>IF($A510=1,IF(AND($Q510=1,COUNTIFS(COA!$A:$A,$G510,COA!$R:$R,1)=1),1,0),"")</f>
        <v/>
      </c>
      <c r="S510" s="43">
        <f>IF($A510=1,IF($R510=1,N($M510),0),"")</f>
        <v/>
      </c>
      <c r="T510" s="43">
        <f>IF($A510=1,IF($R510=1,N($N510),0),"")</f>
        <v/>
      </c>
      <c r="U510" s="32">
        <f>IF($A510=1,YEAR($D510)*100+MONTH($D510),"")</f>
        <v/>
      </c>
      <c r="V510" s="32">
        <f>IF($A510=1,IF(COUNTIF(COA!$A:$A,$G510)=0,0,INDEX(COA!$H:$H,MATCH($G510,COA!$A:$A,0))),"")</f>
        <v/>
      </c>
      <c r="W510" s="32">
        <f>IF($A510=1,"","")</f>
        <v/>
      </c>
      <c r="X510" s="32">
        <f>IF($A510=1,IF($R510=1,"",IF($O510=ST_POST,IF($P510&lt;&gt;"",$P510,"حساب غير صالح أو غير نشط"),IF($O510=ST_REV,"معكوس: لا أثر على الدفاتر",IF($O510=ST_CANC,"ملغى",IF($O510=ST_APPR,"معتمد ولم يُرحَّل","مسودة"))))),"")</f>
        <v/>
      </c>
      <c r="Y510" s="32">
        <f>IF($A510=1,IF(AND($R510=1,OR(LG_Acct="",$G510=LG_Acct),OR(LG_Party="",$K510=LG_Party),OR(LG_Loc="ALL",$I510=LG_Loc),OR(LG_CC="ALL",$J510=LG_CC),$D510&gt;=LG_From,$D510&lt;=LG_To),$D510+ROW()/1000000,""),"")</f>
        <v/>
      </c>
      <c r="Z510" s="32">
        <f>IF($A510=1,IF(Sales_Daily!$T43="","",Sales_Daily!$T43),"")</f>
        <v/>
      </c>
      <c r="AA510" s="32">
        <f>IF($A510=1,IF(Sales_Daily!$U43="","",Sales_Daily!$U43),"")</f>
        <v/>
      </c>
      <c r="AB510" s="32">
        <f>IF($A510=1,IF(Sales_Daily!$V43="","",Sales_Daily!$V43),"")</f>
        <v/>
      </c>
      <c r="AC510" s="32">
        <f>IF($A510=1,IF(Sales_Daily!$W43="","",Sales_Daily!$W43),"")</f>
        <v/>
      </c>
      <c r="AD510" s="32">
        <f>IF($A510=1,IF(Sales_Daily!$X43="","",Sales_Daily!$X43),"")</f>
        <v/>
      </c>
      <c r="AE510" s="32">
        <f>IF($A510=1,0,"")</f>
        <v/>
      </c>
      <c r="AF510" s="32" t="inlineStr"/>
    </row>
    <row r="511">
      <c r="A511" s="32">
        <f>IF(AND(Sales_Daily!$AV43=1,N(Sales_Daily!$AJ43)&gt;0),1,0)</f>
        <v/>
      </c>
      <c r="B511" s="32">
        <f>IF($A511=1,$E511&amp;"/13","")</f>
        <v/>
      </c>
      <c r="C511" s="32">
        <f>IF($A511=1,"J-"&amp;Sales_Daily!$A43,"")</f>
        <v/>
      </c>
      <c r="D511" s="33">
        <f>IF($A511=1,Sales_Daily!$B43,"")</f>
        <v/>
      </c>
      <c r="E511" s="32">
        <f>IF($A511=1,IF(Sales_Daily!$A43="","",Sales_Daily!$A43),"")</f>
        <v/>
      </c>
      <c r="F511" s="32">
        <f>IF($A511=1,"SAL","")</f>
        <v/>
      </c>
      <c r="G511" s="32">
        <f>IF($A511=1,ACC_VAT_OUT,"")</f>
        <v/>
      </c>
      <c r="H511" s="32">
        <f>IF($A511=1,IF(COUNTIF(COA!$A:$A,$G511)=0,"حساب غير معرف",INDEX(COA!$B:$B,MATCH($G511,COA!$A:$A,0))),"")</f>
        <v/>
      </c>
      <c r="I511" s="32">
        <f>IF($A511=1,IF(Sales_Daily!$C43="","",Sales_Daily!$C43),"")</f>
        <v/>
      </c>
      <c r="J511" s="32">
        <f>IF($A511=1,"CC10","")</f>
        <v/>
      </c>
      <c r="K511" s="32">
        <f>IF($A511=1,"-","")</f>
        <v/>
      </c>
      <c r="L511" s="32">
        <f>IF($A511=1,"ضريبة القيمة المضافة - مخرجات","")</f>
        <v/>
      </c>
      <c r="M511" s="43">
        <f>IF($A511=1,0,"")</f>
        <v/>
      </c>
      <c r="N511" s="43">
        <f>IF($A511=1,Sales_Daily!$AJ43,"")</f>
        <v/>
      </c>
      <c r="O511" s="32">
        <f>IF($A511=1,Sales_Daily!$S43,"")</f>
        <v/>
      </c>
      <c r="P511" s="32">
        <f>IF($A511=1,IF(Sales_Daily!$AW43="","",Sales_Daily!$AW43),"")</f>
        <v/>
      </c>
      <c r="Q511" s="32">
        <f>IF($A511=1,Sales_Daily!$AY43,"")</f>
        <v/>
      </c>
      <c r="R511" s="32">
        <f>IF($A511=1,IF(AND($Q511=1,COUNTIFS(COA!$A:$A,$G511,COA!$R:$R,1)=1),1,0),"")</f>
        <v/>
      </c>
      <c r="S511" s="43">
        <f>IF($A511=1,IF($R511=1,N($M511),0),"")</f>
        <v/>
      </c>
      <c r="T511" s="43">
        <f>IF($A511=1,IF($R511=1,N($N511),0),"")</f>
        <v/>
      </c>
      <c r="U511" s="32">
        <f>IF($A511=1,YEAR($D511)*100+MONTH($D511),"")</f>
        <v/>
      </c>
      <c r="V511" s="32">
        <f>IF($A511=1,IF(COUNTIF(COA!$A:$A,$G511)=0,0,INDEX(COA!$H:$H,MATCH($G511,COA!$A:$A,0))),"")</f>
        <v/>
      </c>
      <c r="W511" s="32">
        <f>IF($A511=1,"","")</f>
        <v/>
      </c>
      <c r="X511" s="32">
        <f>IF($A511=1,IF($R511=1,"",IF($O511=ST_POST,IF($P511&lt;&gt;"",$P511,"حساب غير صالح أو غير نشط"),IF($O511=ST_REV,"معكوس: لا أثر على الدفاتر",IF($O511=ST_CANC,"ملغى",IF($O511=ST_APPR,"معتمد ولم يُرحَّل","مسودة"))))),"")</f>
        <v/>
      </c>
      <c r="Y511" s="32">
        <f>IF($A511=1,IF(AND($R511=1,OR(LG_Acct="",$G511=LG_Acct),OR(LG_Party="",$K511=LG_Party),OR(LG_Loc="ALL",$I511=LG_Loc),OR(LG_CC="ALL",$J511=LG_CC),$D511&gt;=LG_From,$D511&lt;=LG_To),$D511+ROW()/1000000,""),"")</f>
        <v/>
      </c>
      <c r="Z511" s="32">
        <f>IF($A511=1,IF(Sales_Daily!$T43="","",Sales_Daily!$T43),"")</f>
        <v/>
      </c>
      <c r="AA511" s="32">
        <f>IF($A511=1,IF(Sales_Daily!$U43="","",Sales_Daily!$U43),"")</f>
        <v/>
      </c>
      <c r="AB511" s="32">
        <f>IF($A511=1,IF(Sales_Daily!$V43="","",Sales_Daily!$V43),"")</f>
        <v/>
      </c>
      <c r="AC511" s="32">
        <f>IF($A511=1,IF(Sales_Daily!$W43="","",Sales_Daily!$W43),"")</f>
        <v/>
      </c>
      <c r="AD511" s="32">
        <f>IF($A511=1,IF(Sales_Daily!$X43="","",Sales_Daily!$X43),"")</f>
        <v/>
      </c>
      <c r="AE511" s="32">
        <f>IF($A511=1,0,"")</f>
        <v/>
      </c>
      <c r="AF511" s="32" t="inlineStr"/>
    </row>
    <row r="512">
      <c r="A512" s="32">
        <f>IF(AND(Sales_Daily!$AV44=1,N(Sales_Daily!$L44)&gt;0),1,0)</f>
        <v/>
      </c>
      <c r="B512" s="32">
        <f>IF($A512=1,$E512&amp;"/1","")</f>
        <v/>
      </c>
      <c r="C512" s="32">
        <f>IF($A512=1,"J-"&amp;Sales_Daily!$A44,"")</f>
        <v/>
      </c>
      <c r="D512" s="33">
        <f>IF($A512=1,Sales_Daily!$B44,"")</f>
        <v/>
      </c>
      <c r="E512" s="32">
        <f>IF($A512=1,IF(Sales_Daily!$A44="","",Sales_Daily!$A44),"")</f>
        <v/>
      </c>
      <c r="F512" s="32">
        <f>IF($A512=1,"SAL","")</f>
        <v/>
      </c>
      <c r="G512" s="32">
        <f>IF($A512=1,IF(Sales_Daily!$AK44="","",Sales_Daily!$AK44),"")</f>
        <v/>
      </c>
      <c r="H512" s="32">
        <f>IF($A512=1,IF(COUNTIF(COA!$A:$A,$G512)=0,"حساب غير معرف",INDEX(COA!$B:$B,MATCH($G512,COA!$A:$A,0))),"")</f>
        <v/>
      </c>
      <c r="I512" s="32">
        <f>IF($A512=1,IF(Sales_Daily!$C44="","",Sales_Daily!$C44),"")</f>
        <v/>
      </c>
      <c r="J512" s="32">
        <f>IF($A512=1,"CC10","")</f>
        <v/>
      </c>
      <c r="K512" s="32">
        <f>IF($A512=1,"-","")</f>
        <v/>
      </c>
      <c r="L512" s="32">
        <f>IF($A512=1,"مبيعات - تحصيل CASH","")</f>
        <v/>
      </c>
      <c r="M512" s="43">
        <f>IF($A512=1,Sales_Daily!$L44,"")</f>
        <v/>
      </c>
      <c r="N512" s="43">
        <f>IF($A512=1,0,"")</f>
        <v/>
      </c>
      <c r="O512" s="32">
        <f>IF($A512=1,Sales_Daily!$S44,"")</f>
        <v/>
      </c>
      <c r="P512" s="32">
        <f>IF($A512=1,IF(Sales_Daily!$AW44="","",Sales_Daily!$AW44),"")</f>
        <v/>
      </c>
      <c r="Q512" s="32">
        <f>IF($A512=1,Sales_Daily!$AY44,"")</f>
        <v/>
      </c>
      <c r="R512" s="32">
        <f>IF($A512=1,IF(AND($Q512=1,COUNTIFS(COA!$A:$A,$G512,COA!$R:$R,1)=1),1,0),"")</f>
        <v/>
      </c>
      <c r="S512" s="43">
        <f>IF($A512=1,IF($R512=1,N($M512),0),"")</f>
        <v/>
      </c>
      <c r="T512" s="43">
        <f>IF($A512=1,IF($R512=1,N($N512),0),"")</f>
        <v/>
      </c>
      <c r="U512" s="32">
        <f>IF($A512=1,YEAR($D512)*100+MONTH($D512),"")</f>
        <v/>
      </c>
      <c r="V512" s="32">
        <f>IF($A512=1,IF(COUNTIF(COA!$A:$A,$G512)=0,0,INDEX(COA!$H:$H,MATCH($G512,COA!$A:$A,0))),"")</f>
        <v/>
      </c>
      <c r="W512" s="32">
        <f>IF($A512=1,"OPERATING","")</f>
        <v/>
      </c>
      <c r="X512" s="32">
        <f>IF($A512=1,IF($R512=1,"",IF($O512=ST_POST,IF($P512&lt;&gt;"",$P512,"حساب غير صالح أو غير نشط"),IF($O512=ST_REV,"معكوس: لا أثر على الدفاتر",IF($O512=ST_CANC,"ملغى",IF($O512=ST_APPR,"معتمد ولم يُرحَّل","مسودة"))))),"")</f>
        <v/>
      </c>
      <c r="Y512" s="32">
        <f>IF($A512=1,IF(AND($R512=1,OR(LG_Acct="",$G512=LG_Acct),OR(LG_Party="",$K512=LG_Party),OR(LG_Loc="ALL",$I512=LG_Loc),OR(LG_CC="ALL",$J512=LG_CC),$D512&gt;=LG_From,$D512&lt;=LG_To),$D512+ROW()/1000000,""),"")</f>
        <v/>
      </c>
      <c r="Z512" s="32">
        <f>IF($A512=1,IF(Sales_Daily!$T44="","",Sales_Daily!$T44),"")</f>
        <v/>
      </c>
      <c r="AA512" s="32">
        <f>IF($A512=1,IF(Sales_Daily!$U44="","",Sales_Daily!$U44),"")</f>
        <v/>
      </c>
      <c r="AB512" s="32">
        <f>IF($A512=1,IF(Sales_Daily!$V44="","",Sales_Daily!$V44),"")</f>
        <v/>
      </c>
      <c r="AC512" s="32">
        <f>IF($A512=1,IF(Sales_Daily!$W44="","",Sales_Daily!$W44),"")</f>
        <v/>
      </c>
      <c r="AD512" s="32">
        <f>IF($A512=1,IF(Sales_Daily!$X44="","",Sales_Daily!$X44),"")</f>
        <v/>
      </c>
      <c r="AE512" s="32">
        <f>IF($A512=1,0,"")</f>
        <v/>
      </c>
      <c r="AF512" s="32" t="inlineStr"/>
    </row>
    <row r="513">
      <c r="A513" s="32">
        <f>IF(AND(Sales_Daily!$AV44=1,N(Sales_Daily!$M44)&gt;0),1,0)</f>
        <v/>
      </c>
      <c r="B513" s="32">
        <f>IF($A513=1,$E513&amp;"/2","")</f>
        <v/>
      </c>
      <c r="C513" s="32">
        <f>IF($A513=1,"J-"&amp;Sales_Daily!$A44,"")</f>
        <v/>
      </c>
      <c r="D513" s="33">
        <f>IF($A513=1,Sales_Daily!$B44,"")</f>
        <v/>
      </c>
      <c r="E513" s="32">
        <f>IF($A513=1,IF(Sales_Daily!$A44="","",Sales_Daily!$A44),"")</f>
        <v/>
      </c>
      <c r="F513" s="32">
        <f>IF($A513=1,"SAL","")</f>
        <v/>
      </c>
      <c r="G513" s="32">
        <f>IF($A513=1,IF(Sales_Daily!$AL44="","",Sales_Daily!$AL44),"")</f>
        <v/>
      </c>
      <c r="H513" s="32">
        <f>IF($A513=1,IF(COUNTIF(COA!$A:$A,$G513)=0,"حساب غير معرف",INDEX(COA!$B:$B,MATCH($G513,COA!$A:$A,0))),"")</f>
        <v/>
      </c>
      <c r="I513" s="32">
        <f>IF($A513=1,IF(Sales_Daily!$C44="","",Sales_Daily!$C44),"")</f>
        <v/>
      </c>
      <c r="J513" s="32">
        <f>IF($A513=1,"CC10","")</f>
        <v/>
      </c>
      <c r="K513" s="32">
        <f>IF($A513=1,"-","")</f>
        <v/>
      </c>
      <c r="L513" s="32">
        <f>IF($A513=1,"مبيعات - تحصيل CARD","")</f>
        <v/>
      </c>
      <c r="M513" s="43">
        <f>IF($A513=1,Sales_Daily!$M44,"")</f>
        <v/>
      </c>
      <c r="N513" s="43">
        <f>IF($A513=1,0,"")</f>
        <v/>
      </c>
      <c r="O513" s="32">
        <f>IF($A513=1,Sales_Daily!$S44,"")</f>
        <v/>
      </c>
      <c r="P513" s="32">
        <f>IF($A513=1,IF(Sales_Daily!$AW44="","",Sales_Daily!$AW44),"")</f>
        <v/>
      </c>
      <c r="Q513" s="32">
        <f>IF($A513=1,Sales_Daily!$AY44,"")</f>
        <v/>
      </c>
      <c r="R513" s="32">
        <f>IF($A513=1,IF(AND($Q513=1,COUNTIFS(COA!$A:$A,$G513,COA!$R:$R,1)=1),1,0),"")</f>
        <v/>
      </c>
      <c r="S513" s="43">
        <f>IF($A513=1,IF($R513=1,N($M513),0),"")</f>
        <v/>
      </c>
      <c r="T513" s="43">
        <f>IF($A513=1,IF($R513=1,N($N513),0),"")</f>
        <v/>
      </c>
      <c r="U513" s="32">
        <f>IF($A513=1,YEAR($D513)*100+MONTH($D513),"")</f>
        <v/>
      </c>
      <c r="V513" s="32">
        <f>IF($A513=1,IF(COUNTIF(COA!$A:$A,$G513)=0,0,INDEX(COA!$H:$H,MATCH($G513,COA!$A:$A,0))),"")</f>
        <v/>
      </c>
      <c r="W513" s="32">
        <f>IF($A513=1,"OPERATING","")</f>
        <v/>
      </c>
      <c r="X513" s="32">
        <f>IF($A513=1,IF($R513=1,"",IF($O513=ST_POST,IF($P513&lt;&gt;"",$P513,"حساب غير صالح أو غير نشط"),IF($O513=ST_REV,"معكوس: لا أثر على الدفاتر",IF($O513=ST_CANC,"ملغى",IF($O513=ST_APPR,"معتمد ولم يُرحَّل","مسودة"))))),"")</f>
        <v/>
      </c>
      <c r="Y513" s="32">
        <f>IF($A513=1,IF(AND($R513=1,OR(LG_Acct="",$G513=LG_Acct),OR(LG_Party="",$K513=LG_Party),OR(LG_Loc="ALL",$I513=LG_Loc),OR(LG_CC="ALL",$J513=LG_CC),$D513&gt;=LG_From,$D513&lt;=LG_To),$D513+ROW()/1000000,""),"")</f>
        <v/>
      </c>
      <c r="Z513" s="32">
        <f>IF($A513=1,IF(Sales_Daily!$T44="","",Sales_Daily!$T44),"")</f>
        <v/>
      </c>
      <c r="AA513" s="32">
        <f>IF($A513=1,IF(Sales_Daily!$U44="","",Sales_Daily!$U44),"")</f>
        <v/>
      </c>
      <c r="AB513" s="32">
        <f>IF($A513=1,IF(Sales_Daily!$V44="","",Sales_Daily!$V44),"")</f>
        <v/>
      </c>
      <c r="AC513" s="32">
        <f>IF($A513=1,IF(Sales_Daily!$W44="","",Sales_Daily!$W44),"")</f>
        <v/>
      </c>
      <c r="AD513" s="32">
        <f>IF($A513=1,IF(Sales_Daily!$X44="","",Sales_Daily!$X44),"")</f>
        <v/>
      </c>
      <c r="AE513" s="32">
        <f>IF($A513=1,0,"")</f>
        <v/>
      </c>
      <c r="AF513" s="32" t="inlineStr"/>
    </row>
    <row r="514">
      <c r="A514" s="32">
        <f>IF(AND(Sales_Daily!$AV44=1,N(Sales_Daily!$N44)&gt;0),1,0)</f>
        <v/>
      </c>
      <c r="B514" s="32">
        <f>IF($A514=1,$E514&amp;"/3","")</f>
        <v/>
      </c>
      <c r="C514" s="32">
        <f>IF($A514=1,"J-"&amp;Sales_Daily!$A44,"")</f>
        <v/>
      </c>
      <c r="D514" s="33">
        <f>IF($A514=1,Sales_Daily!$B44,"")</f>
        <v/>
      </c>
      <c r="E514" s="32">
        <f>IF($A514=1,IF(Sales_Daily!$A44="","",Sales_Daily!$A44),"")</f>
        <v/>
      </c>
      <c r="F514" s="32">
        <f>IF($A514=1,"SAL","")</f>
        <v/>
      </c>
      <c r="G514" s="32">
        <f>IF($A514=1,IF(Sales_Daily!$AM44="","",Sales_Daily!$AM44),"")</f>
        <v/>
      </c>
      <c r="H514" s="32">
        <f>IF($A514=1,IF(COUNTIF(COA!$A:$A,$G514)=0,"حساب غير معرف",INDEX(COA!$B:$B,MATCH($G514,COA!$A:$A,0))),"")</f>
        <v/>
      </c>
      <c r="I514" s="32">
        <f>IF($A514=1,IF(Sales_Daily!$C44="","",Sales_Daily!$C44),"")</f>
        <v/>
      </c>
      <c r="J514" s="32">
        <f>IF($A514=1,"CC10","")</f>
        <v/>
      </c>
      <c r="K514" s="32">
        <f>IF($A514=1,"-","")</f>
        <v/>
      </c>
      <c r="L514" s="32">
        <f>IF($A514=1,"مبيعات - تحصيل TLB","")</f>
        <v/>
      </c>
      <c r="M514" s="43">
        <f>IF($A514=1,Sales_Daily!$N44,"")</f>
        <v/>
      </c>
      <c r="N514" s="43">
        <f>IF($A514=1,0,"")</f>
        <v/>
      </c>
      <c r="O514" s="32">
        <f>IF($A514=1,Sales_Daily!$S44,"")</f>
        <v/>
      </c>
      <c r="P514" s="32">
        <f>IF($A514=1,IF(Sales_Daily!$AW44="","",Sales_Daily!$AW44),"")</f>
        <v/>
      </c>
      <c r="Q514" s="32">
        <f>IF($A514=1,Sales_Daily!$AY44,"")</f>
        <v/>
      </c>
      <c r="R514" s="32">
        <f>IF($A514=1,IF(AND($Q514=1,COUNTIFS(COA!$A:$A,$G514,COA!$R:$R,1)=1),1,0),"")</f>
        <v/>
      </c>
      <c r="S514" s="43">
        <f>IF($A514=1,IF($R514=1,N($M514),0),"")</f>
        <v/>
      </c>
      <c r="T514" s="43">
        <f>IF($A514=1,IF($R514=1,N($N514),0),"")</f>
        <v/>
      </c>
      <c r="U514" s="32">
        <f>IF($A514=1,YEAR($D514)*100+MONTH($D514),"")</f>
        <v/>
      </c>
      <c r="V514" s="32">
        <f>IF($A514=1,IF(COUNTIF(COA!$A:$A,$G514)=0,0,INDEX(COA!$H:$H,MATCH($G514,COA!$A:$A,0))),"")</f>
        <v/>
      </c>
      <c r="W514" s="32">
        <f>IF($A514=1,"OPERATING","")</f>
        <v/>
      </c>
      <c r="X514" s="32">
        <f>IF($A514=1,IF($R514=1,"",IF($O514=ST_POST,IF($P514&lt;&gt;"",$P514,"حساب غير صالح أو غير نشط"),IF($O514=ST_REV,"معكوس: لا أثر على الدفاتر",IF($O514=ST_CANC,"ملغى",IF($O514=ST_APPR,"معتمد ولم يُرحَّل","مسودة"))))),"")</f>
        <v/>
      </c>
      <c r="Y514" s="32">
        <f>IF($A514=1,IF(AND($R514=1,OR(LG_Acct="",$G514=LG_Acct),OR(LG_Party="",$K514=LG_Party),OR(LG_Loc="ALL",$I514=LG_Loc),OR(LG_CC="ALL",$J514=LG_CC),$D514&gt;=LG_From,$D514&lt;=LG_To),$D514+ROW()/1000000,""),"")</f>
        <v/>
      </c>
      <c r="Z514" s="32">
        <f>IF($A514=1,IF(Sales_Daily!$T44="","",Sales_Daily!$T44),"")</f>
        <v/>
      </c>
      <c r="AA514" s="32">
        <f>IF($A514=1,IF(Sales_Daily!$U44="","",Sales_Daily!$U44),"")</f>
        <v/>
      </c>
      <c r="AB514" s="32">
        <f>IF($A514=1,IF(Sales_Daily!$V44="","",Sales_Daily!$V44),"")</f>
        <v/>
      </c>
      <c r="AC514" s="32">
        <f>IF($A514=1,IF(Sales_Daily!$W44="","",Sales_Daily!$W44),"")</f>
        <v/>
      </c>
      <c r="AD514" s="32">
        <f>IF($A514=1,IF(Sales_Daily!$X44="","",Sales_Daily!$X44),"")</f>
        <v/>
      </c>
      <c r="AE514" s="32">
        <f>IF($A514=1,0,"")</f>
        <v/>
      </c>
      <c r="AF514" s="32" t="inlineStr"/>
    </row>
    <row r="515">
      <c r="A515" s="32">
        <f>IF(AND(Sales_Daily!$AV44=1,N(Sales_Daily!$O44)&gt;0),1,0)</f>
        <v/>
      </c>
      <c r="B515" s="32">
        <f>IF($A515=1,$E515&amp;"/4","")</f>
        <v/>
      </c>
      <c r="C515" s="32">
        <f>IF($A515=1,"J-"&amp;Sales_Daily!$A44,"")</f>
        <v/>
      </c>
      <c r="D515" s="33">
        <f>IF($A515=1,Sales_Daily!$B44,"")</f>
        <v/>
      </c>
      <c r="E515" s="32">
        <f>IF($A515=1,IF(Sales_Daily!$A44="","",Sales_Daily!$A44),"")</f>
        <v/>
      </c>
      <c r="F515" s="32">
        <f>IF($A515=1,"SAL","")</f>
        <v/>
      </c>
      <c r="G515" s="32">
        <f>IF($A515=1,IF(Sales_Daily!$AN44="","",Sales_Daily!$AN44),"")</f>
        <v/>
      </c>
      <c r="H515" s="32">
        <f>IF($A515=1,IF(COUNTIF(COA!$A:$A,$G515)=0,"حساب غير معرف",INDEX(COA!$B:$B,MATCH($G515,COA!$A:$A,0))),"")</f>
        <v/>
      </c>
      <c r="I515" s="32">
        <f>IF($A515=1,IF(Sales_Daily!$C44="","",Sales_Daily!$C44),"")</f>
        <v/>
      </c>
      <c r="J515" s="32">
        <f>IF($A515=1,"CC10","")</f>
        <v/>
      </c>
      <c r="K515" s="32">
        <f>IF($A515=1,"-","")</f>
        <v/>
      </c>
      <c r="L515" s="32">
        <f>IF($A515=1,"مبيعات - تحصيل DLV2","")</f>
        <v/>
      </c>
      <c r="M515" s="43">
        <f>IF($A515=1,Sales_Daily!$O44,"")</f>
        <v/>
      </c>
      <c r="N515" s="43">
        <f>IF($A515=1,0,"")</f>
        <v/>
      </c>
      <c r="O515" s="32">
        <f>IF($A515=1,Sales_Daily!$S44,"")</f>
        <v/>
      </c>
      <c r="P515" s="32">
        <f>IF($A515=1,IF(Sales_Daily!$AW44="","",Sales_Daily!$AW44),"")</f>
        <v/>
      </c>
      <c r="Q515" s="32">
        <f>IF($A515=1,Sales_Daily!$AY44,"")</f>
        <v/>
      </c>
      <c r="R515" s="32">
        <f>IF($A515=1,IF(AND($Q515=1,COUNTIFS(COA!$A:$A,$G515,COA!$R:$R,1)=1),1,0),"")</f>
        <v/>
      </c>
      <c r="S515" s="43">
        <f>IF($A515=1,IF($R515=1,N($M515),0),"")</f>
        <v/>
      </c>
      <c r="T515" s="43">
        <f>IF($A515=1,IF($R515=1,N($N515),0),"")</f>
        <v/>
      </c>
      <c r="U515" s="32">
        <f>IF($A515=1,YEAR($D515)*100+MONTH($D515),"")</f>
        <v/>
      </c>
      <c r="V515" s="32">
        <f>IF($A515=1,IF(COUNTIF(COA!$A:$A,$G515)=0,0,INDEX(COA!$H:$H,MATCH($G515,COA!$A:$A,0))),"")</f>
        <v/>
      </c>
      <c r="W515" s="32">
        <f>IF($A515=1,"OPERATING","")</f>
        <v/>
      </c>
      <c r="X515" s="32">
        <f>IF($A515=1,IF($R515=1,"",IF($O515=ST_POST,IF($P515&lt;&gt;"",$P515,"حساب غير صالح أو غير نشط"),IF($O515=ST_REV,"معكوس: لا أثر على الدفاتر",IF($O515=ST_CANC,"ملغى",IF($O515=ST_APPR,"معتمد ولم يُرحَّل","مسودة"))))),"")</f>
        <v/>
      </c>
      <c r="Y515" s="32">
        <f>IF($A515=1,IF(AND($R515=1,OR(LG_Acct="",$G515=LG_Acct),OR(LG_Party="",$K515=LG_Party),OR(LG_Loc="ALL",$I515=LG_Loc),OR(LG_CC="ALL",$J515=LG_CC),$D515&gt;=LG_From,$D515&lt;=LG_To),$D515+ROW()/1000000,""),"")</f>
        <v/>
      </c>
      <c r="Z515" s="32">
        <f>IF($A515=1,IF(Sales_Daily!$T44="","",Sales_Daily!$T44),"")</f>
        <v/>
      </c>
      <c r="AA515" s="32">
        <f>IF($A515=1,IF(Sales_Daily!$U44="","",Sales_Daily!$U44),"")</f>
        <v/>
      </c>
      <c r="AB515" s="32">
        <f>IF($A515=1,IF(Sales_Daily!$V44="","",Sales_Daily!$V44),"")</f>
        <v/>
      </c>
      <c r="AC515" s="32">
        <f>IF($A515=1,IF(Sales_Daily!$W44="","",Sales_Daily!$W44),"")</f>
        <v/>
      </c>
      <c r="AD515" s="32">
        <f>IF($A515=1,IF(Sales_Daily!$X44="","",Sales_Daily!$X44),"")</f>
        <v/>
      </c>
      <c r="AE515" s="32">
        <f>IF($A515=1,0,"")</f>
        <v/>
      </c>
      <c r="AF515" s="32" t="inlineStr"/>
    </row>
    <row r="516">
      <c r="A516" s="32">
        <f>IF(AND(Sales_Daily!$AV44=1,N(Sales_Daily!$P44)&gt;0),1,0)</f>
        <v/>
      </c>
      <c r="B516" s="32">
        <f>IF($A516=1,$E516&amp;"/5","")</f>
        <v/>
      </c>
      <c r="C516" s="32">
        <f>IF($A516=1,"J-"&amp;Sales_Daily!$A44,"")</f>
        <v/>
      </c>
      <c r="D516" s="33">
        <f>IF($A516=1,Sales_Daily!$B44,"")</f>
        <v/>
      </c>
      <c r="E516" s="32">
        <f>IF($A516=1,IF(Sales_Daily!$A44="","",Sales_Daily!$A44),"")</f>
        <v/>
      </c>
      <c r="F516" s="32">
        <f>IF($A516=1,"SAL","")</f>
        <v/>
      </c>
      <c r="G516" s="32">
        <f>IF($A516=1,IF(Sales_Daily!$AO44="","",Sales_Daily!$AO44),"")</f>
        <v/>
      </c>
      <c r="H516" s="32">
        <f>IF($A516=1,IF(COUNTIF(COA!$A:$A,$G516)=0,"حساب غير معرف",INDEX(COA!$B:$B,MATCH($G516,COA!$A:$A,0))),"")</f>
        <v/>
      </c>
      <c r="I516" s="32">
        <f>IF($A516=1,IF(Sales_Daily!$C44="","",Sales_Daily!$C44),"")</f>
        <v/>
      </c>
      <c r="J516" s="32">
        <f>IF($A516=1,"CC10","")</f>
        <v/>
      </c>
      <c r="K516" s="32">
        <f>IF($A516=1,"-","")</f>
        <v/>
      </c>
      <c r="L516" s="32">
        <f>IF($A516=1,"مبيعات - تحصيل INSTA","")</f>
        <v/>
      </c>
      <c r="M516" s="43">
        <f>IF($A516=1,Sales_Daily!$P44,"")</f>
        <v/>
      </c>
      <c r="N516" s="43">
        <f>IF($A516=1,0,"")</f>
        <v/>
      </c>
      <c r="O516" s="32">
        <f>IF($A516=1,Sales_Daily!$S44,"")</f>
        <v/>
      </c>
      <c r="P516" s="32">
        <f>IF($A516=1,IF(Sales_Daily!$AW44="","",Sales_Daily!$AW44),"")</f>
        <v/>
      </c>
      <c r="Q516" s="32">
        <f>IF($A516=1,Sales_Daily!$AY44,"")</f>
        <v/>
      </c>
      <c r="R516" s="32">
        <f>IF($A516=1,IF(AND($Q516=1,COUNTIFS(COA!$A:$A,$G516,COA!$R:$R,1)=1),1,0),"")</f>
        <v/>
      </c>
      <c r="S516" s="43">
        <f>IF($A516=1,IF($R516=1,N($M516),0),"")</f>
        <v/>
      </c>
      <c r="T516" s="43">
        <f>IF($A516=1,IF($R516=1,N($N516),0),"")</f>
        <v/>
      </c>
      <c r="U516" s="32">
        <f>IF($A516=1,YEAR($D516)*100+MONTH($D516),"")</f>
        <v/>
      </c>
      <c r="V516" s="32">
        <f>IF($A516=1,IF(COUNTIF(COA!$A:$A,$G516)=0,0,INDEX(COA!$H:$H,MATCH($G516,COA!$A:$A,0))),"")</f>
        <v/>
      </c>
      <c r="W516" s="32">
        <f>IF($A516=1,"OPERATING","")</f>
        <v/>
      </c>
      <c r="X516" s="32">
        <f>IF($A516=1,IF($R516=1,"",IF($O516=ST_POST,IF($P516&lt;&gt;"",$P516,"حساب غير صالح أو غير نشط"),IF($O516=ST_REV,"معكوس: لا أثر على الدفاتر",IF($O516=ST_CANC,"ملغى",IF($O516=ST_APPR,"معتمد ولم يُرحَّل","مسودة"))))),"")</f>
        <v/>
      </c>
      <c r="Y516" s="32">
        <f>IF($A516=1,IF(AND($R516=1,OR(LG_Acct="",$G516=LG_Acct),OR(LG_Party="",$K516=LG_Party),OR(LG_Loc="ALL",$I516=LG_Loc),OR(LG_CC="ALL",$J516=LG_CC),$D516&gt;=LG_From,$D516&lt;=LG_To),$D516+ROW()/1000000,""),"")</f>
        <v/>
      </c>
      <c r="Z516" s="32">
        <f>IF($A516=1,IF(Sales_Daily!$T44="","",Sales_Daily!$T44),"")</f>
        <v/>
      </c>
      <c r="AA516" s="32">
        <f>IF($A516=1,IF(Sales_Daily!$U44="","",Sales_Daily!$U44),"")</f>
        <v/>
      </c>
      <c r="AB516" s="32">
        <f>IF($A516=1,IF(Sales_Daily!$V44="","",Sales_Daily!$V44),"")</f>
        <v/>
      </c>
      <c r="AC516" s="32">
        <f>IF($A516=1,IF(Sales_Daily!$W44="","",Sales_Daily!$W44),"")</f>
        <v/>
      </c>
      <c r="AD516" s="32">
        <f>IF($A516=1,IF(Sales_Daily!$X44="","",Sales_Daily!$X44),"")</f>
        <v/>
      </c>
      <c r="AE516" s="32">
        <f>IF($A516=1,0,"")</f>
        <v/>
      </c>
      <c r="AF516" s="32" t="inlineStr"/>
    </row>
    <row r="517">
      <c r="A517" s="32">
        <f>IF(AND(Sales_Daily!$AV44=1,N(Sales_Daily!$Q44)&gt;0),1,0)</f>
        <v/>
      </c>
      <c r="B517" s="32">
        <f>IF($A517=1,$E517&amp;"/6","")</f>
        <v/>
      </c>
      <c r="C517" s="32">
        <f>IF($A517=1,"J-"&amp;Sales_Daily!$A44,"")</f>
        <v/>
      </c>
      <c r="D517" s="33">
        <f>IF($A517=1,Sales_Daily!$B44,"")</f>
        <v/>
      </c>
      <c r="E517" s="32">
        <f>IF($A517=1,IF(Sales_Daily!$A44="","",Sales_Daily!$A44),"")</f>
        <v/>
      </c>
      <c r="F517" s="32">
        <f>IF($A517=1,"SAL","")</f>
        <v/>
      </c>
      <c r="G517" s="32">
        <f>IF($A517=1,IF(Sales_Daily!$AP44="","",Sales_Daily!$AP44),"")</f>
        <v/>
      </c>
      <c r="H517" s="32">
        <f>IF($A517=1,IF(COUNTIF(COA!$A:$A,$G517)=0,"حساب غير معرف",INDEX(COA!$B:$B,MATCH($G517,COA!$A:$A,0))),"")</f>
        <v/>
      </c>
      <c r="I517" s="32">
        <f>IF($A517=1,IF(Sales_Daily!$C44="","",Sales_Daily!$C44),"")</f>
        <v/>
      </c>
      <c r="J517" s="32">
        <f>IF($A517=1,"CC10","")</f>
        <v/>
      </c>
      <c r="K517" s="32">
        <f>IF($A517=1,"-","")</f>
        <v/>
      </c>
      <c r="L517" s="32">
        <f>IF($A517=1,"مبيعات - تحصيل OTH","")</f>
        <v/>
      </c>
      <c r="M517" s="43">
        <f>IF($A517=1,Sales_Daily!$Q44,"")</f>
        <v/>
      </c>
      <c r="N517" s="43">
        <f>IF($A517=1,0,"")</f>
        <v/>
      </c>
      <c r="O517" s="32">
        <f>IF($A517=1,Sales_Daily!$S44,"")</f>
        <v/>
      </c>
      <c r="P517" s="32">
        <f>IF($A517=1,IF(Sales_Daily!$AW44="","",Sales_Daily!$AW44),"")</f>
        <v/>
      </c>
      <c r="Q517" s="32">
        <f>IF($A517=1,Sales_Daily!$AY44,"")</f>
        <v/>
      </c>
      <c r="R517" s="32">
        <f>IF($A517=1,IF(AND($Q517=1,COUNTIFS(COA!$A:$A,$G517,COA!$R:$R,1)=1),1,0),"")</f>
        <v/>
      </c>
      <c r="S517" s="43">
        <f>IF($A517=1,IF($R517=1,N($M517),0),"")</f>
        <v/>
      </c>
      <c r="T517" s="43">
        <f>IF($A517=1,IF($R517=1,N($N517),0),"")</f>
        <v/>
      </c>
      <c r="U517" s="32">
        <f>IF($A517=1,YEAR($D517)*100+MONTH($D517),"")</f>
        <v/>
      </c>
      <c r="V517" s="32">
        <f>IF($A517=1,IF(COUNTIF(COA!$A:$A,$G517)=0,0,INDEX(COA!$H:$H,MATCH($G517,COA!$A:$A,0))),"")</f>
        <v/>
      </c>
      <c r="W517" s="32">
        <f>IF($A517=1,"OPERATING","")</f>
        <v/>
      </c>
      <c r="X517" s="32">
        <f>IF($A517=1,IF($R517=1,"",IF($O517=ST_POST,IF($P517&lt;&gt;"",$P517,"حساب غير صالح أو غير نشط"),IF($O517=ST_REV,"معكوس: لا أثر على الدفاتر",IF($O517=ST_CANC,"ملغى",IF($O517=ST_APPR,"معتمد ولم يُرحَّل","مسودة"))))),"")</f>
        <v/>
      </c>
      <c r="Y517" s="32">
        <f>IF($A517=1,IF(AND($R517=1,OR(LG_Acct="",$G517=LG_Acct),OR(LG_Party="",$K517=LG_Party),OR(LG_Loc="ALL",$I517=LG_Loc),OR(LG_CC="ALL",$J517=LG_CC),$D517&gt;=LG_From,$D517&lt;=LG_To),$D517+ROW()/1000000,""),"")</f>
        <v/>
      </c>
      <c r="Z517" s="32">
        <f>IF($A517=1,IF(Sales_Daily!$T44="","",Sales_Daily!$T44),"")</f>
        <v/>
      </c>
      <c r="AA517" s="32">
        <f>IF($A517=1,IF(Sales_Daily!$U44="","",Sales_Daily!$U44),"")</f>
        <v/>
      </c>
      <c r="AB517" s="32">
        <f>IF($A517=1,IF(Sales_Daily!$V44="","",Sales_Daily!$V44),"")</f>
        <v/>
      </c>
      <c r="AC517" s="32">
        <f>IF($A517=1,IF(Sales_Daily!$W44="","",Sales_Daily!$W44),"")</f>
        <v/>
      </c>
      <c r="AD517" s="32">
        <f>IF($A517=1,IF(Sales_Daily!$X44="","",Sales_Daily!$X44),"")</f>
        <v/>
      </c>
      <c r="AE517" s="32">
        <f>IF($A517=1,0,"")</f>
        <v/>
      </c>
      <c r="AF517" s="32" t="inlineStr"/>
    </row>
    <row r="518">
      <c r="A518" s="32">
        <f>IF(AND(Sales_Daily!$AV44=1,N(Sales_Daily!$AH44)&gt;0),1,0)</f>
        <v/>
      </c>
      <c r="B518" s="32">
        <f>IF($A518=1,$E518&amp;"/7","")</f>
        <v/>
      </c>
      <c r="C518" s="32">
        <f>IF($A518=1,"J-"&amp;Sales_Daily!$A44,"")</f>
        <v/>
      </c>
      <c r="D518" s="33">
        <f>IF($A518=1,Sales_Daily!$B44,"")</f>
        <v/>
      </c>
      <c r="E518" s="32">
        <f>IF($A518=1,IF(Sales_Daily!$A44="","",Sales_Daily!$A44),"")</f>
        <v/>
      </c>
      <c r="F518" s="32">
        <f>IF($A518=1,"SAL","")</f>
        <v/>
      </c>
      <c r="G518" s="32">
        <f>IF($A518=1,ACC_DISC,"")</f>
        <v/>
      </c>
      <c r="H518" s="32">
        <f>IF($A518=1,IF(COUNTIF(COA!$A:$A,$G518)=0,"حساب غير معرف",INDEX(COA!$B:$B,MATCH($G518,COA!$A:$A,0))),"")</f>
        <v/>
      </c>
      <c r="I518" s="32">
        <f>IF($A518=1,IF(Sales_Daily!$C44="","",Sales_Daily!$C44),"")</f>
        <v/>
      </c>
      <c r="J518" s="32">
        <f>IF($A518=1,"CC10","")</f>
        <v/>
      </c>
      <c r="K518" s="32">
        <f>IF($A518=1,"-","")</f>
        <v/>
      </c>
      <c r="L518" s="32">
        <f>IF($A518=1,"خصومات المبيعات والعروض","")</f>
        <v/>
      </c>
      <c r="M518" s="43">
        <f>IF($A518=1,Sales_Daily!$AH44,"")</f>
        <v/>
      </c>
      <c r="N518" s="43">
        <f>IF($A518=1,0,"")</f>
        <v/>
      </c>
      <c r="O518" s="32">
        <f>IF($A518=1,Sales_Daily!$S44,"")</f>
        <v/>
      </c>
      <c r="P518" s="32">
        <f>IF($A518=1,IF(Sales_Daily!$AW44="","",Sales_Daily!$AW44),"")</f>
        <v/>
      </c>
      <c r="Q518" s="32">
        <f>IF($A518=1,Sales_Daily!$AY44,"")</f>
        <v/>
      </c>
      <c r="R518" s="32">
        <f>IF($A518=1,IF(AND($Q518=1,COUNTIFS(COA!$A:$A,$G518,COA!$R:$R,1)=1),1,0),"")</f>
        <v/>
      </c>
      <c r="S518" s="43">
        <f>IF($A518=1,IF($R518=1,N($M518),0),"")</f>
        <v/>
      </c>
      <c r="T518" s="43">
        <f>IF($A518=1,IF($R518=1,N($N518),0),"")</f>
        <v/>
      </c>
      <c r="U518" s="32">
        <f>IF($A518=1,YEAR($D518)*100+MONTH($D518),"")</f>
        <v/>
      </c>
      <c r="V518" s="32">
        <f>IF($A518=1,IF(COUNTIF(COA!$A:$A,$G518)=0,0,INDEX(COA!$H:$H,MATCH($G518,COA!$A:$A,0))),"")</f>
        <v/>
      </c>
      <c r="W518" s="32">
        <f>IF($A518=1,"","")</f>
        <v/>
      </c>
      <c r="X518" s="32">
        <f>IF($A518=1,IF($R518=1,"",IF($O518=ST_POST,IF($P518&lt;&gt;"",$P518,"حساب غير صالح أو غير نشط"),IF($O518=ST_REV,"معكوس: لا أثر على الدفاتر",IF($O518=ST_CANC,"ملغى",IF($O518=ST_APPR,"معتمد ولم يُرحَّل","مسودة"))))),"")</f>
        <v/>
      </c>
      <c r="Y518" s="32">
        <f>IF($A518=1,IF(AND($R518=1,OR(LG_Acct="",$G518=LG_Acct),OR(LG_Party="",$K518=LG_Party),OR(LG_Loc="ALL",$I518=LG_Loc),OR(LG_CC="ALL",$J518=LG_CC),$D518&gt;=LG_From,$D518&lt;=LG_To),$D518+ROW()/1000000,""),"")</f>
        <v/>
      </c>
      <c r="Z518" s="32">
        <f>IF($A518=1,IF(Sales_Daily!$T44="","",Sales_Daily!$T44),"")</f>
        <v/>
      </c>
      <c r="AA518" s="32">
        <f>IF($A518=1,IF(Sales_Daily!$U44="","",Sales_Daily!$U44),"")</f>
        <v/>
      </c>
      <c r="AB518" s="32">
        <f>IF($A518=1,IF(Sales_Daily!$V44="","",Sales_Daily!$V44),"")</f>
        <v/>
      </c>
      <c r="AC518" s="32">
        <f>IF($A518=1,IF(Sales_Daily!$W44="","",Sales_Daily!$W44),"")</f>
        <v/>
      </c>
      <c r="AD518" s="32">
        <f>IF($A518=1,IF(Sales_Daily!$X44="","",Sales_Daily!$X44),"")</f>
        <v/>
      </c>
      <c r="AE518" s="32">
        <f>IF($A518=1,0,"")</f>
        <v/>
      </c>
      <c r="AF518" s="32" t="inlineStr"/>
    </row>
    <row r="519">
      <c r="A519" s="32">
        <f>IF(AND(Sales_Daily!$AV44=1,N(Sales_Daily!$AI44)&gt;0),1,0)</f>
        <v/>
      </c>
      <c r="B519" s="32">
        <f>IF($A519=1,$E519&amp;"/8","")</f>
        <v/>
      </c>
      <c r="C519" s="32">
        <f>IF($A519=1,"J-"&amp;Sales_Daily!$A44,"")</f>
        <v/>
      </c>
      <c r="D519" s="33">
        <f>IF($A519=1,Sales_Daily!$B44,"")</f>
        <v/>
      </c>
      <c r="E519" s="32">
        <f>IF($A519=1,IF(Sales_Daily!$A44="","",Sales_Daily!$A44),"")</f>
        <v/>
      </c>
      <c r="F519" s="32">
        <f>IF($A519=1,"SAL","")</f>
        <v/>
      </c>
      <c r="G519" s="32">
        <f>IF($A519=1,ACC_RET,"")</f>
        <v/>
      </c>
      <c r="H519" s="32">
        <f>IF($A519=1,IF(COUNTIF(COA!$A:$A,$G519)=0,"حساب غير معرف",INDEX(COA!$B:$B,MATCH($G519,COA!$A:$A,0))),"")</f>
        <v/>
      </c>
      <c r="I519" s="32">
        <f>IF($A519=1,IF(Sales_Daily!$C44="","",Sales_Daily!$C44),"")</f>
        <v/>
      </c>
      <c r="J519" s="32">
        <f>IF($A519=1,"CC10","")</f>
        <v/>
      </c>
      <c r="K519" s="32">
        <f>IF($A519=1,"-","")</f>
        <v/>
      </c>
      <c r="L519" s="32">
        <f>IF($A519=1,"مرتجعات وإلغاءات المبيعات","")</f>
        <v/>
      </c>
      <c r="M519" s="43">
        <f>IF($A519=1,Sales_Daily!$AI44,"")</f>
        <v/>
      </c>
      <c r="N519" s="43">
        <f>IF($A519=1,0,"")</f>
        <v/>
      </c>
      <c r="O519" s="32">
        <f>IF($A519=1,Sales_Daily!$S44,"")</f>
        <v/>
      </c>
      <c r="P519" s="32">
        <f>IF($A519=1,IF(Sales_Daily!$AW44="","",Sales_Daily!$AW44),"")</f>
        <v/>
      </c>
      <c r="Q519" s="32">
        <f>IF($A519=1,Sales_Daily!$AY44,"")</f>
        <v/>
      </c>
      <c r="R519" s="32">
        <f>IF($A519=1,IF(AND($Q519=1,COUNTIFS(COA!$A:$A,$G519,COA!$R:$R,1)=1),1,0),"")</f>
        <v/>
      </c>
      <c r="S519" s="43">
        <f>IF($A519=1,IF($R519=1,N($M519),0),"")</f>
        <v/>
      </c>
      <c r="T519" s="43">
        <f>IF($A519=1,IF($R519=1,N($N519),0),"")</f>
        <v/>
      </c>
      <c r="U519" s="32">
        <f>IF($A519=1,YEAR($D519)*100+MONTH($D519),"")</f>
        <v/>
      </c>
      <c r="V519" s="32">
        <f>IF($A519=1,IF(COUNTIF(COA!$A:$A,$G519)=0,0,INDEX(COA!$H:$H,MATCH($G519,COA!$A:$A,0))),"")</f>
        <v/>
      </c>
      <c r="W519" s="32">
        <f>IF($A519=1,"","")</f>
        <v/>
      </c>
      <c r="X519" s="32">
        <f>IF($A519=1,IF($R519=1,"",IF($O519=ST_POST,IF($P519&lt;&gt;"",$P519,"حساب غير صالح أو غير نشط"),IF($O519=ST_REV,"معكوس: لا أثر على الدفاتر",IF($O519=ST_CANC,"ملغى",IF($O519=ST_APPR,"معتمد ولم يُرحَّل","مسودة"))))),"")</f>
        <v/>
      </c>
      <c r="Y519" s="32">
        <f>IF($A519=1,IF(AND($R519=1,OR(LG_Acct="",$G519=LG_Acct),OR(LG_Party="",$K519=LG_Party),OR(LG_Loc="ALL",$I519=LG_Loc),OR(LG_CC="ALL",$J519=LG_CC),$D519&gt;=LG_From,$D519&lt;=LG_To),$D519+ROW()/1000000,""),"")</f>
        <v/>
      </c>
      <c r="Z519" s="32">
        <f>IF($A519=1,IF(Sales_Daily!$T44="","",Sales_Daily!$T44),"")</f>
        <v/>
      </c>
      <c r="AA519" s="32">
        <f>IF($A519=1,IF(Sales_Daily!$U44="","",Sales_Daily!$U44),"")</f>
        <v/>
      </c>
      <c r="AB519" s="32">
        <f>IF($A519=1,IF(Sales_Daily!$V44="","",Sales_Daily!$V44),"")</f>
        <v/>
      </c>
      <c r="AC519" s="32">
        <f>IF($A519=1,IF(Sales_Daily!$W44="","",Sales_Daily!$W44),"")</f>
        <v/>
      </c>
      <c r="AD519" s="32">
        <f>IF($A519=1,IF(Sales_Daily!$X44="","",Sales_Daily!$X44),"")</f>
        <v/>
      </c>
      <c r="AE519" s="32">
        <f>IF($A519=1,0,"")</f>
        <v/>
      </c>
      <c r="AF519" s="32" t="inlineStr"/>
    </row>
    <row r="520">
      <c r="A520" s="32">
        <f>IF(AND(Sales_Daily!$AV44=1,N(Sales_Daily!$AD44)&gt;0),1,0)</f>
        <v/>
      </c>
      <c r="B520" s="32">
        <f>IF($A520=1,$E520&amp;"/9","")</f>
        <v/>
      </c>
      <c r="C520" s="32">
        <f>IF($A520=1,"J-"&amp;Sales_Daily!$A44,"")</f>
        <v/>
      </c>
      <c r="D520" s="33">
        <f>IF($A520=1,Sales_Daily!$B44,"")</f>
        <v/>
      </c>
      <c r="E520" s="32">
        <f>IF($A520=1,IF(Sales_Daily!$A44="","",Sales_Daily!$A44),"")</f>
        <v/>
      </c>
      <c r="F520" s="32">
        <f>IF($A520=1,"SAL","")</f>
        <v/>
      </c>
      <c r="G520" s="32">
        <f>IF($A520=1,IF(Sales_Daily!$AQ44="","",Sales_Daily!$AQ44),"")</f>
        <v/>
      </c>
      <c r="H520" s="32">
        <f>IF($A520=1,IF(COUNTIF(COA!$A:$A,$G520)=0,"حساب غير معرف",INDEX(COA!$B:$B,MATCH($G520,COA!$A:$A,0))),"")</f>
        <v/>
      </c>
      <c r="I520" s="32">
        <f>IF($A520=1,IF(Sales_Daily!$C44="","",Sales_Daily!$C44),"")</f>
        <v/>
      </c>
      <c r="J520" s="32">
        <f>IF($A520=1,"CC10","")</f>
        <v/>
      </c>
      <c r="K520" s="32">
        <f>IF($A520=1,"-","")</f>
        <v/>
      </c>
      <c r="L520" s="32">
        <f>IF($A520=1,"إيراد مبيعات - فئة فطير","")</f>
        <v/>
      </c>
      <c r="M520" s="43">
        <f>IF($A520=1,0,"")</f>
        <v/>
      </c>
      <c r="N520" s="43">
        <f>IF($A520=1,Sales_Daily!$AD44,"")</f>
        <v/>
      </c>
      <c r="O520" s="32">
        <f>IF($A520=1,Sales_Daily!$S44,"")</f>
        <v/>
      </c>
      <c r="P520" s="32">
        <f>IF($A520=1,IF(Sales_Daily!$AW44="","",Sales_Daily!$AW44),"")</f>
        <v/>
      </c>
      <c r="Q520" s="32">
        <f>IF($A520=1,Sales_Daily!$AY44,"")</f>
        <v/>
      </c>
      <c r="R520" s="32">
        <f>IF($A520=1,IF(AND($Q520=1,COUNTIFS(COA!$A:$A,$G520,COA!$R:$R,1)=1),1,0),"")</f>
        <v/>
      </c>
      <c r="S520" s="43">
        <f>IF($A520=1,IF($R520=1,N($M520),0),"")</f>
        <v/>
      </c>
      <c r="T520" s="43">
        <f>IF($A520=1,IF($R520=1,N($N520),0),"")</f>
        <v/>
      </c>
      <c r="U520" s="32">
        <f>IF($A520=1,YEAR($D520)*100+MONTH($D520),"")</f>
        <v/>
      </c>
      <c r="V520" s="32">
        <f>IF($A520=1,IF(COUNTIF(COA!$A:$A,$G520)=0,0,INDEX(COA!$H:$H,MATCH($G520,COA!$A:$A,0))),"")</f>
        <v/>
      </c>
      <c r="W520" s="32">
        <f>IF($A520=1,"","")</f>
        <v/>
      </c>
      <c r="X520" s="32">
        <f>IF($A520=1,IF($R520=1,"",IF($O520=ST_POST,IF($P520&lt;&gt;"",$P520,"حساب غير صالح أو غير نشط"),IF($O520=ST_REV,"معكوس: لا أثر على الدفاتر",IF($O520=ST_CANC,"ملغى",IF($O520=ST_APPR,"معتمد ولم يُرحَّل","مسودة"))))),"")</f>
        <v/>
      </c>
      <c r="Y520" s="32">
        <f>IF($A520=1,IF(AND($R520=1,OR(LG_Acct="",$G520=LG_Acct),OR(LG_Party="",$K520=LG_Party),OR(LG_Loc="ALL",$I520=LG_Loc),OR(LG_CC="ALL",$J520=LG_CC),$D520&gt;=LG_From,$D520&lt;=LG_To),$D520+ROW()/1000000,""),"")</f>
        <v/>
      </c>
      <c r="Z520" s="32">
        <f>IF($A520=1,IF(Sales_Daily!$T44="","",Sales_Daily!$T44),"")</f>
        <v/>
      </c>
      <c r="AA520" s="32">
        <f>IF($A520=1,IF(Sales_Daily!$U44="","",Sales_Daily!$U44),"")</f>
        <v/>
      </c>
      <c r="AB520" s="32">
        <f>IF($A520=1,IF(Sales_Daily!$V44="","",Sales_Daily!$V44),"")</f>
        <v/>
      </c>
      <c r="AC520" s="32">
        <f>IF($A520=1,IF(Sales_Daily!$W44="","",Sales_Daily!$W44),"")</f>
        <v/>
      </c>
      <c r="AD520" s="32">
        <f>IF($A520=1,IF(Sales_Daily!$X44="","",Sales_Daily!$X44),"")</f>
        <v/>
      </c>
      <c r="AE520" s="32">
        <f>IF($A520=1,0,"")</f>
        <v/>
      </c>
      <c r="AF520" s="32" t="inlineStr"/>
    </row>
    <row r="521">
      <c r="A521" s="32">
        <f>IF(AND(Sales_Daily!$AV44=1,N(Sales_Daily!$AE44)&gt;0),1,0)</f>
        <v/>
      </c>
      <c r="B521" s="32">
        <f>IF($A521=1,$E521&amp;"/10","")</f>
        <v/>
      </c>
      <c r="C521" s="32">
        <f>IF($A521=1,"J-"&amp;Sales_Daily!$A44,"")</f>
        <v/>
      </c>
      <c r="D521" s="33">
        <f>IF($A521=1,Sales_Daily!$B44,"")</f>
        <v/>
      </c>
      <c r="E521" s="32">
        <f>IF($A521=1,IF(Sales_Daily!$A44="","",Sales_Daily!$A44),"")</f>
        <v/>
      </c>
      <c r="F521" s="32">
        <f>IF($A521=1,"SAL","")</f>
        <v/>
      </c>
      <c r="G521" s="32">
        <f>IF($A521=1,IF(Sales_Daily!$AR44="","",Sales_Daily!$AR44),"")</f>
        <v/>
      </c>
      <c r="H521" s="32">
        <f>IF($A521=1,IF(COUNTIF(COA!$A:$A,$G521)=0,"حساب غير معرف",INDEX(COA!$B:$B,MATCH($G521,COA!$A:$A,0))),"")</f>
        <v/>
      </c>
      <c r="I521" s="32">
        <f>IF($A521=1,IF(Sales_Daily!$C44="","",Sales_Daily!$C44),"")</f>
        <v/>
      </c>
      <c r="J521" s="32">
        <f>IF($A521=1,"CC10","")</f>
        <v/>
      </c>
      <c r="K521" s="32">
        <f>IF($A521=1,"-","")</f>
        <v/>
      </c>
      <c r="L521" s="32">
        <f>IF($A521=1,"إيراد مبيعات - فئة بيتزا","")</f>
        <v/>
      </c>
      <c r="M521" s="43">
        <f>IF($A521=1,0,"")</f>
        <v/>
      </c>
      <c r="N521" s="43">
        <f>IF($A521=1,Sales_Daily!$AE44,"")</f>
        <v/>
      </c>
      <c r="O521" s="32">
        <f>IF($A521=1,Sales_Daily!$S44,"")</f>
        <v/>
      </c>
      <c r="P521" s="32">
        <f>IF($A521=1,IF(Sales_Daily!$AW44="","",Sales_Daily!$AW44),"")</f>
        <v/>
      </c>
      <c r="Q521" s="32">
        <f>IF($A521=1,Sales_Daily!$AY44,"")</f>
        <v/>
      </c>
      <c r="R521" s="32">
        <f>IF($A521=1,IF(AND($Q521=1,COUNTIFS(COA!$A:$A,$G521,COA!$R:$R,1)=1),1,0),"")</f>
        <v/>
      </c>
      <c r="S521" s="43">
        <f>IF($A521=1,IF($R521=1,N($M521),0),"")</f>
        <v/>
      </c>
      <c r="T521" s="43">
        <f>IF($A521=1,IF($R521=1,N($N521),0),"")</f>
        <v/>
      </c>
      <c r="U521" s="32">
        <f>IF($A521=1,YEAR($D521)*100+MONTH($D521),"")</f>
        <v/>
      </c>
      <c r="V521" s="32">
        <f>IF($A521=1,IF(COUNTIF(COA!$A:$A,$G521)=0,0,INDEX(COA!$H:$H,MATCH($G521,COA!$A:$A,0))),"")</f>
        <v/>
      </c>
      <c r="W521" s="32">
        <f>IF($A521=1,"","")</f>
        <v/>
      </c>
      <c r="X521" s="32">
        <f>IF($A521=1,IF($R521=1,"",IF($O521=ST_POST,IF($P521&lt;&gt;"",$P521,"حساب غير صالح أو غير نشط"),IF($O521=ST_REV,"معكوس: لا أثر على الدفاتر",IF($O521=ST_CANC,"ملغى",IF($O521=ST_APPR,"معتمد ولم يُرحَّل","مسودة"))))),"")</f>
        <v/>
      </c>
      <c r="Y521" s="32">
        <f>IF($A521=1,IF(AND($R521=1,OR(LG_Acct="",$G521=LG_Acct),OR(LG_Party="",$K521=LG_Party),OR(LG_Loc="ALL",$I521=LG_Loc),OR(LG_CC="ALL",$J521=LG_CC),$D521&gt;=LG_From,$D521&lt;=LG_To),$D521+ROW()/1000000,""),"")</f>
        <v/>
      </c>
      <c r="Z521" s="32">
        <f>IF($A521=1,IF(Sales_Daily!$T44="","",Sales_Daily!$T44),"")</f>
        <v/>
      </c>
      <c r="AA521" s="32">
        <f>IF($A521=1,IF(Sales_Daily!$U44="","",Sales_Daily!$U44),"")</f>
        <v/>
      </c>
      <c r="AB521" s="32">
        <f>IF($A521=1,IF(Sales_Daily!$V44="","",Sales_Daily!$V44),"")</f>
        <v/>
      </c>
      <c r="AC521" s="32">
        <f>IF($A521=1,IF(Sales_Daily!$W44="","",Sales_Daily!$W44),"")</f>
        <v/>
      </c>
      <c r="AD521" s="32">
        <f>IF($A521=1,IF(Sales_Daily!$X44="","",Sales_Daily!$X44),"")</f>
        <v/>
      </c>
      <c r="AE521" s="32">
        <f>IF($A521=1,0,"")</f>
        <v/>
      </c>
      <c r="AF521" s="32" t="inlineStr"/>
    </row>
    <row r="522">
      <c r="A522" s="32">
        <f>IF(AND(Sales_Daily!$AV44=1,N(Sales_Daily!$AF44)&gt;0),1,0)</f>
        <v/>
      </c>
      <c r="B522" s="32">
        <f>IF($A522=1,$E522&amp;"/11","")</f>
        <v/>
      </c>
      <c r="C522" s="32">
        <f>IF($A522=1,"J-"&amp;Sales_Daily!$A44,"")</f>
        <v/>
      </c>
      <c r="D522" s="33">
        <f>IF($A522=1,Sales_Daily!$B44,"")</f>
        <v/>
      </c>
      <c r="E522" s="32">
        <f>IF($A522=1,IF(Sales_Daily!$A44="","",Sales_Daily!$A44),"")</f>
        <v/>
      </c>
      <c r="F522" s="32">
        <f>IF($A522=1,"SAL","")</f>
        <v/>
      </c>
      <c r="G522" s="32">
        <f>IF($A522=1,IF(Sales_Daily!$AS44="","",Sales_Daily!$AS44),"")</f>
        <v/>
      </c>
      <c r="H522" s="32">
        <f>IF($A522=1,IF(COUNTIF(COA!$A:$A,$G522)=0,"حساب غير معرف",INDEX(COA!$B:$B,MATCH($G522,COA!$A:$A,0))),"")</f>
        <v/>
      </c>
      <c r="I522" s="32">
        <f>IF($A522=1,IF(Sales_Daily!$C44="","",Sales_Daily!$C44),"")</f>
        <v/>
      </c>
      <c r="J522" s="32">
        <f>IF($A522=1,"CC10","")</f>
        <v/>
      </c>
      <c r="K522" s="32">
        <f>IF($A522=1,"-","")</f>
        <v/>
      </c>
      <c r="L522" s="32">
        <f>IF($A522=1,"إيراد مبيعات - فئة مكرونات","")</f>
        <v/>
      </c>
      <c r="M522" s="43">
        <f>IF($A522=1,0,"")</f>
        <v/>
      </c>
      <c r="N522" s="43">
        <f>IF($A522=1,Sales_Daily!$AF44,"")</f>
        <v/>
      </c>
      <c r="O522" s="32">
        <f>IF($A522=1,Sales_Daily!$S44,"")</f>
        <v/>
      </c>
      <c r="P522" s="32">
        <f>IF($A522=1,IF(Sales_Daily!$AW44="","",Sales_Daily!$AW44),"")</f>
        <v/>
      </c>
      <c r="Q522" s="32">
        <f>IF($A522=1,Sales_Daily!$AY44,"")</f>
        <v/>
      </c>
      <c r="R522" s="32">
        <f>IF($A522=1,IF(AND($Q522=1,COUNTIFS(COA!$A:$A,$G522,COA!$R:$R,1)=1),1,0),"")</f>
        <v/>
      </c>
      <c r="S522" s="43">
        <f>IF($A522=1,IF($R522=1,N($M522),0),"")</f>
        <v/>
      </c>
      <c r="T522" s="43">
        <f>IF($A522=1,IF($R522=1,N($N522),0),"")</f>
        <v/>
      </c>
      <c r="U522" s="32">
        <f>IF($A522=1,YEAR($D522)*100+MONTH($D522),"")</f>
        <v/>
      </c>
      <c r="V522" s="32">
        <f>IF($A522=1,IF(COUNTIF(COA!$A:$A,$G522)=0,0,INDEX(COA!$H:$H,MATCH($G522,COA!$A:$A,0))),"")</f>
        <v/>
      </c>
      <c r="W522" s="32">
        <f>IF($A522=1,"","")</f>
        <v/>
      </c>
      <c r="X522" s="32">
        <f>IF($A522=1,IF($R522=1,"",IF($O522=ST_POST,IF($P522&lt;&gt;"",$P522,"حساب غير صالح أو غير نشط"),IF($O522=ST_REV,"معكوس: لا أثر على الدفاتر",IF($O522=ST_CANC,"ملغى",IF($O522=ST_APPR,"معتمد ولم يُرحَّل","مسودة"))))),"")</f>
        <v/>
      </c>
      <c r="Y522" s="32">
        <f>IF($A522=1,IF(AND($R522=1,OR(LG_Acct="",$G522=LG_Acct),OR(LG_Party="",$K522=LG_Party),OR(LG_Loc="ALL",$I522=LG_Loc),OR(LG_CC="ALL",$J522=LG_CC),$D522&gt;=LG_From,$D522&lt;=LG_To),$D522+ROW()/1000000,""),"")</f>
        <v/>
      </c>
      <c r="Z522" s="32">
        <f>IF($A522=1,IF(Sales_Daily!$T44="","",Sales_Daily!$T44),"")</f>
        <v/>
      </c>
      <c r="AA522" s="32">
        <f>IF($A522=1,IF(Sales_Daily!$U44="","",Sales_Daily!$U44),"")</f>
        <v/>
      </c>
      <c r="AB522" s="32">
        <f>IF($A522=1,IF(Sales_Daily!$V44="","",Sales_Daily!$V44),"")</f>
        <v/>
      </c>
      <c r="AC522" s="32">
        <f>IF($A522=1,IF(Sales_Daily!$W44="","",Sales_Daily!$W44),"")</f>
        <v/>
      </c>
      <c r="AD522" s="32">
        <f>IF($A522=1,IF(Sales_Daily!$X44="","",Sales_Daily!$X44),"")</f>
        <v/>
      </c>
      <c r="AE522" s="32">
        <f>IF($A522=1,0,"")</f>
        <v/>
      </c>
      <c r="AF522" s="32" t="inlineStr"/>
    </row>
    <row r="523">
      <c r="A523" s="32">
        <f>IF(AND(Sales_Daily!$AV44=1,N(Sales_Daily!$AG44)&gt;0),1,0)</f>
        <v/>
      </c>
      <c r="B523" s="32">
        <f>IF($A523=1,$E523&amp;"/12","")</f>
        <v/>
      </c>
      <c r="C523" s="32">
        <f>IF($A523=1,"J-"&amp;Sales_Daily!$A44,"")</f>
        <v/>
      </c>
      <c r="D523" s="33">
        <f>IF($A523=1,Sales_Daily!$B44,"")</f>
        <v/>
      </c>
      <c r="E523" s="32">
        <f>IF($A523=1,IF(Sales_Daily!$A44="","",Sales_Daily!$A44),"")</f>
        <v/>
      </c>
      <c r="F523" s="32">
        <f>IF($A523=1,"SAL","")</f>
        <v/>
      </c>
      <c r="G523" s="32">
        <f>IF($A523=1,IF(Sales_Daily!$AT44="","",Sales_Daily!$AT44),"")</f>
        <v/>
      </c>
      <c r="H523" s="32">
        <f>IF($A523=1,IF(COUNTIF(COA!$A:$A,$G523)=0,"حساب غير معرف",INDEX(COA!$B:$B,MATCH($G523,COA!$A:$A,0))),"")</f>
        <v/>
      </c>
      <c r="I523" s="32">
        <f>IF($A523=1,IF(Sales_Daily!$C44="","",Sales_Daily!$C44),"")</f>
        <v/>
      </c>
      <c r="J523" s="32">
        <f>IF($A523=1,"CC10","")</f>
        <v/>
      </c>
      <c r="K523" s="32">
        <f>IF($A523=1,"-","")</f>
        <v/>
      </c>
      <c r="L523" s="32">
        <f>IF($A523=1,"إيراد مبيعات - فئة أخرى","")</f>
        <v/>
      </c>
      <c r="M523" s="43">
        <f>IF($A523=1,0,"")</f>
        <v/>
      </c>
      <c r="N523" s="43">
        <f>IF($A523=1,Sales_Daily!$AG44,"")</f>
        <v/>
      </c>
      <c r="O523" s="32">
        <f>IF($A523=1,Sales_Daily!$S44,"")</f>
        <v/>
      </c>
      <c r="P523" s="32">
        <f>IF($A523=1,IF(Sales_Daily!$AW44="","",Sales_Daily!$AW44),"")</f>
        <v/>
      </c>
      <c r="Q523" s="32">
        <f>IF($A523=1,Sales_Daily!$AY44,"")</f>
        <v/>
      </c>
      <c r="R523" s="32">
        <f>IF($A523=1,IF(AND($Q523=1,COUNTIFS(COA!$A:$A,$G523,COA!$R:$R,1)=1),1,0),"")</f>
        <v/>
      </c>
      <c r="S523" s="43">
        <f>IF($A523=1,IF($R523=1,N($M523),0),"")</f>
        <v/>
      </c>
      <c r="T523" s="43">
        <f>IF($A523=1,IF($R523=1,N($N523),0),"")</f>
        <v/>
      </c>
      <c r="U523" s="32">
        <f>IF($A523=1,YEAR($D523)*100+MONTH($D523),"")</f>
        <v/>
      </c>
      <c r="V523" s="32">
        <f>IF($A523=1,IF(COUNTIF(COA!$A:$A,$G523)=0,0,INDEX(COA!$H:$H,MATCH($G523,COA!$A:$A,0))),"")</f>
        <v/>
      </c>
      <c r="W523" s="32">
        <f>IF($A523=1,"","")</f>
        <v/>
      </c>
      <c r="X523" s="32">
        <f>IF($A523=1,IF($R523=1,"",IF($O523=ST_POST,IF($P523&lt;&gt;"",$P523,"حساب غير صالح أو غير نشط"),IF($O523=ST_REV,"معكوس: لا أثر على الدفاتر",IF($O523=ST_CANC,"ملغى",IF($O523=ST_APPR,"معتمد ولم يُرحَّل","مسودة"))))),"")</f>
        <v/>
      </c>
      <c r="Y523" s="32">
        <f>IF($A523=1,IF(AND($R523=1,OR(LG_Acct="",$G523=LG_Acct),OR(LG_Party="",$K523=LG_Party),OR(LG_Loc="ALL",$I523=LG_Loc),OR(LG_CC="ALL",$J523=LG_CC),$D523&gt;=LG_From,$D523&lt;=LG_To),$D523+ROW()/1000000,""),"")</f>
        <v/>
      </c>
      <c r="Z523" s="32">
        <f>IF($A523=1,IF(Sales_Daily!$T44="","",Sales_Daily!$T44),"")</f>
        <v/>
      </c>
      <c r="AA523" s="32">
        <f>IF($A523=1,IF(Sales_Daily!$U44="","",Sales_Daily!$U44),"")</f>
        <v/>
      </c>
      <c r="AB523" s="32">
        <f>IF($A523=1,IF(Sales_Daily!$V44="","",Sales_Daily!$V44),"")</f>
        <v/>
      </c>
      <c r="AC523" s="32">
        <f>IF($A523=1,IF(Sales_Daily!$W44="","",Sales_Daily!$W44),"")</f>
        <v/>
      </c>
      <c r="AD523" s="32">
        <f>IF($A523=1,IF(Sales_Daily!$X44="","",Sales_Daily!$X44),"")</f>
        <v/>
      </c>
      <c r="AE523" s="32">
        <f>IF($A523=1,0,"")</f>
        <v/>
      </c>
      <c r="AF523" s="32" t="inlineStr"/>
    </row>
    <row r="524">
      <c r="A524" s="32">
        <f>IF(AND(Sales_Daily!$AV44=1,N(Sales_Daily!$AJ44)&gt;0),1,0)</f>
        <v/>
      </c>
      <c r="B524" s="32">
        <f>IF($A524=1,$E524&amp;"/13","")</f>
        <v/>
      </c>
      <c r="C524" s="32">
        <f>IF($A524=1,"J-"&amp;Sales_Daily!$A44,"")</f>
        <v/>
      </c>
      <c r="D524" s="33">
        <f>IF($A524=1,Sales_Daily!$B44,"")</f>
        <v/>
      </c>
      <c r="E524" s="32">
        <f>IF($A524=1,IF(Sales_Daily!$A44="","",Sales_Daily!$A44),"")</f>
        <v/>
      </c>
      <c r="F524" s="32">
        <f>IF($A524=1,"SAL","")</f>
        <v/>
      </c>
      <c r="G524" s="32">
        <f>IF($A524=1,ACC_VAT_OUT,"")</f>
        <v/>
      </c>
      <c r="H524" s="32">
        <f>IF($A524=1,IF(COUNTIF(COA!$A:$A,$G524)=0,"حساب غير معرف",INDEX(COA!$B:$B,MATCH($G524,COA!$A:$A,0))),"")</f>
        <v/>
      </c>
      <c r="I524" s="32">
        <f>IF($A524=1,IF(Sales_Daily!$C44="","",Sales_Daily!$C44),"")</f>
        <v/>
      </c>
      <c r="J524" s="32">
        <f>IF($A524=1,"CC10","")</f>
        <v/>
      </c>
      <c r="K524" s="32">
        <f>IF($A524=1,"-","")</f>
        <v/>
      </c>
      <c r="L524" s="32">
        <f>IF($A524=1,"ضريبة القيمة المضافة - مخرجات","")</f>
        <v/>
      </c>
      <c r="M524" s="43">
        <f>IF($A524=1,0,"")</f>
        <v/>
      </c>
      <c r="N524" s="43">
        <f>IF($A524=1,Sales_Daily!$AJ44,"")</f>
        <v/>
      </c>
      <c r="O524" s="32">
        <f>IF($A524=1,Sales_Daily!$S44,"")</f>
        <v/>
      </c>
      <c r="P524" s="32">
        <f>IF($A524=1,IF(Sales_Daily!$AW44="","",Sales_Daily!$AW44),"")</f>
        <v/>
      </c>
      <c r="Q524" s="32">
        <f>IF($A524=1,Sales_Daily!$AY44,"")</f>
        <v/>
      </c>
      <c r="R524" s="32">
        <f>IF($A524=1,IF(AND($Q524=1,COUNTIFS(COA!$A:$A,$G524,COA!$R:$R,1)=1),1,0),"")</f>
        <v/>
      </c>
      <c r="S524" s="43">
        <f>IF($A524=1,IF($R524=1,N($M524),0),"")</f>
        <v/>
      </c>
      <c r="T524" s="43">
        <f>IF($A524=1,IF($R524=1,N($N524),0),"")</f>
        <v/>
      </c>
      <c r="U524" s="32">
        <f>IF($A524=1,YEAR($D524)*100+MONTH($D524),"")</f>
        <v/>
      </c>
      <c r="V524" s="32">
        <f>IF($A524=1,IF(COUNTIF(COA!$A:$A,$G524)=0,0,INDEX(COA!$H:$H,MATCH($G524,COA!$A:$A,0))),"")</f>
        <v/>
      </c>
      <c r="W524" s="32">
        <f>IF($A524=1,"","")</f>
        <v/>
      </c>
      <c r="X524" s="32">
        <f>IF($A524=1,IF($R524=1,"",IF($O524=ST_POST,IF($P524&lt;&gt;"",$P524,"حساب غير صالح أو غير نشط"),IF($O524=ST_REV,"معكوس: لا أثر على الدفاتر",IF($O524=ST_CANC,"ملغى",IF($O524=ST_APPR,"معتمد ولم يُرحَّل","مسودة"))))),"")</f>
        <v/>
      </c>
      <c r="Y524" s="32">
        <f>IF($A524=1,IF(AND($R524=1,OR(LG_Acct="",$G524=LG_Acct),OR(LG_Party="",$K524=LG_Party),OR(LG_Loc="ALL",$I524=LG_Loc),OR(LG_CC="ALL",$J524=LG_CC),$D524&gt;=LG_From,$D524&lt;=LG_To),$D524+ROW()/1000000,""),"")</f>
        <v/>
      </c>
      <c r="Z524" s="32">
        <f>IF($A524=1,IF(Sales_Daily!$T44="","",Sales_Daily!$T44),"")</f>
        <v/>
      </c>
      <c r="AA524" s="32">
        <f>IF($A524=1,IF(Sales_Daily!$U44="","",Sales_Daily!$U44),"")</f>
        <v/>
      </c>
      <c r="AB524" s="32">
        <f>IF($A524=1,IF(Sales_Daily!$V44="","",Sales_Daily!$V44),"")</f>
        <v/>
      </c>
      <c r="AC524" s="32">
        <f>IF($A524=1,IF(Sales_Daily!$W44="","",Sales_Daily!$W44),"")</f>
        <v/>
      </c>
      <c r="AD524" s="32">
        <f>IF($A524=1,IF(Sales_Daily!$X44="","",Sales_Daily!$X44),"")</f>
        <v/>
      </c>
      <c r="AE524" s="32">
        <f>IF($A524=1,0,"")</f>
        <v/>
      </c>
      <c r="AF524" s="32" t="inlineStr"/>
    </row>
    <row r="525">
      <c r="A525" s="32">
        <f>IF(AND(Sales_Daily!$AV45=1,N(Sales_Daily!$L45)&gt;0),1,0)</f>
        <v/>
      </c>
      <c r="B525" s="32">
        <f>IF($A525=1,$E525&amp;"/1","")</f>
        <v/>
      </c>
      <c r="C525" s="32">
        <f>IF($A525=1,"J-"&amp;Sales_Daily!$A45,"")</f>
        <v/>
      </c>
      <c r="D525" s="33">
        <f>IF($A525=1,Sales_Daily!$B45,"")</f>
        <v/>
      </c>
      <c r="E525" s="32">
        <f>IF($A525=1,IF(Sales_Daily!$A45="","",Sales_Daily!$A45),"")</f>
        <v/>
      </c>
      <c r="F525" s="32">
        <f>IF($A525=1,"SAL","")</f>
        <v/>
      </c>
      <c r="G525" s="32">
        <f>IF($A525=1,IF(Sales_Daily!$AK45="","",Sales_Daily!$AK45),"")</f>
        <v/>
      </c>
      <c r="H525" s="32">
        <f>IF($A525=1,IF(COUNTIF(COA!$A:$A,$G525)=0,"حساب غير معرف",INDEX(COA!$B:$B,MATCH($G525,COA!$A:$A,0))),"")</f>
        <v/>
      </c>
      <c r="I525" s="32">
        <f>IF($A525=1,IF(Sales_Daily!$C45="","",Sales_Daily!$C45),"")</f>
        <v/>
      </c>
      <c r="J525" s="32">
        <f>IF($A525=1,"CC10","")</f>
        <v/>
      </c>
      <c r="K525" s="32">
        <f>IF($A525=1,"-","")</f>
        <v/>
      </c>
      <c r="L525" s="32">
        <f>IF($A525=1,"مبيعات - تحصيل CASH","")</f>
        <v/>
      </c>
      <c r="M525" s="43">
        <f>IF($A525=1,Sales_Daily!$L45,"")</f>
        <v/>
      </c>
      <c r="N525" s="43">
        <f>IF($A525=1,0,"")</f>
        <v/>
      </c>
      <c r="O525" s="32">
        <f>IF($A525=1,Sales_Daily!$S45,"")</f>
        <v/>
      </c>
      <c r="P525" s="32">
        <f>IF($A525=1,IF(Sales_Daily!$AW45="","",Sales_Daily!$AW45),"")</f>
        <v/>
      </c>
      <c r="Q525" s="32">
        <f>IF($A525=1,Sales_Daily!$AY45,"")</f>
        <v/>
      </c>
      <c r="R525" s="32">
        <f>IF($A525=1,IF(AND($Q525=1,COUNTIFS(COA!$A:$A,$G525,COA!$R:$R,1)=1),1,0),"")</f>
        <v/>
      </c>
      <c r="S525" s="43">
        <f>IF($A525=1,IF($R525=1,N($M525),0),"")</f>
        <v/>
      </c>
      <c r="T525" s="43">
        <f>IF($A525=1,IF($R525=1,N($N525),0),"")</f>
        <v/>
      </c>
      <c r="U525" s="32">
        <f>IF($A525=1,YEAR($D525)*100+MONTH($D525),"")</f>
        <v/>
      </c>
      <c r="V525" s="32">
        <f>IF($A525=1,IF(COUNTIF(COA!$A:$A,$G525)=0,0,INDEX(COA!$H:$H,MATCH($G525,COA!$A:$A,0))),"")</f>
        <v/>
      </c>
      <c r="W525" s="32">
        <f>IF($A525=1,"OPERATING","")</f>
        <v/>
      </c>
      <c r="X525" s="32">
        <f>IF($A525=1,IF($R525=1,"",IF($O525=ST_POST,IF($P525&lt;&gt;"",$P525,"حساب غير صالح أو غير نشط"),IF($O525=ST_REV,"معكوس: لا أثر على الدفاتر",IF($O525=ST_CANC,"ملغى",IF($O525=ST_APPR,"معتمد ولم يُرحَّل","مسودة"))))),"")</f>
        <v/>
      </c>
      <c r="Y525" s="32">
        <f>IF($A525=1,IF(AND($R525=1,OR(LG_Acct="",$G525=LG_Acct),OR(LG_Party="",$K525=LG_Party),OR(LG_Loc="ALL",$I525=LG_Loc),OR(LG_CC="ALL",$J525=LG_CC),$D525&gt;=LG_From,$D525&lt;=LG_To),$D525+ROW()/1000000,""),"")</f>
        <v/>
      </c>
      <c r="Z525" s="32">
        <f>IF($A525=1,IF(Sales_Daily!$T45="","",Sales_Daily!$T45),"")</f>
        <v/>
      </c>
      <c r="AA525" s="32">
        <f>IF($A525=1,IF(Sales_Daily!$U45="","",Sales_Daily!$U45),"")</f>
        <v/>
      </c>
      <c r="AB525" s="32">
        <f>IF($A525=1,IF(Sales_Daily!$V45="","",Sales_Daily!$V45),"")</f>
        <v/>
      </c>
      <c r="AC525" s="32">
        <f>IF($A525=1,IF(Sales_Daily!$W45="","",Sales_Daily!$W45),"")</f>
        <v/>
      </c>
      <c r="AD525" s="32">
        <f>IF($A525=1,IF(Sales_Daily!$X45="","",Sales_Daily!$X45),"")</f>
        <v/>
      </c>
      <c r="AE525" s="32">
        <f>IF($A525=1,0,"")</f>
        <v/>
      </c>
      <c r="AF525" s="32" t="inlineStr"/>
    </row>
    <row r="526">
      <c r="A526" s="32">
        <f>IF(AND(Sales_Daily!$AV45=1,N(Sales_Daily!$M45)&gt;0),1,0)</f>
        <v/>
      </c>
      <c r="B526" s="32">
        <f>IF($A526=1,$E526&amp;"/2","")</f>
        <v/>
      </c>
      <c r="C526" s="32">
        <f>IF($A526=1,"J-"&amp;Sales_Daily!$A45,"")</f>
        <v/>
      </c>
      <c r="D526" s="33">
        <f>IF($A526=1,Sales_Daily!$B45,"")</f>
        <v/>
      </c>
      <c r="E526" s="32">
        <f>IF($A526=1,IF(Sales_Daily!$A45="","",Sales_Daily!$A45),"")</f>
        <v/>
      </c>
      <c r="F526" s="32">
        <f>IF($A526=1,"SAL","")</f>
        <v/>
      </c>
      <c r="G526" s="32">
        <f>IF($A526=1,IF(Sales_Daily!$AL45="","",Sales_Daily!$AL45),"")</f>
        <v/>
      </c>
      <c r="H526" s="32">
        <f>IF($A526=1,IF(COUNTIF(COA!$A:$A,$G526)=0,"حساب غير معرف",INDEX(COA!$B:$B,MATCH($G526,COA!$A:$A,0))),"")</f>
        <v/>
      </c>
      <c r="I526" s="32">
        <f>IF($A526=1,IF(Sales_Daily!$C45="","",Sales_Daily!$C45),"")</f>
        <v/>
      </c>
      <c r="J526" s="32">
        <f>IF($A526=1,"CC10","")</f>
        <v/>
      </c>
      <c r="K526" s="32">
        <f>IF($A526=1,"-","")</f>
        <v/>
      </c>
      <c r="L526" s="32">
        <f>IF($A526=1,"مبيعات - تحصيل CARD","")</f>
        <v/>
      </c>
      <c r="M526" s="43">
        <f>IF($A526=1,Sales_Daily!$M45,"")</f>
        <v/>
      </c>
      <c r="N526" s="43">
        <f>IF($A526=1,0,"")</f>
        <v/>
      </c>
      <c r="O526" s="32">
        <f>IF($A526=1,Sales_Daily!$S45,"")</f>
        <v/>
      </c>
      <c r="P526" s="32">
        <f>IF($A526=1,IF(Sales_Daily!$AW45="","",Sales_Daily!$AW45),"")</f>
        <v/>
      </c>
      <c r="Q526" s="32">
        <f>IF($A526=1,Sales_Daily!$AY45,"")</f>
        <v/>
      </c>
      <c r="R526" s="32">
        <f>IF($A526=1,IF(AND($Q526=1,COUNTIFS(COA!$A:$A,$G526,COA!$R:$R,1)=1),1,0),"")</f>
        <v/>
      </c>
      <c r="S526" s="43">
        <f>IF($A526=1,IF($R526=1,N($M526),0),"")</f>
        <v/>
      </c>
      <c r="T526" s="43">
        <f>IF($A526=1,IF($R526=1,N($N526),0),"")</f>
        <v/>
      </c>
      <c r="U526" s="32">
        <f>IF($A526=1,YEAR($D526)*100+MONTH($D526),"")</f>
        <v/>
      </c>
      <c r="V526" s="32">
        <f>IF($A526=1,IF(COUNTIF(COA!$A:$A,$G526)=0,0,INDEX(COA!$H:$H,MATCH($G526,COA!$A:$A,0))),"")</f>
        <v/>
      </c>
      <c r="W526" s="32">
        <f>IF($A526=1,"OPERATING","")</f>
        <v/>
      </c>
      <c r="X526" s="32">
        <f>IF($A526=1,IF($R526=1,"",IF($O526=ST_POST,IF($P526&lt;&gt;"",$P526,"حساب غير صالح أو غير نشط"),IF($O526=ST_REV,"معكوس: لا أثر على الدفاتر",IF($O526=ST_CANC,"ملغى",IF($O526=ST_APPR,"معتمد ولم يُرحَّل","مسودة"))))),"")</f>
        <v/>
      </c>
      <c r="Y526" s="32">
        <f>IF($A526=1,IF(AND($R526=1,OR(LG_Acct="",$G526=LG_Acct),OR(LG_Party="",$K526=LG_Party),OR(LG_Loc="ALL",$I526=LG_Loc),OR(LG_CC="ALL",$J526=LG_CC),$D526&gt;=LG_From,$D526&lt;=LG_To),$D526+ROW()/1000000,""),"")</f>
        <v/>
      </c>
      <c r="Z526" s="32">
        <f>IF($A526=1,IF(Sales_Daily!$T45="","",Sales_Daily!$T45),"")</f>
        <v/>
      </c>
      <c r="AA526" s="32">
        <f>IF($A526=1,IF(Sales_Daily!$U45="","",Sales_Daily!$U45),"")</f>
        <v/>
      </c>
      <c r="AB526" s="32">
        <f>IF($A526=1,IF(Sales_Daily!$V45="","",Sales_Daily!$V45),"")</f>
        <v/>
      </c>
      <c r="AC526" s="32">
        <f>IF($A526=1,IF(Sales_Daily!$W45="","",Sales_Daily!$W45),"")</f>
        <v/>
      </c>
      <c r="AD526" s="32">
        <f>IF($A526=1,IF(Sales_Daily!$X45="","",Sales_Daily!$X45),"")</f>
        <v/>
      </c>
      <c r="AE526" s="32">
        <f>IF($A526=1,0,"")</f>
        <v/>
      </c>
      <c r="AF526" s="32" t="inlineStr"/>
    </row>
    <row r="527">
      <c r="A527" s="32">
        <f>IF(AND(Sales_Daily!$AV45=1,N(Sales_Daily!$N45)&gt;0),1,0)</f>
        <v/>
      </c>
      <c r="B527" s="32">
        <f>IF($A527=1,$E527&amp;"/3","")</f>
        <v/>
      </c>
      <c r="C527" s="32">
        <f>IF($A527=1,"J-"&amp;Sales_Daily!$A45,"")</f>
        <v/>
      </c>
      <c r="D527" s="33">
        <f>IF($A527=1,Sales_Daily!$B45,"")</f>
        <v/>
      </c>
      <c r="E527" s="32">
        <f>IF($A527=1,IF(Sales_Daily!$A45="","",Sales_Daily!$A45),"")</f>
        <v/>
      </c>
      <c r="F527" s="32">
        <f>IF($A527=1,"SAL","")</f>
        <v/>
      </c>
      <c r="G527" s="32">
        <f>IF($A527=1,IF(Sales_Daily!$AM45="","",Sales_Daily!$AM45),"")</f>
        <v/>
      </c>
      <c r="H527" s="32">
        <f>IF($A527=1,IF(COUNTIF(COA!$A:$A,$G527)=0,"حساب غير معرف",INDEX(COA!$B:$B,MATCH($G527,COA!$A:$A,0))),"")</f>
        <v/>
      </c>
      <c r="I527" s="32">
        <f>IF($A527=1,IF(Sales_Daily!$C45="","",Sales_Daily!$C45),"")</f>
        <v/>
      </c>
      <c r="J527" s="32">
        <f>IF($A527=1,"CC10","")</f>
        <v/>
      </c>
      <c r="K527" s="32">
        <f>IF($A527=1,"-","")</f>
        <v/>
      </c>
      <c r="L527" s="32">
        <f>IF($A527=1,"مبيعات - تحصيل TLB","")</f>
        <v/>
      </c>
      <c r="M527" s="43">
        <f>IF($A527=1,Sales_Daily!$N45,"")</f>
        <v/>
      </c>
      <c r="N527" s="43">
        <f>IF($A527=1,0,"")</f>
        <v/>
      </c>
      <c r="O527" s="32">
        <f>IF($A527=1,Sales_Daily!$S45,"")</f>
        <v/>
      </c>
      <c r="P527" s="32">
        <f>IF($A527=1,IF(Sales_Daily!$AW45="","",Sales_Daily!$AW45),"")</f>
        <v/>
      </c>
      <c r="Q527" s="32">
        <f>IF($A527=1,Sales_Daily!$AY45,"")</f>
        <v/>
      </c>
      <c r="R527" s="32">
        <f>IF($A527=1,IF(AND($Q527=1,COUNTIFS(COA!$A:$A,$G527,COA!$R:$R,1)=1),1,0),"")</f>
        <v/>
      </c>
      <c r="S527" s="43">
        <f>IF($A527=1,IF($R527=1,N($M527),0),"")</f>
        <v/>
      </c>
      <c r="T527" s="43">
        <f>IF($A527=1,IF($R527=1,N($N527),0),"")</f>
        <v/>
      </c>
      <c r="U527" s="32">
        <f>IF($A527=1,YEAR($D527)*100+MONTH($D527),"")</f>
        <v/>
      </c>
      <c r="V527" s="32">
        <f>IF($A527=1,IF(COUNTIF(COA!$A:$A,$G527)=0,0,INDEX(COA!$H:$H,MATCH($G527,COA!$A:$A,0))),"")</f>
        <v/>
      </c>
      <c r="W527" s="32">
        <f>IF($A527=1,"OPERATING","")</f>
        <v/>
      </c>
      <c r="X527" s="32">
        <f>IF($A527=1,IF($R527=1,"",IF($O527=ST_POST,IF($P527&lt;&gt;"",$P527,"حساب غير صالح أو غير نشط"),IF($O527=ST_REV,"معكوس: لا أثر على الدفاتر",IF($O527=ST_CANC,"ملغى",IF($O527=ST_APPR,"معتمد ولم يُرحَّل","مسودة"))))),"")</f>
        <v/>
      </c>
      <c r="Y527" s="32">
        <f>IF($A527=1,IF(AND($R527=1,OR(LG_Acct="",$G527=LG_Acct),OR(LG_Party="",$K527=LG_Party),OR(LG_Loc="ALL",$I527=LG_Loc),OR(LG_CC="ALL",$J527=LG_CC),$D527&gt;=LG_From,$D527&lt;=LG_To),$D527+ROW()/1000000,""),"")</f>
        <v/>
      </c>
      <c r="Z527" s="32">
        <f>IF($A527=1,IF(Sales_Daily!$T45="","",Sales_Daily!$T45),"")</f>
        <v/>
      </c>
      <c r="AA527" s="32">
        <f>IF($A527=1,IF(Sales_Daily!$U45="","",Sales_Daily!$U45),"")</f>
        <v/>
      </c>
      <c r="AB527" s="32">
        <f>IF($A527=1,IF(Sales_Daily!$V45="","",Sales_Daily!$V45),"")</f>
        <v/>
      </c>
      <c r="AC527" s="32">
        <f>IF($A527=1,IF(Sales_Daily!$W45="","",Sales_Daily!$W45),"")</f>
        <v/>
      </c>
      <c r="AD527" s="32">
        <f>IF($A527=1,IF(Sales_Daily!$X45="","",Sales_Daily!$X45),"")</f>
        <v/>
      </c>
      <c r="AE527" s="32">
        <f>IF($A527=1,0,"")</f>
        <v/>
      </c>
      <c r="AF527" s="32" t="inlineStr"/>
    </row>
    <row r="528">
      <c r="A528" s="32">
        <f>IF(AND(Sales_Daily!$AV45=1,N(Sales_Daily!$O45)&gt;0),1,0)</f>
        <v/>
      </c>
      <c r="B528" s="32">
        <f>IF($A528=1,$E528&amp;"/4","")</f>
        <v/>
      </c>
      <c r="C528" s="32">
        <f>IF($A528=1,"J-"&amp;Sales_Daily!$A45,"")</f>
        <v/>
      </c>
      <c r="D528" s="33">
        <f>IF($A528=1,Sales_Daily!$B45,"")</f>
        <v/>
      </c>
      <c r="E528" s="32">
        <f>IF($A528=1,IF(Sales_Daily!$A45="","",Sales_Daily!$A45),"")</f>
        <v/>
      </c>
      <c r="F528" s="32">
        <f>IF($A528=1,"SAL","")</f>
        <v/>
      </c>
      <c r="G528" s="32">
        <f>IF($A528=1,IF(Sales_Daily!$AN45="","",Sales_Daily!$AN45),"")</f>
        <v/>
      </c>
      <c r="H528" s="32">
        <f>IF($A528=1,IF(COUNTIF(COA!$A:$A,$G528)=0,"حساب غير معرف",INDEX(COA!$B:$B,MATCH($G528,COA!$A:$A,0))),"")</f>
        <v/>
      </c>
      <c r="I528" s="32">
        <f>IF($A528=1,IF(Sales_Daily!$C45="","",Sales_Daily!$C45),"")</f>
        <v/>
      </c>
      <c r="J528" s="32">
        <f>IF($A528=1,"CC10","")</f>
        <v/>
      </c>
      <c r="K528" s="32">
        <f>IF($A528=1,"-","")</f>
        <v/>
      </c>
      <c r="L528" s="32">
        <f>IF($A528=1,"مبيعات - تحصيل DLV2","")</f>
        <v/>
      </c>
      <c r="M528" s="43">
        <f>IF($A528=1,Sales_Daily!$O45,"")</f>
        <v/>
      </c>
      <c r="N528" s="43">
        <f>IF($A528=1,0,"")</f>
        <v/>
      </c>
      <c r="O528" s="32">
        <f>IF($A528=1,Sales_Daily!$S45,"")</f>
        <v/>
      </c>
      <c r="P528" s="32">
        <f>IF($A528=1,IF(Sales_Daily!$AW45="","",Sales_Daily!$AW45),"")</f>
        <v/>
      </c>
      <c r="Q528" s="32">
        <f>IF($A528=1,Sales_Daily!$AY45,"")</f>
        <v/>
      </c>
      <c r="R528" s="32">
        <f>IF($A528=1,IF(AND($Q528=1,COUNTIFS(COA!$A:$A,$G528,COA!$R:$R,1)=1),1,0),"")</f>
        <v/>
      </c>
      <c r="S528" s="43">
        <f>IF($A528=1,IF($R528=1,N($M528),0),"")</f>
        <v/>
      </c>
      <c r="T528" s="43">
        <f>IF($A528=1,IF($R528=1,N($N528),0),"")</f>
        <v/>
      </c>
      <c r="U528" s="32">
        <f>IF($A528=1,YEAR($D528)*100+MONTH($D528),"")</f>
        <v/>
      </c>
      <c r="V528" s="32">
        <f>IF($A528=1,IF(COUNTIF(COA!$A:$A,$G528)=0,0,INDEX(COA!$H:$H,MATCH($G528,COA!$A:$A,0))),"")</f>
        <v/>
      </c>
      <c r="W528" s="32">
        <f>IF($A528=1,"OPERATING","")</f>
        <v/>
      </c>
      <c r="X528" s="32">
        <f>IF($A528=1,IF($R528=1,"",IF($O528=ST_POST,IF($P528&lt;&gt;"",$P528,"حساب غير صالح أو غير نشط"),IF($O528=ST_REV,"معكوس: لا أثر على الدفاتر",IF($O528=ST_CANC,"ملغى",IF($O528=ST_APPR,"معتمد ولم يُرحَّل","مسودة"))))),"")</f>
        <v/>
      </c>
      <c r="Y528" s="32">
        <f>IF($A528=1,IF(AND($R528=1,OR(LG_Acct="",$G528=LG_Acct),OR(LG_Party="",$K528=LG_Party),OR(LG_Loc="ALL",$I528=LG_Loc),OR(LG_CC="ALL",$J528=LG_CC),$D528&gt;=LG_From,$D528&lt;=LG_To),$D528+ROW()/1000000,""),"")</f>
        <v/>
      </c>
      <c r="Z528" s="32">
        <f>IF($A528=1,IF(Sales_Daily!$T45="","",Sales_Daily!$T45),"")</f>
        <v/>
      </c>
      <c r="AA528" s="32">
        <f>IF($A528=1,IF(Sales_Daily!$U45="","",Sales_Daily!$U45),"")</f>
        <v/>
      </c>
      <c r="AB528" s="32">
        <f>IF($A528=1,IF(Sales_Daily!$V45="","",Sales_Daily!$V45),"")</f>
        <v/>
      </c>
      <c r="AC528" s="32">
        <f>IF($A528=1,IF(Sales_Daily!$W45="","",Sales_Daily!$W45),"")</f>
        <v/>
      </c>
      <c r="AD528" s="32">
        <f>IF($A528=1,IF(Sales_Daily!$X45="","",Sales_Daily!$X45),"")</f>
        <v/>
      </c>
      <c r="AE528" s="32">
        <f>IF($A528=1,0,"")</f>
        <v/>
      </c>
      <c r="AF528" s="32" t="inlineStr"/>
    </row>
    <row r="529">
      <c r="A529" s="32">
        <f>IF(AND(Sales_Daily!$AV45=1,N(Sales_Daily!$P45)&gt;0),1,0)</f>
        <v/>
      </c>
      <c r="B529" s="32">
        <f>IF($A529=1,$E529&amp;"/5","")</f>
        <v/>
      </c>
      <c r="C529" s="32">
        <f>IF($A529=1,"J-"&amp;Sales_Daily!$A45,"")</f>
        <v/>
      </c>
      <c r="D529" s="33">
        <f>IF($A529=1,Sales_Daily!$B45,"")</f>
        <v/>
      </c>
      <c r="E529" s="32">
        <f>IF($A529=1,IF(Sales_Daily!$A45="","",Sales_Daily!$A45),"")</f>
        <v/>
      </c>
      <c r="F529" s="32">
        <f>IF($A529=1,"SAL","")</f>
        <v/>
      </c>
      <c r="G529" s="32">
        <f>IF($A529=1,IF(Sales_Daily!$AO45="","",Sales_Daily!$AO45),"")</f>
        <v/>
      </c>
      <c r="H529" s="32">
        <f>IF($A529=1,IF(COUNTIF(COA!$A:$A,$G529)=0,"حساب غير معرف",INDEX(COA!$B:$B,MATCH($G529,COA!$A:$A,0))),"")</f>
        <v/>
      </c>
      <c r="I529" s="32">
        <f>IF($A529=1,IF(Sales_Daily!$C45="","",Sales_Daily!$C45),"")</f>
        <v/>
      </c>
      <c r="J529" s="32">
        <f>IF($A529=1,"CC10","")</f>
        <v/>
      </c>
      <c r="K529" s="32">
        <f>IF($A529=1,"-","")</f>
        <v/>
      </c>
      <c r="L529" s="32">
        <f>IF($A529=1,"مبيعات - تحصيل INSTA","")</f>
        <v/>
      </c>
      <c r="M529" s="43">
        <f>IF($A529=1,Sales_Daily!$P45,"")</f>
        <v/>
      </c>
      <c r="N529" s="43">
        <f>IF($A529=1,0,"")</f>
        <v/>
      </c>
      <c r="O529" s="32">
        <f>IF($A529=1,Sales_Daily!$S45,"")</f>
        <v/>
      </c>
      <c r="P529" s="32">
        <f>IF($A529=1,IF(Sales_Daily!$AW45="","",Sales_Daily!$AW45),"")</f>
        <v/>
      </c>
      <c r="Q529" s="32">
        <f>IF($A529=1,Sales_Daily!$AY45,"")</f>
        <v/>
      </c>
      <c r="R529" s="32">
        <f>IF($A529=1,IF(AND($Q529=1,COUNTIFS(COA!$A:$A,$G529,COA!$R:$R,1)=1),1,0),"")</f>
        <v/>
      </c>
      <c r="S529" s="43">
        <f>IF($A529=1,IF($R529=1,N($M529),0),"")</f>
        <v/>
      </c>
      <c r="T529" s="43">
        <f>IF($A529=1,IF($R529=1,N($N529),0),"")</f>
        <v/>
      </c>
      <c r="U529" s="32">
        <f>IF($A529=1,YEAR($D529)*100+MONTH($D529),"")</f>
        <v/>
      </c>
      <c r="V529" s="32">
        <f>IF($A529=1,IF(COUNTIF(COA!$A:$A,$G529)=0,0,INDEX(COA!$H:$H,MATCH($G529,COA!$A:$A,0))),"")</f>
        <v/>
      </c>
      <c r="W529" s="32">
        <f>IF($A529=1,"OPERATING","")</f>
        <v/>
      </c>
      <c r="X529" s="32">
        <f>IF($A529=1,IF($R529=1,"",IF($O529=ST_POST,IF($P529&lt;&gt;"",$P529,"حساب غير صالح أو غير نشط"),IF($O529=ST_REV,"معكوس: لا أثر على الدفاتر",IF($O529=ST_CANC,"ملغى",IF($O529=ST_APPR,"معتمد ولم يُرحَّل","مسودة"))))),"")</f>
        <v/>
      </c>
      <c r="Y529" s="32">
        <f>IF($A529=1,IF(AND($R529=1,OR(LG_Acct="",$G529=LG_Acct),OR(LG_Party="",$K529=LG_Party),OR(LG_Loc="ALL",$I529=LG_Loc),OR(LG_CC="ALL",$J529=LG_CC),$D529&gt;=LG_From,$D529&lt;=LG_To),$D529+ROW()/1000000,""),"")</f>
        <v/>
      </c>
      <c r="Z529" s="32">
        <f>IF($A529=1,IF(Sales_Daily!$T45="","",Sales_Daily!$T45),"")</f>
        <v/>
      </c>
      <c r="AA529" s="32">
        <f>IF($A529=1,IF(Sales_Daily!$U45="","",Sales_Daily!$U45),"")</f>
        <v/>
      </c>
      <c r="AB529" s="32">
        <f>IF($A529=1,IF(Sales_Daily!$V45="","",Sales_Daily!$V45),"")</f>
        <v/>
      </c>
      <c r="AC529" s="32">
        <f>IF($A529=1,IF(Sales_Daily!$W45="","",Sales_Daily!$W45),"")</f>
        <v/>
      </c>
      <c r="AD529" s="32">
        <f>IF($A529=1,IF(Sales_Daily!$X45="","",Sales_Daily!$X45),"")</f>
        <v/>
      </c>
      <c r="AE529" s="32">
        <f>IF($A529=1,0,"")</f>
        <v/>
      </c>
      <c r="AF529" s="32" t="inlineStr"/>
    </row>
    <row r="530">
      <c r="A530" s="32">
        <f>IF(AND(Sales_Daily!$AV45=1,N(Sales_Daily!$Q45)&gt;0),1,0)</f>
        <v/>
      </c>
      <c r="B530" s="32">
        <f>IF($A530=1,$E530&amp;"/6","")</f>
        <v/>
      </c>
      <c r="C530" s="32">
        <f>IF($A530=1,"J-"&amp;Sales_Daily!$A45,"")</f>
        <v/>
      </c>
      <c r="D530" s="33">
        <f>IF($A530=1,Sales_Daily!$B45,"")</f>
        <v/>
      </c>
      <c r="E530" s="32">
        <f>IF($A530=1,IF(Sales_Daily!$A45="","",Sales_Daily!$A45),"")</f>
        <v/>
      </c>
      <c r="F530" s="32">
        <f>IF($A530=1,"SAL","")</f>
        <v/>
      </c>
      <c r="G530" s="32">
        <f>IF($A530=1,IF(Sales_Daily!$AP45="","",Sales_Daily!$AP45),"")</f>
        <v/>
      </c>
      <c r="H530" s="32">
        <f>IF($A530=1,IF(COUNTIF(COA!$A:$A,$G530)=0,"حساب غير معرف",INDEX(COA!$B:$B,MATCH($G530,COA!$A:$A,0))),"")</f>
        <v/>
      </c>
      <c r="I530" s="32">
        <f>IF($A530=1,IF(Sales_Daily!$C45="","",Sales_Daily!$C45),"")</f>
        <v/>
      </c>
      <c r="J530" s="32">
        <f>IF($A530=1,"CC10","")</f>
        <v/>
      </c>
      <c r="K530" s="32">
        <f>IF($A530=1,"-","")</f>
        <v/>
      </c>
      <c r="L530" s="32">
        <f>IF($A530=1,"مبيعات - تحصيل OTH","")</f>
        <v/>
      </c>
      <c r="M530" s="43">
        <f>IF($A530=1,Sales_Daily!$Q45,"")</f>
        <v/>
      </c>
      <c r="N530" s="43">
        <f>IF($A530=1,0,"")</f>
        <v/>
      </c>
      <c r="O530" s="32">
        <f>IF($A530=1,Sales_Daily!$S45,"")</f>
        <v/>
      </c>
      <c r="P530" s="32">
        <f>IF($A530=1,IF(Sales_Daily!$AW45="","",Sales_Daily!$AW45),"")</f>
        <v/>
      </c>
      <c r="Q530" s="32">
        <f>IF($A530=1,Sales_Daily!$AY45,"")</f>
        <v/>
      </c>
      <c r="R530" s="32">
        <f>IF($A530=1,IF(AND($Q530=1,COUNTIFS(COA!$A:$A,$G530,COA!$R:$R,1)=1),1,0),"")</f>
        <v/>
      </c>
      <c r="S530" s="43">
        <f>IF($A530=1,IF($R530=1,N($M530),0),"")</f>
        <v/>
      </c>
      <c r="T530" s="43">
        <f>IF($A530=1,IF($R530=1,N($N530),0),"")</f>
        <v/>
      </c>
      <c r="U530" s="32">
        <f>IF($A530=1,YEAR($D530)*100+MONTH($D530),"")</f>
        <v/>
      </c>
      <c r="V530" s="32">
        <f>IF($A530=1,IF(COUNTIF(COA!$A:$A,$G530)=0,0,INDEX(COA!$H:$H,MATCH($G530,COA!$A:$A,0))),"")</f>
        <v/>
      </c>
      <c r="W530" s="32">
        <f>IF($A530=1,"OPERATING","")</f>
        <v/>
      </c>
      <c r="X530" s="32">
        <f>IF($A530=1,IF($R530=1,"",IF($O530=ST_POST,IF($P530&lt;&gt;"",$P530,"حساب غير صالح أو غير نشط"),IF($O530=ST_REV,"معكوس: لا أثر على الدفاتر",IF($O530=ST_CANC,"ملغى",IF($O530=ST_APPR,"معتمد ولم يُرحَّل","مسودة"))))),"")</f>
        <v/>
      </c>
      <c r="Y530" s="32">
        <f>IF($A530=1,IF(AND($R530=1,OR(LG_Acct="",$G530=LG_Acct),OR(LG_Party="",$K530=LG_Party),OR(LG_Loc="ALL",$I530=LG_Loc),OR(LG_CC="ALL",$J530=LG_CC),$D530&gt;=LG_From,$D530&lt;=LG_To),$D530+ROW()/1000000,""),"")</f>
        <v/>
      </c>
      <c r="Z530" s="32">
        <f>IF($A530=1,IF(Sales_Daily!$T45="","",Sales_Daily!$T45),"")</f>
        <v/>
      </c>
      <c r="AA530" s="32">
        <f>IF($A530=1,IF(Sales_Daily!$U45="","",Sales_Daily!$U45),"")</f>
        <v/>
      </c>
      <c r="AB530" s="32">
        <f>IF($A530=1,IF(Sales_Daily!$V45="","",Sales_Daily!$V45),"")</f>
        <v/>
      </c>
      <c r="AC530" s="32">
        <f>IF($A530=1,IF(Sales_Daily!$W45="","",Sales_Daily!$W45),"")</f>
        <v/>
      </c>
      <c r="AD530" s="32">
        <f>IF($A530=1,IF(Sales_Daily!$X45="","",Sales_Daily!$X45),"")</f>
        <v/>
      </c>
      <c r="AE530" s="32">
        <f>IF($A530=1,0,"")</f>
        <v/>
      </c>
      <c r="AF530" s="32" t="inlineStr"/>
    </row>
    <row r="531">
      <c r="A531" s="32">
        <f>IF(AND(Sales_Daily!$AV45=1,N(Sales_Daily!$AH45)&gt;0),1,0)</f>
        <v/>
      </c>
      <c r="B531" s="32">
        <f>IF($A531=1,$E531&amp;"/7","")</f>
        <v/>
      </c>
      <c r="C531" s="32">
        <f>IF($A531=1,"J-"&amp;Sales_Daily!$A45,"")</f>
        <v/>
      </c>
      <c r="D531" s="33">
        <f>IF($A531=1,Sales_Daily!$B45,"")</f>
        <v/>
      </c>
      <c r="E531" s="32">
        <f>IF($A531=1,IF(Sales_Daily!$A45="","",Sales_Daily!$A45),"")</f>
        <v/>
      </c>
      <c r="F531" s="32">
        <f>IF($A531=1,"SAL","")</f>
        <v/>
      </c>
      <c r="G531" s="32">
        <f>IF($A531=1,ACC_DISC,"")</f>
        <v/>
      </c>
      <c r="H531" s="32">
        <f>IF($A531=1,IF(COUNTIF(COA!$A:$A,$G531)=0,"حساب غير معرف",INDEX(COA!$B:$B,MATCH($G531,COA!$A:$A,0))),"")</f>
        <v/>
      </c>
      <c r="I531" s="32">
        <f>IF($A531=1,IF(Sales_Daily!$C45="","",Sales_Daily!$C45),"")</f>
        <v/>
      </c>
      <c r="J531" s="32">
        <f>IF($A531=1,"CC10","")</f>
        <v/>
      </c>
      <c r="K531" s="32">
        <f>IF($A531=1,"-","")</f>
        <v/>
      </c>
      <c r="L531" s="32">
        <f>IF($A531=1,"خصومات المبيعات والعروض","")</f>
        <v/>
      </c>
      <c r="M531" s="43">
        <f>IF($A531=1,Sales_Daily!$AH45,"")</f>
        <v/>
      </c>
      <c r="N531" s="43">
        <f>IF($A531=1,0,"")</f>
        <v/>
      </c>
      <c r="O531" s="32">
        <f>IF($A531=1,Sales_Daily!$S45,"")</f>
        <v/>
      </c>
      <c r="P531" s="32">
        <f>IF($A531=1,IF(Sales_Daily!$AW45="","",Sales_Daily!$AW45),"")</f>
        <v/>
      </c>
      <c r="Q531" s="32">
        <f>IF($A531=1,Sales_Daily!$AY45,"")</f>
        <v/>
      </c>
      <c r="R531" s="32">
        <f>IF($A531=1,IF(AND($Q531=1,COUNTIFS(COA!$A:$A,$G531,COA!$R:$R,1)=1),1,0),"")</f>
        <v/>
      </c>
      <c r="S531" s="43">
        <f>IF($A531=1,IF($R531=1,N($M531),0),"")</f>
        <v/>
      </c>
      <c r="T531" s="43">
        <f>IF($A531=1,IF($R531=1,N($N531),0),"")</f>
        <v/>
      </c>
      <c r="U531" s="32">
        <f>IF($A531=1,YEAR($D531)*100+MONTH($D531),"")</f>
        <v/>
      </c>
      <c r="V531" s="32">
        <f>IF($A531=1,IF(COUNTIF(COA!$A:$A,$G531)=0,0,INDEX(COA!$H:$H,MATCH($G531,COA!$A:$A,0))),"")</f>
        <v/>
      </c>
      <c r="W531" s="32">
        <f>IF($A531=1,"","")</f>
        <v/>
      </c>
      <c r="X531" s="32">
        <f>IF($A531=1,IF($R531=1,"",IF($O531=ST_POST,IF($P531&lt;&gt;"",$P531,"حساب غير صالح أو غير نشط"),IF($O531=ST_REV,"معكوس: لا أثر على الدفاتر",IF($O531=ST_CANC,"ملغى",IF($O531=ST_APPR,"معتمد ولم يُرحَّل","مسودة"))))),"")</f>
        <v/>
      </c>
      <c r="Y531" s="32">
        <f>IF($A531=1,IF(AND($R531=1,OR(LG_Acct="",$G531=LG_Acct),OR(LG_Party="",$K531=LG_Party),OR(LG_Loc="ALL",$I531=LG_Loc),OR(LG_CC="ALL",$J531=LG_CC),$D531&gt;=LG_From,$D531&lt;=LG_To),$D531+ROW()/1000000,""),"")</f>
        <v/>
      </c>
      <c r="Z531" s="32">
        <f>IF($A531=1,IF(Sales_Daily!$T45="","",Sales_Daily!$T45),"")</f>
        <v/>
      </c>
      <c r="AA531" s="32">
        <f>IF($A531=1,IF(Sales_Daily!$U45="","",Sales_Daily!$U45),"")</f>
        <v/>
      </c>
      <c r="AB531" s="32">
        <f>IF($A531=1,IF(Sales_Daily!$V45="","",Sales_Daily!$V45),"")</f>
        <v/>
      </c>
      <c r="AC531" s="32">
        <f>IF($A531=1,IF(Sales_Daily!$W45="","",Sales_Daily!$W45),"")</f>
        <v/>
      </c>
      <c r="AD531" s="32">
        <f>IF($A531=1,IF(Sales_Daily!$X45="","",Sales_Daily!$X45),"")</f>
        <v/>
      </c>
      <c r="AE531" s="32">
        <f>IF($A531=1,0,"")</f>
        <v/>
      </c>
      <c r="AF531" s="32" t="inlineStr"/>
    </row>
    <row r="532">
      <c r="A532" s="32">
        <f>IF(AND(Sales_Daily!$AV45=1,N(Sales_Daily!$AI45)&gt;0),1,0)</f>
        <v/>
      </c>
      <c r="B532" s="32">
        <f>IF($A532=1,$E532&amp;"/8","")</f>
        <v/>
      </c>
      <c r="C532" s="32">
        <f>IF($A532=1,"J-"&amp;Sales_Daily!$A45,"")</f>
        <v/>
      </c>
      <c r="D532" s="33">
        <f>IF($A532=1,Sales_Daily!$B45,"")</f>
        <v/>
      </c>
      <c r="E532" s="32">
        <f>IF($A532=1,IF(Sales_Daily!$A45="","",Sales_Daily!$A45),"")</f>
        <v/>
      </c>
      <c r="F532" s="32">
        <f>IF($A532=1,"SAL","")</f>
        <v/>
      </c>
      <c r="G532" s="32">
        <f>IF($A532=1,ACC_RET,"")</f>
        <v/>
      </c>
      <c r="H532" s="32">
        <f>IF($A532=1,IF(COUNTIF(COA!$A:$A,$G532)=0,"حساب غير معرف",INDEX(COA!$B:$B,MATCH($G532,COA!$A:$A,0))),"")</f>
        <v/>
      </c>
      <c r="I532" s="32">
        <f>IF($A532=1,IF(Sales_Daily!$C45="","",Sales_Daily!$C45),"")</f>
        <v/>
      </c>
      <c r="J532" s="32">
        <f>IF($A532=1,"CC10","")</f>
        <v/>
      </c>
      <c r="K532" s="32">
        <f>IF($A532=1,"-","")</f>
        <v/>
      </c>
      <c r="L532" s="32">
        <f>IF($A532=1,"مرتجعات وإلغاءات المبيعات","")</f>
        <v/>
      </c>
      <c r="M532" s="43">
        <f>IF($A532=1,Sales_Daily!$AI45,"")</f>
        <v/>
      </c>
      <c r="N532" s="43">
        <f>IF($A532=1,0,"")</f>
        <v/>
      </c>
      <c r="O532" s="32">
        <f>IF($A532=1,Sales_Daily!$S45,"")</f>
        <v/>
      </c>
      <c r="P532" s="32">
        <f>IF($A532=1,IF(Sales_Daily!$AW45="","",Sales_Daily!$AW45),"")</f>
        <v/>
      </c>
      <c r="Q532" s="32">
        <f>IF($A532=1,Sales_Daily!$AY45,"")</f>
        <v/>
      </c>
      <c r="R532" s="32">
        <f>IF($A532=1,IF(AND($Q532=1,COUNTIFS(COA!$A:$A,$G532,COA!$R:$R,1)=1),1,0),"")</f>
        <v/>
      </c>
      <c r="S532" s="43">
        <f>IF($A532=1,IF($R532=1,N($M532),0),"")</f>
        <v/>
      </c>
      <c r="T532" s="43">
        <f>IF($A532=1,IF($R532=1,N($N532),0),"")</f>
        <v/>
      </c>
      <c r="U532" s="32">
        <f>IF($A532=1,YEAR($D532)*100+MONTH($D532),"")</f>
        <v/>
      </c>
      <c r="V532" s="32">
        <f>IF($A532=1,IF(COUNTIF(COA!$A:$A,$G532)=0,0,INDEX(COA!$H:$H,MATCH($G532,COA!$A:$A,0))),"")</f>
        <v/>
      </c>
      <c r="W532" s="32">
        <f>IF($A532=1,"","")</f>
        <v/>
      </c>
      <c r="X532" s="32">
        <f>IF($A532=1,IF($R532=1,"",IF($O532=ST_POST,IF($P532&lt;&gt;"",$P532,"حساب غير صالح أو غير نشط"),IF($O532=ST_REV,"معكوس: لا أثر على الدفاتر",IF($O532=ST_CANC,"ملغى",IF($O532=ST_APPR,"معتمد ولم يُرحَّل","مسودة"))))),"")</f>
        <v/>
      </c>
      <c r="Y532" s="32">
        <f>IF($A532=1,IF(AND($R532=1,OR(LG_Acct="",$G532=LG_Acct),OR(LG_Party="",$K532=LG_Party),OR(LG_Loc="ALL",$I532=LG_Loc),OR(LG_CC="ALL",$J532=LG_CC),$D532&gt;=LG_From,$D532&lt;=LG_To),$D532+ROW()/1000000,""),"")</f>
        <v/>
      </c>
      <c r="Z532" s="32">
        <f>IF($A532=1,IF(Sales_Daily!$T45="","",Sales_Daily!$T45),"")</f>
        <v/>
      </c>
      <c r="AA532" s="32">
        <f>IF($A532=1,IF(Sales_Daily!$U45="","",Sales_Daily!$U45),"")</f>
        <v/>
      </c>
      <c r="AB532" s="32">
        <f>IF($A532=1,IF(Sales_Daily!$V45="","",Sales_Daily!$V45),"")</f>
        <v/>
      </c>
      <c r="AC532" s="32">
        <f>IF($A532=1,IF(Sales_Daily!$W45="","",Sales_Daily!$W45),"")</f>
        <v/>
      </c>
      <c r="AD532" s="32">
        <f>IF($A532=1,IF(Sales_Daily!$X45="","",Sales_Daily!$X45),"")</f>
        <v/>
      </c>
      <c r="AE532" s="32">
        <f>IF($A532=1,0,"")</f>
        <v/>
      </c>
      <c r="AF532" s="32" t="inlineStr"/>
    </row>
    <row r="533">
      <c r="A533" s="32">
        <f>IF(AND(Sales_Daily!$AV45=1,N(Sales_Daily!$AD45)&gt;0),1,0)</f>
        <v/>
      </c>
      <c r="B533" s="32">
        <f>IF($A533=1,$E533&amp;"/9","")</f>
        <v/>
      </c>
      <c r="C533" s="32">
        <f>IF($A533=1,"J-"&amp;Sales_Daily!$A45,"")</f>
        <v/>
      </c>
      <c r="D533" s="33">
        <f>IF($A533=1,Sales_Daily!$B45,"")</f>
        <v/>
      </c>
      <c r="E533" s="32">
        <f>IF($A533=1,IF(Sales_Daily!$A45="","",Sales_Daily!$A45),"")</f>
        <v/>
      </c>
      <c r="F533" s="32">
        <f>IF($A533=1,"SAL","")</f>
        <v/>
      </c>
      <c r="G533" s="32">
        <f>IF($A533=1,IF(Sales_Daily!$AQ45="","",Sales_Daily!$AQ45),"")</f>
        <v/>
      </c>
      <c r="H533" s="32">
        <f>IF($A533=1,IF(COUNTIF(COA!$A:$A,$G533)=0,"حساب غير معرف",INDEX(COA!$B:$B,MATCH($G533,COA!$A:$A,0))),"")</f>
        <v/>
      </c>
      <c r="I533" s="32">
        <f>IF($A533=1,IF(Sales_Daily!$C45="","",Sales_Daily!$C45),"")</f>
        <v/>
      </c>
      <c r="J533" s="32">
        <f>IF($A533=1,"CC10","")</f>
        <v/>
      </c>
      <c r="K533" s="32">
        <f>IF($A533=1,"-","")</f>
        <v/>
      </c>
      <c r="L533" s="32">
        <f>IF($A533=1,"إيراد مبيعات - فئة فطير","")</f>
        <v/>
      </c>
      <c r="M533" s="43">
        <f>IF($A533=1,0,"")</f>
        <v/>
      </c>
      <c r="N533" s="43">
        <f>IF($A533=1,Sales_Daily!$AD45,"")</f>
        <v/>
      </c>
      <c r="O533" s="32">
        <f>IF($A533=1,Sales_Daily!$S45,"")</f>
        <v/>
      </c>
      <c r="P533" s="32">
        <f>IF($A533=1,IF(Sales_Daily!$AW45="","",Sales_Daily!$AW45),"")</f>
        <v/>
      </c>
      <c r="Q533" s="32">
        <f>IF($A533=1,Sales_Daily!$AY45,"")</f>
        <v/>
      </c>
      <c r="R533" s="32">
        <f>IF($A533=1,IF(AND($Q533=1,COUNTIFS(COA!$A:$A,$G533,COA!$R:$R,1)=1),1,0),"")</f>
        <v/>
      </c>
      <c r="S533" s="43">
        <f>IF($A533=1,IF($R533=1,N($M533),0),"")</f>
        <v/>
      </c>
      <c r="T533" s="43">
        <f>IF($A533=1,IF($R533=1,N($N533),0),"")</f>
        <v/>
      </c>
      <c r="U533" s="32">
        <f>IF($A533=1,YEAR($D533)*100+MONTH($D533),"")</f>
        <v/>
      </c>
      <c r="V533" s="32">
        <f>IF($A533=1,IF(COUNTIF(COA!$A:$A,$G533)=0,0,INDEX(COA!$H:$H,MATCH($G533,COA!$A:$A,0))),"")</f>
        <v/>
      </c>
      <c r="W533" s="32">
        <f>IF($A533=1,"","")</f>
        <v/>
      </c>
      <c r="X533" s="32">
        <f>IF($A533=1,IF($R533=1,"",IF($O533=ST_POST,IF($P533&lt;&gt;"",$P533,"حساب غير صالح أو غير نشط"),IF($O533=ST_REV,"معكوس: لا أثر على الدفاتر",IF($O533=ST_CANC,"ملغى",IF($O533=ST_APPR,"معتمد ولم يُرحَّل","مسودة"))))),"")</f>
        <v/>
      </c>
      <c r="Y533" s="32">
        <f>IF($A533=1,IF(AND($R533=1,OR(LG_Acct="",$G533=LG_Acct),OR(LG_Party="",$K533=LG_Party),OR(LG_Loc="ALL",$I533=LG_Loc),OR(LG_CC="ALL",$J533=LG_CC),$D533&gt;=LG_From,$D533&lt;=LG_To),$D533+ROW()/1000000,""),"")</f>
        <v/>
      </c>
      <c r="Z533" s="32">
        <f>IF($A533=1,IF(Sales_Daily!$T45="","",Sales_Daily!$T45),"")</f>
        <v/>
      </c>
      <c r="AA533" s="32">
        <f>IF($A533=1,IF(Sales_Daily!$U45="","",Sales_Daily!$U45),"")</f>
        <v/>
      </c>
      <c r="AB533" s="32">
        <f>IF($A533=1,IF(Sales_Daily!$V45="","",Sales_Daily!$V45),"")</f>
        <v/>
      </c>
      <c r="AC533" s="32">
        <f>IF($A533=1,IF(Sales_Daily!$W45="","",Sales_Daily!$W45),"")</f>
        <v/>
      </c>
      <c r="AD533" s="32">
        <f>IF($A533=1,IF(Sales_Daily!$X45="","",Sales_Daily!$X45),"")</f>
        <v/>
      </c>
      <c r="AE533" s="32">
        <f>IF($A533=1,0,"")</f>
        <v/>
      </c>
      <c r="AF533" s="32" t="inlineStr"/>
    </row>
    <row r="534">
      <c r="A534" s="32">
        <f>IF(AND(Sales_Daily!$AV45=1,N(Sales_Daily!$AE45)&gt;0),1,0)</f>
        <v/>
      </c>
      <c r="B534" s="32">
        <f>IF($A534=1,$E534&amp;"/10","")</f>
        <v/>
      </c>
      <c r="C534" s="32">
        <f>IF($A534=1,"J-"&amp;Sales_Daily!$A45,"")</f>
        <v/>
      </c>
      <c r="D534" s="33">
        <f>IF($A534=1,Sales_Daily!$B45,"")</f>
        <v/>
      </c>
      <c r="E534" s="32">
        <f>IF($A534=1,IF(Sales_Daily!$A45="","",Sales_Daily!$A45),"")</f>
        <v/>
      </c>
      <c r="F534" s="32">
        <f>IF($A534=1,"SAL","")</f>
        <v/>
      </c>
      <c r="G534" s="32">
        <f>IF($A534=1,IF(Sales_Daily!$AR45="","",Sales_Daily!$AR45),"")</f>
        <v/>
      </c>
      <c r="H534" s="32">
        <f>IF($A534=1,IF(COUNTIF(COA!$A:$A,$G534)=0,"حساب غير معرف",INDEX(COA!$B:$B,MATCH($G534,COA!$A:$A,0))),"")</f>
        <v/>
      </c>
      <c r="I534" s="32">
        <f>IF($A534=1,IF(Sales_Daily!$C45="","",Sales_Daily!$C45),"")</f>
        <v/>
      </c>
      <c r="J534" s="32">
        <f>IF($A534=1,"CC10","")</f>
        <v/>
      </c>
      <c r="K534" s="32">
        <f>IF($A534=1,"-","")</f>
        <v/>
      </c>
      <c r="L534" s="32">
        <f>IF($A534=1,"إيراد مبيعات - فئة بيتزا","")</f>
        <v/>
      </c>
      <c r="M534" s="43">
        <f>IF($A534=1,0,"")</f>
        <v/>
      </c>
      <c r="N534" s="43">
        <f>IF($A534=1,Sales_Daily!$AE45,"")</f>
        <v/>
      </c>
      <c r="O534" s="32">
        <f>IF($A534=1,Sales_Daily!$S45,"")</f>
        <v/>
      </c>
      <c r="P534" s="32">
        <f>IF($A534=1,IF(Sales_Daily!$AW45="","",Sales_Daily!$AW45),"")</f>
        <v/>
      </c>
      <c r="Q534" s="32">
        <f>IF($A534=1,Sales_Daily!$AY45,"")</f>
        <v/>
      </c>
      <c r="R534" s="32">
        <f>IF($A534=1,IF(AND($Q534=1,COUNTIFS(COA!$A:$A,$G534,COA!$R:$R,1)=1),1,0),"")</f>
        <v/>
      </c>
      <c r="S534" s="43">
        <f>IF($A534=1,IF($R534=1,N($M534),0),"")</f>
        <v/>
      </c>
      <c r="T534" s="43">
        <f>IF($A534=1,IF($R534=1,N($N534),0),"")</f>
        <v/>
      </c>
      <c r="U534" s="32">
        <f>IF($A534=1,YEAR($D534)*100+MONTH($D534),"")</f>
        <v/>
      </c>
      <c r="V534" s="32">
        <f>IF($A534=1,IF(COUNTIF(COA!$A:$A,$G534)=0,0,INDEX(COA!$H:$H,MATCH($G534,COA!$A:$A,0))),"")</f>
        <v/>
      </c>
      <c r="W534" s="32">
        <f>IF($A534=1,"","")</f>
        <v/>
      </c>
      <c r="X534" s="32">
        <f>IF($A534=1,IF($R534=1,"",IF($O534=ST_POST,IF($P534&lt;&gt;"",$P534,"حساب غير صالح أو غير نشط"),IF($O534=ST_REV,"معكوس: لا أثر على الدفاتر",IF($O534=ST_CANC,"ملغى",IF($O534=ST_APPR,"معتمد ولم يُرحَّل","مسودة"))))),"")</f>
        <v/>
      </c>
      <c r="Y534" s="32">
        <f>IF($A534=1,IF(AND($R534=1,OR(LG_Acct="",$G534=LG_Acct),OR(LG_Party="",$K534=LG_Party),OR(LG_Loc="ALL",$I534=LG_Loc),OR(LG_CC="ALL",$J534=LG_CC),$D534&gt;=LG_From,$D534&lt;=LG_To),$D534+ROW()/1000000,""),"")</f>
        <v/>
      </c>
      <c r="Z534" s="32">
        <f>IF($A534=1,IF(Sales_Daily!$T45="","",Sales_Daily!$T45),"")</f>
        <v/>
      </c>
      <c r="AA534" s="32">
        <f>IF($A534=1,IF(Sales_Daily!$U45="","",Sales_Daily!$U45),"")</f>
        <v/>
      </c>
      <c r="AB534" s="32">
        <f>IF($A534=1,IF(Sales_Daily!$V45="","",Sales_Daily!$V45),"")</f>
        <v/>
      </c>
      <c r="AC534" s="32">
        <f>IF($A534=1,IF(Sales_Daily!$W45="","",Sales_Daily!$W45),"")</f>
        <v/>
      </c>
      <c r="AD534" s="32">
        <f>IF($A534=1,IF(Sales_Daily!$X45="","",Sales_Daily!$X45),"")</f>
        <v/>
      </c>
      <c r="AE534" s="32">
        <f>IF($A534=1,0,"")</f>
        <v/>
      </c>
      <c r="AF534" s="32" t="inlineStr"/>
    </row>
    <row r="535">
      <c r="A535" s="32">
        <f>IF(AND(Sales_Daily!$AV45=1,N(Sales_Daily!$AF45)&gt;0),1,0)</f>
        <v/>
      </c>
      <c r="B535" s="32">
        <f>IF($A535=1,$E535&amp;"/11","")</f>
        <v/>
      </c>
      <c r="C535" s="32">
        <f>IF($A535=1,"J-"&amp;Sales_Daily!$A45,"")</f>
        <v/>
      </c>
      <c r="D535" s="33">
        <f>IF($A535=1,Sales_Daily!$B45,"")</f>
        <v/>
      </c>
      <c r="E535" s="32">
        <f>IF($A535=1,IF(Sales_Daily!$A45="","",Sales_Daily!$A45),"")</f>
        <v/>
      </c>
      <c r="F535" s="32">
        <f>IF($A535=1,"SAL","")</f>
        <v/>
      </c>
      <c r="G535" s="32">
        <f>IF($A535=1,IF(Sales_Daily!$AS45="","",Sales_Daily!$AS45),"")</f>
        <v/>
      </c>
      <c r="H535" s="32">
        <f>IF($A535=1,IF(COUNTIF(COA!$A:$A,$G535)=0,"حساب غير معرف",INDEX(COA!$B:$B,MATCH($G535,COA!$A:$A,0))),"")</f>
        <v/>
      </c>
      <c r="I535" s="32">
        <f>IF($A535=1,IF(Sales_Daily!$C45="","",Sales_Daily!$C45),"")</f>
        <v/>
      </c>
      <c r="J535" s="32">
        <f>IF($A535=1,"CC10","")</f>
        <v/>
      </c>
      <c r="K535" s="32">
        <f>IF($A535=1,"-","")</f>
        <v/>
      </c>
      <c r="L535" s="32">
        <f>IF($A535=1,"إيراد مبيعات - فئة مكرونات","")</f>
        <v/>
      </c>
      <c r="M535" s="43">
        <f>IF($A535=1,0,"")</f>
        <v/>
      </c>
      <c r="N535" s="43">
        <f>IF($A535=1,Sales_Daily!$AF45,"")</f>
        <v/>
      </c>
      <c r="O535" s="32">
        <f>IF($A535=1,Sales_Daily!$S45,"")</f>
        <v/>
      </c>
      <c r="P535" s="32">
        <f>IF($A535=1,IF(Sales_Daily!$AW45="","",Sales_Daily!$AW45),"")</f>
        <v/>
      </c>
      <c r="Q535" s="32">
        <f>IF($A535=1,Sales_Daily!$AY45,"")</f>
        <v/>
      </c>
      <c r="R535" s="32">
        <f>IF($A535=1,IF(AND($Q535=1,COUNTIFS(COA!$A:$A,$G535,COA!$R:$R,1)=1),1,0),"")</f>
        <v/>
      </c>
      <c r="S535" s="43">
        <f>IF($A535=1,IF($R535=1,N($M535),0),"")</f>
        <v/>
      </c>
      <c r="T535" s="43">
        <f>IF($A535=1,IF($R535=1,N($N535),0),"")</f>
        <v/>
      </c>
      <c r="U535" s="32">
        <f>IF($A535=1,YEAR($D535)*100+MONTH($D535),"")</f>
        <v/>
      </c>
      <c r="V535" s="32">
        <f>IF($A535=1,IF(COUNTIF(COA!$A:$A,$G535)=0,0,INDEX(COA!$H:$H,MATCH($G535,COA!$A:$A,0))),"")</f>
        <v/>
      </c>
      <c r="W535" s="32">
        <f>IF($A535=1,"","")</f>
        <v/>
      </c>
      <c r="X535" s="32">
        <f>IF($A535=1,IF($R535=1,"",IF($O535=ST_POST,IF($P535&lt;&gt;"",$P535,"حساب غير صالح أو غير نشط"),IF($O535=ST_REV,"معكوس: لا أثر على الدفاتر",IF($O535=ST_CANC,"ملغى",IF($O535=ST_APPR,"معتمد ولم يُرحَّل","مسودة"))))),"")</f>
        <v/>
      </c>
      <c r="Y535" s="32">
        <f>IF($A535=1,IF(AND($R535=1,OR(LG_Acct="",$G535=LG_Acct),OR(LG_Party="",$K535=LG_Party),OR(LG_Loc="ALL",$I535=LG_Loc),OR(LG_CC="ALL",$J535=LG_CC),$D535&gt;=LG_From,$D535&lt;=LG_To),$D535+ROW()/1000000,""),"")</f>
        <v/>
      </c>
      <c r="Z535" s="32">
        <f>IF($A535=1,IF(Sales_Daily!$T45="","",Sales_Daily!$T45),"")</f>
        <v/>
      </c>
      <c r="AA535" s="32">
        <f>IF($A535=1,IF(Sales_Daily!$U45="","",Sales_Daily!$U45),"")</f>
        <v/>
      </c>
      <c r="AB535" s="32">
        <f>IF($A535=1,IF(Sales_Daily!$V45="","",Sales_Daily!$V45),"")</f>
        <v/>
      </c>
      <c r="AC535" s="32">
        <f>IF($A535=1,IF(Sales_Daily!$W45="","",Sales_Daily!$W45),"")</f>
        <v/>
      </c>
      <c r="AD535" s="32">
        <f>IF($A535=1,IF(Sales_Daily!$X45="","",Sales_Daily!$X45),"")</f>
        <v/>
      </c>
      <c r="AE535" s="32">
        <f>IF($A535=1,0,"")</f>
        <v/>
      </c>
      <c r="AF535" s="32" t="inlineStr"/>
    </row>
    <row r="536">
      <c r="A536" s="32">
        <f>IF(AND(Sales_Daily!$AV45=1,N(Sales_Daily!$AG45)&gt;0),1,0)</f>
        <v/>
      </c>
      <c r="B536" s="32">
        <f>IF($A536=1,$E536&amp;"/12","")</f>
        <v/>
      </c>
      <c r="C536" s="32">
        <f>IF($A536=1,"J-"&amp;Sales_Daily!$A45,"")</f>
        <v/>
      </c>
      <c r="D536" s="33">
        <f>IF($A536=1,Sales_Daily!$B45,"")</f>
        <v/>
      </c>
      <c r="E536" s="32">
        <f>IF($A536=1,IF(Sales_Daily!$A45="","",Sales_Daily!$A45),"")</f>
        <v/>
      </c>
      <c r="F536" s="32">
        <f>IF($A536=1,"SAL","")</f>
        <v/>
      </c>
      <c r="G536" s="32">
        <f>IF($A536=1,IF(Sales_Daily!$AT45="","",Sales_Daily!$AT45),"")</f>
        <v/>
      </c>
      <c r="H536" s="32">
        <f>IF($A536=1,IF(COUNTIF(COA!$A:$A,$G536)=0,"حساب غير معرف",INDEX(COA!$B:$B,MATCH($G536,COA!$A:$A,0))),"")</f>
        <v/>
      </c>
      <c r="I536" s="32">
        <f>IF($A536=1,IF(Sales_Daily!$C45="","",Sales_Daily!$C45),"")</f>
        <v/>
      </c>
      <c r="J536" s="32">
        <f>IF($A536=1,"CC10","")</f>
        <v/>
      </c>
      <c r="K536" s="32">
        <f>IF($A536=1,"-","")</f>
        <v/>
      </c>
      <c r="L536" s="32">
        <f>IF($A536=1,"إيراد مبيعات - فئة أخرى","")</f>
        <v/>
      </c>
      <c r="M536" s="43">
        <f>IF($A536=1,0,"")</f>
        <v/>
      </c>
      <c r="N536" s="43">
        <f>IF($A536=1,Sales_Daily!$AG45,"")</f>
        <v/>
      </c>
      <c r="O536" s="32">
        <f>IF($A536=1,Sales_Daily!$S45,"")</f>
        <v/>
      </c>
      <c r="P536" s="32">
        <f>IF($A536=1,IF(Sales_Daily!$AW45="","",Sales_Daily!$AW45),"")</f>
        <v/>
      </c>
      <c r="Q536" s="32">
        <f>IF($A536=1,Sales_Daily!$AY45,"")</f>
        <v/>
      </c>
      <c r="R536" s="32">
        <f>IF($A536=1,IF(AND($Q536=1,COUNTIFS(COA!$A:$A,$G536,COA!$R:$R,1)=1),1,0),"")</f>
        <v/>
      </c>
      <c r="S536" s="43">
        <f>IF($A536=1,IF($R536=1,N($M536),0),"")</f>
        <v/>
      </c>
      <c r="T536" s="43">
        <f>IF($A536=1,IF($R536=1,N($N536),0),"")</f>
        <v/>
      </c>
      <c r="U536" s="32">
        <f>IF($A536=1,YEAR($D536)*100+MONTH($D536),"")</f>
        <v/>
      </c>
      <c r="V536" s="32">
        <f>IF($A536=1,IF(COUNTIF(COA!$A:$A,$G536)=0,0,INDEX(COA!$H:$H,MATCH($G536,COA!$A:$A,0))),"")</f>
        <v/>
      </c>
      <c r="W536" s="32">
        <f>IF($A536=1,"","")</f>
        <v/>
      </c>
      <c r="X536" s="32">
        <f>IF($A536=1,IF($R536=1,"",IF($O536=ST_POST,IF($P536&lt;&gt;"",$P536,"حساب غير صالح أو غير نشط"),IF($O536=ST_REV,"معكوس: لا أثر على الدفاتر",IF($O536=ST_CANC,"ملغى",IF($O536=ST_APPR,"معتمد ولم يُرحَّل","مسودة"))))),"")</f>
        <v/>
      </c>
      <c r="Y536" s="32">
        <f>IF($A536=1,IF(AND($R536=1,OR(LG_Acct="",$G536=LG_Acct),OR(LG_Party="",$K536=LG_Party),OR(LG_Loc="ALL",$I536=LG_Loc),OR(LG_CC="ALL",$J536=LG_CC),$D536&gt;=LG_From,$D536&lt;=LG_To),$D536+ROW()/1000000,""),"")</f>
        <v/>
      </c>
      <c r="Z536" s="32">
        <f>IF($A536=1,IF(Sales_Daily!$T45="","",Sales_Daily!$T45),"")</f>
        <v/>
      </c>
      <c r="AA536" s="32">
        <f>IF($A536=1,IF(Sales_Daily!$U45="","",Sales_Daily!$U45),"")</f>
        <v/>
      </c>
      <c r="AB536" s="32">
        <f>IF($A536=1,IF(Sales_Daily!$V45="","",Sales_Daily!$V45),"")</f>
        <v/>
      </c>
      <c r="AC536" s="32">
        <f>IF($A536=1,IF(Sales_Daily!$W45="","",Sales_Daily!$W45),"")</f>
        <v/>
      </c>
      <c r="AD536" s="32">
        <f>IF($A536=1,IF(Sales_Daily!$X45="","",Sales_Daily!$X45),"")</f>
        <v/>
      </c>
      <c r="AE536" s="32">
        <f>IF($A536=1,0,"")</f>
        <v/>
      </c>
      <c r="AF536" s="32" t="inlineStr"/>
    </row>
    <row r="537">
      <c r="A537" s="32">
        <f>IF(AND(Sales_Daily!$AV45=1,N(Sales_Daily!$AJ45)&gt;0),1,0)</f>
        <v/>
      </c>
      <c r="B537" s="32">
        <f>IF($A537=1,$E537&amp;"/13","")</f>
        <v/>
      </c>
      <c r="C537" s="32">
        <f>IF($A537=1,"J-"&amp;Sales_Daily!$A45,"")</f>
        <v/>
      </c>
      <c r="D537" s="33">
        <f>IF($A537=1,Sales_Daily!$B45,"")</f>
        <v/>
      </c>
      <c r="E537" s="32">
        <f>IF($A537=1,IF(Sales_Daily!$A45="","",Sales_Daily!$A45),"")</f>
        <v/>
      </c>
      <c r="F537" s="32">
        <f>IF($A537=1,"SAL","")</f>
        <v/>
      </c>
      <c r="G537" s="32">
        <f>IF($A537=1,ACC_VAT_OUT,"")</f>
        <v/>
      </c>
      <c r="H537" s="32">
        <f>IF($A537=1,IF(COUNTIF(COA!$A:$A,$G537)=0,"حساب غير معرف",INDEX(COA!$B:$B,MATCH($G537,COA!$A:$A,0))),"")</f>
        <v/>
      </c>
      <c r="I537" s="32">
        <f>IF($A537=1,IF(Sales_Daily!$C45="","",Sales_Daily!$C45),"")</f>
        <v/>
      </c>
      <c r="J537" s="32">
        <f>IF($A537=1,"CC10","")</f>
        <v/>
      </c>
      <c r="K537" s="32">
        <f>IF($A537=1,"-","")</f>
        <v/>
      </c>
      <c r="L537" s="32">
        <f>IF($A537=1,"ضريبة القيمة المضافة - مخرجات","")</f>
        <v/>
      </c>
      <c r="M537" s="43">
        <f>IF($A537=1,0,"")</f>
        <v/>
      </c>
      <c r="N537" s="43">
        <f>IF($A537=1,Sales_Daily!$AJ45,"")</f>
        <v/>
      </c>
      <c r="O537" s="32">
        <f>IF($A537=1,Sales_Daily!$S45,"")</f>
        <v/>
      </c>
      <c r="P537" s="32">
        <f>IF($A537=1,IF(Sales_Daily!$AW45="","",Sales_Daily!$AW45),"")</f>
        <v/>
      </c>
      <c r="Q537" s="32">
        <f>IF($A537=1,Sales_Daily!$AY45,"")</f>
        <v/>
      </c>
      <c r="R537" s="32">
        <f>IF($A537=1,IF(AND($Q537=1,COUNTIFS(COA!$A:$A,$G537,COA!$R:$R,1)=1),1,0),"")</f>
        <v/>
      </c>
      <c r="S537" s="43">
        <f>IF($A537=1,IF($R537=1,N($M537),0),"")</f>
        <v/>
      </c>
      <c r="T537" s="43">
        <f>IF($A537=1,IF($R537=1,N($N537),0),"")</f>
        <v/>
      </c>
      <c r="U537" s="32">
        <f>IF($A537=1,YEAR($D537)*100+MONTH($D537),"")</f>
        <v/>
      </c>
      <c r="V537" s="32">
        <f>IF($A537=1,IF(COUNTIF(COA!$A:$A,$G537)=0,0,INDEX(COA!$H:$H,MATCH($G537,COA!$A:$A,0))),"")</f>
        <v/>
      </c>
      <c r="W537" s="32">
        <f>IF($A537=1,"","")</f>
        <v/>
      </c>
      <c r="X537" s="32">
        <f>IF($A537=1,IF($R537=1,"",IF($O537=ST_POST,IF($P537&lt;&gt;"",$P537,"حساب غير صالح أو غير نشط"),IF($O537=ST_REV,"معكوس: لا أثر على الدفاتر",IF($O537=ST_CANC,"ملغى",IF($O537=ST_APPR,"معتمد ولم يُرحَّل","مسودة"))))),"")</f>
        <v/>
      </c>
      <c r="Y537" s="32">
        <f>IF($A537=1,IF(AND($R537=1,OR(LG_Acct="",$G537=LG_Acct),OR(LG_Party="",$K537=LG_Party),OR(LG_Loc="ALL",$I537=LG_Loc),OR(LG_CC="ALL",$J537=LG_CC),$D537&gt;=LG_From,$D537&lt;=LG_To),$D537+ROW()/1000000,""),"")</f>
        <v/>
      </c>
      <c r="Z537" s="32">
        <f>IF($A537=1,IF(Sales_Daily!$T45="","",Sales_Daily!$T45),"")</f>
        <v/>
      </c>
      <c r="AA537" s="32">
        <f>IF($A537=1,IF(Sales_Daily!$U45="","",Sales_Daily!$U45),"")</f>
        <v/>
      </c>
      <c r="AB537" s="32">
        <f>IF($A537=1,IF(Sales_Daily!$V45="","",Sales_Daily!$V45),"")</f>
        <v/>
      </c>
      <c r="AC537" s="32">
        <f>IF($A537=1,IF(Sales_Daily!$W45="","",Sales_Daily!$W45),"")</f>
        <v/>
      </c>
      <c r="AD537" s="32">
        <f>IF($A537=1,IF(Sales_Daily!$X45="","",Sales_Daily!$X45),"")</f>
        <v/>
      </c>
      <c r="AE537" s="32">
        <f>IF($A537=1,0,"")</f>
        <v/>
      </c>
      <c r="AF537" s="32" t="inlineStr"/>
    </row>
    <row r="538">
      <c r="A538" s="32">
        <f>IF(AND(Sales_Daily!$AV46=1,N(Sales_Daily!$L46)&gt;0),1,0)</f>
        <v/>
      </c>
      <c r="B538" s="32">
        <f>IF($A538=1,$E538&amp;"/1","")</f>
        <v/>
      </c>
      <c r="C538" s="32">
        <f>IF($A538=1,"J-"&amp;Sales_Daily!$A46,"")</f>
        <v/>
      </c>
      <c r="D538" s="33">
        <f>IF($A538=1,Sales_Daily!$B46,"")</f>
        <v/>
      </c>
      <c r="E538" s="32">
        <f>IF($A538=1,IF(Sales_Daily!$A46="","",Sales_Daily!$A46),"")</f>
        <v/>
      </c>
      <c r="F538" s="32">
        <f>IF($A538=1,"SAL","")</f>
        <v/>
      </c>
      <c r="G538" s="32">
        <f>IF($A538=1,IF(Sales_Daily!$AK46="","",Sales_Daily!$AK46),"")</f>
        <v/>
      </c>
      <c r="H538" s="32">
        <f>IF($A538=1,IF(COUNTIF(COA!$A:$A,$G538)=0,"حساب غير معرف",INDEX(COA!$B:$B,MATCH($G538,COA!$A:$A,0))),"")</f>
        <v/>
      </c>
      <c r="I538" s="32">
        <f>IF($A538=1,IF(Sales_Daily!$C46="","",Sales_Daily!$C46),"")</f>
        <v/>
      </c>
      <c r="J538" s="32">
        <f>IF($A538=1,"CC10","")</f>
        <v/>
      </c>
      <c r="K538" s="32">
        <f>IF($A538=1,"-","")</f>
        <v/>
      </c>
      <c r="L538" s="32">
        <f>IF($A538=1,"مبيعات - تحصيل CASH","")</f>
        <v/>
      </c>
      <c r="M538" s="43">
        <f>IF($A538=1,Sales_Daily!$L46,"")</f>
        <v/>
      </c>
      <c r="N538" s="43">
        <f>IF($A538=1,0,"")</f>
        <v/>
      </c>
      <c r="O538" s="32">
        <f>IF($A538=1,Sales_Daily!$S46,"")</f>
        <v/>
      </c>
      <c r="P538" s="32">
        <f>IF($A538=1,IF(Sales_Daily!$AW46="","",Sales_Daily!$AW46),"")</f>
        <v/>
      </c>
      <c r="Q538" s="32">
        <f>IF($A538=1,Sales_Daily!$AY46,"")</f>
        <v/>
      </c>
      <c r="R538" s="32">
        <f>IF($A538=1,IF(AND($Q538=1,COUNTIFS(COA!$A:$A,$G538,COA!$R:$R,1)=1),1,0),"")</f>
        <v/>
      </c>
      <c r="S538" s="43">
        <f>IF($A538=1,IF($R538=1,N($M538),0),"")</f>
        <v/>
      </c>
      <c r="T538" s="43">
        <f>IF($A538=1,IF($R538=1,N($N538),0),"")</f>
        <v/>
      </c>
      <c r="U538" s="32">
        <f>IF($A538=1,YEAR($D538)*100+MONTH($D538),"")</f>
        <v/>
      </c>
      <c r="V538" s="32">
        <f>IF($A538=1,IF(COUNTIF(COA!$A:$A,$G538)=0,0,INDEX(COA!$H:$H,MATCH($G538,COA!$A:$A,0))),"")</f>
        <v/>
      </c>
      <c r="W538" s="32">
        <f>IF($A538=1,"OPERATING","")</f>
        <v/>
      </c>
      <c r="X538" s="32">
        <f>IF($A538=1,IF($R538=1,"",IF($O538=ST_POST,IF($P538&lt;&gt;"",$P538,"حساب غير صالح أو غير نشط"),IF($O538=ST_REV,"معكوس: لا أثر على الدفاتر",IF($O538=ST_CANC,"ملغى",IF($O538=ST_APPR,"معتمد ولم يُرحَّل","مسودة"))))),"")</f>
        <v/>
      </c>
      <c r="Y538" s="32">
        <f>IF($A538=1,IF(AND($R538=1,OR(LG_Acct="",$G538=LG_Acct),OR(LG_Party="",$K538=LG_Party),OR(LG_Loc="ALL",$I538=LG_Loc),OR(LG_CC="ALL",$J538=LG_CC),$D538&gt;=LG_From,$D538&lt;=LG_To),$D538+ROW()/1000000,""),"")</f>
        <v/>
      </c>
      <c r="Z538" s="32">
        <f>IF($A538=1,IF(Sales_Daily!$T46="","",Sales_Daily!$T46),"")</f>
        <v/>
      </c>
      <c r="AA538" s="32">
        <f>IF($A538=1,IF(Sales_Daily!$U46="","",Sales_Daily!$U46),"")</f>
        <v/>
      </c>
      <c r="AB538" s="32">
        <f>IF($A538=1,IF(Sales_Daily!$V46="","",Sales_Daily!$V46),"")</f>
        <v/>
      </c>
      <c r="AC538" s="32">
        <f>IF($A538=1,IF(Sales_Daily!$W46="","",Sales_Daily!$W46),"")</f>
        <v/>
      </c>
      <c r="AD538" s="32">
        <f>IF($A538=1,IF(Sales_Daily!$X46="","",Sales_Daily!$X46),"")</f>
        <v/>
      </c>
      <c r="AE538" s="32">
        <f>IF($A538=1,0,"")</f>
        <v/>
      </c>
      <c r="AF538" s="32" t="inlineStr"/>
    </row>
    <row r="539">
      <c r="A539" s="32">
        <f>IF(AND(Sales_Daily!$AV46=1,N(Sales_Daily!$M46)&gt;0),1,0)</f>
        <v/>
      </c>
      <c r="B539" s="32">
        <f>IF($A539=1,$E539&amp;"/2","")</f>
        <v/>
      </c>
      <c r="C539" s="32">
        <f>IF($A539=1,"J-"&amp;Sales_Daily!$A46,"")</f>
        <v/>
      </c>
      <c r="D539" s="33">
        <f>IF($A539=1,Sales_Daily!$B46,"")</f>
        <v/>
      </c>
      <c r="E539" s="32">
        <f>IF($A539=1,IF(Sales_Daily!$A46="","",Sales_Daily!$A46),"")</f>
        <v/>
      </c>
      <c r="F539" s="32">
        <f>IF($A539=1,"SAL","")</f>
        <v/>
      </c>
      <c r="G539" s="32">
        <f>IF($A539=1,IF(Sales_Daily!$AL46="","",Sales_Daily!$AL46),"")</f>
        <v/>
      </c>
      <c r="H539" s="32">
        <f>IF($A539=1,IF(COUNTIF(COA!$A:$A,$G539)=0,"حساب غير معرف",INDEX(COA!$B:$B,MATCH($G539,COA!$A:$A,0))),"")</f>
        <v/>
      </c>
      <c r="I539" s="32">
        <f>IF($A539=1,IF(Sales_Daily!$C46="","",Sales_Daily!$C46),"")</f>
        <v/>
      </c>
      <c r="J539" s="32">
        <f>IF($A539=1,"CC10","")</f>
        <v/>
      </c>
      <c r="K539" s="32">
        <f>IF($A539=1,"-","")</f>
        <v/>
      </c>
      <c r="L539" s="32">
        <f>IF($A539=1,"مبيعات - تحصيل CARD","")</f>
        <v/>
      </c>
      <c r="M539" s="43">
        <f>IF($A539=1,Sales_Daily!$M46,"")</f>
        <v/>
      </c>
      <c r="N539" s="43">
        <f>IF($A539=1,0,"")</f>
        <v/>
      </c>
      <c r="O539" s="32">
        <f>IF($A539=1,Sales_Daily!$S46,"")</f>
        <v/>
      </c>
      <c r="P539" s="32">
        <f>IF($A539=1,IF(Sales_Daily!$AW46="","",Sales_Daily!$AW46),"")</f>
        <v/>
      </c>
      <c r="Q539" s="32">
        <f>IF($A539=1,Sales_Daily!$AY46,"")</f>
        <v/>
      </c>
      <c r="R539" s="32">
        <f>IF($A539=1,IF(AND($Q539=1,COUNTIFS(COA!$A:$A,$G539,COA!$R:$R,1)=1),1,0),"")</f>
        <v/>
      </c>
      <c r="S539" s="43">
        <f>IF($A539=1,IF($R539=1,N($M539),0),"")</f>
        <v/>
      </c>
      <c r="T539" s="43">
        <f>IF($A539=1,IF($R539=1,N($N539),0),"")</f>
        <v/>
      </c>
      <c r="U539" s="32">
        <f>IF($A539=1,YEAR($D539)*100+MONTH($D539),"")</f>
        <v/>
      </c>
      <c r="V539" s="32">
        <f>IF($A539=1,IF(COUNTIF(COA!$A:$A,$G539)=0,0,INDEX(COA!$H:$H,MATCH($G539,COA!$A:$A,0))),"")</f>
        <v/>
      </c>
      <c r="W539" s="32">
        <f>IF($A539=1,"OPERATING","")</f>
        <v/>
      </c>
      <c r="X539" s="32">
        <f>IF($A539=1,IF($R539=1,"",IF($O539=ST_POST,IF($P539&lt;&gt;"",$P539,"حساب غير صالح أو غير نشط"),IF($O539=ST_REV,"معكوس: لا أثر على الدفاتر",IF($O539=ST_CANC,"ملغى",IF($O539=ST_APPR,"معتمد ولم يُرحَّل","مسودة"))))),"")</f>
        <v/>
      </c>
      <c r="Y539" s="32">
        <f>IF($A539=1,IF(AND($R539=1,OR(LG_Acct="",$G539=LG_Acct),OR(LG_Party="",$K539=LG_Party),OR(LG_Loc="ALL",$I539=LG_Loc),OR(LG_CC="ALL",$J539=LG_CC),$D539&gt;=LG_From,$D539&lt;=LG_To),$D539+ROW()/1000000,""),"")</f>
        <v/>
      </c>
      <c r="Z539" s="32">
        <f>IF($A539=1,IF(Sales_Daily!$T46="","",Sales_Daily!$T46),"")</f>
        <v/>
      </c>
      <c r="AA539" s="32">
        <f>IF($A539=1,IF(Sales_Daily!$U46="","",Sales_Daily!$U46),"")</f>
        <v/>
      </c>
      <c r="AB539" s="32">
        <f>IF($A539=1,IF(Sales_Daily!$V46="","",Sales_Daily!$V46),"")</f>
        <v/>
      </c>
      <c r="AC539" s="32">
        <f>IF($A539=1,IF(Sales_Daily!$W46="","",Sales_Daily!$W46),"")</f>
        <v/>
      </c>
      <c r="AD539" s="32">
        <f>IF($A539=1,IF(Sales_Daily!$X46="","",Sales_Daily!$X46),"")</f>
        <v/>
      </c>
      <c r="AE539" s="32">
        <f>IF($A539=1,0,"")</f>
        <v/>
      </c>
      <c r="AF539" s="32" t="inlineStr"/>
    </row>
    <row r="540">
      <c r="A540" s="32">
        <f>IF(AND(Sales_Daily!$AV46=1,N(Sales_Daily!$N46)&gt;0),1,0)</f>
        <v/>
      </c>
      <c r="B540" s="32">
        <f>IF($A540=1,$E540&amp;"/3","")</f>
        <v/>
      </c>
      <c r="C540" s="32">
        <f>IF($A540=1,"J-"&amp;Sales_Daily!$A46,"")</f>
        <v/>
      </c>
      <c r="D540" s="33">
        <f>IF($A540=1,Sales_Daily!$B46,"")</f>
        <v/>
      </c>
      <c r="E540" s="32">
        <f>IF($A540=1,IF(Sales_Daily!$A46="","",Sales_Daily!$A46),"")</f>
        <v/>
      </c>
      <c r="F540" s="32">
        <f>IF($A540=1,"SAL","")</f>
        <v/>
      </c>
      <c r="G540" s="32">
        <f>IF($A540=1,IF(Sales_Daily!$AM46="","",Sales_Daily!$AM46),"")</f>
        <v/>
      </c>
      <c r="H540" s="32">
        <f>IF($A540=1,IF(COUNTIF(COA!$A:$A,$G540)=0,"حساب غير معرف",INDEX(COA!$B:$B,MATCH($G540,COA!$A:$A,0))),"")</f>
        <v/>
      </c>
      <c r="I540" s="32">
        <f>IF($A540=1,IF(Sales_Daily!$C46="","",Sales_Daily!$C46),"")</f>
        <v/>
      </c>
      <c r="J540" s="32">
        <f>IF($A540=1,"CC10","")</f>
        <v/>
      </c>
      <c r="K540" s="32">
        <f>IF($A540=1,"-","")</f>
        <v/>
      </c>
      <c r="L540" s="32">
        <f>IF($A540=1,"مبيعات - تحصيل TLB","")</f>
        <v/>
      </c>
      <c r="M540" s="43">
        <f>IF($A540=1,Sales_Daily!$N46,"")</f>
        <v/>
      </c>
      <c r="N540" s="43">
        <f>IF($A540=1,0,"")</f>
        <v/>
      </c>
      <c r="O540" s="32">
        <f>IF($A540=1,Sales_Daily!$S46,"")</f>
        <v/>
      </c>
      <c r="P540" s="32">
        <f>IF($A540=1,IF(Sales_Daily!$AW46="","",Sales_Daily!$AW46),"")</f>
        <v/>
      </c>
      <c r="Q540" s="32">
        <f>IF($A540=1,Sales_Daily!$AY46,"")</f>
        <v/>
      </c>
      <c r="R540" s="32">
        <f>IF($A540=1,IF(AND($Q540=1,COUNTIFS(COA!$A:$A,$G540,COA!$R:$R,1)=1),1,0),"")</f>
        <v/>
      </c>
      <c r="S540" s="43">
        <f>IF($A540=1,IF($R540=1,N($M540),0),"")</f>
        <v/>
      </c>
      <c r="T540" s="43">
        <f>IF($A540=1,IF($R540=1,N($N540),0),"")</f>
        <v/>
      </c>
      <c r="U540" s="32">
        <f>IF($A540=1,YEAR($D540)*100+MONTH($D540),"")</f>
        <v/>
      </c>
      <c r="V540" s="32">
        <f>IF($A540=1,IF(COUNTIF(COA!$A:$A,$G540)=0,0,INDEX(COA!$H:$H,MATCH($G540,COA!$A:$A,0))),"")</f>
        <v/>
      </c>
      <c r="W540" s="32">
        <f>IF($A540=1,"OPERATING","")</f>
        <v/>
      </c>
      <c r="X540" s="32">
        <f>IF($A540=1,IF($R540=1,"",IF($O540=ST_POST,IF($P540&lt;&gt;"",$P540,"حساب غير صالح أو غير نشط"),IF($O540=ST_REV,"معكوس: لا أثر على الدفاتر",IF($O540=ST_CANC,"ملغى",IF($O540=ST_APPR,"معتمد ولم يُرحَّل","مسودة"))))),"")</f>
        <v/>
      </c>
      <c r="Y540" s="32">
        <f>IF($A540=1,IF(AND($R540=1,OR(LG_Acct="",$G540=LG_Acct),OR(LG_Party="",$K540=LG_Party),OR(LG_Loc="ALL",$I540=LG_Loc),OR(LG_CC="ALL",$J540=LG_CC),$D540&gt;=LG_From,$D540&lt;=LG_To),$D540+ROW()/1000000,""),"")</f>
        <v/>
      </c>
      <c r="Z540" s="32">
        <f>IF($A540=1,IF(Sales_Daily!$T46="","",Sales_Daily!$T46),"")</f>
        <v/>
      </c>
      <c r="AA540" s="32">
        <f>IF($A540=1,IF(Sales_Daily!$U46="","",Sales_Daily!$U46),"")</f>
        <v/>
      </c>
      <c r="AB540" s="32">
        <f>IF($A540=1,IF(Sales_Daily!$V46="","",Sales_Daily!$V46),"")</f>
        <v/>
      </c>
      <c r="AC540" s="32">
        <f>IF($A540=1,IF(Sales_Daily!$W46="","",Sales_Daily!$W46),"")</f>
        <v/>
      </c>
      <c r="AD540" s="32">
        <f>IF($A540=1,IF(Sales_Daily!$X46="","",Sales_Daily!$X46),"")</f>
        <v/>
      </c>
      <c r="AE540" s="32">
        <f>IF($A540=1,0,"")</f>
        <v/>
      </c>
      <c r="AF540" s="32" t="inlineStr"/>
    </row>
    <row r="541">
      <c r="A541" s="32">
        <f>IF(AND(Sales_Daily!$AV46=1,N(Sales_Daily!$O46)&gt;0),1,0)</f>
        <v/>
      </c>
      <c r="B541" s="32">
        <f>IF($A541=1,$E541&amp;"/4","")</f>
        <v/>
      </c>
      <c r="C541" s="32">
        <f>IF($A541=1,"J-"&amp;Sales_Daily!$A46,"")</f>
        <v/>
      </c>
      <c r="D541" s="33">
        <f>IF($A541=1,Sales_Daily!$B46,"")</f>
        <v/>
      </c>
      <c r="E541" s="32">
        <f>IF($A541=1,IF(Sales_Daily!$A46="","",Sales_Daily!$A46),"")</f>
        <v/>
      </c>
      <c r="F541" s="32">
        <f>IF($A541=1,"SAL","")</f>
        <v/>
      </c>
      <c r="G541" s="32">
        <f>IF($A541=1,IF(Sales_Daily!$AN46="","",Sales_Daily!$AN46),"")</f>
        <v/>
      </c>
      <c r="H541" s="32">
        <f>IF($A541=1,IF(COUNTIF(COA!$A:$A,$G541)=0,"حساب غير معرف",INDEX(COA!$B:$B,MATCH($G541,COA!$A:$A,0))),"")</f>
        <v/>
      </c>
      <c r="I541" s="32">
        <f>IF($A541=1,IF(Sales_Daily!$C46="","",Sales_Daily!$C46),"")</f>
        <v/>
      </c>
      <c r="J541" s="32">
        <f>IF($A541=1,"CC10","")</f>
        <v/>
      </c>
      <c r="K541" s="32">
        <f>IF($A541=1,"-","")</f>
        <v/>
      </c>
      <c r="L541" s="32">
        <f>IF($A541=1,"مبيعات - تحصيل DLV2","")</f>
        <v/>
      </c>
      <c r="M541" s="43">
        <f>IF($A541=1,Sales_Daily!$O46,"")</f>
        <v/>
      </c>
      <c r="N541" s="43">
        <f>IF($A541=1,0,"")</f>
        <v/>
      </c>
      <c r="O541" s="32">
        <f>IF($A541=1,Sales_Daily!$S46,"")</f>
        <v/>
      </c>
      <c r="P541" s="32">
        <f>IF($A541=1,IF(Sales_Daily!$AW46="","",Sales_Daily!$AW46),"")</f>
        <v/>
      </c>
      <c r="Q541" s="32">
        <f>IF($A541=1,Sales_Daily!$AY46,"")</f>
        <v/>
      </c>
      <c r="R541" s="32">
        <f>IF($A541=1,IF(AND($Q541=1,COUNTIFS(COA!$A:$A,$G541,COA!$R:$R,1)=1),1,0),"")</f>
        <v/>
      </c>
      <c r="S541" s="43">
        <f>IF($A541=1,IF($R541=1,N($M541),0),"")</f>
        <v/>
      </c>
      <c r="T541" s="43">
        <f>IF($A541=1,IF($R541=1,N($N541),0),"")</f>
        <v/>
      </c>
      <c r="U541" s="32">
        <f>IF($A541=1,YEAR($D541)*100+MONTH($D541),"")</f>
        <v/>
      </c>
      <c r="V541" s="32">
        <f>IF($A541=1,IF(COUNTIF(COA!$A:$A,$G541)=0,0,INDEX(COA!$H:$H,MATCH($G541,COA!$A:$A,0))),"")</f>
        <v/>
      </c>
      <c r="W541" s="32">
        <f>IF($A541=1,"OPERATING","")</f>
        <v/>
      </c>
      <c r="X541" s="32">
        <f>IF($A541=1,IF($R541=1,"",IF($O541=ST_POST,IF($P541&lt;&gt;"",$P541,"حساب غير صالح أو غير نشط"),IF($O541=ST_REV,"معكوس: لا أثر على الدفاتر",IF($O541=ST_CANC,"ملغى",IF($O541=ST_APPR,"معتمد ولم يُرحَّل","مسودة"))))),"")</f>
        <v/>
      </c>
      <c r="Y541" s="32">
        <f>IF($A541=1,IF(AND($R541=1,OR(LG_Acct="",$G541=LG_Acct),OR(LG_Party="",$K541=LG_Party),OR(LG_Loc="ALL",$I541=LG_Loc),OR(LG_CC="ALL",$J541=LG_CC),$D541&gt;=LG_From,$D541&lt;=LG_To),$D541+ROW()/1000000,""),"")</f>
        <v/>
      </c>
      <c r="Z541" s="32">
        <f>IF($A541=1,IF(Sales_Daily!$T46="","",Sales_Daily!$T46),"")</f>
        <v/>
      </c>
      <c r="AA541" s="32">
        <f>IF($A541=1,IF(Sales_Daily!$U46="","",Sales_Daily!$U46),"")</f>
        <v/>
      </c>
      <c r="AB541" s="32">
        <f>IF($A541=1,IF(Sales_Daily!$V46="","",Sales_Daily!$V46),"")</f>
        <v/>
      </c>
      <c r="AC541" s="32">
        <f>IF($A541=1,IF(Sales_Daily!$W46="","",Sales_Daily!$W46),"")</f>
        <v/>
      </c>
      <c r="AD541" s="32">
        <f>IF($A541=1,IF(Sales_Daily!$X46="","",Sales_Daily!$X46),"")</f>
        <v/>
      </c>
      <c r="AE541" s="32">
        <f>IF($A541=1,0,"")</f>
        <v/>
      </c>
      <c r="AF541" s="32" t="inlineStr"/>
    </row>
    <row r="542">
      <c r="A542" s="32">
        <f>IF(AND(Sales_Daily!$AV46=1,N(Sales_Daily!$P46)&gt;0),1,0)</f>
        <v/>
      </c>
      <c r="B542" s="32">
        <f>IF($A542=1,$E542&amp;"/5","")</f>
        <v/>
      </c>
      <c r="C542" s="32">
        <f>IF($A542=1,"J-"&amp;Sales_Daily!$A46,"")</f>
        <v/>
      </c>
      <c r="D542" s="33">
        <f>IF($A542=1,Sales_Daily!$B46,"")</f>
        <v/>
      </c>
      <c r="E542" s="32">
        <f>IF($A542=1,IF(Sales_Daily!$A46="","",Sales_Daily!$A46),"")</f>
        <v/>
      </c>
      <c r="F542" s="32">
        <f>IF($A542=1,"SAL","")</f>
        <v/>
      </c>
      <c r="G542" s="32">
        <f>IF($A542=1,IF(Sales_Daily!$AO46="","",Sales_Daily!$AO46),"")</f>
        <v/>
      </c>
      <c r="H542" s="32">
        <f>IF($A542=1,IF(COUNTIF(COA!$A:$A,$G542)=0,"حساب غير معرف",INDEX(COA!$B:$B,MATCH($G542,COA!$A:$A,0))),"")</f>
        <v/>
      </c>
      <c r="I542" s="32">
        <f>IF($A542=1,IF(Sales_Daily!$C46="","",Sales_Daily!$C46),"")</f>
        <v/>
      </c>
      <c r="J542" s="32">
        <f>IF($A542=1,"CC10","")</f>
        <v/>
      </c>
      <c r="K542" s="32">
        <f>IF($A542=1,"-","")</f>
        <v/>
      </c>
      <c r="L542" s="32">
        <f>IF($A542=1,"مبيعات - تحصيل INSTA","")</f>
        <v/>
      </c>
      <c r="M542" s="43">
        <f>IF($A542=1,Sales_Daily!$P46,"")</f>
        <v/>
      </c>
      <c r="N542" s="43">
        <f>IF($A542=1,0,"")</f>
        <v/>
      </c>
      <c r="O542" s="32">
        <f>IF($A542=1,Sales_Daily!$S46,"")</f>
        <v/>
      </c>
      <c r="P542" s="32">
        <f>IF($A542=1,IF(Sales_Daily!$AW46="","",Sales_Daily!$AW46),"")</f>
        <v/>
      </c>
      <c r="Q542" s="32">
        <f>IF($A542=1,Sales_Daily!$AY46,"")</f>
        <v/>
      </c>
      <c r="R542" s="32">
        <f>IF($A542=1,IF(AND($Q542=1,COUNTIFS(COA!$A:$A,$G542,COA!$R:$R,1)=1),1,0),"")</f>
        <v/>
      </c>
      <c r="S542" s="43">
        <f>IF($A542=1,IF($R542=1,N($M542),0),"")</f>
        <v/>
      </c>
      <c r="T542" s="43">
        <f>IF($A542=1,IF($R542=1,N($N542),0),"")</f>
        <v/>
      </c>
      <c r="U542" s="32">
        <f>IF($A542=1,YEAR($D542)*100+MONTH($D542),"")</f>
        <v/>
      </c>
      <c r="V542" s="32">
        <f>IF($A542=1,IF(COUNTIF(COA!$A:$A,$G542)=0,0,INDEX(COA!$H:$H,MATCH($G542,COA!$A:$A,0))),"")</f>
        <v/>
      </c>
      <c r="W542" s="32">
        <f>IF($A542=1,"OPERATING","")</f>
        <v/>
      </c>
      <c r="X542" s="32">
        <f>IF($A542=1,IF($R542=1,"",IF($O542=ST_POST,IF($P542&lt;&gt;"",$P542,"حساب غير صالح أو غير نشط"),IF($O542=ST_REV,"معكوس: لا أثر على الدفاتر",IF($O542=ST_CANC,"ملغى",IF($O542=ST_APPR,"معتمد ولم يُرحَّل","مسودة"))))),"")</f>
        <v/>
      </c>
      <c r="Y542" s="32">
        <f>IF($A542=1,IF(AND($R542=1,OR(LG_Acct="",$G542=LG_Acct),OR(LG_Party="",$K542=LG_Party),OR(LG_Loc="ALL",$I542=LG_Loc),OR(LG_CC="ALL",$J542=LG_CC),$D542&gt;=LG_From,$D542&lt;=LG_To),$D542+ROW()/1000000,""),"")</f>
        <v/>
      </c>
      <c r="Z542" s="32">
        <f>IF($A542=1,IF(Sales_Daily!$T46="","",Sales_Daily!$T46),"")</f>
        <v/>
      </c>
      <c r="AA542" s="32">
        <f>IF($A542=1,IF(Sales_Daily!$U46="","",Sales_Daily!$U46),"")</f>
        <v/>
      </c>
      <c r="AB542" s="32">
        <f>IF($A542=1,IF(Sales_Daily!$V46="","",Sales_Daily!$V46),"")</f>
        <v/>
      </c>
      <c r="AC542" s="32">
        <f>IF($A542=1,IF(Sales_Daily!$W46="","",Sales_Daily!$W46),"")</f>
        <v/>
      </c>
      <c r="AD542" s="32">
        <f>IF($A542=1,IF(Sales_Daily!$X46="","",Sales_Daily!$X46),"")</f>
        <v/>
      </c>
      <c r="AE542" s="32">
        <f>IF($A542=1,0,"")</f>
        <v/>
      </c>
      <c r="AF542" s="32" t="inlineStr"/>
    </row>
    <row r="543">
      <c r="A543" s="32">
        <f>IF(AND(Sales_Daily!$AV46=1,N(Sales_Daily!$Q46)&gt;0),1,0)</f>
        <v/>
      </c>
      <c r="B543" s="32">
        <f>IF($A543=1,$E543&amp;"/6","")</f>
        <v/>
      </c>
      <c r="C543" s="32">
        <f>IF($A543=1,"J-"&amp;Sales_Daily!$A46,"")</f>
        <v/>
      </c>
      <c r="D543" s="33">
        <f>IF($A543=1,Sales_Daily!$B46,"")</f>
        <v/>
      </c>
      <c r="E543" s="32">
        <f>IF($A543=1,IF(Sales_Daily!$A46="","",Sales_Daily!$A46),"")</f>
        <v/>
      </c>
      <c r="F543" s="32">
        <f>IF($A543=1,"SAL","")</f>
        <v/>
      </c>
      <c r="G543" s="32">
        <f>IF($A543=1,IF(Sales_Daily!$AP46="","",Sales_Daily!$AP46),"")</f>
        <v/>
      </c>
      <c r="H543" s="32">
        <f>IF($A543=1,IF(COUNTIF(COA!$A:$A,$G543)=0,"حساب غير معرف",INDEX(COA!$B:$B,MATCH($G543,COA!$A:$A,0))),"")</f>
        <v/>
      </c>
      <c r="I543" s="32">
        <f>IF($A543=1,IF(Sales_Daily!$C46="","",Sales_Daily!$C46),"")</f>
        <v/>
      </c>
      <c r="J543" s="32">
        <f>IF($A543=1,"CC10","")</f>
        <v/>
      </c>
      <c r="K543" s="32">
        <f>IF($A543=1,"-","")</f>
        <v/>
      </c>
      <c r="L543" s="32">
        <f>IF($A543=1,"مبيعات - تحصيل OTH","")</f>
        <v/>
      </c>
      <c r="M543" s="43">
        <f>IF($A543=1,Sales_Daily!$Q46,"")</f>
        <v/>
      </c>
      <c r="N543" s="43">
        <f>IF($A543=1,0,"")</f>
        <v/>
      </c>
      <c r="O543" s="32">
        <f>IF($A543=1,Sales_Daily!$S46,"")</f>
        <v/>
      </c>
      <c r="P543" s="32">
        <f>IF($A543=1,IF(Sales_Daily!$AW46="","",Sales_Daily!$AW46),"")</f>
        <v/>
      </c>
      <c r="Q543" s="32">
        <f>IF($A543=1,Sales_Daily!$AY46,"")</f>
        <v/>
      </c>
      <c r="R543" s="32">
        <f>IF($A543=1,IF(AND($Q543=1,COUNTIFS(COA!$A:$A,$G543,COA!$R:$R,1)=1),1,0),"")</f>
        <v/>
      </c>
      <c r="S543" s="43">
        <f>IF($A543=1,IF($R543=1,N($M543),0),"")</f>
        <v/>
      </c>
      <c r="T543" s="43">
        <f>IF($A543=1,IF($R543=1,N($N543),0),"")</f>
        <v/>
      </c>
      <c r="U543" s="32">
        <f>IF($A543=1,YEAR($D543)*100+MONTH($D543),"")</f>
        <v/>
      </c>
      <c r="V543" s="32">
        <f>IF($A543=1,IF(COUNTIF(COA!$A:$A,$G543)=0,0,INDEX(COA!$H:$H,MATCH($G543,COA!$A:$A,0))),"")</f>
        <v/>
      </c>
      <c r="W543" s="32">
        <f>IF($A543=1,"OPERATING","")</f>
        <v/>
      </c>
      <c r="X543" s="32">
        <f>IF($A543=1,IF($R543=1,"",IF($O543=ST_POST,IF($P543&lt;&gt;"",$P543,"حساب غير صالح أو غير نشط"),IF($O543=ST_REV,"معكوس: لا أثر على الدفاتر",IF($O543=ST_CANC,"ملغى",IF($O543=ST_APPR,"معتمد ولم يُرحَّل","مسودة"))))),"")</f>
        <v/>
      </c>
      <c r="Y543" s="32">
        <f>IF($A543=1,IF(AND($R543=1,OR(LG_Acct="",$G543=LG_Acct),OR(LG_Party="",$K543=LG_Party),OR(LG_Loc="ALL",$I543=LG_Loc),OR(LG_CC="ALL",$J543=LG_CC),$D543&gt;=LG_From,$D543&lt;=LG_To),$D543+ROW()/1000000,""),"")</f>
        <v/>
      </c>
      <c r="Z543" s="32">
        <f>IF($A543=1,IF(Sales_Daily!$T46="","",Sales_Daily!$T46),"")</f>
        <v/>
      </c>
      <c r="AA543" s="32">
        <f>IF($A543=1,IF(Sales_Daily!$U46="","",Sales_Daily!$U46),"")</f>
        <v/>
      </c>
      <c r="AB543" s="32">
        <f>IF($A543=1,IF(Sales_Daily!$V46="","",Sales_Daily!$V46),"")</f>
        <v/>
      </c>
      <c r="AC543" s="32">
        <f>IF($A543=1,IF(Sales_Daily!$W46="","",Sales_Daily!$W46),"")</f>
        <v/>
      </c>
      <c r="AD543" s="32">
        <f>IF($A543=1,IF(Sales_Daily!$X46="","",Sales_Daily!$X46),"")</f>
        <v/>
      </c>
      <c r="AE543" s="32">
        <f>IF($A543=1,0,"")</f>
        <v/>
      </c>
      <c r="AF543" s="32" t="inlineStr"/>
    </row>
    <row r="544">
      <c r="A544" s="32">
        <f>IF(AND(Sales_Daily!$AV46=1,N(Sales_Daily!$AH46)&gt;0),1,0)</f>
        <v/>
      </c>
      <c r="B544" s="32">
        <f>IF($A544=1,$E544&amp;"/7","")</f>
        <v/>
      </c>
      <c r="C544" s="32">
        <f>IF($A544=1,"J-"&amp;Sales_Daily!$A46,"")</f>
        <v/>
      </c>
      <c r="D544" s="33">
        <f>IF($A544=1,Sales_Daily!$B46,"")</f>
        <v/>
      </c>
      <c r="E544" s="32">
        <f>IF($A544=1,IF(Sales_Daily!$A46="","",Sales_Daily!$A46),"")</f>
        <v/>
      </c>
      <c r="F544" s="32">
        <f>IF($A544=1,"SAL","")</f>
        <v/>
      </c>
      <c r="G544" s="32">
        <f>IF($A544=1,ACC_DISC,"")</f>
        <v/>
      </c>
      <c r="H544" s="32">
        <f>IF($A544=1,IF(COUNTIF(COA!$A:$A,$G544)=0,"حساب غير معرف",INDEX(COA!$B:$B,MATCH($G544,COA!$A:$A,0))),"")</f>
        <v/>
      </c>
      <c r="I544" s="32">
        <f>IF($A544=1,IF(Sales_Daily!$C46="","",Sales_Daily!$C46),"")</f>
        <v/>
      </c>
      <c r="J544" s="32">
        <f>IF($A544=1,"CC10","")</f>
        <v/>
      </c>
      <c r="K544" s="32">
        <f>IF($A544=1,"-","")</f>
        <v/>
      </c>
      <c r="L544" s="32">
        <f>IF($A544=1,"خصومات المبيعات والعروض","")</f>
        <v/>
      </c>
      <c r="M544" s="43">
        <f>IF($A544=1,Sales_Daily!$AH46,"")</f>
        <v/>
      </c>
      <c r="N544" s="43">
        <f>IF($A544=1,0,"")</f>
        <v/>
      </c>
      <c r="O544" s="32">
        <f>IF($A544=1,Sales_Daily!$S46,"")</f>
        <v/>
      </c>
      <c r="P544" s="32">
        <f>IF($A544=1,IF(Sales_Daily!$AW46="","",Sales_Daily!$AW46),"")</f>
        <v/>
      </c>
      <c r="Q544" s="32">
        <f>IF($A544=1,Sales_Daily!$AY46,"")</f>
        <v/>
      </c>
      <c r="R544" s="32">
        <f>IF($A544=1,IF(AND($Q544=1,COUNTIFS(COA!$A:$A,$G544,COA!$R:$R,1)=1),1,0),"")</f>
        <v/>
      </c>
      <c r="S544" s="43">
        <f>IF($A544=1,IF($R544=1,N($M544),0),"")</f>
        <v/>
      </c>
      <c r="T544" s="43">
        <f>IF($A544=1,IF($R544=1,N($N544),0),"")</f>
        <v/>
      </c>
      <c r="U544" s="32">
        <f>IF($A544=1,YEAR($D544)*100+MONTH($D544),"")</f>
        <v/>
      </c>
      <c r="V544" s="32">
        <f>IF($A544=1,IF(COUNTIF(COA!$A:$A,$G544)=0,0,INDEX(COA!$H:$H,MATCH($G544,COA!$A:$A,0))),"")</f>
        <v/>
      </c>
      <c r="W544" s="32">
        <f>IF($A544=1,"","")</f>
        <v/>
      </c>
      <c r="X544" s="32">
        <f>IF($A544=1,IF($R544=1,"",IF($O544=ST_POST,IF($P544&lt;&gt;"",$P544,"حساب غير صالح أو غير نشط"),IF($O544=ST_REV,"معكوس: لا أثر على الدفاتر",IF($O544=ST_CANC,"ملغى",IF($O544=ST_APPR,"معتمد ولم يُرحَّل","مسودة"))))),"")</f>
        <v/>
      </c>
      <c r="Y544" s="32">
        <f>IF($A544=1,IF(AND($R544=1,OR(LG_Acct="",$G544=LG_Acct),OR(LG_Party="",$K544=LG_Party),OR(LG_Loc="ALL",$I544=LG_Loc),OR(LG_CC="ALL",$J544=LG_CC),$D544&gt;=LG_From,$D544&lt;=LG_To),$D544+ROW()/1000000,""),"")</f>
        <v/>
      </c>
      <c r="Z544" s="32">
        <f>IF($A544=1,IF(Sales_Daily!$T46="","",Sales_Daily!$T46),"")</f>
        <v/>
      </c>
      <c r="AA544" s="32">
        <f>IF($A544=1,IF(Sales_Daily!$U46="","",Sales_Daily!$U46),"")</f>
        <v/>
      </c>
      <c r="AB544" s="32">
        <f>IF($A544=1,IF(Sales_Daily!$V46="","",Sales_Daily!$V46),"")</f>
        <v/>
      </c>
      <c r="AC544" s="32">
        <f>IF($A544=1,IF(Sales_Daily!$W46="","",Sales_Daily!$W46),"")</f>
        <v/>
      </c>
      <c r="AD544" s="32">
        <f>IF($A544=1,IF(Sales_Daily!$X46="","",Sales_Daily!$X46),"")</f>
        <v/>
      </c>
      <c r="AE544" s="32">
        <f>IF($A544=1,0,"")</f>
        <v/>
      </c>
      <c r="AF544" s="32" t="inlineStr"/>
    </row>
    <row r="545">
      <c r="A545" s="32">
        <f>IF(AND(Sales_Daily!$AV46=1,N(Sales_Daily!$AI46)&gt;0),1,0)</f>
        <v/>
      </c>
      <c r="B545" s="32">
        <f>IF($A545=1,$E545&amp;"/8","")</f>
        <v/>
      </c>
      <c r="C545" s="32">
        <f>IF($A545=1,"J-"&amp;Sales_Daily!$A46,"")</f>
        <v/>
      </c>
      <c r="D545" s="33">
        <f>IF($A545=1,Sales_Daily!$B46,"")</f>
        <v/>
      </c>
      <c r="E545" s="32">
        <f>IF($A545=1,IF(Sales_Daily!$A46="","",Sales_Daily!$A46),"")</f>
        <v/>
      </c>
      <c r="F545" s="32">
        <f>IF($A545=1,"SAL","")</f>
        <v/>
      </c>
      <c r="G545" s="32">
        <f>IF($A545=1,ACC_RET,"")</f>
        <v/>
      </c>
      <c r="H545" s="32">
        <f>IF($A545=1,IF(COUNTIF(COA!$A:$A,$G545)=0,"حساب غير معرف",INDEX(COA!$B:$B,MATCH($G545,COA!$A:$A,0))),"")</f>
        <v/>
      </c>
      <c r="I545" s="32">
        <f>IF($A545=1,IF(Sales_Daily!$C46="","",Sales_Daily!$C46),"")</f>
        <v/>
      </c>
      <c r="J545" s="32">
        <f>IF($A545=1,"CC10","")</f>
        <v/>
      </c>
      <c r="K545" s="32">
        <f>IF($A545=1,"-","")</f>
        <v/>
      </c>
      <c r="L545" s="32">
        <f>IF($A545=1,"مرتجعات وإلغاءات المبيعات","")</f>
        <v/>
      </c>
      <c r="M545" s="43">
        <f>IF($A545=1,Sales_Daily!$AI46,"")</f>
        <v/>
      </c>
      <c r="N545" s="43">
        <f>IF($A545=1,0,"")</f>
        <v/>
      </c>
      <c r="O545" s="32">
        <f>IF($A545=1,Sales_Daily!$S46,"")</f>
        <v/>
      </c>
      <c r="P545" s="32">
        <f>IF($A545=1,IF(Sales_Daily!$AW46="","",Sales_Daily!$AW46),"")</f>
        <v/>
      </c>
      <c r="Q545" s="32">
        <f>IF($A545=1,Sales_Daily!$AY46,"")</f>
        <v/>
      </c>
      <c r="R545" s="32">
        <f>IF($A545=1,IF(AND($Q545=1,COUNTIFS(COA!$A:$A,$G545,COA!$R:$R,1)=1),1,0),"")</f>
        <v/>
      </c>
      <c r="S545" s="43">
        <f>IF($A545=1,IF($R545=1,N($M545),0),"")</f>
        <v/>
      </c>
      <c r="T545" s="43">
        <f>IF($A545=1,IF($R545=1,N($N545),0),"")</f>
        <v/>
      </c>
      <c r="U545" s="32">
        <f>IF($A545=1,YEAR($D545)*100+MONTH($D545),"")</f>
        <v/>
      </c>
      <c r="V545" s="32">
        <f>IF($A545=1,IF(COUNTIF(COA!$A:$A,$G545)=0,0,INDEX(COA!$H:$H,MATCH($G545,COA!$A:$A,0))),"")</f>
        <v/>
      </c>
      <c r="W545" s="32">
        <f>IF($A545=1,"","")</f>
        <v/>
      </c>
      <c r="X545" s="32">
        <f>IF($A545=1,IF($R545=1,"",IF($O545=ST_POST,IF($P545&lt;&gt;"",$P545,"حساب غير صالح أو غير نشط"),IF($O545=ST_REV,"معكوس: لا أثر على الدفاتر",IF($O545=ST_CANC,"ملغى",IF($O545=ST_APPR,"معتمد ولم يُرحَّل","مسودة"))))),"")</f>
        <v/>
      </c>
      <c r="Y545" s="32">
        <f>IF($A545=1,IF(AND($R545=1,OR(LG_Acct="",$G545=LG_Acct),OR(LG_Party="",$K545=LG_Party),OR(LG_Loc="ALL",$I545=LG_Loc),OR(LG_CC="ALL",$J545=LG_CC),$D545&gt;=LG_From,$D545&lt;=LG_To),$D545+ROW()/1000000,""),"")</f>
        <v/>
      </c>
      <c r="Z545" s="32">
        <f>IF($A545=1,IF(Sales_Daily!$T46="","",Sales_Daily!$T46),"")</f>
        <v/>
      </c>
      <c r="AA545" s="32">
        <f>IF($A545=1,IF(Sales_Daily!$U46="","",Sales_Daily!$U46),"")</f>
        <v/>
      </c>
      <c r="AB545" s="32">
        <f>IF($A545=1,IF(Sales_Daily!$V46="","",Sales_Daily!$V46),"")</f>
        <v/>
      </c>
      <c r="AC545" s="32">
        <f>IF($A545=1,IF(Sales_Daily!$W46="","",Sales_Daily!$W46),"")</f>
        <v/>
      </c>
      <c r="AD545" s="32">
        <f>IF($A545=1,IF(Sales_Daily!$X46="","",Sales_Daily!$X46),"")</f>
        <v/>
      </c>
      <c r="AE545" s="32">
        <f>IF($A545=1,0,"")</f>
        <v/>
      </c>
      <c r="AF545" s="32" t="inlineStr"/>
    </row>
    <row r="546">
      <c r="A546" s="32">
        <f>IF(AND(Sales_Daily!$AV46=1,N(Sales_Daily!$AD46)&gt;0),1,0)</f>
        <v/>
      </c>
      <c r="B546" s="32">
        <f>IF($A546=1,$E546&amp;"/9","")</f>
        <v/>
      </c>
      <c r="C546" s="32">
        <f>IF($A546=1,"J-"&amp;Sales_Daily!$A46,"")</f>
        <v/>
      </c>
      <c r="D546" s="33">
        <f>IF($A546=1,Sales_Daily!$B46,"")</f>
        <v/>
      </c>
      <c r="E546" s="32">
        <f>IF($A546=1,IF(Sales_Daily!$A46="","",Sales_Daily!$A46),"")</f>
        <v/>
      </c>
      <c r="F546" s="32">
        <f>IF($A546=1,"SAL","")</f>
        <v/>
      </c>
      <c r="G546" s="32">
        <f>IF($A546=1,IF(Sales_Daily!$AQ46="","",Sales_Daily!$AQ46),"")</f>
        <v/>
      </c>
      <c r="H546" s="32">
        <f>IF($A546=1,IF(COUNTIF(COA!$A:$A,$G546)=0,"حساب غير معرف",INDEX(COA!$B:$B,MATCH($G546,COA!$A:$A,0))),"")</f>
        <v/>
      </c>
      <c r="I546" s="32">
        <f>IF($A546=1,IF(Sales_Daily!$C46="","",Sales_Daily!$C46),"")</f>
        <v/>
      </c>
      <c r="J546" s="32">
        <f>IF($A546=1,"CC10","")</f>
        <v/>
      </c>
      <c r="K546" s="32">
        <f>IF($A546=1,"-","")</f>
        <v/>
      </c>
      <c r="L546" s="32">
        <f>IF($A546=1,"إيراد مبيعات - فئة فطير","")</f>
        <v/>
      </c>
      <c r="M546" s="43">
        <f>IF($A546=1,0,"")</f>
        <v/>
      </c>
      <c r="N546" s="43">
        <f>IF($A546=1,Sales_Daily!$AD46,"")</f>
        <v/>
      </c>
      <c r="O546" s="32">
        <f>IF($A546=1,Sales_Daily!$S46,"")</f>
        <v/>
      </c>
      <c r="P546" s="32">
        <f>IF($A546=1,IF(Sales_Daily!$AW46="","",Sales_Daily!$AW46),"")</f>
        <v/>
      </c>
      <c r="Q546" s="32">
        <f>IF($A546=1,Sales_Daily!$AY46,"")</f>
        <v/>
      </c>
      <c r="R546" s="32">
        <f>IF($A546=1,IF(AND($Q546=1,COUNTIFS(COA!$A:$A,$G546,COA!$R:$R,1)=1),1,0),"")</f>
        <v/>
      </c>
      <c r="S546" s="43">
        <f>IF($A546=1,IF($R546=1,N($M546),0),"")</f>
        <v/>
      </c>
      <c r="T546" s="43">
        <f>IF($A546=1,IF($R546=1,N($N546),0),"")</f>
        <v/>
      </c>
      <c r="U546" s="32">
        <f>IF($A546=1,YEAR($D546)*100+MONTH($D546),"")</f>
        <v/>
      </c>
      <c r="V546" s="32">
        <f>IF($A546=1,IF(COUNTIF(COA!$A:$A,$G546)=0,0,INDEX(COA!$H:$H,MATCH($G546,COA!$A:$A,0))),"")</f>
        <v/>
      </c>
      <c r="W546" s="32">
        <f>IF($A546=1,"","")</f>
        <v/>
      </c>
      <c r="X546" s="32">
        <f>IF($A546=1,IF($R546=1,"",IF($O546=ST_POST,IF($P546&lt;&gt;"",$P546,"حساب غير صالح أو غير نشط"),IF($O546=ST_REV,"معكوس: لا أثر على الدفاتر",IF($O546=ST_CANC,"ملغى",IF($O546=ST_APPR,"معتمد ولم يُرحَّل","مسودة"))))),"")</f>
        <v/>
      </c>
      <c r="Y546" s="32">
        <f>IF($A546=1,IF(AND($R546=1,OR(LG_Acct="",$G546=LG_Acct),OR(LG_Party="",$K546=LG_Party),OR(LG_Loc="ALL",$I546=LG_Loc),OR(LG_CC="ALL",$J546=LG_CC),$D546&gt;=LG_From,$D546&lt;=LG_To),$D546+ROW()/1000000,""),"")</f>
        <v/>
      </c>
      <c r="Z546" s="32">
        <f>IF($A546=1,IF(Sales_Daily!$T46="","",Sales_Daily!$T46),"")</f>
        <v/>
      </c>
      <c r="AA546" s="32">
        <f>IF($A546=1,IF(Sales_Daily!$U46="","",Sales_Daily!$U46),"")</f>
        <v/>
      </c>
      <c r="AB546" s="32">
        <f>IF($A546=1,IF(Sales_Daily!$V46="","",Sales_Daily!$V46),"")</f>
        <v/>
      </c>
      <c r="AC546" s="32">
        <f>IF($A546=1,IF(Sales_Daily!$W46="","",Sales_Daily!$W46),"")</f>
        <v/>
      </c>
      <c r="AD546" s="32">
        <f>IF($A546=1,IF(Sales_Daily!$X46="","",Sales_Daily!$X46),"")</f>
        <v/>
      </c>
      <c r="AE546" s="32">
        <f>IF($A546=1,0,"")</f>
        <v/>
      </c>
      <c r="AF546" s="32" t="inlineStr"/>
    </row>
    <row r="547">
      <c r="A547" s="32">
        <f>IF(AND(Sales_Daily!$AV46=1,N(Sales_Daily!$AE46)&gt;0),1,0)</f>
        <v/>
      </c>
      <c r="B547" s="32">
        <f>IF($A547=1,$E547&amp;"/10","")</f>
        <v/>
      </c>
      <c r="C547" s="32">
        <f>IF($A547=1,"J-"&amp;Sales_Daily!$A46,"")</f>
        <v/>
      </c>
      <c r="D547" s="33">
        <f>IF($A547=1,Sales_Daily!$B46,"")</f>
        <v/>
      </c>
      <c r="E547" s="32">
        <f>IF($A547=1,IF(Sales_Daily!$A46="","",Sales_Daily!$A46),"")</f>
        <v/>
      </c>
      <c r="F547" s="32">
        <f>IF($A547=1,"SAL","")</f>
        <v/>
      </c>
      <c r="G547" s="32">
        <f>IF($A547=1,IF(Sales_Daily!$AR46="","",Sales_Daily!$AR46),"")</f>
        <v/>
      </c>
      <c r="H547" s="32">
        <f>IF($A547=1,IF(COUNTIF(COA!$A:$A,$G547)=0,"حساب غير معرف",INDEX(COA!$B:$B,MATCH($G547,COA!$A:$A,0))),"")</f>
        <v/>
      </c>
      <c r="I547" s="32">
        <f>IF($A547=1,IF(Sales_Daily!$C46="","",Sales_Daily!$C46),"")</f>
        <v/>
      </c>
      <c r="J547" s="32">
        <f>IF($A547=1,"CC10","")</f>
        <v/>
      </c>
      <c r="K547" s="32">
        <f>IF($A547=1,"-","")</f>
        <v/>
      </c>
      <c r="L547" s="32">
        <f>IF($A547=1,"إيراد مبيعات - فئة بيتزا","")</f>
        <v/>
      </c>
      <c r="M547" s="43">
        <f>IF($A547=1,0,"")</f>
        <v/>
      </c>
      <c r="N547" s="43">
        <f>IF($A547=1,Sales_Daily!$AE46,"")</f>
        <v/>
      </c>
      <c r="O547" s="32">
        <f>IF($A547=1,Sales_Daily!$S46,"")</f>
        <v/>
      </c>
      <c r="P547" s="32">
        <f>IF($A547=1,IF(Sales_Daily!$AW46="","",Sales_Daily!$AW46),"")</f>
        <v/>
      </c>
      <c r="Q547" s="32">
        <f>IF($A547=1,Sales_Daily!$AY46,"")</f>
        <v/>
      </c>
      <c r="R547" s="32">
        <f>IF($A547=1,IF(AND($Q547=1,COUNTIFS(COA!$A:$A,$G547,COA!$R:$R,1)=1),1,0),"")</f>
        <v/>
      </c>
      <c r="S547" s="43">
        <f>IF($A547=1,IF($R547=1,N($M547),0),"")</f>
        <v/>
      </c>
      <c r="T547" s="43">
        <f>IF($A547=1,IF($R547=1,N($N547),0),"")</f>
        <v/>
      </c>
      <c r="U547" s="32">
        <f>IF($A547=1,YEAR($D547)*100+MONTH($D547),"")</f>
        <v/>
      </c>
      <c r="V547" s="32">
        <f>IF($A547=1,IF(COUNTIF(COA!$A:$A,$G547)=0,0,INDEX(COA!$H:$H,MATCH($G547,COA!$A:$A,0))),"")</f>
        <v/>
      </c>
      <c r="W547" s="32">
        <f>IF($A547=1,"","")</f>
        <v/>
      </c>
      <c r="X547" s="32">
        <f>IF($A547=1,IF($R547=1,"",IF($O547=ST_POST,IF($P547&lt;&gt;"",$P547,"حساب غير صالح أو غير نشط"),IF($O547=ST_REV,"معكوس: لا أثر على الدفاتر",IF($O547=ST_CANC,"ملغى",IF($O547=ST_APPR,"معتمد ولم يُرحَّل","مسودة"))))),"")</f>
        <v/>
      </c>
      <c r="Y547" s="32">
        <f>IF($A547=1,IF(AND($R547=1,OR(LG_Acct="",$G547=LG_Acct),OR(LG_Party="",$K547=LG_Party),OR(LG_Loc="ALL",$I547=LG_Loc),OR(LG_CC="ALL",$J547=LG_CC),$D547&gt;=LG_From,$D547&lt;=LG_To),$D547+ROW()/1000000,""),"")</f>
        <v/>
      </c>
      <c r="Z547" s="32">
        <f>IF($A547=1,IF(Sales_Daily!$T46="","",Sales_Daily!$T46),"")</f>
        <v/>
      </c>
      <c r="AA547" s="32">
        <f>IF($A547=1,IF(Sales_Daily!$U46="","",Sales_Daily!$U46),"")</f>
        <v/>
      </c>
      <c r="AB547" s="32">
        <f>IF($A547=1,IF(Sales_Daily!$V46="","",Sales_Daily!$V46),"")</f>
        <v/>
      </c>
      <c r="AC547" s="32">
        <f>IF($A547=1,IF(Sales_Daily!$W46="","",Sales_Daily!$W46),"")</f>
        <v/>
      </c>
      <c r="AD547" s="32">
        <f>IF($A547=1,IF(Sales_Daily!$X46="","",Sales_Daily!$X46),"")</f>
        <v/>
      </c>
      <c r="AE547" s="32">
        <f>IF($A547=1,0,"")</f>
        <v/>
      </c>
      <c r="AF547" s="32" t="inlineStr"/>
    </row>
    <row r="548">
      <c r="A548" s="32">
        <f>IF(AND(Sales_Daily!$AV46=1,N(Sales_Daily!$AF46)&gt;0),1,0)</f>
        <v/>
      </c>
      <c r="B548" s="32">
        <f>IF($A548=1,$E548&amp;"/11","")</f>
        <v/>
      </c>
      <c r="C548" s="32">
        <f>IF($A548=1,"J-"&amp;Sales_Daily!$A46,"")</f>
        <v/>
      </c>
      <c r="D548" s="33">
        <f>IF($A548=1,Sales_Daily!$B46,"")</f>
        <v/>
      </c>
      <c r="E548" s="32">
        <f>IF($A548=1,IF(Sales_Daily!$A46="","",Sales_Daily!$A46),"")</f>
        <v/>
      </c>
      <c r="F548" s="32">
        <f>IF($A548=1,"SAL","")</f>
        <v/>
      </c>
      <c r="G548" s="32">
        <f>IF($A548=1,IF(Sales_Daily!$AS46="","",Sales_Daily!$AS46),"")</f>
        <v/>
      </c>
      <c r="H548" s="32">
        <f>IF($A548=1,IF(COUNTIF(COA!$A:$A,$G548)=0,"حساب غير معرف",INDEX(COA!$B:$B,MATCH($G548,COA!$A:$A,0))),"")</f>
        <v/>
      </c>
      <c r="I548" s="32">
        <f>IF($A548=1,IF(Sales_Daily!$C46="","",Sales_Daily!$C46),"")</f>
        <v/>
      </c>
      <c r="J548" s="32">
        <f>IF($A548=1,"CC10","")</f>
        <v/>
      </c>
      <c r="K548" s="32">
        <f>IF($A548=1,"-","")</f>
        <v/>
      </c>
      <c r="L548" s="32">
        <f>IF($A548=1,"إيراد مبيعات - فئة مكرونات","")</f>
        <v/>
      </c>
      <c r="M548" s="43">
        <f>IF($A548=1,0,"")</f>
        <v/>
      </c>
      <c r="N548" s="43">
        <f>IF($A548=1,Sales_Daily!$AF46,"")</f>
        <v/>
      </c>
      <c r="O548" s="32">
        <f>IF($A548=1,Sales_Daily!$S46,"")</f>
        <v/>
      </c>
      <c r="P548" s="32">
        <f>IF($A548=1,IF(Sales_Daily!$AW46="","",Sales_Daily!$AW46),"")</f>
        <v/>
      </c>
      <c r="Q548" s="32">
        <f>IF($A548=1,Sales_Daily!$AY46,"")</f>
        <v/>
      </c>
      <c r="R548" s="32">
        <f>IF($A548=1,IF(AND($Q548=1,COUNTIFS(COA!$A:$A,$G548,COA!$R:$R,1)=1),1,0),"")</f>
        <v/>
      </c>
      <c r="S548" s="43">
        <f>IF($A548=1,IF($R548=1,N($M548),0),"")</f>
        <v/>
      </c>
      <c r="T548" s="43">
        <f>IF($A548=1,IF($R548=1,N($N548),0),"")</f>
        <v/>
      </c>
      <c r="U548" s="32">
        <f>IF($A548=1,YEAR($D548)*100+MONTH($D548),"")</f>
        <v/>
      </c>
      <c r="V548" s="32">
        <f>IF($A548=1,IF(COUNTIF(COA!$A:$A,$G548)=0,0,INDEX(COA!$H:$H,MATCH($G548,COA!$A:$A,0))),"")</f>
        <v/>
      </c>
      <c r="W548" s="32">
        <f>IF($A548=1,"","")</f>
        <v/>
      </c>
      <c r="X548" s="32">
        <f>IF($A548=1,IF($R548=1,"",IF($O548=ST_POST,IF($P548&lt;&gt;"",$P548,"حساب غير صالح أو غير نشط"),IF($O548=ST_REV,"معكوس: لا أثر على الدفاتر",IF($O548=ST_CANC,"ملغى",IF($O548=ST_APPR,"معتمد ولم يُرحَّل","مسودة"))))),"")</f>
        <v/>
      </c>
      <c r="Y548" s="32">
        <f>IF($A548=1,IF(AND($R548=1,OR(LG_Acct="",$G548=LG_Acct),OR(LG_Party="",$K548=LG_Party),OR(LG_Loc="ALL",$I548=LG_Loc),OR(LG_CC="ALL",$J548=LG_CC),$D548&gt;=LG_From,$D548&lt;=LG_To),$D548+ROW()/1000000,""),"")</f>
        <v/>
      </c>
      <c r="Z548" s="32">
        <f>IF($A548=1,IF(Sales_Daily!$T46="","",Sales_Daily!$T46),"")</f>
        <v/>
      </c>
      <c r="AA548" s="32">
        <f>IF($A548=1,IF(Sales_Daily!$U46="","",Sales_Daily!$U46),"")</f>
        <v/>
      </c>
      <c r="AB548" s="32">
        <f>IF($A548=1,IF(Sales_Daily!$V46="","",Sales_Daily!$V46),"")</f>
        <v/>
      </c>
      <c r="AC548" s="32">
        <f>IF($A548=1,IF(Sales_Daily!$W46="","",Sales_Daily!$W46),"")</f>
        <v/>
      </c>
      <c r="AD548" s="32">
        <f>IF($A548=1,IF(Sales_Daily!$X46="","",Sales_Daily!$X46),"")</f>
        <v/>
      </c>
      <c r="AE548" s="32">
        <f>IF($A548=1,0,"")</f>
        <v/>
      </c>
      <c r="AF548" s="32" t="inlineStr"/>
    </row>
    <row r="549">
      <c r="A549" s="32">
        <f>IF(AND(Sales_Daily!$AV46=1,N(Sales_Daily!$AG46)&gt;0),1,0)</f>
        <v/>
      </c>
      <c r="B549" s="32">
        <f>IF($A549=1,$E549&amp;"/12","")</f>
        <v/>
      </c>
      <c r="C549" s="32">
        <f>IF($A549=1,"J-"&amp;Sales_Daily!$A46,"")</f>
        <v/>
      </c>
      <c r="D549" s="33">
        <f>IF($A549=1,Sales_Daily!$B46,"")</f>
        <v/>
      </c>
      <c r="E549" s="32">
        <f>IF($A549=1,IF(Sales_Daily!$A46="","",Sales_Daily!$A46),"")</f>
        <v/>
      </c>
      <c r="F549" s="32">
        <f>IF($A549=1,"SAL","")</f>
        <v/>
      </c>
      <c r="G549" s="32">
        <f>IF($A549=1,IF(Sales_Daily!$AT46="","",Sales_Daily!$AT46),"")</f>
        <v/>
      </c>
      <c r="H549" s="32">
        <f>IF($A549=1,IF(COUNTIF(COA!$A:$A,$G549)=0,"حساب غير معرف",INDEX(COA!$B:$B,MATCH($G549,COA!$A:$A,0))),"")</f>
        <v/>
      </c>
      <c r="I549" s="32">
        <f>IF($A549=1,IF(Sales_Daily!$C46="","",Sales_Daily!$C46),"")</f>
        <v/>
      </c>
      <c r="J549" s="32">
        <f>IF($A549=1,"CC10","")</f>
        <v/>
      </c>
      <c r="K549" s="32">
        <f>IF($A549=1,"-","")</f>
        <v/>
      </c>
      <c r="L549" s="32">
        <f>IF($A549=1,"إيراد مبيعات - فئة أخرى","")</f>
        <v/>
      </c>
      <c r="M549" s="43">
        <f>IF($A549=1,0,"")</f>
        <v/>
      </c>
      <c r="N549" s="43">
        <f>IF($A549=1,Sales_Daily!$AG46,"")</f>
        <v/>
      </c>
      <c r="O549" s="32">
        <f>IF($A549=1,Sales_Daily!$S46,"")</f>
        <v/>
      </c>
      <c r="P549" s="32">
        <f>IF($A549=1,IF(Sales_Daily!$AW46="","",Sales_Daily!$AW46),"")</f>
        <v/>
      </c>
      <c r="Q549" s="32">
        <f>IF($A549=1,Sales_Daily!$AY46,"")</f>
        <v/>
      </c>
      <c r="R549" s="32">
        <f>IF($A549=1,IF(AND($Q549=1,COUNTIFS(COA!$A:$A,$G549,COA!$R:$R,1)=1),1,0),"")</f>
        <v/>
      </c>
      <c r="S549" s="43">
        <f>IF($A549=1,IF($R549=1,N($M549),0),"")</f>
        <v/>
      </c>
      <c r="T549" s="43">
        <f>IF($A549=1,IF($R549=1,N($N549),0),"")</f>
        <v/>
      </c>
      <c r="U549" s="32">
        <f>IF($A549=1,YEAR($D549)*100+MONTH($D549),"")</f>
        <v/>
      </c>
      <c r="V549" s="32">
        <f>IF($A549=1,IF(COUNTIF(COA!$A:$A,$G549)=0,0,INDEX(COA!$H:$H,MATCH($G549,COA!$A:$A,0))),"")</f>
        <v/>
      </c>
      <c r="W549" s="32">
        <f>IF($A549=1,"","")</f>
        <v/>
      </c>
      <c r="X549" s="32">
        <f>IF($A549=1,IF($R549=1,"",IF($O549=ST_POST,IF($P549&lt;&gt;"",$P549,"حساب غير صالح أو غير نشط"),IF($O549=ST_REV,"معكوس: لا أثر على الدفاتر",IF($O549=ST_CANC,"ملغى",IF($O549=ST_APPR,"معتمد ولم يُرحَّل","مسودة"))))),"")</f>
        <v/>
      </c>
      <c r="Y549" s="32">
        <f>IF($A549=1,IF(AND($R549=1,OR(LG_Acct="",$G549=LG_Acct),OR(LG_Party="",$K549=LG_Party),OR(LG_Loc="ALL",$I549=LG_Loc),OR(LG_CC="ALL",$J549=LG_CC),$D549&gt;=LG_From,$D549&lt;=LG_To),$D549+ROW()/1000000,""),"")</f>
        <v/>
      </c>
      <c r="Z549" s="32">
        <f>IF($A549=1,IF(Sales_Daily!$T46="","",Sales_Daily!$T46),"")</f>
        <v/>
      </c>
      <c r="AA549" s="32">
        <f>IF($A549=1,IF(Sales_Daily!$U46="","",Sales_Daily!$U46),"")</f>
        <v/>
      </c>
      <c r="AB549" s="32">
        <f>IF($A549=1,IF(Sales_Daily!$V46="","",Sales_Daily!$V46),"")</f>
        <v/>
      </c>
      <c r="AC549" s="32">
        <f>IF($A549=1,IF(Sales_Daily!$W46="","",Sales_Daily!$W46),"")</f>
        <v/>
      </c>
      <c r="AD549" s="32">
        <f>IF($A549=1,IF(Sales_Daily!$X46="","",Sales_Daily!$X46),"")</f>
        <v/>
      </c>
      <c r="AE549" s="32">
        <f>IF($A549=1,0,"")</f>
        <v/>
      </c>
      <c r="AF549" s="32" t="inlineStr"/>
    </row>
    <row r="550">
      <c r="A550" s="32">
        <f>IF(AND(Sales_Daily!$AV46=1,N(Sales_Daily!$AJ46)&gt;0),1,0)</f>
        <v/>
      </c>
      <c r="B550" s="32">
        <f>IF($A550=1,$E550&amp;"/13","")</f>
        <v/>
      </c>
      <c r="C550" s="32">
        <f>IF($A550=1,"J-"&amp;Sales_Daily!$A46,"")</f>
        <v/>
      </c>
      <c r="D550" s="33">
        <f>IF($A550=1,Sales_Daily!$B46,"")</f>
        <v/>
      </c>
      <c r="E550" s="32">
        <f>IF($A550=1,IF(Sales_Daily!$A46="","",Sales_Daily!$A46),"")</f>
        <v/>
      </c>
      <c r="F550" s="32">
        <f>IF($A550=1,"SAL","")</f>
        <v/>
      </c>
      <c r="G550" s="32">
        <f>IF($A550=1,ACC_VAT_OUT,"")</f>
        <v/>
      </c>
      <c r="H550" s="32">
        <f>IF($A550=1,IF(COUNTIF(COA!$A:$A,$G550)=0,"حساب غير معرف",INDEX(COA!$B:$B,MATCH($G550,COA!$A:$A,0))),"")</f>
        <v/>
      </c>
      <c r="I550" s="32">
        <f>IF($A550=1,IF(Sales_Daily!$C46="","",Sales_Daily!$C46),"")</f>
        <v/>
      </c>
      <c r="J550" s="32">
        <f>IF($A550=1,"CC10","")</f>
        <v/>
      </c>
      <c r="K550" s="32">
        <f>IF($A550=1,"-","")</f>
        <v/>
      </c>
      <c r="L550" s="32">
        <f>IF($A550=1,"ضريبة القيمة المضافة - مخرجات","")</f>
        <v/>
      </c>
      <c r="M550" s="43">
        <f>IF($A550=1,0,"")</f>
        <v/>
      </c>
      <c r="N550" s="43">
        <f>IF($A550=1,Sales_Daily!$AJ46,"")</f>
        <v/>
      </c>
      <c r="O550" s="32">
        <f>IF($A550=1,Sales_Daily!$S46,"")</f>
        <v/>
      </c>
      <c r="P550" s="32">
        <f>IF($A550=1,IF(Sales_Daily!$AW46="","",Sales_Daily!$AW46),"")</f>
        <v/>
      </c>
      <c r="Q550" s="32">
        <f>IF($A550=1,Sales_Daily!$AY46,"")</f>
        <v/>
      </c>
      <c r="R550" s="32">
        <f>IF($A550=1,IF(AND($Q550=1,COUNTIFS(COA!$A:$A,$G550,COA!$R:$R,1)=1),1,0),"")</f>
        <v/>
      </c>
      <c r="S550" s="43">
        <f>IF($A550=1,IF($R550=1,N($M550),0),"")</f>
        <v/>
      </c>
      <c r="T550" s="43">
        <f>IF($A550=1,IF($R550=1,N($N550),0),"")</f>
        <v/>
      </c>
      <c r="U550" s="32">
        <f>IF($A550=1,YEAR($D550)*100+MONTH($D550),"")</f>
        <v/>
      </c>
      <c r="V550" s="32">
        <f>IF($A550=1,IF(COUNTIF(COA!$A:$A,$G550)=0,0,INDEX(COA!$H:$H,MATCH($G550,COA!$A:$A,0))),"")</f>
        <v/>
      </c>
      <c r="W550" s="32">
        <f>IF($A550=1,"","")</f>
        <v/>
      </c>
      <c r="X550" s="32">
        <f>IF($A550=1,IF($R550=1,"",IF($O550=ST_POST,IF($P550&lt;&gt;"",$P550,"حساب غير صالح أو غير نشط"),IF($O550=ST_REV,"معكوس: لا أثر على الدفاتر",IF($O550=ST_CANC,"ملغى",IF($O550=ST_APPR,"معتمد ولم يُرحَّل","مسودة"))))),"")</f>
        <v/>
      </c>
      <c r="Y550" s="32">
        <f>IF($A550=1,IF(AND($R550=1,OR(LG_Acct="",$G550=LG_Acct),OR(LG_Party="",$K550=LG_Party),OR(LG_Loc="ALL",$I550=LG_Loc),OR(LG_CC="ALL",$J550=LG_CC),$D550&gt;=LG_From,$D550&lt;=LG_To),$D550+ROW()/1000000,""),"")</f>
        <v/>
      </c>
      <c r="Z550" s="32">
        <f>IF($A550=1,IF(Sales_Daily!$T46="","",Sales_Daily!$T46),"")</f>
        <v/>
      </c>
      <c r="AA550" s="32">
        <f>IF($A550=1,IF(Sales_Daily!$U46="","",Sales_Daily!$U46),"")</f>
        <v/>
      </c>
      <c r="AB550" s="32">
        <f>IF($A550=1,IF(Sales_Daily!$V46="","",Sales_Daily!$V46),"")</f>
        <v/>
      </c>
      <c r="AC550" s="32">
        <f>IF($A550=1,IF(Sales_Daily!$W46="","",Sales_Daily!$W46),"")</f>
        <v/>
      </c>
      <c r="AD550" s="32">
        <f>IF($A550=1,IF(Sales_Daily!$X46="","",Sales_Daily!$X46),"")</f>
        <v/>
      </c>
      <c r="AE550" s="32">
        <f>IF($A550=1,0,"")</f>
        <v/>
      </c>
      <c r="AF550" s="32" t="inlineStr"/>
    </row>
    <row r="551">
      <c r="A551" s="32">
        <f>IF(AND(Sales_Daily!$AV47=1,N(Sales_Daily!$L47)&gt;0),1,0)</f>
        <v/>
      </c>
      <c r="B551" s="32">
        <f>IF($A551=1,$E551&amp;"/1","")</f>
        <v/>
      </c>
      <c r="C551" s="32">
        <f>IF($A551=1,"J-"&amp;Sales_Daily!$A47,"")</f>
        <v/>
      </c>
      <c r="D551" s="33">
        <f>IF($A551=1,Sales_Daily!$B47,"")</f>
        <v/>
      </c>
      <c r="E551" s="32">
        <f>IF($A551=1,IF(Sales_Daily!$A47="","",Sales_Daily!$A47),"")</f>
        <v/>
      </c>
      <c r="F551" s="32">
        <f>IF($A551=1,"SAL","")</f>
        <v/>
      </c>
      <c r="G551" s="32">
        <f>IF($A551=1,IF(Sales_Daily!$AK47="","",Sales_Daily!$AK47),"")</f>
        <v/>
      </c>
      <c r="H551" s="32">
        <f>IF($A551=1,IF(COUNTIF(COA!$A:$A,$G551)=0,"حساب غير معرف",INDEX(COA!$B:$B,MATCH($G551,COA!$A:$A,0))),"")</f>
        <v/>
      </c>
      <c r="I551" s="32">
        <f>IF($A551=1,IF(Sales_Daily!$C47="","",Sales_Daily!$C47),"")</f>
        <v/>
      </c>
      <c r="J551" s="32">
        <f>IF($A551=1,"CC10","")</f>
        <v/>
      </c>
      <c r="K551" s="32">
        <f>IF($A551=1,"-","")</f>
        <v/>
      </c>
      <c r="L551" s="32">
        <f>IF($A551=1,"مبيعات - تحصيل CASH","")</f>
        <v/>
      </c>
      <c r="M551" s="43">
        <f>IF($A551=1,Sales_Daily!$L47,"")</f>
        <v/>
      </c>
      <c r="N551" s="43">
        <f>IF($A551=1,0,"")</f>
        <v/>
      </c>
      <c r="O551" s="32">
        <f>IF($A551=1,Sales_Daily!$S47,"")</f>
        <v/>
      </c>
      <c r="P551" s="32">
        <f>IF($A551=1,IF(Sales_Daily!$AW47="","",Sales_Daily!$AW47),"")</f>
        <v/>
      </c>
      <c r="Q551" s="32">
        <f>IF($A551=1,Sales_Daily!$AY47,"")</f>
        <v/>
      </c>
      <c r="R551" s="32">
        <f>IF($A551=1,IF(AND($Q551=1,COUNTIFS(COA!$A:$A,$G551,COA!$R:$R,1)=1),1,0),"")</f>
        <v/>
      </c>
      <c r="S551" s="43">
        <f>IF($A551=1,IF($R551=1,N($M551),0),"")</f>
        <v/>
      </c>
      <c r="T551" s="43">
        <f>IF($A551=1,IF($R551=1,N($N551),0),"")</f>
        <v/>
      </c>
      <c r="U551" s="32">
        <f>IF($A551=1,YEAR($D551)*100+MONTH($D551),"")</f>
        <v/>
      </c>
      <c r="V551" s="32">
        <f>IF($A551=1,IF(COUNTIF(COA!$A:$A,$G551)=0,0,INDEX(COA!$H:$H,MATCH($G551,COA!$A:$A,0))),"")</f>
        <v/>
      </c>
      <c r="W551" s="32">
        <f>IF($A551=1,"OPERATING","")</f>
        <v/>
      </c>
      <c r="X551" s="32">
        <f>IF($A551=1,IF($R551=1,"",IF($O551=ST_POST,IF($P551&lt;&gt;"",$P551,"حساب غير صالح أو غير نشط"),IF($O551=ST_REV,"معكوس: لا أثر على الدفاتر",IF($O551=ST_CANC,"ملغى",IF($O551=ST_APPR,"معتمد ولم يُرحَّل","مسودة"))))),"")</f>
        <v/>
      </c>
      <c r="Y551" s="32">
        <f>IF($A551=1,IF(AND($R551=1,OR(LG_Acct="",$G551=LG_Acct),OR(LG_Party="",$K551=LG_Party),OR(LG_Loc="ALL",$I551=LG_Loc),OR(LG_CC="ALL",$J551=LG_CC),$D551&gt;=LG_From,$D551&lt;=LG_To),$D551+ROW()/1000000,""),"")</f>
        <v/>
      </c>
      <c r="Z551" s="32">
        <f>IF($A551=1,IF(Sales_Daily!$T47="","",Sales_Daily!$T47),"")</f>
        <v/>
      </c>
      <c r="AA551" s="32">
        <f>IF($A551=1,IF(Sales_Daily!$U47="","",Sales_Daily!$U47),"")</f>
        <v/>
      </c>
      <c r="AB551" s="32">
        <f>IF($A551=1,IF(Sales_Daily!$V47="","",Sales_Daily!$V47),"")</f>
        <v/>
      </c>
      <c r="AC551" s="32">
        <f>IF($A551=1,IF(Sales_Daily!$W47="","",Sales_Daily!$W47),"")</f>
        <v/>
      </c>
      <c r="AD551" s="32">
        <f>IF($A551=1,IF(Sales_Daily!$X47="","",Sales_Daily!$X47),"")</f>
        <v/>
      </c>
      <c r="AE551" s="32">
        <f>IF($A551=1,0,"")</f>
        <v/>
      </c>
      <c r="AF551" s="32" t="inlineStr"/>
    </row>
    <row r="552">
      <c r="A552" s="32">
        <f>IF(AND(Sales_Daily!$AV47=1,N(Sales_Daily!$M47)&gt;0),1,0)</f>
        <v/>
      </c>
      <c r="B552" s="32">
        <f>IF($A552=1,$E552&amp;"/2","")</f>
        <v/>
      </c>
      <c r="C552" s="32">
        <f>IF($A552=1,"J-"&amp;Sales_Daily!$A47,"")</f>
        <v/>
      </c>
      <c r="D552" s="33">
        <f>IF($A552=1,Sales_Daily!$B47,"")</f>
        <v/>
      </c>
      <c r="E552" s="32">
        <f>IF($A552=1,IF(Sales_Daily!$A47="","",Sales_Daily!$A47),"")</f>
        <v/>
      </c>
      <c r="F552" s="32">
        <f>IF($A552=1,"SAL","")</f>
        <v/>
      </c>
      <c r="G552" s="32">
        <f>IF($A552=1,IF(Sales_Daily!$AL47="","",Sales_Daily!$AL47),"")</f>
        <v/>
      </c>
      <c r="H552" s="32">
        <f>IF($A552=1,IF(COUNTIF(COA!$A:$A,$G552)=0,"حساب غير معرف",INDEX(COA!$B:$B,MATCH($G552,COA!$A:$A,0))),"")</f>
        <v/>
      </c>
      <c r="I552" s="32">
        <f>IF($A552=1,IF(Sales_Daily!$C47="","",Sales_Daily!$C47),"")</f>
        <v/>
      </c>
      <c r="J552" s="32">
        <f>IF($A552=1,"CC10","")</f>
        <v/>
      </c>
      <c r="K552" s="32">
        <f>IF($A552=1,"-","")</f>
        <v/>
      </c>
      <c r="L552" s="32">
        <f>IF($A552=1,"مبيعات - تحصيل CARD","")</f>
        <v/>
      </c>
      <c r="M552" s="43">
        <f>IF($A552=1,Sales_Daily!$M47,"")</f>
        <v/>
      </c>
      <c r="N552" s="43">
        <f>IF($A552=1,0,"")</f>
        <v/>
      </c>
      <c r="O552" s="32">
        <f>IF($A552=1,Sales_Daily!$S47,"")</f>
        <v/>
      </c>
      <c r="P552" s="32">
        <f>IF($A552=1,IF(Sales_Daily!$AW47="","",Sales_Daily!$AW47),"")</f>
        <v/>
      </c>
      <c r="Q552" s="32">
        <f>IF($A552=1,Sales_Daily!$AY47,"")</f>
        <v/>
      </c>
      <c r="R552" s="32">
        <f>IF($A552=1,IF(AND($Q552=1,COUNTIFS(COA!$A:$A,$G552,COA!$R:$R,1)=1),1,0),"")</f>
        <v/>
      </c>
      <c r="S552" s="43">
        <f>IF($A552=1,IF($R552=1,N($M552),0),"")</f>
        <v/>
      </c>
      <c r="T552" s="43">
        <f>IF($A552=1,IF($R552=1,N($N552),0),"")</f>
        <v/>
      </c>
      <c r="U552" s="32">
        <f>IF($A552=1,YEAR($D552)*100+MONTH($D552),"")</f>
        <v/>
      </c>
      <c r="V552" s="32">
        <f>IF($A552=1,IF(COUNTIF(COA!$A:$A,$G552)=0,0,INDEX(COA!$H:$H,MATCH($G552,COA!$A:$A,0))),"")</f>
        <v/>
      </c>
      <c r="W552" s="32">
        <f>IF($A552=1,"OPERATING","")</f>
        <v/>
      </c>
      <c r="X552" s="32">
        <f>IF($A552=1,IF($R552=1,"",IF($O552=ST_POST,IF($P552&lt;&gt;"",$P552,"حساب غير صالح أو غير نشط"),IF($O552=ST_REV,"معكوس: لا أثر على الدفاتر",IF($O552=ST_CANC,"ملغى",IF($O552=ST_APPR,"معتمد ولم يُرحَّل","مسودة"))))),"")</f>
        <v/>
      </c>
      <c r="Y552" s="32">
        <f>IF($A552=1,IF(AND($R552=1,OR(LG_Acct="",$G552=LG_Acct),OR(LG_Party="",$K552=LG_Party),OR(LG_Loc="ALL",$I552=LG_Loc),OR(LG_CC="ALL",$J552=LG_CC),$D552&gt;=LG_From,$D552&lt;=LG_To),$D552+ROW()/1000000,""),"")</f>
        <v/>
      </c>
      <c r="Z552" s="32">
        <f>IF($A552=1,IF(Sales_Daily!$T47="","",Sales_Daily!$T47),"")</f>
        <v/>
      </c>
      <c r="AA552" s="32">
        <f>IF($A552=1,IF(Sales_Daily!$U47="","",Sales_Daily!$U47),"")</f>
        <v/>
      </c>
      <c r="AB552" s="32">
        <f>IF($A552=1,IF(Sales_Daily!$V47="","",Sales_Daily!$V47),"")</f>
        <v/>
      </c>
      <c r="AC552" s="32">
        <f>IF($A552=1,IF(Sales_Daily!$W47="","",Sales_Daily!$W47),"")</f>
        <v/>
      </c>
      <c r="AD552" s="32">
        <f>IF($A552=1,IF(Sales_Daily!$X47="","",Sales_Daily!$X47),"")</f>
        <v/>
      </c>
      <c r="AE552" s="32">
        <f>IF($A552=1,0,"")</f>
        <v/>
      </c>
      <c r="AF552" s="32" t="inlineStr"/>
    </row>
    <row r="553">
      <c r="A553" s="32">
        <f>IF(AND(Sales_Daily!$AV47=1,N(Sales_Daily!$N47)&gt;0),1,0)</f>
        <v/>
      </c>
      <c r="B553" s="32">
        <f>IF($A553=1,$E553&amp;"/3","")</f>
        <v/>
      </c>
      <c r="C553" s="32">
        <f>IF($A553=1,"J-"&amp;Sales_Daily!$A47,"")</f>
        <v/>
      </c>
      <c r="D553" s="33">
        <f>IF($A553=1,Sales_Daily!$B47,"")</f>
        <v/>
      </c>
      <c r="E553" s="32">
        <f>IF($A553=1,IF(Sales_Daily!$A47="","",Sales_Daily!$A47),"")</f>
        <v/>
      </c>
      <c r="F553" s="32">
        <f>IF($A553=1,"SAL","")</f>
        <v/>
      </c>
      <c r="G553" s="32">
        <f>IF($A553=1,IF(Sales_Daily!$AM47="","",Sales_Daily!$AM47),"")</f>
        <v/>
      </c>
      <c r="H553" s="32">
        <f>IF($A553=1,IF(COUNTIF(COA!$A:$A,$G553)=0,"حساب غير معرف",INDEX(COA!$B:$B,MATCH($G553,COA!$A:$A,0))),"")</f>
        <v/>
      </c>
      <c r="I553" s="32">
        <f>IF($A553=1,IF(Sales_Daily!$C47="","",Sales_Daily!$C47),"")</f>
        <v/>
      </c>
      <c r="J553" s="32">
        <f>IF($A553=1,"CC10","")</f>
        <v/>
      </c>
      <c r="K553" s="32">
        <f>IF($A553=1,"-","")</f>
        <v/>
      </c>
      <c r="L553" s="32">
        <f>IF($A553=1,"مبيعات - تحصيل TLB","")</f>
        <v/>
      </c>
      <c r="M553" s="43">
        <f>IF($A553=1,Sales_Daily!$N47,"")</f>
        <v/>
      </c>
      <c r="N553" s="43">
        <f>IF($A553=1,0,"")</f>
        <v/>
      </c>
      <c r="O553" s="32">
        <f>IF($A553=1,Sales_Daily!$S47,"")</f>
        <v/>
      </c>
      <c r="P553" s="32">
        <f>IF($A553=1,IF(Sales_Daily!$AW47="","",Sales_Daily!$AW47),"")</f>
        <v/>
      </c>
      <c r="Q553" s="32">
        <f>IF($A553=1,Sales_Daily!$AY47,"")</f>
        <v/>
      </c>
      <c r="R553" s="32">
        <f>IF($A553=1,IF(AND($Q553=1,COUNTIFS(COA!$A:$A,$G553,COA!$R:$R,1)=1),1,0),"")</f>
        <v/>
      </c>
      <c r="S553" s="43">
        <f>IF($A553=1,IF($R553=1,N($M553),0),"")</f>
        <v/>
      </c>
      <c r="T553" s="43">
        <f>IF($A553=1,IF($R553=1,N($N553),0),"")</f>
        <v/>
      </c>
      <c r="U553" s="32">
        <f>IF($A553=1,YEAR($D553)*100+MONTH($D553),"")</f>
        <v/>
      </c>
      <c r="V553" s="32">
        <f>IF($A553=1,IF(COUNTIF(COA!$A:$A,$G553)=0,0,INDEX(COA!$H:$H,MATCH($G553,COA!$A:$A,0))),"")</f>
        <v/>
      </c>
      <c r="W553" s="32">
        <f>IF($A553=1,"OPERATING","")</f>
        <v/>
      </c>
      <c r="X553" s="32">
        <f>IF($A553=1,IF($R553=1,"",IF($O553=ST_POST,IF($P553&lt;&gt;"",$P553,"حساب غير صالح أو غير نشط"),IF($O553=ST_REV,"معكوس: لا أثر على الدفاتر",IF($O553=ST_CANC,"ملغى",IF($O553=ST_APPR,"معتمد ولم يُرحَّل","مسودة"))))),"")</f>
        <v/>
      </c>
      <c r="Y553" s="32">
        <f>IF($A553=1,IF(AND($R553=1,OR(LG_Acct="",$G553=LG_Acct),OR(LG_Party="",$K553=LG_Party),OR(LG_Loc="ALL",$I553=LG_Loc),OR(LG_CC="ALL",$J553=LG_CC),$D553&gt;=LG_From,$D553&lt;=LG_To),$D553+ROW()/1000000,""),"")</f>
        <v/>
      </c>
      <c r="Z553" s="32">
        <f>IF($A553=1,IF(Sales_Daily!$T47="","",Sales_Daily!$T47),"")</f>
        <v/>
      </c>
      <c r="AA553" s="32">
        <f>IF($A553=1,IF(Sales_Daily!$U47="","",Sales_Daily!$U47),"")</f>
        <v/>
      </c>
      <c r="AB553" s="32">
        <f>IF($A553=1,IF(Sales_Daily!$V47="","",Sales_Daily!$V47),"")</f>
        <v/>
      </c>
      <c r="AC553" s="32">
        <f>IF($A553=1,IF(Sales_Daily!$W47="","",Sales_Daily!$W47),"")</f>
        <v/>
      </c>
      <c r="AD553" s="32">
        <f>IF($A553=1,IF(Sales_Daily!$X47="","",Sales_Daily!$X47),"")</f>
        <v/>
      </c>
      <c r="AE553" s="32">
        <f>IF($A553=1,0,"")</f>
        <v/>
      </c>
      <c r="AF553" s="32" t="inlineStr"/>
    </row>
    <row r="554">
      <c r="A554" s="32">
        <f>IF(AND(Sales_Daily!$AV47=1,N(Sales_Daily!$O47)&gt;0),1,0)</f>
        <v/>
      </c>
      <c r="B554" s="32">
        <f>IF($A554=1,$E554&amp;"/4","")</f>
        <v/>
      </c>
      <c r="C554" s="32">
        <f>IF($A554=1,"J-"&amp;Sales_Daily!$A47,"")</f>
        <v/>
      </c>
      <c r="D554" s="33">
        <f>IF($A554=1,Sales_Daily!$B47,"")</f>
        <v/>
      </c>
      <c r="E554" s="32">
        <f>IF($A554=1,IF(Sales_Daily!$A47="","",Sales_Daily!$A47),"")</f>
        <v/>
      </c>
      <c r="F554" s="32">
        <f>IF($A554=1,"SAL","")</f>
        <v/>
      </c>
      <c r="G554" s="32">
        <f>IF($A554=1,IF(Sales_Daily!$AN47="","",Sales_Daily!$AN47),"")</f>
        <v/>
      </c>
      <c r="H554" s="32">
        <f>IF($A554=1,IF(COUNTIF(COA!$A:$A,$G554)=0,"حساب غير معرف",INDEX(COA!$B:$B,MATCH($G554,COA!$A:$A,0))),"")</f>
        <v/>
      </c>
      <c r="I554" s="32">
        <f>IF($A554=1,IF(Sales_Daily!$C47="","",Sales_Daily!$C47),"")</f>
        <v/>
      </c>
      <c r="J554" s="32">
        <f>IF($A554=1,"CC10","")</f>
        <v/>
      </c>
      <c r="K554" s="32">
        <f>IF($A554=1,"-","")</f>
        <v/>
      </c>
      <c r="L554" s="32">
        <f>IF($A554=1,"مبيعات - تحصيل DLV2","")</f>
        <v/>
      </c>
      <c r="M554" s="43">
        <f>IF($A554=1,Sales_Daily!$O47,"")</f>
        <v/>
      </c>
      <c r="N554" s="43">
        <f>IF($A554=1,0,"")</f>
        <v/>
      </c>
      <c r="O554" s="32">
        <f>IF($A554=1,Sales_Daily!$S47,"")</f>
        <v/>
      </c>
      <c r="P554" s="32">
        <f>IF($A554=1,IF(Sales_Daily!$AW47="","",Sales_Daily!$AW47),"")</f>
        <v/>
      </c>
      <c r="Q554" s="32">
        <f>IF($A554=1,Sales_Daily!$AY47,"")</f>
        <v/>
      </c>
      <c r="R554" s="32">
        <f>IF($A554=1,IF(AND($Q554=1,COUNTIFS(COA!$A:$A,$G554,COA!$R:$R,1)=1),1,0),"")</f>
        <v/>
      </c>
      <c r="S554" s="43">
        <f>IF($A554=1,IF($R554=1,N($M554),0),"")</f>
        <v/>
      </c>
      <c r="T554" s="43">
        <f>IF($A554=1,IF($R554=1,N($N554),0),"")</f>
        <v/>
      </c>
      <c r="U554" s="32">
        <f>IF($A554=1,YEAR($D554)*100+MONTH($D554),"")</f>
        <v/>
      </c>
      <c r="V554" s="32">
        <f>IF($A554=1,IF(COUNTIF(COA!$A:$A,$G554)=0,0,INDEX(COA!$H:$H,MATCH($G554,COA!$A:$A,0))),"")</f>
        <v/>
      </c>
      <c r="W554" s="32">
        <f>IF($A554=1,"OPERATING","")</f>
        <v/>
      </c>
      <c r="X554" s="32">
        <f>IF($A554=1,IF($R554=1,"",IF($O554=ST_POST,IF($P554&lt;&gt;"",$P554,"حساب غير صالح أو غير نشط"),IF($O554=ST_REV,"معكوس: لا أثر على الدفاتر",IF($O554=ST_CANC,"ملغى",IF($O554=ST_APPR,"معتمد ولم يُرحَّل","مسودة"))))),"")</f>
        <v/>
      </c>
      <c r="Y554" s="32">
        <f>IF($A554=1,IF(AND($R554=1,OR(LG_Acct="",$G554=LG_Acct),OR(LG_Party="",$K554=LG_Party),OR(LG_Loc="ALL",$I554=LG_Loc),OR(LG_CC="ALL",$J554=LG_CC),$D554&gt;=LG_From,$D554&lt;=LG_To),$D554+ROW()/1000000,""),"")</f>
        <v/>
      </c>
      <c r="Z554" s="32">
        <f>IF($A554=1,IF(Sales_Daily!$T47="","",Sales_Daily!$T47),"")</f>
        <v/>
      </c>
      <c r="AA554" s="32">
        <f>IF($A554=1,IF(Sales_Daily!$U47="","",Sales_Daily!$U47),"")</f>
        <v/>
      </c>
      <c r="AB554" s="32">
        <f>IF($A554=1,IF(Sales_Daily!$V47="","",Sales_Daily!$V47),"")</f>
        <v/>
      </c>
      <c r="AC554" s="32">
        <f>IF($A554=1,IF(Sales_Daily!$W47="","",Sales_Daily!$W47),"")</f>
        <v/>
      </c>
      <c r="AD554" s="32">
        <f>IF($A554=1,IF(Sales_Daily!$X47="","",Sales_Daily!$X47),"")</f>
        <v/>
      </c>
      <c r="AE554" s="32">
        <f>IF($A554=1,0,"")</f>
        <v/>
      </c>
      <c r="AF554" s="32" t="inlineStr"/>
    </row>
    <row r="555">
      <c r="A555" s="32">
        <f>IF(AND(Sales_Daily!$AV47=1,N(Sales_Daily!$P47)&gt;0),1,0)</f>
        <v/>
      </c>
      <c r="B555" s="32">
        <f>IF($A555=1,$E555&amp;"/5","")</f>
        <v/>
      </c>
      <c r="C555" s="32">
        <f>IF($A555=1,"J-"&amp;Sales_Daily!$A47,"")</f>
        <v/>
      </c>
      <c r="D555" s="33">
        <f>IF($A555=1,Sales_Daily!$B47,"")</f>
        <v/>
      </c>
      <c r="E555" s="32">
        <f>IF($A555=1,IF(Sales_Daily!$A47="","",Sales_Daily!$A47),"")</f>
        <v/>
      </c>
      <c r="F555" s="32">
        <f>IF($A555=1,"SAL","")</f>
        <v/>
      </c>
      <c r="G555" s="32">
        <f>IF($A555=1,IF(Sales_Daily!$AO47="","",Sales_Daily!$AO47),"")</f>
        <v/>
      </c>
      <c r="H555" s="32">
        <f>IF($A555=1,IF(COUNTIF(COA!$A:$A,$G555)=0,"حساب غير معرف",INDEX(COA!$B:$B,MATCH($G555,COA!$A:$A,0))),"")</f>
        <v/>
      </c>
      <c r="I555" s="32">
        <f>IF($A555=1,IF(Sales_Daily!$C47="","",Sales_Daily!$C47),"")</f>
        <v/>
      </c>
      <c r="J555" s="32">
        <f>IF($A555=1,"CC10","")</f>
        <v/>
      </c>
      <c r="K555" s="32">
        <f>IF($A555=1,"-","")</f>
        <v/>
      </c>
      <c r="L555" s="32">
        <f>IF($A555=1,"مبيعات - تحصيل INSTA","")</f>
        <v/>
      </c>
      <c r="M555" s="43">
        <f>IF($A555=1,Sales_Daily!$P47,"")</f>
        <v/>
      </c>
      <c r="N555" s="43">
        <f>IF($A555=1,0,"")</f>
        <v/>
      </c>
      <c r="O555" s="32">
        <f>IF($A555=1,Sales_Daily!$S47,"")</f>
        <v/>
      </c>
      <c r="P555" s="32">
        <f>IF($A555=1,IF(Sales_Daily!$AW47="","",Sales_Daily!$AW47),"")</f>
        <v/>
      </c>
      <c r="Q555" s="32">
        <f>IF($A555=1,Sales_Daily!$AY47,"")</f>
        <v/>
      </c>
      <c r="R555" s="32">
        <f>IF($A555=1,IF(AND($Q555=1,COUNTIFS(COA!$A:$A,$G555,COA!$R:$R,1)=1),1,0),"")</f>
        <v/>
      </c>
      <c r="S555" s="43">
        <f>IF($A555=1,IF($R555=1,N($M555),0),"")</f>
        <v/>
      </c>
      <c r="T555" s="43">
        <f>IF($A555=1,IF($R555=1,N($N555),0),"")</f>
        <v/>
      </c>
      <c r="U555" s="32">
        <f>IF($A555=1,YEAR($D555)*100+MONTH($D555),"")</f>
        <v/>
      </c>
      <c r="V555" s="32">
        <f>IF($A555=1,IF(COUNTIF(COA!$A:$A,$G555)=0,0,INDEX(COA!$H:$H,MATCH($G555,COA!$A:$A,0))),"")</f>
        <v/>
      </c>
      <c r="W555" s="32">
        <f>IF($A555=1,"OPERATING","")</f>
        <v/>
      </c>
      <c r="X555" s="32">
        <f>IF($A555=1,IF($R555=1,"",IF($O555=ST_POST,IF($P555&lt;&gt;"",$P555,"حساب غير صالح أو غير نشط"),IF($O555=ST_REV,"معكوس: لا أثر على الدفاتر",IF($O555=ST_CANC,"ملغى",IF($O555=ST_APPR,"معتمد ولم يُرحَّل","مسودة"))))),"")</f>
        <v/>
      </c>
      <c r="Y555" s="32">
        <f>IF($A555=1,IF(AND($R555=1,OR(LG_Acct="",$G555=LG_Acct),OR(LG_Party="",$K555=LG_Party),OR(LG_Loc="ALL",$I555=LG_Loc),OR(LG_CC="ALL",$J555=LG_CC),$D555&gt;=LG_From,$D555&lt;=LG_To),$D555+ROW()/1000000,""),"")</f>
        <v/>
      </c>
      <c r="Z555" s="32">
        <f>IF($A555=1,IF(Sales_Daily!$T47="","",Sales_Daily!$T47),"")</f>
        <v/>
      </c>
      <c r="AA555" s="32">
        <f>IF($A555=1,IF(Sales_Daily!$U47="","",Sales_Daily!$U47),"")</f>
        <v/>
      </c>
      <c r="AB555" s="32">
        <f>IF($A555=1,IF(Sales_Daily!$V47="","",Sales_Daily!$V47),"")</f>
        <v/>
      </c>
      <c r="AC555" s="32">
        <f>IF($A555=1,IF(Sales_Daily!$W47="","",Sales_Daily!$W47),"")</f>
        <v/>
      </c>
      <c r="AD555" s="32">
        <f>IF($A555=1,IF(Sales_Daily!$X47="","",Sales_Daily!$X47),"")</f>
        <v/>
      </c>
      <c r="AE555" s="32">
        <f>IF($A555=1,0,"")</f>
        <v/>
      </c>
      <c r="AF555" s="32" t="inlineStr"/>
    </row>
    <row r="556">
      <c r="A556" s="32">
        <f>IF(AND(Sales_Daily!$AV47=1,N(Sales_Daily!$Q47)&gt;0),1,0)</f>
        <v/>
      </c>
      <c r="B556" s="32">
        <f>IF($A556=1,$E556&amp;"/6","")</f>
        <v/>
      </c>
      <c r="C556" s="32">
        <f>IF($A556=1,"J-"&amp;Sales_Daily!$A47,"")</f>
        <v/>
      </c>
      <c r="D556" s="33">
        <f>IF($A556=1,Sales_Daily!$B47,"")</f>
        <v/>
      </c>
      <c r="E556" s="32">
        <f>IF($A556=1,IF(Sales_Daily!$A47="","",Sales_Daily!$A47),"")</f>
        <v/>
      </c>
      <c r="F556" s="32">
        <f>IF($A556=1,"SAL","")</f>
        <v/>
      </c>
      <c r="G556" s="32">
        <f>IF($A556=1,IF(Sales_Daily!$AP47="","",Sales_Daily!$AP47),"")</f>
        <v/>
      </c>
      <c r="H556" s="32">
        <f>IF($A556=1,IF(COUNTIF(COA!$A:$A,$G556)=0,"حساب غير معرف",INDEX(COA!$B:$B,MATCH($G556,COA!$A:$A,0))),"")</f>
        <v/>
      </c>
      <c r="I556" s="32">
        <f>IF($A556=1,IF(Sales_Daily!$C47="","",Sales_Daily!$C47),"")</f>
        <v/>
      </c>
      <c r="J556" s="32">
        <f>IF($A556=1,"CC10","")</f>
        <v/>
      </c>
      <c r="K556" s="32">
        <f>IF($A556=1,"-","")</f>
        <v/>
      </c>
      <c r="L556" s="32">
        <f>IF($A556=1,"مبيعات - تحصيل OTH","")</f>
        <v/>
      </c>
      <c r="M556" s="43">
        <f>IF($A556=1,Sales_Daily!$Q47,"")</f>
        <v/>
      </c>
      <c r="N556" s="43">
        <f>IF($A556=1,0,"")</f>
        <v/>
      </c>
      <c r="O556" s="32">
        <f>IF($A556=1,Sales_Daily!$S47,"")</f>
        <v/>
      </c>
      <c r="P556" s="32">
        <f>IF($A556=1,IF(Sales_Daily!$AW47="","",Sales_Daily!$AW47),"")</f>
        <v/>
      </c>
      <c r="Q556" s="32">
        <f>IF($A556=1,Sales_Daily!$AY47,"")</f>
        <v/>
      </c>
      <c r="R556" s="32">
        <f>IF($A556=1,IF(AND($Q556=1,COUNTIFS(COA!$A:$A,$G556,COA!$R:$R,1)=1),1,0),"")</f>
        <v/>
      </c>
      <c r="S556" s="43">
        <f>IF($A556=1,IF($R556=1,N($M556),0),"")</f>
        <v/>
      </c>
      <c r="T556" s="43">
        <f>IF($A556=1,IF($R556=1,N($N556),0),"")</f>
        <v/>
      </c>
      <c r="U556" s="32">
        <f>IF($A556=1,YEAR($D556)*100+MONTH($D556),"")</f>
        <v/>
      </c>
      <c r="V556" s="32">
        <f>IF($A556=1,IF(COUNTIF(COA!$A:$A,$G556)=0,0,INDEX(COA!$H:$H,MATCH($G556,COA!$A:$A,0))),"")</f>
        <v/>
      </c>
      <c r="W556" s="32">
        <f>IF($A556=1,"OPERATING","")</f>
        <v/>
      </c>
      <c r="X556" s="32">
        <f>IF($A556=1,IF($R556=1,"",IF($O556=ST_POST,IF($P556&lt;&gt;"",$P556,"حساب غير صالح أو غير نشط"),IF($O556=ST_REV,"معكوس: لا أثر على الدفاتر",IF($O556=ST_CANC,"ملغى",IF($O556=ST_APPR,"معتمد ولم يُرحَّل","مسودة"))))),"")</f>
        <v/>
      </c>
      <c r="Y556" s="32">
        <f>IF($A556=1,IF(AND($R556=1,OR(LG_Acct="",$G556=LG_Acct),OR(LG_Party="",$K556=LG_Party),OR(LG_Loc="ALL",$I556=LG_Loc),OR(LG_CC="ALL",$J556=LG_CC),$D556&gt;=LG_From,$D556&lt;=LG_To),$D556+ROW()/1000000,""),"")</f>
        <v/>
      </c>
      <c r="Z556" s="32">
        <f>IF($A556=1,IF(Sales_Daily!$T47="","",Sales_Daily!$T47),"")</f>
        <v/>
      </c>
      <c r="AA556" s="32">
        <f>IF($A556=1,IF(Sales_Daily!$U47="","",Sales_Daily!$U47),"")</f>
        <v/>
      </c>
      <c r="AB556" s="32">
        <f>IF($A556=1,IF(Sales_Daily!$V47="","",Sales_Daily!$V47),"")</f>
        <v/>
      </c>
      <c r="AC556" s="32">
        <f>IF($A556=1,IF(Sales_Daily!$W47="","",Sales_Daily!$W47),"")</f>
        <v/>
      </c>
      <c r="AD556" s="32">
        <f>IF($A556=1,IF(Sales_Daily!$X47="","",Sales_Daily!$X47),"")</f>
        <v/>
      </c>
      <c r="AE556" s="32">
        <f>IF($A556=1,0,"")</f>
        <v/>
      </c>
      <c r="AF556" s="32" t="inlineStr"/>
    </row>
    <row r="557">
      <c r="A557" s="32">
        <f>IF(AND(Sales_Daily!$AV47=1,N(Sales_Daily!$AH47)&gt;0),1,0)</f>
        <v/>
      </c>
      <c r="B557" s="32">
        <f>IF($A557=1,$E557&amp;"/7","")</f>
        <v/>
      </c>
      <c r="C557" s="32">
        <f>IF($A557=1,"J-"&amp;Sales_Daily!$A47,"")</f>
        <v/>
      </c>
      <c r="D557" s="33">
        <f>IF($A557=1,Sales_Daily!$B47,"")</f>
        <v/>
      </c>
      <c r="E557" s="32">
        <f>IF($A557=1,IF(Sales_Daily!$A47="","",Sales_Daily!$A47),"")</f>
        <v/>
      </c>
      <c r="F557" s="32">
        <f>IF($A557=1,"SAL","")</f>
        <v/>
      </c>
      <c r="G557" s="32">
        <f>IF($A557=1,ACC_DISC,"")</f>
        <v/>
      </c>
      <c r="H557" s="32">
        <f>IF($A557=1,IF(COUNTIF(COA!$A:$A,$G557)=0,"حساب غير معرف",INDEX(COA!$B:$B,MATCH($G557,COA!$A:$A,0))),"")</f>
        <v/>
      </c>
      <c r="I557" s="32">
        <f>IF($A557=1,IF(Sales_Daily!$C47="","",Sales_Daily!$C47),"")</f>
        <v/>
      </c>
      <c r="J557" s="32">
        <f>IF($A557=1,"CC10","")</f>
        <v/>
      </c>
      <c r="K557" s="32">
        <f>IF($A557=1,"-","")</f>
        <v/>
      </c>
      <c r="L557" s="32">
        <f>IF($A557=1,"خصومات المبيعات والعروض","")</f>
        <v/>
      </c>
      <c r="M557" s="43">
        <f>IF($A557=1,Sales_Daily!$AH47,"")</f>
        <v/>
      </c>
      <c r="N557" s="43">
        <f>IF($A557=1,0,"")</f>
        <v/>
      </c>
      <c r="O557" s="32">
        <f>IF($A557=1,Sales_Daily!$S47,"")</f>
        <v/>
      </c>
      <c r="P557" s="32">
        <f>IF($A557=1,IF(Sales_Daily!$AW47="","",Sales_Daily!$AW47),"")</f>
        <v/>
      </c>
      <c r="Q557" s="32">
        <f>IF($A557=1,Sales_Daily!$AY47,"")</f>
        <v/>
      </c>
      <c r="R557" s="32">
        <f>IF($A557=1,IF(AND($Q557=1,COUNTIFS(COA!$A:$A,$G557,COA!$R:$R,1)=1),1,0),"")</f>
        <v/>
      </c>
      <c r="S557" s="43">
        <f>IF($A557=1,IF($R557=1,N($M557),0),"")</f>
        <v/>
      </c>
      <c r="T557" s="43">
        <f>IF($A557=1,IF($R557=1,N($N557),0),"")</f>
        <v/>
      </c>
      <c r="U557" s="32">
        <f>IF($A557=1,YEAR($D557)*100+MONTH($D557),"")</f>
        <v/>
      </c>
      <c r="V557" s="32">
        <f>IF($A557=1,IF(COUNTIF(COA!$A:$A,$G557)=0,0,INDEX(COA!$H:$H,MATCH($G557,COA!$A:$A,0))),"")</f>
        <v/>
      </c>
      <c r="W557" s="32">
        <f>IF($A557=1,"","")</f>
        <v/>
      </c>
      <c r="X557" s="32">
        <f>IF($A557=1,IF($R557=1,"",IF($O557=ST_POST,IF($P557&lt;&gt;"",$P557,"حساب غير صالح أو غير نشط"),IF($O557=ST_REV,"معكوس: لا أثر على الدفاتر",IF($O557=ST_CANC,"ملغى",IF($O557=ST_APPR,"معتمد ولم يُرحَّل","مسودة"))))),"")</f>
        <v/>
      </c>
      <c r="Y557" s="32">
        <f>IF($A557=1,IF(AND($R557=1,OR(LG_Acct="",$G557=LG_Acct),OR(LG_Party="",$K557=LG_Party),OR(LG_Loc="ALL",$I557=LG_Loc),OR(LG_CC="ALL",$J557=LG_CC),$D557&gt;=LG_From,$D557&lt;=LG_To),$D557+ROW()/1000000,""),"")</f>
        <v/>
      </c>
      <c r="Z557" s="32">
        <f>IF($A557=1,IF(Sales_Daily!$T47="","",Sales_Daily!$T47),"")</f>
        <v/>
      </c>
      <c r="AA557" s="32">
        <f>IF($A557=1,IF(Sales_Daily!$U47="","",Sales_Daily!$U47),"")</f>
        <v/>
      </c>
      <c r="AB557" s="32">
        <f>IF($A557=1,IF(Sales_Daily!$V47="","",Sales_Daily!$V47),"")</f>
        <v/>
      </c>
      <c r="AC557" s="32">
        <f>IF($A557=1,IF(Sales_Daily!$W47="","",Sales_Daily!$W47),"")</f>
        <v/>
      </c>
      <c r="AD557" s="32">
        <f>IF($A557=1,IF(Sales_Daily!$X47="","",Sales_Daily!$X47),"")</f>
        <v/>
      </c>
      <c r="AE557" s="32">
        <f>IF($A557=1,0,"")</f>
        <v/>
      </c>
      <c r="AF557" s="32" t="inlineStr"/>
    </row>
    <row r="558">
      <c r="A558" s="32">
        <f>IF(AND(Sales_Daily!$AV47=1,N(Sales_Daily!$AI47)&gt;0),1,0)</f>
        <v/>
      </c>
      <c r="B558" s="32">
        <f>IF($A558=1,$E558&amp;"/8","")</f>
        <v/>
      </c>
      <c r="C558" s="32">
        <f>IF($A558=1,"J-"&amp;Sales_Daily!$A47,"")</f>
        <v/>
      </c>
      <c r="D558" s="33">
        <f>IF($A558=1,Sales_Daily!$B47,"")</f>
        <v/>
      </c>
      <c r="E558" s="32">
        <f>IF($A558=1,IF(Sales_Daily!$A47="","",Sales_Daily!$A47),"")</f>
        <v/>
      </c>
      <c r="F558" s="32">
        <f>IF($A558=1,"SAL","")</f>
        <v/>
      </c>
      <c r="G558" s="32">
        <f>IF($A558=1,ACC_RET,"")</f>
        <v/>
      </c>
      <c r="H558" s="32">
        <f>IF($A558=1,IF(COUNTIF(COA!$A:$A,$G558)=0,"حساب غير معرف",INDEX(COA!$B:$B,MATCH($G558,COA!$A:$A,0))),"")</f>
        <v/>
      </c>
      <c r="I558" s="32">
        <f>IF($A558=1,IF(Sales_Daily!$C47="","",Sales_Daily!$C47),"")</f>
        <v/>
      </c>
      <c r="J558" s="32">
        <f>IF($A558=1,"CC10","")</f>
        <v/>
      </c>
      <c r="K558" s="32">
        <f>IF($A558=1,"-","")</f>
        <v/>
      </c>
      <c r="L558" s="32">
        <f>IF($A558=1,"مرتجعات وإلغاءات المبيعات","")</f>
        <v/>
      </c>
      <c r="M558" s="43">
        <f>IF($A558=1,Sales_Daily!$AI47,"")</f>
        <v/>
      </c>
      <c r="N558" s="43">
        <f>IF($A558=1,0,"")</f>
        <v/>
      </c>
      <c r="O558" s="32">
        <f>IF($A558=1,Sales_Daily!$S47,"")</f>
        <v/>
      </c>
      <c r="P558" s="32">
        <f>IF($A558=1,IF(Sales_Daily!$AW47="","",Sales_Daily!$AW47),"")</f>
        <v/>
      </c>
      <c r="Q558" s="32">
        <f>IF($A558=1,Sales_Daily!$AY47,"")</f>
        <v/>
      </c>
      <c r="R558" s="32">
        <f>IF($A558=1,IF(AND($Q558=1,COUNTIFS(COA!$A:$A,$G558,COA!$R:$R,1)=1),1,0),"")</f>
        <v/>
      </c>
      <c r="S558" s="43">
        <f>IF($A558=1,IF($R558=1,N($M558),0),"")</f>
        <v/>
      </c>
      <c r="T558" s="43">
        <f>IF($A558=1,IF($R558=1,N($N558),0),"")</f>
        <v/>
      </c>
      <c r="U558" s="32">
        <f>IF($A558=1,YEAR($D558)*100+MONTH($D558),"")</f>
        <v/>
      </c>
      <c r="V558" s="32">
        <f>IF($A558=1,IF(COUNTIF(COA!$A:$A,$G558)=0,0,INDEX(COA!$H:$H,MATCH($G558,COA!$A:$A,0))),"")</f>
        <v/>
      </c>
      <c r="W558" s="32">
        <f>IF($A558=1,"","")</f>
        <v/>
      </c>
      <c r="X558" s="32">
        <f>IF($A558=1,IF($R558=1,"",IF($O558=ST_POST,IF($P558&lt;&gt;"",$P558,"حساب غير صالح أو غير نشط"),IF($O558=ST_REV,"معكوس: لا أثر على الدفاتر",IF($O558=ST_CANC,"ملغى",IF($O558=ST_APPR,"معتمد ولم يُرحَّل","مسودة"))))),"")</f>
        <v/>
      </c>
      <c r="Y558" s="32">
        <f>IF($A558=1,IF(AND($R558=1,OR(LG_Acct="",$G558=LG_Acct),OR(LG_Party="",$K558=LG_Party),OR(LG_Loc="ALL",$I558=LG_Loc),OR(LG_CC="ALL",$J558=LG_CC),$D558&gt;=LG_From,$D558&lt;=LG_To),$D558+ROW()/1000000,""),"")</f>
        <v/>
      </c>
      <c r="Z558" s="32">
        <f>IF($A558=1,IF(Sales_Daily!$T47="","",Sales_Daily!$T47),"")</f>
        <v/>
      </c>
      <c r="AA558" s="32">
        <f>IF($A558=1,IF(Sales_Daily!$U47="","",Sales_Daily!$U47),"")</f>
        <v/>
      </c>
      <c r="AB558" s="32">
        <f>IF($A558=1,IF(Sales_Daily!$V47="","",Sales_Daily!$V47),"")</f>
        <v/>
      </c>
      <c r="AC558" s="32">
        <f>IF($A558=1,IF(Sales_Daily!$W47="","",Sales_Daily!$W47),"")</f>
        <v/>
      </c>
      <c r="AD558" s="32">
        <f>IF($A558=1,IF(Sales_Daily!$X47="","",Sales_Daily!$X47),"")</f>
        <v/>
      </c>
      <c r="AE558" s="32">
        <f>IF($A558=1,0,"")</f>
        <v/>
      </c>
      <c r="AF558" s="32" t="inlineStr"/>
    </row>
    <row r="559">
      <c r="A559" s="32">
        <f>IF(AND(Sales_Daily!$AV47=1,N(Sales_Daily!$AD47)&gt;0),1,0)</f>
        <v/>
      </c>
      <c r="B559" s="32">
        <f>IF($A559=1,$E559&amp;"/9","")</f>
        <v/>
      </c>
      <c r="C559" s="32">
        <f>IF($A559=1,"J-"&amp;Sales_Daily!$A47,"")</f>
        <v/>
      </c>
      <c r="D559" s="33">
        <f>IF($A559=1,Sales_Daily!$B47,"")</f>
        <v/>
      </c>
      <c r="E559" s="32">
        <f>IF($A559=1,IF(Sales_Daily!$A47="","",Sales_Daily!$A47),"")</f>
        <v/>
      </c>
      <c r="F559" s="32">
        <f>IF($A559=1,"SAL","")</f>
        <v/>
      </c>
      <c r="G559" s="32">
        <f>IF($A559=1,IF(Sales_Daily!$AQ47="","",Sales_Daily!$AQ47),"")</f>
        <v/>
      </c>
      <c r="H559" s="32">
        <f>IF($A559=1,IF(COUNTIF(COA!$A:$A,$G559)=0,"حساب غير معرف",INDEX(COA!$B:$B,MATCH($G559,COA!$A:$A,0))),"")</f>
        <v/>
      </c>
      <c r="I559" s="32">
        <f>IF($A559=1,IF(Sales_Daily!$C47="","",Sales_Daily!$C47),"")</f>
        <v/>
      </c>
      <c r="J559" s="32">
        <f>IF($A559=1,"CC10","")</f>
        <v/>
      </c>
      <c r="K559" s="32">
        <f>IF($A559=1,"-","")</f>
        <v/>
      </c>
      <c r="L559" s="32">
        <f>IF($A559=1,"إيراد مبيعات - فئة فطير","")</f>
        <v/>
      </c>
      <c r="M559" s="43">
        <f>IF($A559=1,0,"")</f>
        <v/>
      </c>
      <c r="N559" s="43">
        <f>IF($A559=1,Sales_Daily!$AD47,"")</f>
        <v/>
      </c>
      <c r="O559" s="32">
        <f>IF($A559=1,Sales_Daily!$S47,"")</f>
        <v/>
      </c>
      <c r="P559" s="32">
        <f>IF($A559=1,IF(Sales_Daily!$AW47="","",Sales_Daily!$AW47),"")</f>
        <v/>
      </c>
      <c r="Q559" s="32">
        <f>IF($A559=1,Sales_Daily!$AY47,"")</f>
        <v/>
      </c>
      <c r="R559" s="32">
        <f>IF($A559=1,IF(AND($Q559=1,COUNTIFS(COA!$A:$A,$G559,COA!$R:$R,1)=1),1,0),"")</f>
        <v/>
      </c>
      <c r="S559" s="43">
        <f>IF($A559=1,IF($R559=1,N($M559),0),"")</f>
        <v/>
      </c>
      <c r="T559" s="43">
        <f>IF($A559=1,IF($R559=1,N($N559),0),"")</f>
        <v/>
      </c>
      <c r="U559" s="32">
        <f>IF($A559=1,YEAR($D559)*100+MONTH($D559),"")</f>
        <v/>
      </c>
      <c r="V559" s="32">
        <f>IF($A559=1,IF(COUNTIF(COA!$A:$A,$G559)=0,0,INDEX(COA!$H:$H,MATCH($G559,COA!$A:$A,0))),"")</f>
        <v/>
      </c>
      <c r="W559" s="32">
        <f>IF($A559=1,"","")</f>
        <v/>
      </c>
      <c r="X559" s="32">
        <f>IF($A559=1,IF($R559=1,"",IF($O559=ST_POST,IF($P559&lt;&gt;"",$P559,"حساب غير صالح أو غير نشط"),IF($O559=ST_REV,"معكوس: لا أثر على الدفاتر",IF($O559=ST_CANC,"ملغى",IF($O559=ST_APPR,"معتمد ولم يُرحَّل","مسودة"))))),"")</f>
        <v/>
      </c>
      <c r="Y559" s="32">
        <f>IF($A559=1,IF(AND($R559=1,OR(LG_Acct="",$G559=LG_Acct),OR(LG_Party="",$K559=LG_Party),OR(LG_Loc="ALL",$I559=LG_Loc),OR(LG_CC="ALL",$J559=LG_CC),$D559&gt;=LG_From,$D559&lt;=LG_To),$D559+ROW()/1000000,""),"")</f>
        <v/>
      </c>
      <c r="Z559" s="32">
        <f>IF($A559=1,IF(Sales_Daily!$T47="","",Sales_Daily!$T47),"")</f>
        <v/>
      </c>
      <c r="AA559" s="32">
        <f>IF($A559=1,IF(Sales_Daily!$U47="","",Sales_Daily!$U47),"")</f>
        <v/>
      </c>
      <c r="AB559" s="32">
        <f>IF($A559=1,IF(Sales_Daily!$V47="","",Sales_Daily!$V47),"")</f>
        <v/>
      </c>
      <c r="AC559" s="32">
        <f>IF($A559=1,IF(Sales_Daily!$W47="","",Sales_Daily!$W47),"")</f>
        <v/>
      </c>
      <c r="AD559" s="32">
        <f>IF($A559=1,IF(Sales_Daily!$X47="","",Sales_Daily!$X47),"")</f>
        <v/>
      </c>
      <c r="AE559" s="32">
        <f>IF($A559=1,0,"")</f>
        <v/>
      </c>
      <c r="AF559" s="32" t="inlineStr"/>
    </row>
    <row r="560">
      <c r="A560" s="32">
        <f>IF(AND(Sales_Daily!$AV47=1,N(Sales_Daily!$AE47)&gt;0),1,0)</f>
        <v/>
      </c>
      <c r="B560" s="32">
        <f>IF($A560=1,$E560&amp;"/10","")</f>
        <v/>
      </c>
      <c r="C560" s="32">
        <f>IF($A560=1,"J-"&amp;Sales_Daily!$A47,"")</f>
        <v/>
      </c>
      <c r="D560" s="33">
        <f>IF($A560=1,Sales_Daily!$B47,"")</f>
        <v/>
      </c>
      <c r="E560" s="32">
        <f>IF($A560=1,IF(Sales_Daily!$A47="","",Sales_Daily!$A47),"")</f>
        <v/>
      </c>
      <c r="F560" s="32">
        <f>IF($A560=1,"SAL","")</f>
        <v/>
      </c>
      <c r="G560" s="32">
        <f>IF($A560=1,IF(Sales_Daily!$AR47="","",Sales_Daily!$AR47),"")</f>
        <v/>
      </c>
      <c r="H560" s="32">
        <f>IF($A560=1,IF(COUNTIF(COA!$A:$A,$G560)=0,"حساب غير معرف",INDEX(COA!$B:$B,MATCH($G560,COA!$A:$A,0))),"")</f>
        <v/>
      </c>
      <c r="I560" s="32">
        <f>IF($A560=1,IF(Sales_Daily!$C47="","",Sales_Daily!$C47),"")</f>
        <v/>
      </c>
      <c r="J560" s="32">
        <f>IF($A560=1,"CC10","")</f>
        <v/>
      </c>
      <c r="K560" s="32">
        <f>IF($A560=1,"-","")</f>
        <v/>
      </c>
      <c r="L560" s="32">
        <f>IF($A560=1,"إيراد مبيعات - فئة بيتزا","")</f>
        <v/>
      </c>
      <c r="M560" s="43">
        <f>IF($A560=1,0,"")</f>
        <v/>
      </c>
      <c r="N560" s="43">
        <f>IF($A560=1,Sales_Daily!$AE47,"")</f>
        <v/>
      </c>
      <c r="O560" s="32">
        <f>IF($A560=1,Sales_Daily!$S47,"")</f>
        <v/>
      </c>
      <c r="P560" s="32">
        <f>IF($A560=1,IF(Sales_Daily!$AW47="","",Sales_Daily!$AW47),"")</f>
        <v/>
      </c>
      <c r="Q560" s="32">
        <f>IF($A560=1,Sales_Daily!$AY47,"")</f>
        <v/>
      </c>
      <c r="R560" s="32">
        <f>IF($A560=1,IF(AND($Q560=1,COUNTIFS(COA!$A:$A,$G560,COA!$R:$R,1)=1),1,0),"")</f>
        <v/>
      </c>
      <c r="S560" s="43">
        <f>IF($A560=1,IF($R560=1,N($M560),0),"")</f>
        <v/>
      </c>
      <c r="T560" s="43">
        <f>IF($A560=1,IF($R560=1,N($N560),0),"")</f>
        <v/>
      </c>
      <c r="U560" s="32">
        <f>IF($A560=1,YEAR($D560)*100+MONTH($D560),"")</f>
        <v/>
      </c>
      <c r="V560" s="32">
        <f>IF($A560=1,IF(COUNTIF(COA!$A:$A,$G560)=0,0,INDEX(COA!$H:$H,MATCH($G560,COA!$A:$A,0))),"")</f>
        <v/>
      </c>
      <c r="W560" s="32">
        <f>IF($A560=1,"","")</f>
        <v/>
      </c>
      <c r="X560" s="32">
        <f>IF($A560=1,IF($R560=1,"",IF($O560=ST_POST,IF($P560&lt;&gt;"",$P560,"حساب غير صالح أو غير نشط"),IF($O560=ST_REV,"معكوس: لا أثر على الدفاتر",IF($O560=ST_CANC,"ملغى",IF($O560=ST_APPR,"معتمد ولم يُرحَّل","مسودة"))))),"")</f>
        <v/>
      </c>
      <c r="Y560" s="32">
        <f>IF($A560=1,IF(AND($R560=1,OR(LG_Acct="",$G560=LG_Acct),OR(LG_Party="",$K560=LG_Party),OR(LG_Loc="ALL",$I560=LG_Loc),OR(LG_CC="ALL",$J560=LG_CC),$D560&gt;=LG_From,$D560&lt;=LG_To),$D560+ROW()/1000000,""),"")</f>
        <v/>
      </c>
      <c r="Z560" s="32">
        <f>IF($A560=1,IF(Sales_Daily!$T47="","",Sales_Daily!$T47),"")</f>
        <v/>
      </c>
      <c r="AA560" s="32">
        <f>IF($A560=1,IF(Sales_Daily!$U47="","",Sales_Daily!$U47),"")</f>
        <v/>
      </c>
      <c r="AB560" s="32">
        <f>IF($A560=1,IF(Sales_Daily!$V47="","",Sales_Daily!$V47),"")</f>
        <v/>
      </c>
      <c r="AC560" s="32">
        <f>IF($A560=1,IF(Sales_Daily!$W47="","",Sales_Daily!$W47),"")</f>
        <v/>
      </c>
      <c r="AD560" s="32">
        <f>IF($A560=1,IF(Sales_Daily!$X47="","",Sales_Daily!$X47),"")</f>
        <v/>
      </c>
      <c r="AE560" s="32">
        <f>IF($A560=1,0,"")</f>
        <v/>
      </c>
      <c r="AF560" s="32" t="inlineStr"/>
    </row>
    <row r="561">
      <c r="A561" s="32">
        <f>IF(AND(Sales_Daily!$AV47=1,N(Sales_Daily!$AF47)&gt;0),1,0)</f>
        <v/>
      </c>
      <c r="B561" s="32">
        <f>IF($A561=1,$E561&amp;"/11","")</f>
        <v/>
      </c>
      <c r="C561" s="32">
        <f>IF($A561=1,"J-"&amp;Sales_Daily!$A47,"")</f>
        <v/>
      </c>
      <c r="D561" s="33">
        <f>IF($A561=1,Sales_Daily!$B47,"")</f>
        <v/>
      </c>
      <c r="E561" s="32">
        <f>IF($A561=1,IF(Sales_Daily!$A47="","",Sales_Daily!$A47),"")</f>
        <v/>
      </c>
      <c r="F561" s="32">
        <f>IF($A561=1,"SAL","")</f>
        <v/>
      </c>
      <c r="G561" s="32">
        <f>IF($A561=1,IF(Sales_Daily!$AS47="","",Sales_Daily!$AS47),"")</f>
        <v/>
      </c>
      <c r="H561" s="32">
        <f>IF($A561=1,IF(COUNTIF(COA!$A:$A,$G561)=0,"حساب غير معرف",INDEX(COA!$B:$B,MATCH($G561,COA!$A:$A,0))),"")</f>
        <v/>
      </c>
      <c r="I561" s="32">
        <f>IF($A561=1,IF(Sales_Daily!$C47="","",Sales_Daily!$C47),"")</f>
        <v/>
      </c>
      <c r="J561" s="32">
        <f>IF($A561=1,"CC10","")</f>
        <v/>
      </c>
      <c r="K561" s="32">
        <f>IF($A561=1,"-","")</f>
        <v/>
      </c>
      <c r="L561" s="32">
        <f>IF($A561=1,"إيراد مبيعات - فئة مكرونات","")</f>
        <v/>
      </c>
      <c r="M561" s="43">
        <f>IF($A561=1,0,"")</f>
        <v/>
      </c>
      <c r="N561" s="43">
        <f>IF($A561=1,Sales_Daily!$AF47,"")</f>
        <v/>
      </c>
      <c r="O561" s="32">
        <f>IF($A561=1,Sales_Daily!$S47,"")</f>
        <v/>
      </c>
      <c r="P561" s="32">
        <f>IF($A561=1,IF(Sales_Daily!$AW47="","",Sales_Daily!$AW47),"")</f>
        <v/>
      </c>
      <c r="Q561" s="32">
        <f>IF($A561=1,Sales_Daily!$AY47,"")</f>
        <v/>
      </c>
      <c r="R561" s="32">
        <f>IF($A561=1,IF(AND($Q561=1,COUNTIFS(COA!$A:$A,$G561,COA!$R:$R,1)=1),1,0),"")</f>
        <v/>
      </c>
      <c r="S561" s="43">
        <f>IF($A561=1,IF($R561=1,N($M561),0),"")</f>
        <v/>
      </c>
      <c r="T561" s="43">
        <f>IF($A561=1,IF($R561=1,N($N561),0),"")</f>
        <v/>
      </c>
      <c r="U561" s="32">
        <f>IF($A561=1,YEAR($D561)*100+MONTH($D561),"")</f>
        <v/>
      </c>
      <c r="V561" s="32">
        <f>IF($A561=1,IF(COUNTIF(COA!$A:$A,$G561)=0,0,INDEX(COA!$H:$H,MATCH($G561,COA!$A:$A,0))),"")</f>
        <v/>
      </c>
      <c r="W561" s="32">
        <f>IF($A561=1,"","")</f>
        <v/>
      </c>
      <c r="X561" s="32">
        <f>IF($A561=1,IF($R561=1,"",IF($O561=ST_POST,IF($P561&lt;&gt;"",$P561,"حساب غير صالح أو غير نشط"),IF($O561=ST_REV,"معكوس: لا أثر على الدفاتر",IF($O561=ST_CANC,"ملغى",IF($O561=ST_APPR,"معتمد ولم يُرحَّل","مسودة"))))),"")</f>
        <v/>
      </c>
      <c r="Y561" s="32">
        <f>IF($A561=1,IF(AND($R561=1,OR(LG_Acct="",$G561=LG_Acct),OR(LG_Party="",$K561=LG_Party),OR(LG_Loc="ALL",$I561=LG_Loc),OR(LG_CC="ALL",$J561=LG_CC),$D561&gt;=LG_From,$D561&lt;=LG_To),$D561+ROW()/1000000,""),"")</f>
        <v/>
      </c>
      <c r="Z561" s="32">
        <f>IF($A561=1,IF(Sales_Daily!$T47="","",Sales_Daily!$T47),"")</f>
        <v/>
      </c>
      <c r="AA561" s="32">
        <f>IF($A561=1,IF(Sales_Daily!$U47="","",Sales_Daily!$U47),"")</f>
        <v/>
      </c>
      <c r="AB561" s="32">
        <f>IF($A561=1,IF(Sales_Daily!$V47="","",Sales_Daily!$V47),"")</f>
        <v/>
      </c>
      <c r="AC561" s="32">
        <f>IF($A561=1,IF(Sales_Daily!$W47="","",Sales_Daily!$W47),"")</f>
        <v/>
      </c>
      <c r="AD561" s="32">
        <f>IF($A561=1,IF(Sales_Daily!$X47="","",Sales_Daily!$X47),"")</f>
        <v/>
      </c>
      <c r="AE561" s="32">
        <f>IF($A561=1,0,"")</f>
        <v/>
      </c>
      <c r="AF561" s="32" t="inlineStr"/>
    </row>
    <row r="562">
      <c r="A562" s="32">
        <f>IF(AND(Sales_Daily!$AV47=1,N(Sales_Daily!$AG47)&gt;0),1,0)</f>
        <v/>
      </c>
      <c r="B562" s="32">
        <f>IF($A562=1,$E562&amp;"/12","")</f>
        <v/>
      </c>
      <c r="C562" s="32">
        <f>IF($A562=1,"J-"&amp;Sales_Daily!$A47,"")</f>
        <v/>
      </c>
      <c r="D562" s="33">
        <f>IF($A562=1,Sales_Daily!$B47,"")</f>
        <v/>
      </c>
      <c r="E562" s="32">
        <f>IF($A562=1,IF(Sales_Daily!$A47="","",Sales_Daily!$A47),"")</f>
        <v/>
      </c>
      <c r="F562" s="32">
        <f>IF($A562=1,"SAL","")</f>
        <v/>
      </c>
      <c r="G562" s="32">
        <f>IF($A562=1,IF(Sales_Daily!$AT47="","",Sales_Daily!$AT47),"")</f>
        <v/>
      </c>
      <c r="H562" s="32">
        <f>IF($A562=1,IF(COUNTIF(COA!$A:$A,$G562)=0,"حساب غير معرف",INDEX(COA!$B:$B,MATCH($G562,COA!$A:$A,0))),"")</f>
        <v/>
      </c>
      <c r="I562" s="32">
        <f>IF($A562=1,IF(Sales_Daily!$C47="","",Sales_Daily!$C47),"")</f>
        <v/>
      </c>
      <c r="J562" s="32">
        <f>IF($A562=1,"CC10","")</f>
        <v/>
      </c>
      <c r="K562" s="32">
        <f>IF($A562=1,"-","")</f>
        <v/>
      </c>
      <c r="L562" s="32">
        <f>IF($A562=1,"إيراد مبيعات - فئة أخرى","")</f>
        <v/>
      </c>
      <c r="M562" s="43">
        <f>IF($A562=1,0,"")</f>
        <v/>
      </c>
      <c r="N562" s="43">
        <f>IF($A562=1,Sales_Daily!$AG47,"")</f>
        <v/>
      </c>
      <c r="O562" s="32">
        <f>IF($A562=1,Sales_Daily!$S47,"")</f>
        <v/>
      </c>
      <c r="P562" s="32">
        <f>IF($A562=1,IF(Sales_Daily!$AW47="","",Sales_Daily!$AW47),"")</f>
        <v/>
      </c>
      <c r="Q562" s="32">
        <f>IF($A562=1,Sales_Daily!$AY47,"")</f>
        <v/>
      </c>
      <c r="R562" s="32">
        <f>IF($A562=1,IF(AND($Q562=1,COUNTIFS(COA!$A:$A,$G562,COA!$R:$R,1)=1),1,0),"")</f>
        <v/>
      </c>
      <c r="S562" s="43">
        <f>IF($A562=1,IF($R562=1,N($M562),0),"")</f>
        <v/>
      </c>
      <c r="T562" s="43">
        <f>IF($A562=1,IF($R562=1,N($N562),0),"")</f>
        <v/>
      </c>
      <c r="U562" s="32">
        <f>IF($A562=1,YEAR($D562)*100+MONTH($D562),"")</f>
        <v/>
      </c>
      <c r="V562" s="32">
        <f>IF($A562=1,IF(COUNTIF(COA!$A:$A,$G562)=0,0,INDEX(COA!$H:$H,MATCH($G562,COA!$A:$A,0))),"")</f>
        <v/>
      </c>
      <c r="W562" s="32">
        <f>IF($A562=1,"","")</f>
        <v/>
      </c>
      <c r="X562" s="32">
        <f>IF($A562=1,IF($R562=1,"",IF($O562=ST_POST,IF($P562&lt;&gt;"",$P562,"حساب غير صالح أو غير نشط"),IF($O562=ST_REV,"معكوس: لا أثر على الدفاتر",IF($O562=ST_CANC,"ملغى",IF($O562=ST_APPR,"معتمد ولم يُرحَّل","مسودة"))))),"")</f>
        <v/>
      </c>
      <c r="Y562" s="32">
        <f>IF($A562=1,IF(AND($R562=1,OR(LG_Acct="",$G562=LG_Acct),OR(LG_Party="",$K562=LG_Party),OR(LG_Loc="ALL",$I562=LG_Loc),OR(LG_CC="ALL",$J562=LG_CC),$D562&gt;=LG_From,$D562&lt;=LG_To),$D562+ROW()/1000000,""),"")</f>
        <v/>
      </c>
      <c r="Z562" s="32">
        <f>IF($A562=1,IF(Sales_Daily!$T47="","",Sales_Daily!$T47),"")</f>
        <v/>
      </c>
      <c r="AA562" s="32">
        <f>IF($A562=1,IF(Sales_Daily!$U47="","",Sales_Daily!$U47),"")</f>
        <v/>
      </c>
      <c r="AB562" s="32">
        <f>IF($A562=1,IF(Sales_Daily!$V47="","",Sales_Daily!$V47),"")</f>
        <v/>
      </c>
      <c r="AC562" s="32">
        <f>IF($A562=1,IF(Sales_Daily!$W47="","",Sales_Daily!$W47),"")</f>
        <v/>
      </c>
      <c r="AD562" s="32">
        <f>IF($A562=1,IF(Sales_Daily!$X47="","",Sales_Daily!$X47),"")</f>
        <v/>
      </c>
      <c r="AE562" s="32">
        <f>IF($A562=1,0,"")</f>
        <v/>
      </c>
      <c r="AF562" s="32" t="inlineStr"/>
    </row>
    <row r="563">
      <c r="A563" s="32">
        <f>IF(AND(Sales_Daily!$AV47=1,N(Sales_Daily!$AJ47)&gt;0),1,0)</f>
        <v/>
      </c>
      <c r="B563" s="32">
        <f>IF($A563=1,$E563&amp;"/13","")</f>
        <v/>
      </c>
      <c r="C563" s="32">
        <f>IF($A563=1,"J-"&amp;Sales_Daily!$A47,"")</f>
        <v/>
      </c>
      <c r="D563" s="33">
        <f>IF($A563=1,Sales_Daily!$B47,"")</f>
        <v/>
      </c>
      <c r="E563" s="32">
        <f>IF($A563=1,IF(Sales_Daily!$A47="","",Sales_Daily!$A47),"")</f>
        <v/>
      </c>
      <c r="F563" s="32">
        <f>IF($A563=1,"SAL","")</f>
        <v/>
      </c>
      <c r="G563" s="32">
        <f>IF($A563=1,ACC_VAT_OUT,"")</f>
        <v/>
      </c>
      <c r="H563" s="32">
        <f>IF($A563=1,IF(COUNTIF(COA!$A:$A,$G563)=0,"حساب غير معرف",INDEX(COA!$B:$B,MATCH($G563,COA!$A:$A,0))),"")</f>
        <v/>
      </c>
      <c r="I563" s="32">
        <f>IF($A563=1,IF(Sales_Daily!$C47="","",Sales_Daily!$C47),"")</f>
        <v/>
      </c>
      <c r="J563" s="32">
        <f>IF($A563=1,"CC10","")</f>
        <v/>
      </c>
      <c r="K563" s="32">
        <f>IF($A563=1,"-","")</f>
        <v/>
      </c>
      <c r="L563" s="32">
        <f>IF($A563=1,"ضريبة القيمة المضافة - مخرجات","")</f>
        <v/>
      </c>
      <c r="M563" s="43">
        <f>IF($A563=1,0,"")</f>
        <v/>
      </c>
      <c r="N563" s="43">
        <f>IF($A563=1,Sales_Daily!$AJ47,"")</f>
        <v/>
      </c>
      <c r="O563" s="32">
        <f>IF($A563=1,Sales_Daily!$S47,"")</f>
        <v/>
      </c>
      <c r="P563" s="32">
        <f>IF($A563=1,IF(Sales_Daily!$AW47="","",Sales_Daily!$AW47),"")</f>
        <v/>
      </c>
      <c r="Q563" s="32">
        <f>IF($A563=1,Sales_Daily!$AY47,"")</f>
        <v/>
      </c>
      <c r="R563" s="32">
        <f>IF($A563=1,IF(AND($Q563=1,COUNTIFS(COA!$A:$A,$G563,COA!$R:$R,1)=1),1,0),"")</f>
        <v/>
      </c>
      <c r="S563" s="43">
        <f>IF($A563=1,IF($R563=1,N($M563),0),"")</f>
        <v/>
      </c>
      <c r="T563" s="43">
        <f>IF($A563=1,IF($R563=1,N($N563),0),"")</f>
        <v/>
      </c>
      <c r="U563" s="32">
        <f>IF($A563=1,YEAR($D563)*100+MONTH($D563),"")</f>
        <v/>
      </c>
      <c r="V563" s="32">
        <f>IF($A563=1,IF(COUNTIF(COA!$A:$A,$G563)=0,0,INDEX(COA!$H:$H,MATCH($G563,COA!$A:$A,0))),"")</f>
        <v/>
      </c>
      <c r="W563" s="32">
        <f>IF($A563=1,"","")</f>
        <v/>
      </c>
      <c r="X563" s="32">
        <f>IF($A563=1,IF($R563=1,"",IF($O563=ST_POST,IF($P563&lt;&gt;"",$P563,"حساب غير صالح أو غير نشط"),IF($O563=ST_REV,"معكوس: لا أثر على الدفاتر",IF($O563=ST_CANC,"ملغى",IF($O563=ST_APPR,"معتمد ولم يُرحَّل","مسودة"))))),"")</f>
        <v/>
      </c>
      <c r="Y563" s="32">
        <f>IF($A563=1,IF(AND($R563=1,OR(LG_Acct="",$G563=LG_Acct),OR(LG_Party="",$K563=LG_Party),OR(LG_Loc="ALL",$I563=LG_Loc),OR(LG_CC="ALL",$J563=LG_CC),$D563&gt;=LG_From,$D563&lt;=LG_To),$D563+ROW()/1000000,""),"")</f>
        <v/>
      </c>
      <c r="Z563" s="32">
        <f>IF($A563=1,IF(Sales_Daily!$T47="","",Sales_Daily!$T47),"")</f>
        <v/>
      </c>
      <c r="AA563" s="32">
        <f>IF($A563=1,IF(Sales_Daily!$U47="","",Sales_Daily!$U47),"")</f>
        <v/>
      </c>
      <c r="AB563" s="32">
        <f>IF($A563=1,IF(Sales_Daily!$V47="","",Sales_Daily!$V47),"")</f>
        <v/>
      </c>
      <c r="AC563" s="32">
        <f>IF($A563=1,IF(Sales_Daily!$W47="","",Sales_Daily!$W47),"")</f>
        <v/>
      </c>
      <c r="AD563" s="32">
        <f>IF($A563=1,IF(Sales_Daily!$X47="","",Sales_Daily!$X47),"")</f>
        <v/>
      </c>
      <c r="AE563" s="32">
        <f>IF($A563=1,0,"")</f>
        <v/>
      </c>
      <c r="AF563" s="32" t="inlineStr"/>
    </row>
    <row r="564">
      <c r="A564" s="32">
        <f>IF(AND(Sales_Daily!$AV48=1,N(Sales_Daily!$L48)&gt;0),1,0)</f>
        <v/>
      </c>
      <c r="B564" s="32">
        <f>IF($A564=1,$E564&amp;"/1","")</f>
        <v/>
      </c>
      <c r="C564" s="32">
        <f>IF($A564=1,"J-"&amp;Sales_Daily!$A48,"")</f>
        <v/>
      </c>
      <c r="D564" s="33">
        <f>IF($A564=1,Sales_Daily!$B48,"")</f>
        <v/>
      </c>
      <c r="E564" s="32">
        <f>IF($A564=1,IF(Sales_Daily!$A48="","",Sales_Daily!$A48),"")</f>
        <v/>
      </c>
      <c r="F564" s="32">
        <f>IF($A564=1,"SAL","")</f>
        <v/>
      </c>
      <c r="G564" s="32">
        <f>IF($A564=1,IF(Sales_Daily!$AK48="","",Sales_Daily!$AK48),"")</f>
        <v/>
      </c>
      <c r="H564" s="32">
        <f>IF($A564=1,IF(COUNTIF(COA!$A:$A,$G564)=0,"حساب غير معرف",INDEX(COA!$B:$B,MATCH($G564,COA!$A:$A,0))),"")</f>
        <v/>
      </c>
      <c r="I564" s="32">
        <f>IF($A564=1,IF(Sales_Daily!$C48="","",Sales_Daily!$C48),"")</f>
        <v/>
      </c>
      <c r="J564" s="32">
        <f>IF($A564=1,"CC10","")</f>
        <v/>
      </c>
      <c r="K564" s="32">
        <f>IF($A564=1,"-","")</f>
        <v/>
      </c>
      <c r="L564" s="32">
        <f>IF($A564=1,"مبيعات - تحصيل CASH","")</f>
        <v/>
      </c>
      <c r="M564" s="43">
        <f>IF($A564=1,Sales_Daily!$L48,"")</f>
        <v/>
      </c>
      <c r="N564" s="43">
        <f>IF($A564=1,0,"")</f>
        <v/>
      </c>
      <c r="O564" s="32">
        <f>IF($A564=1,Sales_Daily!$S48,"")</f>
        <v/>
      </c>
      <c r="P564" s="32">
        <f>IF($A564=1,IF(Sales_Daily!$AW48="","",Sales_Daily!$AW48),"")</f>
        <v/>
      </c>
      <c r="Q564" s="32">
        <f>IF($A564=1,Sales_Daily!$AY48,"")</f>
        <v/>
      </c>
      <c r="R564" s="32">
        <f>IF($A564=1,IF(AND($Q564=1,COUNTIFS(COA!$A:$A,$G564,COA!$R:$R,1)=1),1,0),"")</f>
        <v/>
      </c>
      <c r="S564" s="43">
        <f>IF($A564=1,IF($R564=1,N($M564),0),"")</f>
        <v/>
      </c>
      <c r="T564" s="43">
        <f>IF($A564=1,IF($R564=1,N($N564),0),"")</f>
        <v/>
      </c>
      <c r="U564" s="32">
        <f>IF($A564=1,YEAR($D564)*100+MONTH($D564),"")</f>
        <v/>
      </c>
      <c r="V564" s="32">
        <f>IF($A564=1,IF(COUNTIF(COA!$A:$A,$G564)=0,0,INDEX(COA!$H:$H,MATCH($G564,COA!$A:$A,0))),"")</f>
        <v/>
      </c>
      <c r="W564" s="32">
        <f>IF($A564=1,"OPERATING","")</f>
        <v/>
      </c>
      <c r="X564" s="32">
        <f>IF($A564=1,IF($R564=1,"",IF($O564=ST_POST,IF($P564&lt;&gt;"",$P564,"حساب غير صالح أو غير نشط"),IF($O564=ST_REV,"معكوس: لا أثر على الدفاتر",IF($O564=ST_CANC,"ملغى",IF($O564=ST_APPR,"معتمد ولم يُرحَّل","مسودة"))))),"")</f>
        <v/>
      </c>
      <c r="Y564" s="32">
        <f>IF($A564=1,IF(AND($R564=1,OR(LG_Acct="",$G564=LG_Acct),OR(LG_Party="",$K564=LG_Party),OR(LG_Loc="ALL",$I564=LG_Loc),OR(LG_CC="ALL",$J564=LG_CC),$D564&gt;=LG_From,$D564&lt;=LG_To),$D564+ROW()/1000000,""),"")</f>
        <v/>
      </c>
      <c r="Z564" s="32">
        <f>IF($A564=1,IF(Sales_Daily!$T48="","",Sales_Daily!$T48),"")</f>
        <v/>
      </c>
      <c r="AA564" s="32">
        <f>IF($A564=1,IF(Sales_Daily!$U48="","",Sales_Daily!$U48),"")</f>
        <v/>
      </c>
      <c r="AB564" s="32">
        <f>IF($A564=1,IF(Sales_Daily!$V48="","",Sales_Daily!$V48),"")</f>
        <v/>
      </c>
      <c r="AC564" s="32">
        <f>IF($A564=1,IF(Sales_Daily!$W48="","",Sales_Daily!$W48),"")</f>
        <v/>
      </c>
      <c r="AD564" s="32">
        <f>IF($A564=1,IF(Sales_Daily!$X48="","",Sales_Daily!$X48),"")</f>
        <v/>
      </c>
      <c r="AE564" s="32">
        <f>IF($A564=1,0,"")</f>
        <v/>
      </c>
      <c r="AF564" s="32" t="inlineStr"/>
    </row>
    <row r="565">
      <c r="A565" s="32">
        <f>IF(AND(Sales_Daily!$AV48=1,N(Sales_Daily!$M48)&gt;0),1,0)</f>
        <v/>
      </c>
      <c r="B565" s="32">
        <f>IF($A565=1,$E565&amp;"/2","")</f>
        <v/>
      </c>
      <c r="C565" s="32">
        <f>IF($A565=1,"J-"&amp;Sales_Daily!$A48,"")</f>
        <v/>
      </c>
      <c r="D565" s="33">
        <f>IF($A565=1,Sales_Daily!$B48,"")</f>
        <v/>
      </c>
      <c r="E565" s="32">
        <f>IF($A565=1,IF(Sales_Daily!$A48="","",Sales_Daily!$A48),"")</f>
        <v/>
      </c>
      <c r="F565" s="32">
        <f>IF($A565=1,"SAL","")</f>
        <v/>
      </c>
      <c r="G565" s="32">
        <f>IF($A565=1,IF(Sales_Daily!$AL48="","",Sales_Daily!$AL48),"")</f>
        <v/>
      </c>
      <c r="H565" s="32">
        <f>IF($A565=1,IF(COUNTIF(COA!$A:$A,$G565)=0,"حساب غير معرف",INDEX(COA!$B:$B,MATCH($G565,COA!$A:$A,0))),"")</f>
        <v/>
      </c>
      <c r="I565" s="32">
        <f>IF($A565=1,IF(Sales_Daily!$C48="","",Sales_Daily!$C48),"")</f>
        <v/>
      </c>
      <c r="J565" s="32">
        <f>IF($A565=1,"CC10","")</f>
        <v/>
      </c>
      <c r="K565" s="32">
        <f>IF($A565=1,"-","")</f>
        <v/>
      </c>
      <c r="L565" s="32">
        <f>IF($A565=1,"مبيعات - تحصيل CARD","")</f>
        <v/>
      </c>
      <c r="M565" s="43">
        <f>IF($A565=1,Sales_Daily!$M48,"")</f>
        <v/>
      </c>
      <c r="N565" s="43">
        <f>IF($A565=1,0,"")</f>
        <v/>
      </c>
      <c r="O565" s="32">
        <f>IF($A565=1,Sales_Daily!$S48,"")</f>
        <v/>
      </c>
      <c r="P565" s="32">
        <f>IF($A565=1,IF(Sales_Daily!$AW48="","",Sales_Daily!$AW48),"")</f>
        <v/>
      </c>
      <c r="Q565" s="32">
        <f>IF($A565=1,Sales_Daily!$AY48,"")</f>
        <v/>
      </c>
      <c r="R565" s="32">
        <f>IF($A565=1,IF(AND($Q565=1,COUNTIFS(COA!$A:$A,$G565,COA!$R:$R,1)=1),1,0),"")</f>
        <v/>
      </c>
      <c r="S565" s="43">
        <f>IF($A565=1,IF($R565=1,N($M565),0),"")</f>
        <v/>
      </c>
      <c r="T565" s="43">
        <f>IF($A565=1,IF($R565=1,N($N565),0),"")</f>
        <v/>
      </c>
      <c r="U565" s="32">
        <f>IF($A565=1,YEAR($D565)*100+MONTH($D565),"")</f>
        <v/>
      </c>
      <c r="V565" s="32">
        <f>IF($A565=1,IF(COUNTIF(COA!$A:$A,$G565)=0,0,INDEX(COA!$H:$H,MATCH($G565,COA!$A:$A,0))),"")</f>
        <v/>
      </c>
      <c r="W565" s="32">
        <f>IF($A565=1,"OPERATING","")</f>
        <v/>
      </c>
      <c r="X565" s="32">
        <f>IF($A565=1,IF($R565=1,"",IF($O565=ST_POST,IF($P565&lt;&gt;"",$P565,"حساب غير صالح أو غير نشط"),IF($O565=ST_REV,"معكوس: لا أثر على الدفاتر",IF($O565=ST_CANC,"ملغى",IF($O565=ST_APPR,"معتمد ولم يُرحَّل","مسودة"))))),"")</f>
        <v/>
      </c>
      <c r="Y565" s="32">
        <f>IF($A565=1,IF(AND($R565=1,OR(LG_Acct="",$G565=LG_Acct),OR(LG_Party="",$K565=LG_Party),OR(LG_Loc="ALL",$I565=LG_Loc),OR(LG_CC="ALL",$J565=LG_CC),$D565&gt;=LG_From,$D565&lt;=LG_To),$D565+ROW()/1000000,""),"")</f>
        <v/>
      </c>
      <c r="Z565" s="32">
        <f>IF($A565=1,IF(Sales_Daily!$T48="","",Sales_Daily!$T48),"")</f>
        <v/>
      </c>
      <c r="AA565" s="32">
        <f>IF($A565=1,IF(Sales_Daily!$U48="","",Sales_Daily!$U48),"")</f>
        <v/>
      </c>
      <c r="AB565" s="32">
        <f>IF($A565=1,IF(Sales_Daily!$V48="","",Sales_Daily!$V48),"")</f>
        <v/>
      </c>
      <c r="AC565" s="32">
        <f>IF($A565=1,IF(Sales_Daily!$W48="","",Sales_Daily!$W48),"")</f>
        <v/>
      </c>
      <c r="AD565" s="32">
        <f>IF($A565=1,IF(Sales_Daily!$X48="","",Sales_Daily!$X48),"")</f>
        <v/>
      </c>
      <c r="AE565" s="32">
        <f>IF($A565=1,0,"")</f>
        <v/>
      </c>
      <c r="AF565" s="32" t="inlineStr"/>
    </row>
    <row r="566">
      <c r="A566" s="32">
        <f>IF(AND(Sales_Daily!$AV48=1,N(Sales_Daily!$N48)&gt;0),1,0)</f>
        <v/>
      </c>
      <c r="B566" s="32">
        <f>IF($A566=1,$E566&amp;"/3","")</f>
        <v/>
      </c>
      <c r="C566" s="32">
        <f>IF($A566=1,"J-"&amp;Sales_Daily!$A48,"")</f>
        <v/>
      </c>
      <c r="D566" s="33">
        <f>IF($A566=1,Sales_Daily!$B48,"")</f>
        <v/>
      </c>
      <c r="E566" s="32">
        <f>IF($A566=1,IF(Sales_Daily!$A48="","",Sales_Daily!$A48),"")</f>
        <v/>
      </c>
      <c r="F566" s="32">
        <f>IF($A566=1,"SAL","")</f>
        <v/>
      </c>
      <c r="G566" s="32">
        <f>IF($A566=1,IF(Sales_Daily!$AM48="","",Sales_Daily!$AM48),"")</f>
        <v/>
      </c>
      <c r="H566" s="32">
        <f>IF($A566=1,IF(COUNTIF(COA!$A:$A,$G566)=0,"حساب غير معرف",INDEX(COA!$B:$B,MATCH($G566,COA!$A:$A,0))),"")</f>
        <v/>
      </c>
      <c r="I566" s="32">
        <f>IF($A566=1,IF(Sales_Daily!$C48="","",Sales_Daily!$C48),"")</f>
        <v/>
      </c>
      <c r="J566" s="32">
        <f>IF($A566=1,"CC10","")</f>
        <v/>
      </c>
      <c r="K566" s="32">
        <f>IF($A566=1,"-","")</f>
        <v/>
      </c>
      <c r="L566" s="32">
        <f>IF($A566=1,"مبيعات - تحصيل TLB","")</f>
        <v/>
      </c>
      <c r="M566" s="43">
        <f>IF($A566=1,Sales_Daily!$N48,"")</f>
        <v/>
      </c>
      <c r="N566" s="43">
        <f>IF($A566=1,0,"")</f>
        <v/>
      </c>
      <c r="O566" s="32">
        <f>IF($A566=1,Sales_Daily!$S48,"")</f>
        <v/>
      </c>
      <c r="P566" s="32">
        <f>IF($A566=1,IF(Sales_Daily!$AW48="","",Sales_Daily!$AW48),"")</f>
        <v/>
      </c>
      <c r="Q566" s="32">
        <f>IF($A566=1,Sales_Daily!$AY48,"")</f>
        <v/>
      </c>
      <c r="R566" s="32">
        <f>IF($A566=1,IF(AND($Q566=1,COUNTIFS(COA!$A:$A,$G566,COA!$R:$R,1)=1),1,0),"")</f>
        <v/>
      </c>
      <c r="S566" s="43">
        <f>IF($A566=1,IF($R566=1,N($M566),0),"")</f>
        <v/>
      </c>
      <c r="T566" s="43">
        <f>IF($A566=1,IF($R566=1,N($N566),0),"")</f>
        <v/>
      </c>
      <c r="U566" s="32">
        <f>IF($A566=1,YEAR($D566)*100+MONTH($D566),"")</f>
        <v/>
      </c>
      <c r="V566" s="32">
        <f>IF($A566=1,IF(COUNTIF(COA!$A:$A,$G566)=0,0,INDEX(COA!$H:$H,MATCH($G566,COA!$A:$A,0))),"")</f>
        <v/>
      </c>
      <c r="W566" s="32">
        <f>IF($A566=1,"OPERATING","")</f>
        <v/>
      </c>
      <c r="X566" s="32">
        <f>IF($A566=1,IF($R566=1,"",IF($O566=ST_POST,IF($P566&lt;&gt;"",$P566,"حساب غير صالح أو غير نشط"),IF($O566=ST_REV,"معكوس: لا أثر على الدفاتر",IF($O566=ST_CANC,"ملغى",IF($O566=ST_APPR,"معتمد ولم يُرحَّل","مسودة"))))),"")</f>
        <v/>
      </c>
      <c r="Y566" s="32">
        <f>IF($A566=1,IF(AND($R566=1,OR(LG_Acct="",$G566=LG_Acct),OR(LG_Party="",$K566=LG_Party),OR(LG_Loc="ALL",$I566=LG_Loc),OR(LG_CC="ALL",$J566=LG_CC),$D566&gt;=LG_From,$D566&lt;=LG_To),$D566+ROW()/1000000,""),"")</f>
        <v/>
      </c>
      <c r="Z566" s="32">
        <f>IF($A566=1,IF(Sales_Daily!$T48="","",Sales_Daily!$T48),"")</f>
        <v/>
      </c>
      <c r="AA566" s="32">
        <f>IF($A566=1,IF(Sales_Daily!$U48="","",Sales_Daily!$U48),"")</f>
        <v/>
      </c>
      <c r="AB566" s="32">
        <f>IF($A566=1,IF(Sales_Daily!$V48="","",Sales_Daily!$V48),"")</f>
        <v/>
      </c>
      <c r="AC566" s="32">
        <f>IF($A566=1,IF(Sales_Daily!$W48="","",Sales_Daily!$W48),"")</f>
        <v/>
      </c>
      <c r="AD566" s="32">
        <f>IF($A566=1,IF(Sales_Daily!$X48="","",Sales_Daily!$X48),"")</f>
        <v/>
      </c>
      <c r="AE566" s="32">
        <f>IF($A566=1,0,"")</f>
        <v/>
      </c>
      <c r="AF566" s="32" t="inlineStr"/>
    </row>
    <row r="567">
      <c r="A567" s="32">
        <f>IF(AND(Sales_Daily!$AV48=1,N(Sales_Daily!$O48)&gt;0),1,0)</f>
        <v/>
      </c>
      <c r="B567" s="32">
        <f>IF($A567=1,$E567&amp;"/4","")</f>
        <v/>
      </c>
      <c r="C567" s="32">
        <f>IF($A567=1,"J-"&amp;Sales_Daily!$A48,"")</f>
        <v/>
      </c>
      <c r="D567" s="33">
        <f>IF($A567=1,Sales_Daily!$B48,"")</f>
        <v/>
      </c>
      <c r="E567" s="32">
        <f>IF($A567=1,IF(Sales_Daily!$A48="","",Sales_Daily!$A48),"")</f>
        <v/>
      </c>
      <c r="F567" s="32">
        <f>IF($A567=1,"SAL","")</f>
        <v/>
      </c>
      <c r="G567" s="32">
        <f>IF($A567=1,IF(Sales_Daily!$AN48="","",Sales_Daily!$AN48),"")</f>
        <v/>
      </c>
      <c r="H567" s="32">
        <f>IF($A567=1,IF(COUNTIF(COA!$A:$A,$G567)=0,"حساب غير معرف",INDEX(COA!$B:$B,MATCH($G567,COA!$A:$A,0))),"")</f>
        <v/>
      </c>
      <c r="I567" s="32">
        <f>IF($A567=1,IF(Sales_Daily!$C48="","",Sales_Daily!$C48),"")</f>
        <v/>
      </c>
      <c r="J567" s="32">
        <f>IF($A567=1,"CC10","")</f>
        <v/>
      </c>
      <c r="K567" s="32">
        <f>IF($A567=1,"-","")</f>
        <v/>
      </c>
      <c r="L567" s="32">
        <f>IF($A567=1,"مبيعات - تحصيل DLV2","")</f>
        <v/>
      </c>
      <c r="M567" s="43">
        <f>IF($A567=1,Sales_Daily!$O48,"")</f>
        <v/>
      </c>
      <c r="N567" s="43">
        <f>IF($A567=1,0,"")</f>
        <v/>
      </c>
      <c r="O567" s="32">
        <f>IF($A567=1,Sales_Daily!$S48,"")</f>
        <v/>
      </c>
      <c r="P567" s="32">
        <f>IF($A567=1,IF(Sales_Daily!$AW48="","",Sales_Daily!$AW48),"")</f>
        <v/>
      </c>
      <c r="Q567" s="32">
        <f>IF($A567=1,Sales_Daily!$AY48,"")</f>
        <v/>
      </c>
      <c r="R567" s="32">
        <f>IF($A567=1,IF(AND($Q567=1,COUNTIFS(COA!$A:$A,$G567,COA!$R:$R,1)=1),1,0),"")</f>
        <v/>
      </c>
      <c r="S567" s="43">
        <f>IF($A567=1,IF($R567=1,N($M567),0),"")</f>
        <v/>
      </c>
      <c r="T567" s="43">
        <f>IF($A567=1,IF($R567=1,N($N567),0),"")</f>
        <v/>
      </c>
      <c r="U567" s="32">
        <f>IF($A567=1,YEAR($D567)*100+MONTH($D567),"")</f>
        <v/>
      </c>
      <c r="V567" s="32">
        <f>IF($A567=1,IF(COUNTIF(COA!$A:$A,$G567)=0,0,INDEX(COA!$H:$H,MATCH($G567,COA!$A:$A,0))),"")</f>
        <v/>
      </c>
      <c r="W567" s="32">
        <f>IF($A567=1,"OPERATING","")</f>
        <v/>
      </c>
      <c r="X567" s="32">
        <f>IF($A567=1,IF($R567=1,"",IF($O567=ST_POST,IF($P567&lt;&gt;"",$P567,"حساب غير صالح أو غير نشط"),IF($O567=ST_REV,"معكوس: لا أثر على الدفاتر",IF($O567=ST_CANC,"ملغى",IF($O567=ST_APPR,"معتمد ولم يُرحَّل","مسودة"))))),"")</f>
        <v/>
      </c>
      <c r="Y567" s="32">
        <f>IF($A567=1,IF(AND($R567=1,OR(LG_Acct="",$G567=LG_Acct),OR(LG_Party="",$K567=LG_Party),OR(LG_Loc="ALL",$I567=LG_Loc),OR(LG_CC="ALL",$J567=LG_CC),$D567&gt;=LG_From,$D567&lt;=LG_To),$D567+ROW()/1000000,""),"")</f>
        <v/>
      </c>
      <c r="Z567" s="32">
        <f>IF($A567=1,IF(Sales_Daily!$T48="","",Sales_Daily!$T48),"")</f>
        <v/>
      </c>
      <c r="AA567" s="32">
        <f>IF($A567=1,IF(Sales_Daily!$U48="","",Sales_Daily!$U48),"")</f>
        <v/>
      </c>
      <c r="AB567" s="32">
        <f>IF($A567=1,IF(Sales_Daily!$V48="","",Sales_Daily!$V48),"")</f>
        <v/>
      </c>
      <c r="AC567" s="32">
        <f>IF($A567=1,IF(Sales_Daily!$W48="","",Sales_Daily!$W48),"")</f>
        <v/>
      </c>
      <c r="AD567" s="32">
        <f>IF($A567=1,IF(Sales_Daily!$X48="","",Sales_Daily!$X48),"")</f>
        <v/>
      </c>
      <c r="AE567" s="32">
        <f>IF($A567=1,0,"")</f>
        <v/>
      </c>
      <c r="AF567" s="32" t="inlineStr"/>
    </row>
    <row r="568">
      <c r="A568" s="32">
        <f>IF(AND(Sales_Daily!$AV48=1,N(Sales_Daily!$P48)&gt;0),1,0)</f>
        <v/>
      </c>
      <c r="B568" s="32">
        <f>IF($A568=1,$E568&amp;"/5","")</f>
        <v/>
      </c>
      <c r="C568" s="32">
        <f>IF($A568=1,"J-"&amp;Sales_Daily!$A48,"")</f>
        <v/>
      </c>
      <c r="D568" s="33">
        <f>IF($A568=1,Sales_Daily!$B48,"")</f>
        <v/>
      </c>
      <c r="E568" s="32">
        <f>IF($A568=1,IF(Sales_Daily!$A48="","",Sales_Daily!$A48),"")</f>
        <v/>
      </c>
      <c r="F568" s="32">
        <f>IF($A568=1,"SAL","")</f>
        <v/>
      </c>
      <c r="G568" s="32">
        <f>IF($A568=1,IF(Sales_Daily!$AO48="","",Sales_Daily!$AO48),"")</f>
        <v/>
      </c>
      <c r="H568" s="32">
        <f>IF($A568=1,IF(COUNTIF(COA!$A:$A,$G568)=0,"حساب غير معرف",INDEX(COA!$B:$B,MATCH($G568,COA!$A:$A,0))),"")</f>
        <v/>
      </c>
      <c r="I568" s="32">
        <f>IF($A568=1,IF(Sales_Daily!$C48="","",Sales_Daily!$C48),"")</f>
        <v/>
      </c>
      <c r="J568" s="32">
        <f>IF($A568=1,"CC10","")</f>
        <v/>
      </c>
      <c r="K568" s="32">
        <f>IF($A568=1,"-","")</f>
        <v/>
      </c>
      <c r="L568" s="32">
        <f>IF($A568=1,"مبيعات - تحصيل INSTA","")</f>
        <v/>
      </c>
      <c r="M568" s="43">
        <f>IF($A568=1,Sales_Daily!$P48,"")</f>
        <v/>
      </c>
      <c r="N568" s="43">
        <f>IF($A568=1,0,"")</f>
        <v/>
      </c>
      <c r="O568" s="32">
        <f>IF($A568=1,Sales_Daily!$S48,"")</f>
        <v/>
      </c>
      <c r="P568" s="32">
        <f>IF($A568=1,IF(Sales_Daily!$AW48="","",Sales_Daily!$AW48),"")</f>
        <v/>
      </c>
      <c r="Q568" s="32">
        <f>IF($A568=1,Sales_Daily!$AY48,"")</f>
        <v/>
      </c>
      <c r="R568" s="32">
        <f>IF($A568=1,IF(AND($Q568=1,COUNTIFS(COA!$A:$A,$G568,COA!$R:$R,1)=1),1,0),"")</f>
        <v/>
      </c>
      <c r="S568" s="43">
        <f>IF($A568=1,IF($R568=1,N($M568),0),"")</f>
        <v/>
      </c>
      <c r="T568" s="43">
        <f>IF($A568=1,IF($R568=1,N($N568),0),"")</f>
        <v/>
      </c>
      <c r="U568" s="32">
        <f>IF($A568=1,YEAR($D568)*100+MONTH($D568),"")</f>
        <v/>
      </c>
      <c r="V568" s="32">
        <f>IF($A568=1,IF(COUNTIF(COA!$A:$A,$G568)=0,0,INDEX(COA!$H:$H,MATCH($G568,COA!$A:$A,0))),"")</f>
        <v/>
      </c>
      <c r="W568" s="32">
        <f>IF($A568=1,"OPERATING","")</f>
        <v/>
      </c>
      <c r="X568" s="32">
        <f>IF($A568=1,IF($R568=1,"",IF($O568=ST_POST,IF($P568&lt;&gt;"",$P568,"حساب غير صالح أو غير نشط"),IF($O568=ST_REV,"معكوس: لا أثر على الدفاتر",IF($O568=ST_CANC,"ملغى",IF($O568=ST_APPR,"معتمد ولم يُرحَّل","مسودة"))))),"")</f>
        <v/>
      </c>
      <c r="Y568" s="32">
        <f>IF($A568=1,IF(AND($R568=1,OR(LG_Acct="",$G568=LG_Acct),OR(LG_Party="",$K568=LG_Party),OR(LG_Loc="ALL",$I568=LG_Loc),OR(LG_CC="ALL",$J568=LG_CC),$D568&gt;=LG_From,$D568&lt;=LG_To),$D568+ROW()/1000000,""),"")</f>
        <v/>
      </c>
      <c r="Z568" s="32">
        <f>IF($A568=1,IF(Sales_Daily!$T48="","",Sales_Daily!$T48),"")</f>
        <v/>
      </c>
      <c r="AA568" s="32">
        <f>IF($A568=1,IF(Sales_Daily!$U48="","",Sales_Daily!$U48),"")</f>
        <v/>
      </c>
      <c r="AB568" s="32">
        <f>IF($A568=1,IF(Sales_Daily!$V48="","",Sales_Daily!$V48),"")</f>
        <v/>
      </c>
      <c r="AC568" s="32">
        <f>IF($A568=1,IF(Sales_Daily!$W48="","",Sales_Daily!$W48),"")</f>
        <v/>
      </c>
      <c r="AD568" s="32">
        <f>IF($A568=1,IF(Sales_Daily!$X48="","",Sales_Daily!$X48),"")</f>
        <v/>
      </c>
      <c r="AE568" s="32">
        <f>IF($A568=1,0,"")</f>
        <v/>
      </c>
      <c r="AF568" s="32" t="inlineStr"/>
    </row>
    <row r="569">
      <c r="A569" s="32">
        <f>IF(AND(Sales_Daily!$AV48=1,N(Sales_Daily!$Q48)&gt;0),1,0)</f>
        <v/>
      </c>
      <c r="B569" s="32">
        <f>IF($A569=1,$E569&amp;"/6","")</f>
        <v/>
      </c>
      <c r="C569" s="32">
        <f>IF($A569=1,"J-"&amp;Sales_Daily!$A48,"")</f>
        <v/>
      </c>
      <c r="D569" s="33">
        <f>IF($A569=1,Sales_Daily!$B48,"")</f>
        <v/>
      </c>
      <c r="E569" s="32">
        <f>IF($A569=1,IF(Sales_Daily!$A48="","",Sales_Daily!$A48),"")</f>
        <v/>
      </c>
      <c r="F569" s="32">
        <f>IF($A569=1,"SAL","")</f>
        <v/>
      </c>
      <c r="G569" s="32">
        <f>IF($A569=1,IF(Sales_Daily!$AP48="","",Sales_Daily!$AP48),"")</f>
        <v/>
      </c>
      <c r="H569" s="32">
        <f>IF($A569=1,IF(COUNTIF(COA!$A:$A,$G569)=0,"حساب غير معرف",INDEX(COA!$B:$B,MATCH($G569,COA!$A:$A,0))),"")</f>
        <v/>
      </c>
      <c r="I569" s="32">
        <f>IF($A569=1,IF(Sales_Daily!$C48="","",Sales_Daily!$C48),"")</f>
        <v/>
      </c>
      <c r="J569" s="32">
        <f>IF($A569=1,"CC10","")</f>
        <v/>
      </c>
      <c r="K569" s="32">
        <f>IF($A569=1,"-","")</f>
        <v/>
      </c>
      <c r="L569" s="32">
        <f>IF($A569=1,"مبيعات - تحصيل OTH","")</f>
        <v/>
      </c>
      <c r="M569" s="43">
        <f>IF($A569=1,Sales_Daily!$Q48,"")</f>
        <v/>
      </c>
      <c r="N569" s="43">
        <f>IF($A569=1,0,"")</f>
        <v/>
      </c>
      <c r="O569" s="32">
        <f>IF($A569=1,Sales_Daily!$S48,"")</f>
        <v/>
      </c>
      <c r="P569" s="32">
        <f>IF($A569=1,IF(Sales_Daily!$AW48="","",Sales_Daily!$AW48),"")</f>
        <v/>
      </c>
      <c r="Q569" s="32">
        <f>IF($A569=1,Sales_Daily!$AY48,"")</f>
        <v/>
      </c>
      <c r="R569" s="32">
        <f>IF($A569=1,IF(AND($Q569=1,COUNTIFS(COA!$A:$A,$G569,COA!$R:$R,1)=1),1,0),"")</f>
        <v/>
      </c>
      <c r="S569" s="43">
        <f>IF($A569=1,IF($R569=1,N($M569),0),"")</f>
        <v/>
      </c>
      <c r="T569" s="43">
        <f>IF($A569=1,IF($R569=1,N($N569),0),"")</f>
        <v/>
      </c>
      <c r="U569" s="32">
        <f>IF($A569=1,YEAR($D569)*100+MONTH($D569),"")</f>
        <v/>
      </c>
      <c r="V569" s="32">
        <f>IF($A569=1,IF(COUNTIF(COA!$A:$A,$G569)=0,0,INDEX(COA!$H:$H,MATCH($G569,COA!$A:$A,0))),"")</f>
        <v/>
      </c>
      <c r="W569" s="32">
        <f>IF($A569=1,"OPERATING","")</f>
        <v/>
      </c>
      <c r="X569" s="32">
        <f>IF($A569=1,IF($R569=1,"",IF($O569=ST_POST,IF($P569&lt;&gt;"",$P569,"حساب غير صالح أو غير نشط"),IF($O569=ST_REV,"معكوس: لا أثر على الدفاتر",IF($O569=ST_CANC,"ملغى",IF($O569=ST_APPR,"معتمد ولم يُرحَّل","مسودة"))))),"")</f>
        <v/>
      </c>
      <c r="Y569" s="32">
        <f>IF($A569=1,IF(AND($R569=1,OR(LG_Acct="",$G569=LG_Acct),OR(LG_Party="",$K569=LG_Party),OR(LG_Loc="ALL",$I569=LG_Loc),OR(LG_CC="ALL",$J569=LG_CC),$D569&gt;=LG_From,$D569&lt;=LG_To),$D569+ROW()/1000000,""),"")</f>
        <v/>
      </c>
      <c r="Z569" s="32">
        <f>IF($A569=1,IF(Sales_Daily!$T48="","",Sales_Daily!$T48),"")</f>
        <v/>
      </c>
      <c r="AA569" s="32">
        <f>IF($A569=1,IF(Sales_Daily!$U48="","",Sales_Daily!$U48),"")</f>
        <v/>
      </c>
      <c r="AB569" s="32">
        <f>IF($A569=1,IF(Sales_Daily!$V48="","",Sales_Daily!$V48),"")</f>
        <v/>
      </c>
      <c r="AC569" s="32">
        <f>IF($A569=1,IF(Sales_Daily!$W48="","",Sales_Daily!$W48),"")</f>
        <v/>
      </c>
      <c r="AD569" s="32">
        <f>IF($A569=1,IF(Sales_Daily!$X48="","",Sales_Daily!$X48),"")</f>
        <v/>
      </c>
      <c r="AE569" s="32">
        <f>IF($A569=1,0,"")</f>
        <v/>
      </c>
      <c r="AF569" s="32" t="inlineStr"/>
    </row>
    <row r="570">
      <c r="A570" s="32">
        <f>IF(AND(Sales_Daily!$AV48=1,N(Sales_Daily!$AH48)&gt;0),1,0)</f>
        <v/>
      </c>
      <c r="B570" s="32">
        <f>IF($A570=1,$E570&amp;"/7","")</f>
        <v/>
      </c>
      <c r="C570" s="32">
        <f>IF($A570=1,"J-"&amp;Sales_Daily!$A48,"")</f>
        <v/>
      </c>
      <c r="D570" s="33">
        <f>IF($A570=1,Sales_Daily!$B48,"")</f>
        <v/>
      </c>
      <c r="E570" s="32">
        <f>IF($A570=1,IF(Sales_Daily!$A48="","",Sales_Daily!$A48),"")</f>
        <v/>
      </c>
      <c r="F570" s="32">
        <f>IF($A570=1,"SAL","")</f>
        <v/>
      </c>
      <c r="G570" s="32">
        <f>IF($A570=1,ACC_DISC,"")</f>
        <v/>
      </c>
      <c r="H570" s="32">
        <f>IF($A570=1,IF(COUNTIF(COA!$A:$A,$G570)=0,"حساب غير معرف",INDEX(COA!$B:$B,MATCH($G570,COA!$A:$A,0))),"")</f>
        <v/>
      </c>
      <c r="I570" s="32">
        <f>IF($A570=1,IF(Sales_Daily!$C48="","",Sales_Daily!$C48),"")</f>
        <v/>
      </c>
      <c r="J570" s="32">
        <f>IF($A570=1,"CC10","")</f>
        <v/>
      </c>
      <c r="K570" s="32">
        <f>IF($A570=1,"-","")</f>
        <v/>
      </c>
      <c r="L570" s="32">
        <f>IF($A570=1,"خصومات المبيعات والعروض","")</f>
        <v/>
      </c>
      <c r="M570" s="43">
        <f>IF($A570=1,Sales_Daily!$AH48,"")</f>
        <v/>
      </c>
      <c r="N570" s="43">
        <f>IF($A570=1,0,"")</f>
        <v/>
      </c>
      <c r="O570" s="32">
        <f>IF($A570=1,Sales_Daily!$S48,"")</f>
        <v/>
      </c>
      <c r="P570" s="32">
        <f>IF($A570=1,IF(Sales_Daily!$AW48="","",Sales_Daily!$AW48),"")</f>
        <v/>
      </c>
      <c r="Q570" s="32">
        <f>IF($A570=1,Sales_Daily!$AY48,"")</f>
        <v/>
      </c>
      <c r="R570" s="32">
        <f>IF($A570=1,IF(AND($Q570=1,COUNTIFS(COA!$A:$A,$G570,COA!$R:$R,1)=1),1,0),"")</f>
        <v/>
      </c>
      <c r="S570" s="43">
        <f>IF($A570=1,IF($R570=1,N($M570),0),"")</f>
        <v/>
      </c>
      <c r="T570" s="43">
        <f>IF($A570=1,IF($R570=1,N($N570),0),"")</f>
        <v/>
      </c>
      <c r="U570" s="32">
        <f>IF($A570=1,YEAR($D570)*100+MONTH($D570),"")</f>
        <v/>
      </c>
      <c r="V570" s="32">
        <f>IF($A570=1,IF(COUNTIF(COA!$A:$A,$G570)=0,0,INDEX(COA!$H:$H,MATCH($G570,COA!$A:$A,0))),"")</f>
        <v/>
      </c>
      <c r="W570" s="32">
        <f>IF($A570=1,"","")</f>
        <v/>
      </c>
      <c r="X570" s="32">
        <f>IF($A570=1,IF($R570=1,"",IF($O570=ST_POST,IF($P570&lt;&gt;"",$P570,"حساب غير صالح أو غير نشط"),IF($O570=ST_REV,"معكوس: لا أثر على الدفاتر",IF($O570=ST_CANC,"ملغى",IF($O570=ST_APPR,"معتمد ولم يُرحَّل","مسودة"))))),"")</f>
        <v/>
      </c>
      <c r="Y570" s="32">
        <f>IF($A570=1,IF(AND($R570=1,OR(LG_Acct="",$G570=LG_Acct),OR(LG_Party="",$K570=LG_Party),OR(LG_Loc="ALL",$I570=LG_Loc),OR(LG_CC="ALL",$J570=LG_CC),$D570&gt;=LG_From,$D570&lt;=LG_To),$D570+ROW()/1000000,""),"")</f>
        <v/>
      </c>
      <c r="Z570" s="32">
        <f>IF($A570=1,IF(Sales_Daily!$T48="","",Sales_Daily!$T48),"")</f>
        <v/>
      </c>
      <c r="AA570" s="32">
        <f>IF($A570=1,IF(Sales_Daily!$U48="","",Sales_Daily!$U48),"")</f>
        <v/>
      </c>
      <c r="AB570" s="32">
        <f>IF($A570=1,IF(Sales_Daily!$V48="","",Sales_Daily!$V48),"")</f>
        <v/>
      </c>
      <c r="AC570" s="32">
        <f>IF($A570=1,IF(Sales_Daily!$W48="","",Sales_Daily!$W48),"")</f>
        <v/>
      </c>
      <c r="AD570" s="32">
        <f>IF($A570=1,IF(Sales_Daily!$X48="","",Sales_Daily!$X48),"")</f>
        <v/>
      </c>
      <c r="AE570" s="32">
        <f>IF($A570=1,0,"")</f>
        <v/>
      </c>
      <c r="AF570" s="32" t="inlineStr"/>
    </row>
    <row r="571">
      <c r="A571" s="32">
        <f>IF(AND(Sales_Daily!$AV48=1,N(Sales_Daily!$AI48)&gt;0),1,0)</f>
        <v/>
      </c>
      <c r="B571" s="32">
        <f>IF($A571=1,$E571&amp;"/8","")</f>
        <v/>
      </c>
      <c r="C571" s="32">
        <f>IF($A571=1,"J-"&amp;Sales_Daily!$A48,"")</f>
        <v/>
      </c>
      <c r="D571" s="33">
        <f>IF($A571=1,Sales_Daily!$B48,"")</f>
        <v/>
      </c>
      <c r="E571" s="32">
        <f>IF($A571=1,IF(Sales_Daily!$A48="","",Sales_Daily!$A48),"")</f>
        <v/>
      </c>
      <c r="F571" s="32">
        <f>IF($A571=1,"SAL","")</f>
        <v/>
      </c>
      <c r="G571" s="32">
        <f>IF($A571=1,ACC_RET,"")</f>
        <v/>
      </c>
      <c r="H571" s="32">
        <f>IF($A571=1,IF(COUNTIF(COA!$A:$A,$G571)=0,"حساب غير معرف",INDEX(COA!$B:$B,MATCH($G571,COA!$A:$A,0))),"")</f>
        <v/>
      </c>
      <c r="I571" s="32">
        <f>IF($A571=1,IF(Sales_Daily!$C48="","",Sales_Daily!$C48),"")</f>
        <v/>
      </c>
      <c r="J571" s="32">
        <f>IF($A571=1,"CC10","")</f>
        <v/>
      </c>
      <c r="K571" s="32">
        <f>IF($A571=1,"-","")</f>
        <v/>
      </c>
      <c r="L571" s="32">
        <f>IF($A571=1,"مرتجعات وإلغاءات المبيعات","")</f>
        <v/>
      </c>
      <c r="M571" s="43">
        <f>IF($A571=1,Sales_Daily!$AI48,"")</f>
        <v/>
      </c>
      <c r="N571" s="43">
        <f>IF($A571=1,0,"")</f>
        <v/>
      </c>
      <c r="O571" s="32">
        <f>IF($A571=1,Sales_Daily!$S48,"")</f>
        <v/>
      </c>
      <c r="P571" s="32">
        <f>IF($A571=1,IF(Sales_Daily!$AW48="","",Sales_Daily!$AW48),"")</f>
        <v/>
      </c>
      <c r="Q571" s="32">
        <f>IF($A571=1,Sales_Daily!$AY48,"")</f>
        <v/>
      </c>
      <c r="R571" s="32">
        <f>IF($A571=1,IF(AND($Q571=1,COUNTIFS(COA!$A:$A,$G571,COA!$R:$R,1)=1),1,0),"")</f>
        <v/>
      </c>
      <c r="S571" s="43">
        <f>IF($A571=1,IF($R571=1,N($M571),0),"")</f>
        <v/>
      </c>
      <c r="T571" s="43">
        <f>IF($A571=1,IF($R571=1,N($N571),0),"")</f>
        <v/>
      </c>
      <c r="U571" s="32">
        <f>IF($A571=1,YEAR($D571)*100+MONTH($D571),"")</f>
        <v/>
      </c>
      <c r="V571" s="32">
        <f>IF($A571=1,IF(COUNTIF(COA!$A:$A,$G571)=0,0,INDEX(COA!$H:$H,MATCH($G571,COA!$A:$A,0))),"")</f>
        <v/>
      </c>
      <c r="W571" s="32">
        <f>IF($A571=1,"","")</f>
        <v/>
      </c>
      <c r="X571" s="32">
        <f>IF($A571=1,IF($R571=1,"",IF($O571=ST_POST,IF($P571&lt;&gt;"",$P571,"حساب غير صالح أو غير نشط"),IF($O571=ST_REV,"معكوس: لا أثر على الدفاتر",IF($O571=ST_CANC,"ملغى",IF($O571=ST_APPR,"معتمد ولم يُرحَّل","مسودة"))))),"")</f>
        <v/>
      </c>
      <c r="Y571" s="32">
        <f>IF($A571=1,IF(AND($R571=1,OR(LG_Acct="",$G571=LG_Acct),OR(LG_Party="",$K571=LG_Party),OR(LG_Loc="ALL",$I571=LG_Loc),OR(LG_CC="ALL",$J571=LG_CC),$D571&gt;=LG_From,$D571&lt;=LG_To),$D571+ROW()/1000000,""),"")</f>
        <v/>
      </c>
      <c r="Z571" s="32">
        <f>IF($A571=1,IF(Sales_Daily!$T48="","",Sales_Daily!$T48),"")</f>
        <v/>
      </c>
      <c r="AA571" s="32">
        <f>IF($A571=1,IF(Sales_Daily!$U48="","",Sales_Daily!$U48),"")</f>
        <v/>
      </c>
      <c r="AB571" s="32">
        <f>IF($A571=1,IF(Sales_Daily!$V48="","",Sales_Daily!$V48),"")</f>
        <v/>
      </c>
      <c r="AC571" s="32">
        <f>IF($A571=1,IF(Sales_Daily!$W48="","",Sales_Daily!$W48),"")</f>
        <v/>
      </c>
      <c r="AD571" s="32">
        <f>IF($A571=1,IF(Sales_Daily!$X48="","",Sales_Daily!$X48),"")</f>
        <v/>
      </c>
      <c r="AE571" s="32">
        <f>IF($A571=1,0,"")</f>
        <v/>
      </c>
      <c r="AF571" s="32" t="inlineStr"/>
    </row>
    <row r="572">
      <c r="A572" s="32">
        <f>IF(AND(Sales_Daily!$AV48=1,N(Sales_Daily!$AD48)&gt;0),1,0)</f>
        <v/>
      </c>
      <c r="B572" s="32">
        <f>IF($A572=1,$E572&amp;"/9","")</f>
        <v/>
      </c>
      <c r="C572" s="32">
        <f>IF($A572=1,"J-"&amp;Sales_Daily!$A48,"")</f>
        <v/>
      </c>
      <c r="D572" s="33">
        <f>IF($A572=1,Sales_Daily!$B48,"")</f>
        <v/>
      </c>
      <c r="E572" s="32">
        <f>IF($A572=1,IF(Sales_Daily!$A48="","",Sales_Daily!$A48),"")</f>
        <v/>
      </c>
      <c r="F572" s="32">
        <f>IF($A572=1,"SAL","")</f>
        <v/>
      </c>
      <c r="G572" s="32">
        <f>IF($A572=1,IF(Sales_Daily!$AQ48="","",Sales_Daily!$AQ48),"")</f>
        <v/>
      </c>
      <c r="H572" s="32">
        <f>IF($A572=1,IF(COUNTIF(COA!$A:$A,$G572)=0,"حساب غير معرف",INDEX(COA!$B:$B,MATCH($G572,COA!$A:$A,0))),"")</f>
        <v/>
      </c>
      <c r="I572" s="32">
        <f>IF($A572=1,IF(Sales_Daily!$C48="","",Sales_Daily!$C48),"")</f>
        <v/>
      </c>
      <c r="J572" s="32">
        <f>IF($A572=1,"CC10","")</f>
        <v/>
      </c>
      <c r="K572" s="32">
        <f>IF($A572=1,"-","")</f>
        <v/>
      </c>
      <c r="L572" s="32">
        <f>IF($A572=1,"إيراد مبيعات - فئة فطير","")</f>
        <v/>
      </c>
      <c r="M572" s="43">
        <f>IF($A572=1,0,"")</f>
        <v/>
      </c>
      <c r="N572" s="43">
        <f>IF($A572=1,Sales_Daily!$AD48,"")</f>
        <v/>
      </c>
      <c r="O572" s="32">
        <f>IF($A572=1,Sales_Daily!$S48,"")</f>
        <v/>
      </c>
      <c r="P572" s="32">
        <f>IF($A572=1,IF(Sales_Daily!$AW48="","",Sales_Daily!$AW48),"")</f>
        <v/>
      </c>
      <c r="Q572" s="32">
        <f>IF($A572=1,Sales_Daily!$AY48,"")</f>
        <v/>
      </c>
      <c r="R572" s="32">
        <f>IF($A572=1,IF(AND($Q572=1,COUNTIFS(COA!$A:$A,$G572,COA!$R:$R,1)=1),1,0),"")</f>
        <v/>
      </c>
      <c r="S572" s="43">
        <f>IF($A572=1,IF($R572=1,N($M572),0),"")</f>
        <v/>
      </c>
      <c r="T572" s="43">
        <f>IF($A572=1,IF($R572=1,N($N572),0),"")</f>
        <v/>
      </c>
      <c r="U572" s="32">
        <f>IF($A572=1,YEAR($D572)*100+MONTH($D572),"")</f>
        <v/>
      </c>
      <c r="V572" s="32">
        <f>IF($A572=1,IF(COUNTIF(COA!$A:$A,$G572)=0,0,INDEX(COA!$H:$H,MATCH($G572,COA!$A:$A,0))),"")</f>
        <v/>
      </c>
      <c r="W572" s="32">
        <f>IF($A572=1,"","")</f>
        <v/>
      </c>
      <c r="X572" s="32">
        <f>IF($A572=1,IF($R572=1,"",IF($O572=ST_POST,IF($P572&lt;&gt;"",$P572,"حساب غير صالح أو غير نشط"),IF($O572=ST_REV,"معكوس: لا أثر على الدفاتر",IF($O572=ST_CANC,"ملغى",IF($O572=ST_APPR,"معتمد ولم يُرحَّل","مسودة"))))),"")</f>
        <v/>
      </c>
      <c r="Y572" s="32">
        <f>IF($A572=1,IF(AND($R572=1,OR(LG_Acct="",$G572=LG_Acct),OR(LG_Party="",$K572=LG_Party),OR(LG_Loc="ALL",$I572=LG_Loc),OR(LG_CC="ALL",$J572=LG_CC),$D572&gt;=LG_From,$D572&lt;=LG_To),$D572+ROW()/1000000,""),"")</f>
        <v/>
      </c>
      <c r="Z572" s="32">
        <f>IF($A572=1,IF(Sales_Daily!$T48="","",Sales_Daily!$T48),"")</f>
        <v/>
      </c>
      <c r="AA572" s="32">
        <f>IF($A572=1,IF(Sales_Daily!$U48="","",Sales_Daily!$U48),"")</f>
        <v/>
      </c>
      <c r="AB572" s="32">
        <f>IF($A572=1,IF(Sales_Daily!$V48="","",Sales_Daily!$V48),"")</f>
        <v/>
      </c>
      <c r="AC572" s="32">
        <f>IF($A572=1,IF(Sales_Daily!$W48="","",Sales_Daily!$W48),"")</f>
        <v/>
      </c>
      <c r="AD572" s="32">
        <f>IF($A572=1,IF(Sales_Daily!$X48="","",Sales_Daily!$X48),"")</f>
        <v/>
      </c>
      <c r="AE572" s="32">
        <f>IF($A572=1,0,"")</f>
        <v/>
      </c>
      <c r="AF572" s="32" t="inlineStr"/>
    </row>
    <row r="573">
      <c r="A573" s="32">
        <f>IF(AND(Sales_Daily!$AV48=1,N(Sales_Daily!$AE48)&gt;0),1,0)</f>
        <v/>
      </c>
      <c r="B573" s="32">
        <f>IF($A573=1,$E573&amp;"/10","")</f>
        <v/>
      </c>
      <c r="C573" s="32">
        <f>IF($A573=1,"J-"&amp;Sales_Daily!$A48,"")</f>
        <v/>
      </c>
      <c r="D573" s="33">
        <f>IF($A573=1,Sales_Daily!$B48,"")</f>
        <v/>
      </c>
      <c r="E573" s="32">
        <f>IF($A573=1,IF(Sales_Daily!$A48="","",Sales_Daily!$A48),"")</f>
        <v/>
      </c>
      <c r="F573" s="32">
        <f>IF($A573=1,"SAL","")</f>
        <v/>
      </c>
      <c r="G573" s="32">
        <f>IF($A573=1,IF(Sales_Daily!$AR48="","",Sales_Daily!$AR48),"")</f>
        <v/>
      </c>
      <c r="H573" s="32">
        <f>IF($A573=1,IF(COUNTIF(COA!$A:$A,$G573)=0,"حساب غير معرف",INDEX(COA!$B:$B,MATCH($G573,COA!$A:$A,0))),"")</f>
        <v/>
      </c>
      <c r="I573" s="32">
        <f>IF($A573=1,IF(Sales_Daily!$C48="","",Sales_Daily!$C48),"")</f>
        <v/>
      </c>
      <c r="J573" s="32">
        <f>IF($A573=1,"CC10","")</f>
        <v/>
      </c>
      <c r="K573" s="32">
        <f>IF($A573=1,"-","")</f>
        <v/>
      </c>
      <c r="L573" s="32">
        <f>IF($A573=1,"إيراد مبيعات - فئة بيتزا","")</f>
        <v/>
      </c>
      <c r="M573" s="43">
        <f>IF($A573=1,0,"")</f>
        <v/>
      </c>
      <c r="N573" s="43">
        <f>IF($A573=1,Sales_Daily!$AE48,"")</f>
        <v/>
      </c>
      <c r="O573" s="32">
        <f>IF($A573=1,Sales_Daily!$S48,"")</f>
        <v/>
      </c>
      <c r="P573" s="32">
        <f>IF($A573=1,IF(Sales_Daily!$AW48="","",Sales_Daily!$AW48),"")</f>
        <v/>
      </c>
      <c r="Q573" s="32">
        <f>IF($A573=1,Sales_Daily!$AY48,"")</f>
        <v/>
      </c>
      <c r="R573" s="32">
        <f>IF($A573=1,IF(AND($Q573=1,COUNTIFS(COA!$A:$A,$G573,COA!$R:$R,1)=1),1,0),"")</f>
        <v/>
      </c>
      <c r="S573" s="43">
        <f>IF($A573=1,IF($R573=1,N($M573),0),"")</f>
        <v/>
      </c>
      <c r="T573" s="43">
        <f>IF($A573=1,IF($R573=1,N($N573),0),"")</f>
        <v/>
      </c>
      <c r="U573" s="32">
        <f>IF($A573=1,YEAR($D573)*100+MONTH($D573),"")</f>
        <v/>
      </c>
      <c r="V573" s="32">
        <f>IF($A573=1,IF(COUNTIF(COA!$A:$A,$G573)=0,0,INDEX(COA!$H:$H,MATCH($G573,COA!$A:$A,0))),"")</f>
        <v/>
      </c>
      <c r="W573" s="32">
        <f>IF($A573=1,"","")</f>
        <v/>
      </c>
      <c r="X573" s="32">
        <f>IF($A573=1,IF($R573=1,"",IF($O573=ST_POST,IF($P573&lt;&gt;"",$P573,"حساب غير صالح أو غير نشط"),IF($O573=ST_REV,"معكوس: لا أثر على الدفاتر",IF($O573=ST_CANC,"ملغى",IF($O573=ST_APPR,"معتمد ولم يُرحَّل","مسودة"))))),"")</f>
        <v/>
      </c>
      <c r="Y573" s="32">
        <f>IF($A573=1,IF(AND($R573=1,OR(LG_Acct="",$G573=LG_Acct),OR(LG_Party="",$K573=LG_Party),OR(LG_Loc="ALL",$I573=LG_Loc),OR(LG_CC="ALL",$J573=LG_CC),$D573&gt;=LG_From,$D573&lt;=LG_To),$D573+ROW()/1000000,""),"")</f>
        <v/>
      </c>
      <c r="Z573" s="32">
        <f>IF($A573=1,IF(Sales_Daily!$T48="","",Sales_Daily!$T48),"")</f>
        <v/>
      </c>
      <c r="AA573" s="32">
        <f>IF($A573=1,IF(Sales_Daily!$U48="","",Sales_Daily!$U48),"")</f>
        <v/>
      </c>
      <c r="AB573" s="32">
        <f>IF($A573=1,IF(Sales_Daily!$V48="","",Sales_Daily!$V48),"")</f>
        <v/>
      </c>
      <c r="AC573" s="32">
        <f>IF($A573=1,IF(Sales_Daily!$W48="","",Sales_Daily!$W48),"")</f>
        <v/>
      </c>
      <c r="AD573" s="32">
        <f>IF($A573=1,IF(Sales_Daily!$X48="","",Sales_Daily!$X48),"")</f>
        <v/>
      </c>
      <c r="AE573" s="32">
        <f>IF($A573=1,0,"")</f>
        <v/>
      </c>
      <c r="AF573" s="32" t="inlineStr"/>
    </row>
    <row r="574">
      <c r="A574" s="32">
        <f>IF(AND(Sales_Daily!$AV48=1,N(Sales_Daily!$AF48)&gt;0),1,0)</f>
        <v/>
      </c>
      <c r="B574" s="32">
        <f>IF($A574=1,$E574&amp;"/11","")</f>
        <v/>
      </c>
      <c r="C574" s="32">
        <f>IF($A574=1,"J-"&amp;Sales_Daily!$A48,"")</f>
        <v/>
      </c>
      <c r="D574" s="33">
        <f>IF($A574=1,Sales_Daily!$B48,"")</f>
        <v/>
      </c>
      <c r="E574" s="32">
        <f>IF($A574=1,IF(Sales_Daily!$A48="","",Sales_Daily!$A48),"")</f>
        <v/>
      </c>
      <c r="F574" s="32">
        <f>IF($A574=1,"SAL","")</f>
        <v/>
      </c>
      <c r="G574" s="32">
        <f>IF($A574=1,IF(Sales_Daily!$AS48="","",Sales_Daily!$AS48),"")</f>
        <v/>
      </c>
      <c r="H574" s="32">
        <f>IF($A574=1,IF(COUNTIF(COA!$A:$A,$G574)=0,"حساب غير معرف",INDEX(COA!$B:$B,MATCH($G574,COA!$A:$A,0))),"")</f>
        <v/>
      </c>
      <c r="I574" s="32">
        <f>IF($A574=1,IF(Sales_Daily!$C48="","",Sales_Daily!$C48),"")</f>
        <v/>
      </c>
      <c r="J574" s="32">
        <f>IF($A574=1,"CC10","")</f>
        <v/>
      </c>
      <c r="K574" s="32">
        <f>IF($A574=1,"-","")</f>
        <v/>
      </c>
      <c r="L574" s="32">
        <f>IF($A574=1,"إيراد مبيعات - فئة مكرونات","")</f>
        <v/>
      </c>
      <c r="M574" s="43">
        <f>IF($A574=1,0,"")</f>
        <v/>
      </c>
      <c r="N574" s="43">
        <f>IF($A574=1,Sales_Daily!$AF48,"")</f>
        <v/>
      </c>
      <c r="O574" s="32">
        <f>IF($A574=1,Sales_Daily!$S48,"")</f>
        <v/>
      </c>
      <c r="P574" s="32">
        <f>IF($A574=1,IF(Sales_Daily!$AW48="","",Sales_Daily!$AW48),"")</f>
        <v/>
      </c>
      <c r="Q574" s="32">
        <f>IF($A574=1,Sales_Daily!$AY48,"")</f>
        <v/>
      </c>
      <c r="R574" s="32">
        <f>IF($A574=1,IF(AND($Q574=1,COUNTIFS(COA!$A:$A,$G574,COA!$R:$R,1)=1),1,0),"")</f>
        <v/>
      </c>
      <c r="S574" s="43">
        <f>IF($A574=1,IF($R574=1,N($M574),0),"")</f>
        <v/>
      </c>
      <c r="T574" s="43">
        <f>IF($A574=1,IF($R574=1,N($N574),0),"")</f>
        <v/>
      </c>
      <c r="U574" s="32">
        <f>IF($A574=1,YEAR($D574)*100+MONTH($D574),"")</f>
        <v/>
      </c>
      <c r="V574" s="32">
        <f>IF($A574=1,IF(COUNTIF(COA!$A:$A,$G574)=0,0,INDEX(COA!$H:$H,MATCH($G574,COA!$A:$A,0))),"")</f>
        <v/>
      </c>
      <c r="W574" s="32">
        <f>IF($A574=1,"","")</f>
        <v/>
      </c>
      <c r="X574" s="32">
        <f>IF($A574=1,IF($R574=1,"",IF($O574=ST_POST,IF($P574&lt;&gt;"",$P574,"حساب غير صالح أو غير نشط"),IF($O574=ST_REV,"معكوس: لا أثر على الدفاتر",IF($O574=ST_CANC,"ملغى",IF($O574=ST_APPR,"معتمد ولم يُرحَّل","مسودة"))))),"")</f>
        <v/>
      </c>
      <c r="Y574" s="32">
        <f>IF($A574=1,IF(AND($R574=1,OR(LG_Acct="",$G574=LG_Acct),OR(LG_Party="",$K574=LG_Party),OR(LG_Loc="ALL",$I574=LG_Loc),OR(LG_CC="ALL",$J574=LG_CC),$D574&gt;=LG_From,$D574&lt;=LG_To),$D574+ROW()/1000000,""),"")</f>
        <v/>
      </c>
      <c r="Z574" s="32">
        <f>IF($A574=1,IF(Sales_Daily!$T48="","",Sales_Daily!$T48),"")</f>
        <v/>
      </c>
      <c r="AA574" s="32">
        <f>IF($A574=1,IF(Sales_Daily!$U48="","",Sales_Daily!$U48),"")</f>
        <v/>
      </c>
      <c r="AB574" s="32">
        <f>IF($A574=1,IF(Sales_Daily!$V48="","",Sales_Daily!$V48),"")</f>
        <v/>
      </c>
      <c r="AC574" s="32">
        <f>IF($A574=1,IF(Sales_Daily!$W48="","",Sales_Daily!$W48),"")</f>
        <v/>
      </c>
      <c r="AD574" s="32">
        <f>IF($A574=1,IF(Sales_Daily!$X48="","",Sales_Daily!$X48),"")</f>
        <v/>
      </c>
      <c r="AE574" s="32">
        <f>IF($A574=1,0,"")</f>
        <v/>
      </c>
      <c r="AF574" s="32" t="inlineStr"/>
    </row>
    <row r="575">
      <c r="A575" s="32">
        <f>IF(AND(Sales_Daily!$AV48=1,N(Sales_Daily!$AG48)&gt;0),1,0)</f>
        <v/>
      </c>
      <c r="B575" s="32">
        <f>IF($A575=1,$E575&amp;"/12","")</f>
        <v/>
      </c>
      <c r="C575" s="32">
        <f>IF($A575=1,"J-"&amp;Sales_Daily!$A48,"")</f>
        <v/>
      </c>
      <c r="D575" s="33">
        <f>IF($A575=1,Sales_Daily!$B48,"")</f>
        <v/>
      </c>
      <c r="E575" s="32">
        <f>IF($A575=1,IF(Sales_Daily!$A48="","",Sales_Daily!$A48),"")</f>
        <v/>
      </c>
      <c r="F575" s="32">
        <f>IF($A575=1,"SAL","")</f>
        <v/>
      </c>
      <c r="G575" s="32">
        <f>IF($A575=1,IF(Sales_Daily!$AT48="","",Sales_Daily!$AT48),"")</f>
        <v/>
      </c>
      <c r="H575" s="32">
        <f>IF($A575=1,IF(COUNTIF(COA!$A:$A,$G575)=0,"حساب غير معرف",INDEX(COA!$B:$B,MATCH($G575,COA!$A:$A,0))),"")</f>
        <v/>
      </c>
      <c r="I575" s="32">
        <f>IF($A575=1,IF(Sales_Daily!$C48="","",Sales_Daily!$C48),"")</f>
        <v/>
      </c>
      <c r="J575" s="32">
        <f>IF($A575=1,"CC10","")</f>
        <v/>
      </c>
      <c r="K575" s="32">
        <f>IF($A575=1,"-","")</f>
        <v/>
      </c>
      <c r="L575" s="32">
        <f>IF($A575=1,"إيراد مبيعات - فئة أخرى","")</f>
        <v/>
      </c>
      <c r="M575" s="43">
        <f>IF($A575=1,0,"")</f>
        <v/>
      </c>
      <c r="N575" s="43">
        <f>IF($A575=1,Sales_Daily!$AG48,"")</f>
        <v/>
      </c>
      <c r="O575" s="32">
        <f>IF($A575=1,Sales_Daily!$S48,"")</f>
        <v/>
      </c>
      <c r="P575" s="32">
        <f>IF($A575=1,IF(Sales_Daily!$AW48="","",Sales_Daily!$AW48),"")</f>
        <v/>
      </c>
      <c r="Q575" s="32">
        <f>IF($A575=1,Sales_Daily!$AY48,"")</f>
        <v/>
      </c>
      <c r="R575" s="32">
        <f>IF($A575=1,IF(AND($Q575=1,COUNTIFS(COA!$A:$A,$G575,COA!$R:$R,1)=1),1,0),"")</f>
        <v/>
      </c>
      <c r="S575" s="43">
        <f>IF($A575=1,IF($R575=1,N($M575),0),"")</f>
        <v/>
      </c>
      <c r="T575" s="43">
        <f>IF($A575=1,IF($R575=1,N($N575),0),"")</f>
        <v/>
      </c>
      <c r="U575" s="32">
        <f>IF($A575=1,YEAR($D575)*100+MONTH($D575),"")</f>
        <v/>
      </c>
      <c r="V575" s="32">
        <f>IF($A575=1,IF(COUNTIF(COA!$A:$A,$G575)=0,0,INDEX(COA!$H:$H,MATCH($G575,COA!$A:$A,0))),"")</f>
        <v/>
      </c>
      <c r="W575" s="32">
        <f>IF($A575=1,"","")</f>
        <v/>
      </c>
      <c r="X575" s="32">
        <f>IF($A575=1,IF($R575=1,"",IF($O575=ST_POST,IF($P575&lt;&gt;"",$P575,"حساب غير صالح أو غير نشط"),IF($O575=ST_REV,"معكوس: لا أثر على الدفاتر",IF($O575=ST_CANC,"ملغى",IF($O575=ST_APPR,"معتمد ولم يُرحَّل","مسودة"))))),"")</f>
        <v/>
      </c>
      <c r="Y575" s="32">
        <f>IF($A575=1,IF(AND($R575=1,OR(LG_Acct="",$G575=LG_Acct),OR(LG_Party="",$K575=LG_Party),OR(LG_Loc="ALL",$I575=LG_Loc),OR(LG_CC="ALL",$J575=LG_CC),$D575&gt;=LG_From,$D575&lt;=LG_To),$D575+ROW()/1000000,""),"")</f>
        <v/>
      </c>
      <c r="Z575" s="32">
        <f>IF($A575=1,IF(Sales_Daily!$T48="","",Sales_Daily!$T48),"")</f>
        <v/>
      </c>
      <c r="AA575" s="32">
        <f>IF($A575=1,IF(Sales_Daily!$U48="","",Sales_Daily!$U48),"")</f>
        <v/>
      </c>
      <c r="AB575" s="32">
        <f>IF($A575=1,IF(Sales_Daily!$V48="","",Sales_Daily!$V48),"")</f>
        <v/>
      </c>
      <c r="AC575" s="32">
        <f>IF($A575=1,IF(Sales_Daily!$W48="","",Sales_Daily!$W48),"")</f>
        <v/>
      </c>
      <c r="AD575" s="32">
        <f>IF($A575=1,IF(Sales_Daily!$X48="","",Sales_Daily!$X48),"")</f>
        <v/>
      </c>
      <c r="AE575" s="32">
        <f>IF($A575=1,0,"")</f>
        <v/>
      </c>
      <c r="AF575" s="32" t="inlineStr"/>
    </row>
    <row r="576">
      <c r="A576" s="32">
        <f>IF(AND(Sales_Daily!$AV48=1,N(Sales_Daily!$AJ48)&gt;0),1,0)</f>
        <v/>
      </c>
      <c r="B576" s="32">
        <f>IF($A576=1,$E576&amp;"/13","")</f>
        <v/>
      </c>
      <c r="C576" s="32">
        <f>IF($A576=1,"J-"&amp;Sales_Daily!$A48,"")</f>
        <v/>
      </c>
      <c r="D576" s="33">
        <f>IF($A576=1,Sales_Daily!$B48,"")</f>
        <v/>
      </c>
      <c r="E576" s="32">
        <f>IF($A576=1,IF(Sales_Daily!$A48="","",Sales_Daily!$A48),"")</f>
        <v/>
      </c>
      <c r="F576" s="32">
        <f>IF($A576=1,"SAL","")</f>
        <v/>
      </c>
      <c r="G576" s="32">
        <f>IF($A576=1,ACC_VAT_OUT,"")</f>
        <v/>
      </c>
      <c r="H576" s="32">
        <f>IF($A576=1,IF(COUNTIF(COA!$A:$A,$G576)=0,"حساب غير معرف",INDEX(COA!$B:$B,MATCH($G576,COA!$A:$A,0))),"")</f>
        <v/>
      </c>
      <c r="I576" s="32">
        <f>IF($A576=1,IF(Sales_Daily!$C48="","",Sales_Daily!$C48),"")</f>
        <v/>
      </c>
      <c r="J576" s="32">
        <f>IF($A576=1,"CC10","")</f>
        <v/>
      </c>
      <c r="K576" s="32">
        <f>IF($A576=1,"-","")</f>
        <v/>
      </c>
      <c r="L576" s="32">
        <f>IF($A576=1,"ضريبة القيمة المضافة - مخرجات","")</f>
        <v/>
      </c>
      <c r="M576" s="43">
        <f>IF($A576=1,0,"")</f>
        <v/>
      </c>
      <c r="N576" s="43">
        <f>IF($A576=1,Sales_Daily!$AJ48,"")</f>
        <v/>
      </c>
      <c r="O576" s="32">
        <f>IF($A576=1,Sales_Daily!$S48,"")</f>
        <v/>
      </c>
      <c r="P576" s="32">
        <f>IF($A576=1,IF(Sales_Daily!$AW48="","",Sales_Daily!$AW48),"")</f>
        <v/>
      </c>
      <c r="Q576" s="32">
        <f>IF($A576=1,Sales_Daily!$AY48,"")</f>
        <v/>
      </c>
      <c r="R576" s="32">
        <f>IF($A576=1,IF(AND($Q576=1,COUNTIFS(COA!$A:$A,$G576,COA!$R:$R,1)=1),1,0),"")</f>
        <v/>
      </c>
      <c r="S576" s="43">
        <f>IF($A576=1,IF($R576=1,N($M576),0),"")</f>
        <v/>
      </c>
      <c r="T576" s="43">
        <f>IF($A576=1,IF($R576=1,N($N576),0),"")</f>
        <v/>
      </c>
      <c r="U576" s="32">
        <f>IF($A576=1,YEAR($D576)*100+MONTH($D576),"")</f>
        <v/>
      </c>
      <c r="V576" s="32">
        <f>IF($A576=1,IF(COUNTIF(COA!$A:$A,$G576)=0,0,INDEX(COA!$H:$H,MATCH($G576,COA!$A:$A,0))),"")</f>
        <v/>
      </c>
      <c r="W576" s="32">
        <f>IF($A576=1,"","")</f>
        <v/>
      </c>
      <c r="X576" s="32">
        <f>IF($A576=1,IF($R576=1,"",IF($O576=ST_POST,IF($P576&lt;&gt;"",$P576,"حساب غير صالح أو غير نشط"),IF($O576=ST_REV,"معكوس: لا أثر على الدفاتر",IF($O576=ST_CANC,"ملغى",IF($O576=ST_APPR,"معتمد ولم يُرحَّل","مسودة"))))),"")</f>
        <v/>
      </c>
      <c r="Y576" s="32">
        <f>IF($A576=1,IF(AND($R576=1,OR(LG_Acct="",$G576=LG_Acct),OR(LG_Party="",$K576=LG_Party),OR(LG_Loc="ALL",$I576=LG_Loc),OR(LG_CC="ALL",$J576=LG_CC),$D576&gt;=LG_From,$D576&lt;=LG_To),$D576+ROW()/1000000,""),"")</f>
        <v/>
      </c>
      <c r="Z576" s="32">
        <f>IF($A576=1,IF(Sales_Daily!$T48="","",Sales_Daily!$T48),"")</f>
        <v/>
      </c>
      <c r="AA576" s="32">
        <f>IF($A576=1,IF(Sales_Daily!$U48="","",Sales_Daily!$U48),"")</f>
        <v/>
      </c>
      <c r="AB576" s="32">
        <f>IF($A576=1,IF(Sales_Daily!$V48="","",Sales_Daily!$V48),"")</f>
        <v/>
      </c>
      <c r="AC576" s="32">
        <f>IF($A576=1,IF(Sales_Daily!$W48="","",Sales_Daily!$W48),"")</f>
        <v/>
      </c>
      <c r="AD576" s="32">
        <f>IF($A576=1,IF(Sales_Daily!$X48="","",Sales_Daily!$X48),"")</f>
        <v/>
      </c>
      <c r="AE576" s="32">
        <f>IF($A576=1,0,"")</f>
        <v/>
      </c>
      <c r="AF576" s="32" t="inlineStr"/>
    </row>
    <row r="577">
      <c r="A577" s="32">
        <f>IF(AND(Sales_Daily!$AV49=1,N(Sales_Daily!$L49)&gt;0),1,0)</f>
        <v/>
      </c>
      <c r="B577" s="32">
        <f>IF($A577=1,$E577&amp;"/1","")</f>
        <v/>
      </c>
      <c r="C577" s="32">
        <f>IF($A577=1,"J-"&amp;Sales_Daily!$A49,"")</f>
        <v/>
      </c>
      <c r="D577" s="33">
        <f>IF($A577=1,Sales_Daily!$B49,"")</f>
        <v/>
      </c>
      <c r="E577" s="32">
        <f>IF($A577=1,IF(Sales_Daily!$A49="","",Sales_Daily!$A49),"")</f>
        <v/>
      </c>
      <c r="F577" s="32">
        <f>IF($A577=1,"SAL","")</f>
        <v/>
      </c>
      <c r="G577" s="32">
        <f>IF($A577=1,IF(Sales_Daily!$AK49="","",Sales_Daily!$AK49),"")</f>
        <v/>
      </c>
      <c r="H577" s="32">
        <f>IF($A577=1,IF(COUNTIF(COA!$A:$A,$G577)=0,"حساب غير معرف",INDEX(COA!$B:$B,MATCH($G577,COA!$A:$A,0))),"")</f>
        <v/>
      </c>
      <c r="I577" s="32">
        <f>IF($A577=1,IF(Sales_Daily!$C49="","",Sales_Daily!$C49),"")</f>
        <v/>
      </c>
      <c r="J577" s="32">
        <f>IF($A577=1,"CC10","")</f>
        <v/>
      </c>
      <c r="K577" s="32">
        <f>IF($A577=1,"-","")</f>
        <v/>
      </c>
      <c r="L577" s="32">
        <f>IF($A577=1,"مبيعات - تحصيل CASH","")</f>
        <v/>
      </c>
      <c r="M577" s="43">
        <f>IF($A577=1,Sales_Daily!$L49,"")</f>
        <v/>
      </c>
      <c r="N577" s="43">
        <f>IF($A577=1,0,"")</f>
        <v/>
      </c>
      <c r="O577" s="32">
        <f>IF($A577=1,Sales_Daily!$S49,"")</f>
        <v/>
      </c>
      <c r="P577" s="32">
        <f>IF($A577=1,IF(Sales_Daily!$AW49="","",Sales_Daily!$AW49),"")</f>
        <v/>
      </c>
      <c r="Q577" s="32">
        <f>IF($A577=1,Sales_Daily!$AY49,"")</f>
        <v/>
      </c>
      <c r="R577" s="32">
        <f>IF($A577=1,IF(AND($Q577=1,COUNTIFS(COA!$A:$A,$G577,COA!$R:$R,1)=1),1,0),"")</f>
        <v/>
      </c>
      <c r="S577" s="43">
        <f>IF($A577=1,IF($R577=1,N($M577),0),"")</f>
        <v/>
      </c>
      <c r="T577" s="43">
        <f>IF($A577=1,IF($R577=1,N($N577),0),"")</f>
        <v/>
      </c>
      <c r="U577" s="32">
        <f>IF($A577=1,YEAR($D577)*100+MONTH($D577),"")</f>
        <v/>
      </c>
      <c r="V577" s="32">
        <f>IF($A577=1,IF(COUNTIF(COA!$A:$A,$G577)=0,0,INDEX(COA!$H:$H,MATCH($G577,COA!$A:$A,0))),"")</f>
        <v/>
      </c>
      <c r="W577" s="32">
        <f>IF($A577=1,"OPERATING","")</f>
        <v/>
      </c>
      <c r="X577" s="32">
        <f>IF($A577=1,IF($R577=1,"",IF($O577=ST_POST,IF($P577&lt;&gt;"",$P577,"حساب غير صالح أو غير نشط"),IF($O577=ST_REV,"معكوس: لا أثر على الدفاتر",IF($O577=ST_CANC,"ملغى",IF($O577=ST_APPR,"معتمد ولم يُرحَّل","مسودة"))))),"")</f>
        <v/>
      </c>
      <c r="Y577" s="32">
        <f>IF($A577=1,IF(AND($R577=1,OR(LG_Acct="",$G577=LG_Acct),OR(LG_Party="",$K577=LG_Party),OR(LG_Loc="ALL",$I577=LG_Loc),OR(LG_CC="ALL",$J577=LG_CC),$D577&gt;=LG_From,$D577&lt;=LG_To),$D577+ROW()/1000000,""),"")</f>
        <v/>
      </c>
      <c r="Z577" s="32">
        <f>IF($A577=1,IF(Sales_Daily!$T49="","",Sales_Daily!$T49),"")</f>
        <v/>
      </c>
      <c r="AA577" s="32">
        <f>IF($A577=1,IF(Sales_Daily!$U49="","",Sales_Daily!$U49),"")</f>
        <v/>
      </c>
      <c r="AB577" s="32">
        <f>IF($A577=1,IF(Sales_Daily!$V49="","",Sales_Daily!$V49),"")</f>
        <v/>
      </c>
      <c r="AC577" s="32">
        <f>IF($A577=1,IF(Sales_Daily!$W49="","",Sales_Daily!$W49),"")</f>
        <v/>
      </c>
      <c r="AD577" s="32">
        <f>IF($A577=1,IF(Sales_Daily!$X49="","",Sales_Daily!$X49),"")</f>
        <v/>
      </c>
      <c r="AE577" s="32">
        <f>IF($A577=1,0,"")</f>
        <v/>
      </c>
      <c r="AF577" s="32" t="inlineStr"/>
    </row>
    <row r="578">
      <c r="A578" s="32">
        <f>IF(AND(Sales_Daily!$AV49=1,N(Sales_Daily!$M49)&gt;0),1,0)</f>
        <v/>
      </c>
      <c r="B578" s="32">
        <f>IF($A578=1,$E578&amp;"/2","")</f>
        <v/>
      </c>
      <c r="C578" s="32">
        <f>IF($A578=1,"J-"&amp;Sales_Daily!$A49,"")</f>
        <v/>
      </c>
      <c r="D578" s="33">
        <f>IF($A578=1,Sales_Daily!$B49,"")</f>
        <v/>
      </c>
      <c r="E578" s="32">
        <f>IF($A578=1,IF(Sales_Daily!$A49="","",Sales_Daily!$A49),"")</f>
        <v/>
      </c>
      <c r="F578" s="32">
        <f>IF($A578=1,"SAL","")</f>
        <v/>
      </c>
      <c r="G578" s="32">
        <f>IF($A578=1,IF(Sales_Daily!$AL49="","",Sales_Daily!$AL49),"")</f>
        <v/>
      </c>
      <c r="H578" s="32">
        <f>IF($A578=1,IF(COUNTIF(COA!$A:$A,$G578)=0,"حساب غير معرف",INDEX(COA!$B:$B,MATCH($G578,COA!$A:$A,0))),"")</f>
        <v/>
      </c>
      <c r="I578" s="32">
        <f>IF($A578=1,IF(Sales_Daily!$C49="","",Sales_Daily!$C49),"")</f>
        <v/>
      </c>
      <c r="J578" s="32">
        <f>IF($A578=1,"CC10","")</f>
        <v/>
      </c>
      <c r="K578" s="32">
        <f>IF($A578=1,"-","")</f>
        <v/>
      </c>
      <c r="L578" s="32">
        <f>IF($A578=1,"مبيعات - تحصيل CARD","")</f>
        <v/>
      </c>
      <c r="M578" s="43">
        <f>IF($A578=1,Sales_Daily!$M49,"")</f>
        <v/>
      </c>
      <c r="N578" s="43">
        <f>IF($A578=1,0,"")</f>
        <v/>
      </c>
      <c r="O578" s="32">
        <f>IF($A578=1,Sales_Daily!$S49,"")</f>
        <v/>
      </c>
      <c r="P578" s="32">
        <f>IF($A578=1,IF(Sales_Daily!$AW49="","",Sales_Daily!$AW49),"")</f>
        <v/>
      </c>
      <c r="Q578" s="32">
        <f>IF($A578=1,Sales_Daily!$AY49,"")</f>
        <v/>
      </c>
      <c r="R578" s="32">
        <f>IF($A578=1,IF(AND($Q578=1,COUNTIFS(COA!$A:$A,$G578,COA!$R:$R,1)=1),1,0),"")</f>
        <v/>
      </c>
      <c r="S578" s="43">
        <f>IF($A578=1,IF($R578=1,N($M578),0),"")</f>
        <v/>
      </c>
      <c r="T578" s="43">
        <f>IF($A578=1,IF($R578=1,N($N578),0),"")</f>
        <v/>
      </c>
      <c r="U578" s="32">
        <f>IF($A578=1,YEAR($D578)*100+MONTH($D578),"")</f>
        <v/>
      </c>
      <c r="V578" s="32">
        <f>IF($A578=1,IF(COUNTIF(COA!$A:$A,$G578)=0,0,INDEX(COA!$H:$H,MATCH($G578,COA!$A:$A,0))),"")</f>
        <v/>
      </c>
      <c r="W578" s="32">
        <f>IF($A578=1,"OPERATING","")</f>
        <v/>
      </c>
      <c r="X578" s="32">
        <f>IF($A578=1,IF($R578=1,"",IF($O578=ST_POST,IF($P578&lt;&gt;"",$P578,"حساب غير صالح أو غير نشط"),IF($O578=ST_REV,"معكوس: لا أثر على الدفاتر",IF($O578=ST_CANC,"ملغى",IF($O578=ST_APPR,"معتمد ولم يُرحَّل","مسودة"))))),"")</f>
        <v/>
      </c>
      <c r="Y578" s="32">
        <f>IF($A578=1,IF(AND($R578=1,OR(LG_Acct="",$G578=LG_Acct),OR(LG_Party="",$K578=LG_Party),OR(LG_Loc="ALL",$I578=LG_Loc),OR(LG_CC="ALL",$J578=LG_CC),$D578&gt;=LG_From,$D578&lt;=LG_To),$D578+ROW()/1000000,""),"")</f>
        <v/>
      </c>
      <c r="Z578" s="32">
        <f>IF($A578=1,IF(Sales_Daily!$T49="","",Sales_Daily!$T49),"")</f>
        <v/>
      </c>
      <c r="AA578" s="32">
        <f>IF($A578=1,IF(Sales_Daily!$U49="","",Sales_Daily!$U49),"")</f>
        <v/>
      </c>
      <c r="AB578" s="32">
        <f>IF($A578=1,IF(Sales_Daily!$V49="","",Sales_Daily!$V49),"")</f>
        <v/>
      </c>
      <c r="AC578" s="32">
        <f>IF($A578=1,IF(Sales_Daily!$W49="","",Sales_Daily!$W49),"")</f>
        <v/>
      </c>
      <c r="AD578" s="32">
        <f>IF($A578=1,IF(Sales_Daily!$X49="","",Sales_Daily!$X49),"")</f>
        <v/>
      </c>
      <c r="AE578" s="32">
        <f>IF($A578=1,0,"")</f>
        <v/>
      </c>
      <c r="AF578" s="32" t="inlineStr"/>
    </row>
    <row r="579">
      <c r="A579" s="32">
        <f>IF(AND(Sales_Daily!$AV49=1,N(Sales_Daily!$N49)&gt;0),1,0)</f>
        <v/>
      </c>
      <c r="B579" s="32">
        <f>IF($A579=1,$E579&amp;"/3","")</f>
        <v/>
      </c>
      <c r="C579" s="32">
        <f>IF($A579=1,"J-"&amp;Sales_Daily!$A49,"")</f>
        <v/>
      </c>
      <c r="D579" s="33">
        <f>IF($A579=1,Sales_Daily!$B49,"")</f>
        <v/>
      </c>
      <c r="E579" s="32">
        <f>IF($A579=1,IF(Sales_Daily!$A49="","",Sales_Daily!$A49),"")</f>
        <v/>
      </c>
      <c r="F579" s="32">
        <f>IF($A579=1,"SAL","")</f>
        <v/>
      </c>
      <c r="G579" s="32">
        <f>IF($A579=1,IF(Sales_Daily!$AM49="","",Sales_Daily!$AM49),"")</f>
        <v/>
      </c>
      <c r="H579" s="32">
        <f>IF($A579=1,IF(COUNTIF(COA!$A:$A,$G579)=0,"حساب غير معرف",INDEX(COA!$B:$B,MATCH($G579,COA!$A:$A,0))),"")</f>
        <v/>
      </c>
      <c r="I579" s="32">
        <f>IF($A579=1,IF(Sales_Daily!$C49="","",Sales_Daily!$C49),"")</f>
        <v/>
      </c>
      <c r="J579" s="32">
        <f>IF($A579=1,"CC10","")</f>
        <v/>
      </c>
      <c r="K579" s="32">
        <f>IF($A579=1,"-","")</f>
        <v/>
      </c>
      <c r="L579" s="32">
        <f>IF($A579=1,"مبيعات - تحصيل TLB","")</f>
        <v/>
      </c>
      <c r="M579" s="43">
        <f>IF($A579=1,Sales_Daily!$N49,"")</f>
        <v/>
      </c>
      <c r="N579" s="43">
        <f>IF($A579=1,0,"")</f>
        <v/>
      </c>
      <c r="O579" s="32">
        <f>IF($A579=1,Sales_Daily!$S49,"")</f>
        <v/>
      </c>
      <c r="P579" s="32">
        <f>IF($A579=1,IF(Sales_Daily!$AW49="","",Sales_Daily!$AW49),"")</f>
        <v/>
      </c>
      <c r="Q579" s="32">
        <f>IF($A579=1,Sales_Daily!$AY49,"")</f>
        <v/>
      </c>
      <c r="R579" s="32">
        <f>IF($A579=1,IF(AND($Q579=1,COUNTIFS(COA!$A:$A,$G579,COA!$R:$R,1)=1),1,0),"")</f>
        <v/>
      </c>
      <c r="S579" s="43">
        <f>IF($A579=1,IF($R579=1,N($M579),0),"")</f>
        <v/>
      </c>
      <c r="T579" s="43">
        <f>IF($A579=1,IF($R579=1,N($N579),0),"")</f>
        <v/>
      </c>
      <c r="U579" s="32">
        <f>IF($A579=1,YEAR($D579)*100+MONTH($D579),"")</f>
        <v/>
      </c>
      <c r="V579" s="32">
        <f>IF($A579=1,IF(COUNTIF(COA!$A:$A,$G579)=0,0,INDEX(COA!$H:$H,MATCH($G579,COA!$A:$A,0))),"")</f>
        <v/>
      </c>
      <c r="W579" s="32">
        <f>IF($A579=1,"OPERATING","")</f>
        <v/>
      </c>
      <c r="X579" s="32">
        <f>IF($A579=1,IF($R579=1,"",IF($O579=ST_POST,IF($P579&lt;&gt;"",$P579,"حساب غير صالح أو غير نشط"),IF($O579=ST_REV,"معكوس: لا أثر على الدفاتر",IF($O579=ST_CANC,"ملغى",IF($O579=ST_APPR,"معتمد ولم يُرحَّل","مسودة"))))),"")</f>
        <v/>
      </c>
      <c r="Y579" s="32">
        <f>IF($A579=1,IF(AND($R579=1,OR(LG_Acct="",$G579=LG_Acct),OR(LG_Party="",$K579=LG_Party),OR(LG_Loc="ALL",$I579=LG_Loc),OR(LG_CC="ALL",$J579=LG_CC),$D579&gt;=LG_From,$D579&lt;=LG_To),$D579+ROW()/1000000,""),"")</f>
        <v/>
      </c>
      <c r="Z579" s="32">
        <f>IF($A579=1,IF(Sales_Daily!$T49="","",Sales_Daily!$T49),"")</f>
        <v/>
      </c>
      <c r="AA579" s="32">
        <f>IF($A579=1,IF(Sales_Daily!$U49="","",Sales_Daily!$U49),"")</f>
        <v/>
      </c>
      <c r="AB579" s="32">
        <f>IF($A579=1,IF(Sales_Daily!$V49="","",Sales_Daily!$V49),"")</f>
        <v/>
      </c>
      <c r="AC579" s="32">
        <f>IF($A579=1,IF(Sales_Daily!$W49="","",Sales_Daily!$W49),"")</f>
        <v/>
      </c>
      <c r="AD579" s="32">
        <f>IF($A579=1,IF(Sales_Daily!$X49="","",Sales_Daily!$X49),"")</f>
        <v/>
      </c>
      <c r="AE579" s="32">
        <f>IF($A579=1,0,"")</f>
        <v/>
      </c>
      <c r="AF579" s="32" t="inlineStr"/>
    </row>
    <row r="580">
      <c r="A580" s="32">
        <f>IF(AND(Sales_Daily!$AV49=1,N(Sales_Daily!$O49)&gt;0),1,0)</f>
        <v/>
      </c>
      <c r="B580" s="32">
        <f>IF($A580=1,$E580&amp;"/4","")</f>
        <v/>
      </c>
      <c r="C580" s="32">
        <f>IF($A580=1,"J-"&amp;Sales_Daily!$A49,"")</f>
        <v/>
      </c>
      <c r="D580" s="33">
        <f>IF($A580=1,Sales_Daily!$B49,"")</f>
        <v/>
      </c>
      <c r="E580" s="32">
        <f>IF($A580=1,IF(Sales_Daily!$A49="","",Sales_Daily!$A49),"")</f>
        <v/>
      </c>
      <c r="F580" s="32">
        <f>IF($A580=1,"SAL","")</f>
        <v/>
      </c>
      <c r="G580" s="32">
        <f>IF($A580=1,IF(Sales_Daily!$AN49="","",Sales_Daily!$AN49),"")</f>
        <v/>
      </c>
      <c r="H580" s="32">
        <f>IF($A580=1,IF(COUNTIF(COA!$A:$A,$G580)=0,"حساب غير معرف",INDEX(COA!$B:$B,MATCH($G580,COA!$A:$A,0))),"")</f>
        <v/>
      </c>
      <c r="I580" s="32">
        <f>IF($A580=1,IF(Sales_Daily!$C49="","",Sales_Daily!$C49),"")</f>
        <v/>
      </c>
      <c r="J580" s="32">
        <f>IF($A580=1,"CC10","")</f>
        <v/>
      </c>
      <c r="K580" s="32">
        <f>IF($A580=1,"-","")</f>
        <v/>
      </c>
      <c r="L580" s="32">
        <f>IF($A580=1,"مبيعات - تحصيل DLV2","")</f>
        <v/>
      </c>
      <c r="M580" s="43">
        <f>IF($A580=1,Sales_Daily!$O49,"")</f>
        <v/>
      </c>
      <c r="N580" s="43">
        <f>IF($A580=1,0,"")</f>
        <v/>
      </c>
      <c r="O580" s="32">
        <f>IF($A580=1,Sales_Daily!$S49,"")</f>
        <v/>
      </c>
      <c r="P580" s="32">
        <f>IF($A580=1,IF(Sales_Daily!$AW49="","",Sales_Daily!$AW49),"")</f>
        <v/>
      </c>
      <c r="Q580" s="32">
        <f>IF($A580=1,Sales_Daily!$AY49,"")</f>
        <v/>
      </c>
      <c r="R580" s="32">
        <f>IF($A580=1,IF(AND($Q580=1,COUNTIFS(COA!$A:$A,$G580,COA!$R:$R,1)=1),1,0),"")</f>
        <v/>
      </c>
      <c r="S580" s="43">
        <f>IF($A580=1,IF($R580=1,N($M580),0),"")</f>
        <v/>
      </c>
      <c r="T580" s="43">
        <f>IF($A580=1,IF($R580=1,N($N580),0),"")</f>
        <v/>
      </c>
      <c r="U580" s="32">
        <f>IF($A580=1,YEAR($D580)*100+MONTH($D580),"")</f>
        <v/>
      </c>
      <c r="V580" s="32">
        <f>IF($A580=1,IF(COUNTIF(COA!$A:$A,$G580)=0,0,INDEX(COA!$H:$H,MATCH($G580,COA!$A:$A,0))),"")</f>
        <v/>
      </c>
      <c r="W580" s="32">
        <f>IF($A580=1,"OPERATING","")</f>
        <v/>
      </c>
      <c r="X580" s="32">
        <f>IF($A580=1,IF($R580=1,"",IF($O580=ST_POST,IF($P580&lt;&gt;"",$P580,"حساب غير صالح أو غير نشط"),IF($O580=ST_REV,"معكوس: لا أثر على الدفاتر",IF($O580=ST_CANC,"ملغى",IF($O580=ST_APPR,"معتمد ولم يُرحَّل","مسودة"))))),"")</f>
        <v/>
      </c>
      <c r="Y580" s="32">
        <f>IF($A580=1,IF(AND($R580=1,OR(LG_Acct="",$G580=LG_Acct),OR(LG_Party="",$K580=LG_Party),OR(LG_Loc="ALL",$I580=LG_Loc),OR(LG_CC="ALL",$J580=LG_CC),$D580&gt;=LG_From,$D580&lt;=LG_To),$D580+ROW()/1000000,""),"")</f>
        <v/>
      </c>
      <c r="Z580" s="32">
        <f>IF($A580=1,IF(Sales_Daily!$T49="","",Sales_Daily!$T49),"")</f>
        <v/>
      </c>
      <c r="AA580" s="32">
        <f>IF($A580=1,IF(Sales_Daily!$U49="","",Sales_Daily!$U49),"")</f>
        <v/>
      </c>
      <c r="AB580" s="32">
        <f>IF($A580=1,IF(Sales_Daily!$V49="","",Sales_Daily!$V49),"")</f>
        <v/>
      </c>
      <c r="AC580" s="32">
        <f>IF($A580=1,IF(Sales_Daily!$W49="","",Sales_Daily!$W49),"")</f>
        <v/>
      </c>
      <c r="AD580" s="32">
        <f>IF($A580=1,IF(Sales_Daily!$X49="","",Sales_Daily!$X49),"")</f>
        <v/>
      </c>
      <c r="AE580" s="32">
        <f>IF($A580=1,0,"")</f>
        <v/>
      </c>
      <c r="AF580" s="32" t="inlineStr"/>
    </row>
    <row r="581">
      <c r="A581" s="32">
        <f>IF(AND(Sales_Daily!$AV49=1,N(Sales_Daily!$P49)&gt;0),1,0)</f>
        <v/>
      </c>
      <c r="B581" s="32">
        <f>IF($A581=1,$E581&amp;"/5","")</f>
        <v/>
      </c>
      <c r="C581" s="32">
        <f>IF($A581=1,"J-"&amp;Sales_Daily!$A49,"")</f>
        <v/>
      </c>
      <c r="D581" s="33">
        <f>IF($A581=1,Sales_Daily!$B49,"")</f>
        <v/>
      </c>
      <c r="E581" s="32">
        <f>IF($A581=1,IF(Sales_Daily!$A49="","",Sales_Daily!$A49),"")</f>
        <v/>
      </c>
      <c r="F581" s="32">
        <f>IF($A581=1,"SAL","")</f>
        <v/>
      </c>
      <c r="G581" s="32">
        <f>IF($A581=1,IF(Sales_Daily!$AO49="","",Sales_Daily!$AO49),"")</f>
        <v/>
      </c>
      <c r="H581" s="32">
        <f>IF($A581=1,IF(COUNTIF(COA!$A:$A,$G581)=0,"حساب غير معرف",INDEX(COA!$B:$B,MATCH($G581,COA!$A:$A,0))),"")</f>
        <v/>
      </c>
      <c r="I581" s="32">
        <f>IF($A581=1,IF(Sales_Daily!$C49="","",Sales_Daily!$C49),"")</f>
        <v/>
      </c>
      <c r="J581" s="32">
        <f>IF($A581=1,"CC10","")</f>
        <v/>
      </c>
      <c r="K581" s="32">
        <f>IF($A581=1,"-","")</f>
        <v/>
      </c>
      <c r="L581" s="32">
        <f>IF($A581=1,"مبيعات - تحصيل INSTA","")</f>
        <v/>
      </c>
      <c r="M581" s="43">
        <f>IF($A581=1,Sales_Daily!$P49,"")</f>
        <v/>
      </c>
      <c r="N581" s="43">
        <f>IF($A581=1,0,"")</f>
        <v/>
      </c>
      <c r="O581" s="32">
        <f>IF($A581=1,Sales_Daily!$S49,"")</f>
        <v/>
      </c>
      <c r="P581" s="32">
        <f>IF($A581=1,IF(Sales_Daily!$AW49="","",Sales_Daily!$AW49),"")</f>
        <v/>
      </c>
      <c r="Q581" s="32">
        <f>IF($A581=1,Sales_Daily!$AY49,"")</f>
        <v/>
      </c>
      <c r="R581" s="32">
        <f>IF($A581=1,IF(AND($Q581=1,COUNTIFS(COA!$A:$A,$G581,COA!$R:$R,1)=1),1,0),"")</f>
        <v/>
      </c>
      <c r="S581" s="43">
        <f>IF($A581=1,IF($R581=1,N($M581),0),"")</f>
        <v/>
      </c>
      <c r="T581" s="43">
        <f>IF($A581=1,IF($R581=1,N($N581),0),"")</f>
        <v/>
      </c>
      <c r="U581" s="32">
        <f>IF($A581=1,YEAR($D581)*100+MONTH($D581),"")</f>
        <v/>
      </c>
      <c r="V581" s="32">
        <f>IF($A581=1,IF(COUNTIF(COA!$A:$A,$G581)=0,0,INDEX(COA!$H:$H,MATCH($G581,COA!$A:$A,0))),"")</f>
        <v/>
      </c>
      <c r="W581" s="32">
        <f>IF($A581=1,"OPERATING","")</f>
        <v/>
      </c>
      <c r="X581" s="32">
        <f>IF($A581=1,IF($R581=1,"",IF($O581=ST_POST,IF($P581&lt;&gt;"",$P581,"حساب غير صالح أو غير نشط"),IF($O581=ST_REV,"معكوس: لا أثر على الدفاتر",IF($O581=ST_CANC,"ملغى",IF($O581=ST_APPR,"معتمد ولم يُرحَّل","مسودة"))))),"")</f>
        <v/>
      </c>
      <c r="Y581" s="32">
        <f>IF($A581=1,IF(AND($R581=1,OR(LG_Acct="",$G581=LG_Acct),OR(LG_Party="",$K581=LG_Party),OR(LG_Loc="ALL",$I581=LG_Loc),OR(LG_CC="ALL",$J581=LG_CC),$D581&gt;=LG_From,$D581&lt;=LG_To),$D581+ROW()/1000000,""),"")</f>
        <v/>
      </c>
      <c r="Z581" s="32">
        <f>IF($A581=1,IF(Sales_Daily!$T49="","",Sales_Daily!$T49),"")</f>
        <v/>
      </c>
      <c r="AA581" s="32">
        <f>IF($A581=1,IF(Sales_Daily!$U49="","",Sales_Daily!$U49),"")</f>
        <v/>
      </c>
      <c r="AB581" s="32">
        <f>IF($A581=1,IF(Sales_Daily!$V49="","",Sales_Daily!$V49),"")</f>
        <v/>
      </c>
      <c r="AC581" s="32">
        <f>IF($A581=1,IF(Sales_Daily!$W49="","",Sales_Daily!$W49),"")</f>
        <v/>
      </c>
      <c r="AD581" s="32">
        <f>IF($A581=1,IF(Sales_Daily!$X49="","",Sales_Daily!$X49),"")</f>
        <v/>
      </c>
      <c r="AE581" s="32">
        <f>IF($A581=1,0,"")</f>
        <v/>
      </c>
      <c r="AF581" s="32" t="inlineStr"/>
    </row>
    <row r="582">
      <c r="A582" s="32">
        <f>IF(AND(Sales_Daily!$AV49=1,N(Sales_Daily!$Q49)&gt;0),1,0)</f>
        <v/>
      </c>
      <c r="B582" s="32">
        <f>IF($A582=1,$E582&amp;"/6","")</f>
        <v/>
      </c>
      <c r="C582" s="32">
        <f>IF($A582=1,"J-"&amp;Sales_Daily!$A49,"")</f>
        <v/>
      </c>
      <c r="D582" s="33">
        <f>IF($A582=1,Sales_Daily!$B49,"")</f>
        <v/>
      </c>
      <c r="E582" s="32">
        <f>IF($A582=1,IF(Sales_Daily!$A49="","",Sales_Daily!$A49),"")</f>
        <v/>
      </c>
      <c r="F582" s="32">
        <f>IF($A582=1,"SAL","")</f>
        <v/>
      </c>
      <c r="G582" s="32">
        <f>IF($A582=1,IF(Sales_Daily!$AP49="","",Sales_Daily!$AP49),"")</f>
        <v/>
      </c>
      <c r="H582" s="32">
        <f>IF($A582=1,IF(COUNTIF(COA!$A:$A,$G582)=0,"حساب غير معرف",INDEX(COA!$B:$B,MATCH($G582,COA!$A:$A,0))),"")</f>
        <v/>
      </c>
      <c r="I582" s="32">
        <f>IF($A582=1,IF(Sales_Daily!$C49="","",Sales_Daily!$C49),"")</f>
        <v/>
      </c>
      <c r="J582" s="32">
        <f>IF($A582=1,"CC10","")</f>
        <v/>
      </c>
      <c r="K582" s="32">
        <f>IF($A582=1,"-","")</f>
        <v/>
      </c>
      <c r="L582" s="32">
        <f>IF($A582=1,"مبيعات - تحصيل OTH","")</f>
        <v/>
      </c>
      <c r="M582" s="43">
        <f>IF($A582=1,Sales_Daily!$Q49,"")</f>
        <v/>
      </c>
      <c r="N582" s="43">
        <f>IF($A582=1,0,"")</f>
        <v/>
      </c>
      <c r="O582" s="32">
        <f>IF($A582=1,Sales_Daily!$S49,"")</f>
        <v/>
      </c>
      <c r="P582" s="32">
        <f>IF($A582=1,IF(Sales_Daily!$AW49="","",Sales_Daily!$AW49),"")</f>
        <v/>
      </c>
      <c r="Q582" s="32">
        <f>IF($A582=1,Sales_Daily!$AY49,"")</f>
        <v/>
      </c>
      <c r="R582" s="32">
        <f>IF($A582=1,IF(AND($Q582=1,COUNTIFS(COA!$A:$A,$G582,COA!$R:$R,1)=1),1,0),"")</f>
        <v/>
      </c>
      <c r="S582" s="43">
        <f>IF($A582=1,IF($R582=1,N($M582),0),"")</f>
        <v/>
      </c>
      <c r="T582" s="43">
        <f>IF($A582=1,IF($R582=1,N($N582),0),"")</f>
        <v/>
      </c>
      <c r="U582" s="32">
        <f>IF($A582=1,YEAR($D582)*100+MONTH($D582),"")</f>
        <v/>
      </c>
      <c r="V582" s="32">
        <f>IF($A582=1,IF(COUNTIF(COA!$A:$A,$G582)=0,0,INDEX(COA!$H:$H,MATCH($G582,COA!$A:$A,0))),"")</f>
        <v/>
      </c>
      <c r="W582" s="32">
        <f>IF($A582=1,"OPERATING","")</f>
        <v/>
      </c>
      <c r="X582" s="32">
        <f>IF($A582=1,IF($R582=1,"",IF($O582=ST_POST,IF($P582&lt;&gt;"",$P582,"حساب غير صالح أو غير نشط"),IF($O582=ST_REV,"معكوس: لا أثر على الدفاتر",IF($O582=ST_CANC,"ملغى",IF($O582=ST_APPR,"معتمد ولم يُرحَّل","مسودة"))))),"")</f>
        <v/>
      </c>
      <c r="Y582" s="32">
        <f>IF($A582=1,IF(AND($R582=1,OR(LG_Acct="",$G582=LG_Acct),OR(LG_Party="",$K582=LG_Party),OR(LG_Loc="ALL",$I582=LG_Loc),OR(LG_CC="ALL",$J582=LG_CC),$D582&gt;=LG_From,$D582&lt;=LG_To),$D582+ROW()/1000000,""),"")</f>
        <v/>
      </c>
      <c r="Z582" s="32">
        <f>IF($A582=1,IF(Sales_Daily!$T49="","",Sales_Daily!$T49),"")</f>
        <v/>
      </c>
      <c r="AA582" s="32">
        <f>IF($A582=1,IF(Sales_Daily!$U49="","",Sales_Daily!$U49),"")</f>
        <v/>
      </c>
      <c r="AB582" s="32">
        <f>IF($A582=1,IF(Sales_Daily!$V49="","",Sales_Daily!$V49),"")</f>
        <v/>
      </c>
      <c r="AC582" s="32">
        <f>IF($A582=1,IF(Sales_Daily!$W49="","",Sales_Daily!$W49),"")</f>
        <v/>
      </c>
      <c r="AD582" s="32">
        <f>IF($A582=1,IF(Sales_Daily!$X49="","",Sales_Daily!$X49),"")</f>
        <v/>
      </c>
      <c r="AE582" s="32">
        <f>IF($A582=1,0,"")</f>
        <v/>
      </c>
      <c r="AF582" s="32" t="inlineStr"/>
    </row>
    <row r="583">
      <c r="A583" s="32">
        <f>IF(AND(Sales_Daily!$AV49=1,N(Sales_Daily!$AH49)&gt;0),1,0)</f>
        <v/>
      </c>
      <c r="B583" s="32">
        <f>IF($A583=1,$E583&amp;"/7","")</f>
        <v/>
      </c>
      <c r="C583" s="32">
        <f>IF($A583=1,"J-"&amp;Sales_Daily!$A49,"")</f>
        <v/>
      </c>
      <c r="D583" s="33">
        <f>IF($A583=1,Sales_Daily!$B49,"")</f>
        <v/>
      </c>
      <c r="E583" s="32">
        <f>IF($A583=1,IF(Sales_Daily!$A49="","",Sales_Daily!$A49),"")</f>
        <v/>
      </c>
      <c r="F583" s="32">
        <f>IF($A583=1,"SAL","")</f>
        <v/>
      </c>
      <c r="G583" s="32">
        <f>IF($A583=1,ACC_DISC,"")</f>
        <v/>
      </c>
      <c r="H583" s="32">
        <f>IF($A583=1,IF(COUNTIF(COA!$A:$A,$G583)=0,"حساب غير معرف",INDEX(COA!$B:$B,MATCH($G583,COA!$A:$A,0))),"")</f>
        <v/>
      </c>
      <c r="I583" s="32">
        <f>IF($A583=1,IF(Sales_Daily!$C49="","",Sales_Daily!$C49),"")</f>
        <v/>
      </c>
      <c r="J583" s="32">
        <f>IF($A583=1,"CC10","")</f>
        <v/>
      </c>
      <c r="K583" s="32">
        <f>IF($A583=1,"-","")</f>
        <v/>
      </c>
      <c r="L583" s="32">
        <f>IF($A583=1,"خصومات المبيعات والعروض","")</f>
        <v/>
      </c>
      <c r="M583" s="43">
        <f>IF($A583=1,Sales_Daily!$AH49,"")</f>
        <v/>
      </c>
      <c r="N583" s="43">
        <f>IF($A583=1,0,"")</f>
        <v/>
      </c>
      <c r="O583" s="32">
        <f>IF($A583=1,Sales_Daily!$S49,"")</f>
        <v/>
      </c>
      <c r="P583" s="32">
        <f>IF($A583=1,IF(Sales_Daily!$AW49="","",Sales_Daily!$AW49),"")</f>
        <v/>
      </c>
      <c r="Q583" s="32">
        <f>IF($A583=1,Sales_Daily!$AY49,"")</f>
        <v/>
      </c>
      <c r="R583" s="32">
        <f>IF($A583=1,IF(AND($Q583=1,COUNTIFS(COA!$A:$A,$G583,COA!$R:$R,1)=1),1,0),"")</f>
        <v/>
      </c>
      <c r="S583" s="43">
        <f>IF($A583=1,IF($R583=1,N($M583),0),"")</f>
        <v/>
      </c>
      <c r="T583" s="43">
        <f>IF($A583=1,IF($R583=1,N($N583),0),"")</f>
        <v/>
      </c>
      <c r="U583" s="32">
        <f>IF($A583=1,YEAR($D583)*100+MONTH($D583),"")</f>
        <v/>
      </c>
      <c r="V583" s="32">
        <f>IF($A583=1,IF(COUNTIF(COA!$A:$A,$G583)=0,0,INDEX(COA!$H:$H,MATCH($G583,COA!$A:$A,0))),"")</f>
        <v/>
      </c>
      <c r="W583" s="32">
        <f>IF($A583=1,"","")</f>
        <v/>
      </c>
      <c r="X583" s="32">
        <f>IF($A583=1,IF($R583=1,"",IF($O583=ST_POST,IF($P583&lt;&gt;"",$P583,"حساب غير صالح أو غير نشط"),IF($O583=ST_REV,"معكوس: لا أثر على الدفاتر",IF($O583=ST_CANC,"ملغى",IF($O583=ST_APPR,"معتمد ولم يُرحَّل","مسودة"))))),"")</f>
        <v/>
      </c>
      <c r="Y583" s="32">
        <f>IF($A583=1,IF(AND($R583=1,OR(LG_Acct="",$G583=LG_Acct),OR(LG_Party="",$K583=LG_Party),OR(LG_Loc="ALL",$I583=LG_Loc),OR(LG_CC="ALL",$J583=LG_CC),$D583&gt;=LG_From,$D583&lt;=LG_To),$D583+ROW()/1000000,""),"")</f>
        <v/>
      </c>
      <c r="Z583" s="32">
        <f>IF($A583=1,IF(Sales_Daily!$T49="","",Sales_Daily!$T49),"")</f>
        <v/>
      </c>
      <c r="AA583" s="32">
        <f>IF($A583=1,IF(Sales_Daily!$U49="","",Sales_Daily!$U49),"")</f>
        <v/>
      </c>
      <c r="AB583" s="32">
        <f>IF($A583=1,IF(Sales_Daily!$V49="","",Sales_Daily!$V49),"")</f>
        <v/>
      </c>
      <c r="AC583" s="32">
        <f>IF($A583=1,IF(Sales_Daily!$W49="","",Sales_Daily!$W49),"")</f>
        <v/>
      </c>
      <c r="AD583" s="32">
        <f>IF($A583=1,IF(Sales_Daily!$X49="","",Sales_Daily!$X49),"")</f>
        <v/>
      </c>
      <c r="AE583" s="32">
        <f>IF($A583=1,0,"")</f>
        <v/>
      </c>
      <c r="AF583" s="32" t="inlineStr"/>
    </row>
    <row r="584">
      <c r="A584" s="32">
        <f>IF(AND(Sales_Daily!$AV49=1,N(Sales_Daily!$AI49)&gt;0),1,0)</f>
        <v/>
      </c>
      <c r="B584" s="32">
        <f>IF($A584=1,$E584&amp;"/8","")</f>
        <v/>
      </c>
      <c r="C584" s="32">
        <f>IF($A584=1,"J-"&amp;Sales_Daily!$A49,"")</f>
        <v/>
      </c>
      <c r="D584" s="33">
        <f>IF($A584=1,Sales_Daily!$B49,"")</f>
        <v/>
      </c>
      <c r="E584" s="32">
        <f>IF($A584=1,IF(Sales_Daily!$A49="","",Sales_Daily!$A49),"")</f>
        <v/>
      </c>
      <c r="F584" s="32">
        <f>IF($A584=1,"SAL","")</f>
        <v/>
      </c>
      <c r="G584" s="32">
        <f>IF($A584=1,ACC_RET,"")</f>
        <v/>
      </c>
      <c r="H584" s="32">
        <f>IF($A584=1,IF(COUNTIF(COA!$A:$A,$G584)=0,"حساب غير معرف",INDEX(COA!$B:$B,MATCH($G584,COA!$A:$A,0))),"")</f>
        <v/>
      </c>
      <c r="I584" s="32">
        <f>IF($A584=1,IF(Sales_Daily!$C49="","",Sales_Daily!$C49),"")</f>
        <v/>
      </c>
      <c r="J584" s="32">
        <f>IF($A584=1,"CC10","")</f>
        <v/>
      </c>
      <c r="K584" s="32">
        <f>IF($A584=1,"-","")</f>
        <v/>
      </c>
      <c r="L584" s="32">
        <f>IF($A584=1,"مرتجعات وإلغاءات المبيعات","")</f>
        <v/>
      </c>
      <c r="M584" s="43">
        <f>IF($A584=1,Sales_Daily!$AI49,"")</f>
        <v/>
      </c>
      <c r="N584" s="43">
        <f>IF($A584=1,0,"")</f>
        <v/>
      </c>
      <c r="O584" s="32">
        <f>IF($A584=1,Sales_Daily!$S49,"")</f>
        <v/>
      </c>
      <c r="P584" s="32">
        <f>IF($A584=1,IF(Sales_Daily!$AW49="","",Sales_Daily!$AW49),"")</f>
        <v/>
      </c>
      <c r="Q584" s="32">
        <f>IF($A584=1,Sales_Daily!$AY49,"")</f>
        <v/>
      </c>
      <c r="R584" s="32">
        <f>IF($A584=1,IF(AND($Q584=1,COUNTIFS(COA!$A:$A,$G584,COA!$R:$R,1)=1),1,0),"")</f>
        <v/>
      </c>
      <c r="S584" s="43">
        <f>IF($A584=1,IF($R584=1,N($M584),0),"")</f>
        <v/>
      </c>
      <c r="T584" s="43">
        <f>IF($A584=1,IF($R584=1,N($N584),0),"")</f>
        <v/>
      </c>
      <c r="U584" s="32">
        <f>IF($A584=1,YEAR($D584)*100+MONTH($D584),"")</f>
        <v/>
      </c>
      <c r="V584" s="32">
        <f>IF($A584=1,IF(COUNTIF(COA!$A:$A,$G584)=0,0,INDEX(COA!$H:$H,MATCH($G584,COA!$A:$A,0))),"")</f>
        <v/>
      </c>
      <c r="W584" s="32">
        <f>IF($A584=1,"","")</f>
        <v/>
      </c>
      <c r="X584" s="32">
        <f>IF($A584=1,IF($R584=1,"",IF($O584=ST_POST,IF($P584&lt;&gt;"",$P584,"حساب غير صالح أو غير نشط"),IF($O584=ST_REV,"معكوس: لا أثر على الدفاتر",IF($O584=ST_CANC,"ملغى",IF($O584=ST_APPR,"معتمد ولم يُرحَّل","مسودة"))))),"")</f>
        <v/>
      </c>
      <c r="Y584" s="32">
        <f>IF($A584=1,IF(AND($R584=1,OR(LG_Acct="",$G584=LG_Acct),OR(LG_Party="",$K584=LG_Party),OR(LG_Loc="ALL",$I584=LG_Loc),OR(LG_CC="ALL",$J584=LG_CC),$D584&gt;=LG_From,$D584&lt;=LG_To),$D584+ROW()/1000000,""),"")</f>
        <v/>
      </c>
      <c r="Z584" s="32">
        <f>IF($A584=1,IF(Sales_Daily!$T49="","",Sales_Daily!$T49),"")</f>
        <v/>
      </c>
      <c r="AA584" s="32">
        <f>IF($A584=1,IF(Sales_Daily!$U49="","",Sales_Daily!$U49),"")</f>
        <v/>
      </c>
      <c r="AB584" s="32">
        <f>IF($A584=1,IF(Sales_Daily!$V49="","",Sales_Daily!$V49),"")</f>
        <v/>
      </c>
      <c r="AC584" s="32">
        <f>IF($A584=1,IF(Sales_Daily!$W49="","",Sales_Daily!$W49),"")</f>
        <v/>
      </c>
      <c r="AD584" s="32">
        <f>IF($A584=1,IF(Sales_Daily!$X49="","",Sales_Daily!$X49),"")</f>
        <v/>
      </c>
      <c r="AE584" s="32">
        <f>IF($A584=1,0,"")</f>
        <v/>
      </c>
      <c r="AF584" s="32" t="inlineStr"/>
    </row>
    <row r="585">
      <c r="A585" s="32">
        <f>IF(AND(Sales_Daily!$AV49=1,N(Sales_Daily!$AD49)&gt;0),1,0)</f>
        <v/>
      </c>
      <c r="B585" s="32">
        <f>IF($A585=1,$E585&amp;"/9","")</f>
        <v/>
      </c>
      <c r="C585" s="32">
        <f>IF($A585=1,"J-"&amp;Sales_Daily!$A49,"")</f>
        <v/>
      </c>
      <c r="D585" s="33">
        <f>IF($A585=1,Sales_Daily!$B49,"")</f>
        <v/>
      </c>
      <c r="E585" s="32">
        <f>IF($A585=1,IF(Sales_Daily!$A49="","",Sales_Daily!$A49),"")</f>
        <v/>
      </c>
      <c r="F585" s="32">
        <f>IF($A585=1,"SAL","")</f>
        <v/>
      </c>
      <c r="G585" s="32">
        <f>IF($A585=1,IF(Sales_Daily!$AQ49="","",Sales_Daily!$AQ49),"")</f>
        <v/>
      </c>
      <c r="H585" s="32">
        <f>IF($A585=1,IF(COUNTIF(COA!$A:$A,$G585)=0,"حساب غير معرف",INDEX(COA!$B:$B,MATCH($G585,COA!$A:$A,0))),"")</f>
        <v/>
      </c>
      <c r="I585" s="32">
        <f>IF($A585=1,IF(Sales_Daily!$C49="","",Sales_Daily!$C49),"")</f>
        <v/>
      </c>
      <c r="J585" s="32">
        <f>IF($A585=1,"CC10","")</f>
        <v/>
      </c>
      <c r="K585" s="32">
        <f>IF($A585=1,"-","")</f>
        <v/>
      </c>
      <c r="L585" s="32">
        <f>IF($A585=1,"إيراد مبيعات - فئة فطير","")</f>
        <v/>
      </c>
      <c r="M585" s="43">
        <f>IF($A585=1,0,"")</f>
        <v/>
      </c>
      <c r="N585" s="43">
        <f>IF($A585=1,Sales_Daily!$AD49,"")</f>
        <v/>
      </c>
      <c r="O585" s="32">
        <f>IF($A585=1,Sales_Daily!$S49,"")</f>
        <v/>
      </c>
      <c r="P585" s="32">
        <f>IF($A585=1,IF(Sales_Daily!$AW49="","",Sales_Daily!$AW49),"")</f>
        <v/>
      </c>
      <c r="Q585" s="32">
        <f>IF($A585=1,Sales_Daily!$AY49,"")</f>
        <v/>
      </c>
      <c r="R585" s="32">
        <f>IF($A585=1,IF(AND($Q585=1,COUNTIFS(COA!$A:$A,$G585,COA!$R:$R,1)=1),1,0),"")</f>
        <v/>
      </c>
      <c r="S585" s="43">
        <f>IF($A585=1,IF($R585=1,N($M585),0),"")</f>
        <v/>
      </c>
      <c r="T585" s="43">
        <f>IF($A585=1,IF($R585=1,N($N585),0),"")</f>
        <v/>
      </c>
      <c r="U585" s="32">
        <f>IF($A585=1,YEAR($D585)*100+MONTH($D585),"")</f>
        <v/>
      </c>
      <c r="V585" s="32">
        <f>IF($A585=1,IF(COUNTIF(COA!$A:$A,$G585)=0,0,INDEX(COA!$H:$H,MATCH($G585,COA!$A:$A,0))),"")</f>
        <v/>
      </c>
      <c r="W585" s="32">
        <f>IF($A585=1,"","")</f>
        <v/>
      </c>
      <c r="X585" s="32">
        <f>IF($A585=1,IF($R585=1,"",IF($O585=ST_POST,IF($P585&lt;&gt;"",$P585,"حساب غير صالح أو غير نشط"),IF($O585=ST_REV,"معكوس: لا أثر على الدفاتر",IF($O585=ST_CANC,"ملغى",IF($O585=ST_APPR,"معتمد ولم يُرحَّل","مسودة"))))),"")</f>
        <v/>
      </c>
      <c r="Y585" s="32">
        <f>IF($A585=1,IF(AND($R585=1,OR(LG_Acct="",$G585=LG_Acct),OR(LG_Party="",$K585=LG_Party),OR(LG_Loc="ALL",$I585=LG_Loc),OR(LG_CC="ALL",$J585=LG_CC),$D585&gt;=LG_From,$D585&lt;=LG_To),$D585+ROW()/1000000,""),"")</f>
        <v/>
      </c>
      <c r="Z585" s="32">
        <f>IF($A585=1,IF(Sales_Daily!$T49="","",Sales_Daily!$T49),"")</f>
        <v/>
      </c>
      <c r="AA585" s="32">
        <f>IF($A585=1,IF(Sales_Daily!$U49="","",Sales_Daily!$U49),"")</f>
        <v/>
      </c>
      <c r="AB585" s="32">
        <f>IF($A585=1,IF(Sales_Daily!$V49="","",Sales_Daily!$V49),"")</f>
        <v/>
      </c>
      <c r="AC585" s="32">
        <f>IF($A585=1,IF(Sales_Daily!$W49="","",Sales_Daily!$W49),"")</f>
        <v/>
      </c>
      <c r="AD585" s="32">
        <f>IF($A585=1,IF(Sales_Daily!$X49="","",Sales_Daily!$X49),"")</f>
        <v/>
      </c>
      <c r="AE585" s="32">
        <f>IF($A585=1,0,"")</f>
        <v/>
      </c>
      <c r="AF585" s="32" t="inlineStr"/>
    </row>
    <row r="586">
      <c r="A586" s="32">
        <f>IF(AND(Sales_Daily!$AV49=1,N(Sales_Daily!$AE49)&gt;0),1,0)</f>
        <v/>
      </c>
      <c r="B586" s="32">
        <f>IF($A586=1,$E586&amp;"/10","")</f>
        <v/>
      </c>
      <c r="C586" s="32">
        <f>IF($A586=1,"J-"&amp;Sales_Daily!$A49,"")</f>
        <v/>
      </c>
      <c r="D586" s="33">
        <f>IF($A586=1,Sales_Daily!$B49,"")</f>
        <v/>
      </c>
      <c r="E586" s="32">
        <f>IF($A586=1,IF(Sales_Daily!$A49="","",Sales_Daily!$A49),"")</f>
        <v/>
      </c>
      <c r="F586" s="32">
        <f>IF($A586=1,"SAL","")</f>
        <v/>
      </c>
      <c r="G586" s="32">
        <f>IF($A586=1,IF(Sales_Daily!$AR49="","",Sales_Daily!$AR49),"")</f>
        <v/>
      </c>
      <c r="H586" s="32">
        <f>IF($A586=1,IF(COUNTIF(COA!$A:$A,$G586)=0,"حساب غير معرف",INDEX(COA!$B:$B,MATCH($G586,COA!$A:$A,0))),"")</f>
        <v/>
      </c>
      <c r="I586" s="32">
        <f>IF($A586=1,IF(Sales_Daily!$C49="","",Sales_Daily!$C49),"")</f>
        <v/>
      </c>
      <c r="J586" s="32">
        <f>IF($A586=1,"CC10","")</f>
        <v/>
      </c>
      <c r="K586" s="32">
        <f>IF($A586=1,"-","")</f>
        <v/>
      </c>
      <c r="L586" s="32">
        <f>IF($A586=1,"إيراد مبيعات - فئة بيتزا","")</f>
        <v/>
      </c>
      <c r="M586" s="43">
        <f>IF($A586=1,0,"")</f>
        <v/>
      </c>
      <c r="N586" s="43">
        <f>IF($A586=1,Sales_Daily!$AE49,"")</f>
        <v/>
      </c>
      <c r="O586" s="32">
        <f>IF($A586=1,Sales_Daily!$S49,"")</f>
        <v/>
      </c>
      <c r="P586" s="32">
        <f>IF($A586=1,IF(Sales_Daily!$AW49="","",Sales_Daily!$AW49),"")</f>
        <v/>
      </c>
      <c r="Q586" s="32">
        <f>IF($A586=1,Sales_Daily!$AY49,"")</f>
        <v/>
      </c>
      <c r="R586" s="32">
        <f>IF($A586=1,IF(AND($Q586=1,COUNTIFS(COA!$A:$A,$G586,COA!$R:$R,1)=1),1,0),"")</f>
        <v/>
      </c>
      <c r="S586" s="43">
        <f>IF($A586=1,IF($R586=1,N($M586),0),"")</f>
        <v/>
      </c>
      <c r="T586" s="43">
        <f>IF($A586=1,IF($R586=1,N($N586),0),"")</f>
        <v/>
      </c>
      <c r="U586" s="32">
        <f>IF($A586=1,YEAR($D586)*100+MONTH($D586),"")</f>
        <v/>
      </c>
      <c r="V586" s="32">
        <f>IF($A586=1,IF(COUNTIF(COA!$A:$A,$G586)=0,0,INDEX(COA!$H:$H,MATCH($G586,COA!$A:$A,0))),"")</f>
        <v/>
      </c>
      <c r="W586" s="32">
        <f>IF($A586=1,"","")</f>
        <v/>
      </c>
      <c r="X586" s="32">
        <f>IF($A586=1,IF($R586=1,"",IF($O586=ST_POST,IF($P586&lt;&gt;"",$P586,"حساب غير صالح أو غير نشط"),IF($O586=ST_REV,"معكوس: لا أثر على الدفاتر",IF($O586=ST_CANC,"ملغى",IF($O586=ST_APPR,"معتمد ولم يُرحَّل","مسودة"))))),"")</f>
        <v/>
      </c>
      <c r="Y586" s="32">
        <f>IF($A586=1,IF(AND($R586=1,OR(LG_Acct="",$G586=LG_Acct),OR(LG_Party="",$K586=LG_Party),OR(LG_Loc="ALL",$I586=LG_Loc),OR(LG_CC="ALL",$J586=LG_CC),$D586&gt;=LG_From,$D586&lt;=LG_To),$D586+ROW()/1000000,""),"")</f>
        <v/>
      </c>
      <c r="Z586" s="32">
        <f>IF($A586=1,IF(Sales_Daily!$T49="","",Sales_Daily!$T49),"")</f>
        <v/>
      </c>
      <c r="AA586" s="32">
        <f>IF($A586=1,IF(Sales_Daily!$U49="","",Sales_Daily!$U49),"")</f>
        <v/>
      </c>
      <c r="AB586" s="32">
        <f>IF($A586=1,IF(Sales_Daily!$V49="","",Sales_Daily!$V49),"")</f>
        <v/>
      </c>
      <c r="AC586" s="32">
        <f>IF($A586=1,IF(Sales_Daily!$W49="","",Sales_Daily!$W49),"")</f>
        <v/>
      </c>
      <c r="AD586" s="32">
        <f>IF($A586=1,IF(Sales_Daily!$X49="","",Sales_Daily!$X49),"")</f>
        <v/>
      </c>
      <c r="AE586" s="32">
        <f>IF($A586=1,0,"")</f>
        <v/>
      </c>
      <c r="AF586" s="32" t="inlineStr"/>
    </row>
    <row r="587">
      <c r="A587" s="32">
        <f>IF(AND(Sales_Daily!$AV49=1,N(Sales_Daily!$AF49)&gt;0),1,0)</f>
        <v/>
      </c>
      <c r="B587" s="32">
        <f>IF($A587=1,$E587&amp;"/11","")</f>
        <v/>
      </c>
      <c r="C587" s="32">
        <f>IF($A587=1,"J-"&amp;Sales_Daily!$A49,"")</f>
        <v/>
      </c>
      <c r="D587" s="33">
        <f>IF($A587=1,Sales_Daily!$B49,"")</f>
        <v/>
      </c>
      <c r="E587" s="32">
        <f>IF($A587=1,IF(Sales_Daily!$A49="","",Sales_Daily!$A49),"")</f>
        <v/>
      </c>
      <c r="F587" s="32">
        <f>IF($A587=1,"SAL","")</f>
        <v/>
      </c>
      <c r="G587" s="32">
        <f>IF($A587=1,IF(Sales_Daily!$AS49="","",Sales_Daily!$AS49),"")</f>
        <v/>
      </c>
      <c r="H587" s="32">
        <f>IF($A587=1,IF(COUNTIF(COA!$A:$A,$G587)=0,"حساب غير معرف",INDEX(COA!$B:$B,MATCH($G587,COA!$A:$A,0))),"")</f>
        <v/>
      </c>
      <c r="I587" s="32">
        <f>IF($A587=1,IF(Sales_Daily!$C49="","",Sales_Daily!$C49),"")</f>
        <v/>
      </c>
      <c r="J587" s="32">
        <f>IF($A587=1,"CC10","")</f>
        <v/>
      </c>
      <c r="K587" s="32">
        <f>IF($A587=1,"-","")</f>
        <v/>
      </c>
      <c r="L587" s="32">
        <f>IF($A587=1,"إيراد مبيعات - فئة مكرونات","")</f>
        <v/>
      </c>
      <c r="M587" s="43">
        <f>IF($A587=1,0,"")</f>
        <v/>
      </c>
      <c r="N587" s="43">
        <f>IF($A587=1,Sales_Daily!$AF49,"")</f>
        <v/>
      </c>
      <c r="O587" s="32">
        <f>IF($A587=1,Sales_Daily!$S49,"")</f>
        <v/>
      </c>
      <c r="P587" s="32">
        <f>IF($A587=1,IF(Sales_Daily!$AW49="","",Sales_Daily!$AW49),"")</f>
        <v/>
      </c>
      <c r="Q587" s="32">
        <f>IF($A587=1,Sales_Daily!$AY49,"")</f>
        <v/>
      </c>
      <c r="R587" s="32">
        <f>IF($A587=1,IF(AND($Q587=1,COUNTIFS(COA!$A:$A,$G587,COA!$R:$R,1)=1),1,0),"")</f>
        <v/>
      </c>
      <c r="S587" s="43">
        <f>IF($A587=1,IF($R587=1,N($M587),0),"")</f>
        <v/>
      </c>
      <c r="T587" s="43">
        <f>IF($A587=1,IF($R587=1,N($N587),0),"")</f>
        <v/>
      </c>
      <c r="U587" s="32">
        <f>IF($A587=1,YEAR($D587)*100+MONTH($D587),"")</f>
        <v/>
      </c>
      <c r="V587" s="32">
        <f>IF($A587=1,IF(COUNTIF(COA!$A:$A,$G587)=0,0,INDEX(COA!$H:$H,MATCH($G587,COA!$A:$A,0))),"")</f>
        <v/>
      </c>
      <c r="W587" s="32">
        <f>IF($A587=1,"","")</f>
        <v/>
      </c>
      <c r="X587" s="32">
        <f>IF($A587=1,IF($R587=1,"",IF($O587=ST_POST,IF($P587&lt;&gt;"",$P587,"حساب غير صالح أو غير نشط"),IF($O587=ST_REV,"معكوس: لا أثر على الدفاتر",IF($O587=ST_CANC,"ملغى",IF($O587=ST_APPR,"معتمد ولم يُرحَّل","مسودة"))))),"")</f>
        <v/>
      </c>
      <c r="Y587" s="32">
        <f>IF($A587=1,IF(AND($R587=1,OR(LG_Acct="",$G587=LG_Acct),OR(LG_Party="",$K587=LG_Party),OR(LG_Loc="ALL",$I587=LG_Loc),OR(LG_CC="ALL",$J587=LG_CC),$D587&gt;=LG_From,$D587&lt;=LG_To),$D587+ROW()/1000000,""),"")</f>
        <v/>
      </c>
      <c r="Z587" s="32">
        <f>IF($A587=1,IF(Sales_Daily!$T49="","",Sales_Daily!$T49),"")</f>
        <v/>
      </c>
      <c r="AA587" s="32">
        <f>IF($A587=1,IF(Sales_Daily!$U49="","",Sales_Daily!$U49),"")</f>
        <v/>
      </c>
      <c r="AB587" s="32">
        <f>IF($A587=1,IF(Sales_Daily!$V49="","",Sales_Daily!$V49),"")</f>
        <v/>
      </c>
      <c r="AC587" s="32">
        <f>IF($A587=1,IF(Sales_Daily!$W49="","",Sales_Daily!$W49),"")</f>
        <v/>
      </c>
      <c r="AD587" s="32">
        <f>IF($A587=1,IF(Sales_Daily!$X49="","",Sales_Daily!$X49),"")</f>
        <v/>
      </c>
      <c r="AE587" s="32">
        <f>IF($A587=1,0,"")</f>
        <v/>
      </c>
      <c r="AF587" s="32" t="inlineStr"/>
    </row>
    <row r="588">
      <c r="A588" s="32">
        <f>IF(AND(Sales_Daily!$AV49=1,N(Sales_Daily!$AG49)&gt;0),1,0)</f>
        <v/>
      </c>
      <c r="B588" s="32">
        <f>IF($A588=1,$E588&amp;"/12","")</f>
        <v/>
      </c>
      <c r="C588" s="32">
        <f>IF($A588=1,"J-"&amp;Sales_Daily!$A49,"")</f>
        <v/>
      </c>
      <c r="D588" s="33">
        <f>IF($A588=1,Sales_Daily!$B49,"")</f>
        <v/>
      </c>
      <c r="E588" s="32">
        <f>IF($A588=1,IF(Sales_Daily!$A49="","",Sales_Daily!$A49),"")</f>
        <v/>
      </c>
      <c r="F588" s="32">
        <f>IF($A588=1,"SAL","")</f>
        <v/>
      </c>
      <c r="G588" s="32">
        <f>IF($A588=1,IF(Sales_Daily!$AT49="","",Sales_Daily!$AT49),"")</f>
        <v/>
      </c>
      <c r="H588" s="32">
        <f>IF($A588=1,IF(COUNTIF(COA!$A:$A,$G588)=0,"حساب غير معرف",INDEX(COA!$B:$B,MATCH($G588,COA!$A:$A,0))),"")</f>
        <v/>
      </c>
      <c r="I588" s="32">
        <f>IF($A588=1,IF(Sales_Daily!$C49="","",Sales_Daily!$C49),"")</f>
        <v/>
      </c>
      <c r="J588" s="32">
        <f>IF($A588=1,"CC10","")</f>
        <v/>
      </c>
      <c r="K588" s="32">
        <f>IF($A588=1,"-","")</f>
        <v/>
      </c>
      <c r="L588" s="32">
        <f>IF($A588=1,"إيراد مبيعات - فئة أخرى","")</f>
        <v/>
      </c>
      <c r="M588" s="43">
        <f>IF($A588=1,0,"")</f>
        <v/>
      </c>
      <c r="N588" s="43">
        <f>IF($A588=1,Sales_Daily!$AG49,"")</f>
        <v/>
      </c>
      <c r="O588" s="32">
        <f>IF($A588=1,Sales_Daily!$S49,"")</f>
        <v/>
      </c>
      <c r="P588" s="32">
        <f>IF($A588=1,IF(Sales_Daily!$AW49="","",Sales_Daily!$AW49),"")</f>
        <v/>
      </c>
      <c r="Q588" s="32">
        <f>IF($A588=1,Sales_Daily!$AY49,"")</f>
        <v/>
      </c>
      <c r="R588" s="32">
        <f>IF($A588=1,IF(AND($Q588=1,COUNTIFS(COA!$A:$A,$G588,COA!$R:$R,1)=1),1,0),"")</f>
        <v/>
      </c>
      <c r="S588" s="43">
        <f>IF($A588=1,IF($R588=1,N($M588),0),"")</f>
        <v/>
      </c>
      <c r="T588" s="43">
        <f>IF($A588=1,IF($R588=1,N($N588),0),"")</f>
        <v/>
      </c>
      <c r="U588" s="32">
        <f>IF($A588=1,YEAR($D588)*100+MONTH($D588),"")</f>
        <v/>
      </c>
      <c r="V588" s="32">
        <f>IF($A588=1,IF(COUNTIF(COA!$A:$A,$G588)=0,0,INDEX(COA!$H:$H,MATCH($G588,COA!$A:$A,0))),"")</f>
        <v/>
      </c>
      <c r="W588" s="32">
        <f>IF($A588=1,"","")</f>
        <v/>
      </c>
      <c r="X588" s="32">
        <f>IF($A588=1,IF($R588=1,"",IF($O588=ST_POST,IF($P588&lt;&gt;"",$P588,"حساب غير صالح أو غير نشط"),IF($O588=ST_REV,"معكوس: لا أثر على الدفاتر",IF($O588=ST_CANC,"ملغى",IF($O588=ST_APPR,"معتمد ولم يُرحَّل","مسودة"))))),"")</f>
        <v/>
      </c>
      <c r="Y588" s="32">
        <f>IF($A588=1,IF(AND($R588=1,OR(LG_Acct="",$G588=LG_Acct),OR(LG_Party="",$K588=LG_Party),OR(LG_Loc="ALL",$I588=LG_Loc),OR(LG_CC="ALL",$J588=LG_CC),$D588&gt;=LG_From,$D588&lt;=LG_To),$D588+ROW()/1000000,""),"")</f>
        <v/>
      </c>
      <c r="Z588" s="32">
        <f>IF($A588=1,IF(Sales_Daily!$T49="","",Sales_Daily!$T49),"")</f>
        <v/>
      </c>
      <c r="AA588" s="32">
        <f>IF($A588=1,IF(Sales_Daily!$U49="","",Sales_Daily!$U49),"")</f>
        <v/>
      </c>
      <c r="AB588" s="32">
        <f>IF($A588=1,IF(Sales_Daily!$V49="","",Sales_Daily!$V49),"")</f>
        <v/>
      </c>
      <c r="AC588" s="32">
        <f>IF($A588=1,IF(Sales_Daily!$W49="","",Sales_Daily!$W49),"")</f>
        <v/>
      </c>
      <c r="AD588" s="32">
        <f>IF($A588=1,IF(Sales_Daily!$X49="","",Sales_Daily!$X49),"")</f>
        <v/>
      </c>
      <c r="AE588" s="32">
        <f>IF($A588=1,0,"")</f>
        <v/>
      </c>
      <c r="AF588" s="32" t="inlineStr"/>
    </row>
    <row r="589">
      <c r="A589" s="32">
        <f>IF(AND(Sales_Daily!$AV49=1,N(Sales_Daily!$AJ49)&gt;0),1,0)</f>
        <v/>
      </c>
      <c r="B589" s="32">
        <f>IF($A589=1,$E589&amp;"/13","")</f>
        <v/>
      </c>
      <c r="C589" s="32">
        <f>IF($A589=1,"J-"&amp;Sales_Daily!$A49,"")</f>
        <v/>
      </c>
      <c r="D589" s="33">
        <f>IF($A589=1,Sales_Daily!$B49,"")</f>
        <v/>
      </c>
      <c r="E589" s="32">
        <f>IF($A589=1,IF(Sales_Daily!$A49="","",Sales_Daily!$A49),"")</f>
        <v/>
      </c>
      <c r="F589" s="32">
        <f>IF($A589=1,"SAL","")</f>
        <v/>
      </c>
      <c r="G589" s="32">
        <f>IF($A589=1,ACC_VAT_OUT,"")</f>
        <v/>
      </c>
      <c r="H589" s="32">
        <f>IF($A589=1,IF(COUNTIF(COA!$A:$A,$G589)=0,"حساب غير معرف",INDEX(COA!$B:$B,MATCH($G589,COA!$A:$A,0))),"")</f>
        <v/>
      </c>
      <c r="I589" s="32">
        <f>IF($A589=1,IF(Sales_Daily!$C49="","",Sales_Daily!$C49),"")</f>
        <v/>
      </c>
      <c r="J589" s="32">
        <f>IF($A589=1,"CC10","")</f>
        <v/>
      </c>
      <c r="K589" s="32">
        <f>IF($A589=1,"-","")</f>
        <v/>
      </c>
      <c r="L589" s="32">
        <f>IF($A589=1,"ضريبة القيمة المضافة - مخرجات","")</f>
        <v/>
      </c>
      <c r="M589" s="43">
        <f>IF($A589=1,0,"")</f>
        <v/>
      </c>
      <c r="N589" s="43">
        <f>IF($A589=1,Sales_Daily!$AJ49,"")</f>
        <v/>
      </c>
      <c r="O589" s="32">
        <f>IF($A589=1,Sales_Daily!$S49,"")</f>
        <v/>
      </c>
      <c r="P589" s="32">
        <f>IF($A589=1,IF(Sales_Daily!$AW49="","",Sales_Daily!$AW49),"")</f>
        <v/>
      </c>
      <c r="Q589" s="32">
        <f>IF($A589=1,Sales_Daily!$AY49,"")</f>
        <v/>
      </c>
      <c r="R589" s="32">
        <f>IF($A589=1,IF(AND($Q589=1,COUNTIFS(COA!$A:$A,$G589,COA!$R:$R,1)=1),1,0),"")</f>
        <v/>
      </c>
      <c r="S589" s="43">
        <f>IF($A589=1,IF($R589=1,N($M589),0),"")</f>
        <v/>
      </c>
      <c r="T589" s="43">
        <f>IF($A589=1,IF($R589=1,N($N589),0),"")</f>
        <v/>
      </c>
      <c r="U589" s="32">
        <f>IF($A589=1,YEAR($D589)*100+MONTH($D589),"")</f>
        <v/>
      </c>
      <c r="V589" s="32">
        <f>IF($A589=1,IF(COUNTIF(COA!$A:$A,$G589)=0,0,INDEX(COA!$H:$H,MATCH($G589,COA!$A:$A,0))),"")</f>
        <v/>
      </c>
      <c r="W589" s="32">
        <f>IF($A589=1,"","")</f>
        <v/>
      </c>
      <c r="X589" s="32">
        <f>IF($A589=1,IF($R589=1,"",IF($O589=ST_POST,IF($P589&lt;&gt;"",$P589,"حساب غير صالح أو غير نشط"),IF($O589=ST_REV,"معكوس: لا أثر على الدفاتر",IF($O589=ST_CANC,"ملغى",IF($O589=ST_APPR,"معتمد ولم يُرحَّل","مسودة"))))),"")</f>
        <v/>
      </c>
      <c r="Y589" s="32">
        <f>IF($A589=1,IF(AND($R589=1,OR(LG_Acct="",$G589=LG_Acct),OR(LG_Party="",$K589=LG_Party),OR(LG_Loc="ALL",$I589=LG_Loc),OR(LG_CC="ALL",$J589=LG_CC),$D589&gt;=LG_From,$D589&lt;=LG_To),$D589+ROW()/1000000,""),"")</f>
        <v/>
      </c>
      <c r="Z589" s="32">
        <f>IF($A589=1,IF(Sales_Daily!$T49="","",Sales_Daily!$T49),"")</f>
        <v/>
      </c>
      <c r="AA589" s="32">
        <f>IF($A589=1,IF(Sales_Daily!$U49="","",Sales_Daily!$U49),"")</f>
        <v/>
      </c>
      <c r="AB589" s="32">
        <f>IF($A589=1,IF(Sales_Daily!$V49="","",Sales_Daily!$V49),"")</f>
        <v/>
      </c>
      <c r="AC589" s="32">
        <f>IF($A589=1,IF(Sales_Daily!$W49="","",Sales_Daily!$W49),"")</f>
        <v/>
      </c>
      <c r="AD589" s="32">
        <f>IF($A589=1,IF(Sales_Daily!$X49="","",Sales_Daily!$X49),"")</f>
        <v/>
      </c>
      <c r="AE589" s="32">
        <f>IF($A589=1,0,"")</f>
        <v/>
      </c>
      <c r="AF589" s="32" t="inlineStr"/>
    </row>
    <row r="590">
      <c r="A590" s="32">
        <f>IF(AND(Sales_Daily!$AV50=1,N(Sales_Daily!$L50)&gt;0),1,0)</f>
        <v/>
      </c>
      <c r="B590" s="32">
        <f>IF($A590=1,$E590&amp;"/1","")</f>
        <v/>
      </c>
      <c r="C590" s="32">
        <f>IF($A590=1,"J-"&amp;Sales_Daily!$A50,"")</f>
        <v/>
      </c>
      <c r="D590" s="33">
        <f>IF($A590=1,Sales_Daily!$B50,"")</f>
        <v/>
      </c>
      <c r="E590" s="32">
        <f>IF($A590=1,IF(Sales_Daily!$A50="","",Sales_Daily!$A50),"")</f>
        <v/>
      </c>
      <c r="F590" s="32">
        <f>IF($A590=1,"SAL","")</f>
        <v/>
      </c>
      <c r="G590" s="32">
        <f>IF($A590=1,IF(Sales_Daily!$AK50="","",Sales_Daily!$AK50),"")</f>
        <v/>
      </c>
      <c r="H590" s="32">
        <f>IF($A590=1,IF(COUNTIF(COA!$A:$A,$G590)=0,"حساب غير معرف",INDEX(COA!$B:$B,MATCH($G590,COA!$A:$A,0))),"")</f>
        <v/>
      </c>
      <c r="I590" s="32">
        <f>IF($A590=1,IF(Sales_Daily!$C50="","",Sales_Daily!$C50),"")</f>
        <v/>
      </c>
      <c r="J590" s="32">
        <f>IF($A590=1,"CC10","")</f>
        <v/>
      </c>
      <c r="K590" s="32">
        <f>IF($A590=1,"-","")</f>
        <v/>
      </c>
      <c r="L590" s="32">
        <f>IF($A590=1,"مبيعات - تحصيل CASH","")</f>
        <v/>
      </c>
      <c r="M590" s="43">
        <f>IF($A590=1,Sales_Daily!$L50,"")</f>
        <v/>
      </c>
      <c r="N590" s="43">
        <f>IF($A590=1,0,"")</f>
        <v/>
      </c>
      <c r="O590" s="32">
        <f>IF($A590=1,Sales_Daily!$S50,"")</f>
        <v/>
      </c>
      <c r="P590" s="32">
        <f>IF($A590=1,IF(Sales_Daily!$AW50="","",Sales_Daily!$AW50),"")</f>
        <v/>
      </c>
      <c r="Q590" s="32">
        <f>IF($A590=1,Sales_Daily!$AY50,"")</f>
        <v/>
      </c>
      <c r="R590" s="32">
        <f>IF($A590=1,IF(AND($Q590=1,COUNTIFS(COA!$A:$A,$G590,COA!$R:$R,1)=1),1,0),"")</f>
        <v/>
      </c>
      <c r="S590" s="43">
        <f>IF($A590=1,IF($R590=1,N($M590),0),"")</f>
        <v/>
      </c>
      <c r="T590" s="43">
        <f>IF($A590=1,IF($R590=1,N($N590),0),"")</f>
        <v/>
      </c>
      <c r="U590" s="32">
        <f>IF($A590=1,YEAR($D590)*100+MONTH($D590),"")</f>
        <v/>
      </c>
      <c r="V590" s="32">
        <f>IF($A590=1,IF(COUNTIF(COA!$A:$A,$G590)=0,0,INDEX(COA!$H:$H,MATCH($G590,COA!$A:$A,0))),"")</f>
        <v/>
      </c>
      <c r="W590" s="32">
        <f>IF($A590=1,"OPERATING","")</f>
        <v/>
      </c>
      <c r="X590" s="32">
        <f>IF($A590=1,IF($R590=1,"",IF($O590=ST_POST,IF($P590&lt;&gt;"",$P590,"حساب غير صالح أو غير نشط"),IF($O590=ST_REV,"معكوس: لا أثر على الدفاتر",IF($O590=ST_CANC,"ملغى",IF($O590=ST_APPR,"معتمد ولم يُرحَّل","مسودة"))))),"")</f>
        <v/>
      </c>
      <c r="Y590" s="32">
        <f>IF($A590=1,IF(AND($R590=1,OR(LG_Acct="",$G590=LG_Acct),OR(LG_Party="",$K590=LG_Party),OR(LG_Loc="ALL",$I590=LG_Loc),OR(LG_CC="ALL",$J590=LG_CC),$D590&gt;=LG_From,$D590&lt;=LG_To),$D590+ROW()/1000000,""),"")</f>
        <v/>
      </c>
      <c r="Z590" s="32">
        <f>IF($A590=1,IF(Sales_Daily!$T50="","",Sales_Daily!$T50),"")</f>
        <v/>
      </c>
      <c r="AA590" s="32">
        <f>IF($A590=1,IF(Sales_Daily!$U50="","",Sales_Daily!$U50),"")</f>
        <v/>
      </c>
      <c r="AB590" s="32">
        <f>IF($A590=1,IF(Sales_Daily!$V50="","",Sales_Daily!$V50),"")</f>
        <v/>
      </c>
      <c r="AC590" s="32">
        <f>IF($A590=1,IF(Sales_Daily!$W50="","",Sales_Daily!$W50),"")</f>
        <v/>
      </c>
      <c r="AD590" s="32">
        <f>IF($A590=1,IF(Sales_Daily!$X50="","",Sales_Daily!$X50),"")</f>
        <v/>
      </c>
      <c r="AE590" s="32">
        <f>IF($A590=1,0,"")</f>
        <v/>
      </c>
      <c r="AF590" s="32" t="inlineStr"/>
    </row>
    <row r="591">
      <c r="A591" s="32">
        <f>IF(AND(Sales_Daily!$AV50=1,N(Sales_Daily!$M50)&gt;0),1,0)</f>
        <v/>
      </c>
      <c r="B591" s="32">
        <f>IF($A591=1,$E591&amp;"/2","")</f>
        <v/>
      </c>
      <c r="C591" s="32">
        <f>IF($A591=1,"J-"&amp;Sales_Daily!$A50,"")</f>
        <v/>
      </c>
      <c r="D591" s="33">
        <f>IF($A591=1,Sales_Daily!$B50,"")</f>
        <v/>
      </c>
      <c r="E591" s="32">
        <f>IF($A591=1,IF(Sales_Daily!$A50="","",Sales_Daily!$A50),"")</f>
        <v/>
      </c>
      <c r="F591" s="32">
        <f>IF($A591=1,"SAL","")</f>
        <v/>
      </c>
      <c r="G591" s="32">
        <f>IF($A591=1,IF(Sales_Daily!$AL50="","",Sales_Daily!$AL50),"")</f>
        <v/>
      </c>
      <c r="H591" s="32">
        <f>IF($A591=1,IF(COUNTIF(COA!$A:$A,$G591)=0,"حساب غير معرف",INDEX(COA!$B:$B,MATCH($G591,COA!$A:$A,0))),"")</f>
        <v/>
      </c>
      <c r="I591" s="32">
        <f>IF($A591=1,IF(Sales_Daily!$C50="","",Sales_Daily!$C50),"")</f>
        <v/>
      </c>
      <c r="J591" s="32">
        <f>IF($A591=1,"CC10","")</f>
        <v/>
      </c>
      <c r="K591" s="32">
        <f>IF($A591=1,"-","")</f>
        <v/>
      </c>
      <c r="L591" s="32">
        <f>IF($A591=1,"مبيعات - تحصيل CARD","")</f>
        <v/>
      </c>
      <c r="M591" s="43">
        <f>IF($A591=1,Sales_Daily!$M50,"")</f>
        <v/>
      </c>
      <c r="N591" s="43">
        <f>IF($A591=1,0,"")</f>
        <v/>
      </c>
      <c r="O591" s="32">
        <f>IF($A591=1,Sales_Daily!$S50,"")</f>
        <v/>
      </c>
      <c r="P591" s="32">
        <f>IF($A591=1,IF(Sales_Daily!$AW50="","",Sales_Daily!$AW50),"")</f>
        <v/>
      </c>
      <c r="Q591" s="32">
        <f>IF($A591=1,Sales_Daily!$AY50,"")</f>
        <v/>
      </c>
      <c r="R591" s="32">
        <f>IF($A591=1,IF(AND($Q591=1,COUNTIFS(COA!$A:$A,$G591,COA!$R:$R,1)=1),1,0),"")</f>
        <v/>
      </c>
      <c r="S591" s="43">
        <f>IF($A591=1,IF($R591=1,N($M591),0),"")</f>
        <v/>
      </c>
      <c r="T591" s="43">
        <f>IF($A591=1,IF($R591=1,N($N591),0),"")</f>
        <v/>
      </c>
      <c r="U591" s="32">
        <f>IF($A591=1,YEAR($D591)*100+MONTH($D591),"")</f>
        <v/>
      </c>
      <c r="V591" s="32">
        <f>IF($A591=1,IF(COUNTIF(COA!$A:$A,$G591)=0,0,INDEX(COA!$H:$H,MATCH($G591,COA!$A:$A,0))),"")</f>
        <v/>
      </c>
      <c r="W591" s="32">
        <f>IF($A591=1,"OPERATING","")</f>
        <v/>
      </c>
      <c r="X591" s="32">
        <f>IF($A591=1,IF($R591=1,"",IF($O591=ST_POST,IF($P591&lt;&gt;"",$P591,"حساب غير صالح أو غير نشط"),IF($O591=ST_REV,"معكوس: لا أثر على الدفاتر",IF($O591=ST_CANC,"ملغى",IF($O591=ST_APPR,"معتمد ولم يُرحَّل","مسودة"))))),"")</f>
        <v/>
      </c>
      <c r="Y591" s="32">
        <f>IF($A591=1,IF(AND($R591=1,OR(LG_Acct="",$G591=LG_Acct),OR(LG_Party="",$K591=LG_Party),OR(LG_Loc="ALL",$I591=LG_Loc),OR(LG_CC="ALL",$J591=LG_CC),$D591&gt;=LG_From,$D591&lt;=LG_To),$D591+ROW()/1000000,""),"")</f>
        <v/>
      </c>
      <c r="Z591" s="32">
        <f>IF($A591=1,IF(Sales_Daily!$T50="","",Sales_Daily!$T50),"")</f>
        <v/>
      </c>
      <c r="AA591" s="32">
        <f>IF($A591=1,IF(Sales_Daily!$U50="","",Sales_Daily!$U50),"")</f>
        <v/>
      </c>
      <c r="AB591" s="32">
        <f>IF($A591=1,IF(Sales_Daily!$V50="","",Sales_Daily!$V50),"")</f>
        <v/>
      </c>
      <c r="AC591" s="32">
        <f>IF($A591=1,IF(Sales_Daily!$W50="","",Sales_Daily!$W50),"")</f>
        <v/>
      </c>
      <c r="AD591" s="32">
        <f>IF($A591=1,IF(Sales_Daily!$X50="","",Sales_Daily!$X50),"")</f>
        <v/>
      </c>
      <c r="AE591" s="32">
        <f>IF($A591=1,0,"")</f>
        <v/>
      </c>
      <c r="AF591" s="32" t="inlineStr"/>
    </row>
    <row r="592">
      <c r="A592" s="32">
        <f>IF(AND(Sales_Daily!$AV50=1,N(Sales_Daily!$N50)&gt;0),1,0)</f>
        <v/>
      </c>
      <c r="B592" s="32">
        <f>IF($A592=1,$E592&amp;"/3","")</f>
        <v/>
      </c>
      <c r="C592" s="32">
        <f>IF($A592=1,"J-"&amp;Sales_Daily!$A50,"")</f>
        <v/>
      </c>
      <c r="D592" s="33">
        <f>IF($A592=1,Sales_Daily!$B50,"")</f>
        <v/>
      </c>
      <c r="E592" s="32">
        <f>IF($A592=1,IF(Sales_Daily!$A50="","",Sales_Daily!$A50),"")</f>
        <v/>
      </c>
      <c r="F592" s="32">
        <f>IF($A592=1,"SAL","")</f>
        <v/>
      </c>
      <c r="G592" s="32">
        <f>IF($A592=1,IF(Sales_Daily!$AM50="","",Sales_Daily!$AM50),"")</f>
        <v/>
      </c>
      <c r="H592" s="32">
        <f>IF($A592=1,IF(COUNTIF(COA!$A:$A,$G592)=0,"حساب غير معرف",INDEX(COA!$B:$B,MATCH($G592,COA!$A:$A,0))),"")</f>
        <v/>
      </c>
      <c r="I592" s="32">
        <f>IF($A592=1,IF(Sales_Daily!$C50="","",Sales_Daily!$C50),"")</f>
        <v/>
      </c>
      <c r="J592" s="32">
        <f>IF($A592=1,"CC10","")</f>
        <v/>
      </c>
      <c r="K592" s="32">
        <f>IF($A592=1,"-","")</f>
        <v/>
      </c>
      <c r="L592" s="32">
        <f>IF($A592=1,"مبيعات - تحصيل TLB","")</f>
        <v/>
      </c>
      <c r="M592" s="43">
        <f>IF($A592=1,Sales_Daily!$N50,"")</f>
        <v/>
      </c>
      <c r="N592" s="43">
        <f>IF($A592=1,0,"")</f>
        <v/>
      </c>
      <c r="O592" s="32">
        <f>IF($A592=1,Sales_Daily!$S50,"")</f>
        <v/>
      </c>
      <c r="P592" s="32">
        <f>IF($A592=1,IF(Sales_Daily!$AW50="","",Sales_Daily!$AW50),"")</f>
        <v/>
      </c>
      <c r="Q592" s="32">
        <f>IF($A592=1,Sales_Daily!$AY50,"")</f>
        <v/>
      </c>
      <c r="R592" s="32">
        <f>IF($A592=1,IF(AND($Q592=1,COUNTIFS(COA!$A:$A,$G592,COA!$R:$R,1)=1),1,0),"")</f>
        <v/>
      </c>
      <c r="S592" s="43">
        <f>IF($A592=1,IF($R592=1,N($M592),0),"")</f>
        <v/>
      </c>
      <c r="T592" s="43">
        <f>IF($A592=1,IF($R592=1,N($N592),0),"")</f>
        <v/>
      </c>
      <c r="U592" s="32">
        <f>IF($A592=1,YEAR($D592)*100+MONTH($D592),"")</f>
        <v/>
      </c>
      <c r="V592" s="32">
        <f>IF($A592=1,IF(COUNTIF(COA!$A:$A,$G592)=0,0,INDEX(COA!$H:$H,MATCH($G592,COA!$A:$A,0))),"")</f>
        <v/>
      </c>
      <c r="W592" s="32">
        <f>IF($A592=1,"OPERATING","")</f>
        <v/>
      </c>
      <c r="X592" s="32">
        <f>IF($A592=1,IF($R592=1,"",IF($O592=ST_POST,IF($P592&lt;&gt;"",$P592,"حساب غير صالح أو غير نشط"),IF($O592=ST_REV,"معكوس: لا أثر على الدفاتر",IF($O592=ST_CANC,"ملغى",IF($O592=ST_APPR,"معتمد ولم يُرحَّل","مسودة"))))),"")</f>
        <v/>
      </c>
      <c r="Y592" s="32">
        <f>IF($A592=1,IF(AND($R592=1,OR(LG_Acct="",$G592=LG_Acct),OR(LG_Party="",$K592=LG_Party),OR(LG_Loc="ALL",$I592=LG_Loc),OR(LG_CC="ALL",$J592=LG_CC),$D592&gt;=LG_From,$D592&lt;=LG_To),$D592+ROW()/1000000,""),"")</f>
        <v/>
      </c>
      <c r="Z592" s="32">
        <f>IF($A592=1,IF(Sales_Daily!$T50="","",Sales_Daily!$T50),"")</f>
        <v/>
      </c>
      <c r="AA592" s="32">
        <f>IF($A592=1,IF(Sales_Daily!$U50="","",Sales_Daily!$U50),"")</f>
        <v/>
      </c>
      <c r="AB592" s="32">
        <f>IF($A592=1,IF(Sales_Daily!$V50="","",Sales_Daily!$V50),"")</f>
        <v/>
      </c>
      <c r="AC592" s="32">
        <f>IF($A592=1,IF(Sales_Daily!$W50="","",Sales_Daily!$W50),"")</f>
        <v/>
      </c>
      <c r="AD592" s="32">
        <f>IF($A592=1,IF(Sales_Daily!$X50="","",Sales_Daily!$X50),"")</f>
        <v/>
      </c>
      <c r="AE592" s="32">
        <f>IF($A592=1,0,"")</f>
        <v/>
      </c>
      <c r="AF592" s="32" t="inlineStr"/>
    </row>
    <row r="593">
      <c r="A593" s="32">
        <f>IF(AND(Sales_Daily!$AV50=1,N(Sales_Daily!$O50)&gt;0),1,0)</f>
        <v/>
      </c>
      <c r="B593" s="32">
        <f>IF($A593=1,$E593&amp;"/4","")</f>
        <v/>
      </c>
      <c r="C593" s="32">
        <f>IF($A593=1,"J-"&amp;Sales_Daily!$A50,"")</f>
        <v/>
      </c>
      <c r="D593" s="33">
        <f>IF($A593=1,Sales_Daily!$B50,"")</f>
        <v/>
      </c>
      <c r="E593" s="32">
        <f>IF($A593=1,IF(Sales_Daily!$A50="","",Sales_Daily!$A50),"")</f>
        <v/>
      </c>
      <c r="F593" s="32">
        <f>IF($A593=1,"SAL","")</f>
        <v/>
      </c>
      <c r="G593" s="32">
        <f>IF($A593=1,IF(Sales_Daily!$AN50="","",Sales_Daily!$AN50),"")</f>
        <v/>
      </c>
      <c r="H593" s="32">
        <f>IF($A593=1,IF(COUNTIF(COA!$A:$A,$G593)=0,"حساب غير معرف",INDEX(COA!$B:$B,MATCH($G593,COA!$A:$A,0))),"")</f>
        <v/>
      </c>
      <c r="I593" s="32">
        <f>IF($A593=1,IF(Sales_Daily!$C50="","",Sales_Daily!$C50),"")</f>
        <v/>
      </c>
      <c r="J593" s="32">
        <f>IF($A593=1,"CC10","")</f>
        <v/>
      </c>
      <c r="K593" s="32">
        <f>IF($A593=1,"-","")</f>
        <v/>
      </c>
      <c r="L593" s="32">
        <f>IF($A593=1,"مبيعات - تحصيل DLV2","")</f>
        <v/>
      </c>
      <c r="M593" s="43">
        <f>IF($A593=1,Sales_Daily!$O50,"")</f>
        <v/>
      </c>
      <c r="N593" s="43">
        <f>IF($A593=1,0,"")</f>
        <v/>
      </c>
      <c r="O593" s="32">
        <f>IF($A593=1,Sales_Daily!$S50,"")</f>
        <v/>
      </c>
      <c r="P593" s="32">
        <f>IF($A593=1,IF(Sales_Daily!$AW50="","",Sales_Daily!$AW50),"")</f>
        <v/>
      </c>
      <c r="Q593" s="32">
        <f>IF($A593=1,Sales_Daily!$AY50,"")</f>
        <v/>
      </c>
      <c r="R593" s="32">
        <f>IF($A593=1,IF(AND($Q593=1,COUNTIFS(COA!$A:$A,$G593,COA!$R:$R,1)=1),1,0),"")</f>
        <v/>
      </c>
      <c r="S593" s="43">
        <f>IF($A593=1,IF($R593=1,N($M593),0),"")</f>
        <v/>
      </c>
      <c r="T593" s="43">
        <f>IF($A593=1,IF($R593=1,N($N593),0),"")</f>
        <v/>
      </c>
      <c r="U593" s="32">
        <f>IF($A593=1,YEAR($D593)*100+MONTH($D593),"")</f>
        <v/>
      </c>
      <c r="V593" s="32">
        <f>IF($A593=1,IF(COUNTIF(COA!$A:$A,$G593)=0,0,INDEX(COA!$H:$H,MATCH($G593,COA!$A:$A,0))),"")</f>
        <v/>
      </c>
      <c r="W593" s="32">
        <f>IF($A593=1,"OPERATING","")</f>
        <v/>
      </c>
      <c r="X593" s="32">
        <f>IF($A593=1,IF($R593=1,"",IF($O593=ST_POST,IF($P593&lt;&gt;"",$P593,"حساب غير صالح أو غير نشط"),IF($O593=ST_REV,"معكوس: لا أثر على الدفاتر",IF($O593=ST_CANC,"ملغى",IF($O593=ST_APPR,"معتمد ولم يُرحَّل","مسودة"))))),"")</f>
        <v/>
      </c>
      <c r="Y593" s="32">
        <f>IF($A593=1,IF(AND($R593=1,OR(LG_Acct="",$G593=LG_Acct),OR(LG_Party="",$K593=LG_Party),OR(LG_Loc="ALL",$I593=LG_Loc),OR(LG_CC="ALL",$J593=LG_CC),$D593&gt;=LG_From,$D593&lt;=LG_To),$D593+ROW()/1000000,""),"")</f>
        <v/>
      </c>
      <c r="Z593" s="32">
        <f>IF($A593=1,IF(Sales_Daily!$T50="","",Sales_Daily!$T50),"")</f>
        <v/>
      </c>
      <c r="AA593" s="32">
        <f>IF($A593=1,IF(Sales_Daily!$U50="","",Sales_Daily!$U50),"")</f>
        <v/>
      </c>
      <c r="AB593" s="32">
        <f>IF($A593=1,IF(Sales_Daily!$V50="","",Sales_Daily!$V50),"")</f>
        <v/>
      </c>
      <c r="AC593" s="32">
        <f>IF($A593=1,IF(Sales_Daily!$W50="","",Sales_Daily!$W50),"")</f>
        <v/>
      </c>
      <c r="AD593" s="32">
        <f>IF($A593=1,IF(Sales_Daily!$X50="","",Sales_Daily!$X50),"")</f>
        <v/>
      </c>
      <c r="AE593" s="32">
        <f>IF($A593=1,0,"")</f>
        <v/>
      </c>
      <c r="AF593" s="32" t="inlineStr"/>
    </row>
    <row r="594">
      <c r="A594" s="32">
        <f>IF(AND(Sales_Daily!$AV50=1,N(Sales_Daily!$P50)&gt;0),1,0)</f>
        <v/>
      </c>
      <c r="B594" s="32">
        <f>IF($A594=1,$E594&amp;"/5","")</f>
        <v/>
      </c>
      <c r="C594" s="32">
        <f>IF($A594=1,"J-"&amp;Sales_Daily!$A50,"")</f>
        <v/>
      </c>
      <c r="D594" s="33">
        <f>IF($A594=1,Sales_Daily!$B50,"")</f>
        <v/>
      </c>
      <c r="E594" s="32">
        <f>IF($A594=1,IF(Sales_Daily!$A50="","",Sales_Daily!$A50),"")</f>
        <v/>
      </c>
      <c r="F594" s="32">
        <f>IF($A594=1,"SAL","")</f>
        <v/>
      </c>
      <c r="G594" s="32">
        <f>IF($A594=1,IF(Sales_Daily!$AO50="","",Sales_Daily!$AO50),"")</f>
        <v/>
      </c>
      <c r="H594" s="32">
        <f>IF($A594=1,IF(COUNTIF(COA!$A:$A,$G594)=0,"حساب غير معرف",INDEX(COA!$B:$B,MATCH($G594,COA!$A:$A,0))),"")</f>
        <v/>
      </c>
      <c r="I594" s="32">
        <f>IF($A594=1,IF(Sales_Daily!$C50="","",Sales_Daily!$C50),"")</f>
        <v/>
      </c>
      <c r="J594" s="32">
        <f>IF($A594=1,"CC10","")</f>
        <v/>
      </c>
      <c r="K594" s="32">
        <f>IF($A594=1,"-","")</f>
        <v/>
      </c>
      <c r="L594" s="32">
        <f>IF($A594=1,"مبيعات - تحصيل INSTA","")</f>
        <v/>
      </c>
      <c r="M594" s="43">
        <f>IF($A594=1,Sales_Daily!$P50,"")</f>
        <v/>
      </c>
      <c r="N594" s="43">
        <f>IF($A594=1,0,"")</f>
        <v/>
      </c>
      <c r="O594" s="32">
        <f>IF($A594=1,Sales_Daily!$S50,"")</f>
        <v/>
      </c>
      <c r="P594" s="32">
        <f>IF($A594=1,IF(Sales_Daily!$AW50="","",Sales_Daily!$AW50),"")</f>
        <v/>
      </c>
      <c r="Q594" s="32">
        <f>IF($A594=1,Sales_Daily!$AY50,"")</f>
        <v/>
      </c>
      <c r="R594" s="32">
        <f>IF($A594=1,IF(AND($Q594=1,COUNTIFS(COA!$A:$A,$G594,COA!$R:$R,1)=1),1,0),"")</f>
        <v/>
      </c>
      <c r="S594" s="43">
        <f>IF($A594=1,IF($R594=1,N($M594),0),"")</f>
        <v/>
      </c>
      <c r="T594" s="43">
        <f>IF($A594=1,IF($R594=1,N($N594),0),"")</f>
        <v/>
      </c>
      <c r="U594" s="32">
        <f>IF($A594=1,YEAR($D594)*100+MONTH($D594),"")</f>
        <v/>
      </c>
      <c r="V594" s="32">
        <f>IF($A594=1,IF(COUNTIF(COA!$A:$A,$G594)=0,0,INDEX(COA!$H:$H,MATCH($G594,COA!$A:$A,0))),"")</f>
        <v/>
      </c>
      <c r="W594" s="32">
        <f>IF($A594=1,"OPERATING","")</f>
        <v/>
      </c>
      <c r="X594" s="32">
        <f>IF($A594=1,IF($R594=1,"",IF($O594=ST_POST,IF($P594&lt;&gt;"",$P594,"حساب غير صالح أو غير نشط"),IF($O594=ST_REV,"معكوس: لا أثر على الدفاتر",IF($O594=ST_CANC,"ملغى",IF($O594=ST_APPR,"معتمد ولم يُرحَّل","مسودة"))))),"")</f>
        <v/>
      </c>
      <c r="Y594" s="32">
        <f>IF($A594=1,IF(AND($R594=1,OR(LG_Acct="",$G594=LG_Acct),OR(LG_Party="",$K594=LG_Party),OR(LG_Loc="ALL",$I594=LG_Loc),OR(LG_CC="ALL",$J594=LG_CC),$D594&gt;=LG_From,$D594&lt;=LG_To),$D594+ROW()/1000000,""),"")</f>
        <v/>
      </c>
      <c r="Z594" s="32">
        <f>IF($A594=1,IF(Sales_Daily!$T50="","",Sales_Daily!$T50),"")</f>
        <v/>
      </c>
      <c r="AA594" s="32">
        <f>IF($A594=1,IF(Sales_Daily!$U50="","",Sales_Daily!$U50),"")</f>
        <v/>
      </c>
      <c r="AB594" s="32">
        <f>IF($A594=1,IF(Sales_Daily!$V50="","",Sales_Daily!$V50),"")</f>
        <v/>
      </c>
      <c r="AC594" s="32">
        <f>IF($A594=1,IF(Sales_Daily!$W50="","",Sales_Daily!$W50),"")</f>
        <v/>
      </c>
      <c r="AD594" s="32">
        <f>IF($A594=1,IF(Sales_Daily!$X50="","",Sales_Daily!$X50),"")</f>
        <v/>
      </c>
      <c r="AE594" s="32">
        <f>IF($A594=1,0,"")</f>
        <v/>
      </c>
      <c r="AF594" s="32" t="inlineStr"/>
    </row>
    <row r="595">
      <c r="A595" s="32">
        <f>IF(AND(Sales_Daily!$AV50=1,N(Sales_Daily!$Q50)&gt;0),1,0)</f>
        <v/>
      </c>
      <c r="B595" s="32">
        <f>IF($A595=1,$E595&amp;"/6","")</f>
        <v/>
      </c>
      <c r="C595" s="32">
        <f>IF($A595=1,"J-"&amp;Sales_Daily!$A50,"")</f>
        <v/>
      </c>
      <c r="D595" s="33">
        <f>IF($A595=1,Sales_Daily!$B50,"")</f>
        <v/>
      </c>
      <c r="E595" s="32">
        <f>IF($A595=1,IF(Sales_Daily!$A50="","",Sales_Daily!$A50),"")</f>
        <v/>
      </c>
      <c r="F595" s="32">
        <f>IF($A595=1,"SAL","")</f>
        <v/>
      </c>
      <c r="G595" s="32">
        <f>IF($A595=1,IF(Sales_Daily!$AP50="","",Sales_Daily!$AP50),"")</f>
        <v/>
      </c>
      <c r="H595" s="32">
        <f>IF($A595=1,IF(COUNTIF(COA!$A:$A,$G595)=0,"حساب غير معرف",INDEX(COA!$B:$B,MATCH($G595,COA!$A:$A,0))),"")</f>
        <v/>
      </c>
      <c r="I595" s="32">
        <f>IF($A595=1,IF(Sales_Daily!$C50="","",Sales_Daily!$C50),"")</f>
        <v/>
      </c>
      <c r="J595" s="32">
        <f>IF($A595=1,"CC10","")</f>
        <v/>
      </c>
      <c r="K595" s="32">
        <f>IF($A595=1,"-","")</f>
        <v/>
      </c>
      <c r="L595" s="32">
        <f>IF($A595=1,"مبيعات - تحصيل OTH","")</f>
        <v/>
      </c>
      <c r="M595" s="43">
        <f>IF($A595=1,Sales_Daily!$Q50,"")</f>
        <v/>
      </c>
      <c r="N595" s="43">
        <f>IF($A595=1,0,"")</f>
        <v/>
      </c>
      <c r="O595" s="32">
        <f>IF($A595=1,Sales_Daily!$S50,"")</f>
        <v/>
      </c>
      <c r="P595" s="32">
        <f>IF($A595=1,IF(Sales_Daily!$AW50="","",Sales_Daily!$AW50),"")</f>
        <v/>
      </c>
      <c r="Q595" s="32">
        <f>IF($A595=1,Sales_Daily!$AY50,"")</f>
        <v/>
      </c>
      <c r="R595" s="32">
        <f>IF($A595=1,IF(AND($Q595=1,COUNTIFS(COA!$A:$A,$G595,COA!$R:$R,1)=1),1,0),"")</f>
        <v/>
      </c>
      <c r="S595" s="43">
        <f>IF($A595=1,IF($R595=1,N($M595),0),"")</f>
        <v/>
      </c>
      <c r="T595" s="43">
        <f>IF($A595=1,IF($R595=1,N($N595),0),"")</f>
        <v/>
      </c>
      <c r="U595" s="32">
        <f>IF($A595=1,YEAR($D595)*100+MONTH($D595),"")</f>
        <v/>
      </c>
      <c r="V595" s="32">
        <f>IF($A595=1,IF(COUNTIF(COA!$A:$A,$G595)=0,0,INDEX(COA!$H:$H,MATCH($G595,COA!$A:$A,0))),"")</f>
        <v/>
      </c>
      <c r="W595" s="32">
        <f>IF($A595=1,"OPERATING","")</f>
        <v/>
      </c>
      <c r="X595" s="32">
        <f>IF($A595=1,IF($R595=1,"",IF($O595=ST_POST,IF($P595&lt;&gt;"",$P595,"حساب غير صالح أو غير نشط"),IF($O595=ST_REV,"معكوس: لا أثر على الدفاتر",IF($O595=ST_CANC,"ملغى",IF($O595=ST_APPR,"معتمد ولم يُرحَّل","مسودة"))))),"")</f>
        <v/>
      </c>
      <c r="Y595" s="32">
        <f>IF($A595=1,IF(AND($R595=1,OR(LG_Acct="",$G595=LG_Acct),OR(LG_Party="",$K595=LG_Party),OR(LG_Loc="ALL",$I595=LG_Loc),OR(LG_CC="ALL",$J595=LG_CC),$D595&gt;=LG_From,$D595&lt;=LG_To),$D595+ROW()/1000000,""),"")</f>
        <v/>
      </c>
      <c r="Z595" s="32">
        <f>IF($A595=1,IF(Sales_Daily!$T50="","",Sales_Daily!$T50),"")</f>
        <v/>
      </c>
      <c r="AA595" s="32">
        <f>IF($A595=1,IF(Sales_Daily!$U50="","",Sales_Daily!$U50),"")</f>
        <v/>
      </c>
      <c r="AB595" s="32">
        <f>IF($A595=1,IF(Sales_Daily!$V50="","",Sales_Daily!$V50),"")</f>
        <v/>
      </c>
      <c r="AC595" s="32">
        <f>IF($A595=1,IF(Sales_Daily!$W50="","",Sales_Daily!$W50),"")</f>
        <v/>
      </c>
      <c r="AD595" s="32">
        <f>IF($A595=1,IF(Sales_Daily!$X50="","",Sales_Daily!$X50),"")</f>
        <v/>
      </c>
      <c r="AE595" s="32">
        <f>IF($A595=1,0,"")</f>
        <v/>
      </c>
      <c r="AF595" s="32" t="inlineStr"/>
    </row>
    <row r="596">
      <c r="A596" s="32">
        <f>IF(AND(Sales_Daily!$AV50=1,N(Sales_Daily!$AH50)&gt;0),1,0)</f>
        <v/>
      </c>
      <c r="B596" s="32">
        <f>IF($A596=1,$E596&amp;"/7","")</f>
        <v/>
      </c>
      <c r="C596" s="32">
        <f>IF($A596=1,"J-"&amp;Sales_Daily!$A50,"")</f>
        <v/>
      </c>
      <c r="D596" s="33">
        <f>IF($A596=1,Sales_Daily!$B50,"")</f>
        <v/>
      </c>
      <c r="E596" s="32">
        <f>IF($A596=1,IF(Sales_Daily!$A50="","",Sales_Daily!$A50),"")</f>
        <v/>
      </c>
      <c r="F596" s="32">
        <f>IF($A596=1,"SAL","")</f>
        <v/>
      </c>
      <c r="G596" s="32">
        <f>IF($A596=1,ACC_DISC,"")</f>
        <v/>
      </c>
      <c r="H596" s="32">
        <f>IF($A596=1,IF(COUNTIF(COA!$A:$A,$G596)=0,"حساب غير معرف",INDEX(COA!$B:$B,MATCH($G596,COA!$A:$A,0))),"")</f>
        <v/>
      </c>
      <c r="I596" s="32">
        <f>IF($A596=1,IF(Sales_Daily!$C50="","",Sales_Daily!$C50),"")</f>
        <v/>
      </c>
      <c r="J596" s="32">
        <f>IF($A596=1,"CC10","")</f>
        <v/>
      </c>
      <c r="K596" s="32">
        <f>IF($A596=1,"-","")</f>
        <v/>
      </c>
      <c r="L596" s="32">
        <f>IF($A596=1,"خصومات المبيعات والعروض","")</f>
        <v/>
      </c>
      <c r="M596" s="43">
        <f>IF($A596=1,Sales_Daily!$AH50,"")</f>
        <v/>
      </c>
      <c r="N596" s="43">
        <f>IF($A596=1,0,"")</f>
        <v/>
      </c>
      <c r="O596" s="32">
        <f>IF($A596=1,Sales_Daily!$S50,"")</f>
        <v/>
      </c>
      <c r="P596" s="32">
        <f>IF($A596=1,IF(Sales_Daily!$AW50="","",Sales_Daily!$AW50),"")</f>
        <v/>
      </c>
      <c r="Q596" s="32">
        <f>IF($A596=1,Sales_Daily!$AY50,"")</f>
        <v/>
      </c>
      <c r="R596" s="32">
        <f>IF($A596=1,IF(AND($Q596=1,COUNTIFS(COA!$A:$A,$G596,COA!$R:$R,1)=1),1,0),"")</f>
        <v/>
      </c>
      <c r="S596" s="43">
        <f>IF($A596=1,IF($R596=1,N($M596),0),"")</f>
        <v/>
      </c>
      <c r="T596" s="43">
        <f>IF($A596=1,IF($R596=1,N($N596),0),"")</f>
        <v/>
      </c>
      <c r="U596" s="32">
        <f>IF($A596=1,YEAR($D596)*100+MONTH($D596),"")</f>
        <v/>
      </c>
      <c r="V596" s="32">
        <f>IF($A596=1,IF(COUNTIF(COA!$A:$A,$G596)=0,0,INDEX(COA!$H:$H,MATCH($G596,COA!$A:$A,0))),"")</f>
        <v/>
      </c>
      <c r="W596" s="32">
        <f>IF($A596=1,"","")</f>
        <v/>
      </c>
      <c r="X596" s="32">
        <f>IF($A596=1,IF($R596=1,"",IF($O596=ST_POST,IF($P596&lt;&gt;"",$P596,"حساب غير صالح أو غير نشط"),IF($O596=ST_REV,"معكوس: لا أثر على الدفاتر",IF($O596=ST_CANC,"ملغى",IF($O596=ST_APPR,"معتمد ولم يُرحَّل","مسودة"))))),"")</f>
        <v/>
      </c>
      <c r="Y596" s="32">
        <f>IF($A596=1,IF(AND($R596=1,OR(LG_Acct="",$G596=LG_Acct),OR(LG_Party="",$K596=LG_Party),OR(LG_Loc="ALL",$I596=LG_Loc),OR(LG_CC="ALL",$J596=LG_CC),$D596&gt;=LG_From,$D596&lt;=LG_To),$D596+ROW()/1000000,""),"")</f>
        <v/>
      </c>
      <c r="Z596" s="32">
        <f>IF($A596=1,IF(Sales_Daily!$T50="","",Sales_Daily!$T50),"")</f>
        <v/>
      </c>
      <c r="AA596" s="32">
        <f>IF($A596=1,IF(Sales_Daily!$U50="","",Sales_Daily!$U50),"")</f>
        <v/>
      </c>
      <c r="AB596" s="32">
        <f>IF($A596=1,IF(Sales_Daily!$V50="","",Sales_Daily!$V50),"")</f>
        <v/>
      </c>
      <c r="AC596" s="32">
        <f>IF($A596=1,IF(Sales_Daily!$W50="","",Sales_Daily!$W50),"")</f>
        <v/>
      </c>
      <c r="AD596" s="32">
        <f>IF($A596=1,IF(Sales_Daily!$X50="","",Sales_Daily!$X50),"")</f>
        <v/>
      </c>
      <c r="AE596" s="32">
        <f>IF($A596=1,0,"")</f>
        <v/>
      </c>
      <c r="AF596" s="32" t="inlineStr"/>
    </row>
    <row r="597">
      <c r="A597" s="32">
        <f>IF(AND(Sales_Daily!$AV50=1,N(Sales_Daily!$AI50)&gt;0),1,0)</f>
        <v/>
      </c>
      <c r="B597" s="32">
        <f>IF($A597=1,$E597&amp;"/8","")</f>
        <v/>
      </c>
      <c r="C597" s="32">
        <f>IF($A597=1,"J-"&amp;Sales_Daily!$A50,"")</f>
        <v/>
      </c>
      <c r="D597" s="33">
        <f>IF($A597=1,Sales_Daily!$B50,"")</f>
        <v/>
      </c>
      <c r="E597" s="32">
        <f>IF($A597=1,IF(Sales_Daily!$A50="","",Sales_Daily!$A50),"")</f>
        <v/>
      </c>
      <c r="F597" s="32">
        <f>IF($A597=1,"SAL","")</f>
        <v/>
      </c>
      <c r="G597" s="32">
        <f>IF($A597=1,ACC_RET,"")</f>
        <v/>
      </c>
      <c r="H597" s="32">
        <f>IF($A597=1,IF(COUNTIF(COA!$A:$A,$G597)=0,"حساب غير معرف",INDEX(COA!$B:$B,MATCH($G597,COA!$A:$A,0))),"")</f>
        <v/>
      </c>
      <c r="I597" s="32">
        <f>IF($A597=1,IF(Sales_Daily!$C50="","",Sales_Daily!$C50),"")</f>
        <v/>
      </c>
      <c r="J597" s="32">
        <f>IF($A597=1,"CC10","")</f>
        <v/>
      </c>
      <c r="K597" s="32">
        <f>IF($A597=1,"-","")</f>
        <v/>
      </c>
      <c r="L597" s="32">
        <f>IF($A597=1,"مرتجعات وإلغاءات المبيعات","")</f>
        <v/>
      </c>
      <c r="M597" s="43">
        <f>IF($A597=1,Sales_Daily!$AI50,"")</f>
        <v/>
      </c>
      <c r="N597" s="43">
        <f>IF($A597=1,0,"")</f>
        <v/>
      </c>
      <c r="O597" s="32">
        <f>IF($A597=1,Sales_Daily!$S50,"")</f>
        <v/>
      </c>
      <c r="P597" s="32">
        <f>IF($A597=1,IF(Sales_Daily!$AW50="","",Sales_Daily!$AW50),"")</f>
        <v/>
      </c>
      <c r="Q597" s="32">
        <f>IF($A597=1,Sales_Daily!$AY50,"")</f>
        <v/>
      </c>
      <c r="R597" s="32">
        <f>IF($A597=1,IF(AND($Q597=1,COUNTIFS(COA!$A:$A,$G597,COA!$R:$R,1)=1),1,0),"")</f>
        <v/>
      </c>
      <c r="S597" s="43">
        <f>IF($A597=1,IF($R597=1,N($M597),0),"")</f>
        <v/>
      </c>
      <c r="T597" s="43">
        <f>IF($A597=1,IF($R597=1,N($N597),0),"")</f>
        <v/>
      </c>
      <c r="U597" s="32">
        <f>IF($A597=1,YEAR($D597)*100+MONTH($D597),"")</f>
        <v/>
      </c>
      <c r="V597" s="32">
        <f>IF($A597=1,IF(COUNTIF(COA!$A:$A,$G597)=0,0,INDEX(COA!$H:$H,MATCH($G597,COA!$A:$A,0))),"")</f>
        <v/>
      </c>
      <c r="W597" s="32">
        <f>IF($A597=1,"","")</f>
        <v/>
      </c>
      <c r="X597" s="32">
        <f>IF($A597=1,IF($R597=1,"",IF($O597=ST_POST,IF($P597&lt;&gt;"",$P597,"حساب غير صالح أو غير نشط"),IF($O597=ST_REV,"معكوس: لا أثر على الدفاتر",IF($O597=ST_CANC,"ملغى",IF($O597=ST_APPR,"معتمد ولم يُرحَّل","مسودة"))))),"")</f>
        <v/>
      </c>
      <c r="Y597" s="32">
        <f>IF($A597=1,IF(AND($R597=1,OR(LG_Acct="",$G597=LG_Acct),OR(LG_Party="",$K597=LG_Party),OR(LG_Loc="ALL",$I597=LG_Loc),OR(LG_CC="ALL",$J597=LG_CC),$D597&gt;=LG_From,$D597&lt;=LG_To),$D597+ROW()/1000000,""),"")</f>
        <v/>
      </c>
      <c r="Z597" s="32">
        <f>IF($A597=1,IF(Sales_Daily!$T50="","",Sales_Daily!$T50),"")</f>
        <v/>
      </c>
      <c r="AA597" s="32">
        <f>IF($A597=1,IF(Sales_Daily!$U50="","",Sales_Daily!$U50),"")</f>
        <v/>
      </c>
      <c r="AB597" s="32">
        <f>IF($A597=1,IF(Sales_Daily!$V50="","",Sales_Daily!$V50),"")</f>
        <v/>
      </c>
      <c r="AC597" s="32">
        <f>IF($A597=1,IF(Sales_Daily!$W50="","",Sales_Daily!$W50),"")</f>
        <v/>
      </c>
      <c r="AD597" s="32">
        <f>IF($A597=1,IF(Sales_Daily!$X50="","",Sales_Daily!$X50),"")</f>
        <v/>
      </c>
      <c r="AE597" s="32">
        <f>IF($A597=1,0,"")</f>
        <v/>
      </c>
      <c r="AF597" s="32" t="inlineStr"/>
    </row>
    <row r="598">
      <c r="A598" s="32">
        <f>IF(AND(Sales_Daily!$AV50=1,N(Sales_Daily!$AD50)&gt;0),1,0)</f>
        <v/>
      </c>
      <c r="B598" s="32">
        <f>IF($A598=1,$E598&amp;"/9","")</f>
        <v/>
      </c>
      <c r="C598" s="32">
        <f>IF($A598=1,"J-"&amp;Sales_Daily!$A50,"")</f>
        <v/>
      </c>
      <c r="D598" s="33">
        <f>IF($A598=1,Sales_Daily!$B50,"")</f>
        <v/>
      </c>
      <c r="E598" s="32">
        <f>IF($A598=1,IF(Sales_Daily!$A50="","",Sales_Daily!$A50),"")</f>
        <v/>
      </c>
      <c r="F598" s="32">
        <f>IF($A598=1,"SAL","")</f>
        <v/>
      </c>
      <c r="G598" s="32">
        <f>IF($A598=1,IF(Sales_Daily!$AQ50="","",Sales_Daily!$AQ50),"")</f>
        <v/>
      </c>
      <c r="H598" s="32">
        <f>IF($A598=1,IF(COUNTIF(COA!$A:$A,$G598)=0,"حساب غير معرف",INDEX(COA!$B:$B,MATCH($G598,COA!$A:$A,0))),"")</f>
        <v/>
      </c>
      <c r="I598" s="32">
        <f>IF($A598=1,IF(Sales_Daily!$C50="","",Sales_Daily!$C50),"")</f>
        <v/>
      </c>
      <c r="J598" s="32">
        <f>IF($A598=1,"CC10","")</f>
        <v/>
      </c>
      <c r="K598" s="32">
        <f>IF($A598=1,"-","")</f>
        <v/>
      </c>
      <c r="L598" s="32">
        <f>IF($A598=1,"إيراد مبيعات - فئة فطير","")</f>
        <v/>
      </c>
      <c r="M598" s="43">
        <f>IF($A598=1,0,"")</f>
        <v/>
      </c>
      <c r="N598" s="43">
        <f>IF($A598=1,Sales_Daily!$AD50,"")</f>
        <v/>
      </c>
      <c r="O598" s="32">
        <f>IF($A598=1,Sales_Daily!$S50,"")</f>
        <v/>
      </c>
      <c r="P598" s="32">
        <f>IF($A598=1,IF(Sales_Daily!$AW50="","",Sales_Daily!$AW50),"")</f>
        <v/>
      </c>
      <c r="Q598" s="32">
        <f>IF($A598=1,Sales_Daily!$AY50,"")</f>
        <v/>
      </c>
      <c r="R598" s="32">
        <f>IF($A598=1,IF(AND($Q598=1,COUNTIFS(COA!$A:$A,$G598,COA!$R:$R,1)=1),1,0),"")</f>
        <v/>
      </c>
      <c r="S598" s="43">
        <f>IF($A598=1,IF($R598=1,N($M598),0),"")</f>
        <v/>
      </c>
      <c r="T598" s="43">
        <f>IF($A598=1,IF($R598=1,N($N598),0),"")</f>
        <v/>
      </c>
      <c r="U598" s="32">
        <f>IF($A598=1,YEAR($D598)*100+MONTH($D598),"")</f>
        <v/>
      </c>
      <c r="V598" s="32">
        <f>IF($A598=1,IF(COUNTIF(COA!$A:$A,$G598)=0,0,INDEX(COA!$H:$H,MATCH($G598,COA!$A:$A,0))),"")</f>
        <v/>
      </c>
      <c r="W598" s="32">
        <f>IF($A598=1,"","")</f>
        <v/>
      </c>
      <c r="X598" s="32">
        <f>IF($A598=1,IF($R598=1,"",IF($O598=ST_POST,IF($P598&lt;&gt;"",$P598,"حساب غير صالح أو غير نشط"),IF($O598=ST_REV,"معكوس: لا أثر على الدفاتر",IF($O598=ST_CANC,"ملغى",IF($O598=ST_APPR,"معتمد ولم يُرحَّل","مسودة"))))),"")</f>
        <v/>
      </c>
      <c r="Y598" s="32">
        <f>IF($A598=1,IF(AND($R598=1,OR(LG_Acct="",$G598=LG_Acct),OR(LG_Party="",$K598=LG_Party),OR(LG_Loc="ALL",$I598=LG_Loc),OR(LG_CC="ALL",$J598=LG_CC),$D598&gt;=LG_From,$D598&lt;=LG_To),$D598+ROW()/1000000,""),"")</f>
        <v/>
      </c>
      <c r="Z598" s="32">
        <f>IF($A598=1,IF(Sales_Daily!$T50="","",Sales_Daily!$T50),"")</f>
        <v/>
      </c>
      <c r="AA598" s="32">
        <f>IF($A598=1,IF(Sales_Daily!$U50="","",Sales_Daily!$U50),"")</f>
        <v/>
      </c>
      <c r="AB598" s="32">
        <f>IF($A598=1,IF(Sales_Daily!$V50="","",Sales_Daily!$V50),"")</f>
        <v/>
      </c>
      <c r="AC598" s="32">
        <f>IF($A598=1,IF(Sales_Daily!$W50="","",Sales_Daily!$W50),"")</f>
        <v/>
      </c>
      <c r="AD598" s="32">
        <f>IF($A598=1,IF(Sales_Daily!$X50="","",Sales_Daily!$X50),"")</f>
        <v/>
      </c>
      <c r="AE598" s="32">
        <f>IF($A598=1,0,"")</f>
        <v/>
      </c>
      <c r="AF598" s="32" t="inlineStr"/>
    </row>
    <row r="599">
      <c r="A599" s="32">
        <f>IF(AND(Sales_Daily!$AV50=1,N(Sales_Daily!$AE50)&gt;0),1,0)</f>
        <v/>
      </c>
      <c r="B599" s="32">
        <f>IF($A599=1,$E599&amp;"/10","")</f>
        <v/>
      </c>
      <c r="C599" s="32">
        <f>IF($A599=1,"J-"&amp;Sales_Daily!$A50,"")</f>
        <v/>
      </c>
      <c r="D599" s="33">
        <f>IF($A599=1,Sales_Daily!$B50,"")</f>
        <v/>
      </c>
      <c r="E599" s="32">
        <f>IF($A599=1,IF(Sales_Daily!$A50="","",Sales_Daily!$A50),"")</f>
        <v/>
      </c>
      <c r="F599" s="32">
        <f>IF($A599=1,"SAL","")</f>
        <v/>
      </c>
      <c r="G599" s="32">
        <f>IF($A599=1,IF(Sales_Daily!$AR50="","",Sales_Daily!$AR50),"")</f>
        <v/>
      </c>
      <c r="H599" s="32">
        <f>IF($A599=1,IF(COUNTIF(COA!$A:$A,$G599)=0,"حساب غير معرف",INDEX(COA!$B:$B,MATCH($G599,COA!$A:$A,0))),"")</f>
        <v/>
      </c>
      <c r="I599" s="32">
        <f>IF($A599=1,IF(Sales_Daily!$C50="","",Sales_Daily!$C50),"")</f>
        <v/>
      </c>
      <c r="J599" s="32">
        <f>IF($A599=1,"CC10","")</f>
        <v/>
      </c>
      <c r="K599" s="32">
        <f>IF($A599=1,"-","")</f>
        <v/>
      </c>
      <c r="L599" s="32">
        <f>IF($A599=1,"إيراد مبيعات - فئة بيتزا","")</f>
        <v/>
      </c>
      <c r="M599" s="43">
        <f>IF($A599=1,0,"")</f>
        <v/>
      </c>
      <c r="N599" s="43">
        <f>IF($A599=1,Sales_Daily!$AE50,"")</f>
        <v/>
      </c>
      <c r="O599" s="32">
        <f>IF($A599=1,Sales_Daily!$S50,"")</f>
        <v/>
      </c>
      <c r="P599" s="32">
        <f>IF($A599=1,IF(Sales_Daily!$AW50="","",Sales_Daily!$AW50),"")</f>
        <v/>
      </c>
      <c r="Q599" s="32">
        <f>IF($A599=1,Sales_Daily!$AY50,"")</f>
        <v/>
      </c>
      <c r="R599" s="32">
        <f>IF($A599=1,IF(AND($Q599=1,COUNTIFS(COA!$A:$A,$G599,COA!$R:$R,1)=1),1,0),"")</f>
        <v/>
      </c>
      <c r="S599" s="43">
        <f>IF($A599=1,IF($R599=1,N($M599),0),"")</f>
        <v/>
      </c>
      <c r="T599" s="43">
        <f>IF($A599=1,IF($R599=1,N($N599),0),"")</f>
        <v/>
      </c>
      <c r="U599" s="32">
        <f>IF($A599=1,YEAR($D599)*100+MONTH($D599),"")</f>
        <v/>
      </c>
      <c r="V599" s="32">
        <f>IF($A599=1,IF(COUNTIF(COA!$A:$A,$G599)=0,0,INDEX(COA!$H:$H,MATCH($G599,COA!$A:$A,0))),"")</f>
        <v/>
      </c>
      <c r="W599" s="32">
        <f>IF($A599=1,"","")</f>
        <v/>
      </c>
      <c r="X599" s="32">
        <f>IF($A599=1,IF($R599=1,"",IF($O599=ST_POST,IF($P599&lt;&gt;"",$P599,"حساب غير صالح أو غير نشط"),IF($O599=ST_REV,"معكوس: لا أثر على الدفاتر",IF($O599=ST_CANC,"ملغى",IF($O599=ST_APPR,"معتمد ولم يُرحَّل","مسودة"))))),"")</f>
        <v/>
      </c>
      <c r="Y599" s="32">
        <f>IF($A599=1,IF(AND($R599=1,OR(LG_Acct="",$G599=LG_Acct),OR(LG_Party="",$K599=LG_Party),OR(LG_Loc="ALL",$I599=LG_Loc),OR(LG_CC="ALL",$J599=LG_CC),$D599&gt;=LG_From,$D599&lt;=LG_To),$D599+ROW()/1000000,""),"")</f>
        <v/>
      </c>
      <c r="Z599" s="32">
        <f>IF($A599=1,IF(Sales_Daily!$T50="","",Sales_Daily!$T50),"")</f>
        <v/>
      </c>
      <c r="AA599" s="32">
        <f>IF($A599=1,IF(Sales_Daily!$U50="","",Sales_Daily!$U50),"")</f>
        <v/>
      </c>
      <c r="AB599" s="32">
        <f>IF($A599=1,IF(Sales_Daily!$V50="","",Sales_Daily!$V50),"")</f>
        <v/>
      </c>
      <c r="AC599" s="32">
        <f>IF($A599=1,IF(Sales_Daily!$W50="","",Sales_Daily!$W50),"")</f>
        <v/>
      </c>
      <c r="AD599" s="32">
        <f>IF($A599=1,IF(Sales_Daily!$X50="","",Sales_Daily!$X50),"")</f>
        <v/>
      </c>
      <c r="AE599" s="32">
        <f>IF($A599=1,0,"")</f>
        <v/>
      </c>
      <c r="AF599" s="32" t="inlineStr"/>
    </row>
    <row r="600">
      <c r="A600" s="32">
        <f>IF(AND(Sales_Daily!$AV50=1,N(Sales_Daily!$AF50)&gt;0),1,0)</f>
        <v/>
      </c>
      <c r="B600" s="32">
        <f>IF($A600=1,$E600&amp;"/11","")</f>
        <v/>
      </c>
      <c r="C600" s="32">
        <f>IF($A600=1,"J-"&amp;Sales_Daily!$A50,"")</f>
        <v/>
      </c>
      <c r="D600" s="33">
        <f>IF($A600=1,Sales_Daily!$B50,"")</f>
        <v/>
      </c>
      <c r="E600" s="32">
        <f>IF($A600=1,IF(Sales_Daily!$A50="","",Sales_Daily!$A50),"")</f>
        <v/>
      </c>
      <c r="F600" s="32">
        <f>IF($A600=1,"SAL","")</f>
        <v/>
      </c>
      <c r="G600" s="32">
        <f>IF($A600=1,IF(Sales_Daily!$AS50="","",Sales_Daily!$AS50),"")</f>
        <v/>
      </c>
      <c r="H600" s="32">
        <f>IF($A600=1,IF(COUNTIF(COA!$A:$A,$G600)=0,"حساب غير معرف",INDEX(COA!$B:$B,MATCH($G600,COA!$A:$A,0))),"")</f>
        <v/>
      </c>
      <c r="I600" s="32">
        <f>IF($A600=1,IF(Sales_Daily!$C50="","",Sales_Daily!$C50),"")</f>
        <v/>
      </c>
      <c r="J600" s="32">
        <f>IF($A600=1,"CC10","")</f>
        <v/>
      </c>
      <c r="K600" s="32">
        <f>IF($A600=1,"-","")</f>
        <v/>
      </c>
      <c r="L600" s="32">
        <f>IF($A600=1,"إيراد مبيعات - فئة مكرونات","")</f>
        <v/>
      </c>
      <c r="M600" s="43">
        <f>IF($A600=1,0,"")</f>
        <v/>
      </c>
      <c r="N600" s="43">
        <f>IF($A600=1,Sales_Daily!$AF50,"")</f>
        <v/>
      </c>
      <c r="O600" s="32">
        <f>IF($A600=1,Sales_Daily!$S50,"")</f>
        <v/>
      </c>
      <c r="P600" s="32">
        <f>IF($A600=1,IF(Sales_Daily!$AW50="","",Sales_Daily!$AW50),"")</f>
        <v/>
      </c>
      <c r="Q600" s="32">
        <f>IF($A600=1,Sales_Daily!$AY50,"")</f>
        <v/>
      </c>
      <c r="R600" s="32">
        <f>IF($A600=1,IF(AND($Q600=1,COUNTIFS(COA!$A:$A,$G600,COA!$R:$R,1)=1),1,0),"")</f>
        <v/>
      </c>
      <c r="S600" s="43">
        <f>IF($A600=1,IF($R600=1,N($M600),0),"")</f>
        <v/>
      </c>
      <c r="T600" s="43">
        <f>IF($A600=1,IF($R600=1,N($N600),0),"")</f>
        <v/>
      </c>
      <c r="U600" s="32">
        <f>IF($A600=1,YEAR($D600)*100+MONTH($D600),"")</f>
        <v/>
      </c>
      <c r="V600" s="32">
        <f>IF($A600=1,IF(COUNTIF(COA!$A:$A,$G600)=0,0,INDEX(COA!$H:$H,MATCH($G600,COA!$A:$A,0))),"")</f>
        <v/>
      </c>
      <c r="W600" s="32">
        <f>IF($A600=1,"","")</f>
        <v/>
      </c>
      <c r="X600" s="32">
        <f>IF($A600=1,IF($R600=1,"",IF($O600=ST_POST,IF($P600&lt;&gt;"",$P600,"حساب غير صالح أو غير نشط"),IF($O600=ST_REV,"معكوس: لا أثر على الدفاتر",IF($O600=ST_CANC,"ملغى",IF($O600=ST_APPR,"معتمد ولم يُرحَّل","مسودة"))))),"")</f>
        <v/>
      </c>
      <c r="Y600" s="32">
        <f>IF($A600=1,IF(AND($R600=1,OR(LG_Acct="",$G600=LG_Acct),OR(LG_Party="",$K600=LG_Party),OR(LG_Loc="ALL",$I600=LG_Loc),OR(LG_CC="ALL",$J600=LG_CC),$D600&gt;=LG_From,$D600&lt;=LG_To),$D600+ROW()/1000000,""),"")</f>
        <v/>
      </c>
      <c r="Z600" s="32">
        <f>IF($A600=1,IF(Sales_Daily!$T50="","",Sales_Daily!$T50),"")</f>
        <v/>
      </c>
      <c r="AA600" s="32">
        <f>IF($A600=1,IF(Sales_Daily!$U50="","",Sales_Daily!$U50),"")</f>
        <v/>
      </c>
      <c r="AB600" s="32">
        <f>IF($A600=1,IF(Sales_Daily!$V50="","",Sales_Daily!$V50),"")</f>
        <v/>
      </c>
      <c r="AC600" s="32">
        <f>IF($A600=1,IF(Sales_Daily!$W50="","",Sales_Daily!$W50),"")</f>
        <v/>
      </c>
      <c r="AD600" s="32">
        <f>IF($A600=1,IF(Sales_Daily!$X50="","",Sales_Daily!$X50),"")</f>
        <v/>
      </c>
      <c r="AE600" s="32">
        <f>IF($A600=1,0,"")</f>
        <v/>
      </c>
      <c r="AF600" s="32" t="inlineStr"/>
    </row>
    <row r="601">
      <c r="A601" s="32">
        <f>IF(AND(Sales_Daily!$AV50=1,N(Sales_Daily!$AG50)&gt;0),1,0)</f>
        <v/>
      </c>
      <c r="B601" s="32">
        <f>IF($A601=1,$E601&amp;"/12","")</f>
        <v/>
      </c>
      <c r="C601" s="32">
        <f>IF($A601=1,"J-"&amp;Sales_Daily!$A50,"")</f>
        <v/>
      </c>
      <c r="D601" s="33">
        <f>IF($A601=1,Sales_Daily!$B50,"")</f>
        <v/>
      </c>
      <c r="E601" s="32">
        <f>IF($A601=1,IF(Sales_Daily!$A50="","",Sales_Daily!$A50),"")</f>
        <v/>
      </c>
      <c r="F601" s="32">
        <f>IF($A601=1,"SAL","")</f>
        <v/>
      </c>
      <c r="G601" s="32">
        <f>IF($A601=1,IF(Sales_Daily!$AT50="","",Sales_Daily!$AT50),"")</f>
        <v/>
      </c>
      <c r="H601" s="32">
        <f>IF($A601=1,IF(COUNTIF(COA!$A:$A,$G601)=0,"حساب غير معرف",INDEX(COA!$B:$B,MATCH($G601,COA!$A:$A,0))),"")</f>
        <v/>
      </c>
      <c r="I601" s="32">
        <f>IF($A601=1,IF(Sales_Daily!$C50="","",Sales_Daily!$C50),"")</f>
        <v/>
      </c>
      <c r="J601" s="32">
        <f>IF($A601=1,"CC10","")</f>
        <v/>
      </c>
      <c r="K601" s="32">
        <f>IF($A601=1,"-","")</f>
        <v/>
      </c>
      <c r="L601" s="32">
        <f>IF($A601=1,"إيراد مبيعات - فئة أخرى","")</f>
        <v/>
      </c>
      <c r="M601" s="43">
        <f>IF($A601=1,0,"")</f>
        <v/>
      </c>
      <c r="N601" s="43">
        <f>IF($A601=1,Sales_Daily!$AG50,"")</f>
        <v/>
      </c>
      <c r="O601" s="32">
        <f>IF($A601=1,Sales_Daily!$S50,"")</f>
        <v/>
      </c>
      <c r="P601" s="32">
        <f>IF($A601=1,IF(Sales_Daily!$AW50="","",Sales_Daily!$AW50),"")</f>
        <v/>
      </c>
      <c r="Q601" s="32">
        <f>IF($A601=1,Sales_Daily!$AY50,"")</f>
        <v/>
      </c>
      <c r="R601" s="32">
        <f>IF($A601=1,IF(AND($Q601=1,COUNTIFS(COA!$A:$A,$G601,COA!$R:$R,1)=1),1,0),"")</f>
        <v/>
      </c>
      <c r="S601" s="43">
        <f>IF($A601=1,IF($R601=1,N($M601),0),"")</f>
        <v/>
      </c>
      <c r="T601" s="43">
        <f>IF($A601=1,IF($R601=1,N($N601),0),"")</f>
        <v/>
      </c>
      <c r="U601" s="32">
        <f>IF($A601=1,YEAR($D601)*100+MONTH($D601),"")</f>
        <v/>
      </c>
      <c r="V601" s="32">
        <f>IF($A601=1,IF(COUNTIF(COA!$A:$A,$G601)=0,0,INDEX(COA!$H:$H,MATCH($G601,COA!$A:$A,0))),"")</f>
        <v/>
      </c>
      <c r="W601" s="32">
        <f>IF($A601=1,"","")</f>
        <v/>
      </c>
      <c r="X601" s="32">
        <f>IF($A601=1,IF($R601=1,"",IF($O601=ST_POST,IF($P601&lt;&gt;"",$P601,"حساب غير صالح أو غير نشط"),IF($O601=ST_REV,"معكوس: لا أثر على الدفاتر",IF($O601=ST_CANC,"ملغى",IF($O601=ST_APPR,"معتمد ولم يُرحَّل","مسودة"))))),"")</f>
        <v/>
      </c>
      <c r="Y601" s="32">
        <f>IF($A601=1,IF(AND($R601=1,OR(LG_Acct="",$G601=LG_Acct),OR(LG_Party="",$K601=LG_Party),OR(LG_Loc="ALL",$I601=LG_Loc),OR(LG_CC="ALL",$J601=LG_CC),$D601&gt;=LG_From,$D601&lt;=LG_To),$D601+ROW()/1000000,""),"")</f>
        <v/>
      </c>
      <c r="Z601" s="32">
        <f>IF($A601=1,IF(Sales_Daily!$T50="","",Sales_Daily!$T50),"")</f>
        <v/>
      </c>
      <c r="AA601" s="32">
        <f>IF($A601=1,IF(Sales_Daily!$U50="","",Sales_Daily!$U50),"")</f>
        <v/>
      </c>
      <c r="AB601" s="32">
        <f>IF($A601=1,IF(Sales_Daily!$V50="","",Sales_Daily!$V50),"")</f>
        <v/>
      </c>
      <c r="AC601" s="32">
        <f>IF($A601=1,IF(Sales_Daily!$W50="","",Sales_Daily!$W50),"")</f>
        <v/>
      </c>
      <c r="AD601" s="32">
        <f>IF($A601=1,IF(Sales_Daily!$X50="","",Sales_Daily!$X50),"")</f>
        <v/>
      </c>
      <c r="AE601" s="32">
        <f>IF($A601=1,0,"")</f>
        <v/>
      </c>
      <c r="AF601" s="32" t="inlineStr"/>
    </row>
    <row r="602">
      <c r="A602" s="32">
        <f>IF(AND(Sales_Daily!$AV50=1,N(Sales_Daily!$AJ50)&gt;0),1,0)</f>
        <v/>
      </c>
      <c r="B602" s="32">
        <f>IF($A602=1,$E602&amp;"/13","")</f>
        <v/>
      </c>
      <c r="C602" s="32">
        <f>IF($A602=1,"J-"&amp;Sales_Daily!$A50,"")</f>
        <v/>
      </c>
      <c r="D602" s="33">
        <f>IF($A602=1,Sales_Daily!$B50,"")</f>
        <v/>
      </c>
      <c r="E602" s="32">
        <f>IF($A602=1,IF(Sales_Daily!$A50="","",Sales_Daily!$A50),"")</f>
        <v/>
      </c>
      <c r="F602" s="32">
        <f>IF($A602=1,"SAL","")</f>
        <v/>
      </c>
      <c r="G602" s="32">
        <f>IF($A602=1,ACC_VAT_OUT,"")</f>
        <v/>
      </c>
      <c r="H602" s="32">
        <f>IF($A602=1,IF(COUNTIF(COA!$A:$A,$G602)=0,"حساب غير معرف",INDEX(COA!$B:$B,MATCH($G602,COA!$A:$A,0))),"")</f>
        <v/>
      </c>
      <c r="I602" s="32">
        <f>IF($A602=1,IF(Sales_Daily!$C50="","",Sales_Daily!$C50),"")</f>
        <v/>
      </c>
      <c r="J602" s="32">
        <f>IF($A602=1,"CC10","")</f>
        <v/>
      </c>
      <c r="K602" s="32">
        <f>IF($A602=1,"-","")</f>
        <v/>
      </c>
      <c r="L602" s="32">
        <f>IF($A602=1,"ضريبة القيمة المضافة - مخرجات","")</f>
        <v/>
      </c>
      <c r="M602" s="43">
        <f>IF($A602=1,0,"")</f>
        <v/>
      </c>
      <c r="N602" s="43">
        <f>IF($A602=1,Sales_Daily!$AJ50,"")</f>
        <v/>
      </c>
      <c r="O602" s="32">
        <f>IF($A602=1,Sales_Daily!$S50,"")</f>
        <v/>
      </c>
      <c r="P602" s="32">
        <f>IF($A602=1,IF(Sales_Daily!$AW50="","",Sales_Daily!$AW50),"")</f>
        <v/>
      </c>
      <c r="Q602" s="32">
        <f>IF($A602=1,Sales_Daily!$AY50,"")</f>
        <v/>
      </c>
      <c r="R602" s="32">
        <f>IF($A602=1,IF(AND($Q602=1,COUNTIFS(COA!$A:$A,$G602,COA!$R:$R,1)=1),1,0),"")</f>
        <v/>
      </c>
      <c r="S602" s="43">
        <f>IF($A602=1,IF($R602=1,N($M602),0),"")</f>
        <v/>
      </c>
      <c r="T602" s="43">
        <f>IF($A602=1,IF($R602=1,N($N602),0),"")</f>
        <v/>
      </c>
      <c r="U602" s="32">
        <f>IF($A602=1,YEAR($D602)*100+MONTH($D602),"")</f>
        <v/>
      </c>
      <c r="V602" s="32">
        <f>IF($A602=1,IF(COUNTIF(COA!$A:$A,$G602)=0,0,INDEX(COA!$H:$H,MATCH($G602,COA!$A:$A,0))),"")</f>
        <v/>
      </c>
      <c r="W602" s="32">
        <f>IF($A602=1,"","")</f>
        <v/>
      </c>
      <c r="X602" s="32">
        <f>IF($A602=1,IF($R602=1,"",IF($O602=ST_POST,IF($P602&lt;&gt;"",$P602,"حساب غير صالح أو غير نشط"),IF($O602=ST_REV,"معكوس: لا أثر على الدفاتر",IF($O602=ST_CANC,"ملغى",IF($O602=ST_APPR,"معتمد ولم يُرحَّل","مسودة"))))),"")</f>
        <v/>
      </c>
      <c r="Y602" s="32">
        <f>IF($A602=1,IF(AND($R602=1,OR(LG_Acct="",$G602=LG_Acct),OR(LG_Party="",$K602=LG_Party),OR(LG_Loc="ALL",$I602=LG_Loc),OR(LG_CC="ALL",$J602=LG_CC),$D602&gt;=LG_From,$D602&lt;=LG_To),$D602+ROW()/1000000,""),"")</f>
        <v/>
      </c>
      <c r="Z602" s="32">
        <f>IF($A602=1,IF(Sales_Daily!$T50="","",Sales_Daily!$T50),"")</f>
        <v/>
      </c>
      <c r="AA602" s="32">
        <f>IF($A602=1,IF(Sales_Daily!$U50="","",Sales_Daily!$U50),"")</f>
        <v/>
      </c>
      <c r="AB602" s="32">
        <f>IF($A602=1,IF(Sales_Daily!$V50="","",Sales_Daily!$V50),"")</f>
        <v/>
      </c>
      <c r="AC602" s="32">
        <f>IF($A602=1,IF(Sales_Daily!$W50="","",Sales_Daily!$W50),"")</f>
        <v/>
      </c>
      <c r="AD602" s="32">
        <f>IF($A602=1,IF(Sales_Daily!$X50="","",Sales_Daily!$X50),"")</f>
        <v/>
      </c>
      <c r="AE602" s="32">
        <f>IF($A602=1,0,"")</f>
        <v/>
      </c>
      <c r="AF602" s="32" t="inlineStr"/>
    </row>
    <row r="603">
      <c r="A603" s="32">
        <f>IF(AND(Sales_Daily!$AV51=1,N(Sales_Daily!$L51)&gt;0),1,0)</f>
        <v/>
      </c>
      <c r="B603" s="32">
        <f>IF($A603=1,$E603&amp;"/1","")</f>
        <v/>
      </c>
      <c r="C603" s="32">
        <f>IF($A603=1,"J-"&amp;Sales_Daily!$A51,"")</f>
        <v/>
      </c>
      <c r="D603" s="33">
        <f>IF($A603=1,Sales_Daily!$B51,"")</f>
        <v/>
      </c>
      <c r="E603" s="32">
        <f>IF($A603=1,IF(Sales_Daily!$A51="","",Sales_Daily!$A51),"")</f>
        <v/>
      </c>
      <c r="F603" s="32">
        <f>IF($A603=1,"SAL","")</f>
        <v/>
      </c>
      <c r="G603" s="32">
        <f>IF($A603=1,IF(Sales_Daily!$AK51="","",Sales_Daily!$AK51),"")</f>
        <v/>
      </c>
      <c r="H603" s="32">
        <f>IF($A603=1,IF(COUNTIF(COA!$A:$A,$G603)=0,"حساب غير معرف",INDEX(COA!$B:$B,MATCH($G603,COA!$A:$A,0))),"")</f>
        <v/>
      </c>
      <c r="I603" s="32">
        <f>IF($A603=1,IF(Sales_Daily!$C51="","",Sales_Daily!$C51),"")</f>
        <v/>
      </c>
      <c r="J603" s="32">
        <f>IF($A603=1,"CC10","")</f>
        <v/>
      </c>
      <c r="K603" s="32">
        <f>IF($A603=1,"-","")</f>
        <v/>
      </c>
      <c r="L603" s="32">
        <f>IF($A603=1,"مبيعات - تحصيل CASH","")</f>
        <v/>
      </c>
      <c r="M603" s="43">
        <f>IF($A603=1,Sales_Daily!$L51,"")</f>
        <v/>
      </c>
      <c r="N603" s="43">
        <f>IF($A603=1,0,"")</f>
        <v/>
      </c>
      <c r="O603" s="32">
        <f>IF($A603=1,Sales_Daily!$S51,"")</f>
        <v/>
      </c>
      <c r="P603" s="32">
        <f>IF($A603=1,IF(Sales_Daily!$AW51="","",Sales_Daily!$AW51),"")</f>
        <v/>
      </c>
      <c r="Q603" s="32">
        <f>IF($A603=1,Sales_Daily!$AY51,"")</f>
        <v/>
      </c>
      <c r="R603" s="32">
        <f>IF($A603=1,IF(AND($Q603=1,COUNTIFS(COA!$A:$A,$G603,COA!$R:$R,1)=1),1,0),"")</f>
        <v/>
      </c>
      <c r="S603" s="43">
        <f>IF($A603=1,IF($R603=1,N($M603),0),"")</f>
        <v/>
      </c>
      <c r="T603" s="43">
        <f>IF($A603=1,IF($R603=1,N($N603),0),"")</f>
        <v/>
      </c>
      <c r="U603" s="32">
        <f>IF($A603=1,YEAR($D603)*100+MONTH($D603),"")</f>
        <v/>
      </c>
      <c r="V603" s="32">
        <f>IF($A603=1,IF(COUNTIF(COA!$A:$A,$G603)=0,0,INDEX(COA!$H:$H,MATCH($G603,COA!$A:$A,0))),"")</f>
        <v/>
      </c>
      <c r="W603" s="32">
        <f>IF($A603=1,"OPERATING","")</f>
        <v/>
      </c>
      <c r="X603" s="32">
        <f>IF($A603=1,IF($R603=1,"",IF($O603=ST_POST,IF($P603&lt;&gt;"",$P603,"حساب غير صالح أو غير نشط"),IF($O603=ST_REV,"معكوس: لا أثر على الدفاتر",IF($O603=ST_CANC,"ملغى",IF($O603=ST_APPR,"معتمد ولم يُرحَّل","مسودة"))))),"")</f>
        <v/>
      </c>
      <c r="Y603" s="32">
        <f>IF($A603=1,IF(AND($R603=1,OR(LG_Acct="",$G603=LG_Acct),OR(LG_Party="",$K603=LG_Party),OR(LG_Loc="ALL",$I603=LG_Loc),OR(LG_CC="ALL",$J603=LG_CC),$D603&gt;=LG_From,$D603&lt;=LG_To),$D603+ROW()/1000000,""),"")</f>
        <v/>
      </c>
      <c r="Z603" s="32">
        <f>IF($A603=1,IF(Sales_Daily!$T51="","",Sales_Daily!$T51),"")</f>
        <v/>
      </c>
      <c r="AA603" s="32">
        <f>IF($A603=1,IF(Sales_Daily!$U51="","",Sales_Daily!$U51),"")</f>
        <v/>
      </c>
      <c r="AB603" s="32">
        <f>IF($A603=1,IF(Sales_Daily!$V51="","",Sales_Daily!$V51),"")</f>
        <v/>
      </c>
      <c r="AC603" s="32">
        <f>IF($A603=1,IF(Sales_Daily!$W51="","",Sales_Daily!$W51),"")</f>
        <v/>
      </c>
      <c r="AD603" s="32">
        <f>IF($A603=1,IF(Sales_Daily!$X51="","",Sales_Daily!$X51),"")</f>
        <v/>
      </c>
      <c r="AE603" s="32">
        <f>IF($A603=1,0,"")</f>
        <v/>
      </c>
      <c r="AF603" s="32" t="inlineStr"/>
    </row>
    <row r="604">
      <c r="A604" s="32">
        <f>IF(AND(Sales_Daily!$AV51=1,N(Sales_Daily!$M51)&gt;0),1,0)</f>
        <v/>
      </c>
      <c r="B604" s="32">
        <f>IF($A604=1,$E604&amp;"/2","")</f>
        <v/>
      </c>
      <c r="C604" s="32">
        <f>IF($A604=1,"J-"&amp;Sales_Daily!$A51,"")</f>
        <v/>
      </c>
      <c r="D604" s="33">
        <f>IF($A604=1,Sales_Daily!$B51,"")</f>
        <v/>
      </c>
      <c r="E604" s="32">
        <f>IF($A604=1,IF(Sales_Daily!$A51="","",Sales_Daily!$A51),"")</f>
        <v/>
      </c>
      <c r="F604" s="32">
        <f>IF($A604=1,"SAL","")</f>
        <v/>
      </c>
      <c r="G604" s="32">
        <f>IF($A604=1,IF(Sales_Daily!$AL51="","",Sales_Daily!$AL51),"")</f>
        <v/>
      </c>
      <c r="H604" s="32">
        <f>IF($A604=1,IF(COUNTIF(COA!$A:$A,$G604)=0,"حساب غير معرف",INDEX(COA!$B:$B,MATCH($G604,COA!$A:$A,0))),"")</f>
        <v/>
      </c>
      <c r="I604" s="32">
        <f>IF($A604=1,IF(Sales_Daily!$C51="","",Sales_Daily!$C51),"")</f>
        <v/>
      </c>
      <c r="J604" s="32">
        <f>IF($A604=1,"CC10","")</f>
        <v/>
      </c>
      <c r="K604" s="32">
        <f>IF($A604=1,"-","")</f>
        <v/>
      </c>
      <c r="L604" s="32">
        <f>IF($A604=1,"مبيعات - تحصيل CARD","")</f>
        <v/>
      </c>
      <c r="M604" s="43">
        <f>IF($A604=1,Sales_Daily!$M51,"")</f>
        <v/>
      </c>
      <c r="N604" s="43">
        <f>IF($A604=1,0,"")</f>
        <v/>
      </c>
      <c r="O604" s="32">
        <f>IF($A604=1,Sales_Daily!$S51,"")</f>
        <v/>
      </c>
      <c r="P604" s="32">
        <f>IF($A604=1,IF(Sales_Daily!$AW51="","",Sales_Daily!$AW51),"")</f>
        <v/>
      </c>
      <c r="Q604" s="32">
        <f>IF($A604=1,Sales_Daily!$AY51,"")</f>
        <v/>
      </c>
      <c r="R604" s="32">
        <f>IF($A604=1,IF(AND($Q604=1,COUNTIFS(COA!$A:$A,$G604,COA!$R:$R,1)=1),1,0),"")</f>
        <v/>
      </c>
      <c r="S604" s="43">
        <f>IF($A604=1,IF($R604=1,N($M604),0),"")</f>
        <v/>
      </c>
      <c r="T604" s="43">
        <f>IF($A604=1,IF($R604=1,N($N604),0),"")</f>
        <v/>
      </c>
      <c r="U604" s="32">
        <f>IF($A604=1,YEAR($D604)*100+MONTH($D604),"")</f>
        <v/>
      </c>
      <c r="V604" s="32">
        <f>IF($A604=1,IF(COUNTIF(COA!$A:$A,$G604)=0,0,INDEX(COA!$H:$H,MATCH($G604,COA!$A:$A,0))),"")</f>
        <v/>
      </c>
      <c r="W604" s="32">
        <f>IF($A604=1,"OPERATING","")</f>
        <v/>
      </c>
      <c r="X604" s="32">
        <f>IF($A604=1,IF($R604=1,"",IF($O604=ST_POST,IF($P604&lt;&gt;"",$P604,"حساب غير صالح أو غير نشط"),IF($O604=ST_REV,"معكوس: لا أثر على الدفاتر",IF($O604=ST_CANC,"ملغى",IF($O604=ST_APPR,"معتمد ولم يُرحَّل","مسودة"))))),"")</f>
        <v/>
      </c>
      <c r="Y604" s="32">
        <f>IF($A604=1,IF(AND($R604=1,OR(LG_Acct="",$G604=LG_Acct),OR(LG_Party="",$K604=LG_Party),OR(LG_Loc="ALL",$I604=LG_Loc),OR(LG_CC="ALL",$J604=LG_CC),$D604&gt;=LG_From,$D604&lt;=LG_To),$D604+ROW()/1000000,""),"")</f>
        <v/>
      </c>
      <c r="Z604" s="32">
        <f>IF($A604=1,IF(Sales_Daily!$T51="","",Sales_Daily!$T51),"")</f>
        <v/>
      </c>
      <c r="AA604" s="32">
        <f>IF($A604=1,IF(Sales_Daily!$U51="","",Sales_Daily!$U51),"")</f>
        <v/>
      </c>
      <c r="AB604" s="32">
        <f>IF($A604=1,IF(Sales_Daily!$V51="","",Sales_Daily!$V51),"")</f>
        <v/>
      </c>
      <c r="AC604" s="32">
        <f>IF($A604=1,IF(Sales_Daily!$W51="","",Sales_Daily!$W51),"")</f>
        <v/>
      </c>
      <c r="AD604" s="32">
        <f>IF($A604=1,IF(Sales_Daily!$X51="","",Sales_Daily!$X51),"")</f>
        <v/>
      </c>
      <c r="AE604" s="32">
        <f>IF($A604=1,0,"")</f>
        <v/>
      </c>
      <c r="AF604" s="32" t="inlineStr"/>
    </row>
    <row r="605">
      <c r="A605" s="32">
        <f>IF(AND(Sales_Daily!$AV51=1,N(Sales_Daily!$N51)&gt;0),1,0)</f>
        <v/>
      </c>
      <c r="B605" s="32">
        <f>IF($A605=1,$E605&amp;"/3","")</f>
        <v/>
      </c>
      <c r="C605" s="32">
        <f>IF($A605=1,"J-"&amp;Sales_Daily!$A51,"")</f>
        <v/>
      </c>
      <c r="D605" s="33">
        <f>IF($A605=1,Sales_Daily!$B51,"")</f>
        <v/>
      </c>
      <c r="E605" s="32">
        <f>IF($A605=1,IF(Sales_Daily!$A51="","",Sales_Daily!$A51),"")</f>
        <v/>
      </c>
      <c r="F605" s="32">
        <f>IF($A605=1,"SAL","")</f>
        <v/>
      </c>
      <c r="G605" s="32">
        <f>IF($A605=1,IF(Sales_Daily!$AM51="","",Sales_Daily!$AM51),"")</f>
        <v/>
      </c>
      <c r="H605" s="32">
        <f>IF($A605=1,IF(COUNTIF(COA!$A:$A,$G605)=0,"حساب غير معرف",INDEX(COA!$B:$B,MATCH($G605,COA!$A:$A,0))),"")</f>
        <v/>
      </c>
      <c r="I605" s="32">
        <f>IF($A605=1,IF(Sales_Daily!$C51="","",Sales_Daily!$C51),"")</f>
        <v/>
      </c>
      <c r="J605" s="32">
        <f>IF($A605=1,"CC10","")</f>
        <v/>
      </c>
      <c r="K605" s="32">
        <f>IF($A605=1,"-","")</f>
        <v/>
      </c>
      <c r="L605" s="32">
        <f>IF($A605=1,"مبيعات - تحصيل TLB","")</f>
        <v/>
      </c>
      <c r="M605" s="43">
        <f>IF($A605=1,Sales_Daily!$N51,"")</f>
        <v/>
      </c>
      <c r="N605" s="43">
        <f>IF($A605=1,0,"")</f>
        <v/>
      </c>
      <c r="O605" s="32">
        <f>IF($A605=1,Sales_Daily!$S51,"")</f>
        <v/>
      </c>
      <c r="P605" s="32">
        <f>IF($A605=1,IF(Sales_Daily!$AW51="","",Sales_Daily!$AW51),"")</f>
        <v/>
      </c>
      <c r="Q605" s="32">
        <f>IF($A605=1,Sales_Daily!$AY51,"")</f>
        <v/>
      </c>
      <c r="R605" s="32">
        <f>IF($A605=1,IF(AND($Q605=1,COUNTIFS(COA!$A:$A,$G605,COA!$R:$R,1)=1),1,0),"")</f>
        <v/>
      </c>
      <c r="S605" s="43">
        <f>IF($A605=1,IF($R605=1,N($M605),0),"")</f>
        <v/>
      </c>
      <c r="T605" s="43">
        <f>IF($A605=1,IF($R605=1,N($N605),0),"")</f>
        <v/>
      </c>
      <c r="U605" s="32">
        <f>IF($A605=1,YEAR($D605)*100+MONTH($D605),"")</f>
        <v/>
      </c>
      <c r="V605" s="32">
        <f>IF($A605=1,IF(COUNTIF(COA!$A:$A,$G605)=0,0,INDEX(COA!$H:$H,MATCH($G605,COA!$A:$A,0))),"")</f>
        <v/>
      </c>
      <c r="W605" s="32">
        <f>IF($A605=1,"OPERATING","")</f>
        <v/>
      </c>
      <c r="X605" s="32">
        <f>IF($A605=1,IF($R605=1,"",IF($O605=ST_POST,IF($P605&lt;&gt;"",$P605,"حساب غير صالح أو غير نشط"),IF($O605=ST_REV,"معكوس: لا أثر على الدفاتر",IF($O605=ST_CANC,"ملغى",IF($O605=ST_APPR,"معتمد ولم يُرحَّل","مسودة"))))),"")</f>
        <v/>
      </c>
      <c r="Y605" s="32">
        <f>IF($A605=1,IF(AND($R605=1,OR(LG_Acct="",$G605=LG_Acct),OR(LG_Party="",$K605=LG_Party),OR(LG_Loc="ALL",$I605=LG_Loc),OR(LG_CC="ALL",$J605=LG_CC),$D605&gt;=LG_From,$D605&lt;=LG_To),$D605+ROW()/1000000,""),"")</f>
        <v/>
      </c>
      <c r="Z605" s="32">
        <f>IF($A605=1,IF(Sales_Daily!$T51="","",Sales_Daily!$T51),"")</f>
        <v/>
      </c>
      <c r="AA605" s="32">
        <f>IF($A605=1,IF(Sales_Daily!$U51="","",Sales_Daily!$U51),"")</f>
        <v/>
      </c>
      <c r="AB605" s="32">
        <f>IF($A605=1,IF(Sales_Daily!$V51="","",Sales_Daily!$V51),"")</f>
        <v/>
      </c>
      <c r="AC605" s="32">
        <f>IF($A605=1,IF(Sales_Daily!$W51="","",Sales_Daily!$W51),"")</f>
        <v/>
      </c>
      <c r="AD605" s="32">
        <f>IF($A605=1,IF(Sales_Daily!$X51="","",Sales_Daily!$X51),"")</f>
        <v/>
      </c>
      <c r="AE605" s="32">
        <f>IF($A605=1,0,"")</f>
        <v/>
      </c>
      <c r="AF605" s="32" t="inlineStr"/>
    </row>
    <row r="606">
      <c r="A606" s="32">
        <f>IF(AND(Sales_Daily!$AV51=1,N(Sales_Daily!$O51)&gt;0),1,0)</f>
        <v/>
      </c>
      <c r="B606" s="32">
        <f>IF($A606=1,$E606&amp;"/4","")</f>
        <v/>
      </c>
      <c r="C606" s="32">
        <f>IF($A606=1,"J-"&amp;Sales_Daily!$A51,"")</f>
        <v/>
      </c>
      <c r="D606" s="33">
        <f>IF($A606=1,Sales_Daily!$B51,"")</f>
        <v/>
      </c>
      <c r="E606" s="32">
        <f>IF($A606=1,IF(Sales_Daily!$A51="","",Sales_Daily!$A51),"")</f>
        <v/>
      </c>
      <c r="F606" s="32">
        <f>IF($A606=1,"SAL","")</f>
        <v/>
      </c>
      <c r="G606" s="32">
        <f>IF($A606=1,IF(Sales_Daily!$AN51="","",Sales_Daily!$AN51),"")</f>
        <v/>
      </c>
      <c r="H606" s="32">
        <f>IF($A606=1,IF(COUNTIF(COA!$A:$A,$G606)=0,"حساب غير معرف",INDEX(COA!$B:$B,MATCH($G606,COA!$A:$A,0))),"")</f>
        <v/>
      </c>
      <c r="I606" s="32">
        <f>IF($A606=1,IF(Sales_Daily!$C51="","",Sales_Daily!$C51),"")</f>
        <v/>
      </c>
      <c r="J606" s="32">
        <f>IF($A606=1,"CC10","")</f>
        <v/>
      </c>
      <c r="K606" s="32">
        <f>IF($A606=1,"-","")</f>
        <v/>
      </c>
      <c r="L606" s="32">
        <f>IF($A606=1,"مبيعات - تحصيل DLV2","")</f>
        <v/>
      </c>
      <c r="M606" s="43">
        <f>IF($A606=1,Sales_Daily!$O51,"")</f>
        <v/>
      </c>
      <c r="N606" s="43">
        <f>IF($A606=1,0,"")</f>
        <v/>
      </c>
      <c r="O606" s="32">
        <f>IF($A606=1,Sales_Daily!$S51,"")</f>
        <v/>
      </c>
      <c r="P606" s="32">
        <f>IF($A606=1,IF(Sales_Daily!$AW51="","",Sales_Daily!$AW51),"")</f>
        <v/>
      </c>
      <c r="Q606" s="32">
        <f>IF($A606=1,Sales_Daily!$AY51,"")</f>
        <v/>
      </c>
      <c r="R606" s="32">
        <f>IF($A606=1,IF(AND($Q606=1,COUNTIFS(COA!$A:$A,$G606,COA!$R:$R,1)=1),1,0),"")</f>
        <v/>
      </c>
      <c r="S606" s="43">
        <f>IF($A606=1,IF($R606=1,N($M606),0),"")</f>
        <v/>
      </c>
      <c r="T606" s="43">
        <f>IF($A606=1,IF($R606=1,N($N606),0),"")</f>
        <v/>
      </c>
      <c r="U606" s="32">
        <f>IF($A606=1,YEAR($D606)*100+MONTH($D606),"")</f>
        <v/>
      </c>
      <c r="V606" s="32">
        <f>IF($A606=1,IF(COUNTIF(COA!$A:$A,$G606)=0,0,INDEX(COA!$H:$H,MATCH($G606,COA!$A:$A,0))),"")</f>
        <v/>
      </c>
      <c r="W606" s="32">
        <f>IF($A606=1,"OPERATING","")</f>
        <v/>
      </c>
      <c r="X606" s="32">
        <f>IF($A606=1,IF($R606=1,"",IF($O606=ST_POST,IF($P606&lt;&gt;"",$P606,"حساب غير صالح أو غير نشط"),IF($O606=ST_REV,"معكوس: لا أثر على الدفاتر",IF($O606=ST_CANC,"ملغى",IF($O606=ST_APPR,"معتمد ولم يُرحَّل","مسودة"))))),"")</f>
        <v/>
      </c>
      <c r="Y606" s="32">
        <f>IF($A606=1,IF(AND($R606=1,OR(LG_Acct="",$G606=LG_Acct),OR(LG_Party="",$K606=LG_Party),OR(LG_Loc="ALL",$I606=LG_Loc),OR(LG_CC="ALL",$J606=LG_CC),$D606&gt;=LG_From,$D606&lt;=LG_To),$D606+ROW()/1000000,""),"")</f>
        <v/>
      </c>
      <c r="Z606" s="32">
        <f>IF($A606=1,IF(Sales_Daily!$T51="","",Sales_Daily!$T51),"")</f>
        <v/>
      </c>
      <c r="AA606" s="32">
        <f>IF($A606=1,IF(Sales_Daily!$U51="","",Sales_Daily!$U51),"")</f>
        <v/>
      </c>
      <c r="AB606" s="32">
        <f>IF($A606=1,IF(Sales_Daily!$V51="","",Sales_Daily!$V51),"")</f>
        <v/>
      </c>
      <c r="AC606" s="32">
        <f>IF($A606=1,IF(Sales_Daily!$W51="","",Sales_Daily!$W51),"")</f>
        <v/>
      </c>
      <c r="AD606" s="32">
        <f>IF($A606=1,IF(Sales_Daily!$X51="","",Sales_Daily!$X51),"")</f>
        <v/>
      </c>
      <c r="AE606" s="32">
        <f>IF($A606=1,0,"")</f>
        <v/>
      </c>
      <c r="AF606" s="32" t="inlineStr"/>
    </row>
    <row r="607">
      <c r="A607" s="32">
        <f>IF(AND(Sales_Daily!$AV51=1,N(Sales_Daily!$P51)&gt;0),1,0)</f>
        <v/>
      </c>
      <c r="B607" s="32">
        <f>IF($A607=1,$E607&amp;"/5","")</f>
        <v/>
      </c>
      <c r="C607" s="32">
        <f>IF($A607=1,"J-"&amp;Sales_Daily!$A51,"")</f>
        <v/>
      </c>
      <c r="D607" s="33">
        <f>IF($A607=1,Sales_Daily!$B51,"")</f>
        <v/>
      </c>
      <c r="E607" s="32">
        <f>IF($A607=1,IF(Sales_Daily!$A51="","",Sales_Daily!$A51),"")</f>
        <v/>
      </c>
      <c r="F607" s="32">
        <f>IF($A607=1,"SAL","")</f>
        <v/>
      </c>
      <c r="G607" s="32">
        <f>IF($A607=1,IF(Sales_Daily!$AO51="","",Sales_Daily!$AO51),"")</f>
        <v/>
      </c>
      <c r="H607" s="32">
        <f>IF($A607=1,IF(COUNTIF(COA!$A:$A,$G607)=0,"حساب غير معرف",INDEX(COA!$B:$B,MATCH($G607,COA!$A:$A,0))),"")</f>
        <v/>
      </c>
      <c r="I607" s="32">
        <f>IF($A607=1,IF(Sales_Daily!$C51="","",Sales_Daily!$C51),"")</f>
        <v/>
      </c>
      <c r="J607" s="32">
        <f>IF($A607=1,"CC10","")</f>
        <v/>
      </c>
      <c r="K607" s="32">
        <f>IF($A607=1,"-","")</f>
        <v/>
      </c>
      <c r="L607" s="32">
        <f>IF($A607=1,"مبيعات - تحصيل INSTA","")</f>
        <v/>
      </c>
      <c r="M607" s="43">
        <f>IF($A607=1,Sales_Daily!$P51,"")</f>
        <v/>
      </c>
      <c r="N607" s="43">
        <f>IF($A607=1,0,"")</f>
        <v/>
      </c>
      <c r="O607" s="32">
        <f>IF($A607=1,Sales_Daily!$S51,"")</f>
        <v/>
      </c>
      <c r="P607" s="32">
        <f>IF($A607=1,IF(Sales_Daily!$AW51="","",Sales_Daily!$AW51),"")</f>
        <v/>
      </c>
      <c r="Q607" s="32">
        <f>IF($A607=1,Sales_Daily!$AY51,"")</f>
        <v/>
      </c>
      <c r="R607" s="32">
        <f>IF($A607=1,IF(AND($Q607=1,COUNTIFS(COA!$A:$A,$G607,COA!$R:$R,1)=1),1,0),"")</f>
        <v/>
      </c>
      <c r="S607" s="43">
        <f>IF($A607=1,IF($R607=1,N($M607),0),"")</f>
        <v/>
      </c>
      <c r="T607" s="43">
        <f>IF($A607=1,IF($R607=1,N($N607),0),"")</f>
        <v/>
      </c>
      <c r="U607" s="32">
        <f>IF($A607=1,YEAR($D607)*100+MONTH($D607),"")</f>
        <v/>
      </c>
      <c r="V607" s="32">
        <f>IF($A607=1,IF(COUNTIF(COA!$A:$A,$G607)=0,0,INDEX(COA!$H:$H,MATCH($G607,COA!$A:$A,0))),"")</f>
        <v/>
      </c>
      <c r="W607" s="32">
        <f>IF($A607=1,"OPERATING","")</f>
        <v/>
      </c>
      <c r="X607" s="32">
        <f>IF($A607=1,IF($R607=1,"",IF($O607=ST_POST,IF($P607&lt;&gt;"",$P607,"حساب غير صالح أو غير نشط"),IF($O607=ST_REV,"معكوس: لا أثر على الدفاتر",IF($O607=ST_CANC,"ملغى",IF($O607=ST_APPR,"معتمد ولم يُرحَّل","مسودة"))))),"")</f>
        <v/>
      </c>
      <c r="Y607" s="32">
        <f>IF($A607=1,IF(AND($R607=1,OR(LG_Acct="",$G607=LG_Acct),OR(LG_Party="",$K607=LG_Party),OR(LG_Loc="ALL",$I607=LG_Loc),OR(LG_CC="ALL",$J607=LG_CC),$D607&gt;=LG_From,$D607&lt;=LG_To),$D607+ROW()/1000000,""),"")</f>
        <v/>
      </c>
      <c r="Z607" s="32">
        <f>IF($A607=1,IF(Sales_Daily!$T51="","",Sales_Daily!$T51),"")</f>
        <v/>
      </c>
      <c r="AA607" s="32">
        <f>IF($A607=1,IF(Sales_Daily!$U51="","",Sales_Daily!$U51),"")</f>
        <v/>
      </c>
      <c r="AB607" s="32">
        <f>IF($A607=1,IF(Sales_Daily!$V51="","",Sales_Daily!$V51),"")</f>
        <v/>
      </c>
      <c r="AC607" s="32">
        <f>IF($A607=1,IF(Sales_Daily!$W51="","",Sales_Daily!$W51),"")</f>
        <v/>
      </c>
      <c r="AD607" s="32">
        <f>IF($A607=1,IF(Sales_Daily!$X51="","",Sales_Daily!$X51),"")</f>
        <v/>
      </c>
      <c r="AE607" s="32">
        <f>IF($A607=1,0,"")</f>
        <v/>
      </c>
      <c r="AF607" s="32" t="inlineStr"/>
    </row>
    <row r="608">
      <c r="A608" s="32">
        <f>IF(AND(Sales_Daily!$AV51=1,N(Sales_Daily!$Q51)&gt;0),1,0)</f>
        <v/>
      </c>
      <c r="B608" s="32">
        <f>IF($A608=1,$E608&amp;"/6","")</f>
        <v/>
      </c>
      <c r="C608" s="32">
        <f>IF($A608=1,"J-"&amp;Sales_Daily!$A51,"")</f>
        <v/>
      </c>
      <c r="D608" s="33">
        <f>IF($A608=1,Sales_Daily!$B51,"")</f>
        <v/>
      </c>
      <c r="E608" s="32">
        <f>IF($A608=1,IF(Sales_Daily!$A51="","",Sales_Daily!$A51),"")</f>
        <v/>
      </c>
      <c r="F608" s="32">
        <f>IF($A608=1,"SAL","")</f>
        <v/>
      </c>
      <c r="G608" s="32">
        <f>IF($A608=1,IF(Sales_Daily!$AP51="","",Sales_Daily!$AP51),"")</f>
        <v/>
      </c>
      <c r="H608" s="32">
        <f>IF($A608=1,IF(COUNTIF(COA!$A:$A,$G608)=0,"حساب غير معرف",INDEX(COA!$B:$B,MATCH($G608,COA!$A:$A,0))),"")</f>
        <v/>
      </c>
      <c r="I608" s="32">
        <f>IF($A608=1,IF(Sales_Daily!$C51="","",Sales_Daily!$C51),"")</f>
        <v/>
      </c>
      <c r="J608" s="32">
        <f>IF($A608=1,"CC10","")</f>
        <v/>
      </c>
      <c r="K608" s="32">
        <f>IF($A608=1,"-","")</f>
        <v/>
      </c>
      <c r="L608" s="32">
        <f>IF($A608=1,"مبيعات - تحصيل OTH","")</f>
        <v/>
      </c>
      <c r="M608" s="43">
        <f>IF($A608=1,Sales_Daily!$Q51,"")</f>
        <v/>
      </c>
      <c r="N608" s="43">
        <f>IF($A608=1,0,"")</f>
        <v/>
      </c>
      <c r="O608" s="32">
        <f>IF($A608=1,Sales_Daily!$S51,"")</f>
        <v/>
      </c>
      <c r="P608" s="32">
        <f>IF($A608=1,IF(Sales_Daily!$AW51="","",Sales_Daily!$AW51),"")</f>
        <v/>
      </c>
      <c r="Q608" s="32">
        <f>IF($A608=1,Sales_Daily!$AY51,"")</f>
        <v/>
      </c>
      <c r="R608" s="32">
        <f>IF($A608=1,IF(AND($Q608=1,COUNTIFS(COA!$A:$A,$G608,COA!$R:$R,1)=1),1,0),"")</f>
        <v/>
      </c>
      <c r="S608" s="43">
        <f>IF($A608=1,IF($R608=1,N($M608),0),"")</f>
        <v/>
      </c>
      <c r="T608" s="43">
        <f>IF($A608=1,IF($R608=1,N($N608),0),"")</f>
        <v/>
      </c>
      <c r="U608" s="32">
        <f>IF($A608=1,YEAR($D608)*100+MONTH($D608),"")</f>
        <v/>
      </c>
      <c r="V608" s="32">
        <f>IF($A608=1,IF(COUNTIF(COA!$A:$A,$G608)=0,0,INDEX(COA!$H:$H,MATCH($G608,COA!$A:$A,0))),"")</f>
        <v/>
      </c>
      <c r="W608" s="32">
        <f>IF($A608=1,"OPERATING","")</f>
        <v/>
      </c>
      <c r="X608" s="32">
        <f>IF($A608=1,IF($R608=1,"",IF($O608=ST_POST,IF($P608&lt;&gt;"",$P608,"حساب غير صالح أو غير نشط"),IF($O608=ST_REV,"معكوس: لا أثر على الدفاتر",IF($O608=ST_CANC,"ملغى",IF($O608=ST_APPR,"معتمد ولم يُرحَّل","مسودة"))))),"")</f>
        <v/>
      </c>
      <c r="Y608" s="32">
        <f>IF($A608=1,IF(AND($R608=1,OR(LG_Acct="",$G608=LG_Acct),OR(LG_Party="",$K608=LG_Party),OR(LG_Loc="ALL",$I608=LG_Loc),OR(LG_CC="ALL",$J608=LG_CC),$D608&gt;=LG_From,$D608&lt;=LG_To),$D608+ROW()/1000000,""),"")</f>
        <v/>
      </c>
      <c r="Z608" s="32">
        <f>IF($A608=1,IF(Sales_Daily!$T51="","",Sales_Daily!$T51),"")</f>
        <v/>
      </c>
      <c r="AA608" s="32">
        <f>IF($A608=1,IF(Sales_Daily!$U51="","",Sales_Daily!$U51),"")</f>
        <v/>
      </c>
      <c r="AB608" s="32">
        <f>IF($A608=1,IF(Sales_Daily!$V51="","",Sales_Daily!$V51),"")</f>
        <v/>
      </c>
      <c r="AC608" s="32">
        <f>IF($A608=1,IF(Sales_Daily!$W51="","",Sales_Daily!$W51),"")</f>
        <v/>
      </c>
      <c r="AD608" s="32">
        <f>IF($A608=1,IF(Sales_Daily!$X51="","",Sales_Daily!$X51),"")</f>
        <v/>
      </c>
      <c r="AE608" s="32">
        <f>IF($A608=1,0,"")</f>
        <v/>
      </c>
      <c r="AF608" s="32" t="inlineStr"/>
    </row>
    <row r="609">
      <c r="A609" s="32">
        <f>IF(AND(Sales_Daily!$AV51=1,N(Sales_Daily!$AH51)&gt;0),1,0)</f>
        <v/>
      </c>
      <c r="B609" s="32">
        <f>IF($A609=1,$E609&amp;"/7","")</f>
        <v/>
      </c>
      <c r="C609" s="32">
        <f>IF($A609=1,"J-"&amp;Sales_Daily!$A51,"")</f>
        <v/>
      </c>
      <c r="D609" s="33">
        <f>IF($A609=1,Sales_Daily!$B51,"")</f>
        <v/>
      </c>
      <c r="E609" s="32">
        <f>IF($A609=1,IF(Sales_Daily!$A51="","",Sales_Daily!$A51),"")</f>
        <v/>
      </c>
      <c r="F609" s="32">
        <f>IF($A609=1,"SAL","")</f>
        <v/>
      </c>
      <c r="G609" s="32">
        <f>IF($A609=1,ACC_DISC,"")</f>
        <v/>
      </c>
      <c r="H609" s="32">
        <f>IF($A609=1,IF(COUNTIF(COA!$A:$A,$G609)=0,"حساب غير معرف",INDEX(COA!$B:$B,MATCH($G609,COA!$A:$A,0))),"")</f>
        <v/>
      </c>
      <c r="I609" s="32">
        <f>IF($A609=1,IF(Sales_Daily!$C51="","",Sales_Daily!$C51),"")</f>
        <v/>
      </c>
      <c r="J609" s="32">
        <f>IF($A609=1,"CC10","")</f>
        <v/>
      </c>
      <c r="K609" s="32">
        <f>IF($A609=1,"-","")</f>
        <v/>
      </c>
      <c r="L609" s="32">
        <f>IF($A609=1,"خصومات المبيعات والعروض","")</f>
        <v/>
      </c>
      <c r="M609" s="43">
        <f>IF($A609=1,Sales_Daily!$AH51,"")</f>
        <v/>
      </c>
      <c r="N609" s="43">
        <f>IF($A609=1,0,"")</f>
        <v/>
      </c>
      <c r="O609" s="32">
        <f>IF($A609=1,Sales_Daily!$S51,"")</f>
        <v/>
      </c>
      <c r="P609" s="32">
        <f>IF($A609=1,IF(Sales_Daily!$AW51="","",Sales_Daily!$AW51),"")</f>
        <v/>
      </c>
      <c r="Q609" s="32">
        <f>IF($A609=1,Sales_Daily!$AY51,"")</f>
        <v/>
      </c>
      <c r="R609" s="32">
        <f>IF($A609=1,IF(AND($Q609=1,COUNTIFS(COA!$A:$A,$G609,COA!$R:$R,1)=1),1,0),"")</f>
        <v/>
      </c>
      <c r="S609" s="43">
        <f>IF($A609=1,IF($R609=1,N($M609),0),"")</f>
        <v/>
      </c>
      <c r="T609" s="43">
        <f>IF($A609=1,IF($R609=1,N($N609),0),"")</f>
        <v/>
      </c>
      <c r="U609" s="32">
        <f>IF($A609=1,YEAR($D609)*100+MONTH($D609),"")</f>
        <v/>
      </c>
      <c r="V609" s="32">
        <f>IF($A609=1,IF(COUNTIF(COA!$A:$A,$G609)=0,0,INDEX(COA!$H:$H,MATCH($G609,COA!$A:$A,0))),"")</f>
        <v/>
      </c>
      <c r="W609" s="32">
        <f>IF($A609=1,"","")</f>
        <v/>
      </c>
      <c r="X609" s="32">
        <f>IF($A609=1,IF($R609=1,"",IF($O609=ST_POST,IF($P609&lt;&gt;"",$P609,"حساب غير صالح أو غير نشط"),IF($O609=ST_REV,"معكوس: لا أثر على الدفاتر",IF($O609=ST_CANC,"ملغى",IF($O609=ST_APPR,"معتمد ولم يُرحَّل","مسودة"))))),"")</f>
        <v/>
      </c>
      <c r="Y609" s="32">
        <f>IF($A609=1,IF(AND($R609=1,OR(LG_Acct="",$G609=LG_Acct),OR(LG_Party="",$K609=LG_Party),OR(LG_Loc="ALL",$I609=LG_Loc),OR(LG_CC="ALL",$J609=LG_CC),$D609&gt;=LG_From,$D609&lt;=LG_To),$D609+ROW()/1000000,""),"")</f>
        <v/>
      </c>
      <c r="Z609" s="32">
        <f>IF($A609=1,IF(Sales_Daily!$T51="","",Sales_Daily!$T51),"")</f>
        <v/>
      </c>
      <c r="AA609" s="32">
        <f>IF($A609=1,IF(Sales_Daily!$U51="","",Sales_Daily!$U51),"")</f>
        <v/>
      </c>
      <c r="AB609" s="32">
        <f>IF($A609=1,IF(Sales_Daily!$V51="","",Sales_Daily!$V51),"")</f>
        <v/>
      </c>
      <c r="AC609" s="32">
        <f>IF($A609=1,IF(Sales_Daily!$W51="","",Sales_Daily!$W51),"")</f>
        <v/>
      </c>
      <c r="AD609" s="32">
        <f>IF($A609=1,IF(Sales_Daily!$X51="","",Sales_Daily!$X51),"")</f>
        <v/>
      </c>
      <c r="AE609" s="32">
        <f>IF($A609=1,0,"")</f>
        <v/>
      </c>
      <c r="AF609" s="32" t="inlineStr"/>
    </row>
    <row r="610">
      <c r="A610" s="32">
        <f>IF(AND(Sales_Daily!$AV51=1,N(Sales_Daily!$AI51)&gt;0),1,0)</f>
        <v/>
      </c>
      <c r="B610" s="32">
        <f>IF($A610=1,$E610&amp;"/8","")</f>
        <v/>
      </c>
      <c r="C610" s="32">
        <f>IF($A610=1,"J-"&amp;Sales_Daily!$A51,"")</f>
        <v/>
      </c>
      <c r="D610" s="33">
        <f>IF($A610=1,Sales_Daily!$B51,"")</f>
        <v/>
      </c>
      <c r="E610" s="32">
        <f>IF($A610=1,IF(Sales_Daily!$A51="","",Sales_Daily!$A51),"")</f>
        <v/>
      </c>
      <c r="F610" s="32">
        <f>IF($A610=1,"SAL","")</f>
        <v/>
      </c>
      <c r="G610" s="32">
        <f>IF($A610=1,ACC_RET,"")</f>
        <v/>
      </c>
      <c r="H610" s="32">
        <f>IF($A610=1,IF(COUNTIF(COA!$A:$A,$G610)=0,"حساب غير معرف",INDEX(COA!$B:$B,MATCH($G610,COA!$A:$A,0))),"")</f>
        <v/>
      </c>
      <c r="I610" s="32">
        <f>IF($A610=1,IF(Sales_Daily!$C51="","",Sales_Daily!$C51),"")</f>
        <v/>
      </c>
      <c r="J610" s="32">
        <f>IF($A610=1,"CC10","")</f>
        <v/>
      </c>
      <c r="K610" s="32">
        <f>IF($A610=1,"-","")</f>
        <v/>
      </c>
      <c r="L610" s="32">
        <f>IF($A610=1,"مرتجعات وإلغاءات المبيعات","")</f>
        <v/>
      </c>
      <c r="M610" s="43">
        <f>IF($A610=1,Sales_Daily!$AI51,"")</f>
        <v/>
      </c>
      <c r="N610" s="43">
        <f>IF($A610=1,0,"")</f>
        <v/>
      </c>
      <c r="O610" s="32">
        <f>IF($A610=1,Sales_Daily!$S51,"")</f>
        <v/>
      </c>
      <c r="P610" s="32">
        <f>IF($A610=1,IF(Sales_Daily!$AW51="","",Sales_Daily!$AW51),"")</f>
        <v/>
      </c>
      <c r="Q610" s="32">
        <f>IF($A610=1,Sales_Daily!$AY51,"")</f>
        <v/>
      </c>
      <c r="R610" s="32">
        <f>IF($A610=1,IF(AND($Q610=1,COUNTIFS(COA!$A:$A,$G610,COA!$R:$R,1)=1),1,0),"")</f>
        <v/>
      </c>
      <c r="S610" s="43">
        <f>IF($A610=1,IF($R610=1,N($M610),0),"")</f>
        <v/>
      </c>
      <c r="T610" s="43">
        <f>IF($A610=1,IF($R610=1,N($N610),0),"")</f>
        <v/>
      </c>
      <c r="U610" s="32">
        <f>IF($A610=1,YEAR($D610)*100+MONTH($D610),"")</f>
        <v/>
      </c>
      <c r="V610" s="32">
        <f>IF($A610=1,IF(COUNTIF(COA!$A:$A,$G610)=0,0,INDEX(COA!$H:$H,MATCH($G610,COA!$A:$A,0))),"")</f>
        <v/>
      </c>
      <c r="W610" s="32">
        <f>IF($A610=1,"","")</f>
        <v/>
      </c>
      <c r="X610" s="32">
        <f>IF($A610=1,IF($R610=1,"",IF($O610=ST_POST,IF($P610&lt;&gt;"",$P610,"حساب غير صالح أو غير نشط"),IF($O610=ST_REV,"معكوس: لا أثر على الدفاتر",IF($O610=ST_CANC,"ملغى",IF($O610=ST_APPR,"معتمد ولم يُرحَّل","مسودة"))))),"")</f>
        <v/>
      </c>
      <c r="Y610" s="32">
        <f>IF($A610=1,IF(AND($R610=1,OR(LG_Acct="",$G610=LG_Acct),OR(LG_Party="",$K610=LG_Party),OR(LG_Loc="ALL",$I610=LG_Loc),OR(LG_CC="ALL",$J610=LG_CC),$D610&gt;=LG_From,$D610&lt;=LG_To),$D610+ROW()/1000000,""),"")</f>
        <v/>
      </c>
      <c r="Z610" s="32">
        <f>IF($A610=1,IF(Sales_Daily!$T51="","",Sales_Daily!$T51),"")</f>
        <v/>
      </c>
      <c r="AA610" s="32">
        <f>IF($A610=1,IF(Sales_Daily!$U51="","",Sales_Daily!$U51),"")</f>
        <v/>
      </c>
      <c r="AB610" s="32">
        <f>IF($A610=1,IF(Sales_Daily!$V51="","",Sales_Daily!$V51),"")</f>
        <v/>
      </c>
      <c r="AC610" s="32">
        <f>IF($A610=1,IF(Sales_Daily!$W51="","",Sales_Daily!$W51),"")</f>
        <v/>
      </c>
      <c r="AD610" s="32">
        <f>IF($A610=1,IF(Sales_Daily!$X51="","",Sales_Daily!$X51),"")</f>
        <v/>
      </c>
      <c r="AE610" s="32">
        <f>IF($A610=1,0,"")</f>
        <v/>
      </c>
      <c r="AF610" s="32" t="inlineStr"/>
    </row>
    <row r="611">
      <c r="A611" s="32">
        <f>IF(AND(Sales_Daily!$AV51=1,N(Sales_Daily!$AD51)&gt;0),1,0)</f>
        <v/>
      </c>
      <c r="B611" s="32">
        <f>IF($A611=1,$E611&amp;"/9","")</f>
        <v/>
      </c>
      <c r="C611" s="32">
        <f>IF($A611=1,"J-"&amp;Sales_Daily!$A51,"")</f>
        <v/>
      </c>
      <c r="D611" s="33">
        <f>IF($A611=1,Sales_Daily!$B51,"")</f>
        <v/>
      </c>
      <c r="E611" s="32">
        <f>IF($A611=1,IF(Sales_Daily!$A51="","",Sales_Daily!$A51),"")</f>
        <v/>
      </c>
      <c r="F611" s="32">
        <f>IF($A611=1,"SAL","")</f>
        <v/>
      </c>
      <c r="G611" s="32">
        <f>IF($A611=1,IF(Sales_Daily!$AQ51="","",Sales_Daily!$AQ51),"")</f>
        <v/>
      </c>
      <c r="H611" s="32">
        <f>IF($A611=1,IF(COUNTIF(COA!$A:$A,$G611)=0,"حساب غير معرف",INDEX(COA!$B:$B,MATCH($G611,COA!$A:$A,0))),"")</f>
        <v/>
      </c>
      <c r="I611" s="32">
        <f>IF($A611=1,IF(Sales_Daily!$C51="","",Sales_Daily!$C51),"")</f>
        <v/>
      </c>
      <c r="J611" s="32">
        <f>IF($A611=1,"CC10","")</f>
        <v/>
      </c>
      <c r="K611" s="32">
        <f>IF($A611=1,"-","")</f>
        <v/>
      </c>
      <c r="L611" s="32">
        <f>IF($A611=1,"إيراد مبيعات - فئة فطير","")</f>
        <v/>
      </c>
      <c r="M611" s="43">
        <f>IF($A611=1,0,"")</f>
        <v/>
      </c>
      <c r="N611" s="43">
        <f>IF($A611=1,Sales_Daily!$AD51,"")</f>
        <v/>
      </c>
      <c r="O611" s="32">
        <f>IF($A611=1,Sales_Daily!$S51,"")</f>
        <v/>
      </c>
      <c r="P611" s="32">
        <f>IF($A611=1,IF(Sales_Daily!$AW51="","",Sales_Daily!$AW51),"")</f>
        <v/>
      </c>
      <c r="Q611" s="32">
        <f>IF($A611=1,Sales_Daily!$AY51,"")</f>
        <v/>
      </c>
      <c r="R611" s="32">
        <f>IF($A611=1,IF(AND($Q611=1,COUNTIFS(COA!$A:$A,$G611,COA!$R:$R,1)=1),1,0),"")</f>
        <v/>
      </c>
      <c r="S611" s="43">
        <f>IF($A611=1,IF($R611=1,N($M611),0),"")</f>
        <v/>
      </c>
      <c r="T611" s="43">
        <f>IF($A611=1,IF($R611=1,N($N611),0),"")</f>
        <v/>
      </c>
      <c r="U611" s="32">
        <f>IF($A611=1,YEAR($D611)*100+MONTH($D611),"")</f>
        <v/>
      </c>
      <c r="V611" s="32">
        <f>IF($A611=1,IF(COUNTIF(COA!$A:$A,$G611)=0,0,INDEX(COA!$H:$H,MATCH($G611,COA!$A:$A,0))),"")</f>
        <v/>
      </c>
      <c r="W611" s="32">
        <f>IF($A611=1,"","")</f>
        <v/>
      </c>
      <c r="X611" s="32">
        <f>IF($A611=1,IF($R611=1,"",IF($O611=ST_POST,IF($P611&lt;&gt;"",$P611,"حساب غير صالح أو غير نشط"),IF($O611=ST_REV,"معكوس: لا أثر على الدفاتر",IF($O611=ST_CANC,"ملغى",IF($O611=ST_APPR,"معتمد ولم يُرحَّل","مسودة"))))),"")</f>
        <v/>
      </c>
      <c r="Y611" s="32">
        <f>IF($A611=1,IF(AND($R611=1,OR(LG_Acct="",$G611=LG_Acct),OR(LG_Party="",$K611=LG_Party),OR(LG_Loc="ALL",$I611=LG_Loc),OR(LG_CC="ALL",$J611=LG_CC),$D611&gt;=LG_From,$D611&lt;=LG_To),$D611+ROW()/1000000,""),"")</f>
        <v/>
      </c>
      <c r="Z611" s="32">
        <f>IF($A611=1,IF(Sales_Daily!$T51="","",Sales_Daily!$T51),"")</f>
        <v/>
      </c>
      <c r="AA611" s="32">
        <f>IF($A611=1,IF(Sales_Daily!$U51="","",Sales_Daily!$U51),"")</f>
        <v/>
      </c>
      <c r="AB611" s="32">
        <f>IF($A611=1,IF(Sales_Daily!$V51="","",Sales_Daily!$V51),"")</f>
        <v/>
      </c>
      <c r="AC611" s="32">
        <f>IF($A611=1,IF(Sales_Daily!$W51="","",Sales_Daily!$W51),"")</f>
        <v/>
      </c>
      <c r="AD611" s="32">
        <f>IF($A611=1,IF(Sales_Daily!$X51="","",Sales_Daily!$X51),"")</f>
        <v/>
      </c>
      <c r="AE611" s="32">
        <f>IF($A611=1,0,"")</f>
        <v/>
      </c>
      <c r="AF611" s="32" t="inlineStr"/>
    </row>
    <row r="612">
      <c r="A612" s="32">
        <f>IF(AND(Sales_Daily!$AV51=1,N(Sales_Daily!$AE51)&gt;0),1,0)</f>
        <v/>
      </c>
      <c r="B612" s="32">
        <f>IF($A612=1,$E612&amp;"/10","")</f>
        <v/>
      </c>
      <c r="C612" s="32">
        <f>IF($A612=1,"J-"&amp;Sales_Daily!$A51,"")</f>
        <v/>
      </c>
      <c r="D612" s="33">
        <f>IF($A612=1,Sales_Daily!$B51,"")</f>
        <v/>
      </c>
      <c r="E612" s="32">
        <f>IF($A612=1,IF(Sales_Daily!$A51="","",Sales_Daily!$A51),"")</f>
        <v/>
      </c>
      <c r="F612" s="32">
        <f>IF($A612=1,"SAL","")</f>
        <v/>
      </c>
      <c r="G612" s="32">
        <f>IF($A612=1,IF(Sales_Daily!$AR51="","",Sales_Daily!$AR51),"")</f>
        <v/>
      </c>
      <c r="H612" s="32">
        <f>IF($A612=1,IF(COUNTIF(COA!$A:$A,$G612)=0,"حساب غير معرف",INDEX(COA!$B:$B,MATCH($G612,COA!$A:$A,0))),"")</f>
        <v/>
      </c>
      <c r="I612" s="32">
        <f>IF($A612=1,IF(Sales_Daily!$C51="","",Sales_Daily!$C51),"")</f>
        <v/>
      </c>
      <c r="J612" s="32">
        <f>IF($A612=1,"CC10","")</f>
        <v/>
      </c>
      <c r="K612" s="32">
        <f>IF($A612=1,"-","")</f>
        <v/>
      </c>
      <c r="L612" s="32">
        <f>IF($A612=1,"إيراد مبيعات - فئة بيتزا","")</f>
        <v/>
      </c>
      <c r="M612" s="43">
        <f>IF($A612=1,0,"")</f>
        <v/>
      </c>
      <c r="N612" s="43">
        <f>IF($A612=1,Sales_Daily!$AE51,"")</f>
        <v/>
      </c>
      <c r="O612" s="32">
        <f>IF($A612=1,Sales_Daily!$S51,"")</f>
        <v/>
      </c>
      <c r="P612" s="32">
        <f>IF($A612=1,IF(Sales_Daily!$AW51="","",Sales_Daily!$AW51),"")</f>
        <v/>
      </c>
      <c r="Q612" s="32">
        <f>IF($A612=1,Sales_Daily!$AY51,"")</f>
        <v/>
      </c>
      <c r="R612" s="32">
        <f>IF($A612=1,IF(AND($Q612=1,COUNTIFS(COA!$A:$A,$G612,COA!$R:$R,1)=1),1,0),"")</f>
        <v/>
      </c>
      <c r="S612" s="43">
        <f>IF($A612=1,IF($R612=1,N($M612),0),"")</f>
        <v/>
      </c>
      <c r="T612" s="43">
        <f>IF($A612=1,IF($R612=1,N($N612),0),"")</f>
        <v/>
      </c>
      <c r="U612" s="32">
        <f>IF($A612=1,YEAR($D612)*100+MONTH($D612),"")</f>
        <v/>
      </c>
      <c r="V612" s="32">
        <f>IF($A612=1,IF(COUNTIF(COA!$A:$A,$G612)=0,0,INDEX(COA!$H:$H,MATCH($G612,COA!$A:$A,0))),"")</f>
        <v/>
      </c>
      <c r="W612" s="32">
        <f>IF($A612=1,"","")</f>
        <v/>
      </c>
      <c r="X612" s="32">
        <f>IF($A612=1,IF($R612=1,"",IF($O612=ST_POST,IF($P612&lt;&gt;"",$P612,"حساب غير صالح أو غير نشط"),IF($O612=ST_REV,"معكوس: لا أثر على الدفاتر",IF($O612=ST_CANC,"ملغى",IF($O612=ST_APPR,"معتمد ولم يُرحَّل","مسودة"))))),"")</f>
        <v/>
      </c>
      <c r="Y612" s="32">
        <f>IF($A612=1,IF(AND($R612=1,OR(LG_Acct="",$G612=LG_Acct),OR(LG_Party="",$K612=LG_Party),OR(LG_Loc="ALL",$I612=LG_Loc),OR(LG_CC="ALL",$J612=LG_CC),$D612&gt;=LG_From,$D612&lt;=LG_To),$D612+ROW()/1000000,""),"")</f>
        <v/>
      </c>
      <c r="Z612" s="32">
        <f>IF($A612=1,IF(Sales_Daily!$T51="","",Sales_Daily!$T51),"")</f>
        <v/>
      </c>
      <c r="AA612" s="32">
        <f>IF($A612=1,IF(Sales_Daily!$U51="","",Sales_Daily!$U51),"")</f>
        <v/>
      </c>
      <c r="AB612" s="32">
        <f>IF($A612=1,IF(Sales_Daily!$V51="","",Sales_Daily!$V51),"")</f>
        <v/>
      </c>
      <c r="AC612" s="32">
        <f>IF($A612=1,IF(Sales_Daily!$W51="","",Sales_Daily!$W51),"")</f>
        <v/>
      </c>
      <c r="AD612" s="32">
        <f>IF($A612=1,IF(Sales_Daily!$X51="","",Sales_Daily!$X51),"")</f>
        <v/>
      </c>
      <c r="AE612" s="32">
        <f>IF($A612=1,0,"")</f>
        <v/>
      </c>
      <c r="AF612" s="32" t="inlineStr"/>
    </row>
    <row r="613">
      <c r="A613" s="32">
        <f>IF(AND(Sales_Daily!$AV51=1,N(Sales_Daily!$AF51)&gt;0),1,0)</f>
        <v/>
      </c>
      <c r="B613" s="32">
        <f>IF($A613=1,$E613&amp;"/11","")</f>
        <v/>
      </c>
      <c r="C613" s="32">
        <f>IF($A613=1,"J-"&amp;Sales_Daily!$A51,"")</f>
        <v/>
      </c>
      <c r="D613" s="33">
        <f>IF($A613=1,Sales_Daily!$B51,"")</f>
        <v/>
      </c>
      <c r="E613" s="32">
        <f>IF($A613=1,IF(Sales_Daily!$A51="","",Sales_Daily!$A51),"")</f>
        <v/>
      </c>
      <c r="F613" s="32">
        <f>IF($A613=1,"SAL","")</f>
        <v/>
      </c>
      <c r="G613" s="32">
        <f>IF($A613=1,IF(Sales_Daily!$AS51="","",Sales_Daily!$AS51),"")</f>
        <v/>
      </c>
      <c r="H613" s="32">
        <f>IF($A613=1,IF(COUNTIF(COA!$A:$A,$G613)=0,"حساب غير معرف",INDEX(COA!$B:$B,MATCH($G613,COA!$A:$A,0))),"")</f>
        <v/>
      </c>
      <c r="I613" s="32">
        <f>IF($A613=1,IF(Sales_Daily!$C51="","",Sales_Daily!$C51),"")</f>
        <v/>
      </c>
      <c r="J613" s="32">
        <f>IF($A613=1,"CC10","")</f>
        <v/>
      </c>
      <c r="K613" s="32">
        <f>IF($A613=1,"-","")</f>
        <v/>
      </c>
      <c r="L613" s="32">
        <f>IF($A613=1,"إيراد مبيعات - فئة مكرونات","")</f>
        <v/>
      </c>
      <c r="M613" s="43">
        <f>IF($A613=1,0,"")</f>
        <v/>
      </c>
      <c r="N613" s="43">
        <f>IF($A613=1,Sales_Daily!$AF51,"")</f>
        <v/>
      </c>
      <c r="O613" s="32">
        <f>IF($A613=1,Sales_Daily!$S51,"")</f>
        <v/>
      </c>
      <c r="P613" s="32">
        <f>IF($A613=1,IF(Sales_Daily!$AW51="","",Sales_Daily!$AW51),"")</f>
        <v/>
      </c>
      <c r="Q613" s="32">
        <f>IF($A613=1,Sales_Daily!$AY51,"")</f>
        <v/>
      </c>
      <c r="R613" s="32">
        <f>IF($A613=1,IF(AND($Q613=1,COUNTIFS(COA!$A:$A,$G613,COA!$R:$R,1)=1),1,0),"")</f>
        <v/>
      </c>
      <c r="S613" s="43">
        <f>IF($A613=1,IF($R613=1,N($M613),0),"")</f>
        <v/>
      </c>
      <c r="T613" s="43">
        <f>IF($A613=1,IF($R613=1,N($N613),0),"")</f>
        <v/>
      </c>
      <c r="U613" s="32">
        <f>IF($A613=1,YEAR($D613)*100+MONTH($D613),"")</f>
        <v/>
      </c>
      <c r="V613" s="32">
        <f>IF($A613=1,IF(COUNTIF(COA!$A:$A,$G613)=0,0,INDEX(COA!$H:$H,MATCH($G613,COA!$A:$A,0))),"")</f>
        <v/>
      </c>
      <c r="W613" s="32">
        <f>IF($A613=1,"","")</f>
        <v/>
      </c>
      <c r="X613" s="32">
        <f>IF($A613=1,IF($R613=1,"",IF($O613=ST_POST,IF($P613&lt;&gt;"",$P613,"حساب غير صالح أو غير نشط"),IF($O613=ST_REV,"معكوس: لا أثر على الدفاتر",IF($O613=ST_CANC,"ملغى",IF($O613=ST_APPR,"معتمد ولم يُرحَّل","مسودة"))))),"")</f>
        <v/>
      </c>
      <c r="Y613" s="32">
        <f>IF($A613=1,IF(AND($R613=1,OR(LG_Acct="",$G613=LG_Acct),OR(LG_Party="",$K613=LG_Party),OR(LG_Loc="ALL",$I613=LG_Loc),OR(LG_CC="ALL",$J613=LG_CC),$D613&gt;=LG_From,$D613&lt;=LG_To),$D613+ROW()/1000000,""),"")</f>
        <v/>
      </c>
      <c r="Z613" s="32">
        <f>IF($A613=1,IF(Sales_Daily!$T51="","",Sales_Daily!$T51),"")</f>
        <v/>
      </c>
      <c r="AA613" s="32">
        <f>IF($A613=1,IF(Sales_Daily!$U51="","",Sales_Daily!$U51),"")</f>
        <v/>
      </c>
      <c r="AB613" s="32">
        <f>IF($A613=1,IF(Sales_Daily!$V51="","",Sales_Daily!$V51),"")</f>
        <v/>
      </c>
      <c r="AC613" s="32">
        <f>IF($A613=1,IF(Sales_Daily!$W51="","",Sales_Daily!$W51),"")</f>
        <v/>
      </c>
      <c r="AD613" s="32">
        <f>IF($A613=1,IF(Sales_Daily!$X51="","",Sales_Daily!$X51),"")</f>
        <v/>
      </c>
      <c r="AE613" s="32">
        <f>IF($A613=1,0,"")</f>
        <v/>
      </c>
      <c r="AF613" s="32" t="inlineStr"/>
    </row>
    <row r="614">
      <c r="A614" s="32">
        <f>IF(AND(Sales_Daily!$AV51=1,N(Sales_Daily!$AG51)&gt;0),1,0)</f>
        <v/>
      </c>
      <c r="B614" s="32">
        <f>IF($A614=1,$E614&amp;"/12","")</f>
        <v/>
      </c>
      <c r="C614" s="32">
        <f>IF($A614=1,"J-"&amp;Sales_Daily!$A51,"")</f>
        <v/>
      </c>
      <c r="D614" s="33">
        <f>IF($A614=1,Sales_Daily!$B51,"")</f>
        <v/>
      </c>
      <c r="E614" s="32">
        <f>IF($A614=1,IF(Sales_Daily!$A51="","",Sales_Daily!$A51),"")</f>
        <v/>
      </c>
      <c r="F614" s="32">
        <f>IF($A614=1,"SAL","")</f>
        <v/>
      </c>
      <c r="G614" s="32">
        <f>IF($A614=1,IF(Sales_Daily!$AT51="","",Sales_Daily!$AT51),"")</f>
        <v/>
      </c>
      <c r="H614" s="32">
        <f>IF($A614=1,IF(COUNTIF(COA!$A:$A,$G614)=0,"حساب غير معرف",INDEX(COA!$B:$B,MATCH($G614,COA!$A:$A,0))),"")</f>
        <v/>
      </c>
      <c r="I614" s="32">
        <f>IF($A614=1,IF(Sales_Daily!$C51="","",Sales_Daily!$C51),"")</f>
        <v/>
      </c>
      <c r="J614" s="32">
        <f>IF($A614=1,"CC10","")</f>
        <v/>
      </c>
      <c r="K614" s="32">
        <f>IF($A614=1,"-","")</f>
        <v/>
      </c>
      <c r="L614" s="32">
        <f>IF($A614=1,"إيراد مبيعات - فئة أخرى","")</f>
        <v/>
      </c>
      <c r="M614" s="43">
        <f>IF($A614=1,0,"")</f>
        <v/>
      </c>
      <c r="N614" s="43">
        <f>IF($A614=1,Sales_Daily!$AG51,"")</f>
        <v/>
      </c>
      <c r="O614" s="32">
        <f>IF($A614=1,Sales_Daily!$S51,"")</f>
        <v/>
      </c>
      <c r="P614" s="32">
        <f>IF($A614=1,IF(Sales_Daily!$AW51="","",Sales_Daily!$AW51),"")</f>
        <v/>
      </c>
      <c r="Q614" s="32">
        <f>IF($A614=1,Sales_Daily!$AY51,"")</f>
        <v/>
      </c>
      <c r="R614" s="32">
        <f>IF($A614=1,IF(AND($Q614=1,COUNTIFS(COA!$A:$A,$G614,COA!$R:$R,1)=1),1,0),"")</f>
        <v/>
      </c>
      <c r="S614" s="43">
        <f>IF($A614=1,IF($R614=1,N($M614),0),"")</f>
        <v/>
      </c>
      <c r="T614" s="43">
        <f>IF($A614=1,IF($R614=1,N($N614),0),"")</f>
        <v/>
      </c>
      <c r="U614" s="32">
        <f>IF($A614=1,YEAR($D614)*100+MONTH($D614),"")</f>
        <v/>
      </c>
      <c r="V614" s="32">
        <f>IF($A614=1,IF(COUNTIF(COA!$A:$A,$G614)=0,0,INDEX(COA!$H:$H,MATCH($G614,COA!$A:$A,0))),"")</f>
        <v/>
      </c>
      <c r="W614" s="32">
        <f>IF($A614=1,"","")</f>
        <v/>
      </c>
      <c r="X614" s="32">
        <f>IF($A614=1,IF($R614=1,"",IF($O614=ST_POST,IF($P614&lt;&gt;"",$P614,"حساب غير صالح أو غير نشط"),IF($O614=ST_REV,"معكوس: لا أثر على الدفاتر",IF($O614=ST_CANC,"ملغى",IF($O614=ST_APPR,"معتمد ولم يُرحَّل","مسودة"))))),"")</f>
        <v/>
      </c>
      <c r="Y614" s="32">
        <f>IF($A614=1,IF(AND($R614=1,OR(LG_Acct="",$G614=LG_Acct),OR(LG_Party="",$K614=LG_Party),OR(LG_Loc="ALL",$I614=LG_Loc),OR(LG_CC="ALL",$J614=LG_CC),$D614&gt;=LG_From,$D614&lt;=LG_To),$D614+ROW()/1000000,""),"")</f>
        <v/>
      </c>
      <c r="Z614" s="32">
        <f>IF($A614=1,IF(Sales_Daily!$T51="","",Sales_Daily!$T51),"")</f>
        <v/>
      </c>
      <c r="AA614" s="32">
        <f>IF($A614=1,IF(Sales_Daily!$U51="","",Sales_Daily!$U51),"")</f>
        <v/>
      </c>
      <c r="AB614" s="32">
        <f>IF($A614=1,IF(Sales_Daily!$V51="","",Sales_Daily!$V51),"")</f>
        <v/>
      </c>
      <c r="AC614" s="32">
        <f>IF($A614=1,IF(Sales_Daily!$W51="","",Sales_Daily!$W51),"")</f>
        <v/>
      </c>
      <c r="AD614" s="32">
        <f>IF($A614=1,IF(Sales_Daily!$X51="","",Sales_Daily!$X51),"")</f>
        <v/>
      </c>
      <c r="AE614" s="32">
        <f>IF($A614=1,0,"")</f>
        <v/>
      </c>
      <c r="AF614" s="32" t="inlineStr"/>
    </row>
    <row r="615">
      <c r="A615" s="32">
        <f>IF(AND(Sales_Daily!$AV51=1,N(Sales_Daily!$AJ51)&gt;0),1,0)</f>
        <v/>
      </c>
      <c r="B615" s="32">
        <f>IF($A615=1,$E615&amp;"/13","")</f>
        <v/>
      </c>
      <c r="C615" s="32">
        <f>IF($A615=1,"J-"&amp;Sales_Daily!$A51,"")</f>
        <v/>
      </c>
      <c r="D615" s="33">
        <f>IF($A615=1,Sales_Daily!$B51,"")</f>
        <v/>
      </c>
      <c r="E615" s="32">
        <f>IF($A615=1,IF(Sales_Daily!$A51="","",Sales_Daily!$A51),"")</f>
        <v/>
      </c>
      <c r="F615" s="32">
        <f>IF($A615=1,"SAL","")</f>
        <v/>
      </c>
      <c r="G615" s="32">
        <f>IF($A615=1,ACC_VAT_OUT,"")</f>
        <v/>
      </c>
      <c r="H615" s="32">
        <f>IF($A615=1,IF(COUNTIF(COA!$A:$A,$G615)=0,"حساب غير معرف",INDEX(COA!$B:$B,MATCH($G615,COA!$A:$A,0))),"")</f>
        <v/>
      </c>
      <c r="I615" s="32">
        <f>IF($A615=1,IF(Sales_Daily!$C51="","",Sales_Daily!$C51),"")</f>
        <v/>
      </c>
      <c r="J615" s="32">
        <f>IF($A615=1,"CC10","")</f>
        <v/>
      </c>
      <c r="K615" s="32">
        <f>IF($A615=1,"-","")</f>
        <v/>
      </c>
      <c r="L615" s="32">
        <f>IF($A615=1,"ضريبة القيمة المضافة - مخرجات","")</f>
        <v/>
      </c>
      <c r="M615" s="43">
        <f>IF($A615=1,0,"")</f>
        <v/>
      </c>
      <c r="N615" s="43">
        <f>IF($A615=1,Sales_Daily!$AJ51,"")</f>
        <v/>
      </c>
      <c r="O615" s="32">
        <f>IF($A615=1,Sales_Daily!$S51,"")</f>
        <v/>
      </c>
      <c r="P615" s="32">
        <f>IF($A615=1,IF(Sales_Daily!$AW51="","",Sales_Daily!$AW51),"")</f>
        <v/>
      </c>
      <c r="Q615" s="32">
        <f>IF($A615=1,Sales_Daily!$AY51,"")</f>
        <v/>
      </c>
      <c r="R615" s="32">
        <f>IF($A615=1,IF(AND($Q615=1,COUNTIFS(COA!$A:$A,$G615,COA!$R:$R,1)=1),1,0),"")</f>
        <v/>
      </c>
      <c r="S615" s="43">
        <f>IF($A615=1,IF($R615=1,N($M615),0),"")</f>
        <v/>
      </c>
      <c r="T615" s="43">
        <f>IF($A615=1,IF($R615=1,N($N615),0),"")</f>
        <v/>
      </c>
      <c r="U615" s="32">
        <f>IF($A615=1,YEAR($D615)*100+MONTH($D615),"")</f>
        <v/>
      </c>
      <c r="V615" s="32">
        <f>IF($A615=1,IF(COUNTIF(COA!$A:$A,$G615)=0,0,INDEX(COA!$H:$H,MATCH($G615,COA!$A:$A,0))),"")</f>
        <v/>
      </c>
      <c r="W615" s="32">
        <f>IF($A615=1,"","")</f>
        <v/>
      </c>
      <c r="X615" s="32">
        <f>IF($A615=1,IF($R615=1,"",IF($O615=ST_POST,IF($P615&lt;&gt;"",$P615,"حساب غير صالح أو غير نشط"),IF($O615=ST_REV,"معكوس: لا أثر على الدفاتر",IF($O615=ST_CANC,"ملغى",IF($O615=ST_APPR,"معتمد ولم يُرحَّل","مسودة"))))),"")</f>
        <v/>
      </c>
      <c r="Y615" s="32">
        <f>IF($A615=1,IF(AND($R615=1,OR(LG_Acct="",$G615=LG_Acct),OR(LG_Party="",$K615=LG_Party),OR(LG_Loc="ALL",$I615=LG_Loc),OR(LG_CC="ALL",$J615=LG_CC),$D615&gt;=LG_From,$D615&lt;=LG_To),$D615+ROW()/1000000,""),"")</f>
        <v/>
      </c>
      <c r="Z615" s="32">
        <f>IF($A615=1,IF(Sales_Daily!$T51="","",Sales_Daily!$T51),"")</f>
        <v/>
      </c>
      <c r="AA615" s="32">
        <f>IF($A615=1,IF(Sales_Daily!$U51="","",Sales_Daily!$U51),"")</f>
        <v/>
      </c>
      <c r="AB615" s="32">
        <f>IF($A615=1,IF(Sales_Daily!$V51="","",Sales_Daily!$V51),"")</f>
        <v/>
      </c>
      <c r="AC615" s="32">
        <f>IF($A615=1,IF(Sales_Daily!$W51="","",Sales_Daily!$W51),"")</f>
        <v/>
      </c>
      <c r="AD615" s="32">
        <f>IF($A615=1,IF(Sales_Daily!$X51="","",Sales_Daily!$X51),"")</f>
        <v/>
      </c>
      <c r="AE615" s="32">
        <f>IF($A615=1,0,"")</f>
        <v/>
      </c>
      <c r="AF615" s="32" t="inlineStr"/>
    </row>
    <row r="616">
      <c r="A616" s="32">
        <f>IF(AND(Sales_Daily!$AV52=1,N(Sales_Daily!$L52)&gt;0),1,0)</f>
        <v/>
      </c>
      <c r="B616" s="32">
        <f>IF($A616=1,$E616&amp;"/1","")</f>
        <v/>
      </c>
      <c r="C616" s="32">
        <f>IF($A616=1,"J-"&amp;Sales_Daily!$A52,"")</f>
        <v/>
      </c>
      <c r="D616" s="33">
        <f>IF($A616=1,Sales_Daily!$B52,"")</f>
        <v/>
      </c>
      <c r="E616" s="32">
        <f>IF($A616=1,IF(Sales_Daily!$A52="","",Sales_Daily!$A52),"")</f>
        <v/>
      </c>
      <c r="F616" s="32">
        <f>IF($A616=1,"SAL","")</f>
        <v/>
      </c>
      <c r="G616" s="32">
        <f>IF($A616=1,IF(Sales_Daily!$AK52="","",Sales_Daily!$AK52),"")</f>
        <v/>
      </c>
      <c r="H616" s="32">
        <f>IF($A616=1,IF(COUNTIF(COA!$A:$A,$G616)=0,"حساب غير معرف",INDEX(COA!$B:$B,MATCH($G616,COA!$A:$A,0))),"")</f>
        <v/>
      </c>
      <c r="I616" s="32">
        <f>IF($A616=1,IF(Sales_Daily!$C52="","",Sales_Daily!$C52),"")</f>
        <v/>
      </c>
      <c r="J616" s="32">
        <f>IF($A616=1,"CC10","")</f>
        <v/>
      </c>
      <c r="K616" s="32">
        <f>IF($A616=1,"-","")</f>
        <v/>
      </c>
      <c r="L616" s="32">
        <f>IF($A616=1,"مبيعات - تحصيل CASH","")</f>
        <v/>
      </c>
      <c r="M616" s="43">
        <f>IF($A616=1,Sales_Daily!$L52,"")</f>
        <v/>
      </c>
      <c r="N616" s="43">
        <f>IF($A616=1,0,"")</f>
        <v/>
      </c>
      <c r="O616" s="32">
        <f>IF($A616=1,Sales_Daily!$S52,"")</f>
        <v/>
      </c>
      <c r="P616" s="32">
        <f>IF($A616=1,IF(Sales_Daily!$AW52="","",Sales_Daily!$AW52),"")</f>
        <v/>
      </c>
      <c r="Q616" s="32">
        <f>IF($A616=1,Sales_Daily!$AY52,"")</f>
        <v/>
      </c>
      <c r="R616" s="32">
        <f>IF($A616=1,IF(AND($Q616=1,COUNTIFS(COA!$A:$A,$G616,COA!$R:$R,1)=1),1,0),"")</f>
        <v/>
      </c>
      <c r="S616" s="43">
        <f>IF($A616=1,IF($R616=1,N($M616),0),"")</f>
        <v/>
      </c>
      <c r="T616" s="43">
        <f>IF($A616=1,IF($R616=1,N($N616),0),"")</f>
        <v/>
      </c>
      <c r="U616" s="32">
        <f>IF($A616=1,YEAR($D616)*100+MONTH($D616),"")</f>
        <v/>
      </c>
      <c r="V616" s="32">
        <f>IF($A616=1,IF(COUNTIF(COA!$A:$A,$G616)=0,0,INDEX(COA!$H:$H,MATCH($G616,COA!$A:$A,0))),"")</f>
        <v/>
      </c>
      <c r="W616" s="32">
        <f>IF($A616=1,"OPERATING","")</f>
        <v/>
      </c>
      <c r="X616" s="32">
        <f>IF($A616=1,IF($R616=1,"",IF($O616=ST_POST,IF($P616&lt;&gt;"",$P616,"حساب غير صالح أو غير نشط"),IF($O616=ST_REV,"معكوس: لا أثر على الدفاتر",IF($O616=ST_CANC,"ملغى",IF($O616=ST_APPR,"معتمد ولم يُرحَّل","مسودة"))))),"")</f>
        <v/>
      </c>
      <c r="Y616" s="32">
        <f>IF($A616=1,IF(AND($R616=1,OR(LG_Acct="",$G616=LG_Acct),OR(LG_Party="",$K616=LG_Party),OR(LG_Loc="ALL",$I616=LG_Loc),OR(LG_CC="ALL",$J616=LG_CC),$D616&gt;=LG_From,$D616&lt;=LG_To),$D616+ROW()/1000000,""),"")</f>
        <v/>
      </c>
      <c r="Z616" s="32">
        <f>IF($A616=1,IF(Sales_Daily!$T52="","",Sales_Daily!$T52),"")</f>
        <v/>
      </c>
      <c r="AA616" s="32">
        <f>IF($A616=1,IF(Sales_Daily!$U52="","",Sales_Daily!$U52),"")</f>
        <v/>
      </c>
      <c r="AB616" s="32">
        <f>IF($A616=1,IF(Sales_Daily!$V52="","",Sales_Daily!$V52),"")</f>
        <v/>
      </c>
      <c r="AC616" s="32">
        <f>IF($A616=1,IF(Sales_Daily!$W52="","",Sales_Daily!$W52),"")</f>
        <v/>
      </c>
      <c r="AD616" s="32">
        <f>IF($A616=1,IF(Sales_Daily!$X52="","",Sales_Daily!$X52),"")</f>
        <v/>
      </c>
      <c r="AE616" s="32">
        <f>IF($A616=1,0,"")</f>
        <v/>
      </c>
      <c r="AF616" s="32" t="inlineStr"/>
    </row>
    <row r="617">
      <c r="A617" s="32">
        <f>IF(AND(Sales_Daily!$AV52=1,N(Sales_Daily!$M52)&gt;0),1,0)</f>
        <v/>
      </c>
      <c r="B617" s="32">
        <f>IF($A617=1,$E617&amp;"/2","")</f>
        <v/>
      </c>
      <c r="C617" s="32">
        <f>IF($A617=1,"J-"&amp;Sales_Daily!$A52,"")</f>
        <v/>
      </c>
      <c r="D617" s="33">
        <f>IF($A617=1,Sales_Daily!$B52,"")</f>
        <v/>
      </c>
      <c r="E617" s="32">
        <f>IF($A617=1,IF(Sales_Daily!$A52="","",Sales_Daily!$A52),"")</f>
        <v/>
      </c>
      <c r="F617" s="32">
        <f>IF($A617=1,"SAL","")</f>
        <v/>
      </c>
      <c r="G617" s="32">
        <f>IF($A617=1,IF(Sales_Daily!$AL52="","",Sales_Daily!$AL52),"")</f>
        <v/>
      </c>
      <c r="H617" s="32">
        <f>IF($A617=1,IF(COUNTIF(COA!$A:$A,$G617)=0,"حساب غير معرف",INDEX(COA!$B:$B,MATCH($G617,COA!$A:$A,0))),"")</f>
        <v/>
      </c>
      <c r="I617" s="32">
        <f>IF($A617=1,IF(Sales_Daily!$C52="","",Sales_Daily!$C52),"")</f>
        <v/>
      </c>
      <c r="J617" s="32">
        <f>IF($A617=1,"CC10","")</f>
        <v/>
      </c>
      <c r="K617" s="32">
        <f>IF($A617=1,"-","")</f>
        <v/>
      </c>
      <c r="L617" s="32">
        <f>IF($A617=1,"مبيعات - تحصيل CARD","")</f>
        <v/>
      </c>
      <c r="M617" s="43">
        <f>IF($A617=1,Sales_Daily!$M52,"")</f>
        <v/>
      </c>
      <c r="N617" s="43">
        <f>IF($A617=1,0,"")</f>
        <v/>
      </c>
      <c r="O617" s="32">
        <f>IF($A617=1,Sales_Daily!$S52,"")</f>
        <v/>
      </c>
      <c r="P617" s="32">
        <f>IF($A617=1,IF(Sales_Daily!$AW52="","",Sales_Daily!$AW52),"")</f>
        <v/>
      </c>
      <c r="Q617" s="32">
        <f>IF($A617=1,Sales_Daily!$AY52,"")</f>
        <v/>
      </c>
      <c r="R617" s="32">
        <f>IF($A617=1,IF(AND($Q617=1,COUNTIFS(COA!$A:$A,$G617,COA!$R:$R,1)=1),1,0),"")</f>
        <v/>
      </c>
      <c r="S617" s="43">
        <f>IF($A617=1,IF($R617=1,N($M617),0),"")</f>
        <v/>
      </c>
      <c r="T617" s="43">
        <f>IF($A617=1,IF($R617=1,N($N617),0),"")</f>
        <v/>
      </c>
      <c r="U617" s="32">
        <f>IF($A617=1,YEAR($D617)*100+MONTH($D617),"")</f>
        <v/>
      </c>
      <c r="V617" s="32">
        <f>IF($A617=1,IF(COUNTIF(COA!$A:$A,$G617)=0,0,INDEX(COA!$H:$H,MATCH($G617,COA!$A:$A,0))),"")</f>
        <v/>
      </c>
      <c r="W617" s="32">
        <f>IF($A617=1,"OPERATING","")</f>
        <v/>
      </c>
      <c r="X617" s="32">
        <f>IF($A617=1,IF($R617=1,"",IF($O617=ST_POST,IF($P617&lt;&gt;"",$P617,"حساب غير صالح أو غير نشط"),IF($O617=ST_REV,"معكوس: لا أثر على الدفاتر",IF($O617=ST_CANC,"ملغى",IF($O617=ST_APPR,"معتمد ولم يُرحَّل","مسودة"))))),"")</f>
        <v/>
      </c>
      <c r="Y617" s="32">
        <f>IF($A617=1,IF(AND($R617=1,OR(LG_Acct="",$G617=LG_Acct),OR(LG_Party="",$K617=LG_Party),OR(LG_Loc="ALL",$I617=LG_Loc),OR(LG_CC="ALL",$J617=LG_CC),$D617&gt;=LG_From,$D617&lt;=LG_To),$D617+ROW()/1000000,""),"")</f>
        <v/>
      </c>
      <c r="Z617" s="32">
        <f>IF($A617=1,IF(Sales_Daily!$T52="","",Sales_Daily!$T52),"")</f>
        <v/>
      </c>
      <c r="AA617" s="32">
        <f>IF($A617=1,IF(Sales_Daily!$U52="","",Sales_Daily!$U52),"")</f>
        <v/>
      </c>
      <c r="AB617" s="32">
        <f>IF($A617=1,IF(Sales_Daily!$V52="","",Sales_Daily!$V52),"")</f>
        <v/>
      </c>
      <c r="AC617" s="32">
        <f>IF($A617=1,IF(Sales_Daily!$W52="","",Sales_Daily!$W52),"")</f>
        <v/>
      </c>
      <c r="AD617" s="32">
        <f>IF($A617=1,IF(Sales_Daily!$X52="","",Sales_Daily!$X52),"")</f>
        <v/>
      </c>
      <c r="AE617" s="32">
        <f>IF($A617=1,0,"")</f>
        <v/>
      </c>
      <c r="AF617" s="32" t="inlineStr"/>
    </row>
    <row r="618">
      <c r="A618" s="32">
        <f>IF(AND(Sales_Daily!$AV52=1,N(Sales_Daily!$N52)&gt;0),1,0)</f>
        <v/>
      </c>
      <c r="B618" s="32">
        <f>IF($A618=1,$E618&amp;"/3","")</f>
        <v/>
      </c>
      <c r="C618" s="32">
        <f>IF($A618=1,"J-"&amp;Sales_Daily!$A52,"")</f>
        <v/>
      </c>
      <c r="D618" s="33">
        <f>IF($A618=1,Sales_Daily!$B52,"")</f>
        <v/>
      </c>
      <c r="E618" s="32">
        <f>IF($A618=1,IF(Sales_Daily!$A52="","",Sales_Daily!$A52),"")</f>
        <v/>
      </c>
      <c r="F618" s="32">
        <f>IF($A618=1,"SAL","")</f>
        <v/>
      </c>
      <c r="G618" s="32">
        <f>IF($A618=1,IF(Sales_Daily!$AM52="","",Sales_Daily!$AM52),"")</f>
        <v/>
      </c>
      <c r="H618" s="32">
        <f>IF($A618=1,IF(COUNTIF(COA!$A:$A,$G618)=0,"حساب غير معرف",INDEX(COA!$B:$B,MATCH($G618,COA!$A:$A,0))),"")</f>
        <v/>
      </c>
      <c r="I618" s="32">
        <f>IF($A618=1,IF(Sales_Daily!$C52="","",Sales_Daily!$C52),"")</f>
        <v/>
      </c>
      <c r="J618" s="32">
        <f>IF($A618=1,"CC10","")</f>
        <v/>
      </c>
      <c r="K618" s="32">
        <f>IF($A618=1,"-","")</f>
        <v/>
      </c>
      <c r="L618" s="32">
        <f>IF($A618=1,"مبيعات - تحصيل TLB","")</f>
        <v/>
      </c>
      <c r="M618" s="43">
        <f>IF($A618=1,Sales_Daily!$N52,"")</f>
        <v/>
      </c>
      <c r="N618" s="43">
        <f>IF($A618=1,0,"")</f>
        <v/>
      </c>
      <c r="O618" s="32">
        <f>IF($A618=1,Sales_Daily!$S52,"")</f>
        <v/>
      </c>
      <c r="P618" s="32">
        <f>IF($A618=1,IF(Sales_Daily!$AW52="","",Sales_Daily!$AW52),"")</f>
        <v/>
      </c>
      <c r="Q618" s="32">
        <f>IF($A618=1,Sales_Daily!$AY52,"")</f>
        <v/>
      </c>
      <c r="R618" s="32">
        <f>IF($A618=1,IF(AND($Q618=1,COUNTIFS(COA!$A:$A,$G618,COA!$R:$R,1)=1),1,0),"")</f>
        <v/>
      </c>
      <c r="S618" s="43">
        <f>IF($A618=1,IF($R618=1,N($M618),0),"")</f>
        <v/>
      </c>
      <c r="T618" s="43">
        <f>IF($A618=1,IF($R618=1,N($N618),0),"")</f>
        <v/>
      </c>
      <c r="U618" s="32">
        <f>IF($A618=1,YEAR($D618)*100+MONTH($D618),"")</f>
        <v/>
      </c>
      <c r="V618" s="32">
        <f>IF($A618=1,IF(COUNTIF(COA!$A:$A,$G618)=0,0,INDEX(COA!$H:$H,MATCH($G618,COA!$A:$A,0))),"")</f>
        <v/>
      </c>
      <c r="W618" s="32">
        <f>IF($A618=1,"OPERATING","")</f>
        <v/>
      </c>
      <c r="X618" s="32">
        <f>IF($A618=1,IF($R618=1,"",IF($O618=ST_POST,IF($P618&lt;&gt;"",$P618,"حساب غير صالح أو غير نشط"),IF($O618=ST_REV,"معكوس: لا أثر على الدفاتر",IF($O618=ST_CANC,"ملغى",IF($O618=ST_APPR,"معتمد ولم يُرحَّل","مسودة"))))),"")</f>
        <v/>
      </c>
      <c r="Y618" s="32">
        <f>IF($A618=1,IF(AND($R618=1,OR(LG_Acct="",$G618=LG_Acct),OR(LG_Party="",$K618=LG_Party),OR(LG_Loc="ALL",$I618=LG_Loc),OR(LG_CC="ALL",$J618=LG_CC),$D618&gt;=LG_From,$D618&lt;=LG_To),$D618+ROW()/1000000,""),"")</f>
        <v/>
      </c>
      <c r="Z618" s="32">
        <f>IF($A618=1,IF(Sales_Daily!$T52="","",Sales_Daily!$T52),"")</f>
        <v/>
      </c>
      <c r="AA618" s="32">
        <f>IF($A618=1,IF(Sales_Daily!$U52="","",Sales_Daily!$U52),"")</f>
        <v/>
      </c>
      <c r="AB618" s="32">
        <f>IF($A618=1,IF(Sales_Daily!$V52="","",Sales_Daily!$V52),"")</f>
        <v/>
      </c>
      <c r="AC618" s="32">
        <f>IF($A618=1,IF(Sales_Daily!$W52="","",Sales_Daily!$W52),"")</f>
        <v/>
      </c>
      <c r="AD618" s="32">
        <f>IF($A618=1,IF(Sales_Daily!$X52="","",Sales_Daily!$X52),"")</f>
        <v/>
      </c>
      <c r="AE618" s="32">
        <f>IF($A618=1,0,"")</f>
        <v/>
      </c>
      <c r="AF618" s="32" t="inlineStr"/>
    </row>
    <row r="619">
      <c r="A619" s="32">
        <f>IF(AND(Sales_Daily!$AV52=1,N(Sales_Daily!$O52)&gt;0),1,0)</f>
        <v/>
      </c>
      <c r="B619" s="32">
        <f>IF($A619=1,$E619&amp;"/4","")</f>
        <v/>
      </c>
      <c r="C619" s="32">
        <f>IF($A619=1,"J-"&amp;Sales_Daily!$A52,"")</f>
        <v/>
      </c>
      <c r="D619" s="33">
        <f>IF($A619=1,Sales_Daily!$B52,"")</f>
        <v/>
      </c>
      <c r="E619" s="32">
        <f>IF($A619=1,IF(Sales_Daily!$A52="","",Sales_Daily!$A52),"")</f>
        <v/>
      </c>
      <c r="F619" s="32">
        <f>IF($A619=1,"SAL","")</f>
        <v/>
      </c>
      <c r="G619" s="32">
        <f>IF($A619=1,IF(Sales_Daily!$AN52="","",Sales_Daily!$AN52),"")</f>
        <v/>
      </c>
      <c r="H619" s="32">
        <f>IF($A619=1,IF(COUNTIF(COA!$A:$A,$G619)=0,"حساب غير معرف",INDEX(COA!$B:$B,MATCH($G619,COA!$A:$A,0))),"")</f>
        <v/>
      </c>
      <c r="I619" s="32">
        <f>IF($A619=1,IF(Sales_Daily!$C52="","",Sales_Daily!$C52),"")</f>
        <v/>
      </c>
      <c r="J619" s="32">
        <f>IF($A619=1,"CC10","")</f>
        <v/>
      </c>
      <c r="K619" s="32">
        <f>IF($A619=1,"-","")</f>
        <v/>
      </c>
      <c r="L619" s="32">
        <f>IF($A619=1,"مبيعات - تحصيل DLV2","")</f>
        <v/>
      </c>
      <c r="M619" s="43">
        <f>IF($A619=1,Sales_Daily!$O52,"")</f>
        <v/>
      </c>
      <c r="N619" s="43">
        <f>IF($A619=1,0,"")</f>
        <v/>
      </c>
      <c r="O619" s="32">
        <f>IF($A619=1,Sales_Daily!$S52,"")</f>
        <v/>
      </c>
      <c r="P619" s="32">
        <f>IF($A619=1,IF(Sales_Daily!$AW52="","",Sales_Daily!$AW52),"")</f>
        <v/>
      </c>
      <c r="Q619" s="32">
        <f>IF($A619=1,Sales_Daily!$AY52,"")</f>
        <v/>
      </c>
      <c r="R619" s="32">
        <f>IF($A619=1,IF(AND($Q619=1,COUNTIFS(COA!$A:$A,$G619,COA!$R:$R,1)=1),1,0),"")</f>
        <v/>
      </c>
      <c r="S619" s="43">
        <f>IF($A619=1,IF($R619=1,N($M619),0),"")</f>
        <v/>
      </c>
      <c r="T619" s="43">
        <f>IF($A619=1,IF($R619=1,N($N619),0),"")</f>
        <v/>
      </c>
      <c r="U619" s="32">
        <f>IF($A619=1,YEAR($D619)*100+MONTH($D619),"")</f>
        <v/>
      </c>
      <c r="V619" s="32">
        <f>IF($A619=1,IF(COUNTIF(COA!$A:$A,$G619)=0,0,INDEX(COA!$H:$H,MATCH($G619,COA!$A:$A,0))),"")</f>
        <v/>
      </c>
      <c r="W619" s="32">
        <f>IF($A619=1,"OPERATING","")</f>
        <v/>
      </c>
      <c r="X619" s="32">
        <f>IF($A619=1,IF($R619=1,"",IF($O619=ST_POST,IF($P619&lt;&gt;"",$P619,"حساب غير صالح أو غير نشط"),IF($O619=ST_REV,"معكوس: لا أثر على الدفاتر",IF($O619=ST_CANC,"ملغى",IF($O619=ST_APPR,"معتمد ولم يُرحَّل","مسودة"))))),"")</f>
        <v/>
      </c>
      <c r="Y619" s="32">
        <f>IF($A619=1,IF(AND($R619=1,OR(LG_Acct="",$G619=LG_Acct),OR(LG_Party="",$K619=LG_Party),OR(LG_Loc="ALL",$I619=LG_Loc),OR(LG_CC="ALL",$J619=LG_CC),$D619&gt;=LG_From,$D619&lt;=LG_To),$D619+ROW()/1000000,""),"")</f>
        <v/>
      </c>
      <c r="Z619" s="32">
        <f>IF($A619=1,IF(Sales_Daily!$T52="","",Sales_Daily!$T52),"")</f>
        <v/>
      </c>
      <c r="AA619" s="32">
        <f>IF($A619=1,IF(Sales_Daily!$U52="","",Sales_Daily!$U52),"")</f>
        <v/>
      </c>
      <c r="AB619" s="32">
        <f>IF($A619=1,IF(Sales_Daily!$V52="","",Sales_Daily!$V52),"")</f>
        <v/>
      </c>
      <c r="AC619" s="32">
        <f>IF($A619=1,IF(Sales_Daily!$W52="","",Sales_Daily!$W52),"")</f>
        <v/>
      </c>
      <c r="AD619" s="32">
        <f>IF($A619=1,IF(Sales_Daily!$X52="","",Sales_Daily!$X52),"")</f>
        <v/>
      </c>
      <c r="AE619" s="32">
        <f>IF($A619=1,0,"")</f>
        <v/>
      </c>
      <c r="AF619" s="32" t="inlineStr"/>
    </row>
    <row r="620">
      <c r="A620" s="32">
        <f>IF(AND(Sales_Daily!$AV52=1,N(Sales_Daily!$P52)&gt;0),1,0)</f>
        <v/>
      </c>
      <c r="B620" s="32">
        <f>IF($A620=1,$E620&amp;"/5","")</f>
        <v/>
      </c>
      <c r="C620" s="32">
        <f>IF($A620=1,"J-"&amp;Sales_Daily!$A52,"")</f>
        <v/>
      </c>
      <c r="D620" s="33">
        <f>IF($A620=1,Sales_Daily!$B52,"")</f>
        <v/>
      </c>
      <c r="E620" s="32">
        <f>IF($A620=1,IF(Sales_Daily!$A52="","",Sales_Daily!$A52),"")</f>
        <v/>
      </c>
      <c r="F620" s="32">
        <f>IF($A620=1,"SAL","")</f>
        <v/>
      </c>
      <c r="G620" s="32">
        <f>IF($A620=1,IF(Sales_Daily!$AO52="","",Sales_Daily!$AO52),"")</f>
        <v/>
      </c>
      <c r="H620" s="32">
        <f>IF($A620=1,IF(COUNTIF(COA!$A:$A,$G620)=0,"حساب غير معرف",INDEX(COA!$B:$B,MATCH($G620,COA!$A:$A,0))),"")</f>
        <v/>
      </c>
      <c r="I620" s="32">
        <f>IF($A620=1,IF(Sales_Daily!$C52="","",Sales_Daily!$C52),"")</f>
        <v/>
      </c>
      <c r="J620" s="32">
        <f>IF($A620=1,"CC10","")</f>
        <v/>
      </c>
      <c r="K620" s="32">
        <f>IF($A620=1,"-","")</f>
        <v/>
      </c>
      <c r="L620" s="32">
        <f>IF($A620=1,"مبيعات - تحصيل INSTA","")</f>
        <v/>
      </c>
      <c r="M620" s="43">
        <f>IF($A620=1,Sales_Daily!$P52,"")</f>
        <v/>
      </c>
      <c r="N620" s="43">
        <f>IF($A620=1,0,"")</f>
        <v/>
      </c>
      <c r="O620" s="32">
        <f>IF($A620=1,Sales_Daily!$S52,"")</f>
        <v/>
      </c>
      <c r="P620" s="32">
        <f>IF($A620=1,IF(Sales_Daily!$AW52="","",Sales_Daily!$AW52),"")</f>
        <v/>
      </c>
      <c r="Q620" s="32">
        <f>IF($A620=1,Sales_Daily!$AY52,"")</f>
        <v/>
      </c>
      <c r="R620" s="32">
        <f>IF($A620=1,IF(AND($Q620=1,COUNTIFS(COA!$A:$A,$G620,COA!$R:$R,1)=1),1,0),"")</f>
        <v/>
      </c>
      <c r="S620" s="43">
        <f>IF($A620=1,IF($R620=1,N($M620),0),"")</f>
        <v/>
      </c>
      <c r="T620" s="43">
        <f>IF($A620=1,IF($R620=1,N($N620),0),"")</f>
        <v/>
      </c>
      <c r="U620" s="32">
        <f>IF($A620=1,YEAR($D620)*100+MONTH($D620),"")</f>
        <v/>
      </c>
      <c r="V620" s="32">
        <f>IF($A620=1,IF(COUNTIF(COA!$A:$A,$G620)=0,0,INDEX(COA!$H:$H,MATCH($G620,COA!$A:$A,0))),"")</f>
        <v/>
      </c>
      <c r="W620" s="32">
        <f>IF($A620=1,"OPERATING","")</f>
        <v/>
      </c>
      <c r="X620" s="32">
        <f>IF($A620=1,IF($R620=1,"",IF($O620=ST_POST,IF($P620&lt;&gt;"",$P620,"حساب غير صالح أو غير نشط"),IF($O620=ST_REV,"معكوس: لا أثر على الدفاتر",IF($O620=ST_CANC,"ملغى",IF($O620=ST_APPR,"معتمد ولم يُرحَّل","مسودة"))))),"")</f>
        <v/>
      </c>
      <c r="Y620" s="32">
        <f>IF($A620=1,IF(AND($R620=1,OR(LG_Acct="",$G620=LG_Acct),OR(LG_Party="",$K620=LG_Party),OR(LG_Loc="ALL",$I620=LG_Loc),OR(LG_CC="ALL",$J620=LG_CC),$D620&gt;=LG_From,$D620&lt;=LG_To),$D620+ROW()/1000000,""),"")</f>
        <v/>
      </c>
      <c r="Z620" s="32">
        <f>IF($A620=1,IF(Sales_Daily!$T52="","",Sales_Daily!$T52),"")</f>
        <v/>
      </c>
      <c r="AA620" s="32">
        <f>IF($A620=1,IF(Sales_Daily!$U52="","",Sales_Daily!$U52),"")</f>
        <v/>
      </c>
      <c r="AB620" s="32">
        <f>IF($A620=1,IF(Sales_Daily!$V52="","",Sales_Daily!$V52),"")</f>
        <v/>
      </c>
      <c r="AC620" s="32">
        <f>IF($A620=1,IF(Sales_Daily!$W52="","",Sales_Daily!$W52),"")</f>
        <v/>
      </c>
      <c r="AD620" s="32">
        <f>IF($A620=1,IF(Sales_Daily!$X52="","",Sales_Daily!$X52),"")</f>
        <v/>
      </c>
      <c r="AE620" s="32">
        <f>IF($A620=1,0,"")</f>
        <v/>
      </c>
      <c r="AF620" s="32" t="inlineStr"/>
    </row>
    <row r="621">
      <c r="A621" s="32">
        <f>IF(AND(Sales_Daily!$AV52=1,N(Sales_Daily!$Q52)&gt;0),1,0)</f>
        <v/>
      </c>
      <c r="B621" s="32">
        <f>IF($A621=1,$E621&amp;"/6","")</f>
        <v/>
      </c>
      <c r="C621" s="32">
        <f>IF($A621=1,"J-"&amp;Sales_Daily!$A52,"")</f>
        <v/>
      </c>
      <c r="D621" s="33">
        <f>IF($A621=1,Sales_Daily!$B52,"")</f>
        <v/>
      </c>
      <c r="E621" s="32">
        <f>IF($A621=1,IF(Sales_Daily!$A52="","",Sales_Daily!$A52),"")</f>
        <v/>
      </c>
      <c r="F621" s="32">
        <f>IF($A621=1,"SAL","")</f>
        <v/>
      </c>
      <c r="G621" s="32">
        <f>IF($A621=1,IF(Sales_Daily!$AP52="","",Sales_Daily!$AP52),"")</f>
        <v/>
      </c>
      <c r="H621" s="32">
        <f>IF($A621=1,IF(COUNTIF(COA!$A:$A,$G621)=0,"حساب غير معرف",INDEX(COA!$B:$B,MATCH($G621,COA!$A:$A,0))),"")</f>
        <v/>
      </c>
      <c r="I621" s="32">
        <f>IF($A621=1,IF(Sales_Daily!$C52="","",Sales_Daily!$C52),"")</f>
        <v/>
      </c>
      <c r="J621" s="32">
        <f>IF($A621=1,"CC10","")</f>
        <v/>
      </c>
      <c r="K621" s="32">
        <f>IF($A621=1,"-","")</f>
        <v/>
      </c>
      <c r="L621" s="32">
        <f>IF($A621=1,"مبيعات - تحصيل OTH","")</f>
        <v/>
      </c>
      <c r="M621" s="43">
        <f>IF($A621=1,Sales_Daily!$Q52,"")</f>
        <v/>
      </c>
      <c r="N621" s="43">
        <f>IF($A621=1,0,"")</f>
        <v/>
      </c>
      <c r="O621" s="32">
        <f>IF($A621=1,Sales_Daily!$S52,"")</f>
        <v/>
      </c>
      <c r="P621" s="32">
        <f>IF($A621=1,IF(Sales_Daily!$AW52="","",Sales_Daily!$AW52),"")</f>
        <v/>
      </c>
      <c r="Q621" s="32">
        <f>IF($A621=1,Sales_Daily!$AY52,"")</f>
        <v/>
      </c>
      <c r="R621" s="32">
        <f>IF($A621=1,IF(AND($Q621=1,COUNTIFS(COA!$A:$A,$G621,COA!$R:$R,1)=1),1,0),"")</f>
        <v/>
      </c>
      <c r="S621" s="43">
        <f>IF($A621=1,IF($R621=1,N($M621),0),"")</f>
        <v/>
      </c>
      <c r="T621" s="43">
        <f>IF($A621=1,IF($R621=1,N($N621),0),"")</f>
        <v/>
      </c>
      <c r="U621" s="32">
        <f>IF($A621=1,YEAR($D621)*100+MONTH($D621),"")</f>
        <v/>
      </c>
      <c r="V621" s="32">
        <f>IF($A621=1,IF(COUNTIF(COA!$A:$A,$G621)=0,0,INDEX(COA!$H:$H,MATCH($G621,COA!$A:$A,0))),"")</f>
        <v/>
      </c>
      <c r="W621" s="32">
        <f>IF($A621=1,"OPERATING","")</f>
        <v/>
      </c>
      <c r="X621" s="32">
        <f>IF($A621=1,IF($R621=1,"",IF($O621=ST_POST,IF($P621&lt;&gt;"",$P621,"حساب غير صالح أو غير نشط"),IF($O621=ST_REV,"معكوس: لا أثر على الدفاتر",IF($O621=ST_CANC,"ملغى",IF($O621=ST_APPR,"معتمد ولم يُرحَّل","مسودة"))))),"")</f>
        <v/>
      </c>
      <c r="Y621" s="32">
        <f>IF($A621=1,IF(AND($R621=1,OR(LG_Acct="",$G621=LG_Acct),OR(LG_Party="",$K621=LG_Party),OR(LG_Loc="ALL",$I621=LG_Loc),OR(LG_CC="ALL",$J621=LG_CC),$D621&gt;=LG_From,$D621&lt;=LG_To),$D621+ROW()/1000000,""),"")</f>
        <v/>
      </c>
      <c r="Z621" s="32">
        <f>IF($A621=1,IF(Sales_Daily!$T52="","",Sales_Daily!$T52),"")</f>
        <v/>
      </c>
      <c r="AA621" s="32">
        <f>IF($A621=1,IF(Sales_Daily!$U52="","",Sales_Daily!$U52),"")</f>
        <v/>
      </c>
      <c r="AB621" s="32">
        <f>IF($A621=1,IF(Sales_Daily!$V52="","",Sales_Daily!$V52),"")</f>
        <v/>
      </c>
      <c r="AC621" s="32">
        <f>IF($A621=1,IF(Sales_Daily!$W52="","",Sales_Daily!$W52),"")</f>
        <v/>
      </c>
      <c r="AD621" s="32">
        <f>IF($A621=1,IF(Sales_Daily!$X52="","",Sales_Daily!$X52),"")</f>
        <v/>
      </c>
      <c r="AE621" s="32">
        <f>IF($A621=1,0,"")</f>
        <v/>
      </c>
      <c r="AF621" s="32" t="inlineStr"/>
    </row>
    <row r="622">
      <c r="A622" s="32">
        <f>IF(AND(Sales_Daily!$AV52=1,N(Sales_Daily!$AH52)&gt;0),1,0)</f>
        <v/>
      </c>
      <c r="B622" s="32">
        <f>IF($A622=1,$E622&amp;"/7","")</f>
        <v/>
      </c>
      <c r="C622" s="32">
        <f>IF($A622=1,"J-"&amp;Sales_Daily!$A52,"")</f>
        <v/>
      </c>
      <c r="D622" s="33">
        <f>IF($A622=1,Sales_Daily!$B52,"")</f>
        <v/>
      </c>
      <c r="E622" s="32">
        <f>IF($A622=1,IF(Sales_Daily!$A52="","",Sales_Daily!$A52),"")</f>
        <v/>
      </c>
      <c r="F622" s="32">
        <f>IF($A622=1,"SAL","")</f>
        <v/>
      </c>
      <c r="G622" s="32">
        <f>IF($A622=1,ACC_DISC,"")</f>
        <v/>
      </c>
      <c r="H622" s="32">
        <f>IF($A622=1,IF(COUNTIF(COA!$A:$A,$G622)=0,"حساب غير معرف",INDEX(COA!$B:$B,MATCH($G622,COA!$A:$A,0))),"")</f>
        <v/>
      </c>
      <c r="I622" s="32">
        <f>IF($A622=1,IF(Sales_Daily!$C52="","",Sales_Daily!$C52),"")</f>
        <v/>
      </c>
      <c r="J622" s="32">
        <f>IF($A622=1,"CC10","")</f>
        <v/>
      </c>
      <c r="K622" s="32">
        <f>IF($A622=1,"-","")</f>
        <v/>
      </c>
      <c r="L622" s="32">
        <f>IF($A622=1,"خصومات المبيعات والعروض","")</f>
        <v/>
      </c>
      <c r="M622" s="43">
        <f>IF($A622=1,Sales_Daily!$AH52,"")</f>
        <v/>
      </c>
      <c r="N622" s="43">
        <f>IF($A622=1,0,"")</f>
        <v/>
      </c>
      <c r="O622" s="32">
        <f>IF($A622=1,Sales_Daily!$S52,"")</f>
        <v/>
      </c>
      <c r="P622" s="32">
        <f>IF($A622=1,IF(Sales_Daily!$AW52="","",Sales_Daily!$AW52),"")</f>
        <v/>
      </c>
      <c r="Q622" s="32">
        <f>IF($A622=1,Sales_Daily!$AY52,"")</f>
        <v/>
      </c>
      <c r="R622" s="32">
        <f>IF($A622=1,IF(AND($Q622=1,COUNTIFS(COA!$A:$A,$G622,COA!$R:$R,1)=1),1,0),"")</f>
        <v/>
      </c>
      <c r="S622" s="43">
        <f>IF($A622=1,IF($R622=1,N($M622),0),"")</f>
        <v/>
      </c>
      <c r="T622" s="43">
        <f>IF($A622=1,IF($R622=1,N($N622),0),"")</f>
        <v/>
      </c>
      <c r="U622" s="32">
        <f>IF($A622=1,YEAR($D622)*100+MONTH($D622),"")</f>
        <v/>
      </c>
      <c r="V622" s="32">
        <f>IF($A622=1,IF(COUNTIF(COA!$A:$A,$G622)=0,0,INDEX(COA!$H:$H,MATCH($G622,COA!$A:$A,0))),"")</f>
        <v/>
      </c>
      <c r="W622" s="32">
        <f>IF($A622=1,"","")</f>
        <v/>
      </c>
      <c r="X622" s="32">
        <f>IF($A622=1,IF($R622=1,"",IF($O622=ST_POST,IF($P622&lt;&gt;"",$P622,"حساب غير صالح أو غير نشط"),IF($O622=ST_REV,"معكوس: لا أثر على الدفاتر",IF($O622=ST_CANC,"ملغى",IF($O622=ST_APPR,"معتمد ولم يُرحَّل","مسودة"))))),"")</f>
        <v/>
      </c>
      <c r="Y622" s="32">
        <f>IF($A622=1,IF(AND($R622=1,OR(LG_Acct="",$G622=LG_Acct),OR(LG_Party="",$K622=LG_Party),OR(LG_Loc="ALL",$I622=LG_Loc),OR(LG_CC="ALL",$J622=LG_CC),$D622&gt;=LG_From,$D622&lt;=LG_To),$D622+ROW()/1000000,""),"")</f>
        <v/>
      </c>
      <c r="Z622" s="32">
        <f>IF($A622=1,IF(Sales_Daily!$T52="","",Sales_Daily!$T52),"")</f>
        <v/>
      </c>
      <c r="AA622" s="32">
        <f>IF($A622=1,IF(Sales_Daily!$U52="","",Sales_Daily!$U52),"")</f>
        <v/>
      </c>
      <c r="AB622" s="32">
        <f>IF($A622=1,IF(Sales_Daily!$V52="","",Sales_Daily!$V52),"")</f>
        <v/>
      </c>
      <c r="AC622" s="32">
        <f>IF($A622=1,IF(Sales_Daily!$W52="","",Sales_Daily!$W52),"")</f>
        <v/>
      </c>
      <c r="AD622" s="32">
        <f>IF($A622=1,IF(Sales_Daily!$X52="","",Sales_Daily!$X52),"")</f>
        <v/>
      </c>
      <c r="AE622" s="32">
        <f>IF($A622=1,0,"")</f>
        <v/>
      </c>
      <c r="AF622" s="32" t="inlineStr"/>
    </row>
    <row r="623">
      <c r="A623" s="32">
        <f>IF(AND(Sales_Daily!$AV52=1,N(Sales_Daily!$AI52)&gt;0),1,0)</f>
        <v/>
      </c>
      <c r="B623" s="32">
        <f>IF($A623=1,$E623&amp;"/8","")</f>
        <v/>
      </c>
      <c r="C623" s="32">
        <f>IF($A623=1,"J-"&amp;Sales_Daily!$A52,"")</f>
        <v/>
      </c>
      <c r="D623" s="33">
        <f>IF($A623=1,Sales_Daily!$B52,"")</f>
        <v/>
      </c>
      <c r="E623" s="32">
        <f>IF($A623=1,IF(Sales_Daily!$A52="","",Sales_Daily!$A52),"")</f>
        <v/>
      </c>
      <c r="F623" s="32">
        <f>IF($A623=1,"SAL","")</f>
        <v/>
      </c>
      <c r="G623" s="32">
        <f>IF($A623=1,ACC_RET,"")</f>
        <v/>
      </c>
      <c r="H623" s="32">
        <f>IF($A623=1,IF(COUNTIF(COA!$A:$A,$G623)=0,"حساب غير معرف",INDEX(COA!$B:$B,MATCH($G623,COA!$A:$A,0))),"")</f>
        <v/>
      </c>
      <c r="I623" s="32">
        <f>IF($A623=1,IF(Sales_Daily!$C52="","",Sales_Daily!$C52),"")</f>
        <v/>
      </c>
      <c r="J623" s="32">
        <f>IF($A623=1,"CC10","")</f>
        <v/>
      </c>
      <c r="K623" s="32">
        <f>IF($A623=1,"-","")</f>
        <v/>
      </c>
      <c r="L623" s="32">
        <f>IF($A623=1,"مرتجعات وإلغاءات المبيعات","")</f>
        <v/>
      </c>
      <c r="M623" s="43">
        <f>IF($A623=1,Sales_Daily!$AI52,"")</f>
        <v/>
      </c>
      <c r="N623" s="43">
        <f>IF($A623=1,0,"")</f>
        <v/>
      </c>
      <c r="O623" s="32">
        <f>IF($A623=1,Sales_Daily!$S52,"")</f>
        <v/>
      </c>
      <c r="P623" s="32">
        <f>IF($A623=1,IF(Sales_Daily!$AW52="","",Sales_Daily!$AW52),"")</f>
        <v/>
      </c>
      <c r="Q623" s="32">
        <f>IF($A623=1,Sales_Daily!$AY52,"")</f>
        <v/>
      </c>
      <c r="R623" s="32">
        <f>IF($A623=1,IF(AND($Q623=1,COUNTIFS(COA!$A:$A,$G623,COA!$R:$R,1)=1),1,0),"")</f>
        <v/>
      </c>
      <c r="S623" s="43">
        <f>IF($A623=1,IF($R623=1,N($M623),0),"")</f>
        <v/>
      </c>
      <c r="T623" s="43">
        <f>IF($A623=1,IF($R623=1,N($N623),0),"")</f>
        <v/>
      </c>
      <c r="U623" s="32">
        <f>IF($A623=1,YEAR($D623)*100+MONTH($D623),"")</f>
        <v/>
      </c>
      <c r="V623" s="32">
        <f>IF($A623=1,IF(COUNTIF(COA!$A:$A,$G623)=0,0,INDEX(COA!$H:$H,MATCH($G623,COA!$A:$A,0))),"")</f>
        <v/>
      </c>
      <c r="W623" s="32">
        <f>IF($A623=1,"","")</f>
        <v/>
      </c>
      <c r="X623" s="32">
        <f>IF($A623=1,IF($R623=1,"",IF($O623=ST_POST,IF($P623&lt;&gt;"",$P623,"حساب غير صالح أو غير نشط"),IF($O623=ST_REV,"معكوس: لا أثر على الدفاتر",IF($O623=ST_CANC,"ملغى",IF($O623=ST_APPR,"معتمد ولم يُرحَّل","مسودة"))))),"")</f>
        <v/>
      </c>
      <c r="Y623" s="32">
        <f>IF($A623=1,IF(AND($R623=1,OR(LG_Acct="",$G623=LG_Acct),OR(LG_Party="",$K623=LG_Party),OR(LG_Loc="ALL",$I623=LG_Loc),OR(LG_CC="ALL",$J623=LG_CC),$D623&gt;=LG_From,$D623&lt;=LG_To),$D623+ROW()/1000000,""),"")</f>
        <v/>
      </c>
      <c r="Z623" s="32">
        <f>IF($A623=1,IF(Sales_Daily!$T52="","",Sales_Daily!$T52),"")</f>
        <v/>
      </c>
      <c r="AA623" s="32">
        <f>IF($A623=1,IF(Sales_Daily!$U52="","",Sales_Daily!$U52),"")</f>
        <v/>
      </c>
      <c r="AB623" s="32">
        <f>IF($A623=1,IF(Sales_Daily!$V52="","",Sales_Daily!$V52),"")</f>
        <v/>
      </c>
      <c r="AC623" s="32">
        <f>IF($A623=1,IF(Sales_Daily!$W52="","",Sales_Daily!$W52),"")</f>
        <v/>
      </c>
      <c r="AD623" s="32">
        <f>IF($A623=1,IF(Sales_Daily!$X52="","",Sales_Daily!$X52),"")</f>
        <v/>
      </c>
      <c r="AE623" s="32">
        <f>IF($A623=1,0,"")</f>
        <v/>
      </c>
      <c r="AF623" s="32" t="inlineStr"/>
    </row>
    <row r="624">
      <c r="A624" s="32">
        <f>IF(AND(Sales_Daily!$AV52=1,N(Sales_Daily!$AD52)&gt;0),1,0)</f>
        <v/>
      </c>
      <c r="B624" s="32">
        <f>IF($A624=1,$E624&amp;"/9","")</f>
        <v/>
      </c>
      <c r="C624" s="32">
        <f>IF($A624=1,"J-"&amp;Sales_Daily!$A52,"")</f>
        <v/>
      </c>
      <c r="D624" s="33">
        <f>IF($A624=1,Sales_Daily!$B52,"")</f>
        <v/>
      </c>
      <c r="E624" s="32">
        <f>IF($A624=1,IF(Sales_Daily!$A52="","",Sales_Daily!$A52),"")</f>
        <v/>
      </c>
      <c r="F624" s="32">
        <f>IF($A624=1,"SAL","")</f>
        <v/>
      </c>
      <c r="G624" s="32">
        <f>IF($A624=1,IF(Sales_Daily!$AQ52="","",Sales_Daily!$AQ52),"")</f>
        <v/>
      </c>
      <c r="H624" s="32">
        <f>IF($A624=1,IF(COUNTIF(COA!$A:$A,$G624)=0,"حساب غير معرف",INDEX(COA!$B:$B,MATCH($G624,COA!$A:$A,0))),"")</f>
        <v/>
      </c>
      <c r="I624" s="32">
        <f>IF($A624=1,IF(Sales_Daily!$C52="","",Sales_Daily!$C52),"")</f>
        <v/>
      </c>
      <c r="J624" s="32">
        <f>IF($A624=1,"CC10","")</f>
        <v/>
      </c>
      <c r="K624" s="32">
        <f>IF($A624=1,"-","")</f>
        <v/>
      </c>
      <c r="L624" s="32">
        <f>IF($A624=1,"إيراد مبيعات - فئة فطير","")</f>
        <v/>
      </c>
      <c r="M624" s="43">
        <f>IF($A624=1,0,"")</f>
        <v/>
      </c>
      <c r="N624" s="43">
        <f>IF($A624=1,Sales_Daily!$AD52,"")</f>
        <v/>
      </c>
      <c r="O624" s="32">
        <f>IF($A624=1,Sales_Daily!$S52,"")</f>
        <v/>
      </c>
      <c r="P624" s="32">
        <f>IF($A624=1,IF(Sales_Daily!$AW52="","",Sales_Daily!$AW52),"")</f>
        <v/>
      </c>
      <c r="Q624" s="32">
        <f>IF($A624=1,Sales_Daily!$AY52,"")</f>
        <v/>
      </c>
      <c r="R624" s="32">
        <f>IF($A624=1,IF(AND($Q624=1,COUNTIFS(COA!$A:$A,$G624,COA!$R:$R,1)=1),1,0),"")</f>
        <v/>
      </c>
      <c r="S624" s="43">
        <f>IF($A624=1,IF($R624=1,N($M624),0),"")</f>
        <v/>
      </c>
      <c r="T624" s="43">
        <f>IF($A624=1,IF($R624=1,N($N624),0),"")</f>
        <v/>
      </c>
      <c r="U624" s="32">
        <f>IF($A624=1,YEAR($D624)*100+MONTH($D624),"")</f>
        <v/>
      </c>
      <c r="V624" s="32">
        <f>IF($A624=1,IF(COUNTIF(COA!$A:$A,$G624)=0,0,INDEX(COA!$H:$H,MATCH($G624,COA!$A:$A,0))),"")</f>
        <v/>
      </c>
      <c r="W624" s="32">
        <f>IF($A624=1,"","")</f>
        <v/>
      </c>
      <c r="X624" s="32">
        <f>IF($A624=1,IF($R624=1,"",IF($O624=ST_POST,IF($P624&lt;&gt;"",$P624,"حساب غير صالح أو غير نشط"),IF($O624=ST_REV,"معكوس: لا أثر على الدفاتر",IF($O624=ST_CANC,"ملغى",IF($O624=ST_APPR,"معتمد ولم يُرحَّل","مسودة"))))),"")</f>
        <v/>
      </c>
      <c r="Y624" s="32">
        <f>IF($A624=1,IF(AND($R624=1,OR(LG_Acct="",$G624=LG_Acct),OR(LG_Party="",$K624=LG_Party),OR(LG_Loc="ALL",$I624=LG_Loc),OR(LG_CC="ALL",$J624=LG_CC),$D624&gt;=LG_From,$D624&lt;=LG_To),$D624+ROW()/1000000,""),"")</f>
        <v/>
      </c>
      <c r="Z624" s="32">
        <f>IF($A624=1,IF(Sales_Daily!$T52="","",Sales_Daily!$T52),"")</f>
        <v/>
      </c>
      <c r="AA624" s="32">
        <f>IF($A624=1,IF(Sales_Daily!$U52="","",Sales_Daily!$U52),"")</f>
        <v/>
      </c>
      <c r="AB624" s="32">
        <f>IF($A624=1,IF(Sales_Daily!$V52="","",Sales_Daily!$V52),"")</f>
        <v/>
      </c>
      <c r="AC624" s="32">
        <f>IF($A624=1,IF(Sales_Daily!$W52="","",Sales_Daily!$W52),"")</f>
        <v/>
      </c>
      <c r="AD624" s="32">
        <f>IF($A624=1,IF(Sales_Daily!$X52="","",Sales_Daily!$X52),"")</f>
        <v/>
      </c>
      <c r="AE624" s="32">
        <f>IF($A624=1,0,"")</f>
        <v/>
      </c>
      <c r="AF624" s="32" t="inlineStr"/>
    </row>
    <row r="625">
      <c r="A625" s="32">
        <f>IF(AND(Sales_Daily!$AV52=1,N(Sales_Daily!$AE52)&gt;0),1,0)</f>
        <v/>
      </c>
      <c r="B625" s="32">
        <f>IF($A625=1,$E625&amp;"/10","")</f>
        <v/>
      </c>
      <c r="C625" s="32">
        <f>IF($A625=1,"J-"&amp;Sales_Daily!$A52,"")</f>
        <v/>
      </c>
      <c r="D625" s="33">
        <f>IF($A625=1,Sales_Daily!$B52,"")</f>
        <v/>
      </c>
      <c r="E625" s="32">
        <f>IF($A625=1,IF(Sales_Daily!$A52="","",Sales_Daily!$A52),"")</f>
        <v/>
      </c>
      <c r="F625" s="32">
        <f>IF($A625=1,"SAL","")</f>
        <v/>
      </c>
      <c r="G625" s="32">
        <f>IF($A625=1,IF(Sales_Daily!$AR52="","",Sales_Daily!$AR52),"")</f>
        <v/>
      </c>
      <c r="H625" s="32">
        <f>IF($A625=1,IF(COUNTIF(COA!$A:$A,$G625)=0,"حساب غير معرف",INDEX(COA!$B:$B,MATCH($G625,COA!$A:$A,0))),"")</f>
        <v/>
      </c>
      <c r="I625" s="32">
        <f>IF($A625=1,IF(Sales_Daily!$C52="","",Sales_Daily!$C52),"")</f>
        <v/>
      </c>
      <c r="J625" s="32">
        <f>IF($A625=1,"CC10","")</f>
        <v/>
      </c>
      <c r="K625" s="32">
        <f>IF($A625=1,"-","")</f>
        <v/>
      </c>
      <c r="L625" s="32">
        <f>IF($A625=1,"إيراد مبيعات - فئة بيتزا","")</f>
        <v/>
      </c>
      <c r="M625" s="43">
        <f>IF($A625=1,0,"")</f>
        <v/>
      </c>
      <c r="N625" s="43">
        <f>IF($A625=1,Sales_Daily!$AE52,"")</f>
        <v/>
      </c>
      <c r="O625" s="32">
        <f>IF($A625=1,Sales_Daily!$S52,"")</f>
        <v/>
      </c>
      <c r="P625" s="32">
        <f>IF($A625=1,IF(Sales_Daily!$AW52="","",Sales_Daily!$AW52),"")</f>
        <v/>
      </c>
      <c r="Q625" s="32">
        <f>IF($A625=1,Sales_Daily!$AY52,"")</f>
        <v/>
      </c>
      <c r="R625" s="32">
        <f>IF($A625=1,IF(AND($Q625=1,COUNTIFS(COA!$A:$A,$G625,COA!$R:$R,1)=1),1,0),"")</f>
        <v/>
      </c>
      <c r="S625" s="43">
        <f>IF($A625=1,IF($R625=1,N($M625),0),"")</f>
        <v/>
      </c>
      <c r="T625" s="43">
        <f>IF($A625=1,IF($R625=1,N($N625),0),"")</f>
        <v/>
      </c>
      <c r="U625" s="32">
        <f>IF($A625=1,YEAR($D625)*100+MONTH($D625),"")</f>
        <v/>
      </c>
      <c r="V625" s="32">
        <f>IF($A625=1,IF(COUNTIF(COA!$A:$A,$G625)=0,0,INDEX(COA!$H:$H,MATCH($G625,COA!$A:$A,0))),"")</f>
        <v/>
      </c>
      <c r="W625" s="32">
        <f>IF($A625=1,"","")</f>
        <v/>
      </c>
      <c r="X625" s="32">
        <f>IF($A625=1,IF($R625=1,"",IF($O625=ST_POST,IF($P625&lt;&gt;"",$P625,"حساب غير صالح أو غير نشط"),IF($O625=ST_REV,"معكوس: لا أثر على الدفاتر",IF($O625=ST_CANC,"ملغى",IF($O625=ST_APPR,"معتمد ولم يُرحَّل","مسودة"))))),"")</f>
        <v/>
      </c>
      <c r="Y625" s="32">
        <f>IF($A625=1,IF(AND($R625=1,OR(LG_Acct="",$G625=LG_Acct),OR(LG_Party="",$K625=LG_Party),OR(LG_Loc="ALL",$I625=LG_Loc),OR(LG_CC="ALL",$J625=LG_CC),$D625&gt;=LG_From,$D625&lt;=LG_To),$D625+ROW()/1000000,""),"")</f>
        <v/>
      </c>
      <c r="Z625" s="32">
        <f>IF($A625=1,IF(Sales_Daily!$T52="","",Sales_Daily!$T52),"")</f>
        <v/>
      </c>
      <c r="AA625" s="32">
        <f>IF($A625=1,IF(Sales_Daily!$U52="","",Sales_Daily!$U52),"")</f>
        <v/>
      </c>
      <c r="AB625" s="32">
        <f>IF($A625=1,IF(Sales_Daily!$V52="","",Sales_Daily!$V52),"")</f>
        <v/>
      </c>
      <c r="AC625" s="32">
        <f>IF($A625=1,IF(Sales_Daily!$W52="","",Sales_Daily!$W52),"")</f>
        <v/>
      </c>
      <c r="AD625" s="32">
        <f>IF($A625=1,IF(Sales_Daily!$X52="","",Sales_Daily!$X52),"")</f>
        <v/>
      </c>
      <c r="AE625" s="32">
        <f>IF($A625=1,0,"")</f>
        <v/>
      </c>
      <c r="AF625" s="32" t="inlineStr"/>
    </row>
    <row r="626">
      <c r="A626" s="32">
        <f>IF(AND(Sales_Daily!$AV52=1,N(Sales_Daily!$AF52)&gt;0),1,0)</f>
        <v/>
      </c>
      <c r="B626" s="32">
        <f>IF($A626=1,$E626&amp;"/11","")</f>
        <v/>
      </c>
      <c r="C626" s="32">
        <f>IF($A626=1,"J-"&amp;Sales_Daily!$A52,"")</f>
        <v/>
      </c>
      <c r="D626" s="33">
        <f>IF($A626=1,Sales_Daily!$B52,"")</f>
        <v/>
      </c>
      <c r="E626" s="32">
        <f>IF($A626=1,IF(Sales_Daily!$A52="","",Sales_Daily!$A52),"")</f>
        <v/>
      </c>
      <c r="F626" s="32">
        <f>IF($A626=1,"SAL","")</f>
        <v/>
      </c>
      <c r="G626" s="32">
        <f>IF($A626=1,IF(Sales_Daily!$AS52="","",Sales_Daily!$AS52),"")</f>
        <v/>
      </c>
      <c r="H626" s="32">
        <f>IF($A626=1,IF(COUNTIF(COA!$A:$A,$G626)=0,"حساب غير معرف",INDEX(COA!$B:$B,MATCH($G626,COA!$A:$A,0))),"")</f>
        <v/>
      </c>
      <c r="I626" s="32">
        <f>IF($A626=1,IF(Sales_Daily!$C52="","",Sales_Daily!$C52),"")</f>
        <v/>
      </c>
      <c r="J626" s="32">
        <f>IF($A626=1,"CC10","")</f>
        <v/>
      </c>
      <c r="K626" s="32">
        <f>IF($A626=1,"-","")</f>
        <v/>
      </c>
      <c r="L626" s="32">
        <f>IF($A626=1,"إيراد مبيعات - فئة مكرونات","")</f>
        <v/>
      </c>
      <c r="M626" s="43">
        <f>IF($A626=1,0,"")</f>
        <v/>
      </c>
      <c r="N626" s="43">
        <f>IF($A626=1,Sales_Daily!$AF52,"")</f>
        <v/>
      </c>
      <c r="O626" s="32">
        <f>IF($A626=1,Sales_Daily!$S52,"")</f>
        <v/>
      </c>
      <c r="P626" s="32">
        <f>IF($A626=1,IF(Sales_Daily!$AW52="","",Sales_Daily!$AW52),"")</f>
        <v/>
      </c>
      <c r="Q626" s="32">
        <f>IF($A626=1,Sales_Daily!$AY52,"")</f>
        <v/>
      </c>
      <c r="R626" s="32">
        <f>IF($A626=1,IF(AND($Q626=1,COUNTIFS(COA!$A:$A,$G626,COA!$R:$R,1)=1),1,0),"")</f>
        <v/>
      </c>
      <c r="S626" s="43">
        <f>IF($A626=1,IF($R626=1,N($M626),0),"")</f>
        <v/>
      </c>
      <c r="T626" s="43">
        <f>IF($A626=1,IF($R626=1,N($N626),0),"")</f>
        <v/>
      </c>
      <c r="U626" s="32">
        <f>IF($A626=1,YEAR($D626)*100+MONTH($D626),"")</f>
        <v/>
      </c>
      <c r="V626" s="32">
        <f>IF($A626=1,IF(COUNTIF(COA!$A:$A,$G626)=0,0,INDEX(COA!$H:$H,MATCH($G626,COA!$A:$A,0))),"")</f>
        <v/>
      </c>
      <c r="W626" s="32">
        <f>IF($A626=1,"","")</f>
        <v/>
      </c>
      <c r="X626" s="32">
        <f>IF($A626=1,IF($R626=1,"",IF($O626=ST_POST,IF($P626&lt;&gt;"",$P626,"حساب غير صالح أو غير نشط"),IF($O626=ST_REV,"معكوس: لا أثر على الدفاتر",IF($O626=ST_CANC,"ملغى",IF($O626=ST_APPR,"معتمد ولم يُرحَّل","مسودة"))))),"")</f>
        <v/>
      </c>
      <c r="Y626" s="32">
        <f>IF($A626=1,IF(AND($R626=1,OR(LG_Acct="",$G626=LG_Acct),OR(LG_Party="",$K626=LG_Party),OR(LG_Loc="ALL",$I626=LG_Loc),OR(LG_CC="ALL",$J626=LG_CC),$D626&gt;=LG_From,$D626&lt;=LG_To),$D626+ROW()/1000000,""),"")</f>
        <v/>
      </c>
      <c r="Z626" s="32">
        <f>IF($A626=1,IF(Sales_Daily!$T52="","",Sales_Daily!$T52),"")</f>
        <v/>
      </c>
      <c r="AA626" s="32">
        <f>IF($A626=1,IF(Sales_Daily!$U52="","",Sales_Daily!$U52),"")</f>
        <v/>
      </c>
      <c r="AB626" s="32">
        <f>IF($A626=1,IF(Sales_Daily!$V52="","",Sales_Daily!$V52),"")</f>
        <v/>
      </c>
      <c r="AC626" s="32">
        <f>IF($A626=1,IF(Sales_Daily!$W52="","",Sales_Daily!$W52),"")</f>
        <v/>
      </c>
      <c r="AD626" s="32">
        <f>IF($A626=1,IF(Sales_Daily!$X52="","",Sales_Daily!$X52),"")</f>
        <v/>
      </c>
      <c r="AE626" s="32">
        <f>IF($A626=1,0,"")</f>
        <v/>
      </c>
      <c r="AF626" s="32" t="inlineStr"/>
    </row>
    <row r="627">
      <c r="A627" s="32">
        <f>IF(AND(Sales_Daily!$AV52=1,N(Sales_Daily!$AG52)&gt;0),1,0)</f>
        <v/>
      </c>
      <c r="B627" s="32">
        <f>IF($A627=1,$E627&amp;"/12","")</f>
        <v/>
      </c>
      <c r="C627" s="32">
        <f>IF($A627=1,"J-"&amp;Sales_Daily!$A52,"")</f>
        <v/>
      </c>
      <c r="D627" s="33">
        <f>IF($A627=1,Sales_Daily!$B52,"")</f>
        <v/>
      </c>
      <c r="E627" s="32">
        <f>IF($A627=1,IF(Sales_Daily!$A52="","",Sales_Daily!$A52),"")</f>
        <v/>
      </c>
      <c r="F627" s="32">
        <f>IF($A627=1,"SAL","")</f>
        <v/>
      </c>
      <c r="G627" s="32">
        <f>IF($A627=1,IF(Sales_Daily!$AT52="","",Sales_Daily!$AT52),"")</f>
        <v/>
      </c>
      <c r="H627" s="32">
        <f>IF($A627=1,IF(COUNTIF(COA!$A:$A,$G627)=0,"حساب غير معرف",INDEX(COA!$B:$B,MATCH($G627,COA!$A:$A,0))),"")</f>
        <v/>
      </c>
      <c r="I627" s="32">
        <f>IF($A627=1,IF(Sales_Daily!$C52="","",Sales_Daily!$C52),"")</f>
        <v/>
      </c>
      <c r="J627" s="32">
        <f>IF($A627=1,"CC10","")</f>
        <v/>
      </c>
      <c r="K627" s="32">
        <f>IF($A627=1,"-","")</f>
        <v/>
      </c>
      <c r="L627" s="32">
        <f>IF($A627=1,"إيراد مبيعات - فئة أخرى","")</f>
        <v/>
      </c>
      <c r="M627" s="43">
        <f>IF($A627=1,0,"")</f>
        <v/>
      </c>
      <c r="N627" s="43">
        <f>IF($A627=1,Sales_Daily!$AG52,"")</f>
        <v/>
      </c>
      <c r="O627" s="32">
        <f>IF($A627=1,Sales_Daily!$S52,"")</f>
        <v/>
      </c>
      <c r="P627" s="32">
        <f>IF($A627=1,IF(Sales_Daily!$AW52="","",Sales_Daily!$AW52),"")</f>
        <v/>
      </c>
      <c r="Q627" s="32">
        <f>IF($A627=1,Sales_Daily!$AY52,"")</f>
        <v/>
      </c>
      <c r="R627" s="32">
        <f>IF($A627=1,IF(AND($Q627=1,COUNTIFS(COA!$A:$A,$G627,COA!$R:$R,1)=1),1,0),"")</f>
        <v/>
      </c>
      <c r="S627" s="43">
        <f>IF($A627=1,IF($R627=1,N($M627),0),"")</f>
        <v/>
      </c>
      <c r="T627" s="43">
        <f>IF($A627=1,IF($R627=1,N($N627),0),"")</f>
        <v/>
      </c>
      <c r="U627" s="32">
        <f>IF($A627=1,YEAR($D627)*100+MONTH($D627),"")</f>
        <v/>
      </c>
      <c r="V627" s="32">
        <f>IF($A627=1,IF(COUNTIF(COA!$A:$A,$G627)=0,0,INDEX(COA!$H:$H,MATCH($G627,COA!$A:$A,0))),"")</f>
        <v/>
      </c>
      <c r="W627" s="32">
        <f>IF($A627=1,"","")</f>
        <v/>
      </c>
      <c r="X627" s="32">
        <f>IF($A627=1,IF($R627=1,"",IF($O627=ST_POST,IF($P627&lt;&gt;"",$P627,"حساب غير صالح أو غير نشط"),IF($O627=ST_REV,"معكوس: لا أثر على الدفاتر",IF($O627=ST_CANC,"ملغى",IF($O627=ST_APPR,"معتمد ولم يُرحَّل","مسودة"))))),"")</f>
        <v/>
      </c>
      <c r="Y627" s="32">
        <f>IF($A627=1,IF(AND($R627=1,OR(LG_Acct="",$G627=LG_Acct),OR(LG_Party="",$K627=LG_Party),OR(LG_Loc="ALL",$I627=LG_Loc),OR(LG_CC="ALL",$J627=LG_CC),$D627&gt;=LG_From,$D627&lt;=LG_To),$D627+ROW()/1000000,""),"")</f>
        <v/>
      </c>
      <c r="Z627" s="32">
        <f>IF($A627=1,IF(Sales_Daily!$T52="","",Sales_Daily!$T52),"")</f>
        <v/>
      </c>
      <c r="AA627" s="32">
        <f>IF($A627=1,IF(Sales_Daily!$U52="","",Sales_Daily!$U52),"")</f>
        <v/>
      </c>
      <c r="AB627" s="32">
        <f>IF($A627=1,IF(Sales_Daily!$V52="","",Sales_Daily!$V52),"")</f>
        <v/>
      </c>
      <c r="AC627" s="32">
        <f>IF($A627=1,IF(Sales_Daily!$W52="","",Sales_Daily!$W52),"")</f>
        <v/>
      </c>
      <c r="AD627" s="32">
        <f>IF($A627=1,IF(Sales_Daily!$X52="","",Sales_Daily!$X52),"")</f>
        <v/>
      </c>
      <c r="AE627" s="32">
        <f>IF($A627=1,0,"")</f>
        <v/>
      </c>
      <c r="AF627" s="32" t="inlineStr"/>
    </row>
    <row r="628">
      <c r="A628" s="32">
        <f>IF(AND(Sales_Daily!$AV52=1,N(Sales_Daily!$AJ52)&gt;0),1,0)</f>
        <v/>
      </c>
      <c r="B628" s="32">
        <f>IF($A628=1,$E628&amp;"/13","")</f>
        <v/>
      </c>
      <c r="C628" s="32">
        <f>IF($A628=1,"J-"&amp;Sales_Daily!$A52,"")</f>
        <v/>
      </c>
      <c r="D628" s="33">
        <f>IF($A628=1,Sales_Daily!$B52,"")</f>
        <v/>
      </c>
      <c r="E628" s="32">
        <f>IF($A628=1,IF(Sales_Daily!$A52="","",Sales_Daily!$A52),"")</f>
        <v/>
      </c>
      <c r="F628" s="32">
        <f>IF($A628=1,"SAL","")</f>
        <v/>
      </c>
      <c r="G628" s="32">
        <f>IF($A628=1,ACC_VAT_OUT,"")</f>
        <v/>
      </c>
      <c r="H628" s="32">
        <f>IF($A628=1,IF(COUNTIF(COA!$A:$A,$G628)=0,"حساب غير معرف",INDEX(COA!$B:$B,MATCH($G628,COA!$A:$A,0))),"")</f>
        <v/>
      </c>
      <c r="I628" s="32">
        <f>IF($A628=1,IF(Sales_Daily!$C52="","",Sales_Daily!$C52),"")</f>
        <v/>
      </c>
      <c r="J628" s="32">
        <f>IF($A628=1,"CC10","")</f>
        <v/>
      </c>
      <c r="K628" s="32">
        <f>IF($A628=1,"-","")</f>
        <v/>
      </c>
      <c r="L628" s="32">
        <f>IF($A628=1,"ضريبة القيمة المضافة - مخرجات","")</f>
        <v/>
      </c>
      <c r="M628" s="43">
        <f>IF($A628=1,0,"")</f>
        <v/>
      </c>
      <c r="N628" s="43">
        <f>IF($A628=1,Sales_Daily!$AJ52,"")</f>
        <v/>
      </c>
      <c r="O628" s="32">
        <f>IF($A628=1,Sales_Daily!$S52,"")</f>
        <v/>
      </c>
      <c r="P628" s="32">
        <f>IF($A628=1,IF(Sales_Daily!$AW52="","",Sales_Daily!$AW52),"")</f>
        <v/>
      </c>
      <c r="Q628" s="32">
        <f>IF($A628=1,Sales_Daily!$AY52,"")</f>
        <v/>
      </c>
      <c r="R628" s="32">
        <f>IF($A628=1,IF(AND($Q628=1,COUNTIFS(COA!$A:$A,$G628,COA!$R:$R,1)=1),1,0),"")</f>
        <v/>
      </c>
      <c r="S628" s="43">
        <f>IF($A628=1,IF($R628=1,N($M628),0),"")</f>
        <v/>
      </c>
      <c r="T628" s="43">
        <f>IF($A628=1,IF($R628=1,N($N628),0),"")</f>
        <v/>
      </c>
      <c r="U628" s="32">
        <f>IF($A628=1,YEAR($D628)*100+MONTH($D628),"")</f>
        <v/>
      </c>
      <c r="V628" s="32">
        <f>IF($A628=1,IF(COUNTIF(COA!$A:$A,$G628)=0,0,INDEX(COA!$H:$H,MATCH($G628,COA!$A:$A,0))),"")</f>
        <v/>
      </c>
      <c r="W628" s="32">
        <f>IF($A628=1,"","")</f>
        <v/>
      </c>
      <c r="X628" s="32">
        <f>IF($A628=1,IF($R628=1,"",IF($O628=ST_POST,IF($P628&lt;&gt;"",$P628,"حساب غير صالح أو غير نشط"),IF($O628=ST_REV,"معكوس: لا أثر على الدفاتر",IF($O628=ST_CANC,"ملغى",IF($O628=ST_APPR,"معتمد ولم يُرحَّل","مسودة"))))),"")</f>
        <v/>
      </c>
      <c r="Y628" s="32">
        <f>IF($A628=1,IF(AND($R628=1,OR(LG_Acct="",$G628=LG_Acct),OR(LG_Party="",$K628=LG_Party),OR(LG_Loc="ALL",$I628=LG_Loc),OR(LG_CC="ALL",$J628=LG_CC),$D628&gt;=LG_From,$D628&lt;=LG_To),$D628+ROW()/1000000,""),"")</f>
        <v/>
      </c>
      <c r="Z628" s="32">
        <f>IF($A628=1,IF(Sales_Daily!$T52="","",Sales_Daily!$T52),"")</f>
        <v/>
      </c>
      <c r="AA628" s="32">
        <f>IF($A628=1,IF(Sales_Daily!$U52="","",Sales_Daily!$U52),"")</f>
        <v/>
      </c>
      <c r="AB628" s="32">
        <f>IF($A628=1,IF(Sales_Daily!$V52="","",Sales_Daily!$V52),"")</f>
        <v/>
      </c>
      <c r="AC628" s="32">
        <f>IF($A628=1,IF(Sales_Daily!$W52="","",Sales_Daily!$W52),"")</f>
        <v/>
      </c>
      <c r="AD628" s="32">
        <f>IF($A628=1,IF(Sales_Daily!$X52="","",Sales_Daily!$X52),"")</f>
        <v/>
      </c>
      <c r="AE628" s="32">
        <f>IF($A628=1,0,"")</f>
        <v/>
      </c>
      <c r="AF628" s="32" t="inlineStr"/>
    </row>
    <row r="629">
      <c r="A629" s="32">
        <f>IF(AND(Sales_Daily!$AV53=1,N(Sales_Daily!$L53)&gt;0),1,0)</f>
        <v/>
      </c>
      <c r="B629" s="32">
        <f>IF($A629=1,$E629&amp;"/1","")</f>
        <v/>
      </c>
      <c r="C629" s="32">
        <f>IF($A629=1,"J-"&amp;Sales_Daily!$A53,"")</f>
        <v/>
      </c>
      <c r="D629" s="33">
        <f>IF($A629=1,Sales_Daily!$B53,"")</f>
        <v/>
      </c>
      <c r="E629" s="32">
        <f>IF($A629=1,IF(Sales_Daily!$A53="","",Sales_Daily!$A53),"")</f>
        <v/>
      </c>
      <c r="F629" s="32">
        <f>IF($A629=1,"SAL","")</f>
        <v/>
      </c>
      <c r="G629" s="32">
        <f>IF($A629=1,IF(Sales_Daily!$AK53="","",Sales_Daily!$AK53),"")</f>
        <v/>
      </c>
      <c r="H629" s="32">
        <f>IF($A629=1,IF(COUNTIF(COA!$A:$A,$G629)=0,"حساب غير معرف",INDEX(COA!$B:$B,MATCH($G629,COA!$A:$A,0))),"")</f>
        <v/>
      </c>
      <c r="I629" s="32">
        <f>IF($A629=1,IF(Sales_Daily!$C53="","",Sales_Daily!$C53),"")</f>
        <v/>
      </c>
      <c r="J629" s="32">
        <f>IF($A629=1,"CC10","")</f>
        <v/>
      </c>
      <c r="K629" s="32">
        <f>IF($A629=1,"-","")</f>
        <v/>
      </c>
      <c r="L629" s="32">
        <f>IF($A629=1,"مبيعات - تحصيل CASH","")</f>
        <v/>
      </c>
      <c r="M629" s="43">
        <f>IF($A629=1,Sales_Daily!$L53,"")</f>
        <v/>
      </c>
      <c r="N629" s="43">
        <f>IF($A629=1,0,"")</f>
        <v/>
      </c>
      <c r="O629" s="32">
        <f>IF($A629=1,Sales_Daily!$S53,"")</f>
        <v/>
      </c>
      <c r="P629" s="32">
        <f>IF($A629=1,IF(Sales_Daily!$AW53="","",Sales_Daily!$AW53),"")</f>
        <v/>
      </c>
      <c r="Q629" s="32">
        <f>IF($A629=1,Sales_Daily!$AY53,"")</f>
        <v/>
      </c>
      <c r="R629" s="32">
        <f>IF($A629=1,IF(AND($Q629=1,COUNTIFS(COA!$A:$A,$G629,COA!$R:$R,1)=1),1,0),"")</f>
        <v/>
      </c>
      <c r="S629" s="43">
        <f>IF($A629=1,IF($R629=1,N($M629),0),"")</f>
        <v/>
      </c>
      <c r="T629" s="43">
        <f>IF($A629=1,IF($R629=1,N($N629),0),"")</f>
        <v/>
      </c>
      <c r="U629" s="32">
        <f>IF($A629=1,YEAR($D629)*100+MONTH($D629),"")</f>
        <v/>
      </c>
      <c r="V629" s="32">
        <f>IF($A629=1,IF(COUNTIF(COA!$A:$A,$G629)=0,0,INDEX(COA!$H:$H,MATCH($G629,COA!$A:$A,0))),"")</f>
        <v/>
      </c>
      <c r="W629" s="32">
        <f>IF($A629=1,"OPERATING","")</f>
        <v/>
      </c>
      <c r="X629" s="32">
        <f>IF($A629=1,IF($R629=1,"",IF($O629=ST_POST,IF($P629&lt;&gt;"",$P629,"حساب غير صالح أو غير نشط"),IF($O629=ST_REV,"معكوس: لا أثر على الدفاتر",IF($O629=ST_CANC,"ملغى",IF($O629=ST_APPR,"معتمد ولم يُرحَّل","مسودة"))))),"")</f>
        <v/>
      </c>
      <c r="Y629" s="32">
        <f>IF($A629=1,IF(AND($R629=1,OR(LG_Acct="",$G629=LG_Acct),OR(LG_Party="",$K629=LG_Party),OR(LG_Loc="ALL",$I629=LG_Loc),OR(LG_CC="ALL",$J629=LG_CC),$D629&gt;=LG_From,$D629&lt;=LG_To),$D629+ROW()/1000000,""),"")</f>
        <v/>
      </c>
      <c r="Z629" s="32">
        <f>IF($A629=1,IF(Sales_Daily!$T53="","",Sales_Daily!$T53),"")</f>
        <v/>
      </c>
      <c r="AA629" s="32">
        <f>IF($A629=1,IF(Sales_Daily!$U53="","",Sales_Daily!$U53),"")</f>
        <v/>
      </c>
      <c r="AB629" s="32">
        <f>IF($A629=1,IF(Sales_Daily!$V53="","",Sales_Daily!$V53),"")</f>
        <v/>
      </c>
      <c r="AC629" s="32">
        <f>IF($A629=1,IF(Sales_Daily!$W53="","",Sales_Daily!$W53),"")</f>
        <v/>
      </c>
      <c r="AD629" s="32">
        <f>IF($A629=1,IF(Sales_Daily!$X53="","",Sales_Daily!$X53),"")</f>
        <v/>
      </c>
      <c r="AE629" s="32">
        <f>IF($A629=1,0,"")</f>
        <v/>
      </c>
      <c r="AF629" s="32" t="inlineStr"/>
    </row>
    <row r="630">
      <c r="A630" s="32">
        <f>IF(AND(Sales_Daily!$AV53=1,N(Sales_Daily!$M53)&gt;0),1,0)</f>
        <v/>
      </c>
      <c r="B630" s="32">
        <f>IF($A630=1,$E630&amp;"/2","")</f>
        <v/>
      </c>
      <c r="C630" s="32">
        <f>IF($A630=1,"J-"&amp;Sales_Daily!$A53,"")</f>
        <v/>
      </c>
      <c r="D630" s="33">
        <f>IF($A630=1,Sales_Daily!$B53,"")</f>
        <v/>
      </c>
      <c r="E630" s="32">
        <f>IF($A630=1,IF(Sales_Daily!$A53="","",Sales_Daily!$A53),"")</f>
        <v/>
      </c>
      <c r="F630" s="32">
        <f>IF($A630=1,"SAL","")</f>
        <v/>
      </c>
      <c r="G630" s="32">
        <f>IF($A630=1,IF(Sales_Daily!$AL53="","",Sales_Daily!$AL53),"")</f>
        <v/>
      </c>
      <c r="H630" s="32">
        <f>IF($A630=1,IF(COUNTIF(COA!$A:$A,$G630)=0,"حساب غير معرف",INDEX(COA!$B:$B,MATCH($G630,COA!$A:$A,0))),"")</f>
        <v/>
      </c>
      <c r="I630" s="32">
        <f>IF($A630=1,IF(Sales_Daily!$C53="","",Sales_Daily!$C53),"")</f>
        <v/>
      </c>
      <c r="J630" s="32">
        <f>IF($A630=1,"CC10","")</f>
        <v/>
      </c>
      <c r="K630" s="32">
        <f>IF($A630=1,"-","")</f>
        <v/>
      </c>
      <c r="L630" s="32">
        <f>IF($A630=1,"مبيعات - تحصيل CARD","")</f>
        <v/>
      </c>
      <c r="M630" s="43">
        <f>IF($A630=1,Sales_Daily!$M53,"")</f>
        <v/>
      </c>
      <c r="N630" s="43">
        <f>IF($A630=1,0,"")</f>
        <v/>
      </c>
      <c r="O630" s="32">
        <f>IF($A630=1,Sales_Daily!$S53,"")</f>
        <v/>
      </c>
      <c r="P630" s="32">
        <f>IF($A630=1,IF(Sales_Daily!$AW53="","",Sales_Daily!$AW53),"")</f>
        <v/>
      </c>
      <c r="Q630" s="32">
        <f>IF($A630=1,Sales_Daily!$AY53,"")</f>
        <v/>
      </c>
      <c r="R630" s="32">
        <f>IF($A630=1,IF(AND($Q630=1,COUNTIFS(COA!$A:$A,$G630,COA!$R:$R,1)=1),1,0),"")</f>
        <v/>
      </c>
      <c r="S630" s="43">
        <f>IF($A630=1,IF($R630=1,N($M630),0),"")</f>
        <v/>
      </c>
      <c r="T630" s="43">
        <f>IF($A630=1,IF($R630=1,N($N630),0),"")</f>
        <v/>
      </c>
      <c r="U630" s="32">
        <f>IF($A630=1,YEAR($D630)*100+MONTH($D630),"")</f>
        <v/>
      </c>
      <c r="V630" s="32">
        <f>IF($A630=1,IF(COUNTIF(COA!$A:$A,$G630)=0,0,INDEX(COA!$H:$H,MATCH($G630,COA!$A:$A,0))),"")</f>
        <v/>
      </c>
      <c r="W630" s="32">
        <f>IF($A630=1,"OPERATING","")</f>
        <v/>
      </c>
      <c r="X630" s="32">
        <f>IF($A630=1,IF($R630=1,"",IF($O630=ST_POST,IF($P630&lt;&gt;"",$P630,"حساب غير صالح أو غير نشط"),IF($O630=ST_REV,"معكوس: لا أثر على الدفاتر",IF($O630=ST_CANC,"ملغى",IF($O630=ST_APPR,"معتمد ولم يُرحَّل","مسودة"))))),"")</f>
        <v/>
      </c>
      <c r="Y630" s="32">
        <f>IF($A630=1,IF(AND($R630=1,OR(LG_Acct="",$G630=LG_Acct),OR(LG_Party="",$K630=LG_Party),OR(LG_Loc="ALL",$I630=LG_Loc),OR(LG_CC="ALL",$J630=LG_CC),$D630&gt;=LG_From,$D630&lt;=LG_To),$D630+ROW()/1000000,""),"")</f>
        <v/>
      </c>
      <c r="Z630" s="32">
        <f>IF($A630=1,IF(Sales_Daily!$T53="","",Sales_Daily!$T53),"")</f>
        <v/>
      </c>
      <c r="AA630" s="32">
        <f>IF($A630=1,IF(Sales_Daily!$U53="","",Sales_Daily!$U53),"")</f>
        <v/>
      </c>
      <c r="AB630" s="32">
        <f>IF($A630=1,IF(Sales_Daily!$V53="","",Sales_Daily!$V53),"")</f>
        <v/>
      </c>
      <c r="AC630" s="32">
        <f>IF($A630=1,IF(Sales_Daily!$W53="","",Sales_Daily!$W53),"")</f>
        <v/>
      </c>
      <c r="AD630" s="32">
        <f>IF($A630=1,IF(Sales_Daily!$X53="","",Sales_Daily!$X53),"")</f>
        <v/>
      </c>
      <c r="AE630" s="32">
        <f>IF($A630=1,0,"")</f>
        <v/>
      </c>
      <c r="AF630" s="32" t="inlineStr"/>
    </row>
    <row r="631">
      <c r="A631" s="32">
        <f>IF(AND(Sales_Daily!$AV53=1,N(Sales_Daily!$N53)&gt;0),1,0)</f>
        <v/>
      </c>
      <c r="B631" s="32">
        <f>IF($A631=1,$E631&amp;"/3","")</f>
        <v/>
      </c>
      <c r="C631" s="32">
        <f>IF($A631=1,"J-"&amp;Sales_Daily!$A53,"")</f>
        <v/>
      </c>
      <c r="D631" s="33">
        <f>IF($A631=1,Sales_Daily!$B53,"")</f>
        <v/>
      </c>
      <c r="E631" s="32">
        <f>IF($A631=1,IF(Sales_Daily!$A53="","",Sales_Daily!$A53),"")</f>
        <v/>
      </c>
      <c r="F631" s="32">
        <f>IF($A631=1,"SAL","")</f>
        <v/>
      </c>
      <c r="G631" s="32">
        <f>IF($A631=1,IF(Sales_Daily!$AM53="","",Sales_Daily!$AM53),"")</f>
        <v/>
      </c>
      <c r="H631" s="32">
        <f>IF($A631=1,IF(COUNTIF(COA!$A:$A,$G631)=0,"حساب غير معرف",INDEX(COA!$B:$B,MATCH($G631,COA!$A:$A,0))),"")</f>
        <v/>
      </c>
      <c r="I631" s="32">
        <f>IF($A631=1,IF(Sales_Daily!$C53="","",Sales_Daily!$C53),"")</f>
        <v/>
      </c>
      <c r="J631" s="32">
        <f>IF($A631=1,"CC10","")</f>
        <v/>
      </c>
      <c r="K631" s="32">
        <f>IF($A631=1,"-","")</f>
        <v/>
      </c>
      <c r="L631" s="32">
        <f>IF($A631=1,"مبيعات - تحصيل TLB","")</f>
        <v/>
      </c>
      <c r="M631" s="43">
        <f>IF($A631=1,Sales_Daily!$N53,"")</f>
        <v/>
      </c>
      <c r="N631" s="43">
        <f>IF($A631=1,0,"")</f>
        <v/>
      </c>
      <c r="O631" s="32">
        <f>IF($A631=1,Sales_Daily!$S53,"")</f>
        <v/>
      </c>
      <c r="P631" s="32">
        <f>IF($A631=1,IF(Sales_Daily!$AW53="","",Sales_Daily!$AW53),"")</f>
        <v/>
      </c>
      <c r="Q631" s="32">
        <f>IF($A631=1,Sales_Daily!$AY53,"")</f>
        <v/>
      </c>
      <c r="R631" s="32">
        <f>IF($A631=1,IF(AND($Q631=1,COUNTIFS(COA!$A:$A,$G631,COA!$R:$R,1)=1),1,0),"")</f>
        <v/>
      </c>
      <c r="S631" s="43">
        <f>IF($A631=1,IF($R631=1,N($M631),0),"")</f>
        <v/>
      </c>
      <c r="T631" s="43">
        <f>IF($A631=1,IF($R631=1,N($N631),0),"")</f>
        <v/>
      </c>
      <c r="U631" s="32">
        <f>IF($A631=1,YEAR($D631)*100+MONTH($D631),"")</f>
        <v/>
      </c>
      <c r="V631" s="32">
        <f>IF($A631=1,IF(COUNTIF(COA!$A:$A,$G631)=0,0,INDEX(COA!$H:$H,MATCH($G631,COA!$A:$A,0))),"")</f>
        <v/>
      </c>
      <c r="W631" s="32">
        <f>IF($A631=1,"OPERATING","")</f>
        <v/>
      </c>
      <c r="X631" s="32">
        <f>IF($A631=1,IF($R631=1,"",IF($O631=ST_POST,IF($P631&lt;&gt;"",$P631,"حساب غير صالح أو غير نشط"),IF($O631=ST_REV,"معكوس: لا أثر على الدفاتر",IF($O631=ST_CANC,"ملغى",IF($O631=ST_APPR,"معتمد ولم يُرحَّل","مسودة"))))),"")</f>
        <v/>
      </c>
      <c r="Y631" s="32">
        <f>IF($A631=1,IF(AND($R631=1,OR(LG_Acct="",$G631=LG_Acct),OR(LG_Party="",$K631=LG_Party),OR(LG_Loc="ALL",$I631=LG_Loc),OR(LG_CC="ALL",$J631=LG_CC),$D631&gt;=LG_From,$D631&lt;=LG_To),$D631+ROW()/1000000,""),"")</f>
        <v/>
      </c>
      <c r="Z631" s="32">
        <f>IF($A631=1,IF(Sales_Daily!$T53="","",Sales_Daily!$T53),"")</f>
        <v/>
      </c>
      <c r="AA631" s="32">
        <f>IF($A631=1,IF(Sales_Daily!$U53="","",Sales_Daily!$U53),"")</f>
        <v/>
      </c>
      <c r="AB631" s="32">
        <f>IF($A631=1,IF(Sales_Daily!$V53="","",Sales_Daily!$V53),"")</f>
        <v/>
      </c>
      <c r="AC631" s="32">
        <f>IF($A631=1,IF(Sales_Daily!$W53="","",Sales_Daily!$W53),"")</f>
        <v/>
      </c>
      <c r="AD631" s="32">
        <f>IF($A631=1,IF(Sales_Daily!$X53="","",Sales_Daily!$X53),"")</f>
        <v/>
      </c>
      <c r="AE631" s="32">
        <f>IF($A631=1,0,"")</f>
        <v/>
      </c>
      <c r="AF631" s="32" t="inlineStr"/>
    </row>
    <row r="632">
      <c r="A632" s="32">
        <f>IF(AND(Sales_Daily!$AV53=1,N(Sales_Daily!$O53)&gt;0),1,0)</f>
        <v/>
      </c>
      <c r="B632" s="32">
        <f>IF($A632=1,$E632&amp;"/4","")</f>
        <v/>
      </c>
      <c r="C632" s="32">
        <f>IF($A632=1,"J-"&amp;Sales_Daily!$A53,"")</f>
        <v/>
      </c>
      <c r="D632" s="33">
        <f>IF($A632=1,Sales_Daily!$B53,"")</f>
        <v/>
      </c>
      <c r="E632" s="32">
        <f>IF($A632=1,IF(Sales_Daily!$A53="","",Sales_Daily!$A53),"")</f>
        <v/>
      </c>
      <c r="F632" s="32">
        <f>IF($A632=1,"SAL","")</f>
        <v/>
      </c>
      <c r="G632" s="32">
        <f>IF($A632=1,IF(Sales_Daily!$AN53="","",Sales_Daily!$AN53),"")</f>
        <v/>
      </c>
      <c r="H632" s="32">
        <f>IF($A632=1,IF(COUNTIF(COA!$A:$A,$G632)=0,"حساب غير معرف",INDEX(COA!$B:$B,MATCH($G632,COA!$A:$A,0))),"")</f>
        <v/>
      </c>
      <c r="I632" s="32">
        <f>IF($A632=1,IF(Sales_Daily!$C53="","",Sales_Daily!$C53),"")</f>
        <v/>
      </c>
      <c r="J632" s="32">
        <f>IF($A632=1,"CC10","")</f>
        <v/>
      </c>
      <c r="K632" s="32">
        <f>IF($A632=1,"-","")</f>
        <v/>
      </c>
      <c r="L632" s="32">
        <f>IF($A632=1,"مبيعات - تحصيل DLV2","")</f>
        <v/>
      </c>
      <c r="M632" s="43">
        <f>IF($A632=1,Sales_Daily!$O53,"")</f>
        <v/>
      </c>
      <c r="N632" s="43">
        <f>IF($A632=1,0,"")</f>
        <v/>
      </c>
      <c r="O632" s="32">
        <f>IF($A632=1,Sales_Daily!$S53,"")</f>
        <v/>
      </c>
      <c r="P632" s="32">
        <f>IF($A632=1,IF(Sales_Daily!$AW53="","",Sales_Daily!$AW53),"")</f>
        <v/>
      </c>
      <c r="Q632" s="32">
        <f>IF($A632=1,Sales_Daily!$AY53,"")</f>
        <v/>
      </c>
      <c r="R632" s="32">
        <f>IF($A632=1,IF(AND($Q632=1,COUNTIFS(COA!$A:$A,$G632,COA!$R:$R,1)=1),1,0),"")</f>
        <v/>
      </c>
      <c r="S632" s="43">
        <f>IF($A632=1,IF($R632=1,N($M632),0),"")</f>
        <v/>
      </c>
      <c r="T632" s="43">
        <f>IF($A632=1,IF($R632=1,N($N632),0),"")</f>
        <v/>
      </c>
      <c r="U632" s="32">
        <f>IF($A632=1,YEAR($D632)*100+MONTH($D632),"")</f>
        <v/>
      </c>
      <c r="V632" s="32">
        <f>IF($A632=1,IF(COUNTIF(COA!$A:$A,$G632)=0,0,INDEX(COA!$H:$H,MATCH($G632,COA!$A:$A,0))),"")</f>
        <v/>
      </c>
      <c r="W632" s="32">
        <f>IF($A632=1,"OPERATING","")</f>
        <v/>
      </c>
      <c r="X632" s="32">
        <f>IF($A632=1,IF($R632=1,"",IF($O632=ST_POST,IF($P632&lt;&gt;"",$P632,"حساب غير صالح أو غير نشط"),IF($O632=ST_REV,"معكوس: لا أثر على الدفاتر",IF($O632=ST_CANC,"ملغى",IF($O632=ST_APPR,"معتمد ولم يُرحَّل","مسودة"))))),"")</f>
        <v/>
      </c>
      <c r="Y632" s="32">
        <f>IF($A632=1,IF(AND($R632=1,OR(LG_Acct="",$G632=LG_Acct),OR(LG_Party="",$K632=LG_Party),OR(LG_Loc="ALL",$I632=LG_Loc),OR(LG_CC="ALL",$J632=LG_CC),$D632&gt;=LG_From,$D632&lt;=LG_To),$D632+ROW()/1000000,""),"")</f>
        <v/>
      </c>
      <c r="Z632" s="32">
        <f>IF($A632=1,IF(Sales_Daily!$T53="","",Sales_Daily!$T53),"")</f>
        <v/>
      </c>
      <c r="AA632" s="32">
        <f>IF($A632=1,IF(Sales_Daily!$U53="","",Sales_Daily!$U53),"")</f>
        <v/>
      </c>
      <c r="AB632" s="32">
        <f>IF($A632=1,IF(Sales_Daily!$V53="","",Sales_Daily!$V53),"")</f>
        <v/>
      </c>
      <c r="AC632" s="32">
        <f>IF($A632=1,IF(Sales_Daily!$W53="","",Sales_Daily!$W53),"")</f>
        <v/>
      </c>
      <c r="AD632" s="32">
        <f>IF($A632=1,IF(Sales_Daily!$X53="","",Sales_Daily!$X53),"")</f>
        <v/>
      </c>
      <c r="AE632" s="32">
        <f>IF($A632=1,0,"")</f>
        <v/>
      </c>
      <c r="AF632" s="32" t="inlineStr"/>
    </row>
    <row r="633">
      <c r="A633" s="32">
        <f>IF(AND(Sales_Daily!$AV53=1,N(Sales_Daily!$P53)&gt;0),1,0)</f>
        <v/>
      </c>
      <c r="B633" s="32">
        <f>IF($A633=1,$E633&amp;"/5","")</f>
        <v/>
      </c>
      <c r="C633" s="32">
        <f>IF($A633=1,"J-"&amp;Sales_Daily!$A53,"")</f>
        <v/>
      </c>
      <c r="D633" s="33">
        <f>IF($A633=1,Sales_Daily!$B53,"")</f>
        <v/>
      </c>
      <c r="E633" s="32">
        <f>IF($A633=1,IF(Sales_Daily!$A53="","",Sales_Daily!$A53),"")</f>
        <v/>
      </c>
      <c r="F633" s="32">
        <f>IF($A633=1,"SAL","")</f>
        <v/>
      </c>
      <c r="G633" s="32">
        <f>IF($A633=1,IF(Sales_Daily!$AO53="","",Sales_Daily!$AO53),"")</f>
        <v/>
      </c>
      <c r="H633" s="32">
        <f>IF($A633=1,IF(COUNTIF(COA!$A:$A,$G633)=0,"حساب غير معرف",INDEX(COA!$B:$B,MATCH($G633,COA!$A:$A,0))),"")</f>
        <v/>
      </c>
      <c r="I633" s="32">
        <f>IF($A633=1,IF(Sales_Daily!$C53="","",Sales_Daily!$C53),"")</f>
        <v/>
      </c>
      <c r="J633" s="32">
        <f>IF($A633=1,"CC10","")</f>
        <v/>
      </c>
      <c r="K633" s="32">
        <f>IF($A633=1,"-","")</f>
        <v/>
      </c>
      <c r="L633" s="32">
        <f>IF($A633=1,"مبيعات - تحصيل INSTA","")</f>
        <v/>
      </c>
      <c r="M633" s="43">
        <f>IF($A633=1,Sales_Daily!$P53,"")</f>
        <v/>
      </c>
      <c r="N633" s="43">
        <f>IF($A633=1,0,"")</f>
        <v/>
      </c>
      <c r="O633" s="32">
        <f>IF($A633=1,Sales_Daily!$S53,"")</f>
        <v/>
      </c>
      <c r="P633" s="32">
        <f>IF($A633=1,IF(Sales_Daily!$AW53="","",Sales_Daily!$AW53),"")</f>
        <v/>
      </c>
      <c r="Q633" s="32">
        <f>IF($A633=1,Sales_Daily!$AY53,"")</f>
        <v/>
      </c>
      <c r="R633" s="32">
        <f>IF($A633=1,IF(AND($Q633=1,COUNTIFS(COA!$A:$A,$G633,COA!$R:$R,1)=1),1,0),"")</f>
        <v/>
      </c>
      <c r="S633" s="43">
        <f>IF($A633=1,IF($R633=1,N($M633),0),"")</f>
        <v/>
      </c>
      <c r="T633" s="43">
        <f>IF($A633=1,IF($R633=1,N($N633),0),"")</f>
        <v/>
      </c>
      <c r="U633" s="32">
        <f>IF($A633=1,YEAR($D633)*100+MONTH($D633),"")</f>
        <v/>
      </c>
      <c r="V633" s="32">
        <f>IF($A633=1,IF(COUNTIF(COA!$A:$A,$G633)=0,0,INDEX(COA!$H:$H,MATCH($G633,COA!$A:$A,0))),"")</f>
        <v/>
      </c>
      <c r="W633" s="32">
        <f>IF($A633=1,"OPERATING","")</f>
        <v/>
      </c>
      <c r="X633" s="32">
        <f>IF($A633=1,IF($R633=1,"",IF($O633=ST_POST,IF($P633&lt;&gt;"",$P633,"حساب غير صالح أو غير نشط"),IF($O633=ST_REV,"معكوس: لا أثر على الدفاتر",IF($O633=ST_CANC,"ملغى",IF($O633=ST_APPR,"معتمد ولم يُرحَّل","مسودة"))))),"")</f>
        <v/>
      </c>
      <c r="Y633" s="32">
        <f>IF($A633=1,IF(AND($R633=1,OR(LG_Acct="",$G633=LG_Acct),OR(LG_Party="",$K633=LG_Party),OR(LG_Loc="ALL",$I633=LG_Loc),OR(LG_CC="ALL",$J633=LG_CC),$D633&gt;=LG_From,$D633&lt;=LG_To),$D633+ROW()/1000000,""),"")</f>
        <v/>
      </c>
      <c r="Z633" s="32">
        <f>IF($A633=1,IF(Sales_Daily!$T53="","",Sales_Daily!$T53),"")</f>
        <v/>
      </c>
      <c r="AA633" s="32">
        <f>IF($A633=1,IF(Sales_Daily!$U53="","",Sales_Daily!$U53),"")</f>
        <v/>
      </c>
      <c r="AB633" s="32">
        <f>IF($A633=1,IF(Sales_Daily!$V53="","",Sales_Daily!$V53),"")</f>
        <v/>
      </c>
      <c r="AC633" s="32">
        <f>IF($A633=1,IF(Sales_Daily!$W53="","",Sales_Daily!$W53),"")</f>
        <v/>
      </c>
      <c r="AD633" s="32">
        <f>IF($A633=1,IF(Sales_Daily!$X53="","",Sales_Daily!$X53),"")</f>
        <v/>
      </c>
      <c r="AE633" s="32">
        <f>IF($A633=1,0,"")</f>
        <v/>
      </c>
      <c r="AF633" s="32" t="inlineStr"/>
    </row>
    <row r="634">
      <c r="A634" s="32">
        <f>IF(AND(Sales_Daily!$AV53=1,N(Sales_Daily!$Q53)&gt;0),1,0)</f>
        <v/>
      </c>
      <c r="B634" s="32">
        <f>IF($A634=1,$E634&amp;"/6","")</f>
        <v/>
      </c>
      <c r="C634" s="32">
        <f>IF($A634=1,"J-"&amp;Sales_Daily!$A53,"")</f>
        <v/>
      </c>
      <c r="D634" s="33">
        <f>IF($A634=1,Sales_Daily!$B53,"")</f>
        <v/>
      </c>
      <c r="E634" s="32">
        <f>IF($A634=1,IF(Sales_Daily!$A53="","",Sales_Daily!$A53),"")</f>
        <v/>
      </c>
      <c r="F634" s="32">
        <f>IF($A634=1,"SAL","")</f>
        <v/>
      </c>
      <c r="G634" s="32">
        <f>IF($A634=1,IF(Sales_Daily!$AP53="","",Sales_Daily!$AP53),"")</f>
        <v/>
      </c>
      <c r="H634" s="32">
        <f>IF($A634=1,IF(COUNTIF(COA!$A:$A,$G634)=0,"حساب غير معرف",INDEX(COA!$B:$B,MATCH($G634,COA!$A:$A,0))),"")</f>
        <v/>
      </c>
      <c r="I634" s="32">
        <f>IF($A634=1,IF(Sales_Daily!$C53="","",Sales_Daily!$C53),"")</f>
        <v/>
      </c>
      <c r="J634" s="32">
        <f>IF($A634=1,"CC10","")</f>
        <v/>
      </c>
      <c r="K634" s="32">
        <f>IF($A634=1,"-","")</f>
        <v/>
      </c>
      <c r="L634" s="32">
        <f>IF($A634=1,"مبيعات - تحصيل OTH","")</f>
        <v/>
      </c>
      <c r="M634" s="43">
        <f>IF($A634=1,Sales_Daily!$Q53,"")</f>
        <v/>
      </c>
      <c r="N634" s="43">
        <f>IF($A634=1,0,"")</f>
        <v/>
      </c>
      <c r="O634" s="32">
        <f>IF($A634=1,Sales_Daily!$S53,"")</f>
        <v/>
      </c>
      <c r="P634" s="32">
        <f>IF($A634=1,IF(Sales_Daily!$AW53="","",Sales_Daily!$AW53),"")</f>
        <v/>
      </c>
      <c r="Q634" s="32">
        <f>IF($A634=1,Sales_Daily!$AY53,"")</f>
        <v/>
      </c>
      <c r="R634" s="32">
        <f>IF($A634=1,IF(AND($Q634=1,COUNTIFS(COA!$A:$A,$G634,COA!$R:$R,1)=1),1,0),"")</f>
        <v/>
      </c>
      <c r="S634" s="43">
        <f>IF($A634=1,IF($R634=1,N($M634),0),"")</f>
        <v/>
      </c>
      <c r="T634" s="43">
        <f>IF($A634=1,IF($R634=1,N($N634),0),"")</f>
        <v/>
      </c>
      <c r="U634" s="32">
        <f>IF($A634=1,YEAR($D634)*100+MONTH($D634),"")</f>
        <v/>
      </c>
      <c r="V634" s="32">
        <f>IF($A634=1,IF(COUNTIF(COA!$A:$A,$G634)=0,0,INDEX(COA!$H:$H,MATCH($G634,COA!$A:$A,0))),"")</f>
        <v/>
      </c>
      <c r="W634" s="32">
        <f>IF($A634=1,"OPERATING","")</f>
        <v/>
      </c>
      <c r="X634" s="32">
        <f>IF($A634=1,IF($R634=1,"",IF($O634=ST_POST,IF($P634&lt;&gt;"",$P634,"حساب غير صالح أو غير نشط"),IF($O634=ST_REV,"معكوس: لا أثر على الدفاتر",IF($O634=ST_CANC,"ملغى",IF($O634=ST_APPR,"معتمد ولم يُرحَّل","مسودة"))))),"")</f>
        <v/>
      </c>
      <c r="Y634" s="32">
        <f>IF($A634=1,IF(AND($R634=1,OR(LG_Acct="",$G634=LG_Acct),OR(LG_Party="",$K634=LG_Party),OR(LG_Loc="ALL",$I634=LG_Loc),OR(LG_CC="ALL",$J634=LG_CC),$D634&gt;=LG_From,$D634&lt;=LG_To),$D634+ROW()/1000000,""),"")</f>
        <v/>
      </c>
      <c r="Z634" s="32">
        <f>IF($A634=1,IF(Sales_Daily!$T53="","",Sales_Daily!$T53),"")</f>
        <v/>
      </c>
      <c r="AA634" s="32">
        <f>IF($A634=1,IF(Sales_Daily!$U53="","",Sales_Daily!$U53),"")</f>
        <v/>
      </c>
      <c r="AB634" s="32">
        <f>IF($A634=1,IF(Sales_Daily!$V53="","",Sales_Daily!$V53),"")</f>
        <v/>
      </c>
      <c r="AC634" s="32">
        <f>IF($A634=1,IF(Sales_Daily!$W53="","",Sales_Daily!$W53),"")</f>
        <v/>
      </c>
      <c r="AD634" s="32">
        <f>IF($A634=1,IF(Sales_Daily!$X53="","",Sales_Daily!$X53),"")</f>
        <v/>
      </c>
      <c r="AE634" s="32">
        <f>IF($A634=1,0,"")</f>
        <v/>
      </c>
      <c r="AF634" s="32" t="inlineStr"/>
    </row>
    <row r="635">
      <c r="A635" s="32">
        <f>IF(AND(Sales_Daily!$AV53=1,N(Sales_Daily!$AH53)&gt;0),1,0)</f>
        <v/>
      </c>
      <c r="B635" s="32">
        <f>IF($A635=1,$E635&amp;"/7","")</f>
        <v/>
      </c>
      <c r="C635" s="32">
        <f>IF($A635=1,"J-"&amp;Sales_Daily!$A53,"")</f>
        <v/>
      </c>
      <c r="D635" s="33">
        <f>IF($A635=1,Sales_Daily!$B53,"")</f>
        <v/>
      </c>
      <c r="E635" s="32">
        <f>IF($A635=1,IF(Sales_Daily!$A53="","",Sales_Daily!$A53),"")</f>
        <v/>
      </c>
      <c r="F635" s="32">
        <f>IF($A635=1,"SAL","")</f>
        <v/>
      </c>
      <c r="G635" s="32">
        <f>IF($A635=1,ACC_DISC,"")</f>
        <v/>
      </c>
      <c r="H635" s="32">
        <f>IF($A635=1,IF(COUNTIF(COA!$A:$A,$G635)=0,"حساب غير معرف",INDEX(COA!$B:$B,MATCH($G635,COA!$A:$A,0))),"")</f>
        <v/>
      </c>
      <c r="I635" s="32">
        <f>IF($A635=1,IF(Sales_Daily!$C53="","",Sales_Daily!$C53),"")</f>
        <v/>
      </c>
      <c r="J635" s="32">
        <f>IF($A635=1,"CC10","")</f>
        <v/>
      </c>
      <c r="K635" s="32">
        <f>IF($A635=1,"-","")</f>
        <v/>
      </c>
      <c r="L635" s="32">
        <f>IF($A635=1,"خصومات المبيعات والعروض","")</f>
        <v/>
      </c>
      <c r="M635" s="43">
        <f>IF($A635=1,Sales_Daily!$AH53,"")</f>
        <v/>
      </c>
      <c r="N635" s="43">
        <f>IF($A635=1,0,"")</f>
        <v/>
      </c>
      <c r="O635" s="32">
        <f>IF($A635=1,Sales_Daily!$S53,"")</f>
        <v/>
      </c>
      <c r="P635" s="32">
        <f>IF($A635=1,IF(Sales_Daily!$AW53="","",Sales_Daily!$AW53),"")</f>
        <v/>
      </c>
      <c r="Q635" s="32">
        <f>IF($A635=1,Sales_Daily!$AY53,"")</f>
        <v/>
      </c>
      <c r="R635" s="32">
        <f>IF($A635=1,IF(AND($Q635=1,COUNTIFS(COA!$A:$A,$G635,COA!$R:$R,1)=1),1,0),"")</f>
        <v/>
      </c>
      <c r="S635" s="43">
        <f>IF($A635=1,IF($R635=1,N($M635),0),"")</f>
        <v/>
      </c>
      <c r="T635" s="43">
        <f>IF($A635=1,IF($R635=1,N($N635),0),"")</f>
        <v/>
      </c>
      <c r="U635" s="32">
        <f>IF($A635=1,YEAR($D635)*100+MONTH($D635),"")</f>
        <v/>
      </c>
      <c r="V635" s="32">
        <f>IF($A635=1,IF(COUNTIF(COA!$A:$A,$G635)=0,0,INDEX(COA!$H:$H,MATCH($G635,COA!$A:$A,0))),"")</f>
        <v/>
      </c>
      <c r="W635" s="32">
        <f>IF($A635=1,"","")</f>
        <v/>
      </c>
      <c r="X635" s="32">
        <f>IF($A635=1,IF($R635=1,"",IF($O635=ST_POST,IF($P635&lt;&gt;"",$P635,"حساب غير صالح أو غير نشط"),IF($O635=ST_REV,"معكوس: لا أثر على الدفاتر",IF($O635=ST_CANC,"ملغى",IF($O635=ST_APPR,"معتمد ولم يُرحَّل","مسودة"))))),"")</f>
        <v/>
      </c>
      <c r="Y635" s="32">
        <f>IF($A635=1,IF(AND($R635=1,OR(LG_Acct="",$G635=LG_Acct),OR(LG_Party="",$K635=LG_Party),OR(LG_Loc="ALL",$I635=LG_Loc),OR(LG_CC="ALL",$J635=LG_CC),$D635&gt;=LG_From,$D635&lt;=LG_To),$D635+ROW()/1000000,""),"")</f>
        <v/>
      </c>
      <c r="Z635" s="32">
        <f>IF($A635=1,IF(Sales_Daily!$T53="","",Sales_Daily!$T53),"")</f>
        <v/>
      </c>
      <c r="AA635" s="32">
        <f>IF($A635=1,IF(Sales_Daily!$U53="","",Sales_Daily!$U53),"")</f>
        <v/>
      </c>
      <c r="AB635" s="32">
        <f>IF($A635=1,IF(Sales_Daily!$V53="","",Sales_Daily!$V53),"")</f>
        <v/>
      </c>
      <c r="AC635" s="32">
        <f>IF($A635=1,IF(Sales_Daily!$W53="","",Sales_Daily!$W53),"")</f>
        <v/>
      </c>
      <c r="AD635" s="32">
        <f>IF($A635=1,IF(Sales_Daily!$X53="","",Sales_Daily!$X53),"")</f>
        <v/>
      </c>
      <c r="AE635" s="32">
        <f>IF($A635=1,0,"")</f>
        <v/>
      </c>
      <c r="AF635" s="32" t="inlineStr"/>
    </row>
    <row r="636">
      <c r="A636" s="32">
        <f>IF(AND(Sales_Daily!$AV53=1,N(Sales_Daily!$AI53)&gt;0),1,0)</f>
        <v/>
      </c>
      <c r="B636" s="32">
        <f>IF($A636=1,$E636&amp;"/8","")</f>
        <v/>
      </c>
      <c r="C636" s="32">
        <f>IF($A636=1,"J-"&amp;Sales_Daily!$A53,"")</f>
        <v/>
      </c>
      <c r="D636" s="33">
        <f>IF($A636=1,Sales_Daily!$B53,"")</f>
        <v/>
      </c>
      <c r="E636" s="32">
        <f>IF($A636=1,IF(Sales_Daily!$A53="","",Sales_Daily!$A53),"")</f>
        <v/>
      </c>
      <c r="F636" s="32">
        <f>IF($A636=1,"SAL","")</f>
        <v/>
      </c>
      <c r="G636" s="32">
        <f>IF($A636=1,ACC_RET,"")</f>
        <v/>
      </c>
      <c r="H636" s="32">
        <f>IF($A636=1,IF(COUNTIF(COA!$A:$A,$G636)=0,"حساب غير معرف",INDEX(COA!$B:$B,MATCH($G636,COA!$A:$A,0))),"")</f>
        <v/>
      </c>
      <c r="I636" s="32">
        <f>IF($A636=1,IF(Sales_Daily!$C53="","",Sales_Daily!$C53),"")</f>
        <v/>
      </c>
      <c r="J636" s="32">
        <f>IF($A636=1,"CC10","")</f>
        <v/>
      </c>
      <c r="K636" s="32">
        <f>IF($A636=1,"-","")</f>
        <v/>
      </c>
      <c r="L636" s="32">
        <f>IF($A636=1,"مرتجعات وإلغاءات المبيعات","")</f>
        <v/>
      </c>
      <c r="M636" s="43">
        <f>IF($A636=1,Sales_Daily!$AI53,"")</f>
        <v/>
      </c>
      <c r="N636" s="43">
        <f>IF($A636=1,0,"")</f>
        <v/>
      </c>
      <c r="O636" s="32">
        <f>IF($A636=1,Sales_Daily!$S53,"")</f>
        <v/>
      </c>
      <c r="P636" s="32">
        <f>IF($A636=1,IF(Sales_Daily!$AW53="","",Sales_Daily!$AW53),"")</f>
        <v/>
      </c>
      <c r="Q636" s="32">
        <f>IF($A636=1,Sales_Daily!$AY53,"")</f>
        <v/>
      </c>
      <c r="R636" s="32">
        <f>IF($A636=1,IF(AND($Q636=1,COUNTIFS(COA!$A:$A,$G636,COA!$R:$R,1)=1),1,0),"")</f>
        <v/>
      </c>
      <c r="S636" s="43">
        <f>IF($A636=1,IF($R636=1,N($M636),0),"")</f>
        <v/>
      </c>
      <c r="T636" s="43">
        <f>IF($A636=1,IF($R636=1,N($N636),0),"")</f>
        <v/>
      </c>
      <c r="U636" s="32">
        <f>IF($A636=1,YEAR($D636)*100+MONTH($D636),"")</f>
        <v/>
      </c>
      <c r="V636" s="32">
        <f>IF($A636=1,IF(COUNTIF(COA!$A:$A,$G636)=0,0,INDEX(COA!$H:$H,MATCH($G636,COA!$A:$A,0))),"")</f>
        <v/>
      </c>
      <c r="W636" s="32">
        <f>IF($A636=1,"","")</f>
        <v/>
      </c>
      <c r="X636" s="32">
        <f>IF($A636=1,IF($R636=1,"",IF($O636=ST_POST,IF($P636&lt;&gt;"",$P636,"حساب غير صالح أو غير نشط"),IF($O636=ST_REV,"معكوس: لا أثر على الدفاتر",IF($O636=ST_CANC,"ملغى",IF($O636=ST_APPR,"معتمد ولم يُرحَّل","مسودة"))))),"")</f>
        <v/>
      </c>
      <c r="Y636" s="32">
        <f>IF($A636=1,IF(AND($R636=1,OR(LG_Acct="",$G636=LG_Acct),OR(LG_Party="",$K636=LG_Party),OR(LG_Loc="ALL",$I636=LG_Loc),OR(LG_CC="ALL",$J636=LG_CC),$D636&gt;=LG_From,$D636&lt;=LG_To),$D636+ROW()/1000000,""),"")</f>
        <v/>
      </c>
      <c r="Z636" s="32">
        <f>IF($A636=1,IF(Sales_Daily!$T53="","",Sales_Daily!$T53),"")</f>
        <v/>
      </c>
      <c r="AA636" s="32">
        <f>IF($A636=1,IF(Sales_Daily!$U53="","",Sales_Daily!$U53),"")</f>
        <v/>
      </c>
      <c r="AB636" s="32">
        <f>IF($A636=1,IF(Sales_Daily!$V53="","",Sales_Daily!$V53),"")</f>
        <v/>
      </c>
      <c r="AC636" s="32">
        <f>IF($A636=1,IF(Sales_Daily!$W53="","",Sales_Daily!$W53),"")</f>
        <v/>
      </c>
      <c r="AD636" s="32">
        <f>IF($A636=1,IF(Sales_Daily!$X53="","",Sales_Daily!$X53),"")</f>
        <v/>
      </c>
      <c r="AE636" s="32">
        <f>IF($A636=1,0,"")</f>
        <v/>
      </c>
      <c r="AF636" s="32" t="inlineStr"/>
    </row>
    <row r="637">
      <c r="A637" s="32">
        <f>IF(AND(Sales_Daily!$AV53=1,N(Sales_Daily!$AD53)&gt;0),1,0)</f>
        <v/>
      </c>
      <c r="B637" s="32">
        <f>IF($A637=1,$E637&amp;"/9","")</f>
        <v/>
      </c>
      <c r="C637" s="32">
        <f>IF($A637=1,"J-"&amp;Sales_Daily!$A53,"")</f>
        <v/>
      </c>
      <c r="D637" s="33">
        <f>IF($A637=1,Sales_Daily!$B53,"")</f>
        <v/>
      </c>
      <c r="E637" s="32">
        <f>IF($A637=1,IF(Sales_Daily!$A53="","",Sales_Daily!$A53),"")</f>
        <v/>
      </c>
      <c r="F637" s="32">
        <f>IF($A637=1,"SAL","")</f>
        <v/>
      </c>
      <c r="G637" s="32">
        <f>IF($A637=1,IF(Sales_Daily!$AQ53="","",Sales_Daily!$AQ53),"")</f>
        <v/>
      </c>
      <c r="H637" s="32">
        <f>IF($A637=1,IF(COUNTIF(COA!$A:$A,$G637)=0,"حساب غير معرف",INDEX(COA!$B:$B,MATCH($G637,COA!$A:$A,0))),"")</f>
        <v/>
      </c>
      <c r="I637" s="32">
        <f>IF($A637=1,IF(Sales_Daily!$C53="","",Sales_Daily!$C53),"")</f>
        <v/>
      </c>
      <c r="J637" s="32">
        <f>IF($A637=1,"CC10","")</f>
        <v/>
      </c>
      <c r="K637" s="32">
        <f>IF($A637=1,"-","")</f>
        <v/>
      </c>
      <c r="L637" s="32">
        <f>IF($A637=1,"إيراد مبيعات - فئة فطير","")</f>
        <v/>
      </c>
      <c r="M637" s="43">
        <f>IF($A637=1,0,"")</f>
        <v/>
      </c>
      <c r="N637" s="43">
        <f>IF($A637=1,Sales_Daily!$AD53,"")</f>
        <v/>
      </c>
      <c r="O637" s="32">
        <f>IF($A637=1,Sales_Daily!$S53,"")</f>
        <v/>
      </c>
      <c r="P637" s="32">
        <f>IF($A637=1,IF(Sales_Daily!$AW53="","",Sales_Daily!$AW53),"")</f>
        <v/>
      </c>
      <c r="Q637" s="32">
        <f>IF($A637=1,Sales_Daily!$AY53,"")</f>
        <v/>
      </c>
      <c r="R637" s="32">
        <f>IF($A637=1,IF(AND($Q637=1,COUNTIFS(COA!$A:$A,$G637,COA!$R:$R,1)=1),1,0),"")</f>
        <v/>
      </c>
      <c r="S637" s="43">
        <f>IF($A637=1,IF($R637=1,N($M637),0),"")</f>
        <v/>
      </c>
      <c r="T637" s="43">
        <f>IF($A637=1,IF($R637=1,N($N637),0),"")</f>
        <v/>
      </c>
      <c r="U637" s="32">
        <f>IF($A637=1,YEAR($D637)*100+MONTH($D637),"")</f>
        <v/>
      </c>
      <c r="V637" s="32">
        <f>IF($A637=1,IF(COUNTIF(COA!$A:$A,$G637)=0,0,INDEX(COA!$H:$H,MATCH($G637,COA!$A:$A,0))),"")</f>
        <v/>
      </c>
      <c r="W637" s="32">
        <f>IF($A637=1,"","")</f>
        <v/>
      </c>
      <c r="X637" s="32">
        <f>IF($A637=1,IF($R637=1,"",IF($O637=ST_POST,IF($P637&lt;&gt;"",$P637,"حساب غير صالح أو غير نشط"),IF($O637=ST_REV,"معكوس: لا أثر على الدفاتر",IF($O637=ST_CANC,"ملغى",IF($O637=ST_APPR,"معتمد ولم يُرحَّل","مسودة"))))),"")</f>
        <v/>
      </c>
      <c r="Y637" s="32">
        <f>IF($A637=1,IF(AND($R637=1,OR(LG_Acct="",$G637=LG_Acct),OR(LG_Party="",$K637=LG_Party),OR(LG_Loc="ALL",$I637=LG_Loc),OR(LG_CC="ALL",$J637=LG_CC),$D637&gt;=LG_From,$D637&lt;=LG_To),$D637+ROW()/1000000,""),"")</f>
        <v/>
      </c>
      <c r="Z637" s="32">
        <f>IF($A637=1,IF(Sales_Daily!$T53="","",Sales_Daily!$T53),"")</f>
        <v/>
      </c>
      <c r="AA637" s="32">
        <f>IF($A637=1,IF(Sales_Daily!$U53="","",Sales_Daily!$U53),"")</f>
        <v/>
      </c>
      <c r="AB637" s="32">
        <f>IF($A637=1,IF(Sales_Daily!$V53="","",Sales_Daily!$V53),"")</f>
        <v/>
      </c>
      <c r="AC637" s="32">
        <f>IF($A637=1,IF(Sales_Daily!$W53="","",Sales_Daily!$W53),"")</f>
        <v/>
      </c>
      <c r="AD637" s="32">
        <f>IF($A637=1,IF(Sales_Daily!$X53="","",Sales_Daily!$X53),"")</f>
        <v/>
      </c>
      <c r="AE637" s="32">
        <f>IF($A637=1,0,"")</f>
        <v/>
      </c>
      <c r="AF637" s="32" t="inlineStr"/>
    </row>
    <row r="638">
      <c r="A638" s="32">
        <f>IF(AND(Sales_Daily!$AV53=1,N(Sales_Daily!$AE53)&gt;0),1,0)</f>
        <v/>
      </c>
      <c r="B638" s="32">
        <f>IF($A638=1,$E638&amp;"/10","")</f>
        <v/>
      </c>
      <c r="C638" s="32">
        <f>IF($A638=1,"J-"&amp;Sales_Daily!$A53,"")</f>
        <v/>
      </c>
      <c r="D638" s="33">
        <f>IF($A638=1,Sales_Daily!$B53,"")</f>
        <v/>
      </c>
      <c r="E638" s="32">
        <f>IF($A638=1,IF(Sales_Daily!$A53="","",Sales_Daily!$A53),"")</f>
        <v/>
      </c>
      <c r="F638" s="32">
        <f>IF($A638=1,"SAL","")</f>
        <v/>
      </c>
      <c r="G638" s="32">
        <f>IF($A638=1,IF(Sales_Daily!$AR53="","",Sales_Daily!$AR53),"")</f>
        <v/>
      </c>
      <c r="H638" s="32">
        <f>IF($A638=1,IF(COUNTIF(COA!$A:$A,$G638)=0,"حساب غير معرف",INDEX(COA!$B:$B,MATCH($G638,COA!$A:$A,0))),"")</f>
        <v/>
      </c>
      <c r="I638" s="32">
        <f>IF($A638=1,IF(Sales_Daily!$C53="","",Sales_Daily!$C53),"")</f>
        <v/>
      </c>
      <c r="J638" s="32">
        <f>IF($A638=1,"CC10","")</f>
        <v/>
      </c>
      <c r="K638" s="32">
        <f>IF($A638=1,"-","")</f>
        <v/>
      </c>
      <c r="L638" s="32">
        <f>IF($A638=1,"إيراد مبيعات - فئة بيتزا","")</f>
        <v/>
      </c>
      <c r="M638" s="43">
        <f>IF($A638=1,0,"")</f>
        <v/>
      </c>
      <c r="N638" s="43">
        <f>IF($A638=1,Sales_Daily!$AE53,"")</f>
        <v/>
      </c>
      <c r="O638" s="32">
        <f>IF($A638=1,Sales_Daily!$S53,"")</f>
        <v/>
      </c>
      <c r="P638" s="32">
        <f>IF($A638=1,IF(Sales_Daily!$AW53="","",Sales_Daily!$AW53),"")</f>
        <v/>
      </c>
      <c r="Q638" s="32">
        <f>IF($A638=1,Sales_Daily!$AY53,"")</f>
        <v/>
      </c>
      <c r="R638" s="32">
        <f>IF($A638=1,IF(AND($Q638=1,COUNTIFS(COA!$A:$A,$G638,COA!$R:$R,1)=1),1,0),"")</f>
        <v/>
      </c>
      <c r="S638" s="43">
        <f>IF($A638=1,IF($R638=1,N($M638),0),"")</f>
        <v/>
      </c>
      <c r="T638" s="43">
        <f>IF($A638=1,IF($R638=1,N($N638),0),"")</f>
        <v/>
      </c>
      <c r="U638" s="32">
        <f>IF($A638=1,YEAR($D638)*100+MONTH($D638),"")</f>
        <v/>
      </c>
      <c r="V638" s="32">
        <f>IF($A638=1,IF(COUNTIF(COA!$A:$A,$G638)=0,0,INDEX(COA!$H:$H,MATCH($G638,COA!$A:$A,0))),"")</f>
        <v/>
      </c>
      <c r="W638" s="32">
        <f>IF($A638=1,"","")</f>
        <v/>
      </c>
      <c r="X638" s="32">
        <f>IF($A638=1,IF($R638=1,"",IF($O638=ST_POST,IF($P638&lt;&gt;"",$P638,"حساب غير صالح أو غير نشط"),IF($O638=ST_REV,"معكوس: لا أثر على الدفاتر",IF($O638=ST_CANC,"ملغى",IF($O638=ST_APPR,"معتمد ولم يُرحَّل","مسودة"))))),"")</f>
        <v/>
      </c>
      <c r="Y638" s="32">
        <f>IF($A638=1,IF(AND($R638=1,OR(LG_Acct="",$G638=LG_Acct),OR(LG_Party="",$K638=LG_Party),OR(LG_Loc="ALL",$I638=LG_Loc),OR(LG_CC="ALL",$J638=LG_CC),$D638&gt;=LG_From,$D638&lt;=LG_To),$D638+ROW()/1000000,""),"")</f>
        <v/>
      </c>
      <c r="Z638" s="32">
        <f>IF($A638=1,IF(Sales_Daily!$T53="","",Sales_Daily!$T53),"")</f>
        <v/>
      </c>
      <c r="AA638" s="32">
        <f>IF($A638=1,IF(Sales_Daily!$U53="","",Sales_Daily!$U53),"")</f>
        <v/>
      </c>
      <c r="AB638" s="32">
        <f>IF($A638=1,IF(Sales_Daily!$V53="","",Sales_Daily!$V53),"")</f>
        <v/>
      </c>
      <c r="AC638" s="32">
        <f>IF($A638=1,IF(Sales_Daily!$W53="","",Sales_Daily!$W53),"")</f>
        <v/>
      </c>
      <c r="AD638" s="32">
        <f>IF($A638=1,IF(Sales_Daily!$X53="","",Sales_Daily!$X53),"")</f>
        <v/>
      </c>
      <c r="AE638" s="32">
        <f>IF($A638=1,0,"")</f>
        <v/>
      </c>
      <c r="AF638" s="32" t="inlineStr"/>
    </row>
    <row r="639">
      <c r="A639" s="32">
        <f>IF(AND(Sales_Daily!$AV53=1,N(Sales_Daily!$AF53)&gt;0),1,0)</f>
        <v/>
      </c>
      <c r="B639" s="32">
        <f>IF($A639=1,$E639&amp;"/11","")</f>
        <v/>
      </c>
      <c r="C639" s="32">
        <f>IF($A639=1,"J-"&amp;Sales_Daily!$A53,"")</f>
        <v/>
      </c>
      <c r="D639" s="33">
        <f>IF($A639=1,Sales_Daily!$B53,"")</f>
        <v/>
      </c>
      <c r="E639" s="32">
        <f>IF($A639=1,IF(Sales_Daily!$A53="","",Sales_Daily!$A53),"")</f>
        <v/>
      </c>
      <c r="F639" s="32">
        <f>IF($A639=1,"SAL","")</f>
        <v/>
      </c>
      <c r="G639" s="32">
        <f>IF($A639=1,IF(Sales_Daily!$AS53="","",Sales_Daily!$AS53),"")</f>
        <v/>
      </c>
      <c r="H639" s="32">
        <f>IF($A639=1,IF(COUNTIF(COA!$A:$A,$G639)=0,"حساب غير معرف",INDEX(COA!$B:$B,MATCH($G639,COA!$A:$A,0))),"")</f>
        <v/>
      </c>
      <c r="I639" s="32">
        <f>IF($A639=1,IF(Sales_Daily!$C53="","",Sales_Daily!$C53),"")</f>
        <v/>
      </c>
      <c r="J639" s="32">
        <f>IF($A639=1,"CC10","")</f>
        <v/>
      </c>
      <c r="K639" s="32">
        <f>IF($A639=1,"-","")</f>
        <v/>
      </c>
      <c r="L639" s="32">
        <f>IF($A639=1,"إيراد مبيعات - فئة مكرونات","")</f>
        <v/>
      </c>
      <c r="M639" s="43">
        <f>IF($A639=1,0,"")</f>
        <v/>
      </c>
      <c r="N639" s="43">
        <f>IF($A639=1,Sales_Daily!$AF53,"")</f>
        <v/>
      </c>
      <c r="O639" s="32">
        <f>IF($A639=1,Sales_Daily!$S53,"")</f>
        <v/>
      </c>
      <c r="P639" s="32">
        <f>IF($A639=1,IF(Sales_Daily!$AW53="","",Sales_Daily!$AW53),"")</f>
        <v/>
      </c>
      <c r="Q639" s="32">
        <f>IF($A639=1,Sales_Daily!$AY53,"")</f>
        <v/>
      </c>
      <c r="R639" s="32">
        <f>IF($A639=1,IF(AND($Q639=1,COUNTIFS(COA!$A:$A,$G639,COA!$R:$R,1)=1),1,0),"")</f>
        <v/>
      </c>
      <c r="S639" s="43">
        <f>IF($A639=1,IF($R639=1,N($M639),0),"")</f>
        <v/>
      </c>
      <c r="T639" s="43">
        <f>IF($A639=1,IF($R639=1,N($N639),0),"")</f>
        <v/>
      </c>
      <c r="U639" s="32">
        <f>IF($A639=1,YEAR($D639)*100+MONTH($D639),"")</f>
        <v/>
      </c>
      <c r="V639" s="32">
        <f>IF($A639=1,IF(COUNTIF(COA!$A:$A,$G639)=0,0,INDEX(COA!$H:$H,MATCH($G639,COA!$A:$A,0))),"")</f>
        <v/>
      </c>
      <c r="W639" s="32">
        <f>IF($A639=1,"","")</f>
        <v/>
      </c>
      <c r="X639" s="32">
        <f>IF($A639=1,IF($R639=1,"",IF($O639=ST_POST,IF($P639&lt;&gt;"",$P639,"حساب غير صالح أو غير نشط"),IF($O639=ST_REV,"معكوس: لا أثر على الدفاتر",IF($O639=ST_CANC,"ملغى",IF($O639=ST_APPR,"معتمد ولم يُرحَّل","مسودة"))))),"")</f>
        <v/>
      </c>
      <c r="Y639" s="32">
        <f>IF($A639=1,IF(AND($R639=1,OR(LG_Acct="",$G639=LG_Acct),OR(LG_Party="",$K639=LG_Party),OR(LG_Loc="ALL",$I639=LG_Loc),OR(LG_CC="ALL",$J639=LG_CC),$D639&gt;=LG_From,$D639&lt;=LG_To),$D639+ROW()/1000000,""),"")</f>
        <v/>
      </c>
      <c r="Z639" s="32">
        <f>IF($A639=1,IF(Sales_Daily!$T53="","",Sales_Daily!$T53),"")</f>
        <v/>
      </c>
      <c r="AA639" s="32">
        <f>IF($A639=1,IF(Sales_Daily!$U53="","",Sales_Daily!$U53),"")</f>
        <v/>
      </c>
      <c r="AB639" s="32">
        <f>IF($A639=1,IF(Sales_Daily!$V53="","",Sales_Daily!$V53),"")</f>
        <v/>
      </c>
      <c r="AC639" s="32">
        <f>IF($A639=1,IF(Sales_Daily!$W53="","",Sales_Daily!$W53),"")</f>
        <v/>
      </c>
      <c r="AD639" s="32">
        <f>IF($A639=1,IF(Sales_Daily!$X53="","",Sales_Daily!$X53),"")</f>
        <v/>
      </c>
      <c r="AE639" s="32">
        <f>IF($A639=1,0,"")</f>
        <v/>
      </c>
      <c r="AF639" s="32" t="inlineStr"/>
    </row>
    <row r="640">
      <c r="A640" s="32">
        <f>IF(AND(Sales_Daily!$AV53=1,N(Sales_Daily!$AG53)&gt;0),1,0)</f>
        <v/>
      </c>
      <c r="B640" s="32">
        <f>IF($A640=1,$E640&amp;"/12","")</f>
        <v/>
      </c>
      <c r="C640" s="32">
        <f>IF($A640=1,"J-"&amp;Sales_Daily!$A53,"")</f>
        <v/>
      </c>
      <c r="D640" s="33">
        <f>IF($A640=1,Sales_Daily!$B53,"")</f>
        <v/>
      </c>
      <c r="E640" s="32">
        <f>IF($A640=1,IF(Sales_Daily!$A53="","",Sales_Daily!$A53),"")</f>
        <v/>
      </c>
      <c r="F640" s="32">
        <f>IF($A640=1,"SAL","")</f>
        <v/>
      </c>
      <c r="G640" s="32">
        <f>IF($A640=1,IF(Sales_Daily!$AT53="","",Sales_Daily!$AT53),"")</f>
        <v/>
      </c>
      <c r="H640" s="32">
        <f>IF($A640=1,IF(COUNTIF(COA!$A:$A,$G640)=0,"حساب غير معرف",INDEX(COA!$B:$B,MATCH($G640,COA!$A:$A,0))),"")</f>
        <v/>
      </c>
      <c r="I640" s="32">
        <f>IF($A640=1,IF(Sales_Daily!$C53="","",Sales_Daily!$C53),"")</f>
        <v/>
      </c>
      <c r="J640" s="32">
        <f>IF($A640=1,"CC10","")</f>
        <v/>
      </c>
      <c r="K640" s="32">
        <f>IF($A640=1,"-","")</f>
        <v/>
      </c>
      <c r="L640" s="32">
        <f>IF($A640=1,"إيراد مبيعات - فئة أخرى","")</f>
        <v/>
      </c>
      <c r="M640" s="43">
        <f>IF($A640=1,0,"")</f>
        <v/>
      </c>
      <c r="N640" s="43">
        <f>IF($A640=1,Sales_Daily!$AG53,"")</f>
        <v/>
      </c>
      <c r="O640" s="32">
        <f>IF($A640=1,Sales_Daily!$S53,"")</f>
        <v/>
      </c>
      <c r="P640" s="32">
        <f>IF($A640=1,IF(Sales_Daily!$AW53="","",Sales_Daily!$AW53),"")</f>
        <v/>
      </c>
      <c r="Q640" s="32">
        <f>IF($A640=1,Sales_Daily!$AY53,"")</f>
        <v/>
      </c>
      <c r="R640" s="32">
        <f>IF($A640=1,IF(AND($Q640=1,COUNTIFS(COA!$A:$A,$G640,COA!$R:$R,1)=1),1,0),"")</f>
        <v/>
      </c>
      <c r="S640" s="43">
        <f>IF($A640=1,IF($R640=1,N($M640),0),"")</f>
        <v/>
      </c>
      <c r="T640" s="43">
        <f>IF($A640=1,IF($R640=1,N($N640),0),"")</f>
        <v/>
      </c>
      <c r="U640" s="32">
        <f>IF($A640=1,YEAR($D640)*100+MONTH($D640),"")</f>
        <v/>
      </c>
      <c r="V640" s="32">
        <f>IF($A640=1,IF(COUNTIF(COA!$A:$A,$G640)=0,0,INDEX(COA!$H:$H,MATCH($G640,COA!$A:$A,0))),"")</f>
        <v/>
      </c>
      <c r="W640" s="32">
        <f>IF($A640=1,"","")</f>
        <v/>
      </c>
      <c r="X640" s="32">
        <f>IF($A640=1,IF($R640=1,"",IF($O640=ST_POST,IF($P640&lt;&gt;"",$P640,"حساب غير صالح أو غير نشط"),IF($O640=ST_REV,"معكوس: لا أثر على الدفاتر",IF($O640=ST_CANC,"ملغى",IF($O640=ST_APPR,"معتمد ولم يُرحَّل","مسودة"))))),"")</f>
        <v/>
      </c>
      <c r="Y640" s="32">
        <f>IF($A640=1,IF(AND($R640=1,OR(LG_Acct="",$G640=LG_Acct),OR(LG_Party="",$K640=LG_Party),OR(LG_Loc="ALL",$I640=LG_Loc),OR(LG_CC="ALL",$J640=LG_CC),$D640&gt;=LG_From,$D640&lt;=LG_To),$D640+ROW()/1000000,""),"")</f>
        <v/>
      </c>
      <c r="Z640" s="32">
        <f>IF($A640=1,IF(Sales_Daily!$T53="","",Sales_Daily!$T53),"")</f>
        <v/>
      </c>
      <c r="AA640" s="32">
        <f>IF($A640=1,IF(Sales_Daily!$U53="","",Sales_Daily!$U53),"")</f>
        <v/>
      </c>
      <c r="AB640" s="32">
        <f>IF($A640=1,IF(Sales_Daily!$V53="","",Sales_Daily!$V53),"")</f>
        <v/>
      </c>
      <c r="AC640" s="32">
        <f>IF($A640=1,IF(Sales_Daily!$W53="","",Sales_Daily!$W53),"")</f>
        <v/>
      </c>
      <c r="AD640" s="32">
        <f>IF($A640=1,IF(Sales_Daily!$X53="","",Sales_Daily!$X53),"")</f>
        <v/>
      </c>
      <c r="AE640" s="32">
        <f>IF($A640=1,0,"")</f>
        <v/>
      </c>
      <c r="AF640" s="32" t="inlineStr"/>
    </row>
    <row r="641">
      <c r="A641" s="32">
        <f>IF(AND(Sales_Daily!$AV53=1,N(Sales_Daily!$AJ53)&gt;0),1,0)</f>
        <v/>
      </c>
      <c r="B641" s="32">
        <f>IF($A641=1,$E641&amp;"/13","")</f>
        <v/>
      </c>
      <c r="C641" s="32">
        <f>IF($A641=1,"J-"&amp;Sales_Daily!$A53,"")</f>
        <v/>
      </c>
      <c r="D641" s="33">
        <f>IF($A641=1,Sales_Daily!$B53,"")</f>
        <v/>
      </c>
      <c r="E641" s="32">
        <f>IF($A641=1,IF(Sales_Daily!$A53="","",Sales_Daily!$A53),"")</f>
        <v/>
      </c>
      <c r="F641" s="32">
        <f>IF($A641=1,"SAL","")</f>
        <v/>
      </c>
      <c r="G641" s="32">
        <f>IF($A641=1,ACC_VAT_OUT,"")</f>
        <v/>
      </c>
      <c r="H641" s="32">
        <f>IF($A641=1,IF(COUNTIF(COA!$A:$A,$G641)=0,"حساب غير معرف",INDEX(COA!$B:$B,MATCH($G641,COA!$A:$A,0))),"")</f>
        <v/>
      </c>
      <c r="I641" s="32">
        <f>IF($A641=1,IF(Sales_Daily!$C53="","",Sales_Daily!$C53),"")</f>
        <v/>
      </c>
      <c r="J641" s="32">
        <f>IF($A641=1,"CC10","")</f>
        <v/>
      </c>
      <c r="K641" s="32">
        <f>IF($A641=1,"-","")</f>
        <v/>
      </c>
      <c r="L641" s="32">
        <f>IF($A641=1,"ضريبة القيمة المضافة - مخرجات","")</f>
        <v/>
      </c>
      <c r="M641" s="43">
        <f>IF($A641=1,0,"")</f>
        <v/>
      </c>
      <c r="N641" s="43">
        <f>IF($A641=1,Sales_Daily!$AJ53,"")</f>
        <v/>
      </c>
      <c r="O641" s="32">
        <f>IF($A641=1,Sales_Daily!$S53,"")</f>
        <v/>
      </c>
      <c r="P641" s="32">
        <f>IF($A641=1,IF(Sales_Daily!$AW53="","",Sales_Daily!$AW53),"")</f>
        <v/>
      </c>
      <c r="Q641" s="32">
        <f>IF($A641=1,Sales_Daily!$AY53,"")</f>
        <v/>
      </c>
      <c r="R641" s="32">
        <f>IF($A641=1,IF(AND($Q641=1,COUNTIFS(COA!$A:$A,$G641,COA!$R:$R,1)=1),1,0),"")</f>
        <v/>
      </c>
      <c r="S641" s="43">
        <f>IF($A641=1,IF($R641=1,N($M641),0),"")</f>
        <v/>
      </c>
      <c r="T641" s="43">
        <f>IF($A641=1,IF($R641=1,N($N641),0),"")</f>
        <v/>
      </c>
      <c r="U641" s="32">
        <f>IF($A641=1,YEAR($D641)*100+MONTH($D641),"")</f>
        <v/>
      </c>
      <c r="V641" s="32">
        <f>IF($A641=1,IF(COUNTIF(COA!$A:$A,$G641)=0,0,INDEX(COA!$H:$H,MATCH($G641,COA!$A:$A,0))),"")</f>
        <v/>
      </c>
      <c r="W641" s="32">
        <f>IF($A641=1,"","")</f>
        <v/>
      </c>
      <c r="X641" s="32">
        <f>IF($A641=1,IF($R641=1,"",IF($O641=ST_POST,IF($P641&lt;&gt;"",$P641,"حساب غير صالح أو غير نشط"),IF($O641=ST_REV,"معكوس: لا أثر على الدفاتر",IF($O641=ST_CANC,"ملغى",IF($O641=ST_APPR,"معتمد ولم يُرحَّل","مسودة"))))),"")</f>
        <v/>
      </c>
      <c r="Y641" s="32">
        <f>IF($A641=1,IF(AND($R641=1,OR(LG_Acct="",$G641=LG_Acct),OR(LG_Party="",$K641=LG_Party),OR(LG_Loc="ALL",$I641=LG_Loc),OR(LG_CC="ALL",$J641=LG_CC),$D641&gt;=LG_From,$D641&lt;=LG_To),$D641+ROW()/1000000,""),"")</f>
        <v/>
      </c>
      <c r="Z641" s="32">
        <f>IF($A641=1,IF(Sales_Daily!$T53="","",Sales_Daily!$T53),"")</f>
        <v/>
      </c>
      <c r="AA641" s="32">
        <f>IF($A641=1,IF(Sales_Daily!$U53="","",Sales_Daily!$U53),"")</f>
        <v/>
      </c>
      <c r="AB641" s="32">
        <f>IF($A641=1,IF(Sales_Daily!$V53="","",Sales_Daily!$V53),"")</f>
        <v/>
      </c>
      <c r="AC641" s="32">
        <f>IF($A641=1,IF(Sales_Daily!$W53="","",Sales_Daily!$W53),"")</f>
        <v/>
      </c>
      <c r="AD641" s="32">
        <f>IF($A641=1,IF(Sales_Daily!$X53="","",Sales_Daily!$X53),"")</f>
        <v/>
      </c>
      <c r="AE641" s="32">
        <f>IF($A641=1,0,"")</f>
        <v/>
      </c>
      <c r="AF641" s="32" t="inlineStr"/>
    </row>
    <row r="642">
      <c r="A642" s="32">
        <f>IF(AND(Sales_Daily!$AV54=1,N(Sales_Daily!$L54)&gt;0),1,0)</f>
        <v/>
      </c>
      <c r="B642" s="32">
        <f>IF($A642=1,$E642&amp;"/1","")</f>
        <v/>
      </c>
      <c r="C642" s="32">
        <f>IF($A642=1,"J-"&amp;Sales_Daily!$A54,"")</f>
        <v/>
      </c>
      <c r="D642" s="33">
        <f>IF($A642=1,Sales_Daily!$B54,"")</f>
        <v/>
      </c>
      <c r="E642" s="32">
        <f>IF($A642=1,IF(Sales_Daily!$A54="","",Sales_Daily!$A54),"")</f>
        <v/>
      </c>
      <c r="F642" s="32">
        <f>IF($A642=1,"SAL","")</f>
        <v/>
      </c>
      <c r="G642" s="32">
        <f>IF($A642=1,IF(Sales_Daily!$AK54="","",Sales_Daily!$AK54),"")</f>
        <v/>
      </c>
      <c r="H642" s="32">
        <f>IF($A642=1,IF(COUNTIF(COA!$A:$A,$G642)=0,"حساب غير معرف",INDEX(COA!$B:$B,MATCH($G642,COA!$A:$A,0))),"")</f>
        <v/>
      </c>
      <c r="I642" s="32">
        <f>IF($A642=1,IF(Sales_Daily!$C54="","",Sales_Daily!$C54),"")</f>
        <v/>
      </c>
      <c r="J642" s="32">
        <f>IF($A642=1,"CC10","")</f>
        <v/>
      </c>
      <c r="K642" s="32">
        <f>IF($A642=1,"-","")</f>
        <v/>
      </c>
      <c r="L642" s="32">
        <f>IF($A642=1,"مبيعات - تحصيل CASH","")</f>
        <v/>
      </c>
      <c r="M642" s="43">
        <f>IF($A642=1,Sales_Daily!$L54,"")</f>
        <v/>
      </c>
      <c r="N642" s="43">
        <f>IF($A642=1,0,"")</f>
        <v/>
      </c>
      <c r="O642" s="32">
        <f>IF($A642=1,Sales_Daily!$S54,"")</f>
        <v/>
      </c>
      <c r="P642" s="32">
        <f>IF($A642=1,IF(Sales_Daily!$AW54="","",Sales_Daily!$AW54),"")</f>
        <v/>
      </c>
      <c r="Q642" s="32">
        <f>IF($A642=1,Sales_Daily!$AY54,"")</f>
        <v/>
      </c>
      <c r="R642" s="32">
        <f>IF($A642=1,IF(AND($Q642=1,COUNTIFS(COA!$A:$A,$G642,COA!$R:$R,1)=1),1,0),"")</f>
        <v/>
      </c>
      <c r="S642" s="43">
        <f>IF($A642=1,IF($R642=1,N($M642),0),"")</f>
        <v/>
      </c>
      <c r="T642" s="43">
        <f>IF($A642=1,IF($R642=1,N($N642),0),"")</f>
        <v/>
      </c>
      <c r="U642" s="32">
        <f>IF($A642=1,YEAR($D642)*100+MONTH($D642),"")</f>
        <v/>
      </c>
      <c r="V642" s="32">
        <f>IF($A642=1,IF(COUNTIF(COA!$A:$A,$G642)=0,0,INDEX(COA!$H:$H,MATCH($G642,COA!$A:$A,0))),"")</f>
        <v/>
      </c>
      <c r="W642" s="32">
        <f>IF($A642=1,"OPERATING","")</f>
        <v/>
      </c>
      <c r="X642" s="32">
        <f>IF($A642=1,IF($R642=1,"",IF($O642=ST_POST,IF($P642&lt;&gt;"",$P642,"حساب غير صالح أو غير نشط"),IF($O642=ST_REV,"معكوس: لا أثر على الدفاتر",IF($O642=ST_CANC,"ملغى",IF($O642=ST_APPR,"معتمد ولم يُرحَّل","مسودة"))))),"")</f>
        <v/>
      </c>
      <c r="Y642" s="32">
        <f>IF($A642=1,IF(AND($R642=1,OR(LG_Acct="",$G642=LG_Acct),OR(LG_Party="",$K642=LG_Party),OR(LG_Loc="ALL",$I642=LG_Loc),OR(LG_CC="ALL",$J642=LG_CC),$D642&gt;=LG_From,$D642&lt;=LG_To),$D642+ROW()/1000000,""),"")</f>
        <v/>
      </c>
      <c r="Z642" s="32">
        <f>IF($A642=1,IF(Sales_Daily!$T54="","",Sales_Daily!$T54),"")</f>
        <v/>
      </c>
      <c r="AA642" s="32">
        <f>IF($A642=1,IF(Sales_Daily!$U54="","",Sales_Daily!$U54),"")</f>
        <v/>
      </c>
      <c r="AB642" s="32">
        <f>IF($A642=1,IF(Sales_Daily!$V54="","",Sales_Daily!$V54),"")</f>
        <v/>
      </c>
      <c r="AC642" s="32">
        <f>IF($A642=1,IF(Sales_Daily!$W54="","",Sales_Daily!$W54),"")</f>
        <v/>
      </c>
      <c r="AD642" s="32">
        <f>IF($A642=1,IF(Sales_Daily!$X54="","",Sales_Daily!$X54),"")</f>
        <v/>
      </c>
      <c r="AE642" s="32">
        <f>IF($A642=1,0,"")</f>
        <v/>
      </c>
      <c r="AF642" s="32" t="inlineStr"/>
    </row>
    <row r="643">
      <c r="A643" s="32">
        <f>IF(AND(Sales_Daily!$AV54=1,N(Sales_Daily!$M54)&gt;0),1,0)</f>
        <v/>
      </c>
      <c r="B643" s="32">
        <f>IF($A643=1,$E643&amp;"/2","")</f>
        <v/>
      </c>
      <c r="C643" s="32">
        <f>IF($A643=1,"J-"&amp;Sales_Daily!$A54,"")</f>
        <v/>
      </c>
      <c r="D643" s="33">
        <f>IF($A643=1,Sales_Daily!$B54,"")</f>
        <v/>
      </c>
      <c r="E643" s="32">
        <f>IF($A643=1,IF(Sales_Daily!$A54="","",Sales_Daily!$A54),"")</f>
        <v/>
      </c>
      <c r="F643" s="32">
        <f>IF($A643=1,"SAL","")</f>
        <v/>
      </c>
      <c r="G643" s="32">
        <f>IF($A643=1,IF(Sales_Daily!$AL54="","",Sales_Daily!$AL54),"")</f>
        <v/>
      </c>
      <c r="H643" s="32">
        <f>IF($A643=1,IF(COUNTIF(COA!$A:$A,$G643)=0,"حساب غير معرف",INDEX(COA!$B:$B,MATCH($G643,COA!$A:$A,0))),"")</f>
        <v/>
      </c>
      <c r="I643" s="32">
        <f>IF($A643=1,IF(Sales_Daily!$C54="","",Sales_Daily!$C54),"")</f>
        <v/>
      </c>
      <c r="J643" s="32">
        <f>IF($A643=1,"CC10","")</f>
        <v/>
      </c>
      <c r="K643" s="32">
        <f>IF($A643=1,"-","")</f>
        <v/>
      </c>
      <c r="L643" s="32">
        <f>IF($A643=1,"مبيعات - تحصيل CARD","")</f>
        <v/>
      </c>
      <c r="M643" s="43">
        <f>IF($A643=1,Sales_Daily!$M54,"")</f>
        <v/>
      </c>
      <c r="N643" s="43">
        <f>IF($A643=1,0,"")</f>
        <v/>
      </c>
      <c r="O643" s="32">
        <f>IF($A643=1,Sales_Daily!$S54,"")</f>
        <v/>
      </c>
      <c r="P643" s="32">
        <f>IF($A643=1,IF(Sales_Daily!$AW54="","",Sales_Daily!$AW54),"")</f>
        <v/>
      </c>
      <c r="Q643" s="32">
        <f>IF($A643=1,Sales_Daily!$AY54,"")</f>
        <v/>
      </c>
      <c r="R643" s="32">
        <f>IF($A643=1,IF(AND($Q643=1,COUNTIFS(COA!$A:$A,$G643,COA!$R:$R,1)=1),1,0),"")</f>
        <v/>
      </c>
      <c r="S643" s="43">
        <f>IF($A643=1,IF($R643=1,N($M643),0),"")</f>
        <v/>
      </c>
      <c r="T643" s="43">
        <f>IF($A643=1,IF($R643=1,N($N643),0),"")</f>
        <v/>
      </c>
      <c r="U643" s="32">
        <f>IF($A643=1,YEAR($D643)*100+MONTH($D643),"")</f>
        <v/>
      </c>
      <c r="V643" s="32">
        <f>IF($A643=1,IF(COUNTIF(COA!$A:$A,$G643)=0,0,INDEX(COA!$H:$H,MATCH($G643,COA!$A:$A,0))),"")</f>
        <v/>
      </c>
      <c r="W643" s="32">
        <f>IF($A643=1,"OPERATING","")</f>
        <v/>
      </c>
      <c r="X643" s="32">
        <f>IF($A643=1,IF($R643=1,"",IF($O643=ST_POST,IF($P643&lt;&gt;"",$P643,"حساب غير صالح أو غير نشط"),IF($O643=ST_REV,"معكوس: لا أثر على الدفاتر",IF($O643=ST_CANC,"ملغى",IF($O643=ST_APPR,"معتمد ولم يُرحَّل","مسودة"))))),"")</f>
        <v/>
      </c>
      <c r="Y643" s="32">
        <f>IF($A643=1,IF(AND($R643=1,OR(LG_Acct="",$G643=LG_Acct),OR(LG_Party="",$K643=LG_Party),OR(LG_Loc="ALL",$I643=LG_Loc),OR(LG_CC="ALL",$J643=LG_CC),$D643&gt;=LG_From,$D643&lt;=LG_To),$D643+ROW()/1000000,""),"")</f>
        <v/>
      </c>
      <c r="Z643" s="32">
        <f>IF($A643=1,IF(Sales_Daily!$T54="","",Sales_Daily!$T54),"")</f>
        <v/>
      </c>
      <c r="AA643" s="32">
        <f>IF($A643=1,IF(Sales_Daily!$U54="","",Sales_Daily!$U54),"")</f>
        <v/>
      </c>
      <c r="AB643" s="32">
        <f>IF($A643=1,IF(Sales_Daily!$V54="","",Sales_Daily!$V54),"")</f>
        <v/>
      </c>
      <c r="AC643" s="32">
        <f>IF($A643=1,IF(Sales_Daily!$W54="","",Sales_Daily!$W54),"")</f>
        <v/>
      </c>
      <c r="AD643" s="32">
        <f>IF($A643=1,IF(Sales_Daily!$X54="","",Sales_Daily!$X54),"")</f>
        <v/>
      </c>
      <c r="AE643" s="32">
        <f>IF($A643=1,0,"")</f>
        <v/>
      </c>
      <c r="AF643" s="32" t="inlineStr"/>
    </row>
    <row r="644">
      <c r="A644" s="32">
        <f>IF(AND(Sales_Daily!$AV54=1,N(Sales_Daily!$N54)&gt;0),1,0)</f>
        <v/>
      </c>
      <c r="B644" s="32">
        <f>IF($A644=1,$E644&amp;"/3","")</f>
        <v/>
      </c>
      <c r="C644" s="32">
        <f>IF($A644=1,"J-"&amp;Sales_Daily!$A54,"")</f>
        <v/>
      </c>
      <c r="D644" s="33">
        <f>IF($A644=1,Sales_Daily!$B54,"")</f>
        <v/>
      </c>
      <c r="E644" s="32">
        <f>IF($A644=1,IF(Sales_Daily!$A54="","",Sales_Daily!$A54),"")</f>
        <v/>
      </c>
      <c r="F644" s="32">
        <f>IF($A644=1,"SAL","")</f>
        <v/>
      </c>
      <c r="G644" s="32">
        <f>IF($A644=1,IF(Sales_Daily!$AM54="","",Sales_Daily!$AM54),"")</f>
        <v/>
      </c>
      <c r="H644" s="32">
        <f>IF($A644=1,IF(COUNTIF(COA!$A:$A,$G644)=0,"حساب غير معرف",INDEX(COA!$B:$B,MATCH($G644,COA!$A:$A,0))),"")</f>
        <v/>
      </c>
      <c r="I644" s="32">
        <f>IF($A644=1,IF(Sales_Daily!$C54="","",Sales_Daily!$C54),"")</f>
        <v/>
      </c>
      <c r="J644" s="32">
        <f>IF($A644=1,"CC10","")</f>
        <v/>
      </c>
      <c r="K644" s="32">
        <f>IF($A644=1,"-","")</f>
        <v/>
      </c>
      <c r="L644" s="32">
        <f>IF($A644=1,"مبيعات - تحصيل TLB","")</f>
        <v/>
      </c>
      <c r="M644" s="43">
        <f>IF($A644=1,Sales_Daily!$N54,"")</f>
        <v/>
      </c>
      <c r="N644" s="43">
        <f>IF($A644=1,0,"")</f>
        <v/>
      </c>
      <c r="O644" s="32">
        <f>IF($A644=1,Sales_Daily!$S54,"")</f>
        <v/>
      </c>
      <c r="P644" s="32">
        <f>IF($A644=1,IF(Sales_Daily!$AW54="","",Sales_Daily!$AW54),"")</f>
        <v/>
      </c>
      <c r="Q644" s="32">
        <f>IF($A644=1,Sales_Daily!$AY54,"")</f>
        <v/>
      </c>
      <c r="R644" s="32">
        <f>IF($A644=1,IF(AND($Q644=1,COUNTIFS(COA!$A:$A,$G644,COA!$R:$R,1)=1),1,0),"")</f>
        <v/>
      </c>
      <c r="S644" s="43">
        <f>IF($A644=1,IF($R644=1,N($M644),0),"")</f>
        <v/>
      </c>
      <c r="T644" s="43">
        <f>IF($A644=1,IF($R644=1,N($N644),0),"")</f>
        <v/>
      </c>
      <c r="U644" s="32">
        <f>IF($A644=1,YEAR($D644)*100+MONTH($D644),"")</f>
        <v/>
      </c>
      <c r="V644" s="32">
        <f>IF($A644=1,IF(COUNTIF(COA!$A:$A,$G644)=0,0,INDEX(COA!$H:$H,MATCH($G644,COA!$A:$A,0))),"")</f>
        <v/>
      </c>
      <c r="W644" s="32">
        <f>IF($A644=1,"OPERATING","")</f>
        <v/>
      </c>
      <c r="X644" s="32">
        <f>IF($A644=1,IF($R644=1,"",IF($O644=ST_POST,IF($P644&lt;&gt;"",$P644,"حساب غير صالح أو غير نشط"),IF($O644=ST_REV,"معكوس: لا أثر على الدفاتر",IF($O644=ST_CANC,"ملغى",IF($O644=ST_APPR,"معتمد ولم يُرحَّل","مسودة"))))),"")</f>
        <v/>
      </c>
      <c r="Y644" s="32">
        <f>IF($A644=1,IF(AND($R644=1,OR(LG_Acct="",$G644=LG_Acct),OR(LG_Party="",$K644=LG_Party),OR(LG_Loc="ALL",$I644=LG_Loc),OR(LG_CC="ALL",$J644=LG_CC),$D644&gt;=LG_From,$D644&lt;=LG_To),$D644+ROW()/1000000,""),"")</f>
        <v/>
      </c>
      <c r="Z644" s="32">
        <f>IF($A644=1,IF(Sales_Daily!$T54="","",Sales_Daily!$T54),"")</f>
        <v/>
      </c>
      <c r="AA644" s="32">
        <f>IF($A644=1,IF(Sales_Daily!$U54="","",Sales_Daily!$U54),"")</f>
        <v/>
      </c>
      <c r="AB644" s="32">
        <f>IF($A644=1,IF(Sales_Daily!$V54="","",Sales_Daily!$V54),"")</f>
        <v/>
      </c>
      <c r="AC644" s="32">
        <f>IF($A644=1,IF(Sales_Daily!$W54="","",Sales_Daily!$W54),"")</f>
        <v/>
      </c>
      <c r="AD644" s="32">
        <f>IF($A644=1,IF(Sales_Daily!$X54="","",Sales_Daily!$X54),"")</f>
        <v/>
      </c>
      <c r="AE644" s="32">
        <f>IF($A644=1,0,"")</f>
        <v/>
      </c>
      <c r="AF644" s="32" t="inlineStr"/>
    </row>
    <row r="645">
      <c r="A645" s="32">
        <f>IF(AND(Sales_Daily!$AV54=1,N(Sales_Daily!$O54)&gt;0),1,0)</f>
        <v/>
      </c>
      <c r="B645" s="32">
        <f>IF($A645=1,$E645&amp;"/4","")</f>
        <v/>
      </c>
      <c r="C645" s="32">
        <f>IF($A645=1,"J-"&amp;Sales_Daily!$A54,"")</f>
        <v/>
      </c>
      <c r="D645" s="33">
        <f>IF($A645=1,Sales_Daily!$B54,"")</f>
        <v/>
      </c>
      <c r="E645" s="32">
        <f>IF($A645=1,IF(Sales_Daily!$A54="","",Sales_Daily!$A54),"")</f>
        <v/>
      </c>
      <c r="F645" s="32">
        <f>IF($A645=1,"SAL","")</f>
        <v/>
      </c>
      <c r="G645" s="32">
        <f>IF($A645=1,IF(Sales_Daily!$AN54="","",Sales_Daily!$AN54),"")</f>
        <v/>
      </c>
      <c r="H645" s="32">
        <f>IF($A645=1,IF(COUNTIF(COA!$A:$A,$G645)=0,"حساب غير معرف",INDEX(COA!$B:$B,MATCH($G645,COA!$A:$A,0))),"")</f>
        <v/>
      </c>
      <c r="I645" s="32">
        <f>IF($A645=1,IF(Sales_Daily!$C54="","",Sales_Daily!$C54),"")</f>
        <v/>
      </c>
      <c r="J645" s="32">
        <f>IF($A645=1,"CC10","")</f>
        <v/>
      </c>
      <c r="K645" s="32">
        <f>IF($A645=1,"-","")</f>
        <v/>
      </c>
      <c r="L645" s="32">
        <f>IF($A645=1,"مبيعات - تحصيل DLV2","")</f>
        <v/>
      </c>
      <c r="M645" s="43">
        <f>IF($A645=1,Sales_Daily!$O54,"")</f>
        <v/>
      </c>
      <c r="N645" s="43">
        <f>IF($A645=1,0,"")</f>
        <v/>
      </c>
      <c r="O645" s="32">
        <f>IF($A645=1,Sales_Daily!$S54,"")</f>
        <v/>
      </c>
      <c r="P645" s="32">
        <f>IF($A645=1,IF(Sales_Daily!$AW54="","",Sales_Daily!$AW54),"")</f>
        <v/>
      </c>
      <c r="Q645" s="32">
        <f>IF($A645=1,Sales_Daily!$AY54,"")</f>
        <v/>
      </c>
      <c r="R645" s="32">
        <f>IF($A645=1,IF(AND($Q645=1,COUNTIFS(COA!$A:$A,$G645,COA!$R:$R,1)=1),1,0),"")</f>
        <v/>
      </c>
      <c r="S645" s="43">
        <f>IF($A645=1,IF($R645=1,N($M645),0),"")</f>
        <v/>
      </c>
      <c r="T645" s="43">
        <f>IF($A645=1,IF($R645=1,N($N645),0),"")</f>
        <v/>
      </c>
      <c r="U645" s="32">
        <f>IF($A645=1,YEAR($D645)*100+MONTH($D645),"")</f>
        <v/>
      </c>
      <c r="V645" s="32">
        <f>IF($A645=1,IF(COUNTIF(COA!$A:$A,$G645)=0,0,INDEX(COA!$H:$H,MATCH($G645,COA!$A:$A,0))),"")</f>
        <v/>
      </c>
      <c r="W645" s="32">
        <f>IF($A645=1,"OPERATING","")</f>
        <v/>
      </c>
      <c r="X645" s="32">
        <f>IF($A645=1,IF($R645=1,"",IF($O645=ST_POST,IF($P645&lt;&gt;"",$P645,"حساب غير صالح أو غير نشط"),IF($O645=ST_REV,"معكوس: لا أثر على الدفاتر",IF($O645=ST_CANC,"ملغى",IF($O645=ST_APPR,"معتمد ولم يُرحَّل","مسودة"))))),"")</f>
        <v/>
      </c>
      <c r="Y645" s="32">
        <f>IF($A645=1,IF(AND($R645=1,OR(LG_Acct="",$G645=LG_Acct),OR(LG_Party="",$K645=LG_Party),OR(LG_Loc="ALL",$I645=LG_Loc),OR(LG_CC="ALL",$J645=LG_CC),$D645&gt;=LG_From,$D645&lt;=LG_To),$D645+ROW()/1000000,""),"")</f>
        <v/>
      </c>
      <c r="Z645" s="32">
        <f>IF($A645=1,IF(Sales_Daily!$T54="","",Sales_Daily!$T54),"")</f>
        <v/>
      </c>
      <c r="AA645" s="32">
        <f>IF($A645=1,IF(Sales_Daily!$U54="","",Sales_Daily!$U54),"")</f>
        <v/>
      </c>
      <c r="AB645" s="32">
        <f>IF($A645=1,IF(Sales_Daily!$V54="","",Sales_Daily!$V54),"")</f>
        <v/>
      </c>
      <c r="AC645" s="32">
        <f>IF($A645=1,IF(Sales_Daily!$W54="","",Sales_Daily!$W54),"")</f>
        <v/>
      </c>
      <c r="AD645" s="32">
        <f>IF($A645=1,IF(Sales_Daily!$X54="","",Sales_Daily!$X54),"")</f>
        <v/>
      </c>
      <c r="AE645" s="32">
        <f>IF($A645=1,0,"")</f>
        <v/>
      </c>
      <c r="AF645" s="32" t="inlineStr"/>
    </row>
    <row r="646">
      <c r="A646" s="32">
        <f>IF(AND(Sales_Daily!$AV54=1,N(Sales_Daily!$P54)&gt;0),1,0)</f>
        <v/>
      </c>
      <c r="B646" s="32">
        <f>IF($A646=1,$E646&amp;"/5","")</f>
        <v/>
      </c>
      <c r="C646" s="32">
        <f>IF($A646=1,"J-"&amp;Sales_Daily!$A54,"")</f>
        <v/>
      </c>
      <c r="D646" s="33">
        <f>IF($A646=1,Sales_Daily!$B54,"")</f>
        <v/>
      </c>
      <c r="E646" s="32">
        <f>IF($A646=1,IF(Sales_Daily!$A54="","",Sales_Daily!$A54),"")</f>
        <v/>
      </c>
      <c r="F646" s="32">
        <f>IF($A646=1,"SAL","")</f>
        <v/>
      </c>
      <c r="G646" s="32">
        <f>IF($A646=1,IF(Sales_Daily!$AO54="","",Sales_Daily!$AO54),"")</f>
        <v/>
      </c>
      <c r="H646" s="32">
        <f>IF($A646=1,IF(COUNTIF(COA!$A:$A,$G646)=0,"حساب غير معرف",INDEX(COA!$B:$B,MATCH($G646,COA!$A:$A,0))),"")</f>
        <v/>
      </c>
      <c r="I646" s="32">
        <f>IF($A646=1,IF(Sales_Daily!$C54="","",Sales_Daily!$C54),"")</f>
        <v/>
      </c>
      <c r="J646" s="32">
        <f>IF($A646=1,"CC10","")</f>
        <v/>
      </c>
      <c r="K646" s="32">
        <f>IF($A646=1,"-","")</f>
        <v/>
      </c>
      <c r="L646" s="32">
        <f>IF($A646=1,"مبيعات - تحصيل INSTA","")</f>
        <v/>
      </c>
      <c r="M646" s="43">
        <f>IF($A646=1,Sales_Daily!$P54,"")</f>
        <v/>
      </c>
      <c r="N646" s="43">
        <f>IF($A646=1,0,"")</f>
        <v/>
      </c>
      <c r="O646" s="32">
        <f>IF($A646=1,Sales_Daily!$S54,"")</f>
        <v/>
      </c>
      <c r="P646" s="32">
        <f>IF($A646=1,IF(Sales_Daily!$AW54="","",Sales_Daily!$AW54),"")</f>
        <v/>
      </c>
      <c r="Q646" s="32">
        <f>IF($A646=1,Sales_Daily!$AY54,"")</f>
        <v/>
      </c>
      <c r="R646" s="32">
        <f>IF($A646=1,IF(AND($Q646=1,COUNTIFS(COA!$A:$A,$G646,COA!$R:$R,1)=1),1,0),"")</f>
        <v/>
      </c>
      <c r="S646" s="43">
        <f>IF($A646=1,IF($R646=1,N($M646),0),"")</f>
        <v/>
      </c>
      <c r="T646" s="43">
        <f>IF($A646=1,IF($R646=1,N($N646),0),"")</f>
        <v/>
      </c>
      <c r="U646" s="32">
        <f>IF($A646=1,YEAR($D646)*100+MONTH($D646),"")</f>
        <v/>
      </c>
      <c r="V646" s="32">
        <f>IF($A646=1,IF(COUNTIF(COA!$A:$A,$G646)=0,0,INDEX(COA!$H:$H,MATCH($G646,COA!$A:$A,0))),"")</f>
        <v/>
      </c>
      <c r="W646" s="32">
        <f>IF($A646=1,"OPERATING","")</f>
        <v/>
      </c>
      <c r="X646" s="32">
        <f>IF($A646=1,IF($R646=1,"",IF($O646=ST_POST,IF($P646&lt;&gt;"",$P646,"حساب غير صالح أو غير نشط"),IF($O646=ST_REV,"معكوس: لا أثر على الدفاتر",IF($O646=ST_CANC,"ملغى",IF($O646=ST_APPR,"معتمد ولم يُرحَّل","مسودة"))))),"")</f>
        <v/>
      </c>
      <c r="Y646" s="32">
        <f>IF($A646=1,IF(AND($R646=1,OR(LG_Acct="",$G646=LG_Acct),OR(LG_Party="",$K646=LG_Party),OR(LG_Loc="ALL",$I646=LG_Loc),OR(LG_CC="ALL",$J646=LG_CC),$D646&gt;=LG_From,$D646&lt;=LG_To),$D646+ROW()/1000000,""),"")</f>
        <v/>
      </c>
      <c r="Z646" s="32">
        <f>IF($A646=1,IF(Sales_Daily!$T54="","",Sales_Daily!$T54),"")</f>
        <v/>
      </c>
      <c r="AA646" s="32">
        <f>IF($A646=1,IF(Sales_Daily!$U54="","",Sales_Daily!$U54),"")</f>
        <v/>
      </c>
      <c r="AB646" s="32">
        <f>IF($A646=1,IF(Sales_Daily!$V54="","",Sales_Daily!$V54),"")</f>
        <v/>
      </c>
      <c r="AC646" s="32">
        <f>IF($A646=1,IF(Sales_Daily!$W54="","",Sales_Daily!$W54),"")</f>
        <v/>
      </c>
      <c r="AD646" s="32">
        <f>IF($A646=1,IF(Sales_Daily!$X54="","",Sales_Daily!$X54),"")</f>
        <v/>
      </c>
      <c r="AE646" s="32">
        <f>IF($A646=1,0,"")</f>
        <v/>
      </c>
      <c r="AF646" s="32" t="inlineStr"/>
    </row>
    <row r="647">
      <c r="A647" s="32">
        <f>IF(AND(Sales_Daily!$AV54=1,N(Sales_Daily!$Q54)&gt;0),1,0)</f>
        <v/>
      </c>
      <c r="B647" s="32">
        <f>IF($A647=1,$E647&amp;"/6","")</f>
        <v/>
      </c>
      <c r="C647" s="32">
        <f>IF($A647=1,"J-"&amp;Sales_Daily!$A54,"")</f>
        <v/>
      </c>
      <c r="D647" s="33">
        <f>IF($A647=1,Sales_Daily!$B54,"")</f>
        <v/>
      </c>
      <c r="E647" s="32">
        <f>IF($A647=1,IF(Sales_Daily!$A54="","",Sales_Daily!$A54),"")</f>
        <v/>
      </c>
      <c r="F647" s="32">
        <f>IF($A647=1,"SAL","")</f>
        <v/>
      </c>
      <c r="G647" s="32">
        <f>IF($A647=1,IF(Sales_Daily!$AP54="","",Sales_Daily!$AP54),"")</f>
        <v/>
      </c>
      <c r="H647" s="32">
        <f>IF($A647=1,IF(COUNTIF(COA!$A:$A,$G647)=0,"حساب غير معرف",INDEX(COA!$B:$B,MATCH($G647,COA!$A:$A,0))),"")</f>
        <v/>
      </c>
      <c r="I647" s="32">
        <f>IF($A647=1,IF(Sales_Daily!$C54="","",Sales_Daily!$C54),"")</f>
        <v/>
      </c>
      <c r="J647" s="32">
        <f>IF($A647=1,"CC10","")</f>
        <v/>
      </c>
      <c r="K647" s="32">
        <f>IF($A647=1,"-","")</f>
        <v/>
      </c>
      <c r="L647" s="32">
        <f>IF($A647=1,"مبيعات - تحصيل OTH","")</f>
        <v/>
      </c>
      <c r="M647" s="43">
        <f>IF($A647=1,Sales_Daily!$Q54,"")</f>
        <v/>
      </c>
      <c r="N647" s="43">
        <f>IF($A647=1,0,"")</f>
        <v/>
      </c>
      <c r="O647" s="32">
        <f>IF($A647=1,Sales_Daily!$S54,"")</f>
        <v/>
      </c>
      <c r="P647" s="32">
        <f>IF($A647=1,IF(Sales_Daily!$AW54="","",Sales_Daily!$AW54),"")</f>
        <v/>
      </c>
      <c r="Q647" s="32">
        <f>IF($A647=1,Sales_Daily!$AY54,"")</f>
        <v/>
      </c>
      <c r="R647" s="32">
        <f>IF($A647=1,IF(AND($Q647=1,COUNTIFS(COA!$A:$A,$G647,COA!$R:$R,1)=1),1,0),"")</f>
        <v/>
      </c>
      <c r="S647" s="43">
        <f>IF($A647=1,IF($R647=1,N($M647),0),"")</f>
        <v/>
      </c>
      <c r="T647" s="43">
        <f>IF($A647=1,IF($R647=1,N($N647),0),"")</f>
        <v/>
      </c>
      <c r="U647" s="32">
        <f>IF($A647=1,YEAR($D647)*100+MONTH($D647),"")</f>
        <v/>
      </c>
      <c r="V647" s="32">
        <f>IF($A647=1,IF(COUNTIF(COA!$A:$A,$G647)=0,0,INDEX(COA!$H:$H,MATCH($G647,COA!$A:$A,0))),"")</f>
        <v/>
      </c>
      <c r="W647" s="32">
        <f>IF($A647=1,"OPERATING","")</f>
        <v/>
      </c>
      <c r="X647" s="32">
        <f>IF($A647=1,IF($R647=1,"",IF($O647=ST_POST,IF($P647&lt;&gt;"",$P647,"حساب غير صالح أو غير نشط"),IF($O647=ST_REV,"معكوس: لا أثر على الدفاتر",IF($O647=ST_CANC,"ملغى",IF($O647=ST_APPR,"معتمد ولم يُرحَّل","مسودة"))))),"")</f>
        <v/>
      </c>
      <c r="Y647" s="32">
        <f>IF($A647=1,IF(AND($R647=1,OR(LG_Acct="",$G647=LG_Acct),OR(LG_Party="",$K647=LG_Party),OR(LG_Loc="ALL",$I647=LG_Loc),OR(LG_CC="ALL",$J647=LG_CC),$D647&gt;=LG_From,$D647&lt;=LG_To),$D647+ROW()/1000000,""),"")</f>
        <v/>
      </c>
      <c r="Z647" s="32">
        <f>IF($A647=1,IF(Sales_Daily!$T54="","",Sales_Daily!$T54),"")</f>
        <v/>
      </c>
      <c r="AA647" s="32">
        <f>IF($A647=1,IF(Sales_Daily!$U54="","",Sales_Daily!$U54),"")</f>
        <v/>
      </c>
      <c r="AB647" s="32">
        <f>IF($A647=1,IF(Sales_Daily!$V54="","",Sales_Daily!$V54),"")</f>
        <v/>
      </c>
      <c r="AC647" s="32">
        <f>IF($A647=1,IF(Sales_Daily!$W54="","",Sales_Daily!$W54),"")</f>
        <v/>
      </c>
      <c r="AD647" s="32">
        <f>IF($A647=1,IF(Sales_Daily!$X54="","",Sales_Daily!$X54),"")</f>
        <v/>
      </c>
      <c r="AE647" s="32">
        <f>IF($A647=1,0,"")</f>
        <v/>
      </c>
      <c r="AF647" s="32" t="inlineStr"/>
    </row>
    <row r="648">
      <c r="A648" s="32">
        <f>IF(AND(Sales_Daily!$AV54=1,N(Sales_Daily!$AH54)&gt;0),1,0)</f>
        <v/>
      </c>
      <c r="B648" s="32">
        <f>IF($A648=1,$E648&amp;"/7","")</f>
        <v/>
      </c>
      <c r="C648" s="32">
        <f>IF($A648=1,"J-"&amp;Sales_Daily!$A54,"")</f>
        <v/>
      </c>
      <c r="D648" s="33">
        <f>IF($A648=1,Sales_Daily!$B54,"")</f>
        <v/>
      </c>
      <c r="E648" s="32">
        <f>IF($A648=1,IF(Sales_Daily!$A54="","",Sales_Daily!$A54),"")</f>
        <v/>
      </c>
      <c r="F648" s="32">
        <f>IF($A648=1,"SAL","")</f>
        <v/>
      </c>
      <c r="G648" s="32">
        <f>IF($A648=1,ACC_DISC,"")</f>
        <v/>
      </c>
      <c r="H648" s="32">
        <f>IF($A648=1,IF(COUNTIF(COA!$A:$A,$G648)=0,"حساب غير معرف",INDEX(COA!$B:$B,MATCH($G648,COA!$A:$A,0))),"")</f>
        <v/>
      </c>
      <c r="I648" s="32">
        <f>IF($A648=1,IF(Sales_Daily!$C54="","",Sales_Daily!$C54),"")</f>
        <v/>
      </c>
      <c r="J648" s="32">
        <f>IF($A648=1,"CC10","")</f>
        <v/>
      </c>
      <c r="K648" s="32">
        <f>IF($A648=1,"-","")</f>
        <v/>
      </c>
      <c r="L648" s="32">
        <f>IF($A648=1,"خصومات المبيعات والعروض","")</f>
        <v/>
      </c>
      <c r="M648" s="43">
        <f>IF($A648=1,Sales_Daily!$AH54,"")</f>
        <v/>
      </c>
      <c r="N648" s="43">
        <f>IF($A648=1,0,"")</f>
        <v/>
      </c>
      <c r="O648" s="32">
        <f>IF($A648=1,Sales_Daily!$S54,"")</f>
        <v/>
      </c>
      <c r="P648" s="32">
        <f>IF($A648=1,IF(Sales_Daily!$AW54="","",Sales_Daily!$AW54),"")</f>
        <v/>
      </c>
      <c r="Q648" s="32">
        <f>IF($A648=1,Sales_Daily!$AY54,"")</f>
        <v/>
      </c>
      <c r="R648" s="32">
        <f>IF($A648=1,IF(AND($Q648=1,COUNTIFS(COA!$A:$A,$G648,COA!$R:$R,1)=1),1,0),"")</f>
        <v/>
      </c>
      <c r="S648" s="43">
        <f>IF($A648=1,IF($R648=1,N($M648),0),"")</f>
        <v/>
      </c>
      <c r="T648" s="43">
        <f>IF($A648=1,IF($R648=1,N($N648),0),"")</f>
        <v/>
      </c>
      <c r="U648" s="32">
        <f>IF($A648=1,YEAR($D648)*100+MONTH($D648),"")</f>
        <v/>
      </c>
      <c r="V648" s="32">
        <f>IF($A648=1,IF(COUNTIF(COA!$A:$A,$G648)=0,0,INDEX(COA!$H:$H,MATCH($G648,COA!$A:$A,0))),"")</f>
        <v/>
      </c>
      <c r="W648" s="32">
        <f>IF($A648=1,"","")</f>
        <v/>
      </c>
      <c r="X648" s="32">
        <f>IF($A648=1,IF($R648=1,"",IF($O648=ST_POST,IF($P648&lt;&gt;"",$P648,"حساب غير صالح أو غير نشط"),IF($O648=ST_REV,"معكوس: لا أثر على الدفاتر",IF($O648=ST_CANC,"ملغى",IF($O648=ST_APPR,"معتمد ولم يُرحَّل","مسودة"))))),"")</f>
        <v/>
      </c>
      <c r="Y648" s="32">
        <f>IF($A648=1,IF(AND($R648=1,OR(LG_Acct="",$G648=LG_Acct),OR(LG_Party="",$K648=LG_Party),OR(LG_Loc="ALL",$I648=LG_Loc),OR(LG_CC="ALL",$J648=LG_CC),$D648&gt;=LG_From,$D648&lt;=LG_To),$D648+ROW()/1000000,""),"")</f>
        <v/>
      </c>
      <c r="Z648" s="32">
        <f>IF($A648=1,IF(Sales_Daily!$T54="","",Sales_Daily!$T54),"")</f>
        <v/>
      </c>
      <c r="AA648" s="32">
        <f>IF($A648=1,IF(Sales_Daily!$U54="","",Sales_Daily!$U54),"")</f>
        <v/>
      </c>
      <c r="AB648" s="32">
        <f>IF($A648=1,IF(Sales_Daily!$V54="","",Sales_Daily!$V54),"")</f>
        <v/>
      </c>
      <c r="AC648" s="32">
        <f>IF($A648=1,IF(Sales_Daily!$W54="","",Sales_Daily!$W54),"")</f>
        <v/>
      </c>
      <c r="AD648" s="32">
        <f>IF($A648=1,IF(Sales_Daily!$X54="","",Sales_Daily!$X54),"")</f>
        <v/>
      </c>
      <c r="AE648" s="32">
        <f>IF($A648=1,0,"")</f>
        <v/>
      </c>
      <c r="AF648" s="32" t="inlineStr"/>
    </row>
    <row r="649">
      <c r="A649" s="32">
        <f>IF(AND(Sales_Daily!$AV54=1,N(Sales_Daily!$AI54)&gt;0),1,0)</f>
        <v/>
      </c>
      <c r="B649" s="32">
        <f>IF($A649=1,$E649&amp;"/8","")</f>
        <v/>
      </c>
      <c r="C649" s="32">
        <f>IF($A649=1,"J-"&amp;Sales_Daily!$A54,"")</f>
        <v/>
      </c>
      <c r="D649" s="33">
        <f>IF($A649=1,Sales_Daily!$B54,"")</f>
        <v/>
      </c>
      <c r="E649" s="32">
        <f>IF($A649=1,IF(Sales_Daily!$A54="","",Sales_Daily!$A54),"")</f>
        <v/>
      </c>
      <c r="F649" s="32">
        <f>IF($A649=1,"SAL","")</f>
        <v/>
      </c>
      <c r="G649" s="32">
        <f>IF($A649=1,ACC_RET,"")</f>
        <v/>
      </c>
      <c r="H649" s="32">
        <f>IF($A649=1,IF(COUNTIF(COA!$A:$A,$G649)=0,"حساب غير معرف",INDEX(COA!$B:$B,MATCH($G649,COA!$A:$A,0))),"")</f>
        <v/>
      </c>
      <c r="I649" s="32">
        <f>IF($A649=1,IF(Sales_Daily!$C54="","",Sales_Daily!$C54),"")</f>
        <v/>
      </c>
      <c r="J649" s="32">
        <f>IF($A649=1,"CC10","")</f>
        <v/>
      </c>
      <c r="K649" s="32">
        <f>IF($A649=1,"-","")</f>
        <v/>
      </c>
      <c r="L649" s="32">
        <f>IF($A649=1,"مرتجعات وإلغاءات المبيعات","")</f>
        <v/>
      </c>
      <c r="M649" s="43">
        <f>IF($A649=1,Sales_Daily!$AI54,"")</f>
        <v/>
      </c>
      <c r="N649" s="43">
        <f>IF($A649=1,0,"")</f>
        <v/>
      </c>
      <c r="O649" s="32">
        <f>IF($A649=1,Sales_Daily!$S54,"")</f>
        <v/>
      </c>
      <c r="P649" s="32">
        <f>IF($A649=1,IF(Sales_Daily!$AW54="","",Sales_Daily!$AW54),"")</f>
        <v/>
      </c>
      <c r="Q649" s="32">
        <f>IF($A649=1,Sales_Daily!$AY54,"")</f>
        <v/>
      </c>
      <c r="R649" s="32">
        <f>IF($A649=1,IF(AND($Q649=1,COUNTIFS(COA!$A:$A,$G649,COA!$R:$R,1)=1),1,0),"")</f>
        <v/>
      </c>
      <c r="S649" s="43">
        <f>IF($A649=1,IF($R649=1,N($M649),0),"")</f>
        <v/>
      </c>
      <c r="T649" s="43">
        <f>IF($A649=1,IF($R649=1,N($N649),0),"")</f>
        <v/>
      </c>
      <c r="U649" s="32">
        <f>IF($A649=1,YEAR($D649)*100+MONTH($D649),"")</f>
        <v/>
      </c>
      <c r="V649" s="32">
        <f>IF($A649=1,IF(COUNTIF(COA!$A:$A,$G649)=0,0,INDEX(COA!$H:$H,MATCH($G649,COA!$A:$A,0))),"")</f>
        <v/>
      </c>
      <c r="W649" s="32">
        <f>IF($A649=1,"","")</f>
        <v/>
      </c>
      <c r="X649" s="32">
        <f>IF($A649=1,IF($R649=1,"",IF($O649=ST_POST,IF($P649&lt;&gt;"",$P649,"حساب غير صالح أو غير نشط"),IF($O649=ST_REV,"معكوس: لا أثر على الدفاتر",IF($O649=ST_CANC,"ملغى",IF($O649=ST_APPR,"معتمد ولم يُرحَّل","مسودة"))))),"")</f>
        <v/>
      </c>
      <c r="Y649" s="32">
        <f>IF($A649=1,IF(AND($R649=1,OR(LG_Acct="",$G649=LG_Acct),OR(LG_Party="",$K649=LG_Party),OR(LG_Loc="ALL",$I649=LG_Loc),OR(LG_CC="ALL",$J649=LG_CC),$D649&gt;=LG_From,$D649&lt;=LG_To),$D649+ROW()/1000000,""),"")</f>
        <v/>
      </c>
      <c r="Z649" s="32">
        <f>IF($A649=1,IF(Sales_Daily!$T54="","",Sales_Daily!$T54),"")</f>
        <v/>
      </c>
      <c r="AA649" s="32">
        <f>IF($A649=1,IF(Sales_Daily!$U54="","",Sales_Daily!$U54),"")</f>
        <v/>
      </c>
      <c r="AB649" s="32">
        <f>IF($A649=1,IF(Sales_Daily!$V54="","",Sales_Daily!$V54),"")</f>
        <v/>
      </c>
      <c r="AC649" s="32">
        <f>IF($A649=1,IF(Sales_Daily!$W54="","",Sales_Daily!$W54),"")</f>
        <v/>
      </c>
      <c r="AD649" s="32">
        <f>IF($A649=1,IF(Sales_Daily!$X54="","",Sales_Daily!$X54),"")</f>
        <v/>
      </c>
      <c r="AE649" s="32">
        <f>IF($A649=1,0,"")</f>
        <v/>
      </c>
      <c r="AF649" s="32" t="inlineStr"/>
    </row>
    <row r="650">
      <c r="A650" s="32">
        <f>IF(AND(Sales_Daily!$AV54=1,N(Sales_Daily!$AD54)&gt;0),1,0)</f>
        <v/>
      </c>
      <c r="B650" s="32">
        <f>IF($A650=1,$E650&amp;"/9","")</f>
        <v/>
      </c>
      <c r="C650" s="32">
        <f>IF($A650=1,"J-"&amp;Sales_Daily!$A54,"")</f>
        <v/>
      </c>
      <c r="D650" s="33">
        <f>IF($A650=1,Sales_Daily!$B54,"")</f>
        <v/>
      </c>
      <c r="E650" s="32">
        <f>IF($A650=1,IF(Sales_Daily!$A54="","",Sales_Daily!$A54),"")</f>
        <v/>
      </c>
      <c r="F650" s="32">
        <f>IF($A650=1,"SAL","")</f>
        <v/>
      </c>
      <c r="G650" s="32">
        <f>IF($A650=1,IF(Sales_Daily!$AQ54="","",Sales_Daily!$AQ54),"")</f>
        <v/>
      </c>
      <c r="H650" s="32">
        <f>IF($A650=1,IF(COUNTIF(COA!$A:$A,$G650)=0,"حساب غير معرف",INDEX(COA!$B:$B,MATCH($G650,COA!$A:$A,0))),"")</f>
        <v/>
      </c>
      <c r="I650" s="32">
        <f>IF($A650=1,IF(Sales_Daily!$C54="","",Sales_Daily!$C54),"")</f>
        <v/>
      </c>
      <c r="J650" s="32">
        <f>IF($A650=1,"CC10","")</f>
        <v/>
      </c>
      <c r="K650" s="32">
        <f>IF($A650=1,"-","")</f>
        <v/>
      </c>
      <c r="L650" s="32">
        <f>IF($A650=1,"إيراد مبيعات - فئة فطير","")</f>
        <v/>
      </c>
      <c r="M650" s="43">
        <f>IF($A650=1,0,"")</f>
        <v/>
      </c>
      <c r="N650" s="43">
        <f>IF($A650=1,Sales_Daily!$AD54,"")</f>
        <v/>
      </c>
      <c r="O650" s="32">
        <f>IF($A650=1,Sales_Daily!$S54,"")</f>
        <v/>
      </c>
      <c r="P650" s="32">
        <f>IF($A650=1,IF(Sales_Daily!$AW54="","",Sales_Daily!$AW54),"")</f>
        <v/>
      </c>
      <c r="Q650" s="32">
        <f>IF($A650=1,Sales_Daily!$AY54,"")</f>
        <v/>
      </c>
      <c r="R650" s="32">
        <f>IF($A650=1,IF(AND($Q650=1,COUNTIFS(COA!$A:$A,$G650,COA!$R:$R,1)=1),1,0),"")</f>
        <v/>
      </c>
      <c r="S650" s="43">
        <f>IF($A650=1,IF($R650=1,N($M650),0),"")</f>
        <v/>
      </c>
      <c r="T650" s="43">
        <f>IF($A650=1,IF($R650=1,N($N650),0),"")</f>
        <v/>
      </c>
      <c r="U650" s="32">
        <f>IF($A650=1,YEAR($D650)*100+MONTH($D650),"")</f>
        <v/>
      </c>
      <c r="V650" s="32">
        <f>IF($A650=1,IF(COUNTIF(COA!$A:$A,$G650)=0,0,INDEX(COA!$H:$H,MATCH($G650,COA!$A:$A,0))),"")</f>
        <v/>
      </c>
      <c r="W650" s="32">
        <f>IF($A650=1,"","")</f>
        <v/>
      </c>
      <c r="X650" s="32">
        <f>IF($A650=1,IF($R650=1,"",IF($O650=ST_POST,IF($P650&lt;&gt;"",$P650,"حساب غير صالح أو غير نشط"),IF($O650=ST_REV,"معكوس: لا أثر على الدفاتر",IF($O650=ST_CANC,"ملغى",IF($O650=ST_APPR,"معتمد ولم يُرحَّل","مسودة"))))),"")</f>
        <v/>
      </c>
      <c r="Y650" s="32">
        <f>IF($A650=1,IF(AND($R650=1,OR(LG_Acct="",$G650=LG_Acct),OR(LG_Party="",$K650=LG_Party),OR(LG_Loc="ALL",$I650=LG_Loc),OR(LG_CC="ALL",$J650=LG_CC),$D650&gt;=LG_From,$D650&lt;=LG_To),$D650+ROW()/1000000,""),"")</f>
        <v/>
      </c>
      <c r="Z650" s="32">
        <f>IF($A650=1,IF(Sales_Daily!$T54="","",Sales_Daily!$T54),"")</f>
        <v/>
      </c>
      <c r="AA650" s="32">
        <f>IF($A650=1,IF(Sales_Daily!$U54="","",Sales_Daily!$U54),"")</f>
        <v/>
      </c>
      <c r="AB650" s="32">
        <f>IF($A650=1,IF(Sales_Daily!$V54="","",Sales_Daily!$V54),"")</f>
        <v/>
      </c>
      <c r="AC650" s="32">
        <f>IF($A650=1,IF(Sales_Daily!$W54="","",Sales_Daily!$W54),"")</f>
        <v/>
      </c>
      <c r="AD650" s="32">
        <f>IF($A650=1,IF(Sales_Daily!$X54="","",Sales_Daily!$X54),"")</f>
        <v/>
      </c>
      <c r="AE650" s="32">
        <f>IF($A650=1,0,"")</f>
        <v/>
      </c>
      <c r="AF650" s="32" t="inlineStr"/>
    </row>
    <row r="651">
      <c r="A651" s="32">
        <f>IF(AND(Sales_Daily!$AV54=1,N(Sales_Daily!$AE54)&gt;0),1,0)</f>
        <v/>
      </c>
      <c r="B651" s="32">
        <f>IF($A651=1,$E651&amp;"/10","")</f>
        <v/>
      </c>
      <c r="C651" s="32">
        <f>IF($A651=1,"J-"&amp;Sales_Daily!$A54,"")</f>
        <v/>
      </c>
      <c r="D651" s="33">
        <f>IF($A651=1,Sales_Daily!$B54,"")</f>
        <v/>
      </c>
      <c r="E651" s="32">
        <f>IF($A651=1,IF(Sales_Daily!$A54="","",Sales_Daily!$A54),"")</f>
        <v/>
      </c>
      <c r="F651" s="32">
        <f>IF($A651=1,"SAL","")</f>
        <v/>
      </c>
      <c r="G651" s="32">
        <f>IF($A651=1,IF(Sales_Daily!$AR54="","",Sales_Daily!$AR54),"")</f>
        <v/>
      </c>
      <c r="H651" s="32">
        <f>IF($A651=1,IF(COUNTIF(COA!$A:$A,$G651)=0,"حساب غير معرف",INDEX(COA!$B:$B,MATCH($G651,COA!$A:$A,0))),"")</f>
        <v/>
      </c>
      <c r="I651" s="32">
        <f>IF($A651=1,IF(Sales_Daily!$C54="","",Sales_Daily!$C54),"")</f>
        <v/>
      </c>
      <c r="J651" s="32">
        <f>IF($A651=1,"CC10","")</f>
        <v/>
      </c>
      <c r="K651" s="32">
        <f>IF($A651=1,"-","")</f>
        <v/>
      </c>
      <c r="L651" s="32">
        <f>IF($A651=1,"إيراد مبيعات - فئة بيتزا","")</f>
        <v/>
      </c>
      <c r="M651" s="43">
        <f>IF($A651=1,0,"")</f>
        <v/>
      </c>
      <c r="N651" s="43">
        <f>IF($A651=1,Sales_Daily!$AE54,"")</f>
        <v/>
      </c>
      <c r="O651" s="32">
        <f>IF($A651=1,Sales_Daily!$S54,"")</f>
        <v/>
      </c>
      <c r="P651" s="32">
        <f>IF($A651=1,IF(Sales_Daily!$AW54="","",Sales_Daily!$AW54),"")</f>
        <v/>
      </c>
      <c r="Q651" s="32">
        <f>IF($A651=1,Sales_Daily!$AY54,"")</f>
        <v/>
      </c>
      <c r="R651" s="32">
        <f>IF($A651=1,IF(AND($Q651=1,COUNTIFS(COA!$A:$A,$G651,COA!$R:$R,1)=1),1,0),"")</f>
        <v/>
      </c>
      <c r="S651" s="43">
        <f>IF($A651=1,IF($R651=1,N($M651),0),"")</f>
        <v/>
      </c>
      <c r="T651" s="43">
        <f>IF($A651=1,IF($R651=1,N($N651),0),"")</f>
        <v/>
      </c>
      <c r="U651" s="32">
        <f>IF($A651=1,YEAR($D651)*100+MONTH($D651),"")</f>
        <v/>
      </c>
      <c r="V651" s="32">
        <f>IF($A651=1,IF(COUNTIF(COA!$A:$A,$G651)=0,0,INDEX(COA!$H:$H,MATCH($G651,COA!$A:$A,0))),"")</f>
        <v/>
      </c>
      <c r="W651" s="32">
        <f>IF($A651=1,"","")</f>
        <v/>
      </c>
      <c r="X651" s="32">
        <f>IF($A651=1,IF($R651=1,"",IF($O651=ST_POST,IF($P651&lt;&gt;"",$P651,"حساب غير صالح أو غير نشط"),IF($O651=ST_REV,"معكوس: لا أثر على الدفاتر",IF($O651=ST_CANC,"ملغى",IF($O651=ST_APPR,"معتمد ولم يُرحَّل","مسودة"))))),"")</f>
        <v/>
      </c>
      <c r="Y651" s="32">
        <f>IF($A651=1,IF(AND($R651=1,OR(LG_Acct="",$G651=LG_Acct),OR(LG_Party="",$K651=LG_Party),OR(LG_Loc="ALL",$I651=LG_Loc),OR(LG_CC="ALL",$J651=LG_CC),$D651&gt;=LG_From,$D651&lt;=LG_To),$D651+ROW()/1000000,""),"")</f>
        <v/>
      </c>
      <c r="Z651" s="32">
        <f>IF($A651=1,IF(Sales_Daily!$T54="","",Sales_Daily!$T54),"")</f>
        <v/>
      </c>
      <c r="AA651" s="32">
        <f>IF($A651=1,IF(Sales_Daily!$U54="","",Sales_Daily!$U54),"")</f>
        <v/>
      </c>
      <c r="AB651" s="32">
        <f>IF($A651=1,IF(Sales_Daily!$V54="","",Sales_Daily!$V54),"")</f>
        <v/>
      </c>
      <c r="AC651" s="32">
        <f>IF($A651=1,IF(Sales_Daily!$W54="","",Sales_Daily!$W54),"")</f>
        <v/>
      </c>
      <c r="AD651" s="32">
        <f>IF($A651=1,IF(Sales_Daily!$X54="","",Sales_Daily!$X54),"")</f>
        <v/>
      </c>
      <c r="AE651" s="32">
        <f>IF($A651=1,0,"")</f>
        <v/>
      </c>
      <c r="AF651" s="32" t="inlineStr"/>
    </row>
    <row r="652">
      <c r="A652" s="32">
        <f>IF(AND(Sales_Daily!$AV54=1,N(Sales_Daily!$AF54)&gt;0),1,0)</f>
        <v/>
      </c>
      <c r="B652" s="32">
        <f>IF($A652=1,$E652&amp;"/11","")</f>
        <v/>
      </c>
      <c r="C652" s="32">
        <f>IF($A652=1,"J-"&amp;Sales_Daily!$A54,"")</f>
        <v/>
      </c>
      <c r="D652" s="33">
        <f>IF($A652=1,Sales_Daily!$B54,"")</f>
        <v/>
      </c>
      <c r="E652" s="32">
        <f>IF($A652=1,IF(Sales_Daily!$A54="","",Sales_Daily!$A54),"")</f>
        <v/>
      </c>
      <c r="F652" s="32">
        <f>IF($A652=1,"SAL","")</f>
        <v/>
      </c>
      <c r="G652" s="32">
        <f>IF($A652=1,IF(Sales_Daily!$AS54="","",Sales_Daily!$AS54),"")</f>
        <v/>
      </c>
      <c r="H652" s="32">
        <f>IF($A652=1,IF(COUNTIF(COA!$A:$A,$G652)=0,"حساب غير معرف",INDEX(COA!$B:$B,MATCH($G652,COA!$A:$A,0))),"")</f>
        <v/>
      </c>
      <c r="I652" s="32">
        <f>IF($A652=1,IF(Sales_Daily!$C54="","",Sales_Daily!$C54),"")</f>
        <v/>
      </c>
      <c r="J652" s="32">
        <f>IF($A652=1,"CC10","")</f>
        <v/>
      </c>
      <c r="K652" s="32">
        <f>IF($A652=1,"-","")</f>
        <v/>
      </c>
      <c r="L652" s="32">
        <f>IF($A652=1,"إيراد مبيعات - فئة مكرونات","")</f>
        <v/>
      </c>
      <c r="M652" s="43">
        <f>IF($A652=1,0,"")</f>
        <v/>
      </c>
      <c r="N652" s="43">
        <f>IF($A652=1,Sales_Daily!$AF54,"")</f>
        <v/>
      </c>
      <c r="O652" s="32">
        <f>IF($A652=1,Sales_Daily!$S54,"")</f>
        <v/>
      </c>
      <c r="P652" s="32">
        <f>IF($A652=1,IF(Sales_Daily!$AW54="","",Sales_Daily!$AW54),"")</f>
        <v/>
      </c>
      <c r="Q652" s="32">
        <f>IF($A652=1,Sales_Daily!$AY54,"")</f>
        <v/>
      </c>
      <c r="R652" s="32">
        <f>IF($A652=1,IF(AND($Q652=1,COUNTIFS(COA!$A:$A,$G652,COA!$R:$R,1)=1),1,0),"")</f>
        <v/>
      </c>
      <c r="S652" s="43">
        <f>IF($A652=1,IF($R652=1,N($M652),0),"")</f>
        <v/>
      </c>
      <c r="T652" s="43">
        <f>IF($A652=1,IF($R652=1,N($N652),0),"")</f>
        <v/>
      </c>
      <c r="U652" s="32">
        <f>IF($A652=1,YEAR($D652)*100+MONTH($D652),"")</f>
        <v/>
      </c>
      <c r="V652" s="32">
        <f>IF($A652=1,IF(COUNTIF(COA!$A:$A,$G652)=0,0,INDEX(COA!$H:$H,MATCH($G652,COA!$A:$A,0))),"")</f>
        <v/>
      </c>
      <c r="W652" s="32">
        <f>IF($A652=1,"","")</f>
        <v/>
      </c>
      <c r="X652" s="32">
        <f>IF($A652=1,IF($R652=1,"",IF($O652=ST_POST,IF($P652&lt;&gt;"",$P652,"حساب غير صالح أو غير نشط"),IF($O652=ST_REV,"معكوس: لا أثر على الدفاتر",IF($O652=ST_CANC,"ملغى",IF($O652=ST_APPR,"معتمد ولم يُرحَّل","مسودة"))))),"")</f>
        <v/>
      </c>
      <c r="Y652" s="32">
        <f>IF($A652=1,IF(AND($R652=1,OR(LG_Acct="",$G652=LG_Acct),OR(LG_Party="",$K652=LG_Party),OR(LG_Loc="ALL",$I652=LG_Loc),OR(LG_CC="ALL",$J652=LG_CC),$D652&gt;=LG_From,$D652&lt;=LG_To),$D652+ROW()/1000000,""),"")</f>
        <v/>
      </c>
      <c r="Z652" s="32">
        <f>IF($A652=1,IF(Sales_Daily!$T54="","",Sales_Daily!$T54),"")</f>
        <v/>
      </c>
      <c r="AA652" s="32">
        <f>IF($A652=1,IF(Sales_Daily!$U54="","",Sales_Daily!$U54),"")</f>
        <v/>
      </c>
      <c r="AB652" s="32">
        <f>IF($A652=1,IF(Sales_Daily!$V54="","",Sales_Daily!$V54),"")</f>
        <v/>
      </c>
      <c r="AC652" s="32">
        <f>IF($A652=1,IF(Sales_Daily!$W54="","",Sales_Daily!$W54),"")</f>
        <v/>
      </c>
      <c r="AD652" s="32">
        <f>IF($A652=1,IF(Sales_Daily!$X54="","",Sales_Daily!$X54),"")</f>
        <v/>
      </c>
      <c r="AE652" s="32">
        <f>IF($A652=1,0,"")</f>
        <v/>
      </c>
      <c r="AF652" s="32" t="inlineStr"/>
    </row>
    <row r="653">
      <c r="A653" s="32">
        <f>IF(AND(Sales_Daily!$AV54=1,N(Sales_Daily!$AG54)&gt;0),1,0)</f>
        <v/>
      </c>
      <c r="B653" s="32">
        <f>IF($A653=1,$E653&amp;"/12","")</f>
        <v/>
      </c>
      <c r="C653" s="32">
        <f>IF($A653=1,"J-"&amp;Sales_Daily!$A54,"")</f>
        <v/>
      </c>
      <c r="D653" s="33">
        <f>IF($A653=1,Sales_Daily!$B54,"")</f>
        <v/>
      </c>
      <c r="E653" s="32">
        <f>IF($A653=1,IF(Sales_Daily!$A54="","",Sales_Daily!$A54),"")</f>
        <v/>
      </c>
      <c r="F653" s="32">
        <f>IF($A653=1,"SAL","")</f>
        <v/>
      </c>
      <c r="G653" s="32">
        <f>IF($A653=1,IF(Sales_Daily!$AT54="","",Sales_Daily!$AT54),"")</f>
        <v/>
      </c>
      <c r="H653" s="32">
        <f>IF($A653=1,IF(COUNTIF(COA!$A:$A,$G653)=0,"حساب غير معرف",INDEX(COA!$B:$B,MATCH($G653,COA!$A:$A,0))),"")</f>
        <v/>
      </c>
      <c r="I653" s="32">
        <f>IF($A653=1,IF(Sales_Daily!$C54="","",Sales_Daily!$C54),"")</f>
        <v/>
      </c>
      <c r="J653" s="32">
        <f>IF($A653=1,"CC10","")</f>
        <v/>
      </c>
      <c r="K653" s="32">
        <f>IF($A653=1,"-","")</f>
        <v/>
      </c>
      <c r="L653" s="32">
        <f>IF($A653=1,"إيراد مبيعات - فئة أخرى","")</f>
        <v/>
      </c>
      <c r="M653" s="43">
        <f>IF($A653=1,0,"")</f>
        <v/>
      </c>
      <c r="N653" s="43">
        <f>IF($A653=1,Sales_Daily!$AG54,"")</f>
        <v/>
      </c>
      <c r="O653" s="32">
        <f>IF($A653=1,Sales_Daily!$S54,"")</f>
        <v/>
      </c>
      <c r="P653" s="32">
        <f>IF($A653=1,IF(Sales_Daily!$AW54="","",Sales_Daily!$AW54),"")</f>
        <v/>
      </c>
      <c r="Q653" s="32">
        <f>IF($A653=1,Sales_Daily!$AY54,"")</f>
        <v/>
      </c>
      <c r="R653" s="32">
        <f>IF($A653=1,IF(AND($Q653=1,COUNTIFS(COA!$A:$A,$G653,COA!$R:$R,1)=1),1,0),"")</f>
        <v/>
      </c>
      <c r="S653" s="43">
        <f>IF($A653=1,IF($R653=1,N($M653),0),"")</f>
        <v/>
      </c>
      <c r="T653" s="43">
        <f>IF($A653=1,IF($R653=1,N($N653),0),"")</f>
        <v/>
      </c>
      <c r="U653" s="32">
        <f>IF($A653=1,YEAR($D653)*100+MONTH($D653),"")</f>
        <v/>
      </c>
      <c r="V653" s="32">
        <f>IF($A653=1,IF(COUNTIF(COA!$A:$A,$G653)=0,0,INDEX(COA!$H:$H,MATCH($G653,COA!$A:$A,0))),"")</f>
        <v/>
      </c>
      <c r="W653" s="32">
        <f>IF($A653=1,"","")</f>
        <v/>
      </c>
      <c r="X653" s="32">
        <f>IF($A653=1,IF($R653=1,"",IF($O653=ST_POST,IF($P653&lt;&gt;"",$P653,"حساب غير صالح أو غير نشط"),IF($O653=ST_REV,"معكوس: لا أثر على الدفاتر",IF($O653=ST_CANC,"ملغى",IF($O653=ST_APPR,"معتمد ولم يُرحَّل","مسودة"))))),"")</f>
        <v/>
      </c>
      <c r="Y653" s="32">
        <f>IF($A653=1,IF(AND($R653=1,OR(LG_Acct="",$G653=LG_Acct),OR(LG_Party="",$K653=LG_Party),OR(LG_Loc="ALL",$I653=LG_Loc),OR(LG_CC="ALL",$J653=LG_CC),$D653&gt;=LG_From,$D653&lt;=LG_To),$D653+ROW()/1000000,""),"")</f>
        <v/>
      </c>
      <c r="Z653" s="32">
        <f>IF($A653=1,IF(Sales_Daily!$T54="","",Sales_Daily!$T54),"")</f>
        <v/>
      </c>
      <c r="AA653" s="32">
        <f>IF($A653=1,IF(Sales_Daily!$U54="","",Sales_Daily!$U54),"")</f>
        <v/>
      </c>
      <c r="AB653" s="32">
        <f>IF($A653=1,IF(Sales_Daily!$V54="","",Sales_Daily!$V54),"")</f>
        <v/>
      </c>
      <c r="AC653" s="32">
        <f>IF($A653=1,IF(Sales_Daily!$W54="","",Sales_Daily!$W54),"")</f>
        <v/>
      </c>
      <c r="AD653" s="32">
        <f>IF($A653=1,IF(Sales_Daily!$X54="","",Sales_Daily!$X54),"")</f>
        <v/>
      </c>
      <c r="AE653" s="32">
        <f>IF($A653=1,0,"")</f>
        <v/>
      </c>
      <c r="AF653" s="32" t="inlineStr"/>
    </row>
    <row r="654">
      <c r="A654" s="32">
        <f>IF(AND(Sales_Daily!$AV54=1,N(Sales_Daily!$AJ54)&gt;0),1,0)</f>
        <v/>
      </c>
      <c r="B654" s="32">
        <f>IF($A654=1,$E654&amp;"/13","")</f>
        <v/>
      </c>
      <c r="C654" s="32">
        <f>IF($A654=1,"J-"&amp;Sales_Daily!$A54,"")</f>
        <v/>
      </c>
      <c r="D654" s="33">
        <f>IF($A654=1,Sales_Daily!$B54,"")</f>
        <v/>
      </c>
      <c r="E654" s="32">
        <f>IF($A654=1,IF(Sales_Daily!$A54="","",Sales_Daily!$A54),"")</f>
        <v/>
      </c>
      <c r="F654" s="32">
        <f>IF($A654=1,"SAL","")</f>
        <v/>
      </c>
      <c r="G654" s="32">
        <f>IF($A654=1,ACC_VAT_OUT,"")</f>
        <v/>
      </c>
      <c r="H654" s="32">
        <f>IF($A654=1,IF(COUNTIF(COA!$A:$A,$G654)=0,"حساب غير معرف",INDEX(COA!$B:$B,MATCH($G654,COA!$A:$A,0))),"")</f>
        <v/>
      </c>
      <c r="I654" s="32">
        <f>IF($A654=1,IF(Sales_Daily!$C54="","",Sales_Daily!$C54),"")</f>
        <v/>
      </c>
      <c r="J654" s="32">
        <f>IF($A654=1,"CC10","")</f>
        <v/>
      </c>
      <c r="K654" s="32">
        <f>IF($A654=1,"-","")</f>
        <v/>
      </c>
      <c r="L654" s="32">
        <f>IF($A654=1,"ضريبة القيمة المضافة - مخرجات","")</f>
        <v/>
      </c>
      <c r="M654" s="43">
        <f>IF($A654=1,0,"")</f>
        <v/>
      </c>
      <c r="N654" s="43">
        <f>IF($A654=1,Sales_Daily!$AJ54,"")</f>
        <v/>
      </c>
      <c r="O654" s="32">
        <f>IF($A654=1,Sales_Daily!$S54,"")</f>
        <v/>
      </c>
      <c r="P654" s="32">
        <f>IF($A654=1,IF(Sales_Daily!$AW54="","",Sales_Daily!$AW54),"")</f>
        <v/>
      </c>
      <c r="Q654" s="32">
        <f>IF($A654=1,Sales_Daily!$AY54,"")</f>
        <v/>
      </c>
      <c r="R654" s="32">
        <f>IF($A654=1,IF(AND($Q654=1,COUNTIFS(COA!$A:$A,$G654,COA!$R:$R,1)=1),1,0),"")</f>
        <v/>
      </c>
      <c r="S654" s="43">
        <f>IF($A654=1,IF($R654=1,N($M654),0),"")</f>
        <v/>
      </c>
      <c r="T654" s="43">
        <f>IF($A654=1,IF($R654=1,N($N654),0),"")</f>
        <v/>
      </c>
      <c r="U654" s="32">
        <f>IF($A654=1,YEAR($D654)*100+MONTH($D654),"")</f>
        <v/>
      </c>
      <c r="V654" s="32">
        <f>IF($A654=1,IF(COUNTIF(COA!$A:$A,$G654)=0,0,INDEX(COA!$H:$H,MATCH($G654,COA!$A:$A,0))),"")</f>
        <v/>
      </c>
      <c r="W654" s="32">
        <f>IF($A654=1,"","")</f>
        <v/>
      </c>
      <c r="X654" s="32">
        <f>IF($A654=1,IF($R654=1,"",IF($O654=ST_POST,IF($P654&lt;&gt;"",$P654,"حساب غير صالح أو غير نشط"),IF($O654=ST_REV,"معكوس: لا أثر على الدفاتر",IF($O654=ST_CANC,"ملغى",IF($O654=ST_APPR,"معتمد ولم يُرحَّل","مسودة"))))),"")</f>
        <v/>
      </c>
      <c r="Y654" s="32">
        <f>IF($A654=1,IF(AND($R654=1,OR(LG_Acct="",$G654=LG_Acct),OR(LG_Party="",$K654=LG_Party),OR(LG_Loc="ALL",$I654=LG_Loc),OR(LG_CC="ALL",$J654=LG_CC),$D654&gt;=LG_From,$D654&lt;=LG_To),$D654+ROW()/1000000,""),"")</f>
        <v/>
      </c>
      <c r="Z654" s="32">
        <f>IF($A654=1,IF(Sales_Daily!$T54="","",Sales_Daily!$T54),"")</f>
        <v/>
      </c>
      <c r="AA654" s="32">
        <f>IF($A654=1,IF(Sales_Daily!$U54="","",Sales_Daily!$U54),"")</f>
        <v/>
      </c>
      <c r="AB654" s="32">
        <f>IF($A654=1,IF(Sales_Daily!$V54="","",Sales_Daily!$V54),"")</f>
        <v/>
      </c>
      <c r="AC654" s="32">
        <f>IF($A654=1,IF(Sales_Daily!$W54="","",Sales_Daily!$W54),"")</f>
        <v/>
      </c>
      <c r="AD654" s="32">
        <f>IF($A654=1,IF(Sales_Daily!$X54="","",Sales_Daily!$X54),"")</f>
        <v/>
      </c>
      <c r="AE654" s="32">
        <f>IF($A654=1,0,"")</f>
        <v/>
      </c>
      <c r="AF654" s="32" t="inlineStr"/>
    </row>
    <row r="655">
      <c r="A655" s="32">
        <f>IF(AND(Sales_Daily!$AV55=1,N(Sales_Daily!$L55)&gt;0),1,0)</f>
        <v/>
      </c>
      <c r="B655" s="32">
        <f>IF($A655=1,$E655&amp;"/1","")</f>
        <v/>
      </c>
      <c r="C655" s="32">
        <f>IF($A655=1,"J-"&amp;Sales_Daily!$A55,"")</f>
        <v/>
      </c>
      <c r="D655" s="33">
        <f>IF($A655=1,Sales_Daily!$B55,"")</f>
        <v/>
      </c>
      <c r="E655" s="32">
        <f>IF($A655=1,IF(Sales_Daily!$A55="","",Sales_Daily!$A55),"")</f>
        <v/>
      </c>
      <c r="F655" s="32">
        <f>IF($A655=1,"SAL","")</f>
        <v/>
      </c>
      <c r="G655" s="32">
        <f>IF($A655=1,IF(Sales_Daily!$AK55="","",Sales_Daily!$AK55),"")</f>
        <v/>
      </c>
      <c r="H655" s="32">
        <f>IF($A655=1,IF(COUNTIF(COA!$A:$A,$G655)=0,"حساب غير معرف",INDEX(COA!$B:$B,MATCH($G655,COA!$A:$A,0))),"")</f>
        <v/>
      </c>
      <c r="I655" s="32">
        <f>IF($A655=1,IF(Sales_Daily!$C55="","",Sales_Daily!$C55),"")</f>
        <v/>
      </c>
      <c r="J655" s="32">
        <f>IF($A655=1,"CC10","")</f>
        <v/>
      </c>
      <c r="K655" s="32">
        <f>IF($A655=1,"-","")</f>
        <v/>
      </c>
      <c r="L655" s="32">
        <f>IF($A655=1,"مبيعات - تحصيل CASH","")</f>
        <v/>
      </c>
      <c r="M655" s="43">
        <f>IF($A655=1,Sales_Daily!$L55,"")</f>
        <v/>
      </c>
      <c r="N655" s="43">
        <f>IF($A655=1,0,"")</f>
        <v/>
      </c>
      <c r="O655" s="32">
        <f>IF($A655=1,Sales_Daily!$S55,"")</f>
        <v/>
      </c>
      <c r="P655" s="32">
        <f>IF($A655=1,IF(Sales_Daily!$AW55="","",Sales_Daily!$AW55),"")</f>
        <v/>
      </c>
      <c r="Q655" s="32">
        <f>IF($A655=1,Sales_Daily!$AY55,"")</f>
        <v/>
      </c>
      <c r="R655" s="32">
        <f>IF($A655=1,IF(AND($Q655=1,COUNTIFS(COA!$A:$A,$G655,COA!$R:$R,1)=1),1,0),"")</f>
        <v/>
      </c>
      <c r="S655" s="43">
        <f>IF($A655=1,IF($R655=1,N($M655),0),"")</f>
        <v/>
      </c>
      <c r="T655" s="43">
        <f>IF($A655=1,IF($R655=1,N($N655),0),"")</f>
        <v/>
      </c>
      <c r="U655" s="32">
        <f>IF($A655=1,YEAR($D655)*100+MONTH($D655),"")</f>
        <v/>
      </c>
      <c r="V655" s="32">
        <f>IF($A655=1,IF(COUNTIF(COA!$A:$A,$G655)=0,0,INDEX(COA!$H:$H,MATCH($G655,COA!$A:$A,0))),"")</f>
        <v/>
      </c>
      <c r="W655" s="32">
        <f>IF($A655=1,"OPERATING","")</f>
        <v/>
      </c>
      <c r="X655" s="32">
        <f>IF($A655=1,IF($R655=1,"",IF($O655=ST_POST,IF($P655&lt;&gt;"",$P655,"حساب غير صالح أو غير نشط"),IF($O655=ST_REV,"معكوس: لا أثر على الدفاتر",IF($O655=ST_CANC,"ملغى",IF($O655=ST_APPR,"معتمد ولم يُرحَّل","مسودة"))))),"")</f>
        <v/>
      </c>
      <c r="Y655" s="32">
        <f>IF($A655=1,IF(AND($R655=1,OR(LG_Acct="",$G655=LG_Acct),OR(LG_Party="",$K655=LG_Party),OR(LG_Loc="ALL",$I655=LG_Loc),OR(LG_CC="ALL",$J655=LG_CC),$D655&gt;=LG_From,$D655&lt;=LG_To),$D655+ROW()/1000000,""),"")</f>
        <v/>
      </c>
      <c r="Z655" s="32">
        <f>IF($A655=1,IF(Sales_Daily!$T55="","",Sales_Daily!$T55),"")</f>
        <v/>
      </c>
      <c r="AA655" s="32">
        <f>IF($A655=1,IF(Sales_Daily!$U55="","",Sales_Daily!$U55),"")</f>
        <v/>
      </c>
      <c r="AB655" s="32">
        <f>IF($A655=1,IF(Sales_Daily!$V55="","",Sales_Daily!$V55),"")</f>
        <v/>
      </c>
      <c r="AC655" s="32">
        <f>IF($A655=1,IF(Sales_Daily!$W55="","",Sales_Daily!$W55),"")</f>
        <v/>
      </c>
      <c r="AD655" s="32">
        <f>IF($A655=1,IF(Sales_Daily!$X55="","",Sales_Daily!$X55),"")</f>
        <v/>
      </c>
      <c r="AE655" s="32">
        <f>IF($A655=1,0,"")</f>
        <v/>
      </c>
      <c r="AF655" s="32" t="inlineStr"/>
    </row>
    <row r="656">
      <c r="A656" s="32">
        <f>IF(AND(Sales_Daily!$AV55=1,N(Sales_Daily!$M55)&gt;0),1,0)</f>
        <v/>
      </c>
      <c r="B656" s="32">
        <f>IF($A656=1,$E656&amp;"/2","")</f>
        <v/>
      </c>
      <c r="C656" s="32">
        <f>IF($A656=1,"J-"&amp;Sales_Daily!$A55,"")</f>
        <v/>
      </c>
      <c r="D656" s="33">
        <f>IF($A656=1,Sales_Daily!$B55,"")</f>
        <v/>
      </c>
      <c r="E656" s="32">
        <f>IF($A656=1,IF(Sales_Daily!$A55="","",Sales_Daily!$A55),"")</f>
        <v/>
      </c>
      <c r="F656" s="32">
        <f>IF($A656=1,"SAL","")</f>
        <v/>
      </c>
      <c r="G656" s="32">
        <f>IF($A656=1,IF(Sales_Daily!$AL55="","",Sales_Daily!$AL55),"")</f>
        <v/>
      </c>
      <c r="H656" s="32">
        <f>IF($A656=1,IF(COUNTIF(COA!$A:$A,$G656)=0,"حساب غير معرف",INDEX(COA!$B:$B,MATCH($G656,COA!$A:$A,0))),"")</f>
        <v/>
      </c>
      <c r="I656" s="32">
        <f>IF($A656=1,IF(Sales_Daily!$C55="","",Sales_Daily!$C55),"")</f>
        <v/>
      </c>
      <c r="J656" s="32">
        <f>IF($A656=1,"CC10","")</f>
        <v/>
      </c>
      <c r="K656" s="32">
        <f>IF($A656=1,"-","")</f>
        <v/>
      </c>
      <c r="L656" s="32">
        <f>IF($A656=1,"مبيعات - تحصيل CARD","")</f>
        <v/>
      </c>
      <c r="M656" s="43">
        <f>IF($A656=1,Sales_Daily!$M55,"")</f>
        <v/>
      </c>
      <c r="N656" s="43">
        <f>IF($A656=1,0,"")</f>
        <v/>
      </c>
      <c r="O656" s="32">
        <f>IF($A656=1,Sales_Daily!$S55,"")</f>
        <v/>
      </c>
      <c r="P656" s="32">
        <f>IF($A656=1,IF(Sales_Daily!$AW55="","",Sales_Daily!$AW55),"")</f>
        <v/>
      </c>
      <c r="Q656" s="32">
        <f>IF($A656=1,Sales_Daily!$AY55,"")</f>
        <v/>
      </c>
      <c r="R656" s="32">
        <f>IF($A656=1,IF(AND($Q656=1,COUNTIFS(COA!$A:$A,$G656,COA!$R:$R,1)=1),1,0),"")</f>
        <v/>
      </c>
      <c r="S656" s="43">
        <f>IF($A656=1,IF($R656=1,N($M656),0),"")</f>
        <v/>
      </c>
      <c r="T656" s="43">
        <f>IF($A656=1,IF($R656=1,N($N656),0),"")</f>
        <v/>
      </c>
      <c r="U656" s="32">
        <f>IF($A656=1,YEAR($D656)*100+MONTH($D656),"")</f>
        <v/>
      </c>
      <c r="V656" s="32">
        <f>IF($A656=1,IF(COUNTIF(COA!$A:$A,$G656)=0,0,INDEX(COA!$H:$H,MATCH($G656,COA!$A:$A,0))),"")</f>
        <v/>
      </c>
      <c r="W656" s="32">
        <f>IF($A656=1,"OPERATING","")</f>
        <v/>
      </c>
      <c r="X656" s="32">
        <f>IF($A656=1,IF($R656=1,"",IF($O656=ST_POST,IF($P656&lt;&gt;"",$P656,"حساب غير صالح أو غير نشط"),IF($O656=ST_REV,"معكوس: لا أثر على الدفاتر",IF($O656=ST_CANC,"ملغى",IF($O656=ST_APPR,"معتمد ولم يُرحَّل","مسودة"))))),"")</f>
        <v/>
      </c>
      <c r="Y656" s="32">
        <f>IF($A656=1,IF(AND($R656=1,OR(LG_Acct="",$G656=LG_Acct),OR(LG_Party="",$K656=LG_Party),OR(LG_Loc="ALL",$I656=LG_Loc),OR(LG_CC="ALL",$J656=LG_CC),$D656&gt;=LG_From,$D656&lt;=LG_To),$D656+ROW()/1000000,""),"")</f>
        <v/>
      </c>
      <c r="Z656" s="32">
        <f>IF($A656=1,IF(Sales_Daily!$T55="","",Sales_Daily!$T55),"")</f>
        <v/>
      </c>
      <c r="AA656" s="32">
        <f>IF($A656=1,IF(Sales_Daily!$U55="","",Sales_Daily!$U55),"")</f>
        <v/>
      </c>
      <c r="AB656" s="32">
        <f>IF($A656=1,IF(Sales_Daily!$V55="","",Sales_Daily!$V55),"")</f>
        <v/>
      </c>
      <c r="AC656" s="32">
        <f>IF($A656=1,IF(Sales_Daily!$W55="","",Sales_Daily!$W55),"")</f>
        <v/>
      </c>
      <c r="AD656" s="32">
        <f>IF($A656=1,IF(Sales_Daily!$X55="","",Sales_Daily!$X55),"")</f>
        <v/>
      </c>
      <c r="AE656" s="32">
        <f>IF($A656=1,0,"")</f>
        <v/>
      </c>
      <c r="AF656" s="32" t="inlineStr"/>
    </row>
    <row r="657">
      <c r="A657" s="32">
        <f>IF(AND(Sales_Daily!$AV55=1,N(Sales_Daily!$N55)&gt;0),1,0)</f>
        <v/>
      </c>
      <c r="B657" s="32">
        <f>IF($A657=1,$E657&amp;"/3","")</f>
        <v/>
      </c>
      <c r="C657" s="32">
        <f>IF($A657=1,"J-"&amp;Sales_Daily!$A55,"")</f>
        <v/>
      </c>
      <c r="D657" s="33">
        <f>IF($A657=1,Sales_Daily!$B55,"")</f>
        <v/>
      </c>
      <c r="E657" s="32">
        <f>IF($A657=1,IF(Sales_Daily!$A55="","",Sales_Daily!$A55),"")</f>
        <v/>
      </c>
      <c r="F657" s="32">
        <f>IF($A657=1,"SAL","")</f>
        <v/>
      </c>
      <c r="G657" s="32">
        <f>IF($A657=1,IF(Sales_Daily!$AM55="","",Sales_Daily!$AM55),"")</f>
        <v/>
      </c>
      <c r="H657" s="32">
        <f>IF($A657=1,IF(COUNTIF(COA!$A:$A,$G657)=0,"حساب غير معرف",INDEX(COA!$B:$B,MATCH($G657,COA!$A:$A,0))),"")</f>
        <v/>
      </c>
      <c r="I657" s="32">
        <f>IF($A657=1,IF(Sales_Daily!$C55="","",Sales_Daily!$C55),"")</f>
        <v/>
      </c>
      <c r="J657" s="32">
        <f>IF($A657=1,"CC10","")</f>
        <v/>
      </c>
      <c r="K657" s="32">
        <f>IF($A657=1,"-","")</f>
        <v/>
      </c>
      <c r="L657" s="32">
        <f>IF($A657=1,"مبيعات - تحصيل TLB","")</f>
        <v/>
      </c>
      <c r="M657" s="43">
        <f>IF($A657=1,Sales_Daily!$N55,"")</f>
        <v/>
      </c>
      <c r="N657" s="43">
        <f>IF($A657=1,0,"")</f>
        <v/>
      </c>
      <c r="O657" s="32">
        <f>IF($A657=1,Sales_Daily!$S55,"")</f>
        <v/>
      </c>
      <c r="P657" s="32">
        <f>IF($A657=1,IF(Sales_Daily!$AW55="","",Sales_Daily!$AW55),"")</f>
        <v/>
      </c>
      <c r="Q657" s="32">
        <f>IF($A657=1,Sales_Daily!$AY55,"")</f>
        <v/>
      </c>
      <c r="R657" s="32">
        <f>IF($A657=1,IF(AND($Q657=1,COUNTIFS(COA!$A:$A,$G657,COA!$R:$R,1)=1),1,0),"")</f>
        <v/>
      </c>
      <c r="S657" s="43">
        <f>IF($A657=1,IF($R657=1,N($M657),0),"")</f>
        <v/>
      </c>
      <c r="T657" s="43">
        <f>IF($A657=1,IF($R657=1,N($N657),0),"")</f>
        <v/>
      </c>
      <c r="U657" s="32">
        <f>IF($A657=1,YEAR($D657)*100+MONTH($D657),"")</f>
        <v/>
      </c>
      <c r="V657" s="32">
        <f>IF($A657=1,IF(COUNTIF(COA!$A:$A,$G657)=0,0,INDEX(COA!$H:$H,MATCH($G657,COA!$A:$A,0))),"")</f>
        <v/>
      </c>
      <c r="W657" s="32">
        <f>IF($A657=1,"OPERATING","")</f>
        <v/>
      </c>
      <c r="X657" s="32">
        <f>IF($A657=1,IF($R657=1,"",IF($O657=ST_POST,IF($P657&lt;&gt;"",$P657,"حساب غير صالح أو غير نشط"),IF($O657=ST_REV,"معكوس: لا أثر على الدفاتر",IF($O657=ST_CANC,"ملغى",IF($O657=ST_APPR,"معتمد ولم يُرحَّل","مسودة"))))),"")</f>
        <v/>
      </c>
      <c r="Y657" s="32">
        <f>IF($A657=1,IF(AND($R657=1,OR(LG_Acct="",$G657=LG_Acct),OR(LG_Party="",$K657=LG_Party),OR(LG_Loc="ALL",$I657=LG_Loc),OR(LG_CC="ALL",$J657=LG_CC),$D657&gt;=LG_From,$D657&lt;=LG_To),$D657+ROW()/1000000,""),"")</f>
        <v/>
      </c>
      <c r="Z657" s="32">
        <f>IF($A657=1,IF(Sales_Daily!$T55="","",Sales_Daily!$T55),"")</f>
        <v/>
      </c>
      <c r="AA657" s="32">
        <f>IF($A657=1,IF(Sales_Daily!$U55="","",Sales_Daily!$U55),"")</f>
        <v/>
      </c>
      <c r="AB657" s="32">
        <f>IF($A657=1,IF(Sales_Daily!$V55="","",Sales_Daily!$V55),"")</f>
        <v/>
      </c>
      <c r="AC657" s="32">
        <f>IF($A657=1,IF(Sales_Daily!$W55="","",Sales_Daily!$W55),"")</f>
        <v/>
      </c>
      <c r="AD657" s="32">
        <f>IF($A657=1,IF(Sales_Daily!$X55="","",Sales_Daily!$X55),"")</f>
        <v/>
      </c>
      <c r="AE657" s="32">
        <f>IF($A657=1,0,"")</f>
        <v/>
      </c>
      <c r="AF657" s="32" t="inlineStr"/>
    </row>
    <row r="658">
      <c r="A658" s="32">
        <f>IF(AND(Sales_Daily!$AV55=1,N(Sales_Daily!$O55)&gt;0),1,0)</f>
        <v/>
      </c>
      <c r="B658" s="32">
        <f>IF($A658=1,$E658&amp;"/4","")</f>
        <v/>
      </c>
      <c r="C658" s="32">
        <f>IF($A658=1,"J-"&amp;Sales_Daily!$A55,"")</f>
        <v/>
      </c>
      <c r="D658" s="33">
        <f>IF($A658=1,Sales_Daily!$B55,"")</f>
        <v/>
      </c>
      <c r="E658" s="32">
        <f>IF($A658=1,IF(Sales_Daily!$A55="","",Sales_Daily!$A55),"")</f>
        <v/>
      </c>
      <c r="F658" s="32">
        <f>IF($A658=1,"SAL","")</f>
        <v/>
      </c>
      <c r="G658" s="32">
        <f>IF($A658=1,IF(Sales_Daily!$AN55="","",Sales_Daily!$AN55),"")</f>
        <v/>
      </c>
      <c r="H658" s="32">
        <f>IF($A658=1,IF(COUNTIF(COA!$A:$A,$G658)=0,"حساب غير معرف",INDEX(COA!$B:$B,MATCH($G658,COA!$A:$A,0))),"")</f>
        <v/>
      </c>
      <c r="I658" s="32">
        <f>IF($A658=1,IF(Sales_Daily!$C55="","",Sales_Daily!$C55),"")</f>
        <v/>
      </c>
      <c r="J658" s="32">
        <f>IF($A658=1,"CC10","")</f>
        <v/>
      </c>
      <c r="K658" s="32">
        <f>IF($A658=1,"-","")</f>
        <v/>
      </c>
      <c r="L658" s="32">
        <f>IF($A658=1,"مبيعات - تحصيل DLV2","")</f>
        <v/>
      </c>
      <c r="M658" s="43">
        <f>IF($A658=1,Sales_Daily!$O55,"")</f>
        <v/>
      </c>
      <c r="N658" s="43">
        <f>IF($A658=1,0,"")</f>
        <v/>
      </c>
      <c r="O658" s="32">
        <f>IF($A658=1,Sales_Daily!$S55,"")</f>
        <v/>
      </c>
      <c r="P658" s="32">
        <f>IF($A658=1,IF(Sales_Daily!$AW55="","",Sales_Daily!$AW55),"")</f>
        <v/>
      </c>
      <c r="Q658" s="32">
        <f>IF($A658=1,Sales_Daily!$AY55,"")</f>
        <v/>
      </c>
      <c r="R658" s="32">
        <f>IF($A658=1,IF(AND($Q658=1,COUNTIFS(COA!$A:$A,$G658,COA!$R:$R,1)=1),1,0),"")</f>
        <v/>
      </c>
      <c r="S658" s="43">
        <f>IF($A658=1,IF($R658=1,N($M658),0),"")</f>
        <v/>
      </c>
      <c r="T658" s="43">
        <f>IF($A658=1,IF($R658=1,N($N658),0),"")</f>
        <v/>
      </c>
      <c r="U658" s="32">
        <f>IF($A658=1,YEAR($D658)*100+MONTH($D658),"")</f>
        <v/>
      </c>
      <c r="V658" s="32">
        <f>IF($A658=1,IF(COUNTIF(COA!$A:$A,$G658)=0,0,INDEX(COA!$H:$H,MATCH($G658,COA!$A:$A,0))),"")</f>
        <v/>
      </c>
      <c r="W658" s="32">
        <f>IF($A658=1,"OPERATING","")</f>
        <v/>
      </c>
      <c r="X658" s="32">
        <f>IF($A658=1,IF($R658=1,"",IF($O658=ST_POST,IF($P658&lt;&gt;"",$P658,"حساب غير صالح أو غير نشط"),IF($O658=ST_REV,"معكوس: لا أثر على الدفاتر",IF($O658=ST_CANC,"ملغى",IF($O658=ST_APPR,"معتمد ولم يُرحَّل","مسودة"))))),"")</f>
        <v/>
      </c>
      <c r="Y658" s="32">
        <f>IF($A658=1,IF(AND($R658=1,OR(LG_Acct="",$G658=LG_Acct),OR(LG_Party="",$K658=LG_Party),OR(LG_Loc="ALL",$I658=LG_Loc),OR(LG_CC="ALL",$J658=LG_CC),$D658&gt;=LG_From,$D658&lt;=LG_To),$D658+ROW()/1000000,""),"")</f>
        <v/>
      </c>
      <c r="Z658" s="32">
        <f>IF($A658=1,IF(Sales_Daily!$T55="","",Sales_Daily!$T55),"")</f>
        <v/>
      </c>
      <c r="AA658" s="32">
        <f>IF($A658=1,IF(Sales_Daily!$U55="","",Sales_Daily!$U55),"")</f>
        <v/>
      </c>
      <c r="AB658" s="32">
        <f>IF($A658=1,IF(Sales_Daily!$V55="","",Sales_Daily!$V55),"")</f>
        <v/>
      </c>
      <c r="AC658" s="32">
        <f>IF($A658=1,IF(Sales_Daily!$W55="","",Sales_Daily!$W55),"")</f>
        <v/>
      </c>
      <c r="AD658" s="32">
        <f>IF($A658=1,IF(Sales_Daily!$X55="","",Sales_Daily!$X55),"")</f>
        <v/>
      </c>
      <c r="AE658" s="32">
        <f>IF($A658=1,0,"")</f>
        <v/>
      </c>
      <c r="AF658" s="32" t="inlineStr"/>
    </row>
    <row r="659">
      <c r="A659" s="32">
        <f>IF(AND(Sales_Daily!$AV55=1,N(Sales_Daily!$P55)&gt;0),1,0)</f>
        <v/>
      </c>
      <c r="B659" s="32">
        <f>IF($A659=1,$E659&amp;"/5","")</f>
        <v/>
      </c>
      <c r="C659" s="32">
        <f>IF($A659=1,"J-"&amp;Sales_Daily!$A55,"")</f>
        <v/>
      </c>
      <c r="D659" s="33">
        <f>IF($A659=1,Sales_Daily!$B55,"")</f>
        <v/>
      </c>
      <c r="E659" s="32">
        <f>IF($A659=1,IF(Sales_Daily!$A55="","",Sales_Daily!$A55),"")</f>
        <v/>
      </c>
      <c r="F659" s="32">
        <f>IF($A659=1,"SAL","")</f>
        <v/>
      </c>
      <c r="G659" s="32">
        <f>IF($A659=1,IF(Sales_Daily!$AO55="","",Sales_Daily!$AO55),"")</f>
        <v/>
      </c>
      <c r="H659" s="32">
        <f>IF($A659=1,IF(COUNTIF(COA!$A:$A,$G659)=0,"حساب غير معرف",INDEX(COA!$B:$B,MATCH($G659,COA!$A:$A,0))),"")</f>
        <v/>
      </c>
      <c r="I659" s="32">
        <f>IF($A659=1,IF(Sales_Daily!$C55="","",Sales_Daily!$C55),"")</f>
        <v/>
      </c>
      <c r="J659" s="32">
        <f>IF($A659=1,"CC10","")</f>
        <v/>
      </c>
      <c r="K659" s="32">
        <f>IF($A659=1,"-","")</f>
        <v/>
      </c>
      <c r="L659" s="32">
        <f>IF($A659=1,"مبيعات - تحصيل INSTA","")</f>
        <v/>
      </c>
      <c r="M659" s="43">
        <f>IF($A659=1,Sales_Daily!$P55,"")</f>
        <v/>
      </c>
      <c r="N659" s="43">
        <f>IF($A659=1,0,"")</f>
        <v/>
      </c>
      <c r="O659" s="32">
        <f>IF($A659=1,Sales_Daily!$S55,"")</f>
        <v/>
      </c>
      <c r="P659" s="32">
        <f>IF($A659=1,IF(Sales_Daily!$AW55="","",Sales_Daily!$AW55),"")</f>
        <v/>
      </c>
      <c r="Q659" s="32">
        <f>IF($A659=1,Sales_Daily!$AY55,"")</f>
        <v/>
      </c>
      <c r="R659" s="32">
        <f>IF($A659=1,IF(AND($Q659=1,COUNTIFS(COA!$A:$A,$G659,COA!$R:$R,1)=1),1,0),"")</f>
        <v/>
      </c>
      <c r="S659" s="43">
        <f>IF($A659=1,IF($R659=1,N($M659),0),"")</f>
        <v/>
      </c>
      <c r="T659" s="43">
        <f>IF($A659=1,IF($R659=1,N($N659),0),"")</f>
        <v/>
      </c>
      <c r="U659" s="32">
        <f>IF($A659=1,YEAR($D659)*100+MONTH($D659),"")</f>
        <v/>
      </c>
      <c r="V659" s="32">
        <f>IF($A659=1,IF(COUNTIF(COA!$A:$A,$G659)=0,0,INDEX(COA!$H:$H,MATCH($G659,COA!$A:$A,0))),"")</f>
        <v/>
      </c>
      <c r="W659" s="32">
        <f>IF($A659=1,"OPERATING","")</f>
        <v/>
      </c>
      <c r="X659" s="32">
        <f>IF($A659=1,IF($R659=1,"",IF($O659=ST_POST,IF($P659&lt;&gt;"",$P659,"حساب غير صالح أو غير نشط"),IF($O659=ST_REV,"معكوس: لا أثر على الدفاتر",IF($O659=ST_CANC,"ملغى",IF($O659=ST_APPR,"معتمد ولم يُرحَّل","مسودة"))))),"")</f>
        <v/>
      </c>
      <c r="Y659" s="32">
        <f>IF($A659=1,IF(AND($R659=1,OR(LG_Acct="",$G659=LG_Acct),OR(LG_Party="",$K659=LG_Party),OR(LG_Loc="ALL",$I659=LG_Loc),OR(LG_CC="ALL",$J659=LG_CC),$D659&gt;=LG_From,$D659&lt;=LG_To),$D659+ROW()/1000000,""),"")</f>
        <v/>
      </c>
      <c r="Z659" s="32">
        <f>IF($A659=1,IF(Sales_Daily!$T55="","",Sales_Daily!$T55),"")</f>
        <v/>
      </c>
      <c r="AA659" s="32">
        <f>IF($A659=1,IF(Sales_Daily!$U55="","",Sales_Daily!$U55),"")</f>
        <v/>
      </c>
      <c r="AB659" s="32">
        <f>IF($A659=1,IF(Sales_Daily!$V55="","",Sales_Daily!$V55),"")</f>
        <v/>
      </c>
      <c r="AC659" s="32">
        <f>IF($A659=1,IF(Sales_Daily!$W55="","",Sales_Daily!$W55),"")</f>
        <v/>
      </c>
      <c r="AD659" s="32">
        <f>IF($A659=1,IF(Sales_Daily!$X55="","",Sales_Daily!$X55),"")</f>
        <v/>
      </c>
      <c r="AE659" s="32">
        <f>IF($A659=1,0,"")</f>
        <v/>
      </c>
      <c r="AF659" s="32" t="inlineStr"/>
    </row>
    <row r="660">
      <c r="A660" s="32">
        <f>IF(AND(Sales_Daily!$AV55=1,N(Sales_Daily!$Q55)&gt;0),1,0)</f>
        <v/>
      </c>
      <c r="B660" s="32">
        <f>IF($A660=1,$E660&amp;"/6","")</f>
        <v/>
      </c>
      <c r="C660" s="32">
        <f>IF($A660=1,"J-"&amp;Sales_Daily!$A55,"")</f>
        <v/>
      </c>
      <c r="D660" s="33">
        <f>IF($A660=1,Sales_Daily!$B55,"")</f>
        <v/>
      </c>
      <c r="E660" s="32">
        <f>IF($A660=1,IF(Sales_Daily!$A55="","",Sales_Daily!$A55),"")</f>
        <v/>
      </c>
      <c r="F660" s="32">
        <f>IF($A660=1,"SAL","")</f>
        <v/>
      </c>
      <c r="G660" s="32">
        <f>IF($A660=1,IF(Sales_Daily!$AP55="","",Sales_Daily!$AP55),"")</f>
        <v/>
      </c>
      <c r="H660" s="32">
        <f>IF($A660=1,IF(COUNTIF(COA!$A:$A,$G660)=0,"حساب غير معرف",INDEX(COA!$B:$B,MATCH($G660,COA!$A:$A,0))),"")</f>
        <v/>
      </c>
      <c r="I660" s="32">
        <f>IF($A660=1,IF(Sales_Daily!$C55="","",Sales_Daily!$C55),"")</f>
        <v/>
      </c>
      <c r="J660" s="32">
        <f>IF($A660=1,"CC10","")</f>
        <v/>
      </c>
      <c r="K660" s="32">
        <f>IF($A660=1,"-","")</f>
        <v/>
      </c>
      <c r="L660" s="32">
        <f>IF($A660=1,"مبيعات - تحصيل OTH","")</f>
        <v/>
      </c>
      <c r="M660" s="43">
        <f>IF($A660=1,Sales_Daily!$Q55,"")</f>
        <v/>
      </c>
      <c r="N660" s="43">
        <f>IF($A660=1,0,"")</f>
        <v/>
      </c>
      <c r="O660" s="32">
        <f>IF($A660=1,Sales_Daily!$S55,"")</f>
        <v/>
      </c>
      <c r="P660" s="32">
        <f>IF($A660=1,IF(Sales_Daily!$AW55="","",Sales_Daily!$AW55),"")</f>
        <v/>
      </c>
      <c r="Q660" s="32">
        <f>IF($A660=1,Sales_Daily!$AY55,"")</f>
        <v/>
      </c>
      <c r="R660" s="32">
        <f>IF($A660=1,IF(AND($Q660=1,COUNTIFS(COA!$A:$A,$G660,COA!$R:$R,1)=1),1,0),"")</f>
        <v/>
      </c>
      <c r="S660" s="43">
        <f>IF($A660=1,IF($R660=1,N($M660),0),"")</f>
        <v/>
      </c>
      <c r="T660" s="43">
        <f>IF($A660=1,IF($R660=1,N($N660),0),"")</f>
        <v/>
      </c>
      <c r="U660" s="32">
        <f>IF($A660=1,YEAR($D660)*100+MONTH($D660),"")</f>
        <v/>
      </c>
      <c r="V660" s="32">
        <f>IF($A660=1,IF(COUNTIF(COA!$A:$A,$G660)=0,0,INDEX(COA!$H:$H,MATCH($G660,COA!$A:$A,0))),"")</f>
        <v/>
      </c>
      <c r="W660" s="32">
        <f>IF($A660=1,"OPERATING","")</f>
        <v/>
      </c>
      <c r="X660" s="32">
        <f>IF($A660=1,IF($R660=1,"",IF($O660=ST_POST,IF($P660&lt;&gt;"",$P660,"حساب غير صالح أو غير نشط"),IF($O660=ST_REV,"معكوس: لا أثر على الدفاتر",IF($O660=ST_CANC,"ملغى",IF($O660=ST_APPR,"معتمد ولم يُرحَّل","مسودة"))))),"")</f>
        <v/>
      </c>
      <c r="Y660" s="32">
        <f>IF($A660=1,IF(AND($R660=1,OR(LG_Acct="",$G660=LG_Acct),OR(LG_Party="",$K660=LG_Party),OR(LG_Loc="ALL",$I660=LG_Loc),OR(LG_CC="ALL",$J660=LG_CC),$D660&gt;=LG_From,$D660&lt;=LG_To),$D660+ROW()/1000000,""),"")</f>
        <v/>
      </c>
      <c r="Z660" s="32">
        <f>IF($A660=1,IF(Sales_Daily!$T55="","",Sales_Daily!$T55),"")</f>
        <v/>
      </c>
      <c r="AA660" s="32">
        <f>IF($A660=1,IF(Sales_Daily!$U55="","",Sales_Daily!$U55),"")</f>
        <v/>
      </c>
      <c r="AB660" s="32">
        <f>IF($A660=1,IF(Sales_Daily!$V55="","",Sales_Daily!$V55),"")</f>
        <v/>
      </c>
      <c r="AC660" s="32">
        <f>IF($A660=1,IF(Sales_Daily!$W55="","",Sales_Daily!$W55),"")</f>
        <v/>
      </c>
      <c r="AD660" s="32">
        <f>IF($A660=1,IF(Sales_Daily!$X55="","",Sales_Daily!$X55),"")</f>
        <v/>
      </c>
      <c r="AE660" s="32">
        <f>IF($A660=1,0,"")</f>
        <v/>
      </c>
      <c r="AF660" s="32" t="inlineStr"/>
    </row>
    <row r="661">
      <c r="A661" s="32">
        <f>IF(AND(Sales_Daily!$AV55=1,N(Sales_Daily!$AH55)&gt;0),1,0)</f>
        <v/>
      </c>
      <c r="B661" s="32">
        <f>IF($A661=1,$E661&amp;"/7","")</f>
        <v/>
      </c>
      <c r="C661" s="32">
        <f>IF($A661=1,"J-"&amp;Sales_Daily!$A55,"")</f>
        <v/>
      </c>
      <c r="D661" s="33">
        <f>IF($A661=1,Sales_Daily!$B55,"")</f>
        <v/>
      </c>
      <c r="E661" s="32">
        <f>IF($A661=1,IF(Sales_Daily!$A55="","",Sales_Daily!$A55),"")</f>
        <v/>
      </c>
      <c r="F661" s="32">
        <f>IF($A661=1,"SAL","")</f>
        <v/>
      </c>
      <c r="G661" s="32">
        <f>IF($A661=1,ACC_DISC,"")</f>
        <v/>
      </c>
      <c r="H661" s="32">
        <f>IF($A661=1,IF(COUNTIF(COA!$A:$A,$G661)=0,"حساب غير معرف",INDEX(COA!$B:$B,MATCH($G661,COA!$A:$A,0))),"")</f>
        <v/>
      </c>
      <c r="I661" s="32">
        <f>IF($A661=1,IF(Sales_Daily!$C55="","",Sales_Daily!$C55),"")</f>
        <v/>
      </c>
      <c r="J661" s="32">
        <f>IF($A661=1,"CC10","")</f>
        <v/>
      </c>
      <c r="K661" s="32">
        <f>IF($A661=1,"-","")</f>
        <v/>
      </c>
      <c r="L661" s="32">
        <f>IF($A661=1,"خصومات المبيعات والعروض","")</f>
        <v/>
      </c>
      <c r="M661" s="43">
        <f>IF($A661=1,Sales_Daily!$AH55,"")</f>
        <v/>
      </c>
      <c r="N661" s="43">
        <f>IF($A661=1,0,"")</f>
        <v/>
      </c>
      <c r="O661" s="32">
        <f>IF($A661=1,Sales_Daily!$S55,"")</f>
        <v/>
      </c>
      <c r="P661" s="32">
        <f>IF($A661=1,IF(Sales_Daily!$AW55="","",Sales_Daily!$AW55),"")</f>
        <v/>
      </c>
      <c r="Q661" s="32">
        <f>IF($A661=1,Sales_Daily!$AY55,"")</f>
        <v/>
      </c>
      <c r="R661" s="32">
        <f>IF($A661=1,IF(AND($Q661=1,COUNTIFS(COA!$A:$A,$G661,COA!$R:$R,1)=1),1,0),"")</f>
        <v/>
      </c>
      <c r="S661" s="43">
        <f>IF($A661=1,IF($R661=1,N($M661),0),"")</f>
        <v/>
      </c>
      <c r="T661" s="43">
        <f>IF($A661=1,IF($R661=1,N($N661),0),"")</f>
        <v/>
      </c>
      <c r="U661" s="32">
        <f>IF($A661=1,YEAR($D661)*100+MONTH($D661),"")</f>
        <v/>
      </c>
      <c r="V661" s="32">
        <f>IF($A661=1,IF(COUNTIF(COA!$A:$A,$G661)=0,0,INDEX(COA!$H:$H,MATCH($G661,COA!$A:$A,0))),"")</f>
        <v/>
      </c>
      <c r="W661" s="32">
        <f>IF($A661=1,"","")</f>
        <v/>
      </c>
      <c r="X661" s="32">
        <f>IF($A661=1,IF($R661=1,"",IF($O661=ST_POST,IF($P661&lt;&gt;"",$P661,"حساب غير صالح أو غير نشط"),IF($O661=ST_REV,"معكوس: لا أثر على الدفاتر",IF($O661=ST_CANC,"ملغى",IF($O661=ST_APPR,"معتمد ولم يُرحَّل","مسودة"))))),"")</f>
        <v/>
      </c>
      <c r="Y661" s="32">
        <f>IF($A661=1,IF(AND($R661=1,OR(LG_Acct="",$G661=LG_Acct),OR(LG_Party="",$K661=LG_Party),OR(LG_Loc="ALL",$I661=LG_Loc),OR(LG_CC="ALL",$J661=LG_CC),$D661&gt;=LG_From,$D661&lt;=LG_To),$D661+ROW()/1000000,""),"")</f>
        <v/>
      </c>
      <c r="Z661" s="32">
        <f>IF($A661=1,IF(Sales_Daily!$T55="","",Sales_Daily!$T55),"")</f>
        <v/>
      </c>
      <c r="AA661" s="32">
        <f>IF($A661=1,IF(Sales_Daily!$U55="","",Sales_Daily!$U55),"")</f>
        <v/>
      </c>
      <c r="AB661" s="32">
        <f>IF($A661=1,IF(Sales_Daily!$V55="","",Sales_Daily!$V55),"")</f>
        <v/>
      </c>
      <c r="AC661" s="32">
        <f>IF($A661=1,IF(Sales_Daily!$W55="","",Sales_Daily!$W55),"")</f>
        <v/>
      </c>
      <c r="AD661" s="32">
        <f>IF($A661=1,IF(Sales_Daily!$X55="","",Sales_Daily!$X55),"")</f>
        <v/>
      </c>
      <c r="AE661" s="32">
        <f>IF($A661=1,0,"")</f>
        <v/>
      </c>
      <c r="AF661" s="32" t="inlineStr"/>
    </row>
    <row r="662">
      <c r="A662" s="32">
        <f>IF(AND(Sales_Daily!$AV55=1,N(Sales_Daily!$AI55)&gt;0),1,0)</f>
        <v/>
      </c>
      <c r="B662" s="32">
        <f>IF($A662=1,$E662&amp;"/8","")</f>
        <v/>
      </c>
      <c r="C662" s="32">
        <f>IF($A662=1,"J-"&amp;Sales_Daily!$A55,"")</f>
        <v/>
      </c>
      <c r="D662" s="33">
        <f>IF($A662=1,Sales_Daily!$B55,"")</f>
        <v/>
      </c>
      <c r="E662" s="32">
        <f>IF($A662=1,IF(Sales_Daily!$A55="","",Sales_Daily!$A55),"")</f>
        <v/>
      </c>
      <c r="F662" s="32">
        <f>IF($A662=1,"SAL","")</f>
        <v/>
      </c>
      <c r="G662" s="32">
        <f>IF($A662=1,ACC_RET,"")</f>
        <v/>
      </c>
      <c r="H662" s="32">
        <f>IF($A662=1,IF(COUNTIF(COA!$A:$A,$G662)=0,"حساب غير معرف",INDEX(COA!$B:$B,MATCH($G662,COA!$A:$A,0))),"")</f>
        <v/>
      </c>
      <c r="I662" s="32">
        <f>IF($A662=1,IF(Sales_Daily!$C55="","",Sales_Daily!$C55),"")</f>
        <v/>
      </c>
      <c r="J662" s="32">
        <f>IF($A662=1,"CC10","")</f>
        <v/>
      </c>
      <c r="K662" s="32">
        <f>IF($A662=1,"-","")</f>
        <v/>
      </c>
      <c r="L662" s="32">
        <f>IF($A662=1,"مرتجعات وإلغاءات المبيعات","")</f>
        <v/>
      </c>
      <c r="M662" s="43">
        <f>IF($A662=1,Sales_Daily!$AI55,"")</f>
        <v/>
      </c>
      <c r="N662" s="43">
        <f>IF($A662=1,0,"")</f>
        <v/>
      </c>
      <c r="O662" s="32">
        <f>IF($A662=1,Sales_Daily!$S55,"")</f>
        <v/>
      </c>
      <c r="P662" s="32">
        <f>IF($A662=1,IF(Sales_Daily!$AW55="","",Sales_Daily!$AW55),"")</f>
        <v/>
      </c>
      <c r="Q662" s="32">
        <f>IF($A662=1,Sales_Daily!$AY55,"")</f>
        <v/>
      </c>
      <c r="R662" s="32">
        <f>IF($A662=1,IF(AND($Q662=1,COUNTIFS(COA!$A:$A,$G662,COA!$R:$R,1)=1),1,0),"")</f>
        <v/>
      </c>
      <c r="S662" s="43">
        <f>IF($A662=1,IF($R662=1,N($M662),0),"")</f>
        <v/>
      </c>
      <c r="T662" s="43">
        <f>IF($A662=1,IF($R662=1,N($N662),0),"")</f>
        <v/>
      </c>
      <c r="U662" s="32">
        <f>IF($A662=1,YEAR($D662)*100+MONTH($D662),"")</f>
        <v/>
      </c>
      <c r="V662" s="32">
        <f>IF($A662=1,IF(COUNTIF(COA!$A:$A,$G662)=0,0,INDEX(COA!$H:$H,MATCH($G662,COA!$A:$A,0))),"")</f>
        <v/>
      </c>
      <c r="W662" s="32">
        <f>IF($A662=1,"","")</f>
        <v/>
      </c>
      <c r="X662" s="32">
        <f>IF($A662=1,IF($R662=1,"",IF($O662=ST_POST,IF($P662&lt;&gt;"",$P662,"حساب غير صالح أو غير نشط"),IF($O662=ST_REV,"معكوس: لا أثر على الدفاتر",IF($O662=ST_CANC,"ملغى",IF($O662=ST_APPR,"معتمد ولم يُرحَّل","مسودة"))))),"")</f>
        <v/>
      </c>
      <c r="Y662" s="32">
        <f>IF($A662=1,IF(AND($R662=1,OR(LG_Acct="",$G662=LG_Acct),OR(LG_Party="",$K662=LG_Party),OR(LG_Loc="ALL",$I662=LG_Loc),OR(LG_CC="ALL",$J662=LG_CC),$D662&gt;=LG_From,$D662&lt;=LG_To),$D662+ROW()/1000000,""),"")</f>
        <v/>
      </c>
      <c r="Z662" s="32">
        <f>IF($A662=1,IF(Sales_Daily!$T55="","",Sales_Daily!$T55),"")</f>
        <v/>
      </c>
      <c r="AA662" s="32">
        <f>IF($A662=1,IF(Sales_Daily!$U55="","",Sales_Daily!$U55),"")</f>
        <v/>
      </c>
      <c r="AB662" s="32">
        <f>IF($A662=1,IF(Sales_Daily!$V55="","",Sales_Daily!$V55),"")</f>
        <v/>
      </c>
      <c r="AC662" s="32">
        <f>IF($A662=1,IF(Sales_Daily!$W55="","",Sales_Daily!$W55),"")</f>
        <v/>
      </c>
      <c r="AD662" s="32">
        <f>IF($A662=1,IF(Sales_Daily!$X55="","",Sales_Daily!$X55),"")</f>
        <v/>
      </c>
      <c r="AE662" s="32">
        <f>IF($A662=1,0,"")</f>
        <v/>
      </c>
      <c r="AF662" s="32" t="inlineStr"/>
    </row>
    <row r="663">
      <c r="A663" s="32">
        <f>IF(AND(Sales_Daily!$AV55=1,N(Sales_Daily!$AD55)&gt;0),1,0)</f>
        <v/>
      </c>
      <c r="B663" s="32">
        <f>IF($A663=1,$E663&amp;"/9","")</f>
        <v/>
      </c>
      <c r="C663" s="32">
        <f>IF($A663=1,"J-"&amp;Sales_Daily!$A55,"")</f>
        <v/>
      </c>
      <c r="D663" s="33">
        <f>IF($A663=1,Sales_Daily!$B55,"")</f>
        <v/>
      </c>
      <c r="E663" s="32">
        <f>IF($A663=1,IF(Sales_Daily!$A55="","",Sales_Daily!$A55),"")</f>
        <v/>
      </c>
      <c r="F663" s="32">
        <f>IF($A663=1,"SAL","")</f>
        <v/>
      </c>
      <c r="G663" s="32">
        <f>IF($A663=1,IF(Sales_Daily!$AQ55="","",Sales_Daily!$AQ55),"")</f>
        <v/>
      </c>
      <c r="H663" s="32">
        <f>IF($A663=1,IF(COUNTIF(COA!$A:$A,$G663)=0,"حساب غير معرف",INDEX(COA!$B:$B,MATCH($G663,COA!$A:$A,0))),"")</f>
        <v/>
      </c>
      <c r="I663" s="32">
        <f>IF($A663=1,IF(Sales_Daily!$C55="","",Sales_Daily!$C55),"")</f>
        <v/>
      </c>
      <c r="J663" s="32">
        <f>IF($A663=1,"CC10","")</f>
        <v/>
      </c>
      <c r="K663" s="32">
        <f>IF($A663=1,"-","")</f>
        <v/>
      </c>
      <c r="L663" s="32">
        <f>IF($A663=1,"إيراد مبيعات - فئة فطير","")</f>
        <v/>
      </c>
      <c r="M663" s="43">
        <f>IF($A663=1,0,"")</f>
        <v/>
      </c>
      <c r="N663" s="43">
        <f>IF($A663=1,Sales_Daily!$AD55,"")</f>
        <v/>
      </c>
      <c r="O663" s="32">
        <f>IF($A663=1,Sales_Daily!$S55,"")</f>
        <v/>
      </c>
      <c r="P663" s="32">
        <f>IF($A663=1,IF(Sales_Daily!$AW55="","",Sales_Daily!$AW55),"")</f>
        <v/>
      </c>
      <c r="Q663" s="32">
        <f>IF($A663=1,Sales_Daily!$AY55,"")</f>
        <v/>
      </c>
      <c r="R663" s="32">
        <f>IF($A663=1,IF(AND($Q663=1,COUNTIFS(COA!$A:$A,$G663,COA!$R:$R,1)=1),1,0),"")</f>
        <v/>
      </c>
      <c r="S663" s="43">
        <f>IF($A663=1,IF($R663=1,N($M663),0),"")</f>
        <v/>
      </c>
      <c r="T663" s="43">
        <f>IF($A663=1,IF($R663=1,N($N663),0),"")</f>
        <v/>
      </c>
      <c r="U663" s="32">
        <f>IF($A663=1,YEAR($D663)*100+MONTH($D663),"")</f>
        <v/>
      </c>
      <c r="V663" s="32">
        <f>IF($A663=1,IF(COUNTIF(COA!$A:$A,$G663)=0,0,INDEX(COA!$H:$H,MATCH($G663,COA!$A:$A,0))),"")</f>
        <v/>
      </c>
      <c r="W663" s="32">
        <f>IF($A663=1,"","")</f>
        <v/>
      </c>
      <c r="X663" s="32">
        <f>IF($A663=1,IF($R663=1,"",IF($O663=ST_POST,IF($P663&lt;&gt;"",$P663,"حساب غير صالح أو غير نشط"),IF($O663=ST_REV,"معكوس: لا أثر على الدفاتر",IF($O663=ST_CANC,"ملغى",IF($O663=ST_APPR,"معتمد ولم يُرحَّل","مسودة"))))),"")</f>
        <v/>
      </c>
      <c r="Y663" s="32">
        <f>IF($A663=1,IF(AND($R663=1,OR(LG_Acct="",$G663=LG_Acct),OR(LG_Party="",$K663=LG_Party),OR(LG_Loc="ALL",$I663=LG_Loc),OR(LG_CC="ALL",$J663=LG_CC),$D663&gt;=LG_From,$D663&lt;=LG_To),$D663+ROW()/1000000,""),"")</f>
        <v/>
      </c>
      <c r="Z663" s="32">
        <f>IF($A663=1,IF(Sales_Daily!$T55="","",Sales_Daily!$T55),"")</f>
        <v/>
      </c>
      <c r="AA663" s="32">
        <f>IF($A663=1,IF(Sales_Daily!$U55="","",Sales_Daily!$U55),"")</f>
        <v/>
      </c>
      <c r="AB663" s="32">
        <f>IF($A663=1,IF(Sales_Daily!$V55="","",Sales_Daily!$V55),"")</f>
        <v/>
      </c>
      <c r="AC663" s="32">
        <f>IF($A663=1,IF(Sales_Daily!$W55="","",Sales_Daily!$W55),"")</f>
        <v/>
      </c>
      <c r="AD663" s="32">
        <f>IF($A663=1,IF(Sales_Daily!$X55="","",Sales_Daily!$X55),"")</f>
        <v/>
      </c>
      <c r="AE663" s="32">
        <f>IF($A663=1,0,"")</f>
        <v/>
      </c>
      <c r="AF663" s="32" t="inlineStr"/>
    </row>
    <row r="664">
      <c r="A664" s="32">
        <f>IF(AND(Sales_Daily!$AV55=1,N(Sales_Daily!$AE55)&gt;0),1,0)</f>
        <v/>
      </c>
      <c r="B664" s="32">
        <f>IF($A664=1,$E664&amp;"/10","")</f>
        <v/>
      </c>
      <c r="C664" s="32">
        <f>IF($A664=1,"J-"&amp;Sales_Daily!$A55,"")</f>
        <v/>
      </c>
      <c r="D664" s="33">
        <f>IF($A664=1,Sales_Daily!$B55,"")</f>
        <v/>
      </c>
      <c r="E664" s="32">
        <f>IF($A664=1,IF(Sales_Daily!$A55="","",Sales_Daily!$A55),"")</f>
        <v/>
      </c>
      <c r="F664" s="32">
        <f>IF($A664=1,"SAL","")</f>
        <v/>
      </c>
      <c r="G664" s="32">
        <f>IF($A664=1,IF(Sales_Daily!$AR55="","",Sales_Daily!$AR55),"")</f>
        <v/>
      </c>
      <c r="H664" s="32">
        <f>IF($A664=1,IF(COUNTIF(COA!$A:$A,$G664)=0,"حساب غير معرف",INDEX(COA!$B:$B,MATCH($G664,COA!$A:$A,0))),"")</f>
        <v/>
      </c>
      <c r="I664" s="32">
        <f>IF($A664=1,IF(Sales_Daily!$C55="","",Sales_Daily!$C55),"")</f>
        <v/>
      </c>
      <c r="J664" s="32">
        <f>IF($A664=1,"CC10","")</f>
        <v/>
      </c>
      <c r="K664" s="32">
        <f>IF($A664=1,"-","")</f>
        <v/>
      </c>
      <c r="L664" s="32">
        <f>IF($A664=1,"إيراد مبيعات - فئة بيتزا","")</f>
        <v/>
      </c>
      <c r="M664" s="43">
        <f>IF($A664=1,0,"")</f>
        <v/>
      </c>
      <c r="N664" s="43">
        <f>IF($A664=1,Sales_Daily!$AE55,"")</f>
        <v/>
      </c>
      <c r="O664" s="32">
        <f>IF($A664=1,Sales_Daily!$S55,"")</f>
        <v/>
      </c>
      <c r="P664" s="32">
        <f>IF($A664=1,IF(Sales_Daily!$AW55="","",Sales_Daily!$AW55),"")</f>
        <v/>
      </c>
      <c r="Q664" s="32">
        <f>IF($A664=1,Sales_Daily!$AY55,"")</f>
        <v/>
      </c>
      <c r="R664" s="32">
        <f>IF($A664=1,IF(AND($Q664=1,COUNTIFS(COA!$A:$A,$G664,COA!$R:$R,1)=1),1,0),"")</f>
        <v/>
      </c>
      <c r="S664" s="43">
        <f>IF($A664=1,IF($R664=1,N($M664),0),"")</f>
        <v/>
      </c>
      <c r="T664" s="43">
        <f>IF($A664=1,IF($R664=1,N($N664),0),"")</f>
        <v/>
      </c>
      <c r="U664" s="32">
        <f>IF($A664=1,YEAR($D664)*100+MONTH($D664),"")</f>
        <v/>
      </c>
      <c r="V664" s="32">
        <f>IF($A664=1,IF(COUNTIF(COA!$A:$A,$G664)=0,0,INDEX(COA!$H:$H,MATCH($G664,COA!$A:$A,0))),"")</f>
        <v/>
      </c>
      <c r="W664" s="32">
        <f>IF($A664=1,"","")</f>
        <v/>
      </c>
      <c r="X664" s="32">
        <f>IF($A664=1,IF($R664=1,"",IF($O664=ST_POST,IF($P664&lt;&gt;"",$P664,"حساب غير صالح أو غير نشط"),IF($O664=ST_REV,"معكوس: لا أثر على الدفاتر",IF($O664=ST_CANC,"ملغى",IF($O664=ST_APPR,"معتمد ولم يُرحَّل","مسودة"))))),"")</f>
        <v/>
      </c>
      <c r="Y664" s="32">
        <f>IF($A664=1,IF(AND($R664=1,OR(LG_Acct="",$G664=LG_Acct),OR(LG_Party="",$K664=LG_Party),OR(LG_Loc="ALL",$I664=LG_Loc),OR(LG_CC="ALL",$J664=LG_CC),$D664&gt;=LG_From,$D664&lt;=LG_To),$D664+ROW()/1000000,""),"")</f>
        <v/>
      </c>
      <c r="Z664" s="32">
        <f>IF($A664=1,IF(Sales_Daily!$T55="","",Sales_Daily!$T55),"")</f>
        <v/>
      </c>
      <c r="AA664" s="32">
        <f>IF($A664=1,IF(Sales_Daily!$U55="","",Sales_Daily!$U55),"")</f>
        <v/>
      </c>
      <c r="AB664" s="32">
        <f>IF($A664=1,IF(Sales_Daily!$V55="","",Sales_Daily!$V55),"")</f>
        <v/>
      </c>
      <c r="AC664" s="32">
        <f>IF($A664=1,IF(Sales_Daily!$W55="","",Sales_Daily!$W55),"")</f>
        <v/>
      </c>
      <c r="AD664" s="32">
        <f>IF($A664=1,IF(Sales_Daily!$X55="","",Sales_Daily!$X55),"")</f>
        <v/>
      </c>
      <c r="AE664" s="32">
        <f>IF($A664=1,0,"")</f>
        <v/>
      </c>
      <c r="AF664" s="32" t="inlineStr"/>
    </row>
    <row r="665">
      <c r="A665" s="32">
        <f>IF(AND(Sales_Daily!$AV55=1,N(Sales_Daily!$AF55)&gt;0),1,0)</f>
        <v/>
      </c>
      <c r="B665" s="32">
        <f>IF($A665=1,$E665&amp;"/11","")</f>
        <v/>
      </c>
      <c r="C665" s="32">
        <f>IF($A665=1,"J-"&amp;Sales_Daily!$A55,"")</f>
        <v/>
      </c>
      <c r="D665" s="33">
        <f>IF($A665=1,Sales_Daily!$B55,"")</f>
        <v/>
      </c>
      <c r="E665" s="32">
        <f>IF($A665=1,IF(Sales_Daily!$A55="","",Sales_Daily!$A55),"")</f>
        <v/>
      </c>
      <c r="F665" s="32">
        <f>IF($A665=1,"SAL","")</f>
        <v/>
      </c>
      <c r="G665" s="32">
        <f>IF($A665=1,IF(Sales_Daily!$AS55="","",Sales_Daily!$AS55),"")</f>
        <v/>
      </c>
      <c r="H665" s="32">
        <f>IF($A665=1,IF(COUNTIF(COA!$A:$A,$G665)=0,"حساب غير معرف",INDEX(COA!$B:$B,MATCH($G665,COA!$A:$A,0))),"")</f>
        <v/>
      </c>
      <c r="I665" s="32">
        <f>IF($A665=1,IF(Sales_Daily!$C55="","",Sales_Daily!$C55),"")</f>
        <v/>
      </c>
      <c r="J665" s="32">
        <f>IF($A665=1,"CC10","")</f>
        <v/>
      </c>
      <c r="K665" s="32">
        <f>IF($A665=1,"-","")</f>
        <v/>
      </c>
      <c r="L665" s="32">
        <f>IF($A665=1,"إيراد مبيعات - فئة مكرونات","")</f>
        <v/>
      </c>
      <c r="M665" s="43">
        <f>IF($A665=1,0,"")</f>
        <v/>
      </c>
      <c r="N665" s="43">
        <f>IF($A665=1,Sales_Daily!$AF55,"")</f>
        <v/>
      </c>
      <c r="O665" s="32">
        <f>IF($A665=1,Sales_Daily!$S55,"")</f>
        <v/>
      </c>
      <c r="P665" s="32">
        <f>IF($A665=1,IF(Sales_Daily!$AW55="","",Sales_Daily!$AW55),"")</f>
        <v/>
      </c>
      <c r="Q665" s="32">
        <f>IF($A665=1,Sales_Daily!$AY55,"")</f>
        <v/>
      </c>
      <c r="R665" s="32">
        <f>IF($A665=1,IF(AND($Q665=1,COUNTIFS(COA!$A:$A,$G665,COA!$R:$R,1)=1),1,0),"")</f>
        <v/>
      </c>
      <c r="S665" s="43">
        <f>IF($A665=1,IF($R665=1,N($M665),0),"")</f>
        <v/>
      </c>
      <c r="T665" s="43">
        <f>IF($A665=1,IF($R665=1,N($N665),0),"")</f>
        <v/>
      </c>
      <c r="U665" s="32">
        <f>IF($A665=1,YEAR($D665)*100+MONTH($D665),"")</f>
        <v/>
      </c>
      <c r="V665" s="32">
        <f>IF($A665=1,IF(COUNTIF(COA!$A:$A,$G665)=0,0,INDEX(COA!$H:$H,MATCH($G665,COA!$A:$A,0))),"")</f>
        <v/>
      </c>
      <c r="W665" s="32">
        <f>IF($A665=1,"","")</f>
        <v/>
      </c>
      <c r="X665" s="32">
        <f>IF($A665=1,IF($R665=1,"",IF($O665=ST_POST,IF($P665&lt;&gt;"",$P665,"حساب غير صالح أو غير نشط"),IF($O665=ST_REV,"معكوس: لا أثر على الدفاتر",IF($O665=ST_CANC,"ملغى",IF($O665=ST_APPR,"معتمد ولم يُرحَّل","مسودة"))))),"")</f>
        <v/>
      </c>
      <c r="Y665" s="32">
        <f>IF($A665=1,IF(AND($R665=1,OR(LG_Acct="",$G665=LG_Acct),OR(LG_Party="",$K665=LG_Party),OR(LG_Loc="ALL",$I665=LG_Loc),OR(LG_CC="ALL",$J665=LG_CC),$D665&gt;=LG_From,$D665&lt;=LG_To),$D665+ROW()/1000000,""),"")</f>
        <v/>
      </c>
      <c r="Z665" s="32">
        <f>IF($A665=1,IF(Sales_Daily!$T55="","",Sales_Daily!$T55),"")</f>
        <v/>
      </c>
      <c r="AA665" s="32">
        <f>IF($A665=1,IF(Sales_Daily!$U55="","",Sales_Daily!$U55),"")</f>
        <v/>
      </c>
      <c r="AB665" s="32">
        <f>IF($A665=1,IF(Sales_Daily!$V55="","",Sales_Daily!$V55),"")</f>
        <v/>
      </c>
      <c r="AC665" s="32">
        <f>IF($A665=1,IF(Sales_Daily!$W55="","",Sales_Daily!$W55),"")</f>
        <v/>
      </c>
      <c r="AD665" s="32">
        <f>IF($A665=1,IF(Sales_Daily!$X55="","",Sales_Daily!$X55),"")</f>
        <v/>
      </c>
      <c r="AE665" s="32">
        <f>IF($A665=1,0,"")</f>
        <v/>
      </c>
      <c r="AF665" s="32" t="inlineStr"/>
    </row>
    <row r="666">
      <c r="A666" s="32">
        <f>IF(AND(Sales_Daily!$AV55=1,N(Sales_Daily!$AG55)&gt;0),1,0)</f>
        <v/>
      </c>
      <c r="B666" s="32">
        <f>IF($A666=1,$E666&amp;"/12","")</f>
        <v/>
      </c>
      <c r="C666" s="32">
        <f>IF($A666=1,"J-"&amp;Sales_Daily!$A55,"")</f>
        <v/>
      </c>
      <c r="D666" s="33">
        <f>IF($A666=1,Sales_Daily!$B55,"")</f>
        <v/>
      </c>
      <c r="E666" s="32">
        <f>IF($A666=1,IF(Sales_Daily!$A55="","",Sales_Daily!$A55),"")</f>
        <v/>
      </c>
      <c r="F666" s="32">
        <f>IF($A666=1,"SAL","")</f>
        <v/>
      </c>
      <c r="G666" s="32">
        <f>IF($A666=1,IF(Sales_Daily!$AT55="","",Sales_Daily!$AT55),"")</f>
        <v/>
      </c>
      <c r="H666" s="32">
        <f>IF($A666=1,IF(COUNTIF(COA!$A:$A,$G666)=0,"حساب غير معرف",INDEX(COA!$B:$B,MATCH($G666,COA!$A:$A,0))),"")</f>
        <v/>
      </c>
      <c r="I666" s="32">
        <f>IF($A666=1,IF(Sales_Daily!$C55="","",Sales_Daily!$C55),"")</f>
        <v/>
      </c>
      <c r="J666" s="32">
        <f>IF($A666=1,"CC10","")</f>
        <v/>
      </c>
      <c r="K666" s="32">
        <f>IF($A666=1,"-","")</f>
        <v/>
      </c>
      <c r="L666" s="32">
        <f>IF($A666=1,"إيراد مبيعات - فئة أخرى","")</f>
        <v/>
      </c>
      <c r="M666" s="43">
        <f>IF($A666=1,0,"")</f>
        <v/>
      </c>
      <c r="N666" s="43">
        <f>IF($A666=1,Sales_Daily!$AG55,"")</f>
        <v/>
      </c>
      <c r="O666" s="32">
        <f>IF($A666=1,Sales_Daily!$S55,"")</f>
        <v/>
      </c>
      <c r="P666" s="32">
        <f>IF($A666=1,IF(Sales_Daily!$AW55="","",Sales_Daily!$AW55),"")</f>
        <v/>
      </c>
      <c r="Q666" s="32">
        <f>IF($A666=1,Sales_Daily!$AY55,"")</f>
        <v/>
      </c>
      <c r="R666" s="32">
        <f>IF($A666=1,IF(AND($Q666=1,COUNTIFS(COA!$A:$A,$G666,COA!$R:$R,1)=1),1,0),"")</f>
        <v/>
      </c>
      <c r="S666" s="43">
        <f>IF($A666=1,IF($R666=1,N($M666),0),"")</f>
        <v/>
      </c>
      <c r="T666" s="43">
        <f>IF($A666=1,IF($R666=1,N($N666),0),"")</f>
        <v/>
      </c>
      <c r="U666" s="32">
        <f>IF($A666=1,YEAR($D666)*100+MONTH($D666),"")</f>
        <v/>
      </c>
      <c r="V666" s="32">
        <f>IF($A666=1,IF(COUNTIF(COA!$A:$A,$G666)=0,0,INDEX(COA!$H:$H,MATCH($G666,COA!$A:$A,0))),"")</f>
        <v/>
      </c>
      <c r="W666" s="32">
        <f>IF($A666=1,"","")</f>
        <v/>
      </c>
      <c r="X666" s="32">
        <f>IF($A666=1,IF($R666=1,"",IF($O666=ST_POST,IF($P666&lt;&gt;"",$P666,"حساب غير صالح أو غير نشط"),IF($O666=ST_REV,"معكوس: لا أثر على الدفاتر",IF($O666=ST_CANC,"ملغى",IF($O666=ST_APPR,"معتمد ولم يُرحَّل","مسودة"))))),"")</f>
        <v/>
      </c>
      <c r="Y666" s="32">
        <f>IF($A666=1,IF(AND($R666=1,OR(LG_Acct="",$G666=LG_Acct),OR(LG_Party="",$K666=LG_Party),OR(LG_Loc="ALL",$I666=LG_Loc),OR(LG_CC="ALL",$J666=LG_CC),$D666&gt;=LG_From,$D666&lt;=LG_To),$D666+ROW()/1000000,""),"")</f>
        <v/>
      </c>
      <c r="Z666" s="32">
        <f>IF($A666=1,IF(Sales_Daily!$T55="","",Sales_Daily!$T55),"")</f>
        <v/>
      </c>
      <c r="AA666" s="32">
        <f>IF($A666=1,IF(Sales_Daily!$U55="","",Sales_Daily!$U55),"")</f>
        <v/>
      </c>
      <c r="AB666" s="32">
        <f>IF($A666=1,IF(Sales_Daily!$V55="","",Sales_Daily!$V55),"")</f>
        <v/>
      </c>
      <c r="AC666" s="32">
        <f>IF($A666=1,IF(Sales_Daily!$W55="","",Sales_Daily!$W55),"")</f>
        <v/>
      </c>
      <c r="AD666" s="32">
        <f>IF($A666=1,IF(Sales_Daily!$X55="","",Sales_Daily!$X55),"")</f>
        <v/>
      </c>
      <c r="AE666" s="32">
        <f>IF($A666=1,0,"")</f>
        <v/>
      </c>
      <c r="AF666" s="32" t="inlineStr"/>
    </row>
    <row r="667">
      <c r="A667" s="32">
        <f>IF(AND(Sales_Daily!$AV55=1,N(Sales_Daily!$AJ55)&gt;0),1,0)</f>
        <v/>
      </c>
      <c r="B667" s="32">
        <f>IF($A667=1,$E667&amp;"/13","")</f>
        <v/>
      </c>
      <c r="C667" s="32">
        <f>IF($A667=1,"J-"&amp;Sales_Daily!$A55,"")</f>
        <v/>
      </c>
      <c r="D667" s="33">
        <f>IF($A667=1,Sales_Daily!$B55,"")</f>
        <v/>
      </c>
      <c r="E667" s="32">
        <f>IF($A667=1,IF(Sales_Daily!$A55="","",Sales_Daily!$A55),"")</f>
        <v/>
      </c>
      <c r="F667" s="32">
        <f>IF($A667=1,"SAL","")</f>
        <v/>
      </c>
      <c r="G667" s="32">
        <f>IF($A667=1,ACC_VAT_OUT,"")</f>
        <v/>
      </c>
      <c r="H667" s="32">
        <f>IF($A667=1,IF(COUNTIF(COA!$A:$A,$G667)=0,"حساب غير معرف",INDEX(COA!$B:$B,MATCH($G667,COA!$A:$A,0))),"")</f>
        <v/>
      </c>
      <c r="I667" s="32">
        <f>IF($A667=1,IF(Sales_Daily!$C55="","",Sales_Daily!$C55),"")</f>
        <v/>
      </c>
      <c r="J667" s="32">
        <f>IF($A667=1,"CC10","")</f>
        <v/>
      </c>
      <c r="K667" s="32">
        <f>IF($A667=1,"-","")</f>
        <v/>
      </c>
      <c r="L667" s="32">
        <f>IF($A667=1,"ضريبة القيمة المضافة - مخرجات","")</f>
        <v/>
      </c>
      <c r="M667" s="43">
        <f>IF($A667=1,0,"")</f>
        <v/>
      </c>
      <c r="N667" s="43">
        <f>IF($A667=1,Sales_Daily!$AJ55,"")</f>
        <v/>
      </c>
      <c r="O667" s="32">
        <f>IF($A667=1,Sales_Daily!$S55,"")</f>
        <v/>
      </c>
      <c r="P667" s="32">
        <f>IF($A667=1,IF(Sales_Daily!$AW55="","",Sales_Daily!$AW55),"")</f>
        <v/>
      </c>
      <c r="Q667" s="32">
        <f>IF($A667=1,Sales_Daily!$AY55,"")</f>
        <v/>
      </c>
      <c r="R667" s="32">
        <f>IF($A667=1,IF(AND($Q667=1,COUNTIFS(COA!$A:$A,$G667,COA!$R:$R,1)=1),1,0),"")</f>
        <v/>
      </c>
      <c r="S667" s="43">
        <f>IF($A667=1,IF($R667=1,N($M667),0),"")</f>
        <v/>
      </c>
      <c r="T667" s="43">
        <f>IF($A667=1,IF($R667=1,N($N667),0),"")</f>
        <v/>
      </c>
      <c r="U667" s="32">
        <f>IF($A667=1,YEAR($D667)*100+MONTH($D667),"")</f>
        <v/>
      </c>
      <c r="V667" s="32">
        <f>IF($A667=1,IF(COUNTIF(COA!$A:$A,$G667)=0,0,INDEX(COA!$H:$H,MATCH($G667,COA!$A:$A,0))),"")</f>
        <v/>
      </c>
      <c r="W667" s="32">
        <f>IF($A667=1,"","")</f>
        <v/>
      </c>
      <c r="X667" s="32">
        <f>IF($A667=1,IF($R667=1,"",IF($O667=ST_POST,IF($P667&lt;&gt;"",$P667,"حساب غير صالح أو غير نشط"),IF($O667=ST_REV,"معكوس: لا أثر على الدفاتر",IF($O667=ST_CANC,"ملغى",IF($O667=ST_APPR,"معتمد ولم يُرحَّل","مسودة"))))),"")</f>
        <v/>
      </c>
      <c r="Y667" s="32">
        <f>IF($A667=1,IF(AND($R667=1,OR(LG_Acct="",$G667=LG_Acct),OR(LG_Party="",$K667=LG_Party),OR(LG_Loc="ALL",$I667=LG_Loc),OR(LG_CC="ALL",$J667=LG_CC),$D667&gt;=LG_From,$D667&lt;=LG_To),$D667+ROW()/1000000,""),"")</f>
        <v/>
      </c>
      <c r="Z667" s="32">
        <f>IF($A667=1,IF(Sales_Daily!$T55="","",Sales_Daily!$T55),"")</f>
        <v/>
      </c>
      <c r="AA667" s="32">
        <f>IF($A667=1,IF(Sales_Daily!$U55="","",Sales_Daily!$U55),"")</f>
        <v/>
      </c>
      <c r="AB667" s="32">
        <f>IF($A667=1,IF(Sales_Daily!$V55="","",Sales_Daily!$V55),"")</f>
        <v/>
      </c>
      <c r="AC667" s="32">
        <f>IF($A667=1,IF(Sales_Daily!$W55="","",Sales_Daily!$W55),"")</f>
        <v/>
      </c>
      <c r="AD667" s="32">
        <f>IF($A667=1,IF(Sales_Daily!$X55="","",Sales_Daily!$X55),"")</f>
        <v/>
      </c>
      <c r="AE667" s="32">
        <f>IF($A667=1,0,"")</f>
        <v/>
      </c>
      <c r="AF667" s="32" t="inlineStr"/>
    </row>
    <row r="668">
      <c r="A668" s="32">
        <f>IF(AND(Sales_Daily!$AV56=1,N(Sales_Daily!$L56)&gt;0),1,0)</f>
        <v/>
      </c>
      <c r="B668" s="32">
        <f>IF($A668=1,$E668&amp;"/1","")</f>
        <v/>
      </c>
      <c r="C668" s="32">
        <f>IF($A668=1,"J-"&amp;Sales_Daily!$A56,"")</f>
        <v/>
      </c>
      <c r="D668" s="33">
        <f>IF($A668=1,Sales_Daily!$B56,"")</f>
        <v/>
      </c>
      <c r="E668" s="32">
        <f>IF($A668=1,IF(Sales_Daily!$A56="","",Sales_Daily!$A56),"")</f>
        <v/>
      </c>
      <c r="F668" s="32">
        <f>IF($A668=1,"SAL","")</f>
        <v/>
      </c>
      <c r="G668" s="32">
        <f>IF($A668=1,IF(Sales_Daily!$AK56="","",Sales_Daily!$AK56),"")</f>
        <v/>
      </c>
      <c r="H668" s="32">
        <f>IF($A668=1,IF(COUNTIF(COA!$A:$A,$G668)=0,"حساب غير معرف",INDEX(COA!$B:$B,MATCH($G668,COA!$A:$A,0))),"")</f>
        <v/>
      </c>
      <c r="I668" s="32">
        <f>IF($A668=1,IF(Sales_Daily!$C56="","",Sales_Daily!$C56),"")</f>
        <v/>
      </c>
      <c r="J668" s="32">
        <f>IF($A668=1,"CC10","")</f>
        <v/>
      </c>
      <c r="K668" s="32">
        <f>IF($A668=1,"-","")</f>
        <v/>
      </c>
      <c r="L668" s="32">
        <f>IF($A668=1,"مبيعات - تحصيل CASH","")</f>
        <v/>
      </c>
      <c r="M668" s="43">
        <f>IF($A668=1,Sales_Daily!$L56,"")</f>
        <v/>
      </c>
      <c r="N668" s="43">
        <f>IF($A668=1,0,"")</f>
        <v/>
      </c>
      <c r="O668" s="32">
        <f>IF($A668=1,Sales_Daily!$S56,"")</f>
        <v/>
      </c>
      <c r="P668" s="32">
        <f>IF($A668=1,IF(Sales_Daily!$AW56="","",Sales_Daily!$AW56),"")</f>
        <v/>
      </c>
      <c r="Q668" s="32">
        <f>IF($A668=1,Sales_Daily!$AY56,"")</f>
        <v/>
      </c>
      <c r="R668" s="32">
        <f>IF($A668=1,IF(AND($Q668=1,COUNTIFS(COA!$A:$A,$G668,COA!$R:$R,1)=1),1,0),"")</f>
        <v/>
      </c>
      <c r="S668" s="43">
        <f>IF($A668=1,IF($R668=1,N($M668),0),"")</f>
        <v/>
      </c>
      <c r="T668" s="43">
        <f>IF($A668=1,IF($R668=1,N($N668),0),"")</f>
        <v/>
      </c>
      <c r="U668" s="32">
        <f>IF($A668=1,YEAR($D668)*100+MONTH($D668),"")</f>
        <v/>
      </c>
      <c r="V668" s="32">
        <f>IF($A668=1,IF(COUNTIF(COA!$A:$A,$G668)=0,0,INDEX(COA!$H:$H,MATCH($G668,COA!$A:$A,0))),"")</f>
        <v/>
      </c>
      <c r="W668" s="32">
        <f>IF($A668=1,"OPERATING","")</f>
        <v/>
      </c>
      <c r="X668" s="32">
        <f>IF($A668=1,IF($R668=1,"",IF($O668=ST_POST,IF($P668&lt;&gt;"",$P668,"حساب غير صالح أو غير نشط"),IF($O668=ST_REV,"معكوس: لا أثر على الدفاتر",IF($O668=ST_CANC,"ملغى",IF($O668=ST_APPR,"معتمد ولم يُرحَّل","مسودة"))))),"")</f>
        <v/>
      </c>
      <c r="Y668" s="32">
        <f>IF($A668=1,IF(AND($R668=1,OR(LG_Acct="",$G668=LG_Acct),OR(LG_Party="",$K668=LG_Party),OR(LG_Loc="ALL",$I668=LG_Loc),OR(LG_CC="ALL",$J668=LG_CC),$D668&gt;=LG_From,$D668&lt;=LG_To),$D668+ROW()/1000000,""),"")</f>
        <v/>
      </c>
      <c r="Z668" s="32">
        <f>IF($A668=1,IF(Sales_Daily!$T56="","",Sales_Daily!$T56),"")</f>
        <v/>
      </c>
      <c r="AA668" s="32">
        <f>IF($A668=1,IF(Sales_Daily!$U56="","",Sales_Daily!$U56),"")</f>
        <v/>
      </c>
      <c r="AB668" s="32">
        <f>IF($A668=1,IF(Sales_Daily!$V56="","",Sales_Daily!$V56),"")</f>
        <v/>
      </c>
      <c r="AC668" s="32">
        <f>IF($A668=1,IF(Sales_Daily!$W56="","",Sales_Daily!$W56),"")</f>
        <v/>
      </c>
      <c r="AD668" s="32">
        <f>IF($A668=1,IF(Sales_Daily!$X56="","",Sales_Daily!$X56),"")</f>
        <v/>
      </c>
      <c r="AE668" s="32">
        <f>IF($A668=1,0,"")</f>
        <v/>
      </c>
      <c r="AF668" s="32" t="inlineStr"/>
    </row>
    <row r="669">
      <c r="A669" s="32">
        <f>IF(AND(Sales_Daily!$AV56=1,N(Sales_Daily!$M56)&gt;0),1,0)</f>
        <v/>
      </c>
      <c r="B669" s="32">
        <f>IF($A669=1,$E669&amp;"/2","")</f>
        <v/>
      </c>
      <c r="C669" s="32">
        <f>IF($A669=1,"J-"&amp;Sales_Daily!$A56,"")</f>
        <v/>
      </c>
      <c r="D669" s="33">
        <f>IF($A669=1,Sales_Daily!$B56,"")</f>
        <v/>
      </c>
      <c r="E669" s="32">
        <f>IF($A669=1,IF(Sales_Daily!$A56="","",Sales_Daily!$A56),"")</f>
        <v/>
      </c>
      <c r="F669" s="32">
        <f>IF($A669=1,"SAL","")</f>
        <v/>
      </c>
      <c r="G669" s="32">
        <f>IF($A669=1,IF(Sales_Daily!$AL56="","",Sales_Daily!$AL56),"")</f>
        <v/>
      </c>
      <c r="H669" s="32">
        <f>IF($A669=1,IF(COUNTIF(COA!$A:$A,$G669)=0,"حساب غير معرف",INDEX(COA!$B:$B,MATCH($G669,COA!$A:$A,0))),"")</f>
        <v/>
      </c>
      <c r="I669" s="32">
        <f>IF($A669=1,IF(Sales_Daily!$C56="","",Sales_Daily!$C56),"")</f>
        <v/>
      </c>
      <c r="J669" s="32">
        <f>IF($A669=1,"CC10","")</f>
        <v/>
      </c>
      <c r="K669" s="32">
        <f>IF($A669=1,"-","")</f>
        <v/>
      </c>
      <c r="L669" s="32">
        <f>IF($A669=1,"مبيعات - تحصيل CARD","")</f>
        <v/>
      </c>
      <c r="M669" s="43">
        <f>IF($A669=1,Sales_Daily!$M56,"")</f>
        <v/>
      </c>
      <c r="N669" s="43">
        <f>IF($A669=1,0,"")</f>
        <v/>
      </c>
      <c r="O669" s="32">
        <f>IF($A669=1,Sales_Daily!$S56,"")</f>
        <v/>
      </c>
      <c r="P669" s="32">
        <f>IF($A669=1,IF(Sales_Daily!$AW56="","",Sales_Daily!$AW56),"")</f>
        <v/>
      </c>
      <c r="Q669" s="32">
        <f>IF($A669=1,Sales_Daily!$AY56,"")</f>
        <v/>
      </c>
      <c r="R669" s="32">
        <f>IF($A669=1,IF(AND($Q669=1,COUNTIFS(COA!$A:$A,$G669,COA!$R:$R,1)=1),1,0),"")</f>
        <v/>
      </c>
      <c r="S669" s="43">
        <f>IF($A669=1,IF($R669=1,N($M669),0),"")</f>
        <v/>
      </c>
      <c r="T669" s="43">
        <f>IF($A669=1,IF($R669=1,N($N669),0),"")</f>
        <v/>
      </c>
      <c r="U669" s="32">
        <f>IF($A669=1,YEAR($D669)*100+MONTH($D669),"")</f>
        <v/>
      </c>
      <c r="V669" s="32">
        <f>IF($A669=1,IF(COUNTIF(COA!$A:$A,$G669)=0,0,INDEX(COA!$H:$H,MATCH($G669,COA!$A:$A,0))),"")</f>
        <v/>
      </c>
      <c r="W669" s="32">
        <f>IF($A669=1,"OPERATING","")</f>
        <v/>
      </c>
      <c r="X669" s="32">
        <f>IF($A669=1,IF($R669=1,"",IF($O669=ST_POST,IF($P669&lt;&gt;"",$P669,"حساب غير صالح أو غير نشط"),IF($O669=ST_REV,"معكوس: لا أثر على الدفاتر",IF($O669=ST_CANC,"ملغى",IF($O669=ST_APPR,"معتمد ولم يُرحَّل","مسودة"))))),"")</f>
        <v/>
      </c>
      <c r="Y669" s="32">
        <f>IF($A669=1,IF(AND($R669=1,OR(LG_Acct="",$G669=LG_Acct),OR(LG_Party="",$K669=LG_Party),OR(LG_Loc="ALL",$I669=LG_Loc),OR(LG_CC="ALL",$J669=LG_CC),$D669&gt;=LG_From,$D669&lt;=LG_To),$D669+ROW()/1000000,""),"")</f>
        <v/>
      </c>
      <c r="Z669" s="32">
        <f>IF($A669=1,IF(Sales_Daily!$T56="","",Sales_Daily!$T56),"")</f>
        <v/>
      </c>
      <c r="AA669" s="32">
        <f>IF($A669=1,IF(Sales_Daily!$U56="","",Sales_Daily!$U56),"")</f>
        <v/>
      </c>
      <c r="AB669" s="32">
        <f>IF($A669=1,IF(Sales_Daily!$V56="","",Sales_Daily!$V56),"")</f>
        <v/>
      </c>
      <c r="AC669" s="32">
        <f>IF($A669=1,IF(Sales_Daily!$W56="","",Sales_Daily!$W56),"")</f>
        <v/>
      </c>
      <c r="AD669" s="32">
        <f>IF($A669=1,IF(Sales_Daily!$X56="","",Sales_Daily!$X56),"")</f>
        <v/>
      </c>
      <c r="AE669" s="32">
        <f>IF($A669=1,0,"")</f>
        <v/>
      </c>
      <c r="AF669" s="32" t="inlineStr"/>
    </row>
    <row r="670">
      <c r="A670" s="32">
        <f>IF(AND(Sales_Daily!$AV56=1,N(Sales_Daily!$N56)&gt;0),1,0)</f>
        <v/>
      </c>
      <c r="B670" s="32">
        <f>IF($A670=1,$E670&amp;"/3","")</f>
        <v/>
      </c>
      <c r="C670" s="32">
        <f>IF($A670=1,"J-"&amp;Sales_Daily!$A56,"")</f>
        <v/>
      </c>
      <c r="D670" s="33">
        <f>IF($A670=1,Sales_Daily!$B56,"")</f>
        <v/>
      </c>
      <c r="E670" s="32">
        <f>IF($A670=1,IF(Sales_Daily!$A56="","",Sales_Daily!$A56),"")</f>
        <v/>
      </c>
      <c r="F670" s="32">
        <f>IF($A670=1,"SAL","")</f>
        <v/>
      </c>
      <c r="G670" s="32">
        <f>IF($A670=1,IF(Sales_Daily!$AM56="","",Sales_Daily!$AM56),"")</f>
        <v/>
      </c>
      <c r="H670" s="32">
        <f>IF($A670=1,IF(COUNTIF(COA!$A:$A,$G670)=0,"حساب غير معرف",INDEX(COA!$B:$B,MATCH($G670,COA!$A:$A,0))),"")</f>
        <v/>
      </c>
      <c r="I670" s="32">
        <f>IF($A670=1,IF(Sales_Daily!$C56="","",Sales_Daily!$C56),"")</f>
        <v/>
      </c>
      <c r="J670" s="32">
        <f>IF($A670=1,"CC10","")</f>
        <v/>
      </c>
      <c r="K670" s="32">
        <f>IF($A670=1,"-","")</f>
        <v/>
      </c>
      <c r="L670" s="32">
        <f>IF($A670=1,"مبيعات - تحصيل TLB","")</f>
        <v/>
      </c>
      <c r="M670" s="43">
        <f>IF($A670=1,Sales_Daily!$N56,"")</f>
        <v/>
      </c>
      <c r="N670" s="43">
        <f>IF($A670=1,0,"")</f>
        <v/>
      </c>
      <c r="O670" s="32">
        <f>IF($A670=1,Sales_Daily!$S56,"")</f>
        <v/>
      </c>
      <c r="P670" s="32">
        <f>IF($A670=1,IF(Sales_Daily!$AW56="","",Sales_Daily!$AW56),"")</f>
        <v/>
      </c>
      <c r="Q670" s="32">
        <f>IF($A670=1,Sales_Daily!$AY56,"")</f>
        <v/>
      </c>
      <c r="R670" s="32">
        <f>IF($A670=1,IF(AND($Q670=1,COUNTIFS(COA!$A:$A,$G670,COA!$R:$R,1)=1),1,0),"")</f>
        <v/>
      </c>
      <c r="S670" s="43">
        <f>IF($A670=1,IF($R670=1,N($M670),0),"")</f>
        <v/>
      </c>
      <c r="T670" s="43">
        <f>IF($A670=1,IF($R670=1,N($N670),0),"")</f>
        <v/>
      </c>
      <c r="U670" s="32">
        <f>IF($A670=1,YEAR($D670)*100+MONTH($D670),"")</f>
        <v/>
      </c>
      <c r="V670" s="32">
        <f>IF($A670=1,IF(COUNTIF(COA!$A:$A,$G670)=0,0,INDEX(COA!$H:$H,MATCH($G670,COA!$A:$A,0))),"")</f>
        <v/>
      </c>
      <c r="W670" s="32">
        <f>IF($A670=1,"OPERATING","")</f>
        <v/>
      </c>
      <c r="X670" s="32">
        <f>IF($A670=1,IF($R670=1,"",IF($O670=ST_POST,IF($P670&lt;&gt;"",$P670,"حساب غير صالح أو غير نشط"),IF($O670=ST_REV,"معكوس: لا أثر على الدفاتر",IF($O670=ST_CANC,"ملغى",IF($O670=ST_APPR,"معتمد ولم يُرحَّل","مسودة"))))),"")</f>
        <v/>
      </c>
      <c r="Y670" s="32">
        <f>IF($A670=1,IF(AND($R670=1,OR(LG_Acct="",$G670=LG_Acct),OR(LG_Party="",$K670=LG_Party),OR(LG_Loc="ALL",$I670=LG_Loc),OR(LG_CC="ALL",$J670=LG_CC),$D670&gt;=LG_From,$D670&lt;=LG_To),$D670+ROW()/1000000,""),"")</f>
        <v/>
      </c>
      <c r="Z670" s="32">
        <f>IF($A670=1,IF(Sales_Daily!$T56="","",Sales_Daily!$T56),"")</f>
        <v/>
      </c>
      <c r="AA670" s="32">
        <f>IF($A670=1,IF(Sales_Daily!$U56="","",Sales_Daily!$U56),"")</f>
        <v/>
      </c>
      <c r="AB670" s="32">
        <f>IF($A670=1,IF(Sales_Daily!$V56="","",Sales_Daily!$V56),"")</f>
        <v/>
      </c>
      <c r="AC670" s="32">
        <f>IF($A670=1,IF(Sales_Daily!$W56="","",Sales_Daily!$W56),"")</f>
        <v/>
      </c>
      <c r="AD670" s="32">
        <f>IF($A670=1,IF(Sales_Daily!$X56="","",Sales_Daily!$X56),"")</f>
        <v/>
      </c>
      <c r="AE670" s="32">
        <f>IF($A670=1,0,"")</f>
        <v/>
      </c>
      <c r="AF670" s="32" t="inlineStr"/>
    </row>
    <row r="671">
      <c r="A671" s="32">
        <f>IF(AND(Sales_Daily!$AV56=1,N(Sales_Daily!$O56)&gt;0),1,0)</f>
        <v/>
      </c>
      <c r="B671" s="32">
        <f>IF($A671=1,$E671&amp;"/4","")</f>
        <v/>
      </c>
      <c r="C671" s="32">
        <f>IF($A671=1,"J-"&amp;Sales_Daily!$A56,"")</f>
        <v/>
      </c>
      <c r="D671" s="33">
        <f>IF($A671=1,Sales_Daily!$B56,"")</f>
        <v/>
      </c>
      <c r="E671" s="32">
        <f>IF($A671=1,IF(Sales_Daily!$A56="","",Sales_Daily!$A56),"")</f>
        <v/>
      </c>
      <c r="F671" s="32">
        <f>IF($A671=1,"SAL","")</f>
        <v/>
      </c>
      <c r="G671" s="32">
        <f>IF($A671=1,IF(Sales_Daily!$AN56="","",Sales_Daily!$AN56),"")</f>
        <v/>
      </c>
      <c r="H671" s="32">
        <f>IF($A671=1,IF(COUNTIF(COA!$A:$A,$G671)=0,"حساب غير معرف",INDEX(COA!$B:$B,MATCH($G671,COA!$A:$A,0))),"")</f>
        <v/>
      </c>
      <c r="I671" s="32">
        <f>IF($A671=1,IF(Sales_Daily!$C56="","",Sales_Daily!$C56),"")</f>
        <v/>
      </c>
      <c r="J671" s="32">
        <f>IF($A671=1,"CC10","")</f>
        <v/>
      </c>
      <c r="K671" s="32">
        <f>IF($A671=1,"-","")</f>
        <v/>
      </c>
      <c r="L671" s="32">
        <f>IF($A671=1,"مبيعات - تحصيل DLV2","")</f>
        <v/>
      </c>
      <c r="M671" s="43">
        <f>IF($A671=1,Sales_Daily!$O56,"")</f>
        <v/>
      </c>
      <c r="N671" s="43">
        <f>IF($A671=1,0,"")</f>
        <v/>
      </c>
      <c r="O671" s="32">
        <f>IF($A671=1,Sales_Daily!$S56,"")</f>
        <v/>
      </c>
      <c r="P671" s="32">
        <f>IF($A671=1,IF(Sales_Daily!$AW56="","",Sales_Daily!$AW56),"")</f>
        <v/>
      </c>
      <c r="Q671" s="32">
        <f>IF($A671=1,Sales_Daily!$AY56,"")</f>
        <v/>
      </c>
      <c r="R671" s="32">
        <f>IF($A671=1,IF(AND($Q671=1,COUNTIFS(COA!$A:$A,$G671,COA!$R:$R,1)=1),1,0),"")</f>
        <v/>
      </c>
      <c r="S671" s="43">
        <f>IF($A671=1,IF($R671=1,N($M671),0),"")</f>
        <v/>
      </c>
      <c r="T671" s="43">
        <f>IF($A671=1,IF($R671=1,N($N671),0),"")</f>
        <v/>
      </c>
      <c r="U671" s="32">
        <f>IF($A671=1,YEAR($D671)*100+MONTH($D671),"")</f>
        <v/>
      </c>
      <c r="V671" s="32">
        <f>IF($A671=1,IF(COUNTIF(COA!$A:$A,$G671)=0,0,INDEX(COA!$H:$H,MATCH($G671,COA!$A:$A,0))),"")</f>
        <v/>
      </c>
      <c r="W671" s="32">
        <f>IF($A671=1,"OPERATING","")</f>
        <v/>
      </c>
      <c r="X671" s="32">
        <f>IF($A671=1,IF($R671=1,"",IF($O671=ST_POST,IF($P671&lt;&gt;"",$P671,"حساب غير صالح أو غير نشط"),IF($O671=ST_REV,"معكوس: لا أثر على الدفاتر",IF($O671=ST_CANC,"ملغى",IF($O671=ST_APPR,"معتمد ولم يُرحَّل","مسودة"))))),"")</f>
        <v/>
      </c>
      <c r="Y671" s="32">
        <f>IF($A671=1,IF(AND($R671=1,OR(LG_Acct="",$G671=LG_Acct),OR(LG_Party="",$K671=LG_Party),OR(LG_Loc="ALL",$I671=LG_Loc),OR(LG_CC="ALL",$J671=LG_CC),$D671&gt;=LG_From,$D671&lt;=LG_To),$D671+ROW()/1000000,""),"")</f>
        <v/>
      </c>
      <c r="Z671" s="32">
        <f>IF($A671=1,IF(Sales_Daily!$T56="","",Sales_Daily!$T56),"")</f>
        <v/>
      </c>
      <c r="AA671" s="32">
        <f>IF($A671=1,IF(Sales_Daily!$U56="","",Sales_Daily!$U56),"")</f>
        <v/>
      </c>
      <c r="AB671" s="32">
        <f>IF($A671=1,IF(Sales_Daily!$V56="","",Sales_Daily!$V56),"")</f>
        <v/>
      </c>
      <c r="AC671" s="32">
        <f>IF($A671=1,IF(Sales_Daily!$W56="","",Sales_Daily!$W56),"")</f>
        <v/>
      </c>
      <c r="AD671" s="32">
        <f>IF($A671=1,IF(Sales_Daily!$X56="","",Sales_Daily!$X56),"")</f>
        <v/>
      </c>
      <c r="AE671" s="32">
        <f>IF($A671=1,0,"")</f>
        <v/>
      </c>
      <c r="AF671" s="32" t="inlineStr"/>
    </row>
    <row r="672">
      <c r="A672" s="32">
        <f>IF(AND(Sales_Daily!$AV56=1,N(Sales_Daily!$P56)&gt;0),1,0)</f>
        <v/>
      </c>
      <c r="B672" s="32">
        <f>IF($A672=1,$E672&amp;"/5","")</f>
        <v/>
      </c>
      <c r="C672" s="32">
        <f>IF($A672=1,"J-"&amp;Sales_Daily!$A56,"")</f>
        <v/>
      </c>
      <c r="D672" s="33">
        <f>IF($A672=1,Sales_Daily!$B56,"")</f>
        <v/>
      </c>
      <c r="E672" s="32">
        <f>IF($A672=1,IF(Sales_Daily!$A56="","",Sales_Daily!$A56),"")</f>
        <v/>
      </c>
      <c r="F672" s="32">
        <f>IF($A672=1,"SAL","")</f>
        <v/>
      </c>
      <c r="G672" s="32">
        <f>IF($A672=1,IF(Sales_Daily!$AO56="","",Sales_Daily!$AO56),"")</f>
        <v/>
      </c>
      <c r="H672" s="32">
        <f>IF($A672=1,IF(COUNTIF(COA!$A:$A,$G672)=0,"حساب غير معرف",INDEX(COA!$B:$B,MATCH($G672,COA!$A:$A,0))),"")</f>
        <v/>
      </c>
      <c r="I672" s="32">
        <f>IF($A672=1,IF(Sales_Daily!$C56="","",Sales_Daily!$C56),"")</f>
        <v/>
      </c>
      <c r="J672" s="32">
        <f>IF($A672=1,"CC10","")</f>
        <v/>
      </c>
      <c r="K672" s="32">
        <f>IF($A672=1,"-","")</f>
        <v/>
      </c>
      <c r="L672" s="32">
        <f>IF($A672=1,"مبيعات - تحصيل INSTA","")</f>
        <v/>
      </c>
      <c r="M672" s="43">
        <f>IF($A672=1,Sales_Daily!$P56,"")</f>
        <v/>
      </c>
      <c r="N672" s="43">
        <f>IF($A672=1,0,"")</f>
        <v/>
      </c>
      <c r="O672" s="32">
        <f>IF($A672=1,Sales_Daily!$S56,"")</f>
        <v/>
      </c>
      <c r="P672" s="32">
        <f>IF($A672=1,IF(Sales_Daily!$AW56="","",Sales_Daily!$AW56),"")</f>
        <v/>
      </c>
      <c r="Q672" s="32">
        <f>IF($A672=1,Sales_Daily!$AY56,"")</f>
        <v/>
      </c>
      <c r="R672" s="32">
        <f>IF($A672=1,IF(AND($Q672=1,COUNTIFS(COA!$A:$A,$G672,COA!$R:$R,1)=1),1,0),"")</f>
        <v/>
      </c>
      <c r="S672" s="43">
        <f>IF($A672=1,IF($R672=1,N($M672),0),"")</f>
        <v/>
      </c>
      <c r="T672" s="43">
        <f>IF($A672=1,IF($R672=1,N($N672),0),"")</f>
        <v/>
      </c>
      <c r="U672" s="32">
        <f>IF($A672=1,YEAR($D672)*100+MONTH($D672),"")</f>
        <v/>
      </c>
      <c r="V672" s="32">
        <f>IF($A672=1,IF(COUNTIF(COA!$A:$A,$G672)=0,0,INDEX(COA!$H:$H,MATCH($G672,COA!$A:$A,0))),"")</f>
        <v/>
      </c>
      <c r="W672" s="32">
        <f>IF($A672=1,"OPERATING","")</f>
        <v/>
      </c>
      <c r="X672" s="32">
        <f>IF($A672=1,IF($R672=1,"",IF($O672=ST_POST,IF($P672&lt;&gt;"",$P672,"حساب غير صالح أو غير نشط"),IF($O672=ST_REV,"معكوس: لا أثر على الدفاتر",IF($O672=ST_CANC,"ملغى",IF($O672=ST_APPR,"معتمد ولم يُرحَّل","مسودة"))))),"")</f>
        <v/>
      </c>
      <c r="Y672" s="32">
        <f>IF($A672=1,IF(AND($R672=1,OR(LG_Acct="",$G672=LG_Acct),OR(LG_Party="",$K672=LG_Party),OR(LG_Loc="ALL",$I672=LG_Loc),OR(LG_CC="ALL",$J672=LG_CC),$D672&gt;=LG_From,$D672&lt;=LG_To),$D672+ROW()/1000000,""),"")</f>
        <v/>
      </c>
      <c r="Z672" s="32">
        <f>IF($A672=1,IF(Sales_Daily!$T56="","",Sales_Daily!$T56),"")</f>
        <v/>
      </c>
      <c r="AA672" s="32">
        <f>IF($A672=1,IF(Sales_Daily!$U56="","",Sales_Daily!$U56),"")</f>
        <v/>
      </c>
      <c r="AB672" s="32">
        <f>IF($A672=1,IF(Sales_Daily!$V56="","",Sales_Daily!$V56),"")</f>
        <v/>
      </c>
      <c r="AC672" s="32">
        <f>IF($A672=1,IF(Sales_Daily!$W56="","",Sales_Daily!$W56),"")</f>
        <v/>
      </c>
      <c r="AD672" s="32">
        <f>IF($A672=1,IF(Sales_Daily!$X56="","",Sales_Daily!$X56),"")</f>
        <v/>
      </c>
      <c r="AE672" s="32">
        <f>IF($A672=1,0,"")</f>
        <v/>
      </c>
      <c r="AF672" s="32" t="inlineStr"/>
    </row>
    <row r="673">
      <c r="A673" s="32">
        <f>IF(AND(Sales_Daily!$AV56=1,N(Sales_Daily!$Q56)&gt;0),1,0)</f>
        <v/>
      </c>
      <c r="B673" s="32">
        <f>IF($A673=1,$E673&amp;"/6","")</f>
        <v/>
      </c>
      <c r="C673" s="32">
        <f>IF($A673=1,"J-"&amp;Sales_Daily!$A56,"")</f>
        <v/>
      </c>
      <c r="D673" s="33">
        <f>IF($A673=1,Sales_Daily!$B56,"")</f>
        <v/>
      </c>
      <c r="E673" s="32">
        <f>IF($A673=1,IF(Sales_Daily!$A56="","",Sales_Daily!$A56),"")</f>
        <v/>
      </c>
      <c r="F673" s="32">
        <f>IF($A673=1,"SAL","")</f>
        <v/>
      </c>
      <c r="G673" s="32">
        <f>IF($A673=1,IF(Sales_Daily!$AP56="","",Sales_Daily!$AP56),"")</f>
        <v/>
      </c>
      <c r="H673" s="32">
        <f>IF($A673=1,IF(COUNTIF(COA!$A:$A,$G673)=0,"حساب غير معرف",INDEX(COA!$B:$B,MATCH($G673,COA!$A:$A,0))),"")</f>
        <v/>
      </c>
      <c r="I673" s="32">
        <f>IF($A673=1,IF(Sales_Daily!$C56="","",Sales_Daily!$C56),"")</f>
        <v/>
      </c>
      <c r="J673" s="32">
        <f>IF($A673=1,"CC10","")</f>
        <v/>
      </c>
      <c r="K673" s="32">
        <f>IF($A673=1,"-","")</f>
        <v/>
      </c>
      <c r="L673" s="32">
        <f>IF($A673=1,"مبيعات - تحصيل OTH","")</f>
        <v/>
      </c>
      <c r="M673" s="43">
        <f>IF($A673=1,Sales_Daily!$Q56,"")</f>
        <v/>
      </c>
      <c r="N673" s="43">
        <f>IF($A673=1,0,"")</f>
        <v/>
      </c>
      <c r="O673" s="32">
        <f>IF($A673=1,Sales_Daily!$S56,"")</f>
        <v/>
      </c>
      <c r="P673" s="32">
        <f>IF($A673=1,IF(Sales_Daily!$AW56="","",Sales_Daily!$AW56),"")</f>
        <v/>
      </c>
      <c r="Q673" s="32">
        <f>IF($A673=1,Sales_Daily!$AY56,"")</f>
        <v/>
      </c>
      <c r="R673" s="32">
        <f>IF($A673=1,IF(AND($Q673=1,COUNTIFS(COA!$A:$A,$G673,COA!$R:$R,1)=1),1,0),"")</f>
        <v/>
      </c>
      <c r="S673" s="43">
        <f>IF($A673=1,IF($R673=1,N($M673),0),"")</f>
        <v/>
      </c>
      <c r="T673" s="43">
        <f>IF($A673=1,IF($R673=1,N($N673),0),"")</f>
        <v/>
      </c>
      <c r="U673" s="32">
        <f>IF($A673=1,YEAR($D673)*100+MONTH($D673),"")</f>
        <v/>
      </c>
      <c r="V673" s="32">
        <f>IF($A673=1,IF(COUNTIF(COA!$A:$A,$G673)=0,0,INDEX(COA!$H:$H,MATCH($G673,COA!$A:$A,0))),"")</f>
        <v/>
      </c>
      <c r="W673" s="32">
        <f>IF($A673=1,"OPERATING","")</f>
        <v/>
      </c>
      <c r="X673" s="32">
        <f>IF($A673=1,IF($R673=1,"",IF($O673=ST_POST,IF($P673&lt;&gt;"",$P673,"حساب غير صالح أو غير نشط"),IF($O673=ST_REV,"معكوس: لا أثر على الدفاتر",IF($O673=ST_CANC,"ملغى",IF($O673=ST_APPR,"معتمد ولم يُرحَّل","مسودة"))))),"")</f>
        <v/>
      </c>
      <c r="Y673" s="32">
        <f>IF($A673=1,IF(AND($R673=1,OR(LG_Acct="",$G673=LG_Acct),OR(LG_Party="",$K673=LG_Party),OR(LG_Loc="ALL",$I673=LG_Loc),OR(LG_CC="ALL",$J673=LG_CC),$D673&gt;=LG_From,$D673&lt;=LG_To),$D673+ROW()/1000000,""),"")</f>
        <v/>
      </c>
      <c r="Z673" s="32">
        <f>IF($A673=1,IF(Sales_Daily!$T56="","",Sales_Daily!$T56),"")</f>
        <v/>
      </c>
      <c r="AA673" s="32">
        <f>IF($A673=1,IF(Sales_Daily!$U56="","",Sales_Daily!$U56),"")</f>
        <v/>
      </c>
      <c r="AB673" s="32">
        <f>IF($A673=1,IF(Sales_Daily!$V56="","",Sales_Daily!$V56),"")</f>
        <v/>
      </c>
      <c r="AC673" s="32">
        <f>IF($A673=1,IF(Sales_Daily!$W56="","",Sales_Daily!$W56),"")</f>
        <v/>
      </c>
      <c r="AD673" s="32">
        <f>IF($A673=1,IF(Sales_Daily!$X56="","",Sales_Daily!$X56),"")</f>
        <v/>
      </c>
      <c r="AE673" s="32">
        <f>IF($A673=1,0,"")</f>
        <v/>
      </c>
      <c r="AF673" s="32" t="inlineStr"/>
    </row>
    <row r="674">
      <c r="A674" s="32">
        <f>IF(AND(Sales_Daily!$AV56=1,N(Sales_Daily!$AH56)&gt;0),1,0)</f>
        <v/>
      </c>
      <c r="B674" s="32">
        <f>IF($A674=1,$E674&amp;"/7","")</f>
        <v/>
      </c>
      <c r="C674" s="32">
        <f>IF($A674=1,"J-"&amp;Sales_Daily!$A56,"")</f>
        <v/>
      </c>
      <c r="D674" s="33">
        <f>IF($A674=1,Sales_Daily!$B56,"")</f>
        <v/>
      </c>
      <c r="E674" s="32">
        <f>IF($A674=1,IF(Sales_Daily!$A56="","",Sales_Daily!$A56),"")</f>
        <v/>
      </c>
      <c r="F674" s="32">
        <f>IF($A674=1,"SAL","")</f>
        <v/>
      </c>
      <c r="G674" s="32">
        <f>IF($A674=1,ACC_DISC,"")</f>
        <v/>
      </c>
      <c r="H674" s="32">
        <f>IF($A674=1,IF(COUNTIF(COA!$A:$A,$G674)=0,"حساب غير معرف",INDEX(COA!$B:$B,MATCH($G674,COA!$A:$A,0))),"")</f>
        <v/>
      </c>
      <c r="I674" s="32">
        <f>IF($A674=1,IF(Sales_Daily!$C56="","",Sales_Daily!$C56),"")</f>
        <v/>
      </c>
      <c r="J674" s="32">
        <f>IF($A674=1,"CC10","")</f>
        <v/>
      </c>
      <c r="K674" s="32">
        <f>IF($A674=1,"-","")</f>
        <v/>
      </c>
      <c r="L674" s="32">
        <f>IF($A674=1,"خصومات المبيعات والعروض","")</f>
        <v/>
      </c>
      <c r="M674" s="43">
        <f>IF($A674=1,Sales_Daily!$AH56,"")</f>
        <v/>
      </c>
      <c r="N674" s="43">
        <f>IF($A674=1,0,"")</f>
        <v/>
      </c>
      <c r="O674" s="32">
        <f>IF($A674=1,Sales_Daily!$S56,"")</f>
        <v/>
      </c>
      <c r="P674" s="32">
        <f>IF($A674=1,IF(Sales_Daily!$AW56="","",Sales_Daily!$AW56),"")</f>
        <v/>
      </c>
      <c r="Q674" s="32">
        <f>IF($A674=1,Sales_Daily!$AY56,"")</f>
        <v/>
      </c>
      <c r="R674" s="32">
        <f>IF($A674=1,IF(AND($Q674=1,COUNTIFS(COA!$A:$A,$G674,COA!$R:$R,1)=1),1,0),"")</f>
        <v/>
      </c>
      <c r="S674" s="43">
        <f>IF($A674=1,IF($R674=1,N($M674),0),"")</f>
        <v/>
      </c>
      <c r="T674" s="43">
        <f>IF($A674=1,IF($R674=1,N($N674),0),"")</f>
        <v/>
      </c>
      <c r="U674" s="32">
        <f>IF($A674=1,YEAR($D674)*100+MONTH($D674),"")</f>
        <v/>
      </c>
      <c r="V674" s="32">
        <f>IF($A674=1,IF(COUNTIF(COA!$A:$A,$G674)=0,0,INDEX(COA!$H:$H,MATCH($G674,COA!$A:$A,0))),"")</f>
        <v/>
      </c>
      <c r="W674" s="32">
        <f>IF($A674=1,"","")</f>
        <v/>
      </c>
      <c r="X674" s="32">
        <f>IF($A674=1,IF($R674=1,"",IF($O674=ST_POST,IF($P674&lt;&gt;"",$P674,"حساب غير صالح أو غير نشط"),IF($O674=ST_REV,"معكوس: لا أثر على الدفاتر",IF($O674=ST_CANC,"ملغى",IF($O674=ST_APPR,"معتمد ولم يُرحَّل","مسودة"))))),"")</f>
        <v/>
      </c>
      <c r="Y674" s="32">
        <f>IF($A674=1,IF(AND($R674=1,OR(LG_Acct="",$G674=LG_Acct),OR(LG_Party="",$K674=LG_Party),OR(LG_Loc="ALL",$I674=LG_Loc),OR(LG_CC="ALL",$J674=LG_CC),$D674&gt;=LG_From,$D674&lt;=LG_To),$D674+ROW()/1000000,""),"")</f>
        <v/>
      </c>
      <c r="Z674" s="32">
        <f>IF($A674=1,IF(Sales_Daily!$T56="","",Sales_Daily!$T56),"")</f>
        <v/>
      </c>
      <c r="AA674" s="32">
        <f>IF($A674=1,IF(Sales_Daily!$U56="","",Sales_Daily!$U56),"")</f>
        <v/>
      </c>
      <c r="AB674" s="32">
        <f>IF($A674=1,IF(Sales_Daily!$V56="","",Sales_Daily!$V56),"")</f>
        <v/>
      </c>
      <c r="AC674" s="32">
        <f>IF($A674=1,IF(Sales_Daily!$W56="","",Sales_Daily!$W56),"")</f>
        <v/>
      </c>
      <c r="AD674" s="32">
        <f>IF($A674=1,IF(Sales_Daily!$X56="","",Sales_Daily!$X56),"")</f>
        <v/>
      </c>
      <c r="AE674" s="32">
        <f>IF($A674=1,0,"")</f>
        <v/>
      </c>
      <c r="AF674" s="32" t="inlineStr"/>
    </row>
    <row r="675">
      <c r="A675" s="32">
        <f>IF(AND(Sales_Daily!$AV56=1,N(Sales_Daily!$AI56)&gt;0),1,0)</f>
        <v/>
      </c>
      <c r="B675" s="32">
        <f>IF($A675=1,$E675&amp;"/8","")</f>
        <v/>
      </c>
      <c r="C675" s="32">
        <f>IF($A675=1,"J-"&amp;Sales_Daily!$A56,"")</f>
        <v/>
      </c>
      <c r="D675" s="33">
        <f>IF($A675=1,Sales_Daily!$B56,"")</f>
        <v/>
      </c>
      <c r="E675" s="32">
        <f>IF($A675=1,IF(Sales_Daily!$A56="","",Sales_Daily!$A56),"")</f>
        <v/>
      </c>
      <c r="F675" s="32">
        <f>IF($A675=1,"SAL","")</f>
        <v/>
      </c>
      <c r="G675" s="32">
        <f>IF($A675=1,ACC_RET,"")</f>
        <v/>
      </c>
      <c r="H675" s="32">
        <f>IF($A675=1,IF(COUNTIF(COA!$A:$A,$G675)=0,"حساب غير معرف",INDEX(COA!$B:$B,MATCH($G675,COA!$A:$A,0))),"")</f>
        <v/>
      </c>
      <c r="I675" s="32">
        <f>IF($A675=1,IF(Sales_Daily!$C56="","",Sales_Daily!$C56),"")</f>
        <v/>
      </c>
      <c r="J675" s="32">
        <f>IF($A675=1,"CC10","")</f>
        <v/>
      </c>
      <c r="K675" s="32">
        <f>IF($A675=1,"-","")</f>
        <v/>
      </c>
      <c r="L675" s="32">
        <f>IF($A675=1,"مرتجعات وإلغاءات المبيعات","")</f>
        <v/>
      </c>
      <c r="M675" s="43">
        <f>IF($A675=1,Sales_Daily!$AI56,"")</f>
        <v/>
      </c>
      <c r="N675" s="43">
        <f>IF($A675=1,0,"")</f>
        <v/>
      </c>
      <c r="O675" s="32">
        <f>IF($A675=1,Sales_Daily!$S56,"")</f>
        <v/>
      </c>
      <c r="P675" s="32">
        <f>IF($A675=1,IF(Sales_Daily!$AW56="","",Sales_Daily!$AW56),"")</f>
        <v/>
      </c>
      <c r="Q675" s="32">
        <f>IF($A675=1,Sales_Daily!$AY56,"")</f>
        <v/>
      </c>
      <c r="R675" s="32">
        <f>IF($A675=1,IF(AND($Q675=1,COUNTIFS(COA!$A:$A,$G675,COA!$R:$R,1)=1),1,0),"")</f>
        <v/>
      </c>
      <c r="S675" s="43">
        <f>IF($A675=1,IF($R675=1,N($M675),0),"")</f>
        <v/>
      </c>
      <c r="T675" s="43">
        <f>IF($A675=1,IF($R675=1,N($N675),0),"")</f>
        <v/>
      </c>
      <c r="U675" s="32">
        <f>IF($A675=1,YEAR($D675)*100+MONTH($D675),"")</f>
        <v/>
      </c>
      <c r="V675" s="32">
        <f>IF($A675=1,IF(COUNTIF(COA!$A:$A,$G675)=0,0,INDEX(COA!$H:$H,MATCH($G675,COA!$A:$A,0))),"")</f>
        <v/>
      </c>
      <c r="W675" s="32">
        <f>IF($A675=1,"","")</f>
        <v/>
      </c>
      <c r="X675" s="32">
        <f>IF($A675=1,IF($R675=1,"",IF($O675=ST_POST,IF($P675&lt;&gt;"",$P675,"حساب غير صالح أو غير نشط"),IF($O675=ST_REV,"معكوس: لا أثر على الدفاتر",IF($O675=ST_CANC,"ملغى",IF($O675=ST_APPR,"معتمد ولم يُرحَّل","مسودة"))))),"")</f>
        <v/>
      </c>
      <c r="Y675" s="32">
        <f>IF($A675=1,IF(AND($R675=1,OR(LG_Acct="",$G675=LG_Acct),OR(LG_Party="",$K675=LG_Party),OR(LG_Loc="ALL",$I675=LG_Loc),OR(LG_CC="ALL",$J675=LG_CC),$D675&gt;=LG_From,$D675&lt;=LG_To),$D675+ROW()/1000000,""),"")</f>
        <v/>
      </c>
      <c r="Z675" s="32">
        <f>IF($A675=1,IF(Sales_Daily!$T56="","",Sales_Daily!$T56),"")</f>
        <v/>
      </c>
      <c r="AA675" s="32">
        <f>IF($A675=1,IF(Sales_Daily!$U56="","",Sales_Daily!$U56),"")</f>
        <v/>
      </c>
      <c r="AB675" s="32">
        <f>IF($A675=1,IF(Sales_Daily!$V56="","",Sales_Daily!$V56),"")</f>
        <v/>
      </c>
      <c r="AC675" s="32">
        <f>IF($A675=1,IF(Sales_Daily!$W56="","",Sales_Daily!$W56),"")</f>
        <v/>
      </c>
      <c r="AD675" s="32">
        <f>IF($A675=1,IF(Sales_Daily!$X56="","",Sales_Daily!$X56),"")</f>
        <v/>
      </c>
      <c r="AE675" s="32">
        <f>IF($A675=1,0,"")</f>
        <v/>
      </c>
      <c r="AF675" s="32" t="inlineStr"/>
    </row>
    <row r="676">
      <c r="A676" s="32">
        <f>IF(AND(Sales_Daily!$AV56=1,N(Sales_Daily!$AD56)&gt;0),1,0)</f>
        <v/>
      </c>
      <c r="B676" s="32">
        <f>IF($A676=1,$E676&amp;"/9","")</f>
        <v/>
      </c>
      <c r="C676" s="32">
        <f>IF($A676=1,"J-"&amp;Sales_Daily!$A56,"")</f>
        <v/>
      </c>
      <c r="D676" s="33">
        <f>IF($A676=1,Sales_Daily!$B56,"")</f>
        <v/>
      </c>
      <c r="E676" s="32">
        <f>IF($A676=1,IF(Sales_Daily!$A56="","",Sales_Daily!$A56),"")</f>
        <v/>
      </c>
      <c r="F676" s="32">
        <f>IF($A676=1,"SAL","")</f>
        <v/>
      </c>
      <c r="G676" s="32">
        <f>IF($A676=1,IF(Sales_Daily!$AQ56="","",Sales_Daily!$AQ56),"")</f>
        <v/>
      </c>
      <c r="H676" s="32">
        <f>IF($A676=1,IF(COUNTIF(COA!$A:$A,$G676)=0,"حساب غير معرف",INDEX(COA!$B:$B,MATCH($G676,COA!$A:$A,0))),"")</f>
        <v/>
      </c>
      <c r="I676" s="32">
        <f>IF($A676=1,IF(Sales_Daily!$C56="","",Sales_Daily!$C56),"")</f>
        <v/>
      </c>
      <c r="J676" s="32">
        <f>IF($A676=1,"CC10","")</f>
        <v/>
      </c>
      <c r="K676" s="32">
        <f>IF($A676=1,"-","")</f>
        <v/>
      </c>
      <c r="L676" s="32">
        <f>IF($A676=1,"إيراد مبيعات - فئة فطير","")</f>
        <v/>
      </c>
      <c r="M676" s="43">
        <f>IF($A676=1,0,"")</f>
        <v/>
      </c>
      <c r="N676" s="43">
        <f>IF($A676=1,Sales_Daily!$AD56,"")</f>
        <v/>
      </c>
      <c r="O676" s="32">
        <f>IF($A676=1,Sales_Daily!$S56,"")</f>
        <v/>
      </c>
      <c r="P676" s="32">
        <f>IF($A676=1,IF(Sales_Daily!$AW56="","",Sales_Daily!$AW56),"")</f>
        <v/>
      </c>
      <c r="Q676" s="32">
        <f>IF($A676=1,Sales_Daily!$AY56,"")</f>
        <v/>
      </c>
      <c r="R676" s="32">
        <f>IF($A676=1,IF(AND($Q676=1,COUNTIFS(COA!$A:$A,$G676,COA!$R:$R,1)=1),1,0),"")</f>
        <v/>
      </c>
      <c r="S676" s="43">
        <f>IF($A676=1,IF($R676=1,N($M676),0),"")</f>
        <v/>
      </c>
      <c r="T676" s="43">
        <f>IF($A676=1,IF($R676=1,N($N676),0),"")</f>
        <v/>
      </c>
      <c r="U676" s="32">
        <f>IF($A676=1,YEAR($D676)*100+MONTH($D676),"")</f>
        <v/>
      </c>
      <c r="V676" s="32">
        <f>IF($A676=1,IF(COUNTIF(COA!$A:$A,$G676)=0,0,INDEX(COA!$H:$H,MATCH($G676,COA!$A:$A,0))),"")</f>
        <v/>
      </c>
      <c r="W676" s="32">
        <f>IF($A676=1,"","")</f>
        <v/>
      </c>
      <c r="X676" s="32">
        <f>IF($A676=1,IF($R676=1,"",IF($O676=ST_POST,IF($P676&lt;&gt;"",$P676,"حساب غير صالح أو غير نشط"),IF($O676=ST_REV,"معكوس: لا أثر على الدفاتر",IF($O676=ST_CANC,"ملغى",IF($O676=ST_APPR,"معتمد ولم يُرحَّل","مسودة"))))),"")</f>
        <v/>
      </c>
      <c r="Y676" s="32">
        <f>IF($A676=1,IF(AND($R676=1,OR(LG_Acct="",$G676=LG_Acct),OR(LG_Party="",$K676=LG_Party),OR(LG_Loc="ALL",$I676=LG_Loc),OR(LG_CC="ALL",$J676=LG_CC),$D676&gt;=LG_From,$D676&lt;=LG_To),$D676+ROW()/1000000,""),"")</f>
        <v/>
      </c>
      <c r="Z676" s="32">
        <f>IF($A676=1,IF(Sales_Daily!$T56="","",Sales_Daily!$T56),"")</f>
        <v/>
      </c>
      <c r="AA676" s="32">
        <f>IF($A676=1,IF(Sales_Daily!$U56="","",Sales_Daily!$U56),"")</f>
        <v/>
      </c>
      <c r="AB676" s="32">
        <f>IF($A676=1,IF(Sales_Daily!$V56="","",Sales_Daily!$V56),"")</f>
        <v/>
      </c>
      <c r="AC676" s="32">
        <f>IF($A676=1,IF(Sales_Daily!$W56="","",Sales_Daily!$W56),"")</f>
        <v/>
      </c>
      <c r="AD676" s="32">
        <f>IF($A676=1,IF(Sales_Daily!$X56="","",Sales_Daily!$X56),"")</f>
        <v/>
      </c>
      <c r="AE676" s="32">
        <f>IF($A676=1,0,"")</f>
        <v/>
      </c>
      <c r="AF676" s="32" t="inlineStr"/>
    </row>
    <row r="677">
      <c r="A677" s="32">
        <f>IF(AND(Sales_Daily!$AV56=1,N(Sales_Daily!$AE56)&gt;0),1,0)</f>
        <v/>
      </c>
      <c r="B677" s="32">
        <f>IF($A677=1,$E677&amp;"/10","")</f>
        <v/>
      </c>
      <c r="C677" s="32">
        <f>IF($A677=1,"J-"&amp;Sales_Daily!$A56,"")</f>
        <v/>
      </c>
      <c r="D677" s="33">
        <f>IF($A677=1,Sales_Daily!$B56,"")</f>
        <v/>
      </c>
      <c r="E677" s="32">
        <f>IF($A677=1,IF(Sales_Daily!$A56="","",Sales_Daily!$A56),"")</f>
        <v/>
      </c>
      <c r="F677" s="32">
        <f>IF($A677=1,"SAL","")</f>
        <v/>
      </c>
      <c r="G677" s="32">
        <f>IF($A677=1,IF(Sales_Daily!$AR56="","",Sales_Daily!$AR56),"")</f>
        <v/>
      </c>
      <c r="H677" s="32">
        <f>IF($A677=1,IF(COUNTIF(COA!$A:$A,$G677)=0,"حساب غير معرف",INDEX(COA!$B:$B,MATCH($G677,COA!$A:$A,0))),"")</f>
        <v/>
      </c>
      <c r="I677" s="32">
        <f>IF($A677=1,IF(Sales_Daily!$C56="","",Sales_Daily!$C56),"")</f>
        <v/>
      </c>
      <c r="J677" s="32">
        <f>IF($A677=1,"CC10","")</f>
        <v/>
      </c>
      <c r="K677" s="32">
        <f>IF($A677=1,"-","")</f>
        <v/>
      </c>
      <c r="L677" s="32">
        <f>IF($A677=1,"إيراد مبيعات - فئة بيتزا","")</f>
        <v/>
      </c>
      <c r="M677" s="43">
        <f>IF($A677=1,0,"")</f>
        <v/>
      </c>
      <c r="N677" s="43">
        <f>IF($A677=1,Sales_Daily!$AE56,"")</f>
        <v/>
      </c>
      <c r="O677" s="32">
        <f>IF($A677=1,Sales_Daily!$S56,"")</f>
        <v/>
      </c>
      <c r="P677" s="32">
        <f>IF($A677=1,IF(Sales_Daily!$AW56="","",Sales_Daily!$AW56),"")</f>
        <v/>
      </c>
      <c r="Q677" s="32">
        <f>IF($A677=1,Sales_Daily!$AY56,"")</f>
        <v/>
      </c>
      <c r="R677" s="32">
        <f>IF($A677=1,IF(AND($Q677=1,COUNTIFS(COA!$A:$A,$G677,COA!$R:$R,1)=1),1,0),"")</f>
        <v/>
      </c>
      <c r="S677" s="43">
        <f>IF($A677=1,IF($R677=1,N($M677),0),"")</f>
        <v/>
      </c>
      <c r="T677" s="43">
        <f>IF($A677=1,IF($R677=1,N($N677),0),"")</f>
        <v/>
      </c>
      <c r="U677" s="32">
        <f>IF($A677=1,YEAR($D677)*100+MONTH($D677),"")</f>
        <v/>
      </c>
      <c r="V677" s="32">
        <f>IF($A677=1,IF(COUNTIF(COA!$A:$A,$G677)=0,0,INDEX(COA!$H:$H,MATCH($G677,COA!$A:$A,0))),"")</f>
        <v/>
      </c>
      <c r="W677" s="32">
        <f>IF($A677=1,"","")</f>
        <v/>
      </c>
      <c r="X677" s="32">
        <f>IF($A677=1,IF($R677=1,"",IF($O677=ST_POST,IF($P677&lt;&gt;"",$P677,"حساب غير صالح أو غير نشط"),IF($O677=ST_REV,"معكوس: لا أثر على الدفاتر",IF($O677=ST_CANC,"ملغى",IF($O677=ST_APPR,"معتمد ولم يُرحَّل","مسودة"))))),"")</f>
        <v/>
      </c>
      <c r="Y677" s="32">
        <f>IF($A677=1,IF(AND($R677=1,OR(LG_Acct="",$G677=LG_Acct),OR(LG_Party="",$K677=LG_Party),OR(LG_Loc="ALL",$I677=LG_Loc),OR(LG_CC="ALL",$J677=LG_CC),$D677&gt;=LG_From,$D677&lt;=LG_To),$D677+ROW()/1000000,""),"")</f>
        <v/>
      </c>
      <c r="Z677" s="32">
        <f>IF($A677=1,IF(Sales_Daily!$T56="","",Sales_Daily!$T56),"")</f>
        <v/>
      </c>
      <c r="AA677" s="32">
        <f>IF($A677=1,IF(Sales_Daily!$U56="","",Sales_Daily!$U56),"")</f>
        <v/>
      </c>
      <c r="AB677" s="32">
        <f>IF($A677=1,IF(Sales_Daily!$V56="","",Sales_Daily!$V56),"")</f>
        <v/>
      </c>
      <c r="AC677" s="32">
        <f>IF($A677=1,IF(Sales_Daily!$W56="","",Sales_Daily!$W56),"")</f>
        <v/>
      </c>
      <c r="AD677" s="32">
        <f>IF($A677=1,IF(Sales_Daily!$X56="","",Sales_Daily!$X56),"")</f>
        <v/>
      </c>
      <c r="AE677" s="32">
        <f>IF($A677=1,0,"")</f>
        <v/>
      </c>
      <c r="AF677" s="32" t="inlineStr"/>
    </row>
    <row r="678">
      <c r="A678" s="32">
        <f>IF(AND(Sales_Daily!$AV56=1,N(Sales_Daily!$AF56)&gt;0),1,0)</f>
        <v/>
      </c>
      <c r="B678" s="32">
        <f>IF($A678=1,$E678&amp;"/11","")</f>
        <v/>
      </c>
      <c r="C678" s="32">
        <f>IF($A678=1,"J-"&amp;Sales_Daily!$A56,"")</f>
        <v/>
      </c>
      <c r="D678" s="33">
        <f>IF($A678=1,Sales_Daily!$B56,"")</f>
        <v/>
      </c>
      <c r="E678" s="32">
        <f>IF($A678=1,IF(Sales_Daily!$A56="","",Sales_Daily!$A56),"")</f>
        <v/>
      </c>
      <c r="F678" s="32">
        <f>IF($A678=1,"SAL","")</f>
        <v/>
      </c>
      <c r="G678" s="32">
        <f>IF($A678=1,IF(Sales_Daily!$AS56="","",Sales_Daily!$AS56),"")</f>
        <v/>
      </c>
      <c r="H678" s="32">
        <f>IF($A678=1,IF(COUNTIF(COA!$A:$A,$G678)=0,"حساب غير معرف",INDEX(COA!$B:$B,MATCH($G678,COA!$A:$A,0))),"")</f>
        <v/>
      </c>
      <c r="I678" s="32">
        <f>IF($A678=1,IF(Sales_Daily!$C56="","",Sales_Daily!$C56),"")</f>
        <v/>
      </c>
      <c r="J678" s="32">
        <f>IF($A678=1,"CC10","")</f>
        <v/>
      </c>
      <c r="K678" s="32">
        <f>IF($A678=1,"-","")</f>
        <v/>
      </c>
      <c r="L678" s="32">
        <f>IF($A678=1,"إيراد مبيعات - فئة مكرونات","")</f>
        <v/>
      </c>
      <c r="M678" s="43">
        <f>IF($A678=1,0,"")</f>
        <v/>
      </c>
      <c r="N678" s="43">
        <f>IF($A678=1,Sales_Daily!$AF56,"")</f>
        <v/>
      </c>
      <c r="O678" s="32">
        <f>IF($A678=1,Sales_Daily!$S56,"")</f>
        <v/>
      </c>
      <c r="P678" s="32">
        <f>IF($A678=1,IF(Sales_Daily!$AW56="","",Sales_Daily!$AW56),"")</f>
        <v/>
      </c>
      <c r="Q678" s="32">
        <f>IF($A678=1,Sales_Daily!$AY56,"")</f>
        <v/>
      </c>
      <c r="R678" s="32">
        <f>IF($A678=1,IF(AND($Q678=1,COUNTIFS(COA!$A:$A,$G678,COA!$R:$R,1)=1),1,0),"")</f>
        <v/>
      </c>
      <c r="S678" s="43">
        <f>IF($A678=1,IF($R678=1,N($M678),0),"")</f>
        <v/>
      </c>
      <c r="T678" s="43">
        <f>IF($A678=1,IF($R678=1,N($N678),0),"")</f>
        <v/>
      </c>
      <c r="U678" s="32">
        <f>IF($A678=1,YEAR($D678)*100+MONTH($D678),"")</f>
        <v/>
      </c>
      <c r="V678" s="32">
        <f>IF($A678=1,IF(COUNTIF(COA!$A:$A,$G678)=0,0,INDEX(COA!$H:$H,MATCH($G678,COA!$A:$A,0))),"")</f>
        <v/>
      </c>
      <c r="W678" s="32">
        <f>IF($A678=1,"","")</f>
        <v/>
      </c>
      <c r="X678" s="32">
        <f>IF($A678=1,IF($R678=1,"",IF($O678=ST_POST,IF($P678&lt;&gt;"",$P678,"حساب غير صالح أو غير نشط"),IF($O678=ST_REV,"معكوس: لا أثر على الدفاتر",IF($O678=ST_CANC,"ملغى",IF($O678=ST_APPR,"معتمد ولم يُرحَّل","مسودة"))))),"")</f>
        <v/>
      </c>
      <c r="Y678" s="32">
        <f>IF($A678=1,IF(AND($R678=1,OR(LG_Acct="",$G678=LG_Acct),OR(LG_Party="",$K678=LG_Party),OR(LG_Loc="ALL",$I678=LG_Loc),OR(LG_CC="ALL",$J678=LG_CC),$D678&gt;=LG_From,$D678&lt;=LG_To),$D678+ROW()/1000000,""),"")</f>
        <v/>
      </c>
      <c r="Z678" s="32">
        <f>IF($A678=1,IF(Sales_Daily!$T56="","",Sales_Daily!$T56),"")</f>
        <v/>
      </c>
      <c r="AA678" s="32">
        <f>IF($A678=1,IF(Sales_Daily!$U56="","",Sales_Daily!$U56),"")</f>
        <v/>
      </c>
      <c r="AB678" s="32">
        <f>IF($A678=1,IF(Sales_Daily!$V56="","",Sales_Daily!$V56),"")</f>
        <v/>
      </c>
      <c r="AC678" s="32">
        <f>IF($A678=1,IF(Sales_Daily!$W56="","",Sales_Daily!$W56),"")</f>
        <v/>
      </c>
      <c r="AD678" s="32">
        <f>IF($A678=1,IF(Sales_Daily!$X56="","",Sales_Daily!$X56),"")</f>
        <v/>
      </c>
      <c r="AE678" s="32">
        <f>IF($A678=1,0,"")</f>
        <v/>
      </c>
      <c r="AF678" s="32" t="inlineStr"/>
    </row>
    <row r="679">
      <c r="A679" s="32">
        <f>IF(AND(Sales_Daily!$AV56=1,N(Sales_Daily!$AG56)&gt;0),1,0)</f>
        <v/>
      </c>
      <c r="B679" s="32">
        <f>IF($A679=1,$E679&amp;"/12","")</f>
        <v/>
      </c>
      <c r="C679" s="32">
        <f>IF($A679=1,"J-"&amp;Sales_Daily!$A56,"")</f>
        <v/>
      </c>
      <c r="D679" s="33">
        <f>IF($A679=1,Sales_Daily!$B56,"")</f>
        <v/>
      </c>
      <c r="E679" s="32">
        <f>IF($A679=1,IF(Sales_Daily!$A56="","",Sales_Daily!$A56),"")</f>
        <v/>
      </c>
      <c r="F679" s="32">
        <f>IF($A679=1,"SAL","")</f>
        <v/>
      </c>
      <c r="G679" s="32">
        <f>IF($A679=1,IF(Sales_Daily!$AT56="","",Sales_Daily!$AT56),"")</f>
        <v/>
      </c>
      <c r="H679" s="32">
        <f>IF($A679=1,IF(COUNTIF(COA!$A:$A,$G679)=0,"حساب غير معرف",INDEX(COA!$B:$B,MATCH($G679,COA!$A:$A,0))),"")</f>
        <v/>
      </c>
      <c r="I679" s="32">
        <f>IF($A679=1,IF(Sales_Daily!$C56="","",Sales_Daily!$C56),"")</f>
        <v/>
      </c>
      <c r="J679" s="32">
        <f>IF($A679=1,"CC10","")</f>
        <v/>
      </c>
      <c r="K679" s="32">
        <f>IF($A679=1,"-","")</f>
        <v/>
      </c>
      <c r="L679" s="32">
        <f>IF($A679=1,"إيراد مبيعات - فئة أخرى","")</f>
        <v/>
      </c>
      <c r="M679" s="43">
        <f>IF($A679=1,0,"")</f>
        <v/>
      </c>
      <c r="N679" s="43">
        <f>IF($A679=1,Sales_Daily!$AG56,"")</f>
        <v/>
      </c>
      <c r="O679" s="32">
        <f>IF($A679=1,Sales_Daily!$S56,"")</f>
        <v/>
      </c>
      <c r="P679" s="32">
        <f>IF($A679=1,IF(Sales_Daily!$AW56="","",Sales_Daily!$AW56),"")</f>
        <v/>
      </c>
      <c r="Q679" s="32">
        <f>IF($A679=1,Sales_Daily!$AY56,"")</f>
        <v/>
      </c>
      <c r="R679" s="32">
        <f>IF($A679=1,IF(AND($Q679=1,COUNTIFS(COA!$A:$A,$G679,COA!$R:$R,1)=1),1,0),"")</f>
        <v/>
      </c>
      <c r="S679" s="43">
        <f>IF($A679=1,IF($R679=1,N($M679),0),"")</f>
        <v/>
      </c>
      <c r="T679" s="43">
        <f>IF($A679=1,IF($R679=1,N($N679),0),"")</f>
        <v/>
      </c>
      <c r="U679" s="32">
        <f>IF($A679=1,YEAR($D679)*100+MONTH($D679),"")</f>
        <v/>
      </c>
      <c r="V679" s="32">
        <f>IF($A679=1,IF(COUNTIF(COA!$A:$A,$G679)=0,0,INDEX(COA!$H:$H,MATCH($G679,COA!$A:$A,0))),"")</f>
        <v/>
      </c>
      <c r="W679" s="32">
        <f>IF($A679=1,"","")</f>
        <v/>
      </c>
      <c r="X679" s="32">
        <f>IF($A679=1,IF($R679=1,"",IF($O679=ST_POST,IF($P679&lt;&gt;"",$P679,"حساب غير صالح أو غير نشط"),IF($O679=ST_REV,"معكوس: لا أثر على الدفاتر",IF($O679=ST_CANC,"ملغى",IF($O679=ST_APPR,"معتمد ولم يُرحَّل","مسودة"))))),"")</f>
        <v/>
      </c>
      <c r="Y679" s="32">
        <f>IF($A679=1,IF(AND($R679=1,OR(LG_Acct="",$G679=LG_Acct),OR(LG_Party="",$K679=LG_Party),OR(LG_Loc="ALL",$I679=LG_Loc),OR(LG_CC="ALL",$J679=LG_CC),$D679&gt;=LG_From,$D679&lt;=LG_To),$D679+ROW()/1000000,""),"")</f>
        <v/>
      </c>
      <c r="Z679" s="32">
        <f>IF($A679=1,IF(Sales_Daily!$T56="","",Sales_Daily!$T56),"")</f>
        <v/>
      </c>
      <c r="AA679" s="32">
        <f>IF($A679=1,IF(Sales_Daily!$U56="","",Sales_Daily!$U56),"")</f>
        <v/>
      </c>
      <c r="AB679" s="32">
        <f>IF($A679=1,IF(Sales_Daily!$V56="","",Sales_Daily!$V56),"")</f>
        <v/>
      </c>
      <c r="AC679" s="32">
        <f>IF($A679=1,IF(Sales_Daily!$W56="","",Sales_Daily!$W56),"")</f>
        <v/>
      </c>
      <c r="AD679" s="32">
        <f>IF($A679=1,IF(Sales_Daily!$X56="","",Sales_Daily!$X56),"")</f>
        <v/>
      </c>
      <c r="AE679" s="32">
        <f>IF($A679=1,0,"")</f>
        <v/>
      </c>
      <c r="AF679" s="32" t="inlineStr"/>
    </row>
    <row r="680">
      <c r="A680" s="32">
        <f>IF(AND(Sales_Daily!$AV56=1,N(Sales_Daily!$AJ56)&gt;0),1,0)</f>
        <v/>
      </c>
      <c r="B680" s="32">
        <f>IF($A680=1,$E680&amp;"/13","")</f>
        <v/>
      </c>
      <c r="C680" s="32">
        <f>IF($A680=1,"J-"&amp;Sales_Daily!$A56,"")</f>
        <v/>
      </c>
      <c r="D680" s="33">
        <f>IF($A680=1,Sales_Daily!$B56,"")</f>
        <v/>
      </c>
      <c r="E680" s="32">
        <f>IF($A680=1,IF(Sales_Daily!$A56="","",Sales_Daily!$A56),"")</f>
        <v/>
      </c>
      <c r="F680" s="32">
        <f>IF($A680=1,"SAL","")</f>
        <v/>
      </c>
      <c r="G680" s="32">
        <f>IF($A680=1,ACC_VAT_OUT,"")</f>
        <v/>
      </c>
      <c r="H680" s="32">
        <f>IF($A680=1,IF(COUNTIF(COA!$A:$A,$G680)=0,"حساب غير معرف",INDEX(COA!$B:$B,MATCH($G680,COA!$A:$A,0))),"")</f>
        <v/>
      </c>
      <c r="I680" s="32">
        <f>IF($A680=1,IF(Sales_Daily!$C56="","",Sales_Daily!$C56),"")</f>
        <v/>
      </c>
      <c r="J680" s="32">
        <f>IF($A680=1,"CC10","")</f>
        <v/>
      </c>
      <c r="K680" s="32">
        <f>IF($A680=1,"-","")</f>
        <v/>
      </c>
      <c r="L680" s="32">
        <f>IF($A680=1,"ضريبة القيمة المضافة - مخرجات","")</f>
        <v/>
      </c>
      <c r="M680" s="43">
        <f>IF($A680=1,0,"")</f>
        <v/>
      </c>
      <c r="N680" s="43">
        <f>IF($A680=1,Sales_Daily!$AJ56,"")</f>
        <v/>
      </c>
      <c r="O680" s="32">
        <f>IF($A680=1,Sales_Daily!$S56,"")</f>
        <v/>
      </c>
      <c r="P680" s="32">
        <f>IF($A680=1,IF(Sales_Daily!$AW56="","",Sales_Daily!$AW56),"")</f>
        <v/>
      </c>
      <c r="Q680" s="32">
        <f>IF($A680=1,Sales_Daily!$AY56,"")</f>
        <v/>
      </c>
      <c r="R680" s="32">
        <f>IF($A680=1,IF(AND($Q680=1,COUNTIFS(COA!$A:$A,$G680,COA!$R:$R,1)=1),1,0),"")</f>
        <v/>
      </c>
      <c r="S680" s="43">
        <f>IF($A680=1,IF($R680=1,N($M680),0),"")</f>
        <v/>
      </c>
      <c r="T680" s="43">
        <f>IF($A680=1,IF($R680=1,N($N680),0),"")</f>
        <v/>
      </c>
      <c r="U680" s="32">
        <f>IF($A680=1,YEAR($D680)*100+MONTH($D680),"")</f>
        <v/>
      </c>
      <c r="V680" s="32">
        <f>IF($A680=1,IF(COUNTIF(COA!$A:$A,$G680)=0,0,INDEX(COA!$H:$H,MATCH($G680,COA!$A:$A,0))),"")</f>
        <v/>
      </c>
      <c r="W680" s="32">
        <f>IF($A680=1,"","")</f>
        <v/>
      </c>
      <c r="X680" s="32">
        <f>IF($A680=1,IF($R680=1,"",IF($O680=ST_POST,IF($P680&lt;&gt;"",$P680,"حساب غير صالح أو غير نشط"),IF($O680=ST_REV,"معكوس: لا أثر على الدفاتر",IF($O680=ST_CANC,"ملغى",IF($O680=ST_APPR,"معتمد ولم يُرحَّل","مسودة"))))),"")</f>
        <v/>
      </c>
      <c r="Y680" s="32">
        <f>IF($A680=1,IF(AND($R680=1,OR(LG_Acct="",$G680=LG_Acct),OR(LG_Party="",$K680=LG_Party),OR(LG_Loc="ALL",$I680=LG_Loc),OR(LG_CC="ALL",$J680=LG_CC),$D680&gt;=LG_From,$D680&lt;=LG_To),$D680+ROW()/1000000,""),"")</f>
        <v/>
      </c>
      <c r="Z680" s="32">
        <f>IF($A680=1,IF(Sales_Daily!$T56="","",Sales_Daily!$T56),"")</f>
        <v/>
      </c>
      <c r="AA680" s="32">
        <f>IF($A680=1,IF(Sales_Daily!$U56="","",Sales_Daily!$U56),"")</f>
        <v/>
      </c>
      <c r="AB680" s="32">
        <f>IF($A680=1,IF(Sales_Daily!$V56="","",Sales_Daily!$V56),"")</f>
        <v/>
      </c>
      <c r="AC680" s="32">
        <f>IF($A680=1,IF(Sales_Daily!$W56="","",Sales_Daily!$W56),"")</f>
        <v/>
      </c>
      <c r="AD680" s="32">
        <f>IF($A680=1,IF(Sales_Daily!$X56="","",Sales_Daily!$X56),"")</f>
        <v/>
      </c>
      <c r="AE680" s="32">
        <f>IF($A680=1,0,"")</f>
        <v/>
      </c>
      <c r="AF680" s="32" t="inlineStr"/>
    </row>
    <row r="681">
      <c r="A681" s="32">
        <f>IF(AND(Sales_Daily!$AV57=1,N(Sales_Daily!$L57)&gt;0),1,0)</f>
        <v/>
      </c>
      <c r="B681" s="32">
        <f>IF($A681=1,$E681&amp;"/1","")</f>
        <v/>
      </c>
      <c r="C681" s="32">
        <f>IF($A681=1,"J-"&amp;Sales_Daily!$A57,"")</f>
        <v/>
      </c>
      <c r="D681" s="33">
        <f>IF($A681=1,Sales_Daily!$B57,"")</f>
        <v/>
      </c>
      <c r="E681" s="32">
        <f>IF($A681=1,IF(Sales_Daily!$A57="","",Sales_Daily!$A57),"")</f>
        <v/>
      </c>
      <c r="F681" s="32">
        <f>IF($A681=1,"SAL","")</f>
        <v/>
      </c>
      <c r="G681" s="32">
        <f>IF($A681=1,IF(Sales_Daily!$AK57="","",Sales_Daily!$AK57),"")</f>
        <v/>
      </c>
      <c r="H681" s="32">
        <f>IF($A681=1,IF(COUNTIF(COA!$A:$A,$G681)=0,"حساب غير معرف",INDEX(COA!$B:$B,MATCH($G681,COA!$A:$A,0))),"")</f>
        <v/>
      </c>
      <c r="I681" s="32">
        <f>IF($A681=1,IF(Sales_Daily!$C57="","",Sales_Daily!$C57),"")</f>
        <v/>
      </c>
      <c r="J681" s="32">
        <f>IF($A681=1,"CC10","")</f>
        <v/>
      </c>
      <c r="K681" s="32">
        <f>IF($A681=1,"-","")</f>
        <v/>
      </c>
      <c r="L681" s="32">
        <f>IF($A681=1,"مبيعات - تحصيل CASH","")</f>
        <v/>
      </c>
      <c r="M681" s="43">
        <f>IF($A681=1,Sales_Daily!$L57,"")</f>
        <v/>
      </c>
      <c r="N681" s="43">
        <f>IF($A681=1,0,"")</f>
        <v/>
      </c>
      <c r="O681" s="32">
        <f>IF($A681=1,Sales_Daily!$S57,"")</f>
        <v/>
      </c>
      <c r="P681" s="32">
        <f>IF($A681=1,IF(Sales_Daily!$AW57="","",Sales_Daily!$AW57),"")</f>
        <v/>
      </c>
      <c r="Q681" s="32">
        <f>IF($A681=1,Sales_Daily!$AY57,"")</f>
        <v/>
      </c>
      <c r="R681" s="32">
        <f>IF($A681=1,IF(AND($Q681=1,COUNTIFS(COA!$A:$A,$G681,COA!$R:$R,1)=1),1,0),"")</f>
        <v/>
      </c>
      <c r="S681" s="43">
        <f>IF($A681=1,IF($R681=1,N($M681),0),"")</f>
        <v/>
      </c>
      <c r="T681" s="43">
        <f>IF($A681=1,IF($R681=1,N($N681),0),"")</f>
        <v/>
      </c>
      <c r="U681" s="32">
        <f>IF($A681=1,YEAR($D681)*100+MONTH($D681),"")</f>
        <v/>
      </c>
      <c r="V681" s="32">
        <f>IF($A681=1,IF(COUNTIF(COA!$A:$A,$G681)=0,0,INDEX(COA!$H:$H,MATCH($G681,COA!$A:$A,0))),"")</f>
        <v/>
      </c>
      <c r="W681" s="32">
        <f>IF($A681=1,"OPERATING","")</f>
        <v/>
      </c>
      <c r="X681" s="32">
        <f>IF($A681=1,IF($R681=1,"",IF($O681=ST_POST,IF($P681&lt;&gt;"",$P681,"حساب غير صالح أو غير نشط"),IF($O681=ST_REV,"معكوس: لا أثر على الدفاتر",IF($O681=ST_CANC,"ملغى",IF($O681=ST_APPR,"معتمد ولم يُرحَّل","مسودة"))))),"")</f>
        <v/>
      </c>
      <c r="Y681" s="32">
        <f>IF($A681=1,IF(AND($R681=1,OR(LG_Acct="",$G681=LG_Acct),OR(LG_Party="",$K681=LG_Party),OR(LG_Loc="ALL",$I681=LG_Loc),OR(LG_CC="ALL",$J681=LG_CC),$D681&gt;=LG_From,$D681&lt;=LG_To),$D681+ROW()/1000000,""),"")</f>
        <v/>
      </c>
      <c r="Z681" s="32">
        <f>IF($A681=1,IF(Sales_Daily!$T57="","",Sales_Daily!$T57),"")</f>
        <v/>
      </c>
      <c r="AA681" s="32">
        <f>IF($A681=1,IF(Sales_Daily!$U57="","",Sales_Daily!$U57),"")</f>
        <v/>
      </c>
      <c r="AB681" s="32">
        <f>IF($A681=1,IF(Sales_Daily!$V57="","",Sales_Daily!$V57),"")</f>
        <v/>
      </c>
      <c r="AC681" s="32">
        <f>IF($A681=1,IF(Sales_Daily!$W57="","",Sales_Daily!$W57),"")</f>
        <v/>
      </c>
      <c r="AD681" s="32">
        <f>IF($A681=1,IF(Sales_Daily!$X57="","",Sales_Daily!$X57),"")</f>
        <v/>
      </c>
      <c r="AE681" s="32">
        <f>IF($A681=1,0,"")</f>
        <v/>
      </c>
      <c r="AF681" s="32" t="inlineStr"/>
    </row>
    <row r="682">
      <c r="A682" s="32">
        <f>IF(AND(Sales_Daily!$AV57=1,N(Sales_Daily!$M57)&gt;0),1,0)</f>
        <v/>
      </c>
      <c r="B682" s="32">
        <f>IF($A682=1,$E682&amp;"/2","")</f>
        <v/>
      </c>
      <c r="C682" s="32">
        <f>IF($A682=1,"J-"&amp;Sales_Daily!$A57,"")</f>
        <v/>
      </c>
      <c r="D682" s="33">
        <f>IF($A682=1,Sales_Daily!$B57,"")</f>
        <v/>
      </c>
      <c r="E682" s="32">
        <f>IF($A682=1,IF(Sales_Daily!$A57="","",Sales_Daily!$A57),"")</f>
        <v/>
      </c>
      <c r="F682" s="32">
        <f>IF($A682=1,"SAL","")</f>
        <v/>
      </c>
      <c r="G682" s="32">
        <f>IF($A682=1,IF(Sales_Daily!$AL57="","",Sales_Daily!$AL57),"")</f>
        <v/>
      </c>
      <c r="H682" s="32">
        <f>IF($A682=1,IF(COUNTIF(COA!$A:$A,$G682)=0,"حساب غير معرف",INDEX(COA!$B:$B,MATCH($G682,COA!$A:$A,0))),"")</f>
        <v/>
      </c>
      <c r="I682" s="32">
        <f>IF($A682=1,IF(Sales_Daily!$C57="","",Sales_Daily!$C57),"")</f>
        <v/>
      </c>
      <c r="J682" s="32">
        <f>IF($A682=1,"CC10","")</f>
        <v/>
      </c>
      <c r="K682" s="32">
        <f>IF($A682=1,"-","")</f>
        <v/>
      </c>
      <c r="L682" s="32">
        <f>IF($A682=1,"مبيعات - تحصيل CARD","")</f>
        <v/>
      </c>
      <c r="M682" s="43">
        <f>IF($A682=1,Sales_Daily!$M57,"")</f>
        <v/>
      </c>
      <c r="N682" s="43">
        <f>IF($A682=1,0,"")</f>
        <v/>
      </c>
      <c r="O682" s="32">
        <f>IF($A682=1,Sales_Daily!$S57,"")</f>
        <v/>
      </c>
      <c r="P682" s="32">
        <f>IF($A682=1,IF(Sales_Daily!$AW57="","",Sales_Daily!$AW57),"")</f>
        <v/>
      </c>
      <c r="Q682" s="32">
        <f>IF($A682=1,Sales_Daily!$AY57,"")</f>
        <v/>
      </c>
      <c r="R682" s="32">
        <f>IF($A682=1,IF(AND($Q682=1,COUNTIFS(COA!$A:$A,$G682,COA!$R:$R,1)=1),1,0),"")</f>
        <v/>
      </c>
      <c r="S682" s="43">
        <f>IF($A682=1,IF($R682=1,N($M682),0),"")</f>
        <v/>
      </c>
      <c r="T682" s="43">
        <f>IF($A682=1,IF($R682=1,N($N682),0),"")</f>
        <v/>
      </c>
      <c r="U682" s="32">
        <f>IF($A682=1,YEAR($D682)*100+MONTH($D682),"")</f>
        <v/>
      </c>
      <c r="V682" s="32">
        <f>IF($A682=1,IF(COUNTIF(COA!$A:$A,$G682)=0,0,INDEX(COA!$H:$H,MATCH($G682,COA!$A:$A,0))),"")</f>
        <v/>
      </c>
      <c r="W682" s="32">
        <f>IF($A682=1,"OPERATING","")</f>
        <v/>
      </c>
      <c r="X682" s="32">
        <f>IF($A682=1,IF($R682=1,"",IF($O682=ST_POST,IF($P682&lt;&gt;"",$P682,"حساب غير صالح أو غير نشط"),IF($O682=ST_REV,"معكوس: لا أثر على الدفاتر",IF($O682=ST_CANC,"ملغى",IF($O682=ST_APPR,"معتمد ولم يُرحَّل","مسودة"))))),"")</f>
        <v/>
      </c>
      <c r="Y682" s="32">
        <f>IF($A682=1,IF(AND($R682=1,OR(LG_Acct="",$G682=LG_Acct),OR(LG_Party="",$K682=LG_Party),OR(LG_Loc="ALL",$I682=LG_Loc),OR(LG_CC="ALL",$J682=LG_CC),$D682&gt;=LG_From,$D682&lt;=LG_To),$D682+ROW()/1000000,""),"")</f>
        <v/>
      </c>
      <c r="Z682" s="32">
        <f>IF($A682=1,IF(Sales_Daily!$T57="","",Sales_Daily!$T57),"")</f>
        <v/>
      </c>
      <c r="AA682" s="32">
        <f>IF($A682=1,IF(Sales_Daily!$U57="","",Sales_Daily!$U57),"")</f>
        <v/>
      </c>
      <c r="AB682" s="32">
        <f>IF($A682=1,IF(Sales_Daily!$V57="","",Sales_Daily!$V57),"")</f>
        <v/>
      </c>
      <c r="AC682" s="32">
        <f>IF($A682=1,IF(Sales_Daily!$W57="","",Sales_Daily!$W57),"")</f>
        <v/>
      </c>
      <c r="AD682" s="32">
        <f>IF($A682=1,IF(Sales_Daily!$X57="","",Sales_Daily!$X57),"")</f>
        <v/>
      </c>
      <c r="AE682" s="32">
        <f>IF($A682=1,0,"")</f>
        <v/>
      </c>
      <c r="AF682" s="32" t="inlineStr"/>
    </row>
    <row r="683">
      <c r="A683" s="32">
        <f>IF(AND(Sales_Daily!$AV57=1,N(Sales_Daily!$N57)&gt;0),1,0)</f>
        <v/>
      </c>
      <c r="B683" s="32">
        <f>IF($A683=1,$E683&amp;"/3","")</f>
        <v/>
      </c>
      <c r="C683" s="32">
        <f>IF($A683=1,"J-"&amp;Sales_Daily!$A57,"")</f>
        <v/>
      </c>
      <c r="D683" s="33">
        <f>IF($A683=1,Sales_Daily!$B57,"")</f>
        <v/>
      </c>
      <c r="E683" s="32">
        <f>IF($A683=1,IF(Sales_Daily!$A57="","",Sales_Daily!$A57),"")</f>
        <v/>
      </c>
      <c r="F683" s="32">
        <f>IF($A683=1,"SAL","")</f>
        <v/>
      </c>
      <c r="G683" s="32">
        <f>IF($A683=1,IF(Sales_Daily!$AM57="","",Sales_Daily!$AM57),"")</f>
        <v/>
      </c>
      <c r="H683" s="32">
        <f>IF($A683=1,IF(COUNTIF(COA!$A:$A,$G683)=0,"حساب غير معرف",INDEX(COA!$B:$B,MATCH($G683,COA!$A:$A,0))),"")</f>
        <v/>
      </c>
      <c r="I683" s="32">
        <f>IF($A683=1,IF(Sales_Daily!$C57="","",Sales_Daily!$C57),"")</f>
        <v/>
      </c>
      <c r="J683" s="32">
        <f>IF($A683=1,"CC10","")</f>
        <v/>
      </c>
      <c r="K683" s="32">
        <f>IF($A683=1,"-","")</f>
        <v/>
      </c>
      <c r="L683" s="32">
        <f>IF($A683=1,"مبيعات - تحصيل TLB","")</f>
        <v/>
      </c>
      <c r="M683" s="43">
        <f>IF($A683=1,Sales_Daily!$N57,"")</f>
        <v/>
      </c>
      <c r="N683" s="43">
        <f>IF($A683=1,0,"")</f>
        <v/>
      </c>
      <c r="O683" s="32">
        <f>IF($A683=1,Sales_Daily!$S57,"")</f>
        <v/>
      </c>
      <c r="P683" s="32">
        <f>IF($A683=1,IF(Sales_Daily!$AW57="","",Sales_Daily!$AW57),"")</f>
        <v/>
      </c>
      <c r="Q683" s="32">
        <f>IF($A683=1,Sales_Daily!$AY57,"")</f>
        <v/>
      </c>
      <c r="R683" s="32">
        <f>IF($A683=1,IF(AND($Q683=1,COUNTIFS(COA!$A:$A,$G683,COA!$R:$R,1)=1),1,0),"")</f>
        <v/>
      </c>
      <c r="S683" s="43">
        <f>IF($A683=1,IF($R683=1,N($M683),0),"")</f>
        <v/>
      </c>
      <c r="T683" s="43">
        <f>IF($A683=1,IF($R683=1,N($N683),0),"")</f>
        <v/>
      </c>
      <c r="U683" s="32">
        <f>IF($A683=1,YEAR($D683)*100+MONTH($D683),"")</f>
        <v/>
      </c>
      <c r="V683" s="32">
        <f>IF($A683=1,IF(COUNTIF(COA!$A:$A,$G683)=0,0,INDEX(COA!$H:$H,MATCH($G683,COA!$A:$A,0))),"")</f>
        <v/>
      </c>
      <c r="W683" s="32">
        <f>IF($A683=1,"OPERATING","")</f>
        <v/>
      </c>
      <c r="X683" s="32">
        <f>IF($A683=1,IF($R683=1,"",IF($O683=ST_POST,IF($P683&lt;&gt;"",$P683,"حساب غير صالح أو غير نشط"),IF($O683=ST_REV,"معكوس: لا أثر على الدفاتر",IF($O683=ST_CANC,"ملغى",IF($O683=ST_APPR,"معتمد ولم يُرحَّل","مسودة"))))),"")</f>
        <v/>
      </c>
      <c r="Y683" s="32">
        <f>IF($A683=1,IF(AND($R683=1,OR(LG_Acct="",$G683=LG_Acct),OR(LG_Party="",$K683=LG_Party),OR(LG_Loc="ALL",$I683=LG_Loc),OR(LG_CC="ALL",$J683=LG_CC),$D683&gt;=LG_From,$D683&lt;=LG_To),$D683+ROW()/1000000,""),"")</f>
        <v/>
      </c>
      <c r="Z683" s="32">
        <f>IF($A683=1,IF(Sales_Daily!$T57="","",Sales_Daily!$T57),"")</f>
        <v/>
      </c>
      <c r="AA683" s="32">
        <f>IF($A683=1,IF(Sales_Daily!$U57="","",Sales_Daily!$U57),"")</f>
        <v/>
      </c>
      <c r="AB683" s="32">
        <f>IF($A683=1,IF(Sales_Daily!$V57="","",Sales_Daily!$V57),"")</f>
        <v/>
      </c>
      <c r="AC683" s="32">
        <f>IF($A683=1,IF(Sales_Daily!$W57="","",Sales_Daily!$W57),"")</f>
        <v/>
      </c>
      <c r="AD683" s="32">
        <f>IF($A683=1,IF(Sales_Daily!$X57="","",Sales_Daily!$X57),"")</f>
        <v/>
      </c>
      <c r="AE683" s="32">
        <f>IF($A683=1,0,"")</f>
        <v/>
      </c>
      <c r="AF683" s="32" t="inlineStr"/>
    </row>
    <row r="684">
      <c r="A684" s="32">
        <f>IF(AND(Sales_Daily!$AV57=1,N(Sales_Daily!$O57)&gt;0),1,0)</f>
        <v/>
      </c>
      <c r="B684" s="32">
        <f>IF($A684=1,$E684&amp;"/4","")</f>
        <v/>
      </c>
      <c r="C684" s="32">
        <f>IF($A684=1,"J-"&amp;Sales_Daily!$A57,"")</f>
        <v/>
      </c>
      <c r="D684" s="33">
        <f>IF($A684=1,Sales_Daily!$B57,"")</f>
        <v/>
      </c>
      <c r="E684" s="32">
        <f>IF($A684=1,IF(Sales_Daily!$A57="","",Sales_Daily!$A57),"")</f>
        <v/>
      </c>
      <c r="F684" s="32">
        <f>IF($A684=1,"SAL","")</f>
        <v/>
      </c>
      <c r="G684" s="32">
        <f>IF($A684=1,IF(Sales_Daily!$AN57="","",Sales_Daily!$AN57),"")</f>
        <v/>
      </c>
      <c r="H684" s="32">
        <f>IF($A684=1,IF(COUNTIF(COA!$A:$A,$G684)=0,"حساب غير معرف",INDEX(COA!$B:$B,MATCH($G684,COA!$A:$A,0))),"")</f>
        <v/>
      </c>
      <c r="I684" s="32">
        <f>IF($A684=1,IF(Sales_Daily!$C57="","",Sales_Daily!$C57),"")</f>
        <v/>
      </c>
      <c r="J684" s="32">
        <f>IF($A684=1,"CC10","")</f>
        <v/>
      </c>
      <c r="K684" s="32">
        <f>IF($A684=1,"-","")</f>
        <v/>
      </c>
      <c r="L684" s="32">
        <f>IF($A684=1,"مبيعات - تحصيل DLV2","")</f>
        <v/>
      </c>
      <c r="M684" s="43">
        <f>IF($A684=1,Sales_Daily!$O57,"")</f>
        <v/>
      </c>
      <c r="N684" s="43">
        <f>IF($A684=1,0,"")</f>
        <v/>
      </c>
      <c r="O684" s="32">
        <f>IF($A684=1,Sales_Daily!$S57,"")</f>
        <v/>
      </c>
      <c r="P684" s="32">
        <f>IF($A684=1,IF(Sales_Daily!$AW57="","",Sales_Daily!$AW57),"")</f>
        <v/>
      </c>
      <c r="Q684" s="32">
        <f>IF($A684=1,Sales_Daily!$AY57,"")</f>
        <v/>
      </c>
      <c r="R684" s="32">
        <f>IF($A684=1,IF(AND($Q684=1,COUNTIFS(COA!$A:$A,$G684,COA!$R:$R,1)=1),1,0),"")</f>
        <v/>
      </c>
      <c r="S684" s="43">
        <f>IF($A684=1,IF($R684=1,N($M684),0),"")</f>
        <v/>
      </c>
      <c r="T684" s="43">
        <f>IF($A684=1,IF($R684=1,N($N684),0),"")</f>
        <v/>
      </c>
      <c r="U684" s="32">
        <f>IF($A684=1,YEAR($D684)*100+MONTH($D684),"")</f>
        <v/>
      </c>
      <c r="V684" s="32">
        <f>IF($A684=1,IF(COUNTIF(COA!$A:$A,$G684)=0,0,INDEX(COA!$H:$H,MATCH($G684,COA!$A:$A,0))),"")</f>
        <v/>
      </c>
      <c r="W684" s="32">
        <f>IF($A684=1,"OPERATING","")</f>
        <v/>
      </c>
      <c r="X684" s="32">
        <f>IF($A684=1,IF($R684=1,"",IF($O684=ST_POST,IF($P684&lt;&gt;"",$P684,"حساب غير صالح أو غير نشط"),IF($O684=ST_REV,"معكوس: لا أثر على الدفاتر",IF($O684=ST_CANC,"ملغى",IF($O684=ST_APPR,"معتمد ولم يُرحَّل","مسودة"))))),"")</f>
        <v/>
      </c>
      <c r="Y684" s="32">
        <f>IF($A684=1,IF(AND($R684=1,OR(LG_Acct="",$G684=LG_Acct),OR(LG_Party="",$K684=LG_Party),OR(LG_Loc="ALL",$I684=LG_Loc),OR(LG_CC="ALL",$J684=LG_CC),$D684&gt;=LG_From,$D684&lt;=LG_To),$D684+ROW()/1000000,""),"")</f>
        <v/>
      </c>
      <c r="Z684" s="32">
        <f>IF($A684=1,IF(Sales_Daily!$T57="","",Sales_Daily!$T57),"")</f>
        <v/>
      </c>
      <c r="AA684" s="32">
        <f>IF($A684=1,IF(Sales_Daily!$U57="","",Sales_Daily!$U57),"")</f>
        <v/>
      </c>
      <c r="AB684" s="32">
        <f>IF($A684=1,IF(Sales_Daily!$V57="","",Sales_Daily!$V57),"")</f>
        <v/>
      </c>
      <c r="AC684" s="32">
        <f>IF($A684=1,IF(Sales_Daily!$W57="","",Sales_Daily!$W57),"")</f>
        <v/>
      </c>
      <c r="AD684" s="32">
        <f>IF($A684=1,IF(Sales_Daily!$X57="","",Sales_Daily!$X57),"")</f>
        <v/>
      </c>
      <c r="AE684" s="32">
        <f>IF($A684=1,0,"")</f>
        <v/>
      </c>
      <c r="AF684" s="32" t="inlineStr"/>
    </row>
    <row r="685">
      <c r="A685" s="32">
        <f>IF(AND(Sales_Daily!$AV57=1,N(Sales_Daily!$P57)&gt;0),1,0)</f>
        <v/>
      </c>
      <c r="B685" s="32">
        <f>IF($A685=1,$E685&amp;"/5","")</f>
        <v/>
      </c>
      <c r="C685" s="32">
        <f>IF($A685=1,"J-"&amp;Sales_Daily!$A57,"")</f>
        <v/>
      </c>
      <c r="D685" s="33">
        <f>IF($A685=1,Sales_Daily!$B57,"")</f>
        <v/>
      </c>
      <c r="E685" s="32">
        <f>IF($A685=1,IF(Sales_Daily!$A57="","",Sales_Daily!$A57),"")</f>
        <v/>
      </c>
      <c r="F685" s="32">
        <f>IF($A685=1,"SAL","")</f>
        <v/>
      </c>
      <c r="G685" s="32">
        <f>IF($A685=1,IF(Sales_Daily!$AO57="","",Sales_Daily!$AO57),"")</f>
        <v/>
      </c>
      <c r="H685" s="32">
        <f>IF($A685=1,IF(COUNTIF(COA!$A:$A,$G685)=0,"حساب غير معرف",INDEX(COA!$B:$B,MATCH($G685,COA!$A:$A,0))),"")</f>
        <v/>
      </c>
      <c r="I685" s="32">
        <f>IF($A685=1,IF(Sales_Daily!$C57="","",Sales_Daily!$C57),"")</f>
        <v/>
      </c>
      <c r="J685" s="32">
        <f>IF($A685=1,"CC10","")</f>
        <v/>
      </c>
      <c r="K685" s="32">
        <f>IF($A685=1,"-","")</f>
        <v/>
      </c>
      <c r="L685" s="32">
        <f>IF($A685=1,"مبيعات - تحصيل INSTA","")</f>
        <v/>
      </c>
      <c r="M685" s="43">
        <f>IF($A685=1,Sales_Daily!$P57,"")</f>
        <v/>
      </c>
      <c r="N685" s="43">
        <f>IF($A685=1,0,"")</f>
        <v/>
      </c>
      <c r="O685" s="32">
        <f>IF($A685=1,Sales_Daily!$S57,"")</f>
        <v/>
      </c>
      <c r="P685" s="32">
        <f>IF($A685=1,IF(Sales_Daily!$AW57="","",Sales_Daily!$AW57),"")</f>
        <v/>
      </c>
      <c r="Q685" s="32">
        <f>IF($A685=1,Sales_Daily!$AY57,"")</f>
        <v/>
      </c>
      <c r="R685" s="32">
        <f>IF($A685=1,IF(AND($Q685=1,COUNTIFS(COA!$A:$A,$G685,COA!$R:$R,1)=1),1,0),"")</f>
        <v/>
      </c>
      <c r="S685" s="43">
        <f>IF($A685=1,IF($R685=1,N($M685),0),"")</f>
        <v/>
      </c>
      <c r="T685" s="43">
        <f>IF($A685=1,IF($R685=1,N($N685),0),"")</f>
        <v/>
      </c>
      <c r="U685" s="32">
        <f>IF($A685=1,YEAR($D685)*100+MONTH($D685),"")</f>
        <v/>
      </c>
      <c r="V685" s="32">
        <f>IF($A685=1,IF(COUNTIF(COA!$A:$A,$G685)=0,0,INDEX(COA!$H:$H,MATCH($G685,COA!$A:$A,0))),"")</f>
        <v/>
      </c>
      <c r="W685" s="32">
        <f>IF($A685=1,"OPERATING","")</f>
        <v/>
      </c>
      <c r="X685" s="32">
        <f>IF($A685=1,IF($R685=1,"",IF($O685=ST_POST,IF($P685&lt;&gt;"",$P685,"حساب غير صالح أو غير نشط"),IF($O685=ST_REV,"معكوس: لا أثر على الدفاتر",IF($O685=ST_CANC,"ملغى",IF($O685=ST_APPR,"معتمد ولم يُرحَّل","مسودة"))))),"")</f>
        <v/>
      </c>
      <c r="Y685" s="32">
        <f>IF($A685=1,IF(AND($R685=1,OR(LG_Acct="",$G685=LG_Acct),OR(LG_Party="",$K685=LG_Party),OR(LG_Loc="ALL",$I685=LG_Loc),OR(LG_CC="ALL",$J685=LG_CC),$D685&gt;=LG_From,$D685&lt;=LG_To),$D685+ROW()/1000000,""),"")</f>
        <v/>
      </c>
      <c r="Z685" s="32">
        <f>IF($A685=1,IF(Sales_Daily!$T57="","",Sales_Daily!$T57),"")</f>
        <v/>
      </c>
      <c r="AA685" s="32">
        <f>IF($A685=1,IF(Sales_Daily!$U57="","",Sales_Daily!$U57),"")</f>
        <v/>
      </c>
      <c r="AB685" s="32">
        <f>IF($A685=1,IF(Sales_Daily!$V57="","",Sales_Daily!$V57),"")</f>
        <v/>
      </c>
      <c r="AC685" s="32">
        <f>IF($A685=1,IF(Sales_Daily!$W57="","",Sales_Daily!$W57),"")</f>
        <v/>
      </c>
      <c r="AD685" s="32">
        <f>IF($A685=1,IF(Sales_Daily!$X57="","",Sales_Daily!$X57),"")</f>
        <v/>
      </c>
      <c r="AE685" s="32">
        <f>IF($A685=1,0,"")</f>
        <v/>
      </c>
      <c r="AF685" s="32" t="inlineStr"/>
    </row>
    <row r="686">
      <c r="A686" s="32">
        <f>IF(AND(Sales_Daily!$AV57=1,N(Sales_Daily!$Q57)&gt;0),1,0)</f>
        <v/>
      </c>
      <c r="B686" s="32">
        <f>IF($A686=1,$E686&amp;"/6","")</f>
        <v/>
      </c>
      <c r="C686" s="32">
        <f>IF($A686=1,"J-"&amp;Sales_Daily!$A57,"")</f>
        <v/>
      </c>
      <c r="D686" s="33">
        <f>IF($A686=1,Sales_Daily!$B57,"")</f>
        <v/>
      </c>
      <c r="E686" s="32">
        <f>IF($A686=1,IF(Sales_Daily!$A57="","",Sales_Daily!$A57),"")</f>
        <v/>
      </c>
      <c r="F686" s="32">
        <f>IF($A686=1,"SAL","")</f>
        <v/>
      </c>
      <c r="G686" s="32">
        <f>IF($A686=1,IF(Sales_Daily!$AP57="","",Sales_Daily!$AP57),"")</f>
        <v/>
      </c>
      <c r="H686" s="32">
        <f>IF($A686=1,IF(COUNTIF(COA!$A:$A,$G686)=0,"حساب غير معرف",INDEX(COA!$B:$B,MATCH($G686,COA!$A:$A,0))),"")</f>
        <v/>
      </c>
      <c r="I686" s="32">
        <f>IF($A686=1,IF(Sales_Daily!$C57="","",Sales_Daily!$C57),"")</f>
        <v/>
      </c>
      <c r="J686" s="32">
        <f>IF($A686=1,"CC10","")</f>
        <v/>
      </c>
      <c r="K686" s="32">
        <f>IF($A686=1,"-","")</f>
        <v/>
      </c>
      <c r="L686" s="32">
        <f>IF($A686=1,"مبيعات - تحصيل OTH","")</f>
        <v/>
      </c>
      <c r="M686" s="43">
        <f>IF($A686=1,Sales_Daily!$Q57,"")</f>
        <v/>
      </c>
      <c r="N686" s="43">
        <f>IF($A686=1,0,"")</f>
        <v/>
      </c>
      <c r="O686" s="32">
        <f>IF($A686=1,Sales_Daily!$S57,"")</f>
        <v/>
      </c>
      <c r="P686" s="32">
        <f>IF($A686=1,IF(Sales_Daily!$AW57="","",Sales_Daily!$AW57),"")</f>
        <v/>
      </c>
      <c r="Q686" s="32">
        <f>IF($A686=1,Sales_Daily!$AY57,"")</f>
        <v/>
      </c>
      <c r="R686" s="32">
        <f>IF($A686=1,IF(AND($Q686=1,COUNTIFS(COA!$A:$A,$G686,COA!$R:$R,1)=1),1,0),"")</f>
        <v/>
      </c>
      <c r="S686" s="43">
        <f>IF($A686=1,IF($R686=1,N($M686),0),"")</f>
        <v/>
      </c>
      <c r="T686" s="43">
        <f>IF($A686=1,IF($R686=1,N($N686),0),"")</f>
        <v/>
      </c>
      <c r="U686" s="32">
        <f>IF($A686=1,YEAR($D686)*100+MONTH($D686),"")</f>
        <v/>
      </c>
      <c r="V686" s="32">
        <f>IF($A686=1,IF(COUNTIF(COA!$A:$A,$G686)=0,0,INDEX(COA!$H:$H,MATCH($G686,COA!$A:$A,0))),"")</f>
        <v/>
      </c>
      <c r="W686" s="32">
        <f>IF($A686=1,"OPERATING","")</f>
        <v/>
      </c>
      <c r="X686" s="32">
        <f>IF($A686=1,IF($R686=1,"",IF($O686=ST_POST,IF($P686&lt;&gt;"",$P686,"حساب غير صالح أو غير نشط"),IF($O686=ST_REV,"معكوس: لا أثر على الدفاتر",IF($O686=ST_CANC,"ملغى",IF($O686=ST_APPR,"معتمد ولم يُرحَّل","مسودة"))))),"")</f>
        <v/>
      </c>
      <c r="Y686" s="32">
        <f>IF($A686=1,IF(AND($R686=1,OR(LG_Acct="",$G686=LG_Acct),OR(LG_Party="",$K686=LG_Party),OR(LG_Loc="ALL",$I686=LG_Loc),OR(LG_CC="ALL",$J686=LG_CC),$D686&gt;=LG_From,$D686&lt;=LG_To),$D686+ROW()/1000000,""),"")</f>
        <v/>
      </c>
      <c r="Z686" s="32">
        <f>IF($A686=1,IF(Sales_Daily!$T57="","",Sales_Daily!$T57),"")</f>
        <v/>
      </c>
      <c r="AA686" s="32">
        <f>IF($A686=1,IF(Sales_Daily!$U57="","",Sales_Daily!$U57),"")</f>
        <v/>
      </c>
      <c r="AB686" s="32">
        <f>IF($A686=1,IF(Sales_Daily!$V57="","",Sales_Daily!$V57),"")</f>
        <v/>
      </c>
      <c r="AC686" s="32">
        <f>IF($A686=1,IF(Sales_Daily!$W57="","",Sales_Daily!$W57),"")</f>
        <v/>
      </c>
      <c r="AD686" s="32">
        <f>IF($A686=1,IF(Sales_Daily!$X57="","",Sales_Daily!$X57),"")</f>
        <v/>
      </c>
      <c r="AE686" s="32">
        <f>IF($A686=1,0,"")</f>
        <v/>
      </c>
      <c r="AF686" s="32" t="inlineStr"/>
    </row>
    <row r="687">
      <c r="A687" s="32">
        <f>IF(AND(Sales_Daily!$AV57=1,N(Sales_Daily!$AH57)&gt;0),1,0)</f>
        <v/>
      </c>
      <c r="B687" s="32">
        <f>IF($A687=1,$E687&amp;"/7","")</f>
        <v/>
      </c>
      <c r="C687" s="32">
        <f>IF($A687=1,"J-"&amp;Sales_Daily!$A57,"")</f>
        <v/>
      </c>
      <c r="D687" s="33">
        <f>IF($A687=1,Sales_Daily!$B57,"")</f>
        <v/>
      </c>
      <c r="E687" s="32">
        <f>IF($A687=1,IF(Sales_Daily!$A57="","",Sales_Daily!$A57),"")</f>
        <v/>
      </c>
      <c r="F687" s="32">
        <f>IF($A687=1,"SAL","")</f>
        <v/>
      </c>
      <c r="G687" s="32">
        <f>IF($A687=1,ACC_DISC,"")</f>
        <v/>
      </c>
      <c r="H687" s="32">
        <f>IF($A687=1,IF(COUNTIF(COA!$A:$A,$G687)=0,"حساب غير معرف",INDEX(COA!$B:$B,MATCH($G687,COA!$A:$A,0))),"")</f>
        <v/>
      </c>
      <c r="I687" s="32">
        <f>IF($A687=1,IF(Sales_Daily!$C57="","",Sales_Daily!$C57),"")</f>
        <v/>
      </c>
      <c r="J687" s="32">
        <f>IF($A687=1,"CC10","")</f>
        <v/>
      </c>
      <c r="K687" s="32">
        <f>IF($A687=1,"-","")</f>
        <v/>
      </c>
      <c r="L687" s="32">
        <f>IF($A687=1,"خصومات المبيعات والعروض","")</f>
        <v/>
      </c>
      <c r="M687" s="43">
        <f>IF($A687=1,Sales_Daily!$AH57,"")</f>
        <v/>
      </c>
      <c r="N687" s="43">
        <f>IF($A687=1,0,"")</f>
        <v/>
      </c>
      <c r="O687" s="32">
        <f>IF($A687=1,Sales_Daily!$S57,"")</f>
        <v/>
      </c>
      <c r="P687" s="32">
        <f>IF($A687=1,IF(Sales_Daily!$AW57="","",Sales_Daily!$AW57),"")</f>
        <v/>
      </c>
      <c r="Q687" s="32">
        <f>IF($A687=1,Sales_Daily!$AY57,"")</f>
        <v/>
      </c>
      <c r="R687" s="32">
        <f>IF($A687=1,IF(AND($Q687=1,COUNTIFS(COA!$A:$A,$G687,COA!$R:$R,1)=1),1,0),"")</f>
        <v/>
      </c>
      <c r="S687" s="43">
        <f>IF($A687=1,IF($R687=1,N($M687),0),"")</f>
        <v/>
      </c>
      <c r="T687" s="43">
        <f>IF($A687=1,IF($R687=1,N($N687),0),"")</f>
        <v/>
      </c>
      <c r="U687" s="32">
        <f>IF($A687=1,YEAR($D687)*100+MONTH($D687),"")</f>
        <v/>
      </c>
      <c r="V687" s="32">
        <f>IF($A687=1,IF(COUNTIF(COA!$A:$A,$G687)=0,0,INDEX(COA!$H:$H,MATCH($G687,COA!$A:$A,0))),"")</f>
        <v/>
      </c>
      <c r="W687" s="32">
        <f>IF($A687=1,"","")</f>
        <v/>
      </c>
      <c r="X687" s="32">
        <f>IF($A687=1,IF($R687=1,"",IF($O687=ST_POST,IF($P687&lt;&gt;"",$P687,"حساب غير صالح أو غير نشط"),IF($O687=ST_REV,"معكوس: لا أثر على الدفاتر",IF($O687=ST_CANC,"ملغى",IF($O687=ST_APPR,"معتمد ولم يُرحَّل","مسودة"))))),"")</f>
        <v/>
      </c>
      <c r="Y687" s="32">
        <f>IF($A687=1,IF(AND($R687=1,OR(LG_Acct="",$G687=LG_Acct),OR(LG_Party="",$K687=LG_Party),OR(LG_Loc="ALL",$I687=LG_Loc),OR(LG_CC="ALL",$J687=LG_CC),$D687&gt;=LG_From,$D687&lt;=LG_To),$D687+ROW()/1000000,""),"")</f>
        <v/>
      </c>
      <c r="Z687" s="32">
        <f>IF($A687=1,IF(Sales_Daily!$T57="","",Sales_Daily!$T57),"")</f>
        <v/>
      </c>
      <c r="AA687" s="32">
        <f>IF($A687=1,IF(Sales_Daily!$U57="","",Sales_Daily!$U57),"")</f>
        <v/>
      </c>
      <c r="AB687" s="32">
        <f>IF($A687=1,IF(Sales_Daily!$V57="","",Sales_Daily!$V57),"")</f>
        <v/>
      </c>
      <c r="AC687" s="32">
        <f>IF($A687=1,IF(Sales_Daily!$W57="","",Sales_Daily!$W57),"")</f>
        <v/>
      </c>
      <c r="AD687" s="32">
        <f>IF($A687=1,IF(Sales_Daily!$X57="","",Sales_Daily!$X57),"")</f>
        <v/>
      </c>
      <c r="AE687" s="32">
        <f>IF($A687=1,0,"")</f>
        <v/>
      </c>
      <c r="AF687" s="32" t="inlineStr"/>
    </row>
    <row r="688">
      <c r="A688" s="32">
        <f>IF(AND(Sales_Daily!$AV57=1,N(Sales_Daily!$AI57)&gt;0),1,0)</f>
        <v/>
      </c>
      <c r="B688" s="32">
        <f>IF($A688=1,$E688&amp;"/8","")</f>
        <v/>
      </c>
      <c r="C688" s="32">
        <f>IF($A688=1,"J-"&amp;Sales_Daily!$A57,"")</f>
        <v/>
      </c>
      <c r="D688" s="33">
        <f>IF($A688=1,Sales_Daily!$B57,"")</f>
        <v/>
      </c>
      <c r="E688" s="32">
        <f>IF($A688=1,IF(Sales_Daily!$A57="","",Sales_Daily!$A57),"")</f>
        <v/>
      </c>
      <c r="F688" s="32">
        <f>IF($A688=1,"SAL","")</f>
        <v/>
      </c>
      <c r="G688" s="32">
        <f>IF($A688=1,ACC_RET,"")</f>
        <v/>
      </c>
      <c r="H688" s="32">
        <f>IF($A688=1,IF(COUNTIF(COA!$A:$A,$G688)=0,"حساب غير معرف",INDEX(COA!$B:$B,MATCH($G688,COA!$A:$A,0))),"")</f>
        <v/>
      </c>
      <c r="I688" s="32">
        <f>IF($A688=1,IF(Sales_Daily!$C57="","",Sales_Daily!$C57),"")</f>
        <v/>
      </c>
      <c r="J688" s="32">
        <f>IF($A688=1,"CC10","")</f>
        <v/>
      </c>
      <c r="K688" s="32">
        <f>IF($A688=1,"-","")</f>
        <v/>
      </c>
      <c r="L688" s="32">
        <f>IF($A688=1,"مرتجعات وإلغاءات المبيعات","")</f>
        <v/>
      </c>
      <c r="M688" s="43">
        <f>IF($A688=1,Sales_Daily!$AI57,"")</f>
        <v/>
      </c>
      <c r="N688" s="43">
        <f>IF($A688=1,0,"")</f>
        <v/>
      </c>
      <c r="O688" s="32">
        <f>IF($A688=1,Sales_Daily!$S57,"")</f>
        <v/>
      </c>
      <c r="P688" s="32">
        <f>IF($A688=1,IF(Sales_Daily!$AW57="","",Sales_Daily!$AW57),"")</f>
        <v/>
      </c>
      <c r="Q688" s="32">
        <f>IF($A688=1,Sales_Daily!$AY57,"")</f>
        <v/>
      </c>
      <c r="R688" s="32">
        <f>IF($A688=1,IF(AND($Q688=1,COUNTIFS(COA!$A:$A,$G688,COA!$R:$R,1)=1),1,0),"")</f>
        <v/>
      </c>
      <c r="S688" s="43">
        <f>IF($A688=1,IF($R688=1,N($M688),0),"")</f>
        <v/>
      </c>
      <c r="T688" s="43">
        <f>IF($A688=1,IF($R688=1,N($N688),0),"")</f>
        <v/>
      </c>
      <c r="U688" s="32">
        <f>IF($A688=1,YEAR($D688)*100+MONTH($D688),"")</f>
        <v/>
      </c>
      <c r="V688" s="32">
        <f>IF($A688=1,IF(COUNTIF(COA!$A:$A,$G688)=0,0,INDEX(COA!$H:$H,MATCH($G688,COA!$A:$A,0))),"")</f>
        <v/>
      </c>
      <c r="W688" s="32">
        <f>IF($A688=1,"","")</f>
        <v/>
      </c>
      <c r="X688" s="32">
        <f>IF($A688=1,IF($R688=1,"",IF($O688=ST_POST,IF($P688&lt;&gt;"",$P688,"حساب غير صالح أو غير نشط"),IF($O688=ST_REV,"معكوس: لا أثر على الدفاتر",IF($O688=ST_CANC,"ملغى",IF($O688=ST_APPR,"معتمد ولم يُرحَّل","مسودة"))))),"")</f>
        <v/>
      </c>
      <c r="Y688" s="32">
        <f>IF($A688=1,IF(AND($R688=1,OR(LG_Acct="",$G688=LG_Acct),OR(LG_Party="",$K688=LG_Party),OR(LG_Loc="ALL",$I688=LG_Loc),OR(LG_CC="ALL",$J688=LG_CC),$D688&gt;=LG_From,$D688&lt;=LG_To),$D688+ROW()/1000000,""),"")</f>
        <v/>
      </c>
      <c r="Z688" s="32">
        <f>IF($A688=1,IF(Sales_Daily!$T57="","",Sales_Daily!$T57),"")</f>
        <v/>
      </c>
      <c r="AA688" s="32">
        <f>IF($A688=1,IF(Sales_Daily!$U57="","",Sales_Daily!$U57),"")</f>
        <v/>
      </c>
      <c r="AB688" s="32">
        <f>IF($A688=1,IF(Sales_Daily!$V57="","",Sales_Daily!$V57),"")</f>
        <v/>
      </c>
      <c r="AC688" s="32">
        <f>IF($A688=1,IF(Sales_Daily!$W57="","",Sales_Daily!$W57),"")</f>
        <v/>
      </c>
      <c r="AD688" s="32">
        <f>IF($A688=1,IF(Sales_Daily!$X57="","",Sales_Daily!$X57),"")</f>
        <v/>
      </c>
      <c r="AE688" s="32">
        <f>IF($A688=1,0,"")</f>
        <v/>
      </c>
      <c r="AF688" s="32" t="inlineStr"/>
    </row>
    <row r="689">
      <c r="A689" s="32">
        <f>IF(AND(Sales_Daily!$AV57=1,N(Sales_Daily!$AD57)&gt;0),1,0)</f>
        <v/>
      </c>
      <c r="B689" s="32">
        <f>IF($A689=1,$E689&amp;"/9","")</f>
        <v/>
      </c>
      <c r="C689" s="32">
        <f>IF($A689=1,"J-"&amp;Sales_Daily!$A57,"")</f>
        <v/>
      </c>
      <c r="D689" s="33">
        <f>IF($A689=1,Sales_Daily!$B57,"")</f>
        <v/>
      </c>
      <c r="E689" s="32">
        <f>IF($A689=1,IF(Sales_Daily!$A57="","",Sales_Daily!$A57),"")</f>
        <v/>
      </c>
      <c r="F689" s="32">
        <f>IF($A689=1,"SAL","")</f>
        <v/>
      </c>
      <c r="G689" s="32">
        <f>IF($A689=1,IF(Sales_Daily!$AQ57="","",Sales_Daily!$AQ57),"")</f>
        <v/>
      </c>
      <c r="H689" s="32">
        <f>IF($A689=1,IF(COUNTIF(COA!$A:$A,$G689)=0,"حساب غير معرف",INDEX(COA!$B:$B,MATCH($G689,COA!$A:$A,0))),"")</f>
        <v/>
      </c>
      <c r="I689" s="32">
        <f>IF($A689=1,IF(Sales_Daily!$C57="","",Sales_Daily!$C57),"")</f>
        <v/>
      </c>
      <c r="J689" s="32">
        <f>IF($A689=1,"CC10","")</f>
        <v/>
      </c>
      <c r="K689" s="32">
        <f>IF($A689=1,"-","")</f>
        <v/>
      </c>
      <c r="L689" s="32">
        <f>IF($A689=1,"إيراد مبيعات - فئة فطير","")</f>
        <v/>
      </c>
      <c r="M689" s="43">
        <f>IF($A689=1,0,"")</f>
        <v/>
      </c>
      <c r="N689" s="43">
        <f>IF($A689=1,Sales_Daily!$AD57,"")</f>
        <v/>
      </c>
      <c r="O689" s="32">
        <f>IF($A689=1,Sales_Daily!$S57,"")</f>
        <v/>
      </c>
      <c r="P689" s="32">
        <f>IF($A689=1,IF(Sales_Daily!$AW57="","",Sales_Daily!$AW57),"")</f>
        <v/>
      </c>
      <c r="Q689" s="32">
        <f>IF($A689=1,Sales_Daily!$AY57,"")</f>
        <v/>
      </c>
      <c r="R689" s="32">
        <f>IF($A689=1,IF(AND($Q689=1,COUNTIFS(COA!$A:$A,$G689,COA!$R:$R,1)=1),1,0),"")</f>
        <v/>
      </c>
      <c r="S689" s="43">
        <f>IF($A689=1,IF($R689=1,N($M689),0),"")</f>
        <v/>
      </c>
      <c r="T689" s="43">
        <f>IF($A689=1,IF($R689=1,N($N689),0),"")</f>
        <v/>
      </c>
      <c r="U689" s="32">
        <f>IF($A689=1,YEAR($D689)*100+MONTH($D689),"")</f>
        <v/>
      </c>
      <c r="V689" s="32">
        <f>IF($A689=1,IF(COUNTIF(COA!$A:$A,$G689)=0,0,INDEX(COA!$H:$H,MATCH($G689,COA!$A:$A,0))),"")</f>
        <v/>
      </c>
      <c r="W689" s="32">
        <f>IF($A689=1,"","")</f>
        <v/>
      </c>
      <c r="X689" s="32">
        <f>IF($A689=1,IF($R689=1,"",IF($O689=ST_POST,IF($P689&lt;&gt;"",$P689,"حساب غير صالح أو غير نشط"),IF($O689=ST_REV,"معكوس: لا أثر على الدفاتر",IF($O689=ST_CANC,"ملغى",IF($O689=ST_APPR,"معتمد ولم يُرحَّل","مسودة"))))),"")</f>
        <v/>
      </c>
      <c r="Y689" s="32">
        <f>IF($A689=1,IF(AND($R689=1,OR(LG_Acct="",$G689=LG_Acct),OR(LG_Party="",$K689=LG_Party),OR(LG_Loc="ALL",$I689=LG_Loc),OR(LG_CC="ALL",$J689=LG_CC),$D689&gt;=LG_From,$D689&lt;=LG_To),$D689+ROW()/1000000,""),"")</f>
        <v/>
      </c>
      <c r="Z689" s="32">
        <f>IF($A689=1,IF(Sales_Daily!$T57="","",Sales_Daily!$T57),"")</f>
        <v/>
      </c>
      <c r="AA689" s="32">
        <f>IF($A689=1,IF(Sales_Daily!$U57="","",Sales_Daily!$U57),"")</f>
        <v/>
      </c>
      <c r="AB689" s="32">
        <f>IF($A689=1,IF(Sales_Daily!$V57="","",Sales_Daily!$V57),"")</f>
        <v/>
      </c>
      <c r="AC689" s="32">
        <f>IF($A689=1,IF(Sales_Daily!$W57="","",Sales_Daily!$W57),"")</f>
        <v/>
      </c>
      <c r="AD689" s="32">
        <f>IF($A689=1,IF(Sales_Daily!$X57="","",Sales_Daily!$X57),"")</f>
        <v/>
      </c>
      <c r="AE689" s="32">
        <f>IF($A689=1,0,"")</f>
        <v/>
      </c>
      <c r="AF689" s="32" t="inlineStr"/>
    </row>
    <row r="690">
      <c r="A690" s="32">
        <f>IF(AND(Sales_Daily!$AV57=1,N(Sales_Daily!$AE57)&gt;0),1,0)</f>
        <v/>
      </c>
      <c r="B690" s="32">
        <f>IF($A690=1,$E690&amp;"/10","")</f>
        <v/>
      </c>
      <c r="C690" s="32">
        <f>IF($A690=1,"J-"&amp;Sales_Daily!$A57,"")</f>
        <v/>
      </c>
      <c r="D690" s="33">
        <f>IF($A690=1,Sales_Daily!$B57,"")</f>
        <v/>
      </c>
      <c r="E690" s="32">
        <f>IF($A690=1,IF(Sales_Daily!$A57="","",Sales_Daily!$A57),"")</f>
        <v/>
      </c>
      <c r="F690" s="32">
        <f>IF($A690=1,"SAL","")</f>
        <v/>
      </c>
      <c r="G690" s="32">
        <f>IF($A690=1,IF(Sales_Daily!$AR57="","",Sales_Daily!$AR57),"")</f>
        <v/>
      </c>
      <c r="H690" s="32">
        <f>IF($A690=1,IF(COUNTIF(COA!$A:$A,$G690)=0,"حساب غير معرف",INDEX(COA!$B:$B,MATCH($G690,COA!$A:$A,0))),"")</f>
        <v/>
      </c>
      <c r="I690" s="32">
        <f>IF($A690=1,IF(Sales_Daily!$C57="","",Sales_Daily!$C57),"")</f>
        <v/>
      </c>
      <c r="J690" s="32">
        <f>IF($A690=1,"CC10","")</f>
        <v/>
      </c>
      <c r="K690" s="32">
        <f>IF($A690=1,"-","")</f>
        <v/>
      </c>
      <c r="L690" s="32">
        <f>IF($A690=1,"إيراد مبيعات - فئة بيتزا","")</f>
        <v/>
      </c>
      <c r="M690" s="43">
        <f>IF($A690=1,0,"")</f>
        <v/>
      </c>
      <c r="N690" s="43">
        <f>IF($A690=1,Sales_Daily!$AE57,"")</f>
        <v/>
      </c>
      <c r="O690" s="32">
        <f>IF($A690=1,Sales_Daily!$S57,"")</f>
        <v/>
      </c>
      <c r="P690" s="32">
        <f>IF($A690=1,IF(Sales_Daily!$AW57="","",Sales_Daily!$AW57),"")</f>
        <v/>
      </c>
      <c r="Q690" s="32">
        <f>IF($A690=1,Sales_Daily!$AY57,"")</f>
        <v/>
      </c>
      <c r="R690" s="32">
        <f>IF($A690=1,IF(AND($Q690=1,COUNTIFS(COA!$A:$A,$G690,COA!$R:$R,1)=1),1,0),"")</f>
        <v/>
      </c>
      <c r="S690" s="43">
        <f>IF($A690=1,IF($R690=1,N($M690),0),"")</f>
        <v/>
      </c>
      <c r="T690" s="43">
        <f>IF($A690=1,IF($R690=1,N($N690),0),"")</f>
        <v/>
      </c>
      <c r="U690" s="32">
        <f>IF($A690=1,YEAR($D690)*100+MONTH($D690),"")</f>
        <v/>
      </c>
      <c r="V690" s="32">
        <f>IF($A690=1,IF(COUNTIF(COA!$A:$A,$G690)=0,0,INDEX(COA!$H:$H,MATCH($G690,COA!$A:$A,0))),"")</f>
        <v/>
      </c>
      <c r="W690" s="32">
        <f>IF($A690=1,"","")</f>
        <v/>
      </c>
      <c r="X690" s="32">
        <f>IF($A690=1,IF($R690=1,"",IF($O690=ST_POST,IF($P690&lt;&gt;"",$P690,"حساب غير صالح أو غير نشط"),IF($O690=ST_REV,"معكوس: لا أثر على الدفاتر",IF($O690=ST_CANC,"ملغى",IF($O690=ST_APPR,"معتمد ولم يُرحَّل","مسودة"))))),"")</f>
        <v/>
      </c>
      <c r="Y690" s="32">
        <f>IF($A690=1,IF(AND($R690=1,OR(LG_Acct="",$G690=LG_Acct),OR(LG_Party="",$K690=LG_Party),OR(LG_Loc="ALL",$I690=LG_Loc),OR(LG_CC="ALL",$J690=LG_CC),$D690&gt;=LG_From,$D690&lt;=LG_To),$D690+ROW()/1000000,""),"")</f>
        <v/>
      </c>
      <c r="Z690" s="32">
        <f>IF($A690=1,IF(Sales_Daily!$T57="","",Sales_Daily!$T57),"")</f>
        <v/>
      </c>
      <c r="AA690" s="32">
        <f>IF($A690=1,IF(Sales_Daily!$U57="","",Sales_Daily!$U57),"")</f>
        <v/>
      </c>
      <c r="AB690" s="32">
        <f>IF($A690=1,IF(Sales_Daily!$V57="","",Sales_Daily!$V57),"")</f>
        <v/>
      </c>
      <c r="AC690" s="32">
        <f>IF($A690=1,IF(Sales_Daily!$W57="","",Sales_Daily!$W57),"")</f>
        <v/>
      </c>
      <c r="AD690" s="32">
        <f>IF($A690=1,IF(Sales_Daily!$X57="","",Sales_Daily!$X57),"")</f>
        <v/>
      </c>
      <c r="AE690" s="32">
        <f>IF($A690=1,0,"")</f>
        <v/>
      </c>
      <c r="AF690" s="32" t="inlineStr"/>
    </row>
    <row r="691">
      <c r="A691" s="32">
        <f>IF(AND(Sales_Daily!$AV57=1,N(Sales_Daily!$AF57)&gt;0),1,0)</f>
        <v/>
      </c>
      <c r="B691" s="32">
        <f>IF($A691=1,$E691&amp;"/11","")</f>
        <v/>
      </c>
      <c r="C691" s="32">
        <f>IF($A691=1,"J-"&amp;Sales_Daily!$A57,"")</f>
        <v/>
      </c>
      <c r="D691" s="33">
        <f>IF($A691=1,Sales_Daily!$B57,"")</f>
        <v/>
      </c>
      <c r="E691" s="32">
        <f>IF($A691=1,IF(Sales_Daily!$A57="","",Sales_Daily!$A57),"")</f>
        <v/>
      </c>
      <c r="F691" s="32">
        <f>IF($A691=1,"SAL","")</f>
        <v/>
      </c>
      <c r="G691" s="32">
        <f>IF($A691=1,IF(Sales_Daily!$AS57="","",Sales_Daily!$AS57),"")</f>
        <v/>
      </c>
      <c r="H691" s="32">
        <f>IF($A691=1,IF(COUNTIF(COA!$A:$A,$G691)=0,"حساب غير معرف",INDEX(COA!$B:$B,MATCH($G691,COA!$A:$A,0))),"")</f>
        <v/>
      </c>
      <c r="I691" s="32">
        <f>IF($A691=1,IF(Sales_Daily!$C57="","",Sales_Daily!$C57),"")</f>
        <v/>
      </c>
      <c r="J691" s="32">
        <f>IF($A691=1,"CC10","")</f>
        <v/>
      </c>
      <c r="K691" s="32">
        <f>IF($A691=1,"-","")</f>
        <v/>
      </c>
      <c r="L691" s="32">
        <f>IF($A691=1,"إيراد مبيعات - فئة مكرونات","")</f>
        <v/>
      </c>
      <c r="M691" s="43">
        <f>IF($A691=1,0,"")</f>
        <v/>
      </c>
      <c r="N691" s="43">
        <f>IF($A691=1,Sales_Daily!$AF57,"")</f>
        <v/>
      </c>
      <c r="O691" s="32">
        <f>IF($A691=1,Sales_Daily!$S57,"")</f>
        <v/>
      </c>
      <c r="P691" s="32">
        <f>IF($A691=1,IF(Sales_Daily!$AW57="","",Sales_Daily!$AW57),"")</f>
        <v/>
      </c>
      <c r="Q691" s="32">
        <f>IF($A691=1,Sales_Daily!$AY57,"")</f>
        <v/>
      </c>
      <c r="R691" s="32">
        <f>IF($A691=1,IF(AND($Q691=1,COUNTIFS(COA!$A:$A,$G691,COA!$R:$R,1)=1),1,0),"")</f>
        <v/>
      </c>
      <c r="S691" s="43">
        <f>IF($A691=1,IF($R691=1,N($M691),0),"")</f>
        <v/>
      </c>
      <c r="T691" s="43">
        <f>IF($A691=1,IF($R691=1,N($N691),0),"")</f>
        <v/>
      </c>
      <c r="U691" s="32">
        <f>IF($A691=1,YEAR($D691)*100+MONTH($D691),"")</f>
        <v/>
      </c>
      <c r="V691" s="32">
        <f>IF($A691=1,IF(COUNTIF(COA!$A:$A,$G691)=0,0,INDEX(COA!$H:$H,MATCH($G691,COA!$A:$A,0))),"")</f>
        <v/>
      </c>
      <c r="W691" s="32">
        <f>IF($A691=1,"","")</f>
        <v/>
      </c>
      <c r="X691" s="32">
        <f>IF($A691=1,IF($R691=1,"",IF($O691=ST_POST,IF($P691&lt;&gt;"",$P691,"حساب غير صالح أو غير نشط"),IF($O691=ST_REV,"معكوس: لا أثر على الدفاتر",IF($O691=ST_CANC,"ملغى",IF($O691=ST_APPR,"معتمد ولم يُرحَّل","مسودة"))))),"")</f>
        <v/>
      </c>
      <c r="Y691" s="32">
        <f>IF($A691=1,IF(AND($R691=1,OR(LG_Acct="",$G691=LG_Acct),OR(LG_Party="",$K691=LG_Party),OR(LG_Loc="ALL",$I691=LG_Loc),OR(LG_CC="ALL",$J691=LG_CC),$D691&gt;=LG_From,$D691&lt;=LG_To),$D691+ROW()/1000000,""),"")</f>
        <v/>
      </c>
      <c r="Z691" s="32">
        <f>IF($A691=1,IF(Sales_Daily!$T57="","",Sales_Daily!$T57),"")</f>
        <v/>
      </c>
      <c r="AA691" s="32">
        <f>IF($A691=1,IF(Sales_Daily!$U57="","",Sales_Daily!$U57),"")</f>
        <v/>
      </c>
      <c r="AB691" s="32">
        <f>IF($A691=1,IF(Sales_Daily!$V57="","",Sales_Daily!$V57),"")</f>
        <v/>
      </c>
      <c r="AC691" s="32">
        <f>IF($A691=1,IF(Sales_Daily!$W57="","",Sales_Daily!$W57),"")</f>
        <v/>
      </c>
      <c r="AD691" s="32">
        <f>IF($A691=1,IF(Sales_Daily!$X57="","",Sales_Daily!$X57),"")</f>
        <v/>
      </c>
      <c r="AE691" s="32">
        <f>IF($A691=1,0,"")</f>
        <v/>
      </c>
      <c r="AF691" s="32" t="inlineStr"/>
    </row>
    <row r="692">
      <c r="A692" s="32">
        <f>IF(AND(Sales_Daily!$AV57=1,N(Sales_Daily!$AG57)&gt;0),1,0)</f>
        <v/>
      </c>
      <c r="B692" s="32">
        <f>IF($A692=1,$E692&amp;"/12","")</f>
        <v/>
      </c>
      <c r="C692" s="32">
        <f>IF($A692=1,"J-"&amp;Sales_Daily!$A57,"")</f>
        <v/>
      </c>
      <c r="D692" s="33">
        <f>IF($A692=1,Sales_Daily!$B57,"")</f>
        <v/>
      </c>
      <c r="E692" s="32">
        <f>IF($A692=1,IF(Sales_Daily!$A57="","",Sales_Daily!$A57),"")</f>
        <v/>
      </c>
      <c r="F692" s="32">
        <f>IF($A692=1,"SAL","")</f>
        <v/>
      </c>
      <c r="G692" s="32">
        <f>IF($A692=1,IF(Sales_Daily!$AT57="","",Sales_Daily!$AT57),"")</f>
        <v/>
      </c>
      <c r="H692" s="32">
        <f>IF($A692=1,IF(COUNTIF(COA!$A:$A,$G692)=0,"حساب غير معرف",INDEX(COA!$B:$B,MATCH($G692,COA!$A:$A,0))),"")</f>
        <v/>
      </c>
      <c r="I692" s="32">
        <f>IF($A692=1,IF(Sales_Daily!$C57="","",Sales_Daily!$C57),"")</f>
        <v/>
      </c>
      <c r="J692" s="32">
        <f>IF($A692=1,"CC10","")</f>
        <v/>
      </c>
      <c r="K692" s="32">
        <f>IF($A692=1,"-","")</f>
        <v/>
      </c>
      <c r="L692" s="32">
        <f>IF($A692=1,"إيراد مبيعات - فئة أخرى","")</f>
        <v/>
      </c>
      <c r="M692" s="43">
        <f>IF($A692=1,0,"")</f>
        <v/>
      </c>
      <c r="N692" s="43">
        <f>IF($A692=1,Sales_Daily!$AG57,"")</f>
        <v/>
      </c>
      <c r="O692" s="32">
        <f>IF($A692=1,Sales_Daily!$S57,"")</f>
        <v/>
      </c>
      <c r="P692" s="32">
        <f>IF($A692=1,IF(Sales_Daily!$AW57="","",Sales_Daily!$AW57),"")</f>
        <v/>
      </c>
      <c r="Q692" s="32">
        <f>IF($A692=1,Sales_Daily!$AY57,"")</f>
        <v/>
      </c>
      <c r="R692" s="32">
        <f>IF($A692=1,IF(AND($Q692=1,COUNTIFS(COA!$A:$A,$G692,COA!$R:$R,1)=1),1,0),"")</f>
        <v/>
      </c>
      <c r="S692" s="43">
        <f>IF($A692=1,IF($R692=1,N($M692),0),"")</f>
        <v/>
      </c>
      <c r="T692" s="43">
        <f>IF($A692=1,IF($R692=1,N($N692),0),"")</f>
        <v/>
      </c>
      <c r="U692" s="32">
        <f>IF($A692=1,YEAR($D692)*100+MONTH($D692),"")</f>
        <v/>
      </c>
      <c r="V692" s="32">
        <f>IF($A692=1,IF(COUNTIF(COA!$A:$A,$G692)=0,0,INDEX(COA!$H:$H,MATCH($G692,COA!$A:$A,0))),"")</f>
        <v/>
      </c>
      <c r="W692" s="32">
        <f>IF($A692=1,"","")</f>
        <v/>
      </c>
      <c r="X692" s="32">
        <f>IF($A692=1,IF($R692=1,"",IF($O692=ST_POST,IF($P692&lt;&gt;"",$P692,"حساب غير صالح أو غير نشط"),IF($O692=ST_REV,"معكوس: لا أثر على الدفاتر",IF($O692=ST_CANC,"ملغى",IF($O692=ST_APPR,"معتمد ولم يُرحَّل","مسودة"))))),"")</f>
        <v/>
      </c>
      <c r="Y692" s="32">
        <f>IF($A692=1,IF(AND($R692=1,OR(LG_Acct="",$G692=LG_Acct),OR(LG_Party="",$K692=LG_Party),OR(LG_Loc="ALL",$I692=LG_Loc),OR(LG_CC="ALL",$J692=LG_CC),$D692&gt;=LG_From,$D692&lt;=LG_To),$D692+ROW()/1000000,""),"")</f>
        <v/>
      </c>
      <c r="Z692" s="32">
        <f>IF($A692=1,IF(Sales_Daily!$T57="","",Sales_Daily!$T57),"")</f>
        <v/>
      </c>
      <c r="AA692" s="32">
        <f>IF($A692=1,IF(Sales_Daily!$U57="","",Sales_Daily!$U57),"")</f>
        <v/>
      </c>
      <c r="AB692" s="32">
        <f>IF($A692=1,IF(Sales_Daily!$V57="","",Sales_Daily!$V57),"")</f>
        <v/>
      </c>
      <c r="AC692" s="32">
        <f>IF($A692=1,IF(Sales_Daily!$W57="","",Sales_Daily!$W57),"")</f>
        <v/>
      </c>
      <c r="AD692" s="32">
        <f>IF($A692=1,IF(Sales_Daily!$X57="","",Sales_Daily!$X57),"")</f>
        <v/>
      </c>
      <c r="AE692" s="32">
        <f>IF($A692=1,0,"")</f>
        <v/>
      </c>
      <c r="AF692" s="32" t="inlineStr"/>
    </row>
    <row r="693">
      <c r="A693" s="32">
        <f>IF(AND(Sales_Daily!$AV57=1,N(Sales_Daily!$AJ57)&gt;0),1,0)</f>
        <v/>
      </c>
      <c r="B693" s="32">
        <f>IF($A693=1,$E693&amp;"/13","")</f>
        <v/>
      </c>
      <c r="C693" s="32">
        <f>IF($A693=1,"J-"&amp;Sales_Daily!$A57,"")</f>
        <v/>
      </c>
      <c r="D693" s="33">
        <f>IF($A693=1,Sales_Daily!$B57,"")</f>
        <v/>
      </c>
      <c r="E693" s="32">
        <f>IF($A693=1,IF(Sales_Daily!$A57="","",Sales_Daily!$A57),"")</f>
        <v/>
      </c>
      <c r="F693" s="32">
        <f>IF($A693=1,"SAL","")</f>
        <v/>
      </c>
      <c r="G693" s="32">
        <f>IF($A693=1,ACC_VAT_OUT,"")</f>
        <v/>
      </c>
      <c r="H693" s="32">
        <f>IF($A693=1,IF(COUNTIF(COA!$A:$A,$G693)=0,"حساب غير معرف",INDEX(COA!$B:$B,MATCH($G693,COA!$A:$A,0))),"")</f>
        <v/>
      </c>
      <c r="I693" s="32">
        <f>IF($A693=1,IF(Sales_Daily!$C57="","",Sales_Daily!$C57),"")</f>
        <v/>
      </c>
      <c r="J693" s="32">
        <f>IF($A693=1,"CC10","")</f>
        <v/>
      </c>
      <c r="K693" s="32">
        <f>IF($A693=1,"-","")</f>
        <v/>
      </c>
      <c r="L693" s="32">
        <f>IF($A693=1,"ضريبة القيمة المضافة - مخرجات","")</f>
        <v/>
      </c>
      <c r="M693" s="43">
        <f>IF($A693=1,0,"")</f>
        <v/>
      </c>
      <c r="N693" s="43">
        <f>IF($A693=1,Sales_Daily!$AJ57,"")</f>
        <v/>
      </c>
      <c r="O693" s="32">
        <f>IF($A693=1,Sales_Daily!$S57,"")</f>
        <v/>
      </c>
      <c r="P693" s="32">
        <f>IF($A693=1,IF(Sales_Daily!$AW57="","",Sales_Daily!$AW57),"")</f>
        <v/>
      </c>
      <c r="Q693" s="32">
        <f>IF($A693=1,Sales_Daily!$AY57,"")</f>
        <v/>
      </c>
      <c r="R693" s="32">
        <f>IF($A693=1,IF(AND($Q693=1,COUNTIFS(COA!$A:$A,$G693,COA!$R:$R,1)=1),1,0),"")</f>
        <v/>
      </c>
      <c r="S693" s="43">
        <f>IF($A693=1,IF($R693=1,N($M693),0),"")</f>
        <v/>
      </c>
      <c r="T693" s="43">
        <f>IF($A693=1,IF($R693=1,N($N693),0),"")</f>
        <v/>
      </c>
      <c r="U693" s="32">
        <f>IF($A693=1,YEAR($D693)*100+MONTH($D693),"")</f>
        <v/>
      </c>
      <c r="V693" s="32">
        <f>IF($A693=1,IF(COUNTIF(COA!$A:$A,$G693)=0,0,INDEX(COA!$H:$H,MATCH($G693,COA!$A:$A,0))),"")</f>
        <v/>
      </c>
      <c r="W693" s="32">
        <f>IF($A693=1,"","")</f>
        <v/>
      </c>
      <c r="X693" s="32">
        <f>IF($A693=1,IF($R693=1,"",IF($O693=ST_POST,IF($P693&lt;&gt;"",$P693,"حساب غير صالح أو غير نشط"),IF($O693=ST_REV,"معكوس: لا أثر على الدفاتر",IF($O693=ST_CANC,"ملغى",IF($O693=ST_APPR,"معتمد ولم يُرحَّل","مسودة"))))),"")</f>
        <v/>
      </c>
      <c r="Y693" s="32">
        <f>IF($A693=1,IF(AND($R693=1,OR(LG_Acct="",$G693=LG_Acct),OR(LG_Party="",$K693=LG_Party),OR(LG_Loc="ALL",$I693=LG_Loc),OR(LG_CC="ALL",$J693=LG_CC),$D693&gt;=LG_From,$D693&lt;=LG_To),$D693+ROW()/1000000,""),"")</f>
        <v/>
      </c>
      <c r="Z693" s="32">
        <f>IF($A693=1,IF(Sales_Daily!$T57="","",Sales_Daily!$T57),"")</f>
        <v/>
      </c>
      <c r="AA693" s="32">
        <f>IF($A693=1,IF(Sales_Daily!$U57="","",Sales_Daily!$U57),"")</f>
        <v/>
      </c>
      <c r="AB693" s="32">
        <f>IF($A693=1,IF(Sales_Daily!$V57="","",Sales_Daily!$V57),"")</f>
        <v/>
      </c>
      <c r="AC693" s="32">
        <f>IF($A693=1,IF(Sales_Daily!$W57="","",Sales_Daily!$W57),"")</f>
        <v/>
      </c>
      <c r="AD693" s="32">
        <f>IF($A693=1,IF(Sales_Daily!$X57="","",Sales_Daily!$X57),"")</f>
        <v/>
      </c>
      <c r="AE693" s="32">
        <f>IF($A693=1,0,"")</f>
        <v/>
      </c>
      <c r="AF693" s="32" t="inlineStr"/>
    </row>
    <row r="694">
      <c r="A694" s="32">
        <f>IF(AND(Sales_Daily!$AV58=1,N(Sales_Daily!$L58)&gt;0),1,0)</f>
        <v/>
      </c>
      <c r="B694" s="32">
        <f>IF($A694=1,$E694&amp;"/1","")</f>
        <v/>
      </c>
      <c r="C694" s="32">
        <f>IF($A694=1,"J-"&amp;Sales_Daily!$A58,"")</f>
        <v/>
      </c>
      <c r="D694" s="33">
        <f>IF($A694=1,Sales_Daily!$B58,"")</f>
        <v/>
      </c>
      <c r="E694" s="32">
        <f>IF($A694=1,IF(Sales_Daily!$A58="","",Sales_Daily!$A58),"")</f>
        <v/>
      </c>
      <c r="F694" s="32">
        <f>IF($A694=1,"SAL","")</f>
        <v/>
      </c>
      <c r="G694" s="32">
        <f>IF($A694=1,IF(Sales_Daily!$AK58="","",Sales_Daily!$AK58),"")</f>
        <v/>
      </c>
      <c r="H694" s="32">
        <f>IF($A694=1,IF(COUNTIF(COA!$A:$A,$G694)=0,"حساب غير معرف",INDEX(COA!$B:$B,MATCH($G694,COA!$A:$A,0))),"")</f>
        <v/>
      </c>
      <c r="I694" s="32">
        <f>IF($A694=1,IF(Sales_Daily!$C58="","",Sales_Daily!$C58),"")</f>
        <v/>
      </c>
      <c r="J694" s="32">
        <f>IF($A694=1,"CC10","")</f>
        <v/>
      </c>
      <c r="K694" s="32">
        <f>IF($A694=1,"-","")</f>
        <v/>
      </c>
      <c r="L694" s="32">
        <f>IF($A694=1,"مبيعات - تحصيل CASH","")</f>
        <v/>
      </c>
      <c r="M694" s="43">
        <f>IF($A694=1,Sales_Daily!$L58,"")</f>
        <v/>
      </c>
      <c r="N694" s="43">
        <f>IF($A694=1,0,"")</f>
        <v/>
      </c>
      <c r="O694" s="32">
        <f>IF($A694=1,Sales_Daily!$S58,"")</f>
        <v/>
      </c>
      <c r="P694" s="32">
        <f>IF($A694=1,IF(Sales_Daily!$AW58="","",Sales_Daily!$AW58),"")</f>
        <v/>
      </c>
      <c r="Q694" s="32">
        <f>IF($A694=1,Sales_Daily!$AY58,"")</f>
        <v/>
      </c>
      <c r="R694" s="32">
        <f>IF($A694=1,IF(AND($Q694=1,COUNTIFS(COA!$A:$A,$G694,COA!$R:$R,1)=1),1,0),"")</f>
        <v/>
      </c>
      <c r="S694" s="43">
        <f>IF($A694=1,IF($R694=1,N($M694),0),"")</f>
        <v/>
      </c>
      <c r="T694" s="43">
        <f>IF($A694=1,IF($R694=1,N($N694),0),"")</f>
        <v/>
      </c>
      <c r="U694" s="32">
        <f>IF($A694=1,YEAR($D694)*100+MONTH($D694),"")</f>
        <v/>
      </c>
      <c r="V694" s="32">
        <f>IF($A694=1,IF(COUNTIF(COA!$A:$A,$G694)=0,0,INDEX(COA!$H:$H,MATCH($G694,COA!$A:$A,0))),"")</f>
        <v/>
      </c>
      <c r="W694" s="32">
        <f>IF($A694=1,"OPERATING","")</f>
        <v/>
      </c>
      <c r="X694" s="32">
        <f>IF($A694=1,IF($R694=1,"",IF($O694=ST_POST,IF($P694&lt;&gt;"",$P694,"حساب غير صالح أو غير نشط"),IF($O694=ST_REV,"معكوس: لا أثر على الدفاتر",IF($O694=ST_CANC,"ملغى",IF($O694=ST_APPR,"معتمد ولم يُرحَّل","مسودة"))))),"")</f>
        <v/>
      </c>
      <c r="Y694" s="32">
        <f>IF($A694=1,IF(AND($R694=1,OR(LG_Acct="",$G694=LG_Acct),OR(LG_Party="",$K694=LG_Party),OR(LG_Loc="ALL",$I694=LG_Loc),OR(LG_CC="ALL",$J694=LG_CC),$D694&gt;=LG_From,$D694&lt;=LG_To),$D694+ROW()/1000000,""),"")</f>
        <v/>
      </c>
      <c r="Z694" s="32">
        <f>IF($A694=1,IF(Sales_Daily!$T58="","",Sales_Daily!$T58),"")</f>
        <v/>
      </c>
      <c r="AA694" s="32">
        <f>IF($A694=1,IF(Sales_Daily!$U58="","",Sales_Daily!$U58),"")</f>
        <v/>
      </c>
      <c r="AB694" s="32">
        <f>IF($A694=1,IF(Sales_Daily!$V58="","",Sales_Daily!$V58),"")</f>
        <v/>
      </c>
      <c r="AC694" s="32">
        <f>IF($A694=1,IF(Sales_Daily!$W58="","",Sales_Daily!$W58),"")</f>
        <v/>
      </c>
      <c r="AD694" s="32">
        <f>IF($A694=1,IF(Sales_Daily!$X58="","",Sales_Daily!$X58),"")</f>
        <v/>
      </c>
      <c r="AE694" s="32">
        <f>IF($A694=1,0,"")</f>
        <v/>
      </c>
      <c r="AF694" s="32" t="inlineStr"/>
    </row>
    <row r="695">
      <c r="A695" s="32">
        <f>IF(AND(Sales_Daily!$AV58=1,N(Sales_Daily!$M58)&gt;0),1,0)</f>
        <v/>
      </c>
      <c r="B695" s="32">
        <f>IF($A695=1,$E695&amp;"/2","")</f>
        <v/>
      </c>
      <c r="C695" s="32">
        <f>IF($A695=1,"J-"&amp;Sales_Daily!$A58,"")</f>
        <v/>
      </c>
      <c r="D695" s="33">
        <f>IF($A695=1,Sales_Daily!$B58,"")</f>
        <v/>
      </c>
      <c r="E695" s="32">
        <f>IF($A695=1,IF(Sales_Daily!$A58="","",Sales_Daily!$A58),"")</f>
        <v/>
      </c>
      <c r="F695" s="32">
        <f>IF($A695=1,"SAL","")</f>
        <v/>
      </c>
      <c r="G695" s="32">
        <f>IF($A695=1,IF(Sales_Daily!$AL58="","",Sales_Daily!$AL58),"")</f>
        <v/>
      </c>
      <c r="H695" s="32">
        <f>IF($A695=1,IF(COUNTIF(COA!$A:$A,$G695)=0,"حساب غير معرف",INDEX(COA!$B:$B,MATCH($G695,COA!$A:$A,0))),"")</f>
        <v/>
      </c>
      <c r="I695" s="32">
        <f>IF($A695=1,IF(Sales_Daily!$C58="","",Sales_Daily!$C58),"")</f>
        <v/>
      </c>
      <c r="J695" s="32">
        <f>IF($A695=1,"CC10","")</f>
        <v/>
      </c>
      <c r="K695" s="32">
        <f>IF($A695=1,"-","")</f>
        <v/>
      </c>
      <c r="L695" s="32">
        <f>IF($A695=1,"مبيعات - تحصيل CARD","")</f>
        <v/>
      </c>
      <c r="M695" s="43">
        <f>IF($A695=1,Sales_Daily!$M58,"")</f>
        <v/>
      </c>
      <c r="N695" s="43">
        <f>IF($A695=1,0,"")</f>
        <v/>
      </c>
      <c r="O695" s="32">
        <f>IF($A695=1,Sales_Daily!$S58,"")</f>
        <v/>
      </c>
      <c r="P695" s="32">
        <f>IF($A695=1,IF(Sales_Daily!$AW58="","",Sales_Daily!$AW58),"")</f>
        <v/>
      </c>
      <c r="Q695" s="32">
        <f>IF($A695=1,Sales_Daily!$AY58,"")</f>
        <v/>
      </c>
      <c r="R695" s="32">
        <f>IF($A695=1,IF(AND($Q695=1,COUNTIFS(COA!$A:$A,$G695,COA!$R:$R,1)=1),1,0),"")</f>
        <v/>
      </c>
      <c r="S695" s="43">
        <f>IF($A695=1,IF($R695=1,N($M695),0),"")</f>
        <v/>
      </c>
      <c r="T695" s="43">
        <f>IF($A695=1,IF($R695=1,N($N695),0),"")</f>
        <v/>
      </c>
      <c r="U695" s="32">
        <f>IF($A695=1,YEAR($D695)*100+MONTH($D695),"")</f>
        <v/>
      </c>
      <c r="V695" s="32">
        <f>IF($A695=1,IF(COUNTIF(COA!$A:$A,$G695)=0,0,INDEX(COA!$H:$H,MATCH($G695,COA!$A:$A,0))),"")</f>
        <v/>
      </c>
      <c r="W695" s="32">
        <f>IF($A695=1,"OPERATING","")</f>
        <v/>
      </c>
      <c r="X695" s="32">
        <f>IF($A695=1,IF($R695=1,"",IF($O695=ST_POST,IF($P695&lt;&gt;"",$P695,"حساب غير صالح أو غير نشط"),IF($O695=ST_REV,"معكوس: لا أثر على الدفاتر",IF($O695=ST_CANC,"ملغى",IF($O695=ST_APPR,"معتمد ولم يُرحَّل","مسودة"))))),"")</f>
        <v/>
      </c>
      <c r="Y695" s="32">
        <f>IF($A695=1,IF(AND($R695=1,OR(LG_Acct="",$G695=LG_Acct),OR(LG_Party="",$K695=LG_Party),OR(LG_Loc="ALL",$I695=LG_Loc),OR(LG_CC="ALL",$J695=LG_CC),$D695&gt;=LG_From,$D695&lt;=LG_To),$D695+ROW()/1000000,""),"")</f>
        <v/>
      </c>
      <c r="Z695" s="32">
        <f>IF($A695=1,IF(Sales_Daily!$T58="","",Sales_Daily!$T58),"")</f>
        <v/>
      </c>
      <c r="AA695" s="32">
        <f>IF($A695=1,IF(Sales_Daily!$U58="","",Sales_Daily!$U58),"")</f>
        <v/>
      </c>
      <c r="AB695" s="32">
        <f>IF($A695=1,IF(Sales_Daily!$V58="","",Sales_Daily!$V58),"")</f>
        <v/>
      </c>
      <c r="AC695" s="32">
        <f>IF($A695=1,IF(Sales_Daily!$W58="","",Sales_Daily!$W58),"")</f>
        <v/>
      </c>
      <c r="AD695" s="32">
        <f>IF($A695=1,IF(Sales_Daily!$X58="","",Sales_Daily!$X58),"")</f>
        <v/>
      </c>
      <c r="AE695" s="32">
        <f>IF($A695=1,0,"")</f>
        <v/>
      </c>
      <c r="AF695" s="32" t="inlineStr"/>
    </row>
    <row r="696">
      <c r="A696" s="32">
        <f>IF(AND(Sales_Daily!$AV58=1,N(Sales_Daily!$N58)&gt;0),1,0)</f>
        <v/>
      </c>
      <c r="B696" s="32">
        <f>IF($A696=1,$E696&amp;"/3","")</f>
        <v/>
      </c>
      <c r="C696" s="32">
        <f>IF($A696=1,"J-"&amp;Sales_Daily!$A58,"")</f>
        <v/>
      </c>
      <c r="D696" s="33">
        <f>IF($A696=1,Sales_Daily!$B58,"")</f>
        <v/>
      </c>
      <c r="E696" s="32">
        <f>IF($A696=1,IF(Sales_Daily!$A58="","",Sales_Daily!$A58),"")</f>
        <v/>
      </c>
      <c r="F696" s="32">
        <f>IF($A696=1,"SAL","")</f>
        <v/>
      </c>
      <c r="G696" s="32">
        <f>IF($A696=1,IF(Sales_Daily!$AM58="","",Sales_Daily!$AM58),"")</f>
        <v/>
      </c>
      <c r="H696" s="32">
        <f>IF($A696=1,IF(COUNTIF(COA!$A:$A,$G696)=0,"حساب غير معرف",INDEX(COA!$B:$B,MATCH($G696,COA!$A:$A,0))),"")</f>
        <v/>
      </c>
      <c r="I696" s="32">
        <f>IF($A696=1,IF(Sales_Daily!$C58="","",Sales_Daily!$C58),"")</f>
        <v/>
      </c>
      <c r="J696" s="32">
        <f>IF($A696=1,"CC10","")</f>
        <v/>
      </c>
      <c r="K696" s="32">
        <f>IF($A696=1,"-","")</f>
        <v/>
      </c>
      <c r="L696" s="32">
        <f>IF($A696=1,"مبيعات - تحصيل TLB","")</f>
        <v/>
      </c>
      <c r="M696" s="43">
        <f>IF($A696=1,Sales_Daily!$N58,"")</f>
        <v/>
      </c>
      <c r="N696" s="43">
        <f>IF($A696=1,0,"")</f>
        <v/>
      </c>
      <c r="O696" s="32">
        <f>IF($A696=1,Sales_Daily!$S58,"")</f>
        <v/>
      </c>
      <c r="P696" s="32">
        <f>IF($A696=1,IF(Sales_Daily!$AW58="","",Sales_Daily!$AW58),"")</f>
        <v/>
      </c>
      <c r="Q696" s="32">
        <f>IF($A696=1,Sales_Daily!$AY58,"")</f>
        <v/>
      </c>
      <c r="R696" s="32">
        <f>IF($A696=1,IF(AND($Q696=1,COUNTIFS(COA!$A:$A,$G696,COA!$R:$R,1)=1),1,0),"")</f>
        <v/>
      </c>
      <c r="S696" s="43">
        <f>IF($A696=1,IF($R696=1,N($M696),0),"")</f>
        <v/>
      </c>
      <c r="T696" s="43">
        <f>IF($A696=1,IF($R696=1,N($N696),0),"")</f>
        <v/>
      </c>
      <c r="U696" s="32">
        <f>IF($A696=1,YEAR($D696)*100+MONTH($D696),"")</f>
        <v/>
      </c>
      <c r="V696" s="32">
        <f>IF($A696=1,IF(COUNTIF(COA!$A:$A,$G696)=0,0,INDEX(COA!$H:$H,MATCH($G696,COA!$A:$A,0))),"")</f>
        <v/>
      </c>
      <c r="W696" s="32">
        <f>IF($A696=1,"OPERATING","")</f>
        <v/>
      </c>
      <c r="X696" s="32">
        <f>IF($A696=1,IF($R696=1,"",IF($O696=ST_POST,IF($P696&lt;&gt;"",$P696,"حساب غير صالح أو غير نشط"),IF($O696=ST_REV,"معكوس: لا أثر على الدفاتر",IF($O696=ST_CANC,"ملغى",IF($O696=ST_APPR,"معتمد ولم يُرحَّل","مسودة"))))),"")</f>
        <v/>
      </c>
      <c r="Y696" s="32">
        <f>IF($A696=1,IF(AND($R696=1,OR(LG_Acct="",$G696=LG_Acct),OR(LG_Party="",$K696=LG_Party),OR(LG_Loc="ALL",$I696=LG_Loc),OR(LG_CC="ALL",$J696=LG_CC),$D696&gt;=LG_From,$D696&lt;=LG_To),$D696+ROW()/1000000,""),"")</f>
        <v/>
      </c>
      <c r="Z696" s="32">
        <f>IF($A696=1,IF(Sales_Daily!$T58="","",Sales_Daily!$T58),"")</f>
        <v/>
      </c>
      <c r="AA696" s="32">
        <f>IF($A696=1,IF(Sales_Daily!$U58="","",Sales_Daily!$U58),"")</f>
        <v/>
      </c>
      <c r="AB696" s="32">
        <f>IF($A696=1,IF(Sales_Daily!$V58="","",Sales_Daily!$V58),"")</f>
        <v/>
      </c>
      <c r="AC696" s="32">
        <f>IF($A696=1,IF(Sales_Daily!$W58="","",Sales_Daily!$W58),"")</f>
        <v/>
      </c>
      <c r="AD696" s="32">
        <f>IF($A696=1,IF(Sales_Daily!$X58="","",Sales_Daily!$X58),"")</f>
        <v/>
      </c>
      <c r="AE696" s="32">
        <f>IF($A696=1,0,"")</f>
        <v/>
      </c>
      <c r="AF696" s="32" t="inlineStr"/>
    </row>
    <row r="697">
      <c r="A697" s="32">
        <f>IF(AND(Sales_Daily!$AV58=1,N(Sales_Daily!$O58)&gt;0),1,0)</f>
        <v/>
      </c>
      <c r="B697" s="32">
        <f>IF($A697=1,$E697&amp;"/4","")</f>
        <v/>
      </c>
      <c r="C697" s="32">
        <f>IF($A697=1,"J-"&amp;Sales_Daily!$A58,"")</f>
        <v/>
      </c>
      <c r="D697" s="33">
        <f>IF($A697=1,Sales_Daily!$B58,"")</f>
        <v/>
      </c>
      <c r="E697" s="32">
        <f>IF($A697=1,IF(Sales_Daily!$A58="","",Sales_Daily!$A58),"")</f>
        <v/>
      </c>
      <c r="F697" s="32">
        <f>IF($A697=1,"SAL","")</f>
        <v/>
      </c>
      <c r="G697" s="32">
        <f>IF($A697=1,IF(Sales_Daily!$AN58="","",Sales_Daily!$AN58),"")</f>
        <v/>
      </c>
      <c r="H697" s="32">
        <f>IF($A697=1,IF(COUNTIF(COA!$A:$A,$G697)=0,"حساب غير معرف",INDEX(COA!$B:$B,MATCH($G697,COA!$A:$A,0))),"")</f>
        <v/>
      </c>
      <c r="I697" s="32">
        <f>IF($A697=1,IF(Sales_Daily!$C58="","",Sales_Daily!$C58),"")</f>
        <v/>
      </c>
      <c r="J697" s="32">
        <f>IF($A697=1,"CC10","")</f>
        <v/>
      </c>
      <c r="K697" s="32">
        <f>IF($A697=1,"-","")</f>
        <v/>
      </c>
      <c r="L697" s="32">
        <f>IF($A697=1,"مبيعات - تحصيل DLV2","")</f>
        <v/>
      </c>
      <c r="M697" s="43">
        <f>IF($A697=1,Sales_Daily!$O58,"")</f>
        <v/>
      </c>
      <c r="N697" s="43">
        <f>IF($A697=1,0,"")</f>
        <v/>
      </c>
      <c r="O697" s="32">
        <f>IF($A697=1,Sales_Daily!$S58,"")</f>
        <v/>
      </c>
      <c r="P697" s="32">
        <f>IF($A697=1,IF(Sales_Daily!$AW58="","",Sales_Daily!$AW58),"")</f>
        <v/>
      </c>
      <c r="Q697" s="32">
        <f>IF($A697=1,Sales_Daily!$AY58,"")</f>
        <v/>
      </c>
      <c r="R697" s="32">
        <f>IF($A697=1,IF(AND($Q697=1,COUNTIFS(COA!$A:$A,$G697,COA!$R:$R,1)=1),1,0),"")</f>
        <v/>
      </c>
      <c r="S697" s="43">
        <f>IF($A697=1,IF($R697=1,N($M697),0),"")</f>
        <v/>
      </c>
      <c r="T697" s="43">
        <f>IF($A697=1,IF($R697=1,N($N697),0),"")</f>
        <v/>
      </c>
      <c r="U697" s="32">
        <f>IF($A697=1,YEAR($D697)*100+MONTH($D697),"")</f>
        <v/>
      </c>
      <c r="V697" s="32">
        <f>IF($A697=1,IF(COUNTIF(COA!$A:$A,$G697)=0,0,INDEX(COA!$H:$H,MATCH($G697,COA!$A:$A,0))),"")</f>
        <v/>
      </c>
      <c r="W697" s="32">
        <f>IF($A697=1,"OPERATING","")</f>
        <v/>
      </c>
      <c r="X697" s="32">
        <f>IF($A697=1,IF($R697=1,"",IF($O697=ST_POST,IF($P697&lt;&gt;"",$P697,"حساب غير صالح أو غير نشط"),IF($O697=ST_REV,"معكوس: لا أثر على الدفاتر",IF($O697=ST_CANC,"ملغى",IF($O697=ST_APPR,"معتمد ولم يُرحَّل","مسودة"))))),"")</f>
        <v/>
      </c>
      <c r="Y697" s="32">
        <f>IF($A697=1,IF(AND($R697=1,OR(LG_Acct="",$G697=LG_Acct),OR(LG_Party="",$K697=LG_Party),OR(LG_Loc="ALL",$I697=LG_Loc),OR(LG_CC="ALL",$J697=LG_CC),$D697&gt;=LG_From,$D697&lt;=LG_To),$D697+ROW()/1000000,""),"")</f>
        <v/>
      </c>
      <c r="Z697" s="32">
        <f>IF($A697=1,IF(Sales_Daily!$T58="","",Sales_Daily!$T58),"")</f>
        <v/>
      </c>
      <c r="AA697" s="32">
        <f>IF($A697=1,IF(Sales_Daily!$U58="","",Sales_Daily!$U58),"")</f>
        <v/>
      </c>
      <c r="AB697" s="32">
        <f>IF($A697=1,IF(Sales_Daily!$V58="","",Sales_Daily!$V58),"")</f>
        <v/>
      </c>
      <c r="AC697" s="32">
        <f>IF($A697=1,IF(Sales_Daily!$W58="","",Sales_Daily!$W58),"")</f>
        <v/>
      </c>
      <c r="AD697" s="32">
        <f>IF($A697=1,IF(Sales_Daily!$X58="","",Sales_Daily!$X58),"")</f>
        <v/>
      </c>
      <c r="AE697" s="32">
        <f>IF($A697=1,0,"")</f>
        <v/>
      </c>
      <c r="AF697" s="32" t="inlineStr"/>
    </row>
    <row r="698">
      <c r="A698" s="32">
        <f>IF(AND(Sales_Daily!$AV58=1,N(Sales_Daily!$P58)&gt;0),1,0)</f>
        <v/>
      </c>
      <c r="B698" s="32">
        <f>IF($A698=1,$E698&amp;"/5","")</f>
        <v/>
      </c>
      <c r="C698" s="32">
        <f>IF($A698=1,"J-"&amp;Sales_Daily!$A58,"")</f>
        <v/>
      </c>
      <c r="D698" s="33">
        <f>IF($A698=1,Sales_Daily!$B58,"")</f>
        <v/>
      </c>
      <c r="E698" s="32">
        <f>IF($A698=1,IF(Sales_Daily!$A58="","",Sales_Daily!$A58),"")</f>
        <v/>
      </c>
      <c r="F698" s="32">
        <f>IF($A698=1,"SAL","")</f>
        <v/>
      </c>
      <c r="G698" s="32">
        <f>IF($A698=1,IF(Sales_Daily!$AO58="","",Sales_Daily!$AO58),"")</f>
        <v/>
      </c>
      <c r="H698" s="32">
        <f>IF($A698=1,IF(COUNTIF(COA!$A:$A,$G698)=0,"حساب غير معرف",INDEX(COA!$B:$B,MATCH($G698,COA!$A:$A,0))),"")</f>
        <v/>
      </c>
      <c r="I698" s="32">
        <f>IF($A698=1,IF(Sales_Daily!$C58="","",Sales_Daily!$C58),"")</f>
        <v/>
      </c>
      <c r="J698" s="32">
        <f>IF($A698=1,"CC10","")</f>
        <v/>
      </c>
      <c r="K698" s="32">
        <f>IF($A698=1,"-","")</f>
        <v/>
      </c>
      <c r="L698" s="32">
        <f>IF($A698=1,"مبيعات - تحصيل INSTA","")</f>
        <v/>
      </c>
      <c r="M698" s="43">
        <f>IF($A698=1,Sales_Daily!$P58,"")</f>
        <v/>
      </c>
      <c r="N698" s="43">
        <f>IF($A698=1,0,"")</f>
        <v/>
      </c>
      <c r="O698" s="32">
        <f>IF($A698=1,Sales_Daily!$S58,"")</f>
        <v/>
      </c>
      <c r="P698" s="32">
        <f>IF($A698=1,IF(Sales_Daily!$AW58="","",Sales_Daily!$AW58),"")</f>
        <v/>
      </c>
      <c r="Q698" s="32">
        <f>IF($A698=1,Sales_Daily!$AY58,"")</f>
        <v/>
      </c>
      <c r="R698" s="32">
        <f>IF($A698=1,IF(AND($Q698=1,COUNTIFS(COA!$A:$A,$G698,COA!$R:$R,1)=1),1,0),"")</f>
        <v/>
      </c>
      <c r="S698" s="43">
        <f>IF($A698=1,IF($R698=1,N($M698),0),"")</f>
        <v/>
      </c>
      <c r="T698" s="43">
        <f>IF($A698=1,IF($R698=1,N($N698),0),"")</f>
        <v/>
      </c>
      <c r="U698" s="32">
        <f>IF($A698=1,YEAR($D698)*100+MONTH($D698),"")</f>
        <v/>
      </c>
      <c r="V698" s="32">
        <f>IF($A698=1,IF(COUNTIF(COA!$A:$A,$G698)=0,0,INDEX(COA!$H:$H,MATCH($G698,COA!$A:$A,0))),"")</f>
        <v/>
      </c>
      <c r="W698" s="32">
        <f>IF($A698=1,"OPERATING","")</f>
        <v/>
      </c>
      <c r="X698" s="32">
        <f>IF($A698=1,IF($R698=1,"",IF($O698=ST_POST,IF($P698&lt;&gt;"",$P698,"حساب غير صالح أو غير نشط"),IF($O698=ST_REV,"معكوس: لا أثر على الدفاتر",IF($O698=ST_CANC,"ملغى",IF($O698=ST_APPR,"معتمد ولم يُرحَّل","مسودة"))))),"")</f>
        <v/>
      </c>
      <c r="Y698" s="32">
        <f>IF($A698=1,IF(AND($R698=1,OR(LG_Acct="",$G698=LG_Acct),OR(LG_Party="",$K698=LG_Party),OR(LG_Loc="ALL",$I698=LG_Loc),OR(LG_CC="ALL",$J698=LG_CC),$D698&gt;=LG_From,$D698&lt;=LG_To),$D698+ROW()/1000000,""),"")</f>
        <v/>
      </c>
      <c r="Z698" s="32">
        <f>IF($A698=1,IF(Sales_Daily!$T58="","",Sales_Daily!$T58),"")</f>
        <v/>
      </c>
      <c r="AA698" s="32">
        <f>IF($A698=1,IF(Sales_Daily!$U58="","",Sales_Daily!$U58),"")</f>
        <v/>
      </c>
      <c r="AB698" s="32">
        <f>IF($A698=1,IF(Sales_Daily!$V58="","",Sales_Daily!$V58),"")</f>
        <v/>
      </c>
      <c r="AC698" s="32">
        <f>IF($A698=1,IF(Sales_Daily!$W58="","",Sales_Daily!$W58),"")</f>
        <v/>
      </c>
      <c r="AD698" s="32">
        <f>IF($A698=1,IF(Sales_Daily!$X58="","",Sales_Daily!$X58),"")</f>
        <v/>
      </c>
      <c r="AE698" s="32">
        <f>IF($A698=1,0,"")</f>
        <v/>
      </c>
      <c r="AF698" s="32" t="inlineStr"/>
    </row>
    <row r="699">
      <c r="A699" s="32">
        <f>IF(AND(Sales_Daily!$AV58=1,N(Sales_Daily!$Q58)&gt;0),1,0)</f>
        <v/>
      </c>
      <c r="B699" s="32">
        <f>IF($A699=1,$E699&amp;"/6","")</f>
        <v/>
      </c>
      <c r="C699" s="32">
        <f>IF($A699=1,"J-"&amp;Sales_Daily!$A58,"")</f>
        <v/>
      </c>
      <c r="D699" s="33">
        <f>IF($A699=1,Sales_Daily!$B58,"")</f>
        <v/>
      </c>
      <c r="E699" s="32">
        <f>IF($A699=1,IF(Sales_Daily!$A58="","",Sales_Daily!$A58),"")</f>
        <v/>
      </c>
      <c r="F699" s="32">
        <f>IF($A699=1,"SAL","")</f>
        <v/>
      </c>
      <c r="G699" s="32">
        <f>IF($A699=1,IF(Sales_Daily!$AP58="","",Sales_Daily!$AP58),"")</f>
        <v/>
      </c>
      <c r="H699" s="32">
        <f>IF($A699=1,IF(COUNTIF(COA!$A:$A,$G699)=0,"حساب غير معرف",INDEX(COA!$B:$B,MATCH($G699,COA!$A:$A,0))),"")</f>
        <v/>
      </c>
      <c r="I699" s="32">
        <f>IF($A699=1,IF(Sales_Daily!$C58="","",Sales_Daily!$C58),"")</f>
        <v/>
      </c>
      <c r="J699" s="32">
        <f>IF($A699=1,"CC10","")</f>
        <v/>
      </c>
      <c r="K699" s="32">
        <f>IF($A699=1,"-","")</f>
        <v/>
      </c>
      <c r="L699" s="32">
        <f>IF($A699=1,"مبيعات - تحصيل OTH","")</f>
        <v/>
      </c>
      <c r="M699" s="43">
        <f>IF($A699=1,Sales_Daily!$Q58,"")</f>
        <v/>
      </c>
      <c r="N699" s="43">
        <f>IF($A699=1,0,"")</f>
        <v/>
      </c>
      <c r="O699" s="32">
        <f>IF($A699=1,Sales_Daily!$S58,"")</f>
        <v/>
      </c>
      <c r="P699" s="32">
        <f>IF($A699=1,IF(Sales_Daily!$AW58="","",Sales_Daily!$AW58),"")</f>
        <v/>
      </c>
      <c r="Q699" s="32">
        <f>IF($A699=1,Sales_Daily!$AY58,"")</f>
        <v/>
      </c>
      <c r="R699" s="32">
        <f>IF($A699=1,IF(AND($Q699=1,COUNTIFS(COA!$A:$A,$G699,COA!$R:$R,1)=1),1,0),"")</f>
        <v/>
      </c>
      <c r="S699" s="43">
        <f>IF($A699=1,IF($R699=1,N($M699),0),"")</f>
        <v/>
      </c>
      <c r="T699" s="43">
        <f>IF($A699=1,IF($R699=1,N($N699),0),"")</f>
        <v/>
      </c>
      <c r="U699" s="32">
        <f>IF($A699=1,YEAR($D699)*100+MONTH($D699),"")</f>
        <v/>
      </c>
      <c r="V699" s="32">
        <f>IF($A699=1,IF(COUNTIF(COA!$A:$A,$G699)=0,0,INDEX(COA!$H:$H,MATCH($G699,COA!$A:$A,0))),"")</f>
        <v/>
      </c>
      <c r="W699" s="32">
        <f>IF($A699=1,"OPERATING","")</f>
        <v/>
      </c>
      <c r="X699" s="32">
        <f>IF($A699=1,IF($R699=1,"",IF($O699=ST_POST,IF($P699&lt;&gt;"",$P699,"حساب غير صالح أو غير نشط"),IF($O699=ST_REV,"معكوس: لا أثر على الدفاتر",IF($O699=ST_CANC,"ملغى",IF($O699=ST_APPR,"معتمد ولم يُرحَّل","مسودة"))))),"")</f>
        <v/>
      </c>
      <c r="Y699" s="32">
        <f>IF($A699=1,IF(AND($R699=1,OR(LG_Acct="",$G699=LG_Acct),OR(LG_Party="",$K699=LG_Party),OR(LG_Loc="ALL",$I699=LG_Loc),OR(LG_CC="ALL",$J699=LG_CC),$D699&gt;=LG_From,$D699&lt;=LG_To),$D699+ROW()/1000000,""),"")</f>
        <v/>
      </c>
      <c r="Z699" s="32">
        <f>IF($A699=1,IF(Sales_Daily!$T58="","",Sales_Daily!$T58),"")</f>
        <v/>
      </c>
      <c r="AA699" s="32">
        <f>IF($A699=1,IF(Sales_Daily!$U58="","",Sales_Daily!$U58),"")</f>
        <v/>
      </c>
      <c r="AB699" s="32">
        <f>IF($A699=1,IF(Sales_Daily!$V58="","",Sales_Daily!$V58),"")</f>
        <v/>
      </c>
      <c r="AC699" s="32">
        <f>IF($A699=1,IF(Sales_Daily!$W58="","",Sales_Daily!$W58),"")</f>
        <v/>
      </c>
      <c r="AD699" s="32">
        <f>IF($A699=1,IF(Sales_Daily!$X58="","",Sales_Daily!$X58),"")</f>
        <v/>
      </c>
      <c r="AE699" s="32">
        <f>IF($A699=1,0,"")</f>
        <v/>
      </c>
      <c r="AF699" s="32" t="inlineStr"/>
    </row>
    <row r="700">
      <c r="A700" s="32">
        <f>IF(AND(Sales_Daily!$AV58=1,N(Sales_Daily!$AH58)&gt;0),1,0)</f>
        <v/>
      </c>
      <c r="B700" s="32">
        <f>IF($A700=1,$E700&amp;"/7","")</f>
        <v/>
      </c>
      <c r="C700" s="32">
        <f>IF($A700=1,"J-"&amp;Sales_Daily!$A58,"")</f>
        <v/>
      </c>
      <c r="D700" s="33">
        <f>IF($A700=1,Sales_Daily!$B58,"")</f>
        <v/>
      </c>
      <c r="E700" s="32">
        <f>IF($A700=1,IF(Sales_Daily!$A58="","",Sales_Daily!$A58),"")</f>
        <v/>
      </c>
      <c r="F700" s="32">
        <f>IF($A700=1,"SAL","")</f>
        <v/>
      </c>
      <c r="G700" s="32">
        <f>IF($A700=1,ACC_DISC,"")</f>
        <v/>
      </c>
      <c r="H700" s="32">
        <f>IF($A700=1,IF(COUNTIF(COA!$A:$A,$G700)=0,"حساب غير معرف",INDEX(COA!$B:$B,MATCH($G700,COA!$A:$A,0))),"")</f>
        <v/>
      </c>
      <c r="I700" s="32">
        <f>IF($A700=1,IF(Sales_Daily!$C58="","",Sales_Daily!$C58),"")</f>
        <v/>
      </c>
      <c r="J700" s="32">
        <f>IF($A700=1,"CC10","")</f>
        <v/>
      </c>
      <c r="K700" s="32">
        <f>IF($A700=1,"-","")</f>
        <v/>
      </c>
      <c r="L700" s="32">
        <f>IF($A700=1,"خصومات المبيعات والعروض","")</f>
        <v/>
      </c>
      <c r="M700" s="43">
        <f>IF($A700=1,Sales_Daily!$AH58,"")</f>
        <v/>
      </c>
      <c r="N700" s="43">
        <f>IF($A700=1,0,"")</f>
        <v/>
      </c>
      <c r="O700" s="32">
        <f>IF($A700=1,Sales_Daily!$S58,"")</f>
        <v/>
      </c>
      <c r="P700" s="32">
        <f>IF($A700=1,IF(Sales_Daily!$AW58="","",Sales_Daily!$AW58),"")</f>
        <v/>
      </c>
      <c r="Q700" s="32">
        <f>IF($A700=1,Sales_Daily!$AY58,"")</f>
        <v/>
      </c>
      <c r="R700" s="32">
        <f>IF($A700=1,IF(AND($Q700=1,COUNTIFS(COA!$A:$A,$G700,COA!$R:$R,1)=1),1,0),"")</f>
        <v/>
      </c>
      <c r="S700" s="43">
        <f>IF($A700=1,IF($R700=1,N($M700),0),"")</f>
        <v/>
      </c>
      <c r="T700" s="43">
        <f>IF($A700=1,IF($R700=1,N($N700),0),"")</f>
        <v/>
      </c>
      <c r="U700" s="32">
        <f>IF($A700=1,YEAR($D700)*100+MONTH($D700),"")</f>
        <v/>
      </c>
      <c r="V700" s="32">
        <f>IF($A700=1,IF(COUNTIF(COA!$A:$A,$G700)=0,0,INDEX(COA!$H:$H,MATCH($G700,COA!$A:$A,0))),"")</f>
        <v/>
      </c>
      <c r="W700" s="32">
        <f>IF($A700=1,"","")</f>
        <v/>
      </c>
      <c r="X700" s="32">
        <f>IF($A700=1,IF($R700=1,"",IF($O700=ST_POST,IF($P700&lt;&gt;"",$P700,"حساب غير صالح أو غير نشط"),IF($O700=ST_REV,"معكوس: لا أثر على الدفاتر",IF($O700=ST_CANC,"ملغى",IF($O700=ST_APPR,"معتمد ولم يُرحَّل","مسودة"))))),"")</f>
        <v/>
      </c>
      <c r="Y700" s="32">
        <f>IF($A700=1,IF(AND($R700=1,OR(LG_Acct="",$G700=LG_Acct),OR(LG_Party="",$K700=LG_Party),OR(LG_Loc="ALL",$I700=LG_Loc),OR(LG_CC="ALL",$J700=LG_CC),$D700&gt;=LG_From,$D700&lt;=LG_To),$D700+ROW()/1000000,""),"")</f>
        <v/>
      </c>
      <c r="Z700" s="32">
        <f>IF($A700=1,IF(Sales_Daily!$T58="","",Sales_Daily!$T58),"")</f>
        <v/>
      </c>
      <c r="AA700" s="32">
        <f>IF($A700=1,IF(Sales_Daily!$U58="","",Sales_Daily!$U58),"")</f>
        <v/>
      </c>
      <c r="AB700" s="32">
        <f>IF($A700=1,IF(Sales_Daily!$V58="","",Sales_Daily!$V58),"")</f>
        <v/>
      </c>
      <c r="AC700" s="32">
        <f>IF($A700=1,IF(Sales_Daily!$W58="","",Sales_Daily!$W58),"")</f>
        <v/>
      </c>
      <c r="AD700" s="32">
        <f>IF($A700=1,IF(Sales_Daily!$X58="","",Sales_Daily!$X58),"")</f>
        <v/>
      </c>
      <c r="AE700" s="32">
        <f>IF($A700=1,0,"")</f>
        <v/>
      </c>
      <c r="AF700" s="32" t="inlineStr"/>
    </row>
    <row r="701">
      <c r="A701" s="32">
        <f>IF(AND(Sales_Daily!$AV58=1,N(Sales_Daily!$AI58)&gt;0),1,0)</f>
        <v/>
      </c>
      <c r="B701" s="32">
        <f>IF($A701=1,$E701&amp;"/8","")</f>
        <v/>
      </c>
      <c r="C701" s="32">
        <f>IF($A701=1,"J-"&amp;Sales_Daily!$A58,"")</f>
        <v/>
      </c>
      <c r="D701" s="33">
        <f>IF($A701=1,Sales_Daily!$B58,"")</f>
        <v/>
      </c>
      <c r="E701" s="32">
        <f>IF($A701=1,IF(Sales_Daily!$A58="","",Sales_Daily!$A58),"")</f>
        <v/>
      </c>
      <c r="F701" s="32">
        <f>IF($A701=1,"SAL","")</f>
        <v/>
      </c>
      <c r="G701" s="32">
        <f>IF($A701=1,ACC_RET,"")</f>
        <v/>
      </c>
      <c r="H701" s="32">
        <f>IF($A701=1,IF(COUNTIF(COA!$A:$A,$G701)=0,"حساب غير معرف",INDEX(COA!$B:$B,MATCH($G701,COA!$A:$A,0))),"")</f>
        <v/>
      </c>
      <c r="I701" s="32">
        <f>IF($A701=1,IF(Sales_Daily!$C58="","",Sales_Daily!$C58),"")</f>
        <v/>
      </c>
      <c r="J701" s="32">
        <f>IF($A701=1,"CC10","")</f>
        <v/>
      </c>
      <c r="K701" s="32">
        <f>IF($A701=1,"-","")</f>
        <v/>
      </c>
      <c r="L701" s="32">
        <f>IF($A701=1,"مرتجعات وإلغاءات المبيعات","")</f>
        <v/>
      </c>
      <c r="M701" s="43">
        <f>IF($A701=1,Sales_Daily!$AI58,"")</f>
        <v/>
      </c>
      <c r="N701" s="43">
        <f>IF($A701=1,0,"")</f>
        <v/>
      </c>
      <c r="O701" s="32">
        <f>IF($A701=1,Sales_Daily!$S58,"")</f>
        <v/>
      </c>
      <c r="P701" s="32">
        <f>IF($A701=1,IF(Sales_Daily!$AW58="","",Sales_Daily!$AW58),"")</f>
        <v/>
      </c>
      <c r="Q701" s="32">
        <f>IF($A701=1,Sales_Daily!$AY58,"")</f>
        <v/>
      </c>
      <c r="R701" s="32">
        <f>IF($A701=1,IF(AND($Q701=1,COUNTIFS(COA!$A:$A,$G701,COA!$R:$R,1)=1),1,0),"")</f>
        <v/>
      </c>
      <c r="S701" s="43">
        <f>IF($A701=1,IF($R701=1,N($M701),0),"")</f>
        <v/>
      </c>
      <c r="T701" s="43">
        <f>IF($A701=1,IF($R701=1,N($N701),0),"")</f>
        <v/>
      </c>
      <c r="U701" s="32">
        <f>IF($A701=1,YEAR($D701)*100+MONTH($D701),"")</f>
        <v/>
      </c>
      <c r="V701" s="32">
        <f>IF($A701=1,IF(COUNTIF(COA!$A:$A,$G701)=0,0,INDEX(COA!$H:$H,MATCH($G701,COA!$A:$A,0))),"")</f>
        <v/>
      </c>
      <c r="W701" s="32">
        <f>IF($A701=1,"","")</f>
        <v/>
      </c>
      <c r="X701" s="32">
        <f>IF($A701=1,IF($R701=1,"",IF($O701=ST_POST,IF($P701&lt;&gt;"",$P701,"حساب غير صالح أو غير نشط"),IF($O701=ST_REV,"معكوس: لا أثر على الدفاتر",IF($O701=ST_CANC,"ملغى",IF($O701=ST_APPR,"معتمد ولم يُرحَّل","مسودة"))))),"")</f>
        <v/>
      </c>
      <c r="Y701" s="32">
        <f>IF($A701=1,IF(AND($R701=1,OR(LG_Acct="",$G701=LG_Acct),OR(LG_Party="",$K701=LG_Party),OR(LG_Loc="ALL",$I701=LG_Loc),OR(LG_CC="ALL",$J701=LG_CC),$D701&gt;=LG_From,$D701&lt;=LG_To),$D701+ROW()/1000000,""),"")</f>
        <v/>
      </c>
      <c r="Z701" s="32">
        <f>IF($A701=1,IF(Sales_Daily!$T58="","",Sales_Daily!$T58),"")</f>
        <v/>
      </c>
      <c r="AA701" s="32">
        <f>IF($A701=1,IF(Sales_Daily!$U58="","",Sales_Daily!$U58),"")</f>
        <v/>
      </c>
      <c r="AB701" s="32">
        <f>IF($A701=1,IF(Sales_Daily!$V58="","",Sales_Daily!$V58),"")</f>
        <v/>
      </c>
      <c r="AC701" s="32">
        <f>IF($A701=1,IF(Sales_Daily!$W58="","",Sales_Daily!$W58),"")</f>
        <v/>
      </c>
      <c r="AD701" s="32">
        <f>IF($A701=1,IF(Sales_Daily!$X58="","",Sales_Daily!$X58),"")</f>
        <v/>
      </c>
      <c r="AE701" s="32">
        <f>IF($A701=1,0,"")</f>
        <v/>
      </c>
      <c r="AF701" s="32" t="inlineStr"/>
    </row>
    <row r="702">
      <c r="A702" s="32">
        <f>IF(AND(Sales_Daily!$AV58=1,N(Sales_Daily!$AD58)&gt;0),1,0)</f>
        <v/>
      </c>
      <c r="B702" s="32">
        <f>IF($A702=1,$E702&amp;"/9","")</f>
        <v/>
      </c>
      <c r="C702" s="32">
        <f>IF($A702=1,"J-"&amp;Sales_Daily!$A58,"")</f>
        <v/>
      </c>
      <c r="D702" s="33">
        <f>IF($A702=1,Sales_Daily!$B58,"")</f>
        <v/>
      </c>
      <c r="E702" s="32">
        <f>IF($A702=1,IF(Sales_Daily!$A58="","",Sales_Daily!$A58),"")</f>
        <v/>
      </c>
      <c r="F702" s="32">
        <f>IF($A702=1,"SAL","")</f>
        <v/>
      </c>
      <c r="G702" s="32">
        <f>IF($A702=1,IF(Sales_Daily!$AQ58="","",Sales_Daily!$AQ58),"")</f>
        <v/>
      </c>
      <c r="H702" s="32">
        <f>IF($A702=1,IF(COUNTIF(COA!$A:$A,$G702)=0,"حساب غير معرف",INDEX(COA!$B:$B,MATCH($G702,COA!$A:$A,0))),"")</f>
        <v/>
      </c>
      <c r="I702" s="32">
        <f>IF($A702=1,IF(Sales_Daily!$C58="","",Sales_Daily!$C58),"")</f>
        <v/>
      </c>
      <c r="J702" s="32">
        <f>IF($A702=1,"CC10","")</f>
        <v/>
      </c>
      <c r="K702" s="32">
        <f>IF($A702=1,"-","")</f>
        <v/>
      </c>
      <c r="L702" s="32">
        <f>IF($A702=1,"إيراد مبيعات - فئة فطير","")</f>
        <v/>
      </c>
      <c r="M702" s="43">
        <f>IF($A702=1,0,"")</f>
        <v/>
      </c>
      <c r="N702" s="43">
        <f>IF($A702=1,Sales_Daily!$AD58,"")</f>
        <v/>
      </c>
      <c r="O702" s="32">
        <f>IF($A702=1,Sales_Daily!$S58,"")</f>
        <v/>
      </c>
      <c r="P702" s="32">
        <f>IF($A702=1,IF(Sales_Daily!$AW58="","",Sales_Daily!$AW58),"")</f>
        <v/>
      </c>
      <c r="Q702" s="32">
        <f>IF($A702=1,Sales_Daily!$AY58,"")</f>
        <v/>
      </c>
      <c r="R702" s="32">
        <f>IF($A702=1,IF(AND($Q702=1,COUNTIFS(COA!$A:$A,$G702,COA!$R:$R,1)=1),1,0),"")</f>
        <v/>
      </c>
      <c r="S702" s="43">
        <f>IF($A702=1,IF($R702=1,N($M702),0),"")</f>
        <v/>
      </c>
      <c r="T702" s="43">
        <f>IF($A702=1,IF($R702=1,N($N702),0),"")</f>
        <v/>
      </c>
      <c r="U702" s="32">
        <f>IF($A702=1,YEAR($D702)*100+MONTH($D702),"")</f>
        <v/>
      </c>
      <c r="V702" s="32">
        <f>IF($A702=1,IF(COUNTIF(COA!$A:$A,$G702)=0,0,INDEX(COA!$H:$H,MATCH($G702,COA!$A:$A,0))),"")</f>
        <v/>
      </c>
      <c r="W702" s="32">
        <f>IF($A702=1,"","")</f>
        <v/>
      </c>
      <c r="X702" s="32">
        <f>IF($A702=1,IF($R702=1,"",IF($O702=ST_POST,IF($P702&lt;&gt;"",$P702,"حساب غير صالح أو غير نشط"),IF($O702=ST_REV,"معكوس: لا أثر على الدفاتر",IF($O702=ST_CANC,"ملغى",IF($O702=ST_APPR,"معتمد ولم يُرحَّل","مسودة"))))),"")</f>
        <v/>
      </c>
      <c r="Y702" s="32">
        <f>IF($A702=1,IF(AND($R702=1,OR(LG_Acct="",$G702=LG_Acct),OR(LG_Party="",$K702=LG_Party),OR(LG_Loc="ALL",$I702=LG_Loc),OR(LG_CC="ALL",$J702=LG_CC),$D702&gt;=LG_From,$D702&lt;=LG_To),$D702+ROW()/1000000,""),"")</f>
        <v/>
      </c>
      <c r="Z702" s="32">
        <f>IF($A702=1,IF(Sales_Daily!$T58="","",Sales_Daily!$T58),"")</f>
        <v/>
      </c>
      <c r="AA702" s="32">
        <f>IF($A702=1,IF(Sales_Daily!$U58="","",Sales_Daily!$U58),"")</f>
        <v/>
      </c>
      <c r="AB702" s="32">
        <f>IF($A702=1,IF(Sales_Daily!$V58="","",Sales_Daily!$V58),"")</f>
        <v/>
      </c>
      <c r="AC702" s="32">
        <f>IF($A702=1,IF(Sales_Daily!$W58="","",Sales_Daily!$W58),"")</f>
        <v/>
      </c>
      <c r="AD702" s="32">
        <f>IF($A702=1,IF(Sales_Daily!$X58="","",Sales_Daily!$X58),"")</f>
        <v/>
      </c>
      <c r="AE702" s="32">
        <f>IF($A702=1,0,"")</f>
        <v/>
      </c>
      <c r="AF702" s="32" t="inlineStr"/>
    </row>
    <row r="703">
      <c r="A703" s="32">
        <f>IF(AND(Sales_Daily!$AV58=1,N(Sales_Daily!$AE58)&gt;0),1,0)</f>
        <v/>
      </c>
      <c r="B703" s="32">
        <f>IF($A703=1,$E703&amp;"/10","")</f>
        <v/>
      </c>
      <c r="C703" s="32">
        <f>IF($A703=1,"J-"&amp;Sales_Daily!$A58,"")</f>
        <v/>
      </c>
      <c r="D703" s="33">
        <f>IF($A703=1,Sales_Daily!$B58,"")</f>
        <v/>
      </c>
      <c r="E703" s="32">
        <f>IF($A703=1,IF(Sales_Daily!$A58="","",Sales_Daily!$A58),"")</f>
        <v/>
      </c>
      <c r="F703" s="32">
        <f>IF($A703=1,"SAL","")</f>
        <v/>
      </c>
      <c r="G703" s="32">
        <f>IF($A703=1,IF(Sales_Daily!$AR58="","",Sales_Daily!$AR58),"")</f>
        <v/>
      </c>
      <c r="H703" s="32">
        <f>IF($A703=1,IF(COUNTIF(COA!$A:$A,$G703)=0,"حساب غير معرف",INDEX(COA!$B:$B,MATCH($G703,COA!$A:$A,0))),"")</f>
        <v/>
      </c>
      <c r="I703" s="32">
        <f>IF($A703=1,IF(Sales_Daily!$C58="","",Sales_Daily!$C58),"")</f>
        <v/>
      </c>
      <c r="J703" s="32">
        <f>IF($A703=1,"CC10","")</f>
        <v/>
      </c>
      <c r="K703" s="32">
        <f>IF($A703=1,"-","")</f>
        <v/>
      </c>
      <c r="L703" s="32">
        <f>IF($A703=1,"إيراد مبيعات - فئة بيتزا","")</f>
        <v/>
      </c>
      <c r="M703" s="43">
        <f>IF($A703=1,0,"")</f>
        <v/>
      </c>
      <c r="N703" s="43">
        <f>IF($A703=1,Sales_Daily!$AE58,"")</f>
        <v/>
      </c>
      <c r="O703" s="32">
        <f>IF($A703=1,Sales_Daily!$S58,"")</f>
        <v/>
      </c>
      <c r="P703" s="32">
        <f>IF($A703=1,IF(Sales_Daily!$AW58="","",Sales_Daily!$AW58),"")</f>
        <v/>
      </c>
      <c r="Q703" s="32">
        <f>IF($A703=1,Sales_Daily!$AY58,"")</f>
        <v/>
      </c>
      <c r="R703" s="32">
        <f>IF($A703=1,IF(AND($Q703=1,COUNTIFS(COA!$A:$A,$G703,COA!$R:$R,1)=1),1,0),"")</f>
        <v/>
      </c>
      <c r="S703" s="43">
        <f>IF($A703=1,IF($R703=1,N($M703),0),"")</f>
        <v/>
      </c>
      <c r="T703" s="43">
        <f>IF($A703=1,IF($R703=1,N($N703),0),"")</f>
        <v/>
      </c>
      <c r="U703" s="32">
        <f>IF($A703=1,YEAR($D703)*100+MONTH($D703),"")</f>
        <v/>
      </c>
      <c r="V703" s="32">
        <f>IF($A703=1,IF(COUNTIF(COA!$A:$A,$G703)=0,0,INDEX(COA!$H:$H,MATCH($G703,COA!$A:$A,0))),"")</f>
        <v/>
      </c>
      <c r="W703" s="32">
        <f>IF($A703=1,"","")</f>
        <v/>
      </c>
      <c r="X703" s="32">
        <f>IF($A703=1,IF($R703=1,"",IF($O703=ST_POST,IF($P703&lt;&gt;"",$P703,"حساب غير صالح أو غير نشط"),IF($O703=ST_REV,"معكوس: لا أثر على الدفاتر",IF($O703=ST_CANC,"ملغى",IF($O703=ST_APPR,"معتمد ولم يُرحَّل","مسودة"))))),"")</f>
        <v/>
      </c>
      <c r="Y703" s="32">
        <f>IF($A703=1,IF(AND($R703=1,OR(LG_Acct="",$G703=LG_Acct),OR(LG_Party="",$K703=LG_Party),OR(LG_Loc="ALL",$I703=LG_Loc),OR(LG_CC="ALL",$J703=LG_CC),$D703&gt;=LG_From,$D703&lt;=LG_To),$D703+ROW()/1000000,""),"")</f>
        <v/>
      </c>
      <c r="Z703" s="32">
        <f>IF($A703=1,IF(Sales_Daily!$T58="","",Sales_Daily!$T58),"")</f>
        <v/>
      </c>
      <c r="AA703" s="32">
        <f>IF($A703=1,IF(Sales_Daily!$U58="","",Sales_Daily!$U58),"")</f>
        <v/>
      </c>
      <c r="AB703" s="32">
        <f>IF($A703=1,IF(Sales_Daily!$V58="","",Sales_Daily!$V58),"")</f>
        <v/>
      </c>
      <c r="AC703" s="32">
        <f>IF($A703=1,IF(Sales_Daily!$W58="","",Sales_Daily!$W58),"")</f>
        <v/>
      </c>
      <c r="AD703" s="32">
        <f>IF($A703=1,IF(Sales_Daily!$X58="","",Sales_Daily!$X58),"")</f>
        <v/>
      </c>
      <c r="AE703" s="32">
        <f>IF($A703=1,0,"")</f>
        <v/>
      </c>
      <c r="AF703" s="32" t="inlineStr"/>
    </row>
    <row r="704">
      <c r="A704" s="32">
        <f>IF(AND(Sales_Daily!$AV58=1,N(Sales_Daily!$AF58)&gt;0),1,0)</f>
        <v/>
      </c>
      <c r="B704" s="32">
        <f>IF($A704=1,$E704&amp;"/11","")</f>
        <v/>
      </c>
      <c r="C704" s="32">
        <f>IF($A704=1,"J-"&amp;Sales_Daily!$A58,"")</f>
        <v/>
      </c>
      <c r="D704" s="33">
        <f>IF($A704=1,Sales_Daily!$B58,"")</f>
        <v/>
      </c>
      <c r="E704" s="32">
        <f>IF($A704=1,IF(Sales_Daily!$A58="","",Sales_Daily!$A58),"")</f>
        <v/>
      </c>
      <c r="F704" s="32">
        <f>IF($A704=1,"SAL","")</f>
        <v/>
      </c>
      <c r="G704" s="32">
        <f>IF($A704=1,IF(Sales_Daily!$AS58="","",Sales_Daily!$AS58),"")</f>
        <v/>
      </c>
      <c r="H704" s="32">
        <f>IF($A704=1,IF(COUNTIF(COA!$A:$A,$G704)=0,"حساب غير معرف",INDEX(COA!$B:$B,MATCH($G704,COA!$A:$A,0))),"")</f>
        <v/>
      </c>
      <c r="I704" s="32">
        <f>IF($A704=1,IF(Sales_Daily!$C58="","",Sales_Daily!$C58),"")</f>
        <v/>
      </c>
      <c r="J704" s="32">
        <f>IF($A704=1,"CC10","")</f>
        <v/>
      </c>
      <c r="K704" s="32">
        <f>IF($A704=1,"-","")</f>
        <v/>
      </c>
      <c r="L704" s="32">
        <f>IF($A704=1,"إيراد مبيعات - فئة مكرونات","")</f>
        <v/>
      </c>
      <c r="M704" s="43">
        <f>IF($A704=1,0,"")</f>
        <v/>
      </c>
      <c r="N704" s="43">
        <f>IF($A704=1,Sales_Daily!$AF58,"")</f>
        <v/>
      </c>
      <c r="O704" s="32">
        <f>IF($A704=1,Sales_Daily!$S58,"")</f>
        <v/>
      </c>
      <c r="P704" s="32">
        <f>IF($A704=1,IF(Sales_Daily!$AW58="","",Sales_Daily!$AW58),"")</f>
        <v/>
      </c>
      <c r="Q704" s="32">
        <f>IF($A704=1,Sales_Daily!$AY58,"")</f>
        <v/>
      </c>
      <c r="R704" s="32">
        <f>IF($A704=1,IF(AND($Q704=1,COUNTIFS(COA!$A:$A,$G704,COA!$R:$R,1)=1),1,0),"")</f>
        <v/>
      </c>
      <c r="S704" s="43">
        <f>IF($A704=1,IF($R704=1,N($M704),0),"")</f>
        <v/>
      </c>
      <c r="T704" s="43">
        <f>IF($A704=1,IF($R704=1,N($N704),0),"")</f>
        <v/>
      </c>
      <c r="U704" s="32">
        <f>IF($A704=1,YEAR($D704)*100+MONTH($D704),"")</f>
        <v/>
      </c>
      <c r="V704" s="32">
        <f>IF($A704=1,IF(COUNTIF(COA!$A:$A,$G704)=0,0,INDEX(COA!$H:$H,MATCH($G704,COA!$A:$A,0))),"")</f>
        <v/>
      </c>
      <c r="W704" s="32">
        <f>IF($A704=1,"","")</f>
        <v/>
      </c>
      <c r="X704" s="32">
        <f>IF($A704=1,IF($R704=1,"",IF($O704=ST_POST,IF($P704&lt;&gt;"",$P704,"حساب غير صالح أو غير نشط"),IF($O704=ST_REV,"معكوس: لا أثر على الدفاتر",IF($O704=ST_CANC,"ملغى",IF($O704=ST_APPR,"معتمد ولم يُرحَّل","مسودة"))))),"")</f>
        <v/>
      </c>
      <c r="Y704" s="32">
        <f>IF($A704=1,IF(AND($R704=1,OR(LG_Acct="",$G704=LG_Acct),OR(LG_Party="",$K704=LG_Party),OR(LG_Loc="ALL",$I704=LG_Loc),OR(LG_CC="ALL",$J704=LG_CC),$D704&gt;=LG_From,$D704&lt;=LG_To),$D704+ROW()/1000000,""),"")</f>
        <v/>
      </c>
      <c r="Z704" s="32">
        <f>IF($A704=1,IF(Sales_Daily!$T58="","",Sales_Daily!$T58),"")</f>
        <v/>
      </c>
      <c r="AA704" s="32">
        <f>IF($A704=1,IF(Sales_Daily!$U58="","",Sales_Daily!$U58),"")</f>
        <v/>
      </c>
      <c r="AB704" s="32">
        <f>IF($A704=1,IF(Sales_Daily!$V58="","",Sales_Daily!$V58),"")</f>
        <v/>
      </c>
      <c r="AC704" s="32">
        <f>IF($A704=1,IF(Sales_Daily!$W58="","",Sales_Daily!$W58),"")</f>
        <v/>
      </c>
      <c r="AD704" s="32">
        <f>IF($A704=1,IF(Sales_Daily!$X58="","",Sales_Daily!$X58),"")</f>
        <v/>
      </c>
      <c r="AE704" s="32">
        <f>IF($A704=1,0,"")</f>
        <v/>
      </c>
      <c r="AF704" s="32" t="inlineStr"/>
    </row>
    <row r="705">
      <c r="A705" s="32">
        <f>IF(AND(Sales_Daily!$AV58=1,N(Sales_Daily!$AG58)&gt;0),1,0)</f>
        <v/>
      </c>
      <c r="B705" s="32">
        <f>IF($A705=1,$E705&amp;"/12","")</f>
        <v/>
      </c>
      <c r="C705" s="32">
        <f>IF($A705=1,"J-"&amp;Sales_Daily!$A58,"")</f>
        <v/>
      </c>
      <c r="D705" s="33">
        <f>IF($A705=1,Sales_Daily!$B58,"")</f>
        <v/>
      </c>
      <c r="E705" s="32">
        <f>IF($A705=1,IF(Sales_Daily!$A58="","",Sales_Daily!$A58),"")</f>
        <v/>
      </c>
      <c r="F705" s="32">
        <f>IF($A705=1,"SAL","")</f>
        <v/>
      </c>
      <c r="G705" s="32">
        <f>IF($A705=1,IF(Sales_Daily!$AT58="","",Sales_Daily!$AT58),"")</f>
        <v/>
      </c>
      <c r="H705" s="32">
        <f>IF($A705=1,IF(COUNTIF(COA!$A:$A,$G705)=0,"حساب غير معرف",INDEX(COA!$B:$B,MATCH($G705,COA!$A:$A,0))),"")</f>
        <v/>
      </c>
      <c r="I705" s="32">
        <f>IF($A705=1,IF(Sales_Daily!$C58="","",Sales_Daily!$C58),"")</f>
        <v/>
      </c>
      <c r="J705" s="32">
        <f>IF($A705=1,"CC10","")</f>
        <v/>
      </c>
      <c r="K705" s="32">
        <f>IF($A705=1,"-","")</f>
        <v/>
      </c>
      <c r="L705" s="32">
        <f>IF($A705=1,"إيراد مبيعات - فئة أخرى","")</f>
        <v/>
      </c>
      <c r="M705" s="43">
        <f>IF($A705=1,0,"")</f>
        <v/>
      </c>
      <c r="N705" s="43">
        <f>IF($A705=1,Sales_Daily!$AG58,"")</f>
        <v/>
      </c>
      <c r="O705" s="32">
        <f>IF($A705=1,Sales_Daily!$S58,"")</f>
        <v/>
      </c>
      <c r="P705" s="32">
        <f>IF($A705=1,IF(Sales_Daily!$AW58="","",Sales_Daily!$AW58),"")</f>
        <v/>
      </c>
      <c r="Q705" s="32">
        <f>IF($A705=1,Sales_Daily!$AY58,"")</f>
        <v/>
      </c>
      <c r="R705" s="32">
        <f>IF($A705=1,IF(AND($Q705=1,COUNTIFS(COA!$A:$A,$G705,COA!$R:$R,1)=1),1,0),"")</f>
        <v/>
      </c>
      <c r="S705" s="43">
        <f>IF($A705=1,IF($R705=1,N($M705),0),"")</f>
        <v/>
      </c>
      <c r="T705" s="43">
        <f>IF($A705=1,IF($R705=1,N($N705),0),"")</f>
        <v/>
      </c>
      <c r="U705" s="32">
        <f>IF($A705=1,YEAR($D705)*100+MONTH($D705),"")</f>
        <v/>
      </c>
      <c r="V705" s="32">
        <f>IF($A705=1,IF(COUNTIF(COA!$A:$A,$G705)=0,0,INDEX(COA!$H:$H,MATCH($G705,COA!$A:$A,0))),"")</f>
        <v/>
      </c>
      <c r="W705" s="32">
        <f>IF($A705=1,"","")</f>
        <v/>
      </c>
      <c r="X705" s="32">
        <f>IF($A705=1,IF($R705=1,"",IF($O705=ST_POST,IF($P705&lt;&gt;"",$P705,"حساب غير صالح أو غير نشط"),IF($O705=ST_REV,"معكوس: لا أثر على الدفاتر",IF($O705=ST_CANC,"ملغى",IF($O705=ST_APPR,"معتمد ولم يُرحَّل","مسودة"))))),"")</f>
        <v/>
      </c>
      <c r="Y705" s="32">
        <f>IF($A705=1,IF(AND($R705=1,OR(LG_Acct="",$G705=LG_Acct),OR(LG_Party="",$K705=LG_Party),OR(LG_Loc="ALL",$I705=LG_Loc),OR(LG_CC="ALL",$J705=LG_CC),$D705&gt;=LG_From,$D705&lt;=LG_To),$D705+ROW()/1000000,""),"")</f>
        <v/>
      </c>
      <c r="Z705" s="32">
        <f>IF($A705=1,IF(Sales_Daily!$T58="","",Sales_Daily!$T58),"")</f>
        <v/>
      </c>
      <c r="AA705" s="32">
        <f>IF($A705=1,IF(Sales_Daily!$U58="","",Sales_Daily!$U58),"")</f>
        <v/>
      </c>
      <c r="AB705" s="32">
        <f>IF($A705=1,IF(Sales_Daily!$V58="","",Sales_Daily!$V58),"")</f>
        <v/>
      </c>
      <c r="AC705" s="32">
        <f>IF($A705=1,IF(Sales_Daily!$W58="","",Sales_Daily!$W58),"")</f>
        <v/>
      </c>
      <c r="AD705" s="32">
        <f>IF($A705=1,IF(Sales_Daily!$X58="","",Sales_Daily!$X58),"")</f>
        <v/>
      </c>
      <c r="AE705" s="32">
        <f>IF($A705=1,0,"")</f>
        <v/>
      </c>
      <c r="AF705" s="32" t="inlineStr"/>
    </row>
    <row r="706">
      <c r="A706" s="32">
        <f>IF(AND(Sales_Daily!$AV58=1,N(Sales_Daily!$AJ58)&gt;0),1,0)</f>
        <v/>
      </c>
      <c r="B706" s="32">
        <f>IF($A706=1,$E706&amp;"/13","")</f>
        <v/>
      </c>
      <c r="C706" s="32">
        <f>IF($A706=1,"J-"&amp;Sales_Daily!$A58,"")</f>
        <v/>
      </c>
      <c r="D706" s="33">
        <f>IF($A706=1,Sales_Daily!$B58,"")</f>
        <v/>
      </c>
      <c r="E706" s="32">
        <f>IF($A706=1,IF(Sales_Daily!$A58="","",Sales_Daily!$A58),"")</f>
        <v/>
      </c>
      <c r="F706" s="32">
        <f>IF($A706=1,"SAL","")</f>
        <v/>
      </c>
      <c r="G706" s="32">
        <f>IF($A706=1,ACC_VAT_OUT,"")</f>
        <v/>
      </c>
      <c r="H706" s="32">
        <f>IF($A706=1,IF(COUNTIF(COA!$A:$A,$G706)=0,"حساب غير معرف",INDEX(COA!$B:$B,MATCH($G706,COA!$A:$A,0))),"")</f>
        <v/>
      </c>
      <c r="I706" s="32">
        <f>IF($A706=1,IF(Sales_Daily!$C58="","",Sales_Daily!$C58),"")</f>
        <v/>
      </c>
      <c r="J706" s="32">
        <f>IF($A706=1,"CC10","")</f>
        <v/>
      </c>
      <c r="K706" s="32">
        <f>IF($A706=1,"-","")</f>
        <v/>
      </c>
      <c r="L706" s="32">
        <f>IF($A706=1,"ضريبة القيمة المضافة - مخرجات","")</f>
        <v/>
      </c>
      <c r="M706" s="43">
        <f>IF($A706=1,0,"")</f>
        <v/>
      </c>
      <c r="N706" s="43">
        <f>IF($A706=1,Sales_Daily!$AJ58,"")</f>
        <v/>
      </c>
      <c r="O706" s="32">
        <f>IF($A706=1,Sales_Daily!$S58,"")</f>
        <v/>
      </c>
      <c r="P706" s="32">
        <f>IF($A706=1,IF(Sales_Daily!$AW58="","",Sales_Daily!$AW58),"")</f>
        <v/>
      </c>
      <c r="Q706" s="32">
        <f>IF($A706=1,Sales_Daily!$AY58,"")</f>
        <v/>
      </c>
      <c r="R706" s="32">
        <f>IF($A706=1,IF(AND($Q706=1,COUNTIFS(COA!$A:$A,$G706,COA!$R:$R,1)=1),1,0),"")</f>
        <v/>
      </c>
      <c r="S706" s="43">
        <f>IF($A706=1,IF($R706=1,N($M706),0),"")</f>
        <v/>
      </c>
      <c r="T706" s="43">
        <f>IF($A706=1,IF($R706=1,N($N706),0),"")</f>
        <v/>
      </c>
      <c r="U706" s="32">
        <f>IF($A706=1,YEAR($D706)*100+MONTH($D706),"")</f>
        <v/>
      </c>
      <c r="V706" s="32">
        <f>IF($A706=1,IF(COUNTIF(COA!$A:$A,$G706)=0,0,INDEX(COA!$H:$H,MATCH($G706,COA!$A:$A,0))),"")</f>
        <v/>
      </c>
      <c r="W706" s="32">
        <f>IF($A706=1,"","")</f>
        <v/>
      </c>
      <c r="X706" s="32">
        <f>IF($A706=1,IF($R706=1,"",IF($O706=ST_POST,IF($P706&lt;&gt;"",$P706,"حساب غير صالح أو غير نشط"),IF($O706=ST_REV,"معكوس: لا أثر على الدفاتر",IF($O706=ST_CANC,"ملغى",IF($O706=ST_APPR,"معتمد ولم يُرحَّل","مسودة"))))),"")</f>
        <v/>
      </c>
      <c r="Y706" s="32">
        <f>IF($A706=1,IF(AND($R706=1,OR(LG_Acct="",$G706=LG_Acct),OR(LG_Party="",$K706=LG_Party),OR(LG_Loc="ALL",$I706=LG_Loc),OR(LG_CC="ALL",$J706=LG_CC),$D706&gt;=LG_From,$D706&lt;=LG_To),$D706+ROW()/1000000,""),"")</f>
        <v/>
      </c>
      <c r="Z706" s="32">
        <f>IF($A706=1,IF(Sales_Daily!$T58="","",Sales_Daily!$T58),"")</f>
        <v/>
      </c>
      <c r="AA706" s="32">
        <f>IF($A706=1,IF(Sales_Daily!$U58="","",Sales_Daily!$U58),"")</f>
        <v/>
      </c>
      <c r="AB706" s="32">
        <f>IF($A706=1,IF(Sales_Daily!$V58="","",Sales_Daily!$V58),"")</f>
        <v/>
      </c>
      <c r="AC706" s="32">
        <f>IF($A706=1,IF(Sales_Daily!$W58="","",Sales_Daily!$W58),"")</f>
        <v/>
      </c>
      <c r="AD706" s="32">
        <f>IF($A706=1,IF(Sales_Daily!$X58="","",Sales_Daily!$X58),"")</f>
        <v/>
      </c>
      <c r="AE706" s="32">
        <f>IF($A706=1,0,"")</f>
        <v/>
      </c>
      <c r="AF706" s="32" t="inlineStr"/>
    </row>
    <row r="707">
      <c r="A707" s="32">
        <f>IF(AND(Sales_Daily!$AV59=1,N(Sales_Daily!$L59)&gt;0),1,0)</f>
        <v/>
      </c>
      <c r="B707" s="32">
        <f>IF($A707=1,$E707&amp;"/1","")</f>
        <v/>
      </c>
      <c r="C707" s="32">
        <f>IF($A707=1,"J-"&amp;Sales_Daily!$A59,"")</f>
        <v/>
      </c>
      <c r="D707" s="33">
        <f>IF($A707=1,Sales_Daily!$B59,"")</f>
        <v/>
      </c>
      <c r="E707" s="32">
        <f>IF($A707=1,IF(Sales_Daily!$A59="","",Sales_Daily!$A59),"")</f>
        <v/>
      </c>
      <c r="F707" s="32">
        <f>IF($A707=1,"SAL","")</f>
        <v/>
      </c>
      <c r="G707" s="32">
        <f>IF($A707=1,IF(Sales_Daily!$AK59="","",Sales_Daily!$AK59),"")</f>
        <v/>
      </c>
      <c r="H707" s="32">
        <f>IF($A707=1,IF(COUNTIF(COA!$A:$A,$G707)=0,"حساب غير معرف",INDEX(COA!$B:$B,MATCH($G707,COA!$A:$A,0))),"")</f>
        <v/>
      </c>
      <c r="I707" s="32">
        <f>IF($A707=1,IF(Sales_Daily!$C59="","",Sales_Daily!$C59),"")</f>
        <v/>
      </c>
      <c r="J707" s="32">
        <f>IF($A707=1,"CC10","")</f>
        <v/>
      </c>
      <c r="K707" s="32">
        <f>IF($A707=1,"-","")</f>
        <v/>
      </c>
      <c r="L707" s="32">
        <f>IF($A707=1,"مبيعات - تحصيل CASH","")</f>
        <v/>
      </c>
      <c r="M707" s="43">
        <f>IF($A707=1,Sales_Daily!$L59,"")</f>
        <v/>
      </c>
      <c r="N707" s="43">
        <f>IF($A707=1,0,"")</f>
        <v/>
      </c>
      <c r="O707" s="32">
        <f>IF($A707=1,Sales_Daily!$S59,"")</f>
        <v/>
      </c>
      <c r="P707" s="32">
        <f>IF($A707=1,IF(Sales_Daily!$AW59="","",Sales_Daily!$AW59),"")</f>
        <v/>
      </c>
      <c r="Q707" s="32">
        <f>IF($A707=1,Sales_Daily!$AY59,"")</f>
        <v/>
      </c>
      <c r="R707" s="32">
        <f>IF($A707=1,IF(AND($Q707=1,COUNTIFS(COA!$A:$A,$G707,COA!$R:$R,1)=1),1,0),"")</f>
        <v/>
      </c>
      <c r="S707" s="43">
        <f>IF($A707=1,IF($R707=1,N($M707),0),"")</f>
        <v/>
      </c>
      <c r="T707" s="43">
        <f>IF($A707=1,IF($R707=1,N($N707),0),"")</f>
        <v/>
      </c>
      <c r="U707" s="32">
        <f>IF($A707=1,YEAR($D707)*100+MONTH($D707),"")</f>
        <v/>
      </c>
      <c r="V707" s="32">
        <f>IF($A707=1,IF(COUNTIF(COA!$A:$A,$G707)=0,0,INDEX(COA!$H:$H,MATCH($G707,COA!$A:$A,0))),"")</f>
        <v/>
      </c>
      <c r="W707" s="32">
        <f>IF($A707=1,"OPERATING","")</f>
        <v/>
      </c>
      <c r="X707" s="32">
        <f>IF($A707=1,IF($R707=1,"",IF($O707=ST_POST,IF($P707&lt;&gt;"",$P707,"حساب غير صالح أو غير نشط"),IF($O707=ST_REV,"معكوس: لا أثر على الدفاتر",IF($O707=ST_CANC,"ملغى",IF($O707=ST_APPR,"معتمد ولم يُرحَّل","مسودة"))))),"")</f>
        <v/>
      </c>
      <c r="Y707" s="32">
        <f>IF($A707=1,IF(AND($R707=1,OR(LG_Acct="",$G707=LG_Acct),OR(LG_Party="",$K707=LG_Party),OR(LG_Loc="ALL",$I707=LG_Loc),OR(LG_CC="ALL",$J707=LG_CC),$D707&gt;=LG_From,$D707&lt;=LG_To),$D707+ROW()/1000000,""),"")</f>
        <v/>
      </c>
      <c r="Z707" s="32">
        <f>IF($A707=1,IF(Sales_Daily!$T59="","",Sales_Daily!$T59),"")</f>
        <v/>
      </c>
      <c r="AA707" s="32">
        <f>IF($A707=1,IF(Sales_Daily!$U59="","",Sales_Daily!$U59),"")</f>
        <v/>
      </c>
      <c r="AB707" s="32">
        <f>IF($A707=1,IF(Sales_Daily!$V59="","",Sales_Daily!$V59),"")</f>
        <v/>
      </c>
      <c r="AC707" s="32">
        <f>IF($A707=1,IF(Sales_Daily!$W59="","",Sales_Daily!$W59),"")</f>
        <v/>
      </c>
      <c r="AD707" s="32">
        <f>IF($A707=1,IF(Sales_Daily!$X59="","",Sales_Daily!$X59),"")</f>
        <v/>
      </c>
      <c r="AE707" s="32">
        <f>IF($A707=1,0,"")</f>
        <v/>
      </c>
      <c r="AF707" s="32" t="inlineStr"/>
    </row>
    <row r="708">
      <c r="A708" s="32">
        <f>IF(AND(Sales_Daily!$AV59=1,N(Sales_Daily!$M59)&gt;0),1,0)</f>
        <v/>
      </c>
      <c r="B708" s="32">
        <f>IF($A708=1,$E708&amp;"/2","")</f>
        <v/>
      </c>
      <c r="C708" s="32">
        <f>IF($A708=1,"J-"&amp;Sales_Daily!$A59,"")</f>
        <v/>
      </c>
      <c r="D708" s="33">
        <f>IF($A708=1,Sales_Daily!$B59,"")</f>
        <v/>
      </c>
      <c r="E708" s="32">
        <f>IF($A708=1,IF(Sales_Daily!$A59="","",Sales_Daily!$A59),"")</f>
        <v/>
      </c>
      <c r="F708" s="32">
        <f>IF($A708=1,"SAL","")</f>
        <v/>
      </c>
      <c r="G708" s="32">
        <f>IF($A708=1,IF(Sales_Daily!$AL59="","",Sales_Daily!$AL59),"")</f>
        <v/>
      </c>
      <c r="H708" s="32">
        <f>IF($A708=1,IF(COUNTIF(COA!$A:$A,$G708)=0,"حساب غير معرف",INDEX(COA!$B:$B,MATCH($G708,COA!$A:$A,0))),"")</f>
        <v/>
      </c>
      <c r="I708" s="32">
        <f>IF($A708=1,IF(Sales_Daily!$C59="","",Sales_Daily!$C59),"")</f>
        <v/>
      </c>
      <c r="J708" s="32">
        <f>IF($A708=1,"CC10","")</f>
        <v/>
      </c>
      <c r="K708" s="32">
        <f>IF($A708=1,"-","")</f>
        <v/>
      </c>
      <c r="L708" s="32">
        <f>IF($A708=1,"مبيعات - تحصيل CARD","")</f>
        <v/>
      </c>
      <c r="M708" s="43">
        <f>IF($A708=1,Sales_Daily!$M59,"")</f>
        <v/>
      </c>
      <c r="N708" s="43">
        <f>IF($A708=1,0,"")</f>
        <v/>
      </c>
      <c r="O708" s="32">
        <f>IF($A708=1,Sales_Daily!$S59,"")</f>
        <v/>
      </c>
      <c r="P708" s="32">
        <f>IF($A708=1,IF(Sales_Daily!$AW59="","",Sales_Daily!$AW59),"")</f>
        <v/>
      </c>
      <c r="Q708" s="32">
        <f>IF($A708=1,Sales_Daily!$AY59,"")</f>
        <v/>
      </c>
      <c r="R708" s="32">
        <f>IF($A708=1,IF(AND($Q708=1,COUNTIFS(COA!$A:$A,$G708,COA!$R:$R,1)=1),1,0),"")</f>
        <v/>
      </c>
      <c r="S708" s="43">
        <f>IF($A708=1,IF($R708=1,N($M708),0),"")</f>
        <v/>
      </c>
      <c r="T708" s="43">
        <f>IF($A708=1,IF($R708=1,N($N708),0),"")</f>
        <v/>
      </c>
      <c r="U708" s="32">
        <f>IF($A708=1,YEAR($D708)*100+MONTH($D708),"")</f>
        <v/>
      </c>
      <c r="V708" s="32">
        <f>IF($A708=1,IF(COUNTIF(COA!$A:$A,$G708)=0,0,INDEX(COA!$H:$H,MATCH($G708,COA!$A:$A,0))),"")</f>
        <v/>
      </c>
      <c r="W708" s="32">
        <f>IF($A708=1,"OPERATING","")</f>
        <v/>
      </c>
      <c r="X708" s="32">
        <f>IF($A708=1,IF($R708=1,"",IF($O708=ST_POST,IF($P708&lt;&gt;"",$P708,"حساب غير صالح أو غير نشط"),IF($O708=ST_REV,"معكوس: لا أثر على الدفاتر",IF($O708=ST_CANC,"ملغى",IF($O708=ST_APPR,"معتمد ولم يُرحَّل","مسودة"))))),"")</f>
        <v/>
      </c>
      <c r="Y708" s="32">
        <f>IF($A708=1,IF(AND($R708=1,OR(LG_Acct="",$G708=LG_Acct),OR(LG_Party="",$K708=LG_Party),OR(LG_Loc="ALL",$I708=LG_Loc),OR(LG_CC="ALL",$J708=LG_CC),$D708&gt;=LG_From,$D708&lt;=LG_To),$D708+ROW()/1000000,""),"")</f>
        <v/>
      </c>
      <c r="Z708" s="32">
        <f>IF($A708=1,IF(Sales_Daily!$T59="","",Sales_Daily!$T59),"")</f>
        <v/>
      </c>
      <c r="AA708" s="32">
        <f>IF($A708=1,IF(Sales_Daily!$U59="","",Sales_Daily!$U59),"")</f>
        <v/>
      </c>
      <c r="AB708" s="32">
        <f>IF($A708=1,IF(Sales_Daily!$V59="","",Sales_Daily!$V59),"")</f>
        <v/>
      </c>
      <c r="AC708" s="32">
        <f>IF($A708=1,IF(Sales_Daily!$W59="","",Sales_Daily!$W59),"")</f>
        <v/>
      </c>
      <c r="AD708" s="32">
        <f>IF($A708=1,IF(Sales_Daily!$X59="","",Sales_Daily!$X59),"")</f>
        <v/>
      </c>
      <c r="AE708" s="32">
        <f>IF($A708=1,0,"")</f>
        <v/>
      </c>
      <c r="AF708" s="32" t="inlineStr"/>
    </row>
    <row r="709">
      <c r="A709" s="32">
        <f>IF(AND(Sales_Daily!$AV59=1,N(Sales_Daily!$N59)&gt;0),1,0)</f>
        <v/>
      </c>
      <c r="B709" s="32">
        <f>IF($A709=1,$E709&amp;"/3","")</f>
        <v/>
      </c>
      <c r="C709" s="32">
        <f>IF($A709=1,"J-"&amp;Sales_Daily!$A59,"")</f>
        <v/>
      </c>
      <c r="D709" s="33">
        <f>IF($A709=1,Sales_Daily!$B59,"")</f>
        <v/>
      </c>
      <c r="E709" s="32">
        <f>IF($A709=1,IF(Sales_Daily!$A59="","",Sales_Daily!$A59),"")</f>
        <v/>
      </c>
      <c r="F709" s="32">
        <f>IF($A709=1,"SAL","")</f>
        <v/>
      </c>
      <c r="G709" s="32">
        <f>IF($A709=1,IF(Sales_Daily!$AM59="","",Sales_Daily!$AM59),"")</f>
        <v/>
      </c>
      <c r="H709" s="32">
        <f>IF($A709=1,IF(COUNTIF(COA!$A:$A,$G709)=0,"حساب غير معرف",INDEX(COA!$B:$B,MATCH($G709,COA!$A:$A,0))),"")</f>
        <v/>
      </c>
      <c r="I709" s="32">
        <f>IF($A709=1,IF(Sales_Daily!$C59="","",Sales_Daily!$C59),"")</f>
        <v/>
      </c>
      <c r="J709" s="32">
        <f>IF($A709=1,"CC10","")</f>
        <v/>
      </c>
      <c r="K709" s="32">
        <f>IF($A709=1,"-","")</f>
        <v/>
      </c>
      <c r="L709" s="32">
        <f>IF($A709=1,"مبيعات - تحصيل TLB","")</f>
        <v/>
      </c>
      <c r="M709" s="43">
        <f>IF($A709=1,Sales_Daily!$N59,"")</f>
        <v/>
      </c>
      <c r="N709" s="43">
        <f>IF($A709=1,0,"")</f>
        <v/>
      </c>
      <c r="O709" s="32">
        <f>IF($A709=1,Sales_Daily!$S59,"")</f>
        <v/>
      </c>
      <c r="P709" s="32">
        <f>IF($A709=1,IF(Sales_Daily!$AW59="","",Sales_Daily!$AW59),"")</f>
        <v/>
      </c>
      <c r="Q709" s="32">
        <f>IF($A709=1,Sales_Daily!$AY59,"")</f>
        <v/>
      </c>
      <c r="R709" s="32">
        <f>IF($A709=1,IF(AND($Q709=1,COUNTIFS(COA!$A:$A,$G709,COA!$R:$R,1)=1),1,0),"")</f>
        <v/>
      </c>
      <c r="S709" s="43">
        <f>IF($A709=1,IF($R709=1,N($M709),0),"")</f>
        <v/>
      </c>
      <c r="T709" s="43">
        <f>IF($A709=1,IF($R709=1,N($N709),0),"")</f>
        <v/>
      </c>
      <c r="U709" s="32">
        <f>IF($A709=1,YEAR($D709)*100+MONTH($D709),"")</f>
        <v/>
      </c>
      <c r="V709" s="32">
        <f>IF($A709=1,IF(COUNTIF(COA!$A:$A,$G709)=0,0,INDEX(COA!$H:$H,MATCH($G709,COA!$A:$A,0))),"")</f>
        <v/>
      </c>
      <c r="W709" s="32">
        <f>IF($A709=1,"OPERATING","")</f>
        <v/>
      </c>
      <c r="X709" s="32">
        <f>IF($A709=1,IF($R709=1,"",IF($O709=ST_POST,IF($P709&lt;&gt;"",$P709,"حساب غير صالح أو غير نشط"),IF($O709=ST_REV,"معكوس: لا أثر على الدفاتر",IF($O709=ST_CANC,"ملغى",IF($O709=ST_APPR,"معتمد ولم يُرحَّل","مسودة"))))),"")</f>
        <v/>
      </c>
      <c r="Y709" s="32">
        <f>IF($A709=1,IF(AND($R709=1,OR(LG_Acct="",$G709=LG_Acct),OR(LG_Party="",$K709=LG_Party),OR(LG_Loc="ALL",$I709=LG_Loc),OR(LG_CC="ALL",$J709=LG_CC),$D709&gt;=LG_From,$D709&lt;=LG_To),$D709+ROW()/1000000,""),"")</f>
        <v/>
      </c>
      <c r="Z709" s="32">
        <f>IF($A709=1,IF(Sales_Daily!$T59="","",Sales_Daily!$T59),"")</f>
        <v/>
      </c>
      <c r="AA709" s="32">
        <f>IF($A709=1,IF(Sales_Daily!$U59="","",Sales_Daily!$U59),"")</f>
        <v/>
      </c>
      <c r="AB709" s="32">
        <f>IF($A709=1,IF(Sales_Daily!$V59="","",Sales_Daily!$V59),"")</f>
        <v/>
      </c>
      <c r="AC709" s="32">
        <f>IF($A709=1,IF(Sales_Daily!$W59="","",Sales_Daily!$W59),"")</f>
        <v/>
      </c>
      <c r="AD709" s="32">
        <f>IF($A709=1,IF(Sales_Daily!$X59="","",Sales_Daily!$X59),"")</f>
        <v/>
      </c>
      <c r="AE709" s="32">
        <f>IF($A709=1,0,"")</f>
        <v/>
      </c>
      <c r="AF709" s="32" t="inlineStr"/>
    </row>
    <row r="710">
      <c r="A710" s="32">
        <f>IF(AND(Sales_Daily!$AV59=1,N(Sales_Daily!$O59)&gt;0),1,0)</f>
        <v/>
      </c>
      <c r="B710" s="32">
        <f>IF($A710=1,$E710&amp;"/4","")</f>
        <v/>
      </c>
      <c r="C710" s="32">
        <f>IF($A710=1,"J-"&amp;Sales_Daily!$A59,"")</f>
        <v/>
      </c>
      <c r="D710" s="33">
        <f>IF($A710=1,Sales_Daily!$B59,"")</f>
        <v/>
      </c>
      <c r="E710" s="32">
        <f>IF($A710=1,IF(Sales_Daily!$A59="","",Sales_Daily!$A59),"")</f>
        <v/>
      </c>
      <c r="F710" s="32">
        <f>IF($A710=1,"SAL","")</f>
        <v/>
      </c>
      <c r="G710" s="32">
        <f>IF($A710=1,IF(Sales_Daily!$AN59="","",Sales_Daily!$AN59),"")</f>
        <v/>
      </c>
      <c r="H710" s="32">
        <f>IF($A710=1,IF(COUNTIF(COA!$A:$A,$G710)=0,"حساب غير معرف",INDEX(COA!$B:$B,MATCH($G710,COA!$A:$A,0))),"")</f>
        <v/>
      </c>
      <c r="I710" s="32">
        <f>IF($A710=1,IF(Sales_Daily!$C59="","",Sales_Daily!$C59),"")</f>
        <v/>
      </c>
      <c r="J710" s="32">
        <f>IF($A710=1,"CC10","")</f>
        <v/>
      </c>
      <c r="K710" s="32">
        <f>IF($A710=1,"-","")</f>
        <v/>
      </c>
      <c r="L710" s="32">
        <f>IF($A710=1,"مبيعات - تحصيل DLV2","")</f>
        <v/>
      </c>
      <c r="M710" s="43">
        <f>IF($A710=1,Sales_Daily!$O59,"")</f>
        <v/>
      </c>
      <c r="N710" s="43">
        <f>IF($A710=1,0,"")</f>
        <v/>
      </c>
      <c r="O710" s="32">
        <f>IF($A710=1,Sales_Daily!$S59,"")</f>
        <v/>
      </c>
      <c r="P710" s="32">
        <f>IF($A710=1,IF(Sales_Daily!$AW59="","",Sales_Daily!$AW59),"")</f>
        <v/>
      </c>
      <c r="Q710" s="32">
        <f>IF($A710=1,Sales_Daily!$AY59,"")</f>
        <v/>
      </c>
      <c r="R710" s="32">
        <f>IF($A710=1,IF(AND($Q710=1,COUNTIFS(COA!$A:$A,$G710,COA!$R:$R,1)=1),1,0),"")</f>
        <v/>
      </c>
      <c r="S710" s="43">
        <f>IF($A710=1,IF($R710=1,N($M710),0),"")</f>
        <v/>
      </c>
      <c r="T710" s="43">
        <f>IF($A710=1,IF($R710=1,N($N710),0),"")</f>
        <v/>
      </c>
      <c r="U710" s="32">
        <f>IF($A710=1,YEAR($D710)*100+MONTH($D710),"")</f>
        <v/>
      </c>
      <c r="V710" s="32">
        <f>IF($A710=1,IF(COUNTIF(COA!$A:$A,$G710)=0,0,INDEX(COA!$H:$H,MATCH($G710,COA!$A:$A,0))),"")</f>
        <v/>
      </c>
      <c r="W710" s="32">
        <f>IF($A710=1,"OPERATING","")</f>
        <v/>
      </c>
      <c r="X710" s="32">
        <f>IF($A710=1,IF($R710=1,"",IF($O710=ST_POST,IF($P710&lt;&gt;"",$P710,"حساب غير صالح أو غير نشط"),IF($O710=ST_REV,"معكوس: لا أثر على الدفاتر",IF($O710=ST_CANC,"ملغى",IF($O710=ST_APPR,"معتمد ولم يُرحَّل","مسودة"))))),"")</f>
        <v/>
      </c>
      <c r="Y710" s="32">
        <f>IF($A710=1,IF(AND($R710=1,OR(LG_Acct="",$G710=LG_Acct),OR(LG_Party="",$K710=LG_Party),OR(LG_Loc="ALL",$I710=LG_Loc),OR(LG_CC="ALL",$J710=LG_CC),$D710&gt;=LG_From,$D710&lt;=LG_To),$D710+ROW()/1000000,""),"")</f>
        <v/>
      </c>
      <c r="Z710" s="32">
        <f>IF($A710=1,IF(Sales_Daily!$T59="","",Sales_Daily!$T59),"")</f>
        <v/>
      </c>
      <c r="AA710" s="32">
        <f>IF($A710=1,IF(Sales_Daily!$U59="","",Sales_Daily!$U59),"")</f>
        <v/>
      </c>
      <c r="AB710" s="32">
        <f>IF($A710=1,IF(Sales_Daily!$V59="","",Sales_Daily!$V59),"")</f>
        <v/>
      </c>
      <c r="AC710" s="32">
        <f>IF($A710=1,IF(Sales_Daily!$W59="","",Sales_Daily!$W59),"")</f>
        <v/>
      </c>
      <c r="AD710" s="32">
        <f>IF($A710=1,IF(Sales_Daily!$X59="","",Sales_Daily!$X59),"")</f>
        <v/>
      </c>
      <c r="AE710" s="32">
        <f>IF($A710=1,0,"")</f>
        <v/>
      </c>
      <c r="AF710" s="32" t="inlineStr"/>
    </row>
    <row r="711">
      <c r="A711" s="32">
        <f>IF(AND(Sales_Daily!$AV59=1,N(Sales_Daily!$P59)&gt;0),1,0)</f>
        <v/>
      </c>
      <c r="B711" s="32">
        <f>IF($A711=1,$E711&amp;"/5","")</f>
        <v/>
      </c>
      <c r="C711" s="32">
        <f>IF($A711=1,"J-"&amp;Sales_Daily!$A59,"")</f>
        <v/>
      </c>
      <c r="D711" s="33">
        <f>IF($A711=1,Sales_Daily!$B59,"")</f>
        <v/>
      </c>
      <c r="E711" s="32">
        <f>IF($A711=1,IF(Sales_Daily!$A59="","",Sales_Daily!$A59),"")</f>
        <v/>
      </c>
      <c r="F711" s="32">
        <f>IF($A711=1,"SAL","")</f>
        <v/>
      </c>
      <c r="G711" s="32">
        <f>IF($A711=1,IF(Sales_Daily!$AO59="","",Sales_Daily!$AO59),"")</f>
        <v/>
      </c>
      <c r="H711" s="32">
        <f>IF($A711=1,IF(COUNTIF(COA!$A:$A,$G711)=0,"حساب غير معرف",INDEX(COA!$B:$B,MATCH($G711,COA!$A:$A,0))),"")</f>
        <v/>
      </c>
      <c r="I711" s="32">
        <f>IF($A711=1,IF(Sales_Daily!$C59="","",Sales_Daily!$C59),"")</f>
        <v/>
      </c>
      <c r="J711" s="32">
        <f>IF($A711=1,"CC10","")</f>
        <v/>
      </c>
      <c r="K711" s="32">
        <f>IF($A711=1,"-","")</f>
        <v/>
      </c>
      <c r="L711" s="32">
        <f>IF($A711=1,"مبيعات - تحصيل INSTA","")</f>
        <v/>
      </c>
      <c r="M711" s="43">
        <f>IF($A711=1,Sales_Daily!$P59,"")</f>
        <v/>
      </c>
      <c r="N711" s="43">
        <f>IF($A711=1,0,"")</f>
        <v/>
      </c>
      <c r="O711" s="32">
        <f>IF($A711=1,Sales_Daily!$S59,"")</f>
        <v/>
      </c>
      <c r="P711" s="32">
        <f>IF($A711=1,IF(Sales_Daily!$AW59="","",Sales_Daily!$AW59),"")</f>
        <v/>
      </c>
      <c r="Q711" s="32">
        <f>IF($A711=1,Sales_Daily!$AY59,"")</f>
        <v/>
      </c>
      <c r="R711" s="32">
        <f>IF($A711=1,IF(AND($Q711=1,COUNTIFS(COA!$A:$A,$G711,COA!$R:$R,1)=1),1,0),"")</f>
        <v/>
      </c>
      <c r="S711" s="43">
        <f>IF($A711=1,IF($R711=1,N($M711),0),"")</f>
        <v/>
      </c>
      <c r="T711" s="43">
        <f>IF($A711=1,IF($R711=1,N($N711),0),"")</f>
        <v/>
      </c>
      <c r="U711" s="32">
        <f>IF($A711=1,YEAR($D711)*100+MONTH($D711),"")</f>
        <v/>
      </c>
      <c r="V711" s="32">
        <f>IF($A711=1,IF(COUNTIF(COA!$A:$A,$G711)=0,0,INDEX(COA!$H:$H,MATCH($G711,COA!$A:$A,0))),"")</f>
        <v/>
      </c>
      <c r="W711" s="32">
        <f>IF($A711=1,"OPERATING","")</f>
        <v/>
      </c>
      <c r="X711" s="32">
        <f>IF($A711=1,IF($R711=1,"",IF($O711=ST_POST,IF($P711&lt;&gt;"",$P711,"حساب غير صالح أو غير نشط"),IF($O711=ST_REV,"معكوس: لا أثر على الدفاتر",IF($O711=ST_CANC,"ملغى",IF($O711=ST_APPR,"معتمد ولم يُرحَّل","مسودة"))))),"")</f>
        <v/>
      </c>
      <c r="Y711" s="32">
        <f>IF($A711=1,IF(AND($R711=1,OR(LG_Acct="",$G711=LG_Acct),OR(LG_Party="",$K711=LG_Party),OR(LG_Loc="ALL",$I711=LG_Loc),OR(LG_CC="ALL",$J711=LG_CC),$D711&gt;=LG_From,$D711&lt;=LG_To),$D711+ROW()/1000000,""),"")</f>
        <v/>
      </c>
      <c r="Z711" s="32">
        <f>IF($A711=1,IF(Sales_Daily!$T59="","",Sales_Daily!$T59),"")</f>
        <v/>
      </c>
      <c r="AA711" s="32">
        <f>IF($A711=1,IF(Sales_Daily!$U59="","",Sales_Daily!$U59),"")</f>
        <v/>
      </c>
      <c r="AB711" s="32">
        <f>IF($A711=1,IF(Sales_Daily!$V59="","",Sales_Daily!$V59),"")</f>
        <v/>
      </c>
      <c r="AC711" s="32">
        <f>IF($A711=1,IF(Sales_Daily!$W59="","",Sales_Daily!$W59),"")</f>
        <v/>
      </c>
      <c r="AD711" s="32">
        <f>IF($A711=1,IF(Sales_Daily!$X59="","",Sales_Daily!$X59),"")</f>
        <v/>
      </c>
      <c r="AE711" s="32">
        <f>IF($A711=1,0,"")</f>
        <v/>
      </c>
      <c r="AF711" s="32" t="inlineStr"/>
    </row>
    <row r="712">
      <c r="A712" s="32">
        <f>IF(AND(Sales_Daily!$AV59=1,N(Sales_Daily!$Q59)&gt;0),1,0)</f>
        <v/>
      </c>
      <c r="B712" s="32">
        <f>IF($A712=1,$E712&amp;"/6","")</f>
        <v/>
      </c>
      <c r="C712" s="32">
        <f>IF($A712=1,"J-"&amp;Sales_Daily!$A59,"")</f>
        <v/>
      </c>
      <c r="D712" s="33">
        <f>IF($A712=1,Sales_Daily!$B59,"")</f>
        <v/>
      </c>
      <c r="E712" s="32">
        <f>IF($A712=1,IF(Sales_Daily!$A59="","",Sales_Daily!$A59),"")</f>
        <v/>
      </c>
      <c r="F712" s="32">
        <f>IF($A712=1,"SAL","")</f>
        <v/>
      </c>
      <c r="G712" s="32">
        <f>IF($A712=1,IF(Sales_Daily!$AP59="","",Sales_Daily!$AP59),"")</f>
        <v/>
      </c>
      <c r="H712" s="32">
        <f>IF($A712=1,IF(COUNTIF(COA!$A:$A,$G712)=0,"حساب غير معرف",INDEX(COA!$B:$B,MATCH($G712,COA!$A:$A,0))),"")</f>
        <v/>
      </c>
      <c r="I712" s="32">
        <f>IF($A712=1,IF(Sales_Daily!$C59="","",Sales_Daily!$C59),"")</f>
        <v/>
      </c>
      <c r="J712" s="32">
        <f>IF($A712=1,"CC10","")</f>
        <v/>
      </c>
      <c r="K712" s="32">
        <f>IF($A712=1,"-","")</f>
        <v/>
      </c>
      <c r="L712" s="32">
        <f>IF($A712=1,"مبيعات - تحصيل OTH","")</f>
        <v/>
      </c>
      <c r="M712" s="43">
        <f>IF($A712=1,Sales_Daily!$Q59,"")</f>
        <v/>
      </c>
      <c r="N712" s="43">
        <f>IF($A712=1,0,"")</f>
        <v/>
      </c>
      <c r="O712" s="32">
        <f>IF($A712=1,Sales_Daily!$S59,"")</f>
        <v/>
      </c>
      <c r="P712" s="32">
        <f>IF($A712=1,IF(Sales_Daily!$AW59="","",Sales_Daily!$AW59),"")</f>
        <v/>
      </c>
      <c r="Q712" s="32">
        <f>IF($A712=1,Sales_Daily!$AY59,"")</f>
        <v/>
      </c>
      <c r="R712" s="32">
        <f>IF($A712=1,IF(AND($Q712=1,COUNTIFS(COA!$A:$A,$G712,COA!$R:$R,1)=1),1,0),"")</f>
        <v/>
      </c>
      <c r="S712" s="43">
        <f>IF($A712=1,IF($R712=1,N($M712),0),"")</f>
        <v/>
      </c>
      <c r="T712" s="43">
        <f>IF($A712=1,IF($R712=1,N($N712),0),"")</f>
        <v/>
      </c>
      <c r="U712" s="32">
        <f>IF($A712=1,YEAR($D712)*100+MONTH($D712),"")</f>
        <v/>
      </c>
      <c r="V712" s="32">
        <f>IF($A712=1,IF(COUNTIF(COA!$A:$A,$G712)=0,0,INDEX(COA!$H:$H,MATCH($G712,COA!$A:$A,0))),"")</f>
        <v/>
      </c>
      <c r="W712" s="32">
        <f>IF($A712=1,"OPERATING","")</f>
        <v/>
      </c>
      <c r="X712" s="32">
        <f>IF($A712=1,IF($R712=1,"",IF($O712=ST_POST,IF($P712&lt;&gt;"",$P712,"حساب غير صالح أو غير نشط"),IF($O712=ST_REV,"معكوس: لا أثر على الدفاتر",IF($O712=ST_CANC,"ملغى",IF($O712=ST_APPR,"معتمد ولم يُرحَّل","مسودة"))))),"")</f>
        <v/>
      </c>
      <c r="Y712" s="32">
        <f>IF($A712=1,IF(AND($R712=1,OR(LG_Acct="",$G712=LG_Acct),OR(LG_Party="",$K712=LG_Party),OR(LG_Loc="ALL",$I712=LG_Loc),OR(LG_CC="ALL",$J712=LG_CC),$D712&gt;=LG_From,$D712&lt;=LG_To),$D712+ROW()/1000000,""),"")</f>
        <v/>
      </c>
      <c r="Z712" s="32">
        <f>IF($A712=1,IF(Sales_Daily!$T59="","",Sales_Daily!$T59),"")</f>
        <v/>
      </c>
      <c r="AA712" s="32">
        <f>IF($A712=1,IF(Sales_Daily!$U59="","",Sales_Daily!$U59),"")</f>
        <v/>
      </c>
      <c r="AB712" s="32">
        <f>IF($A712=1,IF(Sales_Daily!$V59="","",Sales_Daily!$V59),"")</f>
        <v/>
      </c>
      <c r="AC712" s="32">
        <f>IF($A712=1,IF(Sales_Daily!$W59="","",Sales_Daily!$W59),"")</f>
        <v/>
      </c>
      <c r="AD712" s="32">
        <f>IF($A712=1,IF(Sales_Daily!$X59="","",Sales_Daily!$X59),"")</f>
        <v/>
      </c>
      <c r="AE712" s="32">
        <f>IF($A712=1,0,"")</f>
        <v/>
      </c>
      <c r="AF712" s="32" t="inlineStr"/>
    </row>
    <row r="713">
      <c r="A713" s="32">
        <f>IF(AND(Sales_Daily!$AV59=1,N(Sales_Daily!$AH59)&gt;0),1,0)</f>
        <v/>
      </c>
      <c r="B713" s="32">
        <f>IF($A713=1,$E713&amp;"/7","")</f>
        <v/>
      </c>
      <c r="C713" s="32">
        <f>IF($A713=1,"J-"&amp;Sales_Daily!$A59,"")</f>
        <v/>
      </c>
      <c r="D713" s="33">
        <f>IF($A713=1,Sales_Daily!$B59,"")</f>
        <v/>
      </c>
      <c r="E713" s="32">
        <f>IF($A713=1,IF(Sales_Daily!$A59="","",Sales_Daily!$A59),"")</f>
        <v/>
      </c>
      <c r="F713" s="32">
        <f>IF($A713=1,"SAL","")</f>
        <v/>
      </c>
      <c r="G713" s="32">
        <f>IF($A713=1,ACC_DISC,"")</f>
        <v/>
      </c>
      <c r="H713" s="32">
        <f>IF($A713=1,IF(COUNTIF(COA!$A:$A,$G713)=0,"حساب غير معرف",INDEX(COA!$B:$B,MATCH($G713,COA!$A:$A,0))),"")</f>
        <v/>
      </c>
      <c r="I713" s="32">
        <f>IF($A713=1,IF(Sales_Daily!$C59="","",Sales_Daily!$C59),"")</f>
        <v/>
      </c>
      <c r="J713" s="32">
        <f>IF($A713=1,"CC10","")</f>
        <v/>
      </c>
      <c r="K713" s="32">
        <f>IF($A713=1,"-","")</f>
        <v/>
      </c>
      <c r="L713" s="32">
        <f>IF($A713=1,"خصومات المبيعات والعروض","")</f>
        <v/>
      </c>
      <c r="M713" s="43">
        <f>IF($A713=1,Sales_Daily!$AH59,"")</f>
        <v/>
      </c>
      <c r="N713" s="43">
        <f>IF($A713=1,0,"")</f>
        <v/>
      </c>
      <c r="O713" s="32">
        <f>IF($A713=1,Sales_Daily!$S59,"")</f>
        <v/>
      </c>
      <c r="P713" s="32">
        <f>IF($A713=1,IF(Sales_Daily!$AW59="","",Sales_Daily!$AW59),"")</f>
        <v/>
      </c>
      <c r="Q713" s="32">
        <f>IF($A713=1,Sales_Daily!$AY59,"")</f>
        <v/>
      </c>
      <c r="R713" s="32">
        <f>IF($A713=1,IF(AND($Q713=1,COUNTIFS(COA!$A:$A,$G713,COA!$R:$R,1)=1),1,0),"")</f>
        <v/>
      </c>
      <c r="S713" s="43">
        <f>IF($A713=1,IF($R713=1,N($M713),0),"")</f>
        <v/>
      </c>
      <c r="T713" s="43">
        <f>IF($A713=1,IF($R713=1,N($N713),0),"")</f>
        <v/>
      </c>
      <c r="U713" s="32">
        <f>IF($A713=1,YEAR($D713)*100+MONTH($D713),"")</f>
        <v/>
      </c>
      <c r="V713" s="32">
        <f>IF($A713=1,IF(COUNTIF(COA!$A:$A,$G713)=0,0,INDEX(COA!$H:$H,MATCH($G713,COA!$A:$A,0))),"")</f>
        <v/>
      </c>
      <c r="W713" s="32">
        <f>IF($A713=1,"","")</f>
        <v/>
      </c>
      <c r="X713" s="32">
        <f>IF($A713=1,IF($R713=1,"",IF($O713=ST_POST,IF($P713&lt;&gt;"",$P713,"حساب غير صالح أو غير نشط"),IF($O713=ST_REV,"معكوس: لا أثر على الدفاتر",IF($O713=ST_CANC,"ملغى",IF($O713=ST_APPR,"معتمد ولم يُرحَّل","مسودة"))))),"")</f>
        <v/>
      </c>
      <c r="Y713" s="32">
        <f>IF($A713=1,IF(AND($R713=1,OR(LG_Acct="",$G713=LG_Acct),OR(LG_Party="",$K713=LG_Party),OR(LG_Loc="ALL",$I713=LG_Loc),OR(LG_CC="ALL",$J713=LG_CC),$D713&gt;=LG_From,$D713&lt;=LG_To),$D713+ROW()/1000000,""),"")</f>
        <v/>
      </c>
      <c r="Z713" s="32">
        <f>IF($A713=1,IF(Sales_Daily!$T59="","",Sales_Daily!$T59),"")</f>
        <v/>
      </c>
      <c r="AA713" s="32">
        <f>IF($A713=1,IF(Sales_Daily!$U59="","",Sales_Daily!$U59),"")</f>
        <v/>
      </c>
      <c r="AB713" s="32">
        <f>IF($A713=1,IF(Sales_Daily!$V59="","",Sales_Daily!$V59),"")</f>
        <v/>
      </c>
      <c r="AC713" s="32">
        <f>IF($A713=1,IF(Sales_Daily!$W59="","",Sales_Daily!$W59),"")</f>
        <v/>
      </c>
      <c r="AD713" s="32">
        <f>IF($A713=1,IF(Sales_Daily!$X59="","",Sales_Daily!$X59),"")</f>
        <v/>
      </c>
      <c r="AE713" s="32">
        <f>IF($A713=1,0,"")</f>
        <v/>
      </c>
      <c r="AF713" s="32" t="inlineStr"/>
    </row>
    <row r="714">
      <c r="A714" s="32">
        <f>IF(AND(Sales_Daily!$AV59=1,N(Sales_Daily!$AI59)&gt;0),1,0)</f>
        <v/>
      </c>
      <c r="B714" s="32">
        <f>IF($A714=1,$E714&amp;"/8","")</f>
        <v/>
      </c>
      <c r="C714" s="32">
        <f>IF($A714=1,"J-"&amp;Sales_Daily!$A59,"")</f>
        <v/>
      </c>
      <c r="D714" s="33">
        <f>IF($A714=1,Sales_Daily!$B59,"")</f>
        <v/>
      </c>
      <c r="E714" s="32">
        <f>IF($A714=1,IF(Sales_Daily!$A59="","",Sales_Daily!$A59),"")</f>
        <v/>
      </c>
      <c r="F714" s="32">
        <f>IF($A714=1,"SAL","")</f>
        <v/>
      </c>
      <c r="G714" s="32">
        <f>IF($A714=1,ACC_RET,"")</f>
        <v/>
      </c>
      <c r="H714" s="32">
        <f>IF($A714=1,IF(COUNTIF(COA!$A:$A,$G714)=0,"حساب غير معرف",INDEX(COA!$B:$B,MATCH($G714,COA!$A:$A,0))),"")</f>
        <v/>
      </c>
      <c r="I714" s="32">
        <f>IF($A714=1,IF(Sales_Daily!$C59="","",Sales_Daily!$C59),"")</f>
        <v/>
      </c>
      <c r="J714" s="32">
        <f>IF($A714=1,"CC10","")</f>
        <v/>
      </c>
      <c r="K714" s="32">
        <f>IF($A714=1,"-","")</f>
        <v/>
      </c>
      <c r="L714" s="32">
        <f>IF($A714=1,"مرتجعات وإلغاءات المبيعات","")</f>
        <v/>
      </c>
      <c r="M714" s="43">
        <f>IF($A714=1,Sales_Daily!$AI59,"")</f>
        <v/>
      </c>
      <c r="N714" s="43">
        <f>IF($A714=1,0,"")</f>
        <v/>
      </c>
      <c r="O714" s="32">
        <f>IF($A714=1,Sales_Daily!$S59,"")</f>
        <v/>
      </c>
      <c r="P714" s="32">
        <f>IF($A714=1,IF(Sales_Daily!$AW59="","",Sales_Daily!$AW59),"")</f>
        <v/>
      </c>
      <c r="Q714" s="32">
        <f>IF($A714=1,Sales_Daily!$AY59,"")</f>
        <v/>
      </c>
      <c r="R714" s="32">
        <f>IF($A714=1,IF(AND($Q714=1,COUNTIFS(COA!$A:$A,$G714,COA!$R:$R,1)=1),1,0),"")</f>
        <v/>
      </c>
      <c r="S714" s="43">
        <f>IF($A714=1,IF($R714=1,N($M714),0),"")</f>
        <v/>
      </c>
      <c r="T714" s="43">
        <f>IF($A714=1,IF($R714=1,N($N714),0),"")</f>
        <v/>
      </c>
      <c r="U714" s="32">
        <f>IF($A714=1,YEAR($D714)*100+MONTH($D714),"")</f>
        <v/>
      </c>
      <c r="V714" s="32">
        <f>IF($A714=1,IF(COUNTIF(COA!$A:$A,$G714)=0,0,INDEX(COA!$H:$H,MATCH($G714,COA!$A:$A,0))),"")</f>
        <v/>
      </c>
      <c r="W714" s="32">
        <f>IF($A714=1,"","")</f>
        <v/>
      </c>
      <c r="X714" s="32">
        <f>IF($A714=1,IF($R714=1,"",IF($O714=ST_POST,IF($P714&lt;&gt;"",$P714,"حساب غير صالح أو غير نشط"),IF($O714=ST_REV,"معكوس: لا أثر على الدفاتر",IF($O714=ST_CANC,"ملغى",IF($O714=ST_APPR,"معتمد ولم يُرحَّل","مسودة"))))),"")</f>
        <v/>
      </c>
      <c r="Y714" s="32">
        <f>IF($A714=1,IF(AND($R714=1,OR(LG_Acct="",$G714=LG_Acct),OR(LG_Party="",$K714=LG_Party),OR(LG_Loc="ALL",$I714=LG_Loc),OR(LG_CC="ALL",$J714=LG_CC),$D714&gt;=LG_From,$D714&lt;=LG_To),$D714+ROW()/1000000,""),"")</f>
        <v/>
      </c>
      <c r="Z714" s="32">
        <f>IF($A714=1,IF(Sales_Daily!$T59="","",Sales_Daily!$T59),"")</f>
        <v/>
      </c>
      <c r="AA714" s="32">
        <f>IF($A714=1,IF(Sales_Daily!$U59="","",Sales_Daily!$U59),"")</f>
        <v/>
      </c>
      <c r="AB714" s="32">
        <f>IF($A714=1,IF(Sales_Daily!$V59="","",Sales_Daily!$V59),"")</f>
        <v/>
      </c>
      <c r="AC714" s="32">
        <f>IF($A714=1,IF(Sales_Daily!$W59="","",Sales_Daily!$W59),"")</f>
        <v/>
      </c>
      <c r="AD714" s="32">
        <f>IF($A714=1,IF(Sales_Daily!$X59="","",Sales_Daily!$X59),"")</f>
        <v/>
      </c>
      <c r="AE714" s="32">
        <f>IF($A714=1,0,"")</f>
        <v/>
      </c>
      <c r="AF714" s="32" t="inlineStr"/>
    </row>
    <row r="715">
      <c r="A715" s="32">
        <f>IF(AND(Sales_Daily!$AV59=1,N(Sales_Daily!$AD59)&gt;0),1,0)</f>
        <v/>
      </c>
      <c r="B715" s="32">
        <f>IF($A715=1,$E715&amp;"/9","")</f>
        <v/>
      </c>
      <c r="C715" s="32">
        <f>IF($A715=1,"J-"&amp;Sales_Daily!$A59,"")</f>
        <v/>
      </c>
      <c r="D715" s="33">
        <f>IF($A715=1,Sales_Daily!$B59,"")</f>
        <v/>
      </c>
      <c r="E715" s="32">
        <f>IF($A715=1,IF(Sales_Daily!$A59="","",Sales_Daily!$A59),"")</f>
        <v/>
      </c>
      <c r="F715" s="32">
        <f>IF($A715=1,"SAL","")</f>
        <v/>
      </c>
      <c r="G715" s="32">
        <f>IF($A715=1,IF(Sales_Daily!$AQ59="","",Sales_Daily!$AQ59),"")</f>
        <v/>
      </c>
      <c r="H715" s="32">
        <f>IF($A715=1,IF(COUNTIF(COA!$A:$A,$G715)=0,"حساب غير معرف",INDEX(COA!$B:$B,MATCH($G715,COA!$A:$A,0))),"")</f>
        <v/>
      </c>
      <c r="I715" s="32">
        <f>IF($A715=1,IF(Sales_Daily!$C59="","",Sales_Daily!$C59),"")</f>
        <v/>
      </c>
      <c r="J715" s="32">
        <f>IF($A715=1,"CC10","")</f>
        <v/>
      </c>
      <c r="K715" s="32">
        <f>IF($A715=1,"-","")</f>
        <v/>
      </c>
      <c r="L715" s="32">
        <f>IF($A715=1,"إيراد مبيعات - فئة فطير","")</f>
        <v/>
      </c>
      <c r="M715" s="43">
        <f>IF($A715=1,0,"")</f>
        <v/>
      </c>
      <c r="N715" s="43">
        <f>IF($A715=1,Sales_Daily!$AD59,"")</f>
        <v/>
      </c>
      <c r="O715" s="32">
        <f>IF($A715=1,Sales_Daily!$S59,"")</f>
        <v/>
      </c>
      <c r="P715" s="32">
        <f>IF($A715=1,IF(Sales_Daily!$AW59="","",Sales_Daily!$AW59),"")</f>
        <v/>
      </c>
      <c r="Q715" s="32">
        <f>IF($A715=1,Sales_Daily!$AY59,"")</f>
        <v/>
      </c>
      <c r="R715" s="32">
        <f>IF($A715=1,IF(AND($Q715=1,COUNTIFS(COA!$A:$A,$G715,COA!$R:$R,1)=1),1,0),"")</f>
        <v/>
      </c>
      <c r="S715" s="43">
        <f>IF($A715=1,IF($R715=1,N($M715),0),"")</f>
        <v/>
      </c>
      <c r="T715" s="43">
        <f>IF($A715=1,IF($R715=1,N($N715),0),"")</f>
        <v/>
      </c>
      <c r="U715" s="32">
        <f>IF($A715=1,YEAR($D715)*100+MONTH($D715),"")</f>
        <v/>
      </c>
      <c r="V715" s="32">
        <f>IF($A715=1,IF(COUNTIF(COA!$A:$A,$G715)=0,0,INDEX(COA!$H:$H,MATCH($G715,COA!$A:$A,0))),"")</f>
        <v/>
      </c>
      <c r="W715" s="32">
        <f>IF($A715=1,"","")</f>
        <v/>
      </c>
      <c r="X715" s="32">
        <f>IF($A715=1,IF($R715=1,"",IF($O715=ST_POST,IF($P715&lt;&gt;"",$P715,"حساب غير صالح أو غير نشط"),IF($O715=ST_REV,"معكوس: لا أثر على الدفاتر",IF($O715=ST_CANC,"ملغى",IF($O715=ST_APPR,"معتمد ولم يُرحَّل","مسودة"))))),"")</f>
        <v/>
      </c>
      <c r="Y715" s="32">
        <f>IF($A715=1,IF(AND($R715=1,OR(LG_Acct="",$G715=LG_Acct),OR(LG_Party="",$K715=LG_Party),OR(LG_Loc="ALL",$I715=LG_Loc),OR(LG_CC="ALL",$J715=LG_CC),$D715&gt;=LG_From,$D715&lt;=LG_To),$D715+ROW()/1000000,""),"")</f>
        <v/>
      </c>
      <c r="Z715" s="32">
        <f>IF($A715=1,IF(Sales_Daily!$T59="","",Sales_Daily!$T59),"")</f>
        <v/>
      </c>
      <c r="AA715" s="32">
        <f>IF($A715=1,IF(Sales_Daily!$U59="","",Sales_Daily!$U59),"")</f>
        <v/>
      </c>
      <c r="AB715" s="32">
        <f>IF($A715=1,IF(Sales_Daily!$V59="","",Sales_Daily!$V59),"")</f>
        <v/>
      </c>
      <c r="AC715" s="32">
        <f>IF($A715=1,IF(Sales_Daily!$W59="","",Sales_Daily!$W59),"")</f>
        <v/>
      </c>
      <c r="AD715" s="32">
        <f>IF($A715=1,IF(Sales_Daily!$X59="","",Sales_Daily!$X59),"")</f>
        <v/>
      </c>
      <c r="AE715" s="32">
        <f>IF($A715=1,0,"")</f>
        <v/>
      </c>
      <c r="AF715" s="32" t="inlineStr"/>
    </row>
    <row r="716">
      <c r="A716" s="32">
        <f>IF(AND(Sales_Daily!$AV59=1,N(Sales_Daily!$AE59)&gt;0),1,0)</f>
        <v/>
      </c>
      <c r="B716" s="32">
        <f>IF($A716=1,$E716&amp;"/10","")</f>
        <v/>
      </c>
      <c r="C716" s="32">
        <f>IF($A716=1,"J-"&amp;Sales_Daily!$A59,"")</f>
        <v/>
      </c>
      <c r="D716" s="33">
        <f>IF($A716=1,Sales_Daily!$B59,"")</f>
        <v/>
      </c>
      <c r="E716" s="32">
        <f>IF($A716=1,IF(Sales_Daily!$A59="","",Sales_Daily!$A59),"")</f>
        <v/>
      </c>
      <c r="F716" s="32">
        <f>IF($A716=1,"SAL","")</f>
        <v/>
      </c>
      <c r="G716" s="32">
        <f>IF($A716=1,IF(Sales_Daily!$AR59="","",Sales_Daily!$AR59),"")</f>
        <v/>
      </c>
      <c r="H716" s="32">
        <f>IF($A716=1,IF(COUNTIF(COA!$A:$A,$G716)=0,"حساب غير معرف",INDEX(COA!$B:$B,MATCH($G716,COA!$A:$A,0))),"")</f>
        <v/>
      </c>
      <c r="I716" s="32">
        <f>IF($A716=1,IF(Sales_Daily!$C59="","",Sales_Daily!$C59),"")</f>
        <v/>
      </c>
      <c r="J716" s="32">
        <f>IF($A716=1,"CC10","")</f>
        <v/>
      </c>
      <c r="K716" s="32">
        <f>IF($A716=1,"-","")</f>
        <v/>
      </c>
      <c r="L716" s="32">
        <f>IF($A716=1,"إيراد مبيعات - فئة بيتزا","")</f>
        <v/>
      </c>
      <c r="M716" s="43">
        <f>IF($A716=1,0,"")</f>
        <v/>
      </c>
      <c r="N716" s="43">
        <f>IF($A716=1,Sales_Daily!$AE59,"")</f>
        <v/>
      </c>
      <c r="O716" s="32">
        <f>IF($A716=1,Sales_Daily!$S59,"")</f>
        <v/>
      </c>
      <c r="P716" s="32">
        <f>IF($A716=1,IF(Sales_Daily!$AW59="","",Sales_Daily!$AW59),"")</f>
        <v/>
      </c>
      <c r="Q716" s="32">
        <f>IF($A716=1,Sales_Daily!$AY59,"")</f>
        <v/>
      </c>
      <c r="R716" s="32">
        <f>IF($A716=1,IF(AND($Q716=1,COUNTIFS(COA!$A:$A,$G716,COA!$R:$R,1)=1),1,0),"")</f>
        <v/>
      </c>
      <c r="S716" s="43">
        <f>IF($A716=1,IF($R716=1,N($M716),0),"")</f>
        <v/>
      </c>
      <c r="T716" s="43">
        <f>IF($A716=1,IF($R716=1,N($N716),0),"")</f>
        <v/>
      </c>
      <c r="U716" s="32">
        <f>IF($A716=1,YEAR($D716)*100+MONTH($D716),"")</f>
        <v/>
      </c>
      <c r="V716" s="32">
        <f>IF($A716=1,IF(COUNTIF(COA!$A:$A,$G716)=0,0,INDEX(COA!$H:$H,MATCH($G716,COA!$A:$A,0))),"")</f>
        <v/>
      </c>
      <c r="W716" s="32">
        <f>IF($A716=1,"","")</f>
        <v/>
      </c>
      <c r="X716" s="32">
        <f>IF($A716=1,IF($R716=1,"",IF($O716=ST_POST,IF($P716&lt;&gt;"",$P716,"حساب غير صالح أو غير نشط"),IF($O716=ST_REV,"معكوس: لا أثر على الدفاتر",IF($O716=ST_CANC,"ملغى",IF($O716=ST_APPR,"معتمد ولم يُرحَّل","مسودة"))))),"")</f>
        <v/>
      </c>
      <c r="Y716" s="32">
        <f>IF($A716=1,IF(AND($R716=1,OR(LG_Acct="",$G716=LG_Acct),OR(LG_Party="",$K716=LG_Party),OR(LG_Loc="ALL",$I716=LG_Loc),OR(LG_CC="ALL",$J716=LG_CC),$D716&gt;=LG_From,$D716&lt;=LG_To),$D716+ROW()/1000000,""),"")</f>
        <v/>
      </c>
      <c r="Z716" s="32">
        <f>IF($A716=1,IF(Sales_Daily!$T59="","",Sales_Daily!$T59),"")</f>
        <v/>
      </c>
      <c r="AA716" s="32">
        <f>IF($A716=1,IF(Sales_Daily!$U59="","",Sales_Daily!$U59),"")</f>
        <v/>
      </c>
      <c r="AB716" s="32">
        <f>IF($A716=1,IF(Sales_Daily!$V59="","",Sales_Daily!$V59),"")</f>
        <v/>
      </c>
      <c r="AC716" s="32">
        <f>IF($A716=1,IF(Sales_Daily!$W59="","",Sales_Daily!$W59),"")</f>
        <v/>
      </c>
      <c r="AD716" s="32">
        <f>IF($A716=1,IF(Sales_Daily!$X59="","",Sales_Daily!$X59),"")</f>
        <v/>
      </c>
      <c r="AE716" s="32">
        <f>IF($A716=1,0,"")</f>
        <v/>
      </c>
      <c r="AF716" s="32" t="inlineStr"/>
    </row>
    <row r="717">
      <c r="A717" s="32">
        <f>IF(AND(Sales_Daily!$AV59=1,N(Sales_Daily!$AF59)&gt;0),1,0)</f>
        <v/>
      </c>
      <c r="B717" s="32">
        <f>IF($A717=1,$E717&amp;"/11","")</f>
        <v/>
      </c>
      <c r="C717" s="32">
        <f>IF($A717=1,"J-"&amp;Sales_Daily!$A59,"")</f>
        <v/>
      </c>
      <c r="D717" s="33">
        <f>IF($A717=1,Sales_Daily!$B59,"")</f>
        <v/>
      </c>
      <c r="E717" s="32">
        <f>IF($A717=1,IF(Sales_Daily!$A59="","",Sales_Daily!$A59),"")</f>
        <v/>
      </c>
      <c r="F717" s="32">
        <f>IF($A717=1,"SAL","")</f>
        <v/>
      </c>
      <c r="G717" s="32">
        <f>IF($A717=1,IF(Sales_Daily!$AS59="","",Sales_Daily!$AS59),"")</f>
        <v/>
      </c>
      <c r="H717" s="32">
        <f>IF($A717=1,IF(COUNTIF(COA!$A:$A,$G717)=0,"حساب غير معرف",INDEX(COA!$B:$B,MATCH($G717,COA!$A:$A,0))),"")</f>
        <v/>
      </c>
      <c r="I717" s="32">
        <f>IF($A717=1,IF(Sales_Daily!$C59="","",Sales_Daily!$C59),"")</f>
        <v/>
      </c>
      <c r="J717" s="32">
        <f>IF($A717=1,"CC10","")</f>
        <v/>
      </c>
      <c r="K717" s="32">
        <f>IF($A717=1,"-","")</f>
        <v/>
      </c>
      <c r="L717" s="32">
        <f>IF($A717=1,"إيراد مبيعات - فئة مكرونات","")</f>
        <v/>
      </c>
      <c r="M717" s="43">
        <f>IF($A717=1,0,"")</f>
        <v/>
      </c>
      <c r="N717" s="43">
        <f>IF($A717=1,Sales_Daily!$AF59,"")</f>
        <v/>
      </c>
      <c r="O717" s="32">
        <f>IF($A717=1,Sales_Daily!$S59,"")</f>
        <v/>
      </c>
      <c r="P717" s="32">
        <f>IF($A717=1,IF(Sales_Daily!$AW59="","",Sales_Daily!$AW59),"")</f>
        <v/>
      </c>
      <c r="Q717" s="32">
        <f>IF($A717=1,Sales_Daily!$AY59,"")</f>
        <v/>
      </c>
      <c r="R717" s="32">
        <f>IF($A717=1,IF(AND($Q717=1,COUNTIFS(COA!$A:$A,$G717,COA!$R:$R,1)=1),1,0),"")</f>
        <v/>
      </c>
      <c r="S717" s="43">
        <f>IF($A717=1,IF($R717=1,N($M717),0),"")</f>
        <v/>
      </c>
      <c r="T717" s="43">
        <f>IF($A717=1,IF($R717=1,N($N717),0),"")</f>
        <v/>
      </c>
      <c r="U717" s="32">
        <f>IF($A717=1,YEAR($D717)*100+MONTH($D717),"")</f>
        <v/>
      </c>
      <c r="V717" s="32">
        <f>IF($A717=1,IF(COUNTIF(COA!$A:$A,$G717)=0,0,INDEX(COA!$H:$H,MATCH($G717,COA!$A:$A,0))),"")</f>
        <v/>
      </c>
      <c r="W717" s="32">
        <f>IF($A717=1,"","")</f>
        <v/>
      </c>
      <c r="X717" s="32">
        <f>IF($A717=1,IF($R717=1,"",IF($O717=ST_POST,IF($P717&lt;&gt;"",$P717,"حساب غير صالح أو غير نشط"),IF($O717=ST_REV,"معكوس: لا أثر على الدفاتر",IF($O717=ST_CANC,"ملغى",IF($O717=ST_APPR,"معتمد ولم يُرحَّل","مسودة"))))),"")</f>
        <v/>
      </c>
      <c r="Y717" s="32">
        <f>IF($A717=1,IF(AND($R717=1,OR(LG_Acct="",$G717=LG_Acct),OR(LG_Party="",$K717=LG_Party),OR(LG_Loc="ALL",$I717=LG_Loc),OR(LG_CC="ALL",$J717=LG_CC),$D717&gt;=LG_From,$D717&lt;=LG_To),$D717+ROW()/1000000,""),"")</f>
        <v/>
      </c>
      <c r="Z717" s="32">
        <f>IF($A717=1,IF(Sales_Daily!$T59="","",Sales_Daily!$T59),"")</f>
        <v/>
      </c>
      <c r="AA717" s="32">
        <f>IF($A717=1,IF(Sales_Daily!$U59="","",Sales_Daily!$U59),"")</f>
        <v/>
      </c>
      <c r="AB717" s="32">
        <f>IF($A717=1,IF(Sales_Daily!$V59="","",Sales_Daily!$V59),"")</f>
        <v/>
      </c>
      <c r="AC717" s="32">
        <f>IF($A717=1,IF(Sales_Daily!$W59="","",Sales_Daily!$W59),"")</f>
        <v/>
      </c>
      <c r="AD717" s="32">
        <f>IF($A717=1,IF(Sales_Daily!$X59="","",Sales_Daily!$X59),"")</f>
        <v/>
      </c>
      <c r="AE717" s="32">
        <f>IF($A717=1,0,"")</f>
        <v/>
      </c>
      <c r="AF717" s="32" t="inlineStr"/>
    </row>
    <row r="718">
      <c r="A718" s="32">
        <f>IF(AND(Sales_Daily!$AV59=1,N(Sales_Daily!$AG59)&gt;0),1,0)</f>
        <v/>
      </c>
      <c r="B718" s="32">
        <f>IF($A718=1,$E718&amp;"/12","")</f>
        <v/>
      </c>
      <c r="C718" s="32">
        <f>IF($A718=1,"J-"&amp;Sales_Daily!$A59,"")</f>
        <v/>
      </c>
      <c r="D718" s="33">
        <f>IF($A718=1,Sales_Daily!$B59,"")</f>
        <v/>
      </c>
      <c r="E718" s="32">
        <f>IF($A718=1,IF(Sales_Daily!$A59="","",Sales_Daily!$A59),"")</f>
        <v/>
      </c>
      <c r="F718" s="32">
        <f>IF($A718=1,"SAL","")</f>
        <v/>
      </c>
      <c r="G718" s="32">
        <f>IF($A718=1,IF(Sales_Daily!$AT59="","",Sales_Daily!$AT59),"")</f>
        <v/>
      </c>
      <c r="H718" s="32">
        <f>IF($A718=1,IF(COUNTIF(COA!$A:$A,$G718)=0,"حساب غير معرف",INDEX(COA!$B:$B,MATCH($G718,COA!$A:$A,0))),"")</f>
        <v/>
      </c>
      <c r="I718" s="32">
        <f>IF($A718=1,IF(Sales_Daily!$C59="","",Sales_Daily!$C59),"")</f>
        <v/>
      </c>
      <c r="J718" s="32">
        <f>IF($A718=1,"CC10","")</f>
        <v/>
      </c>
      <c r="K718" s="32">
        <f>IF($A718=1,"-","")</f>
        <v/>
      </c>
      <c r="L718" s="32">
        <f>IF($A718=1,"إيراد مبيعات - فئة أخرى","")</f>
        <v/>
      </c>
      <c r="M718" s="43">
        <f>IF($A718=1,0,"")</f>
        <v/>
      </c>
      <c r="N718" s="43">
        <f>IF($A718=1,Sales_Daily!$AG59,"")</f>
        <v/>
      </c>
      <c r="O718" s="32">
        <f>IF($A718=1,Sales_Daily!$S59,"")</f>
        <v/>
      </c>
      <c r="P718" s="32">
        <f>IF($A718=1,IF(Sales_Daily!$AW59="","",Sales_Daily!$AW59),"")</f>
        <v/>
      </c>
      <c r="Q718" s="32">
        <f>IF($A718=1,Sales_Daily!$AY59,"")</f>
        <v/>
      </c>
      <c r="R718" s="32">
        <f>IF($A718=1,IF(AND($Q718=1,COUNTIFS(COA!$A:$A,$G718,COA!$R:$R,1)=1),1,0),"")</f>
        <v/>
      </c>
      <c r="S718" s="43">
        <f>IF($A718=1,IF($R718=1,N($M718),0),"")</f>
        <v/>
      </c>
      <c r="T718" s="43">
        <f>IF($A718=1,IF($R718=1,N($N718),0),"")</f>
        <v/>
      </c>
      <c r="U718" s="32">
        <f>IF($A718=1,YEAR($D718)*100+MONTH($D718),"")</f>
        <v/>
      </c>
      <c r="V718" s="32">
        <f>IF($A718=1,IF(COUNTIF(COA!$A:$A,$G718)=0,0,INDEX(COA!$H:$H,MATCH($G718,COA!$A:$A,0))),"")</f>
        <v/>
      </c>
      <c r="W718" s="32">
        <f>IF($A718=1,"","")</f>
        <v/>
      </c>
      <c r="X718" s="32">
        <f>IF($A718=1,IF($R718=1,"",IF($O718=ST_POST,IF($P718&lt;&gt;"",$P718,"حساب غير صالح أو غير نشط"),IF($O718=ST_REV,"معكوس: لا أثر على الدفاتر",IF($O718=ST_CANC,"ملغى",IF($O718=ST_APPR,"معتمد ولم يُرحَّل","مسودة"))))),"")</f>
        <v/>
      </c>
      <c r="Y718" s="32">
        <f>IF($A718=1,IF(AND($R718=1,OR(LG_Acct="",$G718=LG_Acct),OR(LG_Party="",$K718=LG_Party),OR(LG_Loc="ALL",$I718=LG_Loc),OR(LG_CC="ALL",$J718=LG_CC),$D718&gt;=LG_From,$D718&lt;=LG_To),$D718+ROW()/1000000,""),"")</f>
        <v/>
      </c>
      <c r="Z718" s="32">
        <f>IF($A718=1,IF(Sales_Daily!$T59="","",Sales_Daily!$T59),"")</f>
        <v/>
      </c>
      <c r="AA718" s="32">
        <f>IF($A718=1,IF(Sales_Daily!$U59="","",Sales_Daily!$U59),"")</f>
        <v/>
      </c>
      <c r="AB718" s="32">
        <f>IF($A718=1,IF(Sales_Daily!$V59="","",Sales_Daily!$V59),"")</f>
        <v/>
      </c>
      <c r="AC718" s="32">
        <f>IF($A718=1,IF(Sales_Daily!$W59="","",Sales_Daily!$W59),"")</f>
        <v/>
      </c>
      <c r="AD718" s="32">
        <f>IF($A718=1,IF(Sales_Daily!$X59="","",Sales_Daily!$X59),"")</f>
        <v/>
      </c>
      <c r="AE718" s="32">
        <f>IF($A718=1,0,"")</f>
        <v/>
      </c>
      <c r="AF718" s="32" t="inlineStr"/>
    </row>
    <row r="719">
      <c r="A719" s="32">
        <f>IF(AND(Sales_Daily!$AV59=1,N(Sales_Daily!$AJ59)&gt;0),1,0)</f>
        <v/>
      </c>
      <c r="B719" s="32">
        <f>IF($A719=1,$E719&amp;"/13","")</f>
        <v/>
      </c>
      <c r="C719" s="32">
        <f>IF($A719=1,"J-"&amp;Sales_Daily!$A59,"")</f>
        <v/>
      </c>
      <c r="D719" s="33">
        <f>IF($A719=1,Sales_Daily!$B59,"")</f>
        <v/>
      </c>
      <c r="E719" s="32">
        <f>IF($A719=1,IF(Sales_Daily!$A59="","",Sales_Daily!$A59),"")</f>
        <v/>
      </c>
      <c r="F719" s="32">
        <f>IF($A719=1,"SAL","")</f>
        <v/>
      </c>
      <c r="G719" s="32">
        <f>IF($A719=1,ACC_VAT_OUT,"")</f>
        <v/>
      </c>
      <c r="H719" s="32">
        <f>IF($A719=1,IF(COUNTIF(COA!$A:$A,$G719)=0,"حساب غير معرف",INDEX(COA!$B:$B,MATCH($G719,COA!$A:$A,0))),"")</f>
        <v/>
      </c>
      <c r="I719" s="32">
        <f>IF($A719=1,IF(Sales_Daily!$C59="","",Sales_Daily!$C59),"")</f>
        <v/>
      </c>
      <c r="J719" s="32">
        <f>IF($A719=1,"CC10","")</f>
        <v/>
      </c>
      <c r="K719" s="32">
        <f>IF($A719=1,"-","")</f>
        <v/>
      </c>
      <c r="L719" s="32">
        <f>IF($A719=1,"ضريبة القيمة المضافة - مخرجات","")</f>
        <v/>
      </c>
      <c r="M719" s="43">
        <f>IF($A719=1,0,"")</f>
        <v/>
      </c>
      <c r="N719" s="43">
        <f>IF($A719=1,Sales_Daily!$AJ59,"")</f>
        <v/>
      </c>
      <c r="O719" s="32">
        <f>IF($A719=1,Sales_Daily!$S59,"")</f>
        <v/>
      </c>
      <c r="P719" s="32">
        <f>IF($A719=1,IF(Sales_Daily!$AW59="","",Sales_Daily!$AW59),"")</f>
        <v/>
      </c>
      <c r="Q719" s="32">
        <f>IF($A719=1,Sales_Daily!$AY59,"")</f>
        <v/>
      </c>
      <c r="R719" s="32">
        <f>IF($A719=1,IF(AND($Q719=1,COUNTIFS(COA!$A:$A,$G719,COA!$R:$R,1)=1),1,0),"")</f>
        <v/>
      </c>
      <c r="S719" s="43">
        <f>IF($A719=1,IF($R719=1,N($M719),0),"")</f>
        <v/>
      </c>
      <c r="T719" s="43">
        <f>IF($A719=1,IF($R719=1,N($N719),0),"")</f>
        <v/>
      </c>
      <c r="U719" s="32">
        <f>IF($A719=1,YEAR($D719)*100+MONTH($D719),"")</f>
        <v/>
      </c>
      <c r="V719" s="32">
        <f>IF($A719=1,IF(COUNTIF(COA!$A:$A,$G719)=0,0,INDEX(COA!$H:$H,MATCH($G719,COA!$A:$A,0))),"")</f>
        <v/>
      </c>
      <c r="W719" s="32">
        <f>IF($A719=1,"","")</f>
        <v/>
      </c>
      <c r="X719" s="32">
        <f>IF($A719=1,IF($R719=1,"",IF($O719=ST_POST,IF($P719&lt;&gt;"",$P719,"حساب غير صالح أو غير نشط"),IF($O719=ST_REV,"معكوس: لا أثر على الدفاتر",IF($O719=ST_CANC,"ملغى",IF($O719=ST_APPR,"معتمد ولم يُرحَّل","مسودة"))))),"")</f>
        <v/>
      </c>
      <c r="Y719" s="32">
        <f>IF($A719=1,IF(AND($R719=1,OR(LG_Acct="",$G719=LG_Acct),OR(LG_Party="",$K719=LG_Party),OR(LG_Loc="ALL",$I719=LG_Loc),OR(LG_CC="ALL",$J719=LG_CC),$D719&gt;=LG_From,$D719&lt;=LG_To),$D719+ROW()/1000000,""),"")</f>
        <v/>
      </c>
      <c r="Z719" s="32">
        <f>IF($A719=1,IF(Sales_Daily!$T59="","",Sales_Daily!$T59),"")</f>
        <v/>
      </c>
      <c r="AA719" s="32">
        <f>IF($A719=1,IF(Sales_Daily!$U59="","",Sales_Daily!$U59),"")</f>
        <v/>
      </c>
      <c r="AB719" s="32">
        <f>IF($A719=1,IF(Sales_Daily!$V59="","",Sales_Daily!$V59),"")</f>
        <v/>
      </c>
      <c r="AC719" s="32">
        <f>IF($A719=1,IF(Sales_Daily!$W59="","",Sales_Daily!$W59),"")</f>
        <v/>
      </c>
      <c r="AD719" s="32">
        <f>IF($A719=1,IF(Sales_Daily!$X59="","",Sales_Daily!$X59),"")</f>
        <v/>
      </c>
      <c r="AE719" s="32">
        <f>IF($A719=1,0,"")</f>
        <v/>
      </c>
      <c r="AF719" s="32" t="inlineStr"/>
    </row>
    <row r="720">
      <c r="A720" s="32">
        <f>IF(AND(Sales_Daily!$AV60=1,N(Sales_Daily!$L60)&gt;0),1,0)</f>
        <v/>
      </c>
      <c r="B720" s="32">
        <f>IF($A720=1,$E720&amp;"/1","")</f>
        <v/>
      </c>
      <c r="C720" s="32">
        <f>IF($A720=1,"J-"&amp;Sales_Daily!$A60,"")</f>
        <v/>
      </c>
      <c r="D720" s="33">
        <f>IF($A720=1,Sales_Daily!$B60,"")</f>
        <v/>
      </c>
      <c r="E720" s="32">
        <f>IF($A720=1,IF(Sales_Daily!$A60="","",Sales_Daily!$A60),"")</f>
        <v/>
      </c>
      <c r="F720" s="32">
        <f>IF($A720=1,"SAL","")</f>
        <v/>
      </c>
      <c r="G720" s="32">
        <f>IF($A720=1,IF(Sales_Daily!$AK60="","",Sales_Daily!$AK60),"")</f>
        <v/>
      </c>
      <c r="H720" s="32">
        <f>IF($A720=1,IF(COUNTIF(COA!$A:$A,$G720)=0,"حساب غير معرف",INDEX(COA!$B:$B,MATCH($G720,COA!$A:$A,0))),"")</f>
        <v/>
      </c>
      <c r="I720" s="32">
        <f>IF($A720=1,IF(Sales_Daily!$C60="","",Sales_Daily!$C60),"")</f>
        <v/>
      </c>
      <c r="J720" s="32">
        <f>IF($A720=1,"CC10","")</f>
        <v/>
      </c>
      <c r="K720" s="32">
        <f>IF($A720=1,"-","")</f>
        <v/>
      </c>
      <c r="L720" s="32">
        <f>IF($A720=1,"مبيعات - تحصيل CASH","")</f>
        <v/>
      </c>
      <c r="M720" s="43">
        <f>IF($A720=1,Sales_Daily!$L60,"")</f>
        <v/>
      </c>
      <c r="N720" s="43">
        <f>IF($A720=1,0,"")</f>
        <v/>
      </c>
      <c r="O720" s="32">
        <f>IF($A720=1,Sales_Daily!$S60,"")</f>
        <v/>
      </c>
      <c r="P720" s="32">
        <f>IF($A720=1,IF(Sales_Daily!$AW60="","",Sales_Daily!$AW60),"")</f>
        <v/>
      </c>
      <c r="Q720" s="32">
        <f>IF($A720=1,Sales_Daily!$AY60,"")</f>
        <v/>
      </c>
      <c r="R720" s="32">
        <f>IF($A720=1,IF(AND($Q720=1,COUNTIFS(COA!$A:$A,$G720,COA!$R:$R,1)=1),1,0),"")</f>
        <v/>
      </c>
      <c r="S720" s="43">
        <f>IF($A720=1,IF($R720=1,N($M720),0),"")</f>
        <v/>
      </c>
      <c r="T720" s="43">
        <f>IF($A720=1,IF($R720=1,N($N720),0),"")</f>
        <v/>
      </c>
      <c r="U720" s="32">
        <f>IF($A720=1,YEAR($D720)*100+MONTH($D720),"")</f>
        <v/>
      </c>
      <c r="V720" s="32">
        <f>IF($A720=1,IF(COUNTIF(COA!$A:$A,$G720)=0,0,INDEX(COA!$H:$H,MATCH($G720,COA!$A:$A,0))),"")</f>
        <v/>
      </c>
      <c r="W720" s="32">
        <f>IF($A720=1,"OPERATING","")</f>
        <v/>
      </c>
      <c r="X720" s="32">
        <f>IF($A720=1,IF($R720=1,"",IF($O720=ST_POST,IF($P720&lt;&gt;"",$P720,"حساب غير صالح أو غير نشط"),IF($O720=ST_REV,"معكوس: لا أثر على الدفاتر",IF($O720=ST_CANC,"ملغى",IF($O720=ST_APPR,"معتمد ولم يُرحَّل","مسودة"))))),"")</f>
        <v/>
      </c>
      <c r="Y720" s="32">
        <f>IF($A720=1,IF(AND($R720=1,OR(LG_Acct="",$G720=LG_Acct),OR(LG_Party="",$K720=LG_Party),OR(LG_Loc="ALL",$I720=LG_Loc),OR(LG_CC="ALL",$J720=LG_CC),$D720&gt;=LG_From,$D720&lt;=LG_To),$D720+ROW()/1000000,""),"")</f>
        <v/>
      </c>
      <c r="Z720" s="32">
        <f>IF($A720=1,IF(Sales_Daily!$T60="","",Sales_Daily!$T60),"")</f>
        <v/>
      </c>
      <c r="AA720" s="32">
        <f>IF($A720=1,IF(Sales_Daily!$U60="","",Sales_Daily!$U60),"")</f>
        <v/>
      </c>
      <c r="AB720" s="32">
        <f>IF($A720=1,IF(Sales_Daily!$V60="","",Sales_Daily!$V60),"")</f>
        <v/>
      </c>
      <c r="AC720" s="32">
        <f>IF($A720=1,IF(Sales_Daily!$W60="","",Sales_Daily!$W60),"")</f>
        <v/>
      </c>
      <c r="AD720" s="32">
        <f>IF($A720=1,IF(Sales_Daily!$X60="","",Sales_Daily!$X60),"")</f>
        <v/>
      </c>
      <c r="AE720" s="32">
        <f>IF($A720=1,0,"")</f>
        <v/>
      </c>
      <c r="AF720" s="32" t="inlineStr"/>
    </row>
    <row r="721">
      <c r="A721" s="32">
        <f>IF(AND(Sales_Daily!$AV60=1,N(Sales_Daily!$M60)&gt;0),1,0)</f>
        <v/>
      </c>
      <c r="B721" s="32">
        <f>IF($A721=1,$E721&amp;"/2","")</f>
        <v/>
      </c>
      <c r="C721" s="32">
        <f>IF($A721=1,"J-"&amp;Sales_Daily!$A60,"")</f>
        <v/>
      </c>
      <c r="D721" s="33">
        <f>IF($A721=1,Sales_Daily!$B60,"")</f>
        <v/>
      </c>
      <c r="E721" s="32">
        <f>IF($A721=1,IF(Sales_Daily!$A60="","",Sales_Daily!$A60),"")</f>
        <v/>
      </c>
      <c r="F721" s="32">
        <f>IF($A721=1,"SAL","")</f>
        <v/>
      </c>
      <c r="G721" s="32">
        <f>IF($A721=1,IF(Sales_Daily!$AL60="","",Sales_Daily!$AL60),"")</f>
        <v/>
      </c>
      <c r="H721" s="32">
        <f>IF($A721=1,IF(COUNTIF(COA!$A:$A,$G721)=0,"حساب غير معرف",INDEX(COA!$B:$B,MATCH($G721,COA!$A:$A,0))),"")</f>
        <v/>
      </c>
      <c r="I721" s="32">
        <f>IF($A721=1,IF(Sales_Daily!$C60="","",Sales_Daily!$C60),"")</f>
        <v/>
      </c>
      <c r="J721" s="32">
        <f>IF($A721=1,"CC10","")</f>
        <v/>
      </c>
      <c r="K721" s="32">
        <f>IF($A721=1,"-","")</f>
        <v/>
      </c>
      <c r="L721" s="32">
        <f>IF($A721=1,"مبيعات - تحصيل CARD","")</f>
        <v/>
      </c>
      <c r="M721" s="43">
        <f>IF($A721=1,Sales_Daily!$M60,"")</f>
        <v/>
      </c>
      <c r="N721" s="43">
        <f>IF($A721=1,0,"")</f>
        <v/>
      </c>
      <c r="O721" s="32">
        <f>IF($A721=1,Sales_Daily!$S60,"")</f>
        <v/>
      </c>
      <c r="P721" s="32">
        <f>IF($A721=1,IF(Sales_Daily!$AW60="","",Sales_Daily!$AW60),"")</f>
        <v/>
      </c>
      <c r="Q721" s="32">
        <f>IF($A721=1,Sales_Daily!$AY60,"")</f>
        <v/>
      </c>
      <c r="R721" s="32">
        <f>IF($A721=1,IF(AND($Q721=1,COUNTIFS(COA!$A:$A,$G721,COA!$R:$R,1)=1),1,0),"")</f>
        <v/>
      </c>
      <c r="S721" s="43">
        <f>IF($A721=1,IF($R721=1,N($M721),0),"")</f>
        <v/>
      </c>
      <c r="T721" s="43">
        <f>IF($A721=1,IF($R721=1,N($N721),0),"")</f>
        <v/>
      </c>
      <c r="U721" s="32">
        <f>IF($A721=1,YEAR($D721)*100+MONTH($D721),"")</f>
        <v/>
      </c>
      <c r="V721" s="32">
        <f>IF($A721=1,IF(COUNTIF(COA!$A:$A,$G721)=0,0,INDEX(COA!$H:$H,MATCH($G721,COA!$A:$A,0))),"")</f>
        <v/>
      </c>
      <c r="W721" s="32">
        <f>IF($A721=1,"OPERATING","")</f>
        <v/>
      </c>
      <c r="X721" s="32">
        <f>IF($A721=1,IF($R721=1,"",IF($O721=ST_POST,IF($P721&lt;&gt;"",$P721,"حساب غير صالح أو غير نشط"),IF($O721=ST_REV,"معكوس: لا أثر على الدفاتر",IF($O721=ST_CANC,"ملغى",IF($O721=ST_APPR,"معتمد ولم يُرحَّل","مسودة"))))),"")</f>
        <v/>
      </c>
      <c r="Y721" s="32">
        <f>IF($A721=1,IF(AND($R721=1,OR(LG_Acct="",$G721=LG_Acct),OR(LG_Party="",$K721=LG_Party),OR(LG_Loc="ALL",$I721=LG_Loc),OR(LG_CC="ALL",$J721=LG_CC),$D721&gt;=LG_From,$D721&lt;=LG_To),$D721+ROW()/1000000,""),"")</f>
        <v/>
      </c>
      <c r="Z721" s="32">
        <f>IF($A721=1,IF(Sales_Daily!$T60="","",Sales_Daily!$T60),"")</f>
        <v/>
      </c>
      <c r="AA721" s="32">
        <f>IF($A721=1,IF(Sales_Daily!$U60="","",Sales_Daily!$U60),"")</f>
        <v/>
      </c>
      <c r="AB721" s="32">
        <f>IF($A721=1,IF(Sales_Daily!$V60="","",Sales_Daily!$V60),"")</f>
        <v/>
      </c>
      <c r="AC721" s="32">
        <f>IF($A721=1,IF(Sales_Daily!$W60="","",Sales_Daily!$W60),"")</f>
        <v/>
      </c>
      <c r="AD721" s="32">
        <f>IF($A721=1,IF(Sales_Daily!$X60="","",Sales_Daily!$X60),"")</f>
        <v/>
      </c>
      <c r="AE721" s="32">
        <f>IF($A721=1,0,"")</f>
        <v/>
      </c>
      <c r="AF721" s="32" t="inlineStr"/>
    </row>
    <row r="722">
      <c r="A722" s="32">
        <f>IF(AND(Sales_Daily!$AV60=1,N(Sales_Daily!$N60)&gt;0),1,0)</f>
        <v/>
      </c>
      <c r="B722" s="32">
        <f>IF($A722=1,$E722&amp;"/3","")</f>
        <v/>
      </c>
      <c r="C722" s="32">
        <f>IF($A722=1,"J-"&amp;Sales_Daily!$A60,"")</f>
        <v/>
      </c>
      <c r="D722" s="33">
        <f>IF($A722=1,Sales_Daily!$B60,"")</f>
        <v/>
      </c>
      <c r="E722" s="32">
        <f>IF($A722=1,IF(Sales_Daily!$A60="","",Sales_Daily!$A60),"")</f>
        <v/>
      </c>
      <c r="F722" s="32">
        <f>IF($A722=1,"SAL","")</f>
        <v/>
      </c>
      <c r="G722" s="32">
        <f>IF($A722=1,IF(Sales_Daily!$AM60="","",Sales_Daily!$AM60),"")</f>
        <v/>
      </c>
      <c r="H722" s="32">
        <f>IF($A722=1,IF(COUNTIF(COA!$A:$A,$G722)=0,"حساب غير معرف",INDEX(COA!$B:$B,MATCH($G722,COA!$A:$A,0))),"")</f>
        <v/>
      </c>
      <c r="I722" s="32">
        <f>IF($A722=1,IF(Sales_Daily!$C60="","",Sales_Daily!$C60),"")</f>
        <v/>
      </c>
      <c r="J722" s="32">
        <f>IF($A722=1,"CC10","")</f>
        <v/>
      </c>
      <c r="K722" s="32">
        <f>IF($A722=1,"-","")</f>
        <v/>
      </c>
      <c r="L722" s="32">
        <f>IF($A722=1,"مبيعات - تحصيل TLB","")</f>
        <v/>
      </c>
      <c r="M722" s="43">
        <f>IF($A722=1,Sales_Daily!$N60,"")</f>
        <v/>
      </c>
      <c r="N722" s="43">
        <f>IF($A722=1,0,"")</f>
        <v/>
      </c>
      <c r="O722" s="32">
        <f>IF($A722=1,Sales_Daily!$S60,"")</f>
        <v/>
      </c>
      <c r="P722" s="32">
        <f>IF($A722=1,IF(Sales_Daily!$AW60="","",Sales_Daily!$AW60),"")</f>
        <v/>
      </c>
      <c r="Q722" s="32">
        <f>IF($A722=1,Sales_Daily!$AY60,"")</f>
        <v/>
      </c>
      <c r="R722" s="32">
        <f>IF($A722=1,IF(AND($Q722=1,COUNTIFS(COA!$A:$A,$G722,COA!$R:$R,1)=1),1,0),"")</f>
        <v/>
      </c>
      <c r="S722" s="43">
        <f>IF($A722=1,IF($R722=1,N($M722),0),"")</f>
        <v/>
      </c>
      <c r="T722" s="43">
        <f>IF($A722=1,IF($R722=1,N($N722),0),"")</f>
        <v/>
      </c>
      <c r="U722" s="32">
        <f>IF($A722=1,YEAR($D722)*100+MONTH($D722),"")</f>
        <v/>
      </c>
      <c r="V722" s="32">
        <f>IF($A722=1,IF(COUNTIF(COA!$A:$A,$G722)=0,0,INDEX(COA!$H:$H,MATCH($G722,COA!$A:$A,0))),"")</f>
        <v/>
      </c>
      <c r="W722" s="32">
        <f>IF($A722=1,"OPERATING","")</f>
        <v/>
      </c>
      <c r="X722" s="32">
        <f>IF($A722=1,IF($R722=1,"",IF($O722=ST_POST,IF($P722&lt;&gt;"",$P722,"حساب غير صالح أو غير نشط"),IF($O722=ST_REV,"معكوس: لا أثر على الدفاتر",IF($O722=ST_CANC,"ملغى",IF($O722=ST_APPR,"معتمد ولم يُرحَّل","مسودة"))))),"")</f>
        <v/>
      </c>
      <c r="Y722" s="32">
        <f>IF($A722=1,IF(AND($R722=1,OR(LG_Acct="",$G722=LG_Acct),OR(LG_Party="",$K722=LG_Party),OR(LG_Loc="ALL",$I722=LG_Loc),OR(LG_CC="ALL",$J722=LG_CC),$D722&gt;=LG_From,$D722&lt;=LG_To),$D722+ROW()/1000000,""),"")</f>
        <v/>
      </c>
      <c r="Z722" s="32">
        <f>IF($A722=1,IF(Sales_Daily!$T60="","",Sales_Daily!$T60),"")</f>
        <v/>
      </c>
      <c r="AA722" s="32">
        <f>IF($A722=1,IF(Sales_Daily!$U60="","",Sales_Daily!$U60),"")</f>
        <v/>
      </c>
      <c r="AB722" s="32">
        <f>IF($A722=1,IF(Sales_Daily!$V60="","",Sales_Daily!$V60),"")</f>
        <v/>
      </c>
      <c r="AC722" s="32">
        <f>IF($A722=1,IF(Sales_Daily!$W60="","",Sales_Daily!$W60),"")</f>
        <v/>
      </c>
      <c r="AD722" s="32">
        <f>IF($A722=1,IF(Sales_Daily!$X60="","",Sales_Daily!$X60),"")</f>
        <v/>
      </c>
      <c r="AE722" s="32">
        <f>IF($A722=1,0,"")</f>
        <v/>
      </c>
      <c r="AF722" s="32" t="inlineStr"/>
    </row>
    <row r="723">
      <c r="A723" s="32">
        <f>IF(AND(Sales_Daily!$AV60=1,N(Sales_Daily!$O60)&gt;0),1,0)</f>
        <v/>
      </c>
      <c r="B723" s="32">
        <f>IF($A723=1,$E723&amp;"/4","")</f>
        <v/>
      </c>
      <c r="C723" s="32">
        <f>IF($A723=1,"J-"&amp;Sales_Daily!$A60,"")</f>
        <v/>
      </c>
      <c r="D723" s="33">
        <f>IF($A723=1,Sales_Daily!$B60,"")</f>
        <v/>
      </c>
      <c r="E723" s="32">
        <f>IF($A723=1,IF(Sales_Daily!$A60="","",Sales_Daily!$A60),"")</f>
        <v/>
      </c>
      <c r="F723" s="32">
        <f>IF($A723=1,"SAL","")</f>
        <v/>
      </c>
      <c r="G723" s="32">
        <f>IF($A723=1,IF(Sales_Daily!$AN60="","",Sales_Daily!$AN60),"")</f>
        <v/>
      </c>
      <c r="H723" s="32">
        <f>IF($A723=1,IF(COUNTIF(COA!$A:$A,$G723)=0,"حساب غير معرف",INDEX(COA!$B:$B,MATCH($G723,COA!$A:$A,0))),"")</f>
        <v/>
      </c>
      <c r="I723" s="32">
        <f>IF($A723=1,IF(Sales_Daily!$C60="","",Sales_Daily!$C60),"")</f>
        <v/>
      </c>
      <c r="J723" s="32">
        <f>IF($A723=1,"CC10","")</f>
        <v/>
      </c>
      <c r="K723" s="32">
        <f>IF($A723=1,"-","")</f>
        <v/>
      </c>
      <c r="L723" s="32">
        <f>IF($A723=1,"مبيعات - تحصيل DLV2","")</f>
        <v/>
      </c>
      <c r="M723" s="43">
        <f>IF($A723=1,Sales_Daily!$O60,"")</f>
        <v/>
      </c>
      <c r="N723" s="43">
        <f>IF($A723=1,0,"")</f>
        <v/>
      </c>
      <c r="O723" s="32">
        <f>IF($A723=1,Sales_Daily!$S60,"")</f>
        <v/>
      </c>
      <c r="P723" s="32">
        <f>IF($A723=1,IF(Sales_Daily!$AW60="","",Sales_Daily!$AW60),"")</f>
        <v/>
      </c>
      <c r="Q723" s="32">
        <f>IF($A723=1,Sales_Daily!$AY60,"")</f>
        <v/>
      </c>
      <c r="R723" s="32">
        <f>IF($A723=1,IF(AND($Q723=1,COUNTIFS(COA!$A:$A,$G723,COA!$R:$R,1)=1),1,0),"")</f>
        <v/>
      </c>
      <c r="S723" s="43">
        <f>IF($A723=1,IF($R723=1,N($M723),0),"")</f>
        <v/>
      </c>
      <c r="T723" s="43">
        <f>IF($A723=1,IF($R723=1,N($N723),0),"")</f>
        <v/>
      </c>
      <c r="U723" s="32">
        <f>IF($A723=1,YEAR($D723)*100+MONTH($D723),"")</f>
        <v/>
      </c>
      <c r="V723" s="32">
        <f>IF($A723=1,IF(COUNTIF(COA!$A:$A,$G723)=0,0,INDEX(COA!$H:$H,MATCH($G723,COA!$A:$A,0))),"")</f>
        <v/>
      </c>
      <c r="W723" s="32">
        <f>IF($A723=1,"OPERATING","")</f>
        <v/>
      </c>
      <c r="X723" s="32">
        <f>IF($A723=1,IF($R723=1,"",IF($O723=ST_POST,IF($P723&lt;&gt;"",$P723,"حساب غير صالح أو غير نشط"),IF($O723=ST_REV,"معكوس: لا أثر على الدفاتر",IF($O723=ST_CANC,"ملغى",IF($O723=ST_APPR,"معتمد ولم يُرحَّل","مسودة"))))),"")</f>
        <v/>
      </c>
      <c r="Y723" s="32">
        <f>IF($A723=1,IF(AND($R723=1,OR(LG_Acct="",$G723=LG_Acct),OR(LG_Party="",$K723=LG_Party),OR(LG_Loc="ALL",$I723=LG_Loc),OR(LG_CC="ALL",$J723=LG_CC),$D723&gt;=LG_From,$D723&lt;=LG_To),$D723+ROW()/1000000,""),"")</f>
        <v/>
      </c>
      <c r="Z723" s="32">
        <f>IF($A723=1,IF(Sales_Daily!$T60="","",Sales_Daily!$T60),"")</f>
        <v/>
      </c>
      <c r="AA723" s="32">
        <f>IF($A723=1,IF(Sales_Daily!$U60="","",Sales_Daily!$U60),"")</f>
        <v/>
      </c>
      <c r="AB723" s="32">
        <f>IF($A723=1,IF(Sales_Daily!$V60="","",Sales_Daily!$V60),"")</f>
        <v/>
      </c>
      <c r="AC723" s="32">
        <f>IF($A723=1,IF(Sales_Daily!$W60="","",Sales_Daily!$W60),"")</f>
        <v/>
      </c>
      <c r="AD723" s="32">
        <f>IF($A723=1,IF(Sales_Daily!$X60="","",Sales_Daily!$X60),"")</f>
        <v/>
      </c>
      <c r="AE723" s="32">
        <f>IF($A723=1,0,"")</f>
        <v/>
      </c>
      <c r="AF723" s="32" t="inlineStr"/>
    </row>
    <row r="724">
      <c r="A724" s="32">
        <f>IF(AND(Sales_Daily!$AV60=1,N(Sales_Daily!$P60)&gt;0),1,0)</f>
        <v/>
      </c>
      <c r="B724" s="32">
        <f>IF($A724=1,$E724&amp;"/5","")</f>
        <v/>
      </c>
      <c r="C724" s="32">
        <f>IF($A724=1,"J-"&amp;Sales_Daily!$A60,"")</f>
        <v/>
      </c>
      <c r="D724" s="33">
        <f>IF($A724=1,Sales_Daily!$B60,"")</f>
        <v/>
      </c>
      <c r="E724" s="32">
        <f>IF($A724=1,IF(Sales_Daily!$A60="","",Sales_Daily!$A60),"")</f>
        <v/>
      </c>
      <c r="F724" s="32">
        <f>IF($A724=1,"SAL","")</f>
        <v/>
      </c>
      <c r="G724" s="32">
        <f>IF($A724=1,IF(Sales_Daily!$AO60="","",Sales_Daily!$AO60),"")</f>
        <v/>
      </c>
      <c r="H724" s="32">
        <f>IF($A724=1,IF(COUNTIF(COA!$A:$A,$G724)=0,"حساب غير معرف",INDEX(COA!$B:$B,MATCH($G724,COA!$A:$A,0))),"")</f>
        <v/>
      </c>
      <c r="I724" s="32">
        <f>IF($A724=1,IF(Sales_Daily!$C60="","",Sales_Daily!$C60),"")</f>
        <v/>
      </c>
      <c r="J724" s="32">
        <f>IF($A724=1,"CC10","")</f>
        <v/>
      </c>
      <c r="K724" s="32">
        <f>IF($A724=1,"-","")</f>
        <v/>
      </c>
      <c r="L724" s="32">
        <f>IF($A724=1,"مبيعات - تحصيل INSTA","")</f>
        <v/>
      </c>
      <c r="M724" s="43">
        <f>IF($A724=1,Sales_Daily!$P60,"")</f>
        <v/>
      </c>
      <c r="N724" s="43">
        <f>IF($A724=1,0,"")</f>
        <v/>
      </c>
      <c r="O724" s="32">
        <f>IF($A724=1,Sales_Daily!$S60,"")</f>
        <v/>
      </c>
      <c r="P724" s="32">
        <f>IF($A724=1,IF(Sales_Daily!$AW60="","",Sales_Daily!$AW60),"")</f>
        <v/>
      </c>
      <c r="Q724" s="32">
        <f>IF($A724=1,Sales_Daily!$AY60,"")</f>
        <v/>
      </c>
      <c r="R724" s="32">
        <f>IF($A724=1,IF(AND($Q724=1,COUNTIFS(COA!$A:$A,$G724,COA!$R:$R,1)=1),1,0),"")</f>
        <v/>
      </c>
      <c r="S724" s="43">
        <f>IF($A724=1,IF($R724=1,N($M724),0),"")</f>
        <v/>
      </c>
      <c r="T724" s="43">
        <f>IF($A724=1,IF($R724=1,N($N724),0),"")</f>
        <v/>
      </c>
      <c r="U724" s="32">
        <f>IF($A724=1,YEAR($D724)*100+MONTH($D724),"")</f>
        <v/>
      </c>
      <c r="V724" s="32">
        <f>IF($A724=1,IF(COUNTIF(COA!$A:$A,$G724)=0,0,INDEX(COA!$H:$H,MATCH($G724,COA!$A:$A,0))),"")</f>
        <v/>
      </c>
      <c r="W724" s="32">
        <f>IF($A724=1,"OPERATING","")</f>
        <v/>
      </c>
      <c r="X724" s="32">
        <f>IF($A724=1,IF($R724=1,"",IF($O724=ST_POST,IF($P724&lt;&gt;"",$P724,"حساب غير صالح أو غير نشط"),IF($O724=ST_REV,"معكوس: لا أثر على الدفاتر",IF($O724=ST_CANC,"ملغى",IF($O724=ST_APPR,"معتمد ولم يُرحَّل","مسودة"))))),"")</f>
        <v/>
      </c>
      <c r="Y724" s="32">
        <f>IF($A724=1,IF(AND($R724=1,OR(LG_Acct="",$G724=LG_Acct),OR(LG_Party="",$K724=LG_Party),OR(LG_Loc="ALL",$I724=LG_Loc),OR(LG_CC="ALL",$J724=LG_CC),$D724&gt;=LG_From,$D724&lt;=LG_To),$D724+ROW()/1000000,""),"")</f>
        <v/>
      </c>
      <c r="Z724" s="32">
        <f>IF($A724=1,IF(Sales_Daily!$T60="","",Sales_Daily!$T60),"")</f>
        <v/>
      </c>
      <c r="AA724" s="32">
        <f>IF($A724=1,IF(Sales_Daily!$U60="","",Sales_Daily!$U60),"")</f>
        <v/>
      </c>
      <c r="AB724" s="32">
        <f>IF($A724=1,IF(Sales_Daily!$V60="","",Sales_Daily!$V60),"")</f>
        <v/>
      </c>
      <c r="AC724" s="32">
        <f>IF($A724=1,IF(Sales_Daily!$W60="","",Sales_Daily!$W60),"")</f>
        <v/>
      </c>
      <c r="AD724" s="32">
        <f>IF($A724=1,IF(Sales_Daily!$X60="","",Sales_Daily!$X60),"")</f>
        <v/>
      </c>
      <c r="AE724" s="32">
        <f>IF($A724=1,0,"")</f>
        <v/>
      </c>
      <c r="AF724" s="32" t="inlineStr"/>
    </row>
    <row r="725">
      <c r="A725" s="32">
        <f>IF(AND(Sales_Daily!$AV60=1,N(Sales_Daily!$Q60)&gt;0),1,0)</f>
        <v/>
      </c>
      <c r="B725" s="32">
        <f>IF($A725=1,$E725&amp;"/6","")</f>
        <v/>
      </c>
      <c r="C725" s="32">
        <f>IF($A725=1,"J-"&amp;Sales_Daily!$A60,"")</f>
        <v/>
      </c>
      <c r="D725" s="33">
        <f>IF($A725=1,Sales_Daily!$B60,"")</f>
        <v/>
      </c>
      <c r="E725" s="32">
        <f>IF($A725=1,IF(Sales_Daily!$A60="","",Sales_Daily!$A60),"")</f>
        <v/>
      </c>
      <c r="F725" s="32">
        <f>IF($A725=1,"SAL","")</f>
        <v/>
      </c>
      <c r="G725" s="32">
        <f>IF($A725=1,IF(Sales_Daily!$AP60="","",Sales_Daily!$AP60),"")</f>
        <v/>
      </c>
      <c r="H725" s="32">
        <f>IF($A725=1,IF(COUNTIF(COA!$A:$A,$G725)=0,"حساب غير معرف",INDEX(COA!$B:$B,MATCH($G725,COA!$A:$A,0))),"")</f>
        <v/>
      </c>
      <c r="I725" s="32">
        <f>IF($A725=1,IF(Sales_Daily!$C60="","",Sales_Daily!$C60),"")</f>
        <v/>
      </c>
      <c r="J725" s="32">
        <f>IF($A725=1,"CC10","")</f>
        <v/>
      </c>
      <c r="K725" s="32">
        <f>IF($A725=1,"-","")</f>
        <v/>
      </c>
      <c r="L725" s="32">
        <f>IF($A725=1,"مبيعات - تحصيل OTH","")</f>
        <v/>
      </c>
      <c r="M725" s="43">
        <f>IF($A725=1,Sales_Daily!$Q60,"")</f>
        <v/>
      </c>
      <c r="N725" s="43">
        <f>IF($A725=1,0,"")</f>
        <v/>
      </c>
      <c r="O725" s="32">
        <f>IF($A725=1,Sales_Daily!$S60,"")</f>
        <v/>
      </c>
      <c r="P725" s="32">
        <f>IF($A725=1,IF(Sales_Daily!$AW60="","",Sales_Daily!$AW60),"")</f>
        <v/>
      </c>
      <c r="Q725" s="32">
        <f>IF($A725=1,Sales_Daily!$AY60,"")</f>
        <v/>
      </c>
      <c r="R725" s="32">
        <f>IF($A725=1,IF(AND($Q725=1,COUNTIFS(COA!$A:$A,$G725,COA!$R:$R,1)=1),1,0),"")</f>
        <v/>
      </c>
      <c r="S725" s="43">
        <f>IF($A725=1,IF($R725=1,N($M725),0),"")</f>
        <v/>
      </c>
      <c r="T725" s="43">
        <f>IF($A725=1,IF($R725=1,N($N725),0),"")</f>
        <v/>
      </c>
      <c r="U725" s="32">
        <f>IF($A725=1,YEAR($D725)*100+MONTH($D725),"")</f>
        <v/>
      </c>
      <c r="V725" s="32">
        <f>IF($A725=1,IF(COUNTIF(COA!$A:$A,$G725)=0,0,INDEX(COA!$H:$H,MATCH($G725,COA!$A:$A,0))),"")</f>
        <v/>
      </c>
      <c r="W725" s="32">
        <f>IF($A725=1,"OPERATING","")</f>
        <v/>
      </c>
      <c r="X725" s="32">
        <f>IF($A725=1,IF($R725=1,"",IF($O725=ST_POST,IF($P725&lt;&gt;"",$P725,"حساب غير صالح أو غير نشط"),IF($O725=ST_REV,"معكوس: لا أثر على الدفاتر",IF($O725=ST_CANC,"ملغى",IF($O725=ST_APPR,"معتمد ولم يُرحَّل","مسودة"))))),"")</f>
        <v/>
      </c>
      <c r="Y725" s="32">
        <f>IF($A725=1,IF(AND($R725=1,OR(LG_Acct="",$G725=LG_Acct),OR(LG_Party="",$K725=LG_Party),OR(LG_Loc="ALL",$I725=LG_Loc),OR(LG_CC="ALL",$J725=LG_CC),$D725&gt;=LG_From,$D725&lt;=LG_To),$D725+ROW()/1000000,""),"")</f>
        <v/>
      </c>
      <c r="Z725" s="32">
        <f>IF($A725=1,IF(Sales_Daily!$T60="","",Sales_Daily!$T60),"")</f>
        <v/>
      </c>
      <c r="AA725" s="32">
        <f>IF($A725=1,IF(Sales_Daily!$U60="","",Sales_Daily!$U60),"")</f>
        <v/>
      </c>
      <c r="AB725" s="32">
        <f>IF($A725=1,IF(Sales_Daily!$V60="","",Sales_Daily!$V60),"")</f>
        <v/>
      </c>
      <c r="AC725" s="32">
        <f>IF($A725=1,IF(Sales_Daily!$W60="","",Sales_Daily!$W60),"")</f>
        <v/>
      </c>
      <c r="AD725" s="32">
        <f>IF($A725=1,IF(Sales_Daily!$X60="","",Sales_Daily!$X60),"")</f>
        <v/>
      </c>
      <c r="AE725" s="32">
        <f>IF($A725=1,0,"")</f>
        <v/>
      </c>
      <c r="AF725" s="32" t="inlineStr"/>
    </row>
    <row r="726">
      <c r="A726" s="32">
        <f>IF(AND(Sales_Daily!$AV60=1,N(Sales_Daily!$AH60)&gt;0),1,0)</f>
        <v/>
      </c>
      <c r="B726" s="32">
        <f>IF($A726=1,$E726&amp;"/7","")</f>
        <v/>
      </c>
      <c r="C726" s="32">
        <f>IF($A726=1,"J-"&amp;Sales_Daily!$A60,"")</f>
        <v/>
      </c>
      <c r="D726" s="33">
        <f>IF($A726=1,Sales_Daily!$B60,"")</f>
        <v/>
      </c>
      <c r="E726" s="32">
        <f>IF($A726=1,IF(Sales_Daily!$A60="","",Sales_Daily!$A60),"")</f>
        <v/>
      </c>
      <c r="F726" s="32">
        <f>IF($A726=1,"SAL","")</f>
        <v/>
      </c>
      <c r="G726" s="32">
        <f>IF($A726=1,ACC_DISC,"")</f>
        <v/>
      </c>
      <c r="H726" s="32">
        <f>IF($A726=1,IF(COUNTIF(COA!$A:$A,$G726)=0,"حساب غير معرف",INDEX(COA!$B:$B,MATCH($G726,COA!$A:$A,0))),"")</f>
        <v/>
      </c>
      <c r="I726" s="32">
        <f>IF($A726=1,IF(Sales_Daily!$C60="","",Sales_Daily!$C60),"")</f>
        <v/>
      </c>
      <c r="J726" s="32">
        <f>IF($A726=1,"CC10","")</f>
        <v/>
      </c>
      <c r="K726" s="32">
        <f>IF($A726=1,"-","")</f>
        <v/>
      </c>
      <c r="L726" s="32">
        <f>IF($A726=1,"خصومات المبيعات والعروض","")</f>
        <v/>
      </c>
      <c r="M726" s="43">
        <f>IF($A726=1,Sales_Daily!$AH60,"")</f>
        <v/>
      </c>
      <c r="N726" s="43">
        <f>IF($A726=1,0,"")</f>
        <v/>
      </c>
      <c r="O726" s="32">
        <f>IF($A726=1,Sales_Daily!$S60,"")</f>
        <v/>
      </c>
      <c r="P726" s="32">
        <f>IF($A726=1,IF(Sales_Daily!$AW60="","",Sales_Daily!$AW60),"")</f>
        <v/>
      </c>
      <c r="Q726" s="32">
        <f>IF($A726=1,Sales_Daily!$AY60,"")</f>
        <v/>
      </c>
      <c r="R726" s="32">
        <f>IF($A726=1,IF(AND($Q726=1,COUNTIFS(COA!$A:$A,$G726,COA!$R:$R,1)=1),1,0),"")</f>
        <v/>
      </c>
      <c r="S726" s="43">
        <f>IF($A726=1,IF($R726=1,N($M726),0),"")</f>
        <v/>
      </c>
      <c r="T726" s="43">
        <f>IF($A726=1,IF($R726=1,N($N726),0),"")</f>
        <v/>
      </c>
      <c r="U726" s="32">
        <f>IF($A726=1,YEAR($D726)*100+MONTH($D726),"")</f>
        <v/>
      </c>
      <c r="V726" s="32">
        <f>IF($A726=1,IF(COUNTIF(COA!$A:$A,$G726)=0,0,INDEX(COA!$H:$H,MATCH($G726,COA!$A:$A,0))),"")</f>
        <v/>
      </c>
      <c r="W726" s="32">
        <f>IF($A726=1,"","")</f>
        <v/>
      </c>
      <c r="X726" s="32">
        <f>IF($A726=1,IF($R726=1,"",IF($O726=ST_POST,IF($P726&lt;&gt;"",$P726,"حساب غير صالح أو غير نشط"),IF($O726=ST_REV,"معكوس: لا أثر على الدفاتر",IF($O726=ST_CANC,"ملغى",IF($O726=ST_APPR,"معتمد ولم يُرحَّل","مسودة"))))),"")</f>
        <v/>
      </c>
      <c r="Y726" s="32">
        <f>IF($A726=1,IF(AND($R726=1,OR(LG_Acct="",$G726=LG_Acct),OR(LG_Party="",$K726=LG_Party),OR(LG_Loc="ALL",$I726=LG_Loc),OR(LG_CC="ALL",$J726=LG_CC),$D726&gt;=LG_From,$D726&lt;=LG_To),$D726+ROW()/1000000,""),"")</f>
        <v/>
      </c>
      <c r="Z726" s="32">
        <f>IF($A726=1,IF(Sales_Daily!$T60="","",Sales_Daily!$T60),"")</f>
        <v/>
      </c>
      <c r="AA726" s="32">
        <f>IF($A726=1,IF(Sales_Daily!$U60="","",Sales_Daily!$U60),"")</f>
        <v/>
      </c>
      <c r="AB726" s="32">
        <f>IF($A726=1,IF(Sales_Daily!$V60="","",Sales_Daily!$V60),"")</f>
        <v/>
      </c>
      <c r="AC726" s="32">
        <f>IF($A726=1,IF(Sales_Daily!$W60="","",Sales_Daily!$W60),"")</f>
        <v/>
      </c>
      <c r="AD726" s="32">
        <f>IF($A726=1,IF(Sales_Daily!$X60="","",Sales_Daily!$X60),"")</f>
        <v/>
      </c>
      <c r="AE726" s="32">
        <f>IF($A726=1,0,"")</f>
        <v/>
      </c>
      <c r="AF726" s="32" t="inlineStr"/>
    </row>
    <row r="727">
      <c r="A727" s="32">
        <f>IF(AND(Sales_Daily!$AV60=1,N(Sales_Daily!$AI60)&gt;0),1,0)</f>
        <v/>
      </c>
      <c r="B727" s="32">
        <f>IF($A727=1,$E727&amp;"/8","")</f>
        <v/>
      </c>
      <c r="C727" s="32">
        <f>IF($A727=1,"J-"&amp;Sales_Daily!$A60,"")</f>
        <v/>
      </c>
      <c r="D727" s="33">
        <f>IF($A727=1,Sales_Daily!$B60,"")</f>
        <v/>
      </c>
      <c r="E727" s="32">
        <f>IF($A727=1,IF(Sales_Daily!$A60="","",Sales_Daily!$A60),"")</f>
        <v/>
      </c>
      <c r="F727" s="32">
        <f>IF($A727=1,"SAL","")</f>
        <v/>
      </c>
      <c r="G727" s="32">
        <f>IF($A727=1,ACC_RET,"")</f>
        <v/>
      </c>
      <c r="H727" s="32">
        <f>IF($A727=1,IF(COUNTIF(COA!$A:$A,$G727)=0,"حساب غير معرف",INDEX(COA!$B:$B,MATCH($G727,COA!$A:$A,0))),"")</f>
        <v/>
      </c>
      <c r="I727" s="32">
        <f>IF($A727=1,IF(Sales_Daily!$C60="","",Sales_Daily!$C60),"")</f>
        <v/>
      </c>
      <c r="J727" s="32">
        <f>IF($A727=1,"CC10","")</f>
        <v/>
      </c>
      <c r="K727" s="32">
        <f>IF($A727=1,"-","")</f>
        <v/>
      </c>
      <c r="L727" s="32">
        <f>IF($A727=1,"مرتجعات وإلغاءات المبيعات","")</f>
        <v/>
      </c>
      <c r="M727" s="43">
        <f>IF($A727=1,Sales_Daily!$AI60,"")</f>
        <v/>
      </c>
      <c r="N727" s="43">
        <f>IF($A727=1,0,"")</f>
        <v/>
      </c>
      <c r="O727" s="32">
        <f>IF($A727=1,Sales_Daily!$S60,"")</f>
        <v/>
      </c>
      <c r="P727" s="32">
        <f>IF($A727=1,IF(Sales_Daily!$AW60="","",Sales_Daily!$AW60),"")</f>
        <v/>
      </c>
      <c r="Q727" s="32">
        <f>IF($A727=1,Sales_Daily!$AY60,"")</f>
        <v/>
      </c>
      <c r="R727" s="32">
        <f>IF($A727=1,IF(AND($Q727=1,COUNTIFS(COA!$A:$A,$G727,COA!$R:$R,1)=1),1,0),"")</f>
        <v/>
      </c>
      <c r="S727" s="43">
        <f>IF($A727=1,IF($R727=1,N($M727),0),"")</f>
        <v/>
      </c>
      <c r="T727" s="43">
        <f>IF($A727=1,IF($R727=1,N($N727),0),"")</f>
        <v/>
      </c>
      <c r="U727" s="32">
        <f>IF($A727=1,YEAR($D727)*100+MONTH($D727),"")</f>
        <v/>
      </c>
      <c r="V727" s="32">
        <f>IF($A727=1,IF(COUNTIF(COA!$A:$A,$G727)=0,0,INDEX(COA!$H:$H,MATCH($G727,COA!$A:$A,0))),"")</f>
        <v/>
      </c>
      <c r="W727" s="32">
        <f>IF($A727=1,"","")</f>
        <v/>
      </c>
      <c r="X727" s="32">
        <f>IF($A727=1,IF($R727=1,"",IF($O727=ST_POST,IF($P727&lt;&gt;"",$P727,"حساب غير صالح أو غير نشط"),IF($O727=ST_REV,"معكوس: لا أثر على الدفاتر",IF($O727=ST_CANC,"ملغى",IF($O727=ST_APPR,"معتمد ولم يُرحَّل","مسودة"))))),"")</f>
        <v/>
      </c>
      <c r="Y727" s="32">
        <f>IF($A727=1,IF(AND($R727=1,OR(LG_Acct="",$G727=LG_Acct),OR(LG_Party="",$K727=LG_Party),OR(LG_Loc="ALL",$I727=LG_Loc),OR(LG_CC="ALL",$J727=LG_CC),$D727&gt;=LG_From,$D727&lt;=LG_To),$D727+ROW()/1000000,""),"")</f>
        <v/>
      </c>
      <c r="Z727" s="32">
        <f>IF($A727=1,IF(Sales_Daily!$T60="","",Sales_Daily!$T60),"")</f>
        <v/>
      </c>
      <c r="AA727" s="32">
        <f>IF($A727=1,IF(Sales_Daily!$U60="","",Sales_Daily!$U60),"")</f>
        <v/>
      </c>
      <c r="AB727" s="32">
        <f>IF($A727=1,IF(Sales_Daily!$V60="","",Sales_Daily!$V60),"")</f>
        <v/>
      </c>
      <c r="AC727" s="32">
        <f>IF($A727=1,IF(Sales_Daily!$W60="","",Sales_Daily!$W60),"")</f>
        <v/>
      </c>
      <c r="AD727" s="32">
        <f>IF($A727=1,IF(Sales_Daily!$X60="","",Sales_Daily!$X60),"")</f>
        <v/>
      </c>
      <c r="AE727" s="32">
        <f>IF($A727=1,0,"")</f>
        <v/>
      </c>
      <c r="AF727" s="32" t="inlineStr"/>
    </row>
    <row r="728">
      <c r="A728" s="32">
        <f>IF(AND(Sales_Daily!$AV60=1,N(Sales_Daily!$AD60)&gt;0),1,0)</f>
        <v/>
      </c>
      <c r="B728" s="32">
        <f>IF($A728=1,$E728&amp;"/9","")</f>
        <v/>
      </c>
      <c r="C728" s="32">
        <f>IF($A728=1,"J-"&amp;Sales_Daily!$A60,"")</f>
        <v/>
      </c>
      <c r="D728" s="33">
        <f>IF($A728=1,Sales_Daily!$B60,"")</f>
        <v/>
      </c>
      <c r="E728" s="32">
        <f>IF($A728=1,IF(Sales_Daily!$A60="","",Sales_Daily!$A60),"")</f>
        <v/>
      </c>
      <c r="F728" s="32">
        <f>IF($A728=1,"SAL","")</f>
        <v/>
      </c>
      <c r="G728" s="32">
        <f>IF($A728=1,IF(Sales_Daily!$AQ60="","",Sales_Daily!$AQ60),"")</f>
        <v/>
      </c>
      <c r="H728" s="32">
        <f>IF($A728=1,IF(COUNTIF(COA!$A:$A,$G728)=0,"حساب غير معرف",INDEX(COA!$B:$B,MATCH($G728,COA!$A:$A,0))),"")</f>
        <v/>
      </c>
      <c r="I728" s="32">
        <f>IF($A728=1,IF(Sales_Daily!$C60="","",Sales_Daily!$C60),"")</f>
        <v/>
      </c>
      <c r="J728" s="32">
        <f>IF($A728=1,"CC10","")</f>
        <v/>
      </c>
      <c r="K728" s="32">
        <f>IF($A728=1,"-","")</f>
        <v/>
      </c>
      <c r="L728" s="32">
        <f>IF($A728=1,"إيراد مبيعات - فئة فطير","")</f>
        <v/>
      </c>
      <c r="M728" s="43">
        <f>IF($A728=1,0,"")</f>
        <v/>
      </c>
      <c r="N728" s="43">
        <f>IF($A728=1,Sales_Daily!$AD60,"")</f>
        <v/>
      </c>
      <c r="O728" s="32">
        <f>IF($A728=1,Sales_Daily!$S60,"")</f>
        <v/>
      </c>
      <c r="P728" s="32">
        <f>IF($A728=1,IF(Sales_Daily!$AW60="","",Sales_Daily!$AW60),"")</f>
        <v/>
      </c>
      <c r="Q728" s="32">
        <f>IF($A728=1,Sales_Daily!$AY60,"")</f>
        <v/>
      </c>
      <c r="R728" s="32">
        <f>IF($A728=1,IF(AND($Q728=1,COUNTIFS(COA!$A:$A,$G728,COA!$R:$R,1)=1),1,0),"")</f>
        <v/>
      </c>
      <c r="S728" s="43">
        <f>IF($A728=1,IF($R728=1,N($M728),0),"")</f>
        <v/>
      </c>
      <c r="T728" s="43">
        <f>IF($A728=1,IF($R728=1,N($N728),0),"")</f>
        <v/>
      </c>
      <c r="U728" s="32">
        <f>IF($A728=1,YEAR($D728)*100+MONTH($D728),"")</f>
        <v/>
      </c>
      <c r="V728" s="32">
        <f>IF($A728=1,IF(COUNTIF(COA!$A:$A,$G728)=0,0,INDEX(COA!$H:$H,MATCH($G728,COA!$A:$A,0))),"")</f>
        <v/>
      </c>
      <c r="W728" s="32">
        <f>IF($A728=1,"","")</f>
        <v/>
      </c>
      <c r="X728" s="32">
        <f>IF($A728=1,IF($R728=1,"",IF($O728=ST_POST,IF($P728&lt;&gt;"",$P728,"حساب غير صالح أو غير نشط"),IF($O728=ST_REV,"معكوس: لا أثر على الدفاتر",IF($O728=ST_CANC,"ملغى",IF($O728=ST_APPR,"معتمد ولم يُرحَّل","مسودة"))))),"")</f>
        <v/>
      </c>
      <c r="Y728" s="32">
        <f>IF($A728=1,IF(AND($R728=1,OR(LG_Acct="",$G728=LG_Acct),OR(LG_Party="",$K728=LG_Party),OR(LG_Loc="ALL",$I728=LG_Loc),OR(LG_CC="ALL",$J728=LG_CC),$D728&gt;=LG_From,$D728&lt;=LG_To),$D728+ROW()/1000000,""),"")</f>
        <v/>
      </c>
      <c r="Z728" s="32">
        <f>IF($A728=1,IF(Sales_Daily!$T60="","",Sales_Daily!$T60),"")</f>
        <v/>
      </c>
      <c r="AA728" s="32">
        <f>IF($A728=1,IF(Sales_Daily!$U60="","",Sales_Daily!$U60),"")</f>
        <v/>
      </c>
      <c r="AB728" s="32">
        <f>IF($A728=1,IF(Sales_Daily!$V60="","",Sales_Daily!$V60),"")</f>
        <v/>
      </c>
      <c r="AC728" s="32">
        <f>IF($A728=1,IF(Sales_Daily!$W60="","",Sales_Daily!$W60),"")</f>
        <v/>
      </c>
      <c r="AD728" s="32">
        <f>IF($A728=1,IF(Sales_Daily!$X60="","",Sales_Daily!$X60),"")</f>
        <v/>
      </c>
      <c r="AE728" s="32">
        <f>IF($A728=1,0,"")</f>
        <v/>
      </c>
      <c r="AF728" s="32" t="inlineStr"/>
    </row>
    <row r="729">
      <c r="A729" s="32">
        <f>IF(AND(Sales_Daily!$AV60=1,N(Sales_Daily!$AE60)&gt;0),1,0)</f>
        <v/>
      </c>
      <c r="B729" s="32">
        <f>IF($A729=1,$E729&amp;"/10","")</f>
        <v/>
      </c>
      <c r="C729" s="32">
        <f>IF($A729=1,"J-"&amp;Sales_Daily!$A60,"")</f>
        <v/>
      </c>
      <c r="D729" s="33">
        <f>IF($A729=1,Sales_Daily!$B60,"")</f>
        <v/>
      </c>
      <c r="E729" s="32">
        <f>IF($A729=1,IF(Sales_Daily!$A60="","",Sales_Daily!$A60),"")</f>
        <v/>
      </c>
      <c r="F729" s="32">
        <f>IF($A729=1,"SAL","")</f>
        <v/>
      </c>
      <c r="G729" s="32">
        <f>IF($A729=1,IF(Sales_Daily!$AR60="","",Sales_Daily!$AR60),"")</f>
        <v/>
      </c>
      <c r="H729" s="32">
        <f>IF($A729=1,IF(COUNTIF(COA!$A:$A,$G729)=0,"حساب غير معرف",INDEX(COA!$B:$B,MATCH($G729,COA!$A:$A,0))),"")</f>
        <v/>
      </c>
      <c r="I729" s="32">
        <f>IF($A729=1,IF(Sales_Daily!$C60="","",Sales_Daily!$C60),"")</f>
        <v/>
      </c>
      <c r="J729" s="32">
        <f>IF($A729=1,"CC10","")</f>
        <v/>
      </c>
      <c r="K729" s="32">
        <f>IF($A729=1,"-","")</f>
        <v/>
      </c>
      <c r="L729" s="32">
        <f>IF($A729=1,"إيراد مبيعات - فئة بيتزا","")</f>
        <v/>
      </c>
      <c r="M729" s="43">
        <f>IF($A729=1,0,"")</f>
        <v/>
      </c>
      <c r="N729" s="43">
        <f>IF($A729=1,Sales_Daily!$AE60,"")</f>
        <v/>
      </c>
      <c r="O729" s="32">
        <f>IF($A729=1,Sales_Daily!$S60,"")</f>
        <v/>
      </c>
      <c r="P729" s="32">
        <f>IF($A729=1,IF(Sales_Daily!$AW60="","",Sales_Daily!$AW60),"")</f>
        <v/>
      </c>
      <c r="Q729" s="32">
        <f>IF($A729=1,Sales_Daily!$AY60,"")</f>
        <v/>
      </c>
      <c r="R729" s="32">
        <f>IF($A729=1,IF(AND($Q729=1,COUNTIFS(COA!$A:$A,$G729,COA!$R:$R,1)=1),1,0),"")</f>
        <v/>
      </c>
      <c r="S729" s="43">
        <f>IF($A729=1,IF($R729=1,N($M729),0),"")</f>
        <v/>
      </c>
      <c r="T729" s="43">
        <f>IF($A729=1,IF($R729=1,N($N729),0),"")</f>
        <v/>
      </c>
      <c r="U729" s="32">
        <f>IF($A729=1,YEAR($D729)*100+MONTH($D729),"")</f>
        <v/>
      </c>
      <c r="V729" s="32">
        <f>IF($A729=1,IF(COUNTIF(COA!$A:$A,$G729)=0,0,INDEX(COA!$H:$H,MATCH($G729,COA!$A:$A,0))),"")</f>
        <v/>
      </c>
      <c r="W729" s="32">
        <f>IF($A729=1,"","")</f>
        <v/>
      </c>
      <c r="X729" s="32">
        <f>IF($A729=1,IF($R729=1,"",IF($O729=ST_POST,IF($P729&lt;&gt;"",$P729,"حساب غير صالح أو غير نشط"),IF($O729=ST_REV,"معكوس: لا أثر على الدفاتر",IF($O729=ST_CANC,"ملغى",IF($O729=ST_APPR,"معتمد ولم يُرحَّل","مسودة"))))),"")</f>
        <v/>
      </c>
      <c r="Y729" s="32">
        <f>IF($A729=1,IF(AND($R729=1,OR(LG_Acct="",$G729=LG_Acct),OR(LG_Party="",$K729=LG_Party),OR(LG_Loc="ALL",$I729=LG_Loc),OR(LG_CC="ALL",$J729=LG_CC),$D729&gt;=LG_From,$D729&lt;=LG_To),$D729+ROW()/1000000,""),"")</f>
        <v/>
      </c>
      <c r="Z729" s="32">
        <f>IF($A729=1,IF(Sales_Daily!$T60="","",Sales_Daily!$T60),"")</f>
        <v/>
      </c>
      <c r="AA729" s="32">
        <f>IF($A729=1,IF(Sales_Daily!$U60="","",Sales_Daily!$U60),"")</f>
        <v/>
      </c>
      <c r="AB729" s="32">
        <f>IF($A729=1,IF(Sales_Daily!$V60="","",Sales_Daily!$V60),"")</f>
        <v/>
      </c>
      <c r="AC729" s="32">
        <f>IF($A729=1,IF(Sales_Daily!$W60="","",Sales_Daily!$W60),"")</f>
        <v/>
      </c>
      <c r="AD729" s="32">
        <f>IF($A729=1,IF(Sales_Daily!$X60="","",Sales_Daily!$X60),"")</f>
        <v/>
      </c>
      <c r="AE729" s="32">
        <f>IF($A729=1,0,"")</f>
        <v/>
      </c>
      <c r="AF729" s="32" t="inlineStr"/>
    </row>
    <row r="730">
      <c r="A730" s="32">
        <f>IF(AND(Sales_Daily!$AV60=1,N(Sales_Daily!$AF60)&gt;0),1,0)</f>
        <v/>
      </c>
      <c r="B730" s="32">
        <f>IF($A730=1,$E730&amp;"/11","")</f>
        <v/>
      </c>
      <c r="C730" s="32">
        <f>IF($A730=1,"J-"&amp;Sales_Daily!$A60,"")</f>
        <v/>
      </c>
      <c r="D730" s="33">
        <f>IF($A730=1,Sales_Daily!$B60,"")</f>
        <v/>
      </c>
      <c r="E730" s="32">
        <f>IF($A730=1,IF(Sales_Daily!$A60="","",Sales_Daily!$A60),"")</f>
        <v/>
      </c>
      <c r="F730" s="32">
        <f>IF($A730=1,"SAL","")</f>
        <v/>
      </c>
      <c r="G730" s="32">
        <f>IF($A730=1,IF(Sales_Daily!$AS60="","",Sales_Daily!$AS60),"")</f>
        <v/>
      </c>
      <c r="H730" s="32">
        <f>IF($A730=1,IF(COUNTIF(COA!$A:$A,$G730)=0,"حساب غير معرف",INDEX(COA!$B:$B,MATCH($G730,COA!$A:$A,0))),"")</f>
        <v/>
      </c>
      <c r="I730" s="32">
        <f>IF($A730=1,IF(Sales_Daily!$C60="","",Sales_Daily!$C60),"")</f>
        <v/>
      </c>
      <c r="J730" s="32">
        <f>IF($A730=1,"CC10","")</f>
        <v/>
      </c>
      <c r="K730" s="32">
        <f>IF($A730=1,"-","")</f>
        <v/>
      </c>
      <c r="L730" s="32">
        <f>IF($A730=1,"إيراد مبيعات - فئة مكرونات","")</f>
        <v/>
      </c>
      <c r="M730" s="43">
        <f>IF($A730=1,0,"")</f>
        <v/>
      </c>
      <c r="N730" s="43">
        <f>IF($A730=1,Sales_Daily!$AF60,"")</f>
        <v/>
      </c>
      <c r="O730" s="32">
        <f>IF($A730=1,Sales_Daily!$S60,"")</f>
        <v/>
      </c>
      <c r="P730" s="32">
        <f>IF($A730=1,IF(Sales_Daily!$AW60="","",Sales_Daily!$AW60),"")</f>
        <v/>
      </c>
      <c r="Q730" s="32">
        <f>IF($A730=1,Sales_Daily!$AY60,"")</f>
        <v/>
      </c>
      <c r="R730" s="32">
        <f>IF($A730=1,IF(AND($Q730=1,COUNTIFS(COA!$A:$A,$G730,COA!$R:$R,1)=1),1,0),"")</f>
        <v/>
      </c>
      <c r="S730" s="43">
        <f>IF($A730=1,IF($R730=1,N($M730),0),"")</f>
        <v/>
      </c>
      <c r="T730" s="43">
        <f>IF($A730=1,IF($R730=1,N($N730),0),"")</f>
        <v/>
      </c>
      <c r="U730" s="32">
        <f>IF($A730=1,YEAR($D730)*100+MONTH($D730),"")</f>
        <v/>
      </c>
      <c r="V730" s="32">
        <f>IF($A730=1,IF(COUNTIF(COA!$A:$A,$G730)=0,0,INDEX(COA!$H:$H,MATCH($G730,COA!$A:$A,0))),"")</f>
        <v/>
      </c>
      <c r="W730" s="32">
        <f>IF($A730=1,"","")</f>
        <v/>
      </c>
      <c r="X730" s="32">
        <f>IF($A730=1,IF($R730=1,"",IF($O730=ST_POST,IF($P730&lt;&gt;"",$P730,"حساب غير صالح أو غير نشط"),IF($O730=ST_REV,"معكوس: لا أثر على الدفاتر",IF($O730=ST_CANC,"ملغى",IF($O730=ST_APPR,"معتمد ولم يُرحَّل","مسودة"))))),"")</f>
        <v/>
      </c>
      <c r="Y730" s="32">
        <f>IF($A730=1,IF(AND($R730=1,OR(LG_Acct="",$G730=LG_Acct),OR(LG_Party="",$K730=LG_Party),OR(LG_Loc="ALL",$I730=LG_Loc),OR(LG_CC="ALL",$J730=LG_CC),$D730&gt;=LG_From,$D730&lt;=LG_To),$D730+ROW()/1000000,""),"")</f>
        <v/>
      </c>
      <c r="Z730" s="32">
        <f>IF($A730=1,IF(Sales_Daily!$T60="","",Sales_Daily!$T60),"")</f>
        <v/>
      </c>
      <c r="AA730" s="32">
        <f>IF($A730=1,IF(Sales_Daily!$U60="","",Sales_Daily!$U60),"")</f>
        <v/>
      </c>
      <c r="AB730" s="32">
        <f>IF($A730=1,IF(Sales_Daily!$V60="","",Sales_Daily!$V60),"")</f>
        <v/>
      </c>
      <c r="AC730" s="32">
        <f>IF($A730=1,IF(Sales_Daily!$W60="","",Sales_Daily!$W60),"")</f>
        <v/>
      </c>
      <c r="AD730" s="32">
        <f>IF($A730=1,IF(Sales_Daily!$X60="","",Sales_Daily!$X60),"")</f>
        <v/>
      </c>
      <c r="AE730" s="32">
        <f>IF($A730=1,0,"")</f>
        <v/>
      </c>
      <c r="AF730" s="32" t="inlineStr"/>
    </row>
    <row r="731">
      <c r="A731" s="32">
        <f>IF(AND(Sales_Daily!$AV60=1,N(Sales_Daily!$AG60)&gt;0),1,0)</f>
        <v/>
      </c>
      <c r="B731" s="32">
        <f>IF($A731=1,$E731&amp;"/12","")</f>
        <v/>
      </c>
      <c r="C731" s="32">
        <f>IF($A731=1,"J-"&amp;Sales_Daily!$A60,"")</f>
        <v/>
      </c>
      <c r="D731" s="33">
        <f>IF($A731=1,Sales_Daily!$B60,"")</f>
        <v/>
      </c>
      <c r="E731" s="32">
        <f>IF($A731=1,IF(Sales_Daily!$A60="","",Sales_Daily!$A60),"")</f>
        <v/>
      </c>
      <c r="F731" s="32">
        <f>IF($A731=1,"SAL","")</f>
        <v/>
      </c>
      <c r="G731" s="32">
        <f>IF($A731=1,IF(Sales_Daily!$AT60="","",Sales_Daily!$AT60),"")</f>
        <v/>
      </c>
      <c r="H731" s="32">
        <f>IF($A731=1,IF(COUNTIF(COA!$A:$A,$G731)=0,"حساب غير معرف",INDEX(COA!$B:$B,MATCH($G731,COA!$A:$A,0))),"")</f>
        <v/>
      </c>
      <c r="I731" s="32">
        <f>IF($A731=1,IF(Sales_Daily!$C60="","",Sales_Daily!$C60),"")</f>
        <v/>
      </c>
      <c r="J731" s="32">
        <f>IF($A731=1,"CC10","")</f>
        <v/>
      </c>
      <c r="K731" s="32">
        <f>IF($A731=1,"-","")</f>
        <v/>
      </c>
      <c r="L731" s="32">
        <f>IF($A731=1,"إيراد مبيعات - فئة أخرى","")</f>
        <v/>
      </c>
      <c r="M731" s="43">
        <f>IF($A731=1,0,"")</f>
        <v/>
      </c>
      <c r="N731" s="43">
        <f>IF($A731=1,Sales_Daily!$AG60,"")</f>
        <v/>
      </c>
      <c r="O731" s="32">
        <f>IF($A731=1,Sales_Daily!$S60,"")</f>
        <v/>
      </c>
      <c r="P731" s="32">
        <f>IF($A731=1,IF(Sales_Daily!$AW60="","",Sales_Daily!$AW60),"")</f>
        <v/>
      </c>
      <c r="Q731" s="32">
        <f>IF($A731=1,Sales_Daily!$AY60,"")</f>
        <v/>
      </c>
      <c r="R731" s="32">
        <f>IF($A731=1,IF(AND($Q731=1,COUNTIFS(COA!$A:$A,$G731,COA!$R:$R,1)=1),1,0),"")</f>
        <v/>
      </c>
      <c r="S731" s="43">
        <f>IF($A731=1,IF($R731=1,N($M731),0),"")</f>
        <v/>
      </c>
      <c r="T731" s="43">
        <f>IF($A731=1,IF($R731=1,N($N731),0),"")</f>
        <v/>
      </c>
      <c r="U731" s="32">
        <f>IF($A731=1,YEAR($D731)*100+MONTH($D731),"")</f>
        <v/>
      </c>
      <c r="V731" s="32">
        <f>IF($A731=1,IF(COUNTIF(COA!$A:$A,$G731)=0,0,INDEX(COA!$H:$H,MATCH($G731,COA!$A:$A,0))),"")</f>
        <v/>
      </c>
      <c r="W731" s="32">
        <f>IF($A731=1,"","")</f>
        <v/>
      </c>
      <c r="X731" s="32">
        <f>IF($A731=1,IF($R731=1,"",IF($O731=ST_POST,IF($P731&lt;&gt;"",$P731,"حساب غير صالح أو غير نشط"),IF($O731=ST_REV,"معكوس: لا أثر على الدفاتر",IF($O731=ST_CANC,"ملغى",IF($O731=ST_APPR,"معتمد ولم يُرحَّل","مسودة"))))),"")</f>
        <v/>
      </c>
      <c r="Y731" s="32">
        <f>IF($A731=1,IF(AND($R731=1,OR(LG_Acct="",$G731=LG_Acct),OR(LG_Party="",$K731=LG_Party),OR(LG_Loc="ALL",$I731=LG_Loc),OR(LG_CC="ALL",$J731=LG_CC),$D731&gt;=LG_From,$D731&lt;=LG_To),$D731+ROW()/1000000,""),"")</f>
        <v/>
      </c>
      <c r="Z731" s="32">
        <f>IF($A731=1,IF(Sales_Daily!$T60="","",Sales_Daily!$T60),"")</f>
        <v/>
      </c>
      <c r="AA731" s="32">
        <f>IF($A731=1,IF(Sales_Daily!$U60="","",Sales_Daily!$U60),"")</f>
        <v/>
      </c>
      <c r="AB731" s="32">
        <f>IF($A731=1,IF(Sales_Daily!$V60="","",Sales_Daily!$V60),"")</f>
        <v/>
      </c>
      <c r="AC731" s="32">
        <f>IF($A731=1,IF(Sales_Daily!$W60="","",Sales_Daily!$W60),"")</f>
        <v/>
      </c>
      <c r="AD731" s="32">
        <f>IF($A731=1,IF(Sales_Daily!$X60="","",Sales_Daily!$X60),"")</f>
        <v/>
      </c>
      <c r="AE731" s="32">
        <f>IF($A731=1,0,"")</f>
        <v/>
      </c>
      <c r="AF731" s="32" t="inlineStr"/>
    </row>
    <row r="732">
      <c r="A732" s="32">
        <f>IF(AND(Sales_Daily!$AV60=1,N(Sales_Daily!$AJ60)&gt;0),1,0)</f>
        <v/>
      </c>
      <c r="B732" s="32">
        <f>IF($A732=1,$E732&amp;"/13","")</f>
        <v/>
      </c>
      <c r="C732" s="32">
        <f>IF($A732=1,"J-"&amp;Sales_Daily!$A60,"")</f>
        <v/>
      </c>
      <c r="D732" s="33">
        <f>IF($A732=1,Sales_Daily!$B60,"")</f>
        <v/>
      </c>
      <c r="E732" s="32">
        <f>IF($A732=1,IF(Sales_Daily!$A60="","",Sales_Daily!$A60),"")</f>
        <v/>
      </c>
      <c r="F732" s="32">
        <f>IF($A732=1,"SAL","")</f>
        <v/>
      </c>
      <c r="G732" s="32">
        <f>IF($A732=1,ACC_VAT_OUT,"")</f>
        <v/>
      </c>
      <c r="H732" s="32">
        <f>IF($A732=1,IF(COUNTIF(COA!$A:$A,$G732)=0,"حساب غير معرف",INDEX(COA!$B:$B,MATCH($G732,COA!$A:$A,0))),"")</f>
        <v/>
      </c>
      <c r="I732" s="32">
        <f>IF($A732=1,IF(Sales_Daily!$C60="","",Sales_Daily!$C60),"")</f>
        <v/>
      </c>
      <c r="J732" s="32">
        <f>IF($A732=1,"CC10","")</f>
        <v/>
      </c>
      <c r="K732" s="32">
        <f>IF($A732=1,"-","")</f>
        <v/>
      </c>
      <c r="L732" s="32">
        <f>IF($A732=1,"ضريبة القيمة المضافة - مخرجات","")</f>
        <v/>
      </c>
      <c r="M732" s="43">
        <f>IF($A732=1,0,"")</f>
        <v/>
      </c>
      <c r="N732" s="43">
        <f>IF($A732=1,Sales_Daily!$AJ60,"")</f>
        <v/>
      </c>
      <c r="O732" s="32">
        <f>IF($A732=1,Sales_Daily!$S60,"")</f>
        <v/>
      </c>
      <c r="P732" s="32">
        <f>IF($A732=1,IF(Sales_Daily!$AW60="","",Sales_Daily!$AW60),"")</f>
        <v/>
      </c>
      <c r="Q732" s="32">
        <f>IF($A732=1,Sales_Daily!$AY60,"")</f>
        <v/>
      </c>
      <c r="R732" s="32">
        <f>IF($A732=1,IF(AND($Q732=1,COUNTIFS(COA!$A:$A,$G732,COA!$R:$R,1)=1),1,0),"")</f>
        <v/>
      </c>
      <c r="S732" s="43">
        <f>IF($A732=1,IF($R732=1,N($M732),0),"")</f>
        <v/>
      </c>
      <c r="T732" s="43">
        <f>IF($A732=1,IF($R732=1,N($N732),0),"")</f>
        <v/>
      </c>
      <c r="U732" s="32">
        <f>IF($A732=1,YEAR($D732)*100+MONTH($D732),"")</f>
        <v/>
      </c>
      <c r="V732" s="32">
        <f>IF($A732=1,IF(COUNTIF(COA!$A:$A,$G732)=0,0,INDEX(COA!$H:$H,MATCH($G732,COA!$A:$A,0))),"")</f>
        <v/>
      </c>
      <c r="W732" s="32">
        <f>IF($A732=1,"","")</f>
        <v/>
      </c>
      <c r="X732" s="32">
        <f>IF($A732=1,IF($R732=1,"",IF($O732=ST_POST,IF($P732&lt;&gt;"",$P732,"حساب غير صالح أو غير نشط"),IF($O732=ST_REV,"معكوس: لا أثر على الدفاتر",IF($O732=ST_CANC,"ملغى",IF($O732=ST_APPR,"معتمد ولم يُرحَّل","مسودة"))))),"")</f>
        <v/>
      </c>
      <c r="Y732" s="32">
        <f>IF($A732=1,IF(AND($R732=1,OR(LG_Acct="",$G732=LG_Acct),OR(LG_Party="",$K732=LG_Party),OR(LG_Loc="ALL",$I732=LG_Loc),OR(LG_CC="ALL",$J732=LG_CC),$D732&gt;=LG_From,$D732&lt;=LG_To),$D732+ROW()/1000000,""),"")</f>
        <v/>
      </c>
      <c r="Z732" s="32">
        <f>IF($A732=1,IF(Sales_Daily!$T60="","",Sales_Daily!$T60),"")</f>
        <v/>
      </c>
      <c r="AA732" s="32">
        <f>IF($A732=1,IF(Sales_Daily!$U60="","",Sales_Daily!$U60),"")</f>
        <v/>
      </c>
      <c r="AB732" s="32">
        <f>IF($A732=1,IF(Sales_Daily!$V60="","",Sales_Daily!$V60),"")</f>
        <v/>
      </c>
      <c r="AC732" s="32">
        <f>IF($A732=1,IF(Sales_Daily!$W60="","",Sales_Daily!$W60),"")</f>
        <v/>
      </c>
      <c r="AD732" s="32">
        <f>IF($A732=1,IF(Sales_Daily!$X60="","",Sales_Daily!$X60),"")</f>
        <v/>
      </c>
      <c r="AE732" s="32">
        <f>IF($A732=1,0,"")</f>
        <v/>
      </c>
      <c r="AF732" s="32" t="inlineStr"/>
    </row>
    <row r="733">
      <c r="A733" s="32">
        <f>IF(AND(Platform_Settlements!$X5=1,N(Platform_Settlements!$J5)&gt;0),1,0)</f>
        <v/>
      </c>
      <c r="B733" s="32">
        <f>IF($A733=1,$E733&amp;"/1","")</f>
        <v/>
      </c>
      <c r="C733" s="32">
        <f>IF($A733=1,"J-"&amp;Platform_Settlements!$A5,"")</f>
        <v/>
      </c>
      <c r="D733" s="33">
        <f>IF($A733=1,Platform_Settlements!$B5,"")</f>
        <v/>
      </c>
      <c r="E733" s="32">
        <f>IF($A733=1,IF(Platform_Settlements!$A5="","",Platform_Settlements!$A5),"")</f>
        <v/>
      </c>
      <c r="F733" s="32">
        <f>IF($A733=1,"PLT","")</f>
        <v/>
      </c>
      <c r="G733" s="32">
        <f>IF($A733=1,IF(Platform_Settlements!$W5="","",Platform_Settlements!$W5),"")</f>
        <v/>
      </c>
      <c r="H733" s="32">
        <f>IF($A733=1,IF(COUNTIF(COA!$A:$A,$G733)=0,"حساب غير معرف",INDEX(COA!$B:$B,MATCH($G733,COA!$A:$A,0))),"")</f>
        <v/>
      </c>
      <c r="I733" s="32">
        <f>IF($A733=1,IF(Platform_Settlements!$D5="","",Platform_Settlements!$D5),"")</f>
        <v/>
      </c>
      <c r="J733" s="32">
        <f>IF($A733=1,"CC00","")</f>
        <v/>
      </c>
      <c r="K733" s="32">
        <f>IF($A733=1,"-","")</f>
        <v/>
      </c>
      <c r="L733" s="32">
        <f>IF($A733=1,"استلام تسوية منصة/بطاقات","")</f>
        <v/>
      </c>
      <c r="M733" s="43">
        <f>IF($A733=1,Platform_Settlements!$J5,"")</f>
        <v/>
      </c>
      <c r="N733" s="43">
        <f>IF($A733=1,0,"")</f>
        <v/>
      </c>
      <c r="O733" s="32">
        <f>IF($A733=1,Platform_Settlements!$L5,"")</f>
        <v/>
      </c>
      <c r="P733" s="32">
        <f>IF($A733=1,IF(Platform_Settlements!$Y5="","",Platform_Settlements!$Y5),"")</f>
        <v/>
      </c>
      <c r="Q733" s="32">
        <f>IF($A733=1,Platform_Settlements!$AA5,"")</f>
        <v/>
      </c>
      <c r="R733" s="32">
        <f>IF($A733=1,IF(AND($Q733=1,COUNTIFS(COA!$A:$A,$G733,COA!$R:$R,1)=1),1,0),"")</f>
        <v/>
      </c>
      <c r="S733" s="43">
        <f>IF($A733=1,IF($R733=1,N($M733),0),"")</f>
        <v/>
      </c>
      <c r="T733" s="43">
        <f>IF($A733=1,IF($R733=1,N($N733),0),"")</f>
        <v/>
      </c>
      <c r="U733" s="32">
        <f>IF($A733=1,YEAR($D733)*100+MONTH($D733),"")</f>
        <v/>
      </c>
      <c r="V733" s="32">
        <f>IF($A733=1,IF(COUNTIF(COA!$A:$A,$G733)=0,0,INDEX(COA!$H:$H,MATCH($G733,COA!$A:$A,0))),"")</f>
        <v/>
      </c>
      <c r="W733" s="32">
        <f>IF($A733=1,"OPERATING","")</f>
        <v/>
      </c>
      <c r="X733" s="32">
        <f>IF($A733=1,IF($R733=1,"",IF($O733=ST_POST,IF($P733&lt;&gt;"",$P733,"حساب غير صالح أو غير نشط"),IF($O733=ST_REV,"معكوس: لا أثر على الدفاتر",IF($O733=ST_CANC,"ملغى",IF($O733=ST_APPR,"معتمد ولم يُرحَّل","مسودة"))))),"")</f>
        <v/>
      </c>
      <c r="Y733" s="32">
        <f>IF($A733=1,IF(AND($R733=1,OR(LG_Acct="",$G733=LG_Acct),OR(LG_Party="",$K733=LG_Party),OR(LG_Loc="ALL",$I733=LG_Loc),OR(LG_CC="ALL",$J733=LG_CC),$D733&gt;=LG_From,$D733&lt;=LG_To),$D733+ROW()/1000000,""),"")</f>
        <v/>
      </c>
      <c r="Z733" s="32">
        <f>IF($A733=1,IF(Platform_Settlements!$M5="","",Platform_Settlements!$M5),"")</f>
        <v/>
      </c>
      <c r="AA733" s="32">
        <f>IF($A733=1,IF(Platform_Settlements!$N5="","",Platform_Settlements!$N5),"")</f>
        <v/>
      </c>
      <c r="AB733" s="32">
        <f>IF($A733=1,IF(Platform_Settlements!$O5="","",Platform_Settlements!$O5),"")</f>
        <v/>
      </c>
      <c r="AC733" s="32">
        <f>IF($A733=1,IF(Platform_Settlements!$P5="","",Platform_Settlements!$P5),"")</f>
        <v/>
      </c>
      <c r="AD733" s="32">
        <f>IF($A733=1,IF(Platform_Settlements!$Q5="","",Platform_Settlements!$Q5),"")</f>
        <v/>
      </c>
      <c r="AE733" s="32">
        <f>IF($A733=1,0,"")</f>
        <v/>
      </c>
      <c r="AF733" s="32" t="inlineStr"/>
    </row>
    <row r="734">
      <c r="A734" s="32">
        <f>IF(AND(Platform_Settlements!$X5=1,N(Platform_Settlements!$H5)&gt;0),1,0)</f>
        <v/>
      </c>
      <c r="B734" s="32">
        <f>IF($A734=1,$E734&amp;"/2","")</f>
        <v/>
      </c>
      <c r="C734" s="32">
        <f>IF($A734=1,"J-"&amp;Platform_Settlements!$A5,"")</f>
        <v/>
      </c>
      <c r="D734" s="33">
        <f>IF($A734=1,Platform_Settlements!$B5,"")</f>
        <v/>
      </c>
      <c r="E734" s="32">
        <f>IF($A734=1,IF(Platform_Settlements!$A5="","",Platform_Settlements!$A5),"")</f>
        <v/>
      </c>
      <c r="F734" s="32">
        <f>IF($A734=1,"PLT","")</f>
        <v/>
      </c>
      <c r="G734" s="32">
        <f>IF($A734=1,IF(Platform_Settlements!$V5="","",Platform_Settlements!$V5),"")</f>
        <v/>
      </c>
      <c r="H734" s="32">
        <f>IF($A734=1,IF(COUNTIF(COA!$A:$A,$G734)=0,"حساب غير معرف",INDEX(COA!$B:$B,MATCH($G734,COA!$A:$A,0))),"")</f>
        <v/>
      </c>
      <c r="I734" s="32">
        <f>IF($A734=1,IF(Platform_Settlements!$D5="","",Platform_Settlements!$D5),"")</f>
        <v/>
      </c>
      <c r="J734" s="32">
        <f>IF($A734=1,"CC30","")</f>
        <v/>
      </c>
      <c r="K734" s="32">
        <f>IF($A734=1,"-","")</f>
        <v/>
      </c>
      <c r="L734" s="32">
        <f>IF($A734=1,"عمولة المنصة/رسوم البطاقات","")</f>
        <v/>
      </c>
      <c r="M734" s="43">
        <f>IF($A734=1,Platform_Settlements!$H5,"")</f>
        <v/>
      </c>
      <c r="N734" s="43">
        <f>IF($A734=1,0,"")</f>
        <v/>
      </c>
      <c r="O734" s="32">
        <f>IF($A734=1,Platform_Settlements!$L5,"")</f>
        <v/>
      </c>
      <c r="P734" s="32">
        <f>IF($A734=1,IF(Platform_Settlements!$Y5="","",Platform_Settlements!$Y5),"")</f>
        <v/>
      </c>
      <c r="Q734" s="32">
        <f>IF($A734=1,Platform_Settlements!$AA5,"")</f>
        <v/>
      </c>
      <c r="R734" s="32">
        <f>IF($A734=1,IF(AND($Q734=1,COUNTIFS(COA!$A:$A,$G734,COA!$R:$R,1)=1),1,0),"")</f>
        <v/>
      </c>
      <c r="S734" s="43">
        <f>IF($A734=1,IF($R734=1,N($M734),0),"")</f>
        <v/>
      </c>
      <c r="T734" s="43">
        <f>IF($A734=1,IF($R734=1,N($N734),0),"")</f>
        <v/>
      </c>
      <c r="U734" s="32">
        <f>IF($A734=1,YEAR($D734)*100+MONTH($D734),"")</f>
        <v/>
      </c>
      <c r="V734" s="32">
        <f>IF($A734=1,IF(COUNTIF(COA!$A:$A,$G734)=0,0,INDEX(COA!$H:$H,MATCH($G734,COA!$A:$A,0))),"")</f>
        <v/>
      </c>
      <c r="W734" s="32">
        <f>IF($A734=1,"","")</f>
        <v/>
      </c>
      <c r="X734" s="32">
        <f>IF($A734=1,IF($R734=1,"",IF($O734=ST_POST,IF($P734&lt;&gt;"",$P734,"حساب غير صالح أو غير نشط"),IF($O734=ST_REV,"معكوس: لا أثر على الدفاتر",IF($O734=ST_CANC,"ملغى",IF($O734=ST_APPR,"معتمد ولم يُرحَّل","مسودة"))))),"")</f>
        <v/>
      </c>
      <c r="Y734" s="32">
        <f>IF($A734=1,IF(AND($R734=1,OR(LG_Acct="",$G734=LG_Acct),OR(LG_Party="",$K734=LG_Party),OR(LG_Loc="ALL",$I734=LG_Loc),OR(LG_CC="ALL",$J734=LG_CC),$D734&gt;=LG_From,$D734&lt;=LG_To),$D734+ROW()/1000000,""),"")</f>
        <v/>
      </c>
      <c r="Z734" s="32">
        <f>IF($A734=1,IF(Platform_Settlements!$M5="","",Platform_Settlements!$M5),"")</f>
        <v/>
      </c>
      <c r="AA734" s="32">
        <f>IF($A734=1,IF(Platform_Settlements!$N5="","",Platform_Settlements!$N5),"")</f>
        <v/>
      </c>
      <c r="AB734" s="32">
        <f>IF($A734=1,IF(Platform_Settlements!$O5="","",Platform_Settlements!$O5),"")</f>
        <v/>
      </c>
      <c r="AC734" s="32">
        <f>IF($A734=1,IF(Platform_Settlements!$P5="","",Platform_Settlements!$P5),"")</f>
        <v/>
      </c>
      <c r="AD734" s="32">
        <f>IF($A734=1,IF(Platform_Settlements!$Q5="","",Platform_Settlements!$Q5),"")</f>
        <v/>
      </c>
      <c r="AE734" s="32">
        <f>IF($A734=1,0,"")</f>
        <v/>
      </c>
      <c r="AF734" s="32" t="inlineStr"/>
    </row>
    <row r="735">
      <c r="A735" s="32">
        <f>IF(AND(Platform_Settlements!$X5=1,N(Platform_Settlements!$I5)&gt;0),1,0)</f>
        <v/>
      </c>
      <c r="B735" s="32">
        <f>IF($A735=1,$E735&amp;"/3","")</f>
        <v/>
      </c>
      <c r="C735" s="32">
        <f>IF($A735=1,"J-"&amp;Platform_Settlements!$A5,"")</f>
        <v/>
      </c>
      <c r="D735" s="33">
        <f>IF($A735=1,Platform_Settlements!$B5,"")</f>
        <v/>
      </c>
      <c r="E735" s="32">
        <f>IF($A735=1,IF(Platform_Settlements!$A5="","",Platform_Settlements!$A5),"")</f>
        <v/>
      </c>
      <c r="F735" s="32">
        <f>IF($A735=1,"PLT","")</f>
        <v/>
      </c>
      <c r="G735" s="32">
        <f>IF($A735=1,ACC_PLT_OTHER,"")</f>
        <v/>
      </c>
      <c r="H735" s="32">
        <f>IF($A735=1,IF(COUNTIF(COA!$A:$A,$G735)=0,"حساب غير معرف",INDEX(COA!$B:$B,MATCH($G735,COA!$A:$A,0))),"")</f>
        <v/>
      </c>
      <c r="I735" s="32">
        <f>IF($A735=1,IF(Platform_Settlements!$D5="","",Platform_Settlements!$D5),"")</f>
        <v/>
      </c>
      <c r="J735" s="32">
        <f>IF($A735=1,"CC30","")</f>
        <v/>
      </c>
      <c r="K735" s="32">
        <f>IF($A735=1,"-","")</f>
        <v/>
      </c>
      <c r="L735" s="32">
        <f>IF($A735=1,"خصومات/غرامات أخرى من المنصة","")</f>
        <v/>
      </c>
      <c r="M735" s="43">
        <f>IF($A735=1,Platform_Settlements!$I5,"")</f>
        <v/>
      </c>
      <c r="N735" s="43">
        <f>IF($A735=1,0,"")</f>
        <v/>
      </c>
      <c r="O735" s="32">
        <f>IF($A735=1,Platform_Settlements!$L5,"")</f>
        <v/>
      </c>
      <c r="P735" s="32">
        <f>IF($A735=1,IF(Platform_Settlements!$Y5="","",Platform_Settlements!$Y5),"")</f>
        <v/>
      </c>
      <c r="Q735" s="32">
        <f>IF($A735=1,Platform_Settlements!$AA5,"")</f>
        <v/>
      </c>
      <c r="R735" s="32">
        <f>IF($A735=1,IF(AND($Q735=1,COUNTIFS(COA!$A:$A,$G735,COA!$R:$R,1)=1),1,0),"")</f>
        <v/>
      </c>
      <c r="S735" s="43">
        <f>IF($A735=1,IF($R735=1,N($M735),0),"")</f>
        <v/>
      </c>
      <c r="T735" s="43">
        <f>IF($A735=1,IF($R735=1,N($N735),0),"")</f>
        <v/>
      </c>
      <c r="U735" s="32">
        <f>IF($A735=1,YEAR($D735)*100+MONTH($D735),"")</f>
        <v/>
      </c>
      <c r="V735" s="32">
        <f>IF($A735=1,IF(COUNTIF(COA!$A:$A,$G735)=0,0,INDEX(COA!$H:$H,MATCH($G735,COA!$A:$A,0))),"")</f>
        <v/>
      </c>
      <c r="W735" s="32">
        <f>IF($A735=1,"","")</f>
        <v/>
      </c>
      <c r="X735" s="32">
        <f>IF($A735=1,IF($R735=1,"",IF($O735=ST_POST,IF($P735&lt;&gt;"",$P735,"حساب غير صالح أو غير نشط"),IF($O735=ST_REV,"معكوس: لا أثر على الدفاتر",IF($O735=ST_CANC,"ملغى",IF($O735=ST_APPR,"معتمد ولم يُرحَّل","مسودة"))))),"")</f>
        <v/>
      </c>
      <c r="Y735" s="32">
        <f>IF($A735=1,IF(AND($R735=1,OR(LG_Acct="",$G735=LG_Acct),OR(LG_Party="",$K735=LG_Party),OR(LG_Loc="ALL",$I735=LG_Loc),OR(LG_CC="ALL",$J735=LG_CC),$D735&gt;=LG_From,$D735&lt;=LG_To),$D735+ROW()/1000000,""),"")</f>
        <v/>
      </c>
      <c r="Z735" s="32">
        <f>IF($A735=1,IF(Platform_Settlements!$M5="","",Platform_Settlements!$M5),"")</f>
        <v/>
      </c>
      <c r="AA735" s="32">
        <f>IF($A735=1,IF(Platform_Settlements!$N5="","",Platform_Settlements!$N5),"")</f>
        <v/>
      </c>
      <c r="AB735" s="32">
        <f>IF($A735=1,IF(Platform_Settlements!$O5="","",Platform_Settlements!$O5),"")</f>
        <v/>
      </c>
      <c r="AC735" s="32">
        <f>IF($A735=1,IF(Platform_Settlements!$P5="","",Platform_Settlements!$P5),"")</f>
        <v/>
      </c>
      <c r="AD735" s="32">
        <f>IF($A735=1,IF(Platform_Settlements!$Q5="","",Platform_Settlements!$Q5),"")</f>
        <v/>
      </c>
      <c r="AE735" s="32">
        <f>IF($A735=1,0,"")</f>
        <v/>
      </c>
      <c r="AF735" s="32" t="inlineStr"/>
    </row>
    <row r="736">
      <c r="A736" s="32">
        <f>IF(AND(Platform_Settlements!$X5=1,N(Platform_Settlements!$T5)&gt;0),1,0)</f>
        <v/>
      </c>
      <c r="B736" s="32">
        <f>IF($A736=1,$E736&amp;"/4","")</f>
        <v/>
      </c>
      <c r="C736" s="32">
        <f>IF($A736=1,"J-"&amp;Platform_Settlements!$A5,"")</f>
        <v/>
      </c>
      <c r="D736" s="33">
        <f>IF($A736=1,Platform_Settlements!$B5,"")</f>
        <v/>
      </c>
      <c r="E736" s="32">
        <f>IF($A736=1,IF(Platform_Settlements!$A5="","",Platform_Settlements!$A5),"")</f>
        <v/>
      </c>
      <c r="F736" s="32">
        <f>IF($A736=1,"PLT","")</f>
        <v/>
      </c>
      <c r="G736" s="32">
        <f>IF($A736=1,ACC_PLT_DIFF,"")</f>
        <v/>
      </c>
      <c r="H736" s="32">
        <f>IF($A736=1,IF(COUNTIF(COA!$A:$A,$G736)=0,"حساب غير معرف",INDEX(COA!$B:$B,MATCH($G736,COA!$A:$A,0))),"")</f>
        <v/>
      </c>
      <c r="I736" s="32">
        <f>IF($A736=1,IF(Platform_Settlements!$D5="","",Platform_Settlements!$D5),"")</f>
        <v/>
      </c>
      <c r="J736" s="32">
        <f>IF($A736=1,"CC00","")</f>
        <v/>
      </c>
      <c r="K736" s="32">
        <f>IF($A736=1,"-","")</f>
        <v/>
      </c>
      <c r="L736" s="32">
        <f>IF($A736=1,"فرق تسوية منصة (نقص) تحت المراجعة","")</f>
        <v/>
      </c>
      <c r="M736" s="43">
        <f>IF($A736=1,Platform_Settlements!$T5,"")</f>
        <v/>
      </c>
      <c r="N736" s="43">
        <f>IF($A736=1,0,"")</f>
        <v/>
      </c>
      <c r="O736" s="32">
        <f>IF($A736=1,Platform_Settlements!$L5,"")</f>
        <v/>
      </c>
      <c r="P736" s="32">
        <f>IF($A736=1,IF(Platform_Settlements!$Y5="","",Platform_Settlements!$Y5),"")</f>
        <v/>
      </c>
      <c r="Q736" s="32">
        <f>IF($A736=1,Platform_Settlements!$AA5,"")</f>
        <v/>
      </c>
      <c r="R736" s="32">
        <f>IF($A736=1,IF(AND($Q736=1,COUNTIFS(COA!$A:$A,$G736,COA!$R:$R,1)=1),1,0),"")</f>
        <v/>
      </c>
      <c r="S736" s="43">
        <f>IF($A736=1,IF($R736=1,N($M736),0),"")</f>
        <v/>
      </c>
      <c r="T736" s="43">
        <f>IF($A736=1,IF($R736=1,N($N736),0),"")</f>
        <v/>
      </c>
      <c r="U736" s="32">
        <f>IF($A736=1,YEAR($D736)*100+MONTH($D736),"")</f>
        <v/>
      </c>
      <c r="V736" s="32">
        <f>IF($A736=1,IF(COUNTIF(COA!$A:$A,$G736)=0,0,INDEX(COA!$H:$H,MATCH($G736,COA!$A:$A,0))),"")</f>
        <v/>
      </c>
      <c r="W736" s="32">
        <f>IF($A736=1,"","")</f>
        <v/>
      </c>
      <c r="X736" s="32">
        <f>IF($A736=1,IF($R736=1,"",IF($O736=ST_POST,IF($P736&lt;&gt;"",$P736,"حساب غير صالح أو غير نشط"),IF($O736=ST_REV,"معكوس: لا أثر على الدفاتر",IF($O736=ST_CANC,"ملغى",IF($O736=ST_APPR,"معتمد ولم يُرحَّل","مسودة"))))),"")</f>
        <v/>
      </c>
      <c r="Y736" s="32">
        <f>IF($A736=1,IF(AND($R736=1,OR(LG_Acct="",$G736=LG_Acct),OR(LG_Party="",$K736=LG_Party),OR(LG_Loc="ALL",$I736=LG_Loc),OR(LG_CC="ALL",$J736=LG_CC),$D736&gt;=LG_From,$D736&lt;=LG_To),$D736+ROW()/1000000,""),"")</f>
        <v/>
      </c>
      <c r="Z736" s="32">
        <f>IF($A736=1,IF(Platform_Settlements!$M5="","",Platform_Settlements!$M5),"")</f>
        <v/>
      </c>
      <c r="AA736" s="32">
        <f>IF($A736=1,IF(Platform_Settlements!$N5="","",Platform_Settlements!$N5),"")</f>
        <v/>
      </c>
      <c r="AB736" s="32">
        <f>IF($A736=1,IF(Platform_Settlements!$O5="","",Platform_Settlements!$O5),"")</f>
        <v/>
      </c>
      <c r="AC736" s="32">
        <f>IF($A736=1,IF(Platform_Settlements!$P5="","",Platform_Settlements!$P5),"")</f>
        <v/>
      </c>
      <c r="AD736" s="32">
        <f>IF($A736=1,IF(Platform_Settlements!$Q5="","",Platform_Settlements!$Q5),"")</f>
        <v/>
      </c>
      <c r="AE736" s="32">
        <f>IF($A736=1,0,"")</f>
        <v/>
      </c>
      <c r="AF736" s="32" t="inlineStr"/>
    </row>
    <row r="737">
      <c r="A737" s="32">
        <f>IF(AND(Platform_Settlements!$X5=1,N(Platform_Settlements!$T5)&lt;0),1,0)</f>
        <v/>
      </c>
      <c r="B737" s="32">
        <f>IF($A737=1,$E737&amp;"/5","")</f>
        <v/>
      </c>
      <c r="C737" s="32">
        <f>IF($A737=1,"J-"&amp;Platform_Settlements!$A5,"")</f>
        <v/>
      </c>
      <c r="D737" s="33">
        <f>IF($A737=1,Platform_Settlements!$B5,"")</f>
        <v/>
      </c>
      <c r="E737" s="32">
        <f>IF($A737=1,IF(Platform_Settlements!$A5="","",Platform_Settlements!$A5),"")</f>
        <v/>
      </c>
      <c r="F737" s="32">
        <f>IF($A737=1,"PLT","")</f>
        <v/>
      </c>
      <c r="G737" s="32">
        <f>IF($A737=1,ACC_PLT_DIFF,"")</f>
        <v/>
      </c>
      <c r="H737" s="32">
        <f>IF($A737=1,IF(COUNTIF(COA!$A:$A,$G737)=0,"حساب غير معرف",INDEX(COA!$B:$B,MATCH($G737,COA!$A:$A,0))),"")</f>
        <v/>
      </c>
      <c r="I737" s="32">
        <f>IF($A737=1,IF(Platform_Settlements!$D5="","",Platform_Settlements!$D5),"")</f>
        <v/>
      </c>
      <c r="J737" s="32">
        <f>IF($A737=1,"CC00","")</f>
        <v/>
      </c>
      <c r="K737" s="32">
        <f>IF($A737=1,"-","")</f>
        <v/>
      </c>
      <c r="L737" s="32">
        <f>IF($A737=1,"فرق تسوية منصة (زيادة) تحت المراجعة","")</f>
        <v/>
      </c>
      <c r="M737" s="43">
        <f>IF($A737=1,0,"")</f>
        <v/>
      </c>
      <c r="N737" s="43">
        <f>IF($A737=1,-Platform_Settlements!$T5,"")</f>
        <v/>
      </c>
      <c r="O737" s="32">
        <f>IF($A737=1,Platform_Settlements!$L5,"")</f>
        <v/>
      </c>
      <c r="P737" s="32">
        <f>IF($A737=1,IF(Platform_Settlements!$Y5="","",Platform_Settlements!$Y5),"")</f>
        <v/>
      </c>
      <c r="Q737" s="32">
        <f>IF($A737=1,Platform_Settlements!$AA5,"")</f>
        <v/>
      </c>
      <c r="R737" s="32">
        <f>IF($A737=1,IF(AND($Q737=1,COUNTIFS(COA!$A:$A,$G737,COA!$R:$R,1)=1),1,0),"")</f>
        <v/>
      </c>
      <c r="S737" s="43">
        <f>IF($A737=1,IF($R737=1,N($M737),0),"")</f>
        <v/>
      </c>
      <c r="T737" s="43">
        <f>IF($A737=1,IF($R737=1,N($N737),0),"")</f>
        <v/>
      </c>
      <c r="U737" s="32">
        <f>IF($A737=1,YEAR($D737)*100+MONTH($D737),"")</f>
        <v/>
      </c>
      <c r="V737" s="32">
        <f>IF($A737=1,IF(COUNTIF(COA!$A:$A,$G737)=0,0,INDEX(COA!$H:$H,MATCH($G737,COA!$A:$A,0))),"")</f>
        <v/>
      </c>
      <c r="W737" s="32">
        <f>IF($A737=1,"","")</f>
        <v/>
      </c>
      <c r="X737" s="32">
        <f>IF($A737=1,IF($R737=1,"",IF($O737=ST_POST,IF($P737&lt;&gt;"",$P737,"حساب غير صالح أو غير نشط"),IF($O737=ST_REV,"معكوس: لا أثر على الدفاتر",IF($O737=ST_CANC,"ملغى",IF($O737=ST_APPR,"معتمد ولم يُرحَّل","مسودة"))))),"")</f>
        <v/>
      </c>
      <c r="Y737" s="32">
        <f>IF($A737=1,IF(AND($R737=1,OR(LG_Acct="",$G737=LG_Acct),OR(LG_Party="",$K737=LG_Party),OR(LG_Loc="ALL",$I737=LG_Loc),OR(LG_CC="ALL",$J737=LG_CC),$D737&gt;=LG_From,$D737&lt;=LG_To),$D737+ROW()/1000000,""),"")</f>
        <v/>
      </c>
      <c r="Z737" s="32">
        <f>IF($A737=1,IF(Platform_Settlements!$M5="","",Platform_Settlements!$M5),"")</f>
        <v/>
      </c>
      <c r="AA737" s="32">
        <f>IF($A737=1,IF(Platform_Settlements!$N5="","",Platform_Settlements!$N5),"")</f>
        <v/>
      </c>
      <c r="AB737" s="32">
        <f>IF($A737=1,IF(Platform_Settlements!$O5="","",Platform_Settlements!$O5),"")</f>
        <v/>
      </c>
      <c r="AC737" s="32">
        <f>IF($A737=1,IF(Platform_Settlements!$P5="","",Platform_Settlements!$P5),"")</f>
        <v/>
      </c>
      <c r="AD737" s="32">
        <f>IF($A737=1,IF(Platform_Settlements!$Q5="","",Platform_Settlements!$Q5),"")</f>
        <v/>
      </c>
      <c r="AE737" s="32">
        <f>IF($A737=1,0,"")</f>
        <v/>
      </c>
      <c r="AF737" s="32" t="inlineStr"/>
    </row>
    <row r="738">
      <c r="A738" s="32">
        <f>IF(AND(Platform_Settlements!$X5=1,N(Platform_Settlements!$G5)&gt;0),1,0)</f>
        <v/>
      </c>
      <c r="B738" s="32">
        <f>IF($A738=1,$E738&amp;"/6","")</f>
        <v/>
      </c>
      <c r="C738" s="32">
        <f>IF($A738=1,"J-"&amp;Platform_Settlements!$A5,"")</f>
        <v/>
      </c>
      <c r="D738" s="33">
        <f>IF($A738=1,Platform_Settlements!$B5,"")</f>
        <v/>
      </c>
      <c r="E738" s="32">
        <f>IF($A738=1,IF(Platform_Settlements!$A5="","",Platform_Settlements!$A5),"")</f>
        <v/>
      </c>
      <c r="F738" s="32">
        <f>IF($A738=1,"PLT","")</f>
        <v/>
      </c>
      <c r="G738" s="32">
        <f>IF($A738=1,IF(Platform_Settlements!$U5="","",Platform_Settlements!$U5),"")</f>
        <v/>
      </c>
      <c r="H738" s="32">
        <f>IF($A738=1,IF(COUNTIF(COA!$A:$A,$G738)=0,"حساب غير معرف",INDEX(COA!$B:$B,MATCH($G738,COA!$A:$A,0))),"")</f>
        <v/>
      </c>
      <c r="I738" s="32">
        <f>IF($A738=1,IF(Platform_Settlements!$D5="","",Platform_Settlements!$D5),"")</f>
        <v/>
      </c>
      <c r="J738" s="32">
        <f>IF($A738=1,"CC00","")</f>
        <v/>
      </c>
      <c r="K738" s="32">
        <f>IF($A738=1,"-","")</f>
        <v/>
      </c>
      <c r="L738" s="32">
        <f>IF($A738=1,"تخفيض مستحقات المنصة/البطاقات","")</f>
        <v/>
      </c>
      <c r="M738" s="43">
        <f>IF($A738=1,0,"")</f>
        <v/>
      </c>
      <c r="N738" s="43">
        <f>IF($A738=1,Platform_Settlements!$G5,"")</f>
        <v/>
      </c>
      <c r="O738" s="32">
        <f>IF($A738=1,Platform_Settlements!$L5,"")</f>
        <v/>
      </c>
      <c r="P738" s="32">
        <f>IF($A738=1,IF(Platform_Settlements!$Y5="","",Platform_Settlements!$Y5),"")</f>
        <v/>
      </c>
      <c r="Q738" s="32">
        <f>IF($A738=1,Platform_Settlements!$AA5,"")</f>
        <v/>
      </c>
      <c r="R738" s="32">
        <f>IF($A738=1,IF(AND($Q738=1,COUNTIFS(COA!$A:$A,$G738,COA!$R:$R,1)=1),1,0),"")</f>
        <v/>
      </c>
      <c r="S738" s="43">
        <f>IF($A738=1,IF($R738=1,N($M738),0),"")</f>
        <v/>
      </c>
      <c r="T738" s="43">
        <f>IF($A738=1,IF($R738=1,N($N738),0),"")</f>
        <v/>
      </c>
      <c r="U738" s="32">
        <f>IF($A738=1,YEAR($D738)*100+MONTH($D738),"")</f>
        <v/>
      </c>
      <c r="V738" s="32">
        <f>IF($A738=1,IF(COUNTIF(COA!$A:$A,$G738)=0,0,INDEX(COA!$H:$H,MATCH($G738,COA!$A:$A,0))),"")</f>
        <v/>
      </c>
      <c r="W738" s="32">
        <f>IF($A738=1,"","")</f>
        <v/>
      </c>
      <c r="X738" s="32">
        <f>IF($A738=1,IF($R738=1,"",IF($O738=ST_POST,IF($P738&lt;&gt;"",$P738,"حساب غير صالح أو غير نشط"),IF($O738=ST_REV,"معكوس: لا أثر على الدفاتر",IF($O738=ST_CANC,"ملغى",IF($O738=ST_APPR,"معتمد ولم يُرحَّل","مسودة"))))),"")</f>
        <v/>
      </c>
      <c r="Y738" s="32">
        <f>IF($A738=1,IF(AND($R738=1,OR(LG_Acct="",$G738=LG_Acct),OR(LG_Party="",$K738=LG_Party),OR(LG_Loc="ALL",$I738=LG_Loc),OR(LG_CC="ALL",$J738=LG_CC),$D738&gt;=LG_From,$D738&lt;=LG_To),$D738+ROW()/1000000,""),"")</f>
        <v/>
      </c>
      <c r="Z738" s="32">
        <f>IF($A738=1,IF(Platform_Settlements!$M5="","",Platform_Settlements!$M5),"")</f>
        <v/>
      </c>
      <c r="AA738" s="32">
        <f>IF($A738=1,IF(Platform_Settlements!$N5="","",Platform_Settlements!$N5),"")</f>
        <v/>
      </c>
      <c r="AB738" s="32">
        <f>IF($A738=1,IF(Platform_Settlements!$O5="","",Platform_Settlements!$O5),"")</f>
        <v/>
      </c>
      <c r="AC738" s="32">
        <f>IF($A738=1,IF(Platform_Settlements!$P5="","",Platform_Settlements!$P5),"")</f>
        <v/>
      </c>
      <c r="AD738" s="32">
        <f>IF($A738=1,IF(Platform_Settlements!$Q5="","",Platform_Settlements!$Q5),"")</f>
        <v/>
      </c>
      <c r="AE738" s="32">
        <f>IF($A738=1,0,"")</f>
        <v/>
      </c>
      <c r="AF738" s="32" t="inlineStr"/>
    </row>
    <row r="739">
      <c r="A739" s="32">
        <f>IF(AND(Platform_Settlements!$X6=1,N(Platform_Settlements!$J6)&gt;0),1,0)</f>
        <v/>
      </c>
      <c r="B739" s="32">
        <f>IF($A739=1,$E739&amp;"/1","")</f>
        <v/>
      </c>
      <c r="C739" s="32">
        <f>IF($A739=1,"J-"&amp;Platform_Settlements!$A6,"")</f>
        <v/>
      </c>
      <c r="D739" s="33">
        <f>IF($A739=1,Platform_Settlements!$B6,"")</f>
        <v/>
      </c>
      <c r="E739" s="32">
        <f>IF($A739=1,IF(Platform_Settlements!$A6="","",Platform_Settlements!$A6),"")</f>
        <v/>
      </c>
      <c r="F739" s="32">
        <f>IF($A739=1,"PLT","")</f>
        <v/>
      </c>
      <c r="G739" s="32">
        <f>IF($A739=1,IF(Platform_Settlements!$W6="","",Platform_Settlements!$W6),"")</f>
        <v/>
      </c>
      <c r="H739" s="32">
        <f>IF($A739=1,IF(COUNTIF(COA!$A:$A,$G739)=0,"حساب غير معرف",INDEX(COA!$B:$B,MATCH($G739,COA!$A:$A,0))),"")</f>
        <v/>
      </c>
      <c r="I739" s="32">
        <f>IF($A739=1,IF(Platform_Settlements!$D6="","",Platform_Settlements!$D6),"")</f>
        <v/>
      </c>
      <c r="J739" s="32">
        <f>IF($A739=1,"CC00","")</f>
        <v/>
      </c>
      <c r="K739" s="32">
        <f>IF($A739=1,"-","")</f>
        <v/>
      </c>
      <c r="L739" s="32">
        <f>IF($A739=1,"استلام تسوية منصة/بطاقات","")</f>
        <v/>
      </c>
      <c r="M739" s="43">
        <f>IF($A739=1,Platform_Settlements!$J6,"")</f>
        <v/>
      </c>
      <c r="N739" s="43">
        <f>IF($A739=1,0,"")</f>
        <v/>
      </c>
      <c r="O739" s="32">
        <f>IF($A739=1,Platform_Settlements!$L6,"")</f>
        <v/>
      </c>
      <c r="P739" s="32">
        <f>IF($A739=1,IF(Platform_Settlements!$Y6="","",Platform_Settlements!$Y6),"")</f>
        <v/>
      </c>
      <c r="Q739" s="32">
        <f>IF($A739=1,Platform_Settlements!$AA6,"")</f>
        <v/>
      </c>
      <c r="R739" s="32">
        <f>IF($A739=1,IF(AND($Q739=1,COUNTIFS(COA!$A:$A,$G739,COA!$R:$R,1)=1),1,0),"")</f>
        <v/>
      </c>
      <c r="S739" s="43">
        <f>IF($A739=1,IF($R739=1,N($M739),0),"")</f>
        <v/>
      </c>
      <c r="T739" s="43">
        <f>IF($A739=1,IF($R739=1,N($N739),0),"")</f>
        <v/>
      </c>
      <c r="U739" s="32">
        <f>IF($A739=1,YEAR($D739)*100+MONTH($D739),"")</f>
        <v/>
      </c>
      <c r="V739" s="32">
        <f>IF($A739=1,IF(COUNTIF(COA!$A:$A,$G739)=0,0,INDEX(COA!$H:$H,MATCH($G739,COA!$A:$A,0))),"")</f>
        <v/>
      </c>
      <c r="W739" s="32">
        <f>IF($A739=1,"OPERATING","")</f>
        <v/>
      </c>
      <c r="X739" s="32">
        <f>IF($A739=1,IF($R739=1,"",IF($O739=ST_POST,IF($P739&lt;&gt;"",$P739,"حساب غير صالح أو غير نشط"),IF($O739=ST_REV,"معكوس: لا أثر على الدفاتر",IF($O739=ST_CANC,"ملغى",IF($O739=ST_APPR,"معتمد ولم يُرحَّل","مسودة"))))),"")</f>
        <v/>
      </c>
      <c r="Y739" s="32">
        <f>IF($A739=1,IF(AND($R739=1,OR(LG_Acct="",$G739=LG_Acct),OR(LG_Party="",$K739=LG_Party),OR(LG_Loc="ALL",$I739=LG_Loc),OR(LG_CC="ALL",$J739=LG_CC),$D739&gt;=LG_From,$D739&lt;=LG_To),$D739+ROW()/1000000,""),"")</f>
        <v/>
      </c>
      <c r="Z739" s="32">
        <f>IF($A739=1,IF(Platform_Settlements!$M6="","",Platform_Settlements!$M6),"")</f>
        <v/>
      </c>
      <c r="AA739" s="32">
        <f>IF($A739=1,IF(Platform_Settlements!$N6="","",Platform_Settlements!$N6),"")</f>
        <v/>
      </c>
      <c r="AB739" s="32">
        <f>IF($A739=1,IF(Platform_Settlements!$O6="","",Platform_Settlements!$O6),"")</f>
        <v/>
      </c>
      <c r="AC739" s="32">
        <f>IF($A739=1,IF(Platform_Settlements!$P6="","",Platform_Settlements!$P6),"")</f>
        <v/>
      </c>
      <c r="AD739" s="32">
        <f>IF($A739=1,IF(Platform_Settlements!$Q6="","",Platform_Settlements!$Q6),"")</f>
        <v/>
      </c>
      <c r="AE739" s="32">
        <f>IF($A739=1,0,"")</f>
        <v/>
      </c>
      <c r="AF739" s="32" t="inlineStr"/>
    </row>
    <row r="740">
      <c r="A740" s="32">
        <f>IF(AND(Platform_Settlements!$X6=1,N(Platform_Settlements!$H6)&gt;0),1,0)</f>
        <v/>
      </c>
      <c r="B740" s="32">
        <f>IF($A740=1,$E740&amp;"/2","")</f>
        <v/>
      </c>
      <c r="C740" s="32">
        <f>IF($A740=1,"J-"&amp;Platform_Settlements!$A6,"")</f>
        <v/>
      </c>
      <c r="D740" s="33">
        <f>IF($A740=1,Platform_Settlements!$B6,"")</f>
        <v/>
      </c>
      <c r="E740" s="32">
        <f>IF($A740=1,IF(Platform_Settlements!$A6="","",Platform_Settlements!$A6),"")</f>
        <v/>
      </c>
      <c r="F740" s="32">
        <f>IF($A740=1,"PLT","")</f>
        <v/>
      </c>
      <c r="G740" s="32">
        <f>IF($A740=1,IF(Platform_Settlements!$V6="","",Platform_Settlements!$V6),"")</f>
        <v/>
      </c>
      <c r="H740" s="32">
        <f>IF($A740=1,IF(COUNTIF(COA!$A:$A,$G740)=0,"حساب غير معرف",INDEX(COA!$B:$B,MATCH($G740,COA!$A:$A,0))),"")</f>
        <v/>
      </c>
      <c r="I740" s="32">
        <f>IF($A740=1,IF(Platform_Settlements!$D6="","",Platform_Settlements!$D6),"")</f>
        <v/>
      </c>
      <c r="J740" s="32">
        <f>IF($A740=1,"CC30","")</f>
        <v/>
      </c>
      <c r="K740" s="32">
        <f>IF($A740=1,"-","")</f>
        <v/>
      </c>
      <c r="L740" s="32">
        <f>IF($A740=1,"عمولة المنصة/رسوم البطاقات","")</f>
        <v/>
      </c>
      <c r="M740" s="43">
        <f>IF($A740=1,Platform_Settlements!$H6,"")</f>
        <v/>
      </c>
      <c r="N740" s="43">
        <f>IF($A740=1,0,"")</f>
        <v/>
      </c>
      <c r="O740" s="32">
        <f>IF($A740=1,Platform_Settlements!$L6,"")</f>
        <v/>
      </c>
      <c r="P740" s="32">
        <f>IF($A740=1,IF(Platform_Settlements!$Y6="","",Platform_Settlements!$Y6),"")</f>
        <v/>
      </c>
      <c r="Q740" s="32">
        <f>IF($A740=1,Platform_Settlements!$AA6,"")</f>
        <v/>
      </c>
      <c r="R740" s="32">
        <f>IF($A740=1,IF(AND($Q740=1,COUNTIFS(COA!$A:$A,$G740,COA!$R:$R,1)=1),1,0),"")</f>
        <v/>
      </c>
      <c r="S740" s="43">
        <f>IF($A740=1,IF($R740=1,N($M740),0),"")</f>
        <v/>
      </c>
      <c r="T740" s="43">
        <f>IF($A740=1,IF($R740=1,N($N740),0),"")</f>
        <v/>
      </c>
      <c r="U740" s="32">
        <f>IF($A740=1,YEAR($D740)*100+MONTH($D740),"")</f>
        <v/>
      </c>
      <c r="V740" s="32">
        <f>IF($A740=1,IF(COUNTIF(COA!$A:$A,$G740)=0,0,INDEX(COA!$H:$H,MATCH($G740,COA!$A:$A,0))),"")</f>
        <v/>
      </c>
      <c r="W740" s="32">
        <f>IF($A740=1,"","")</f>
        <v/>
      </c>
      <c r="X740" s="32">
        <f>IF($A740=1,IF($R740=1,"",IF($O740=ST_POST,IF($P740&lt;&gt;"",$P740,"حساب غير صالح أو غير نشط"),IF($O740=ST_REV,"معكوس: لا أثر على الدفاتر",IF($O740=ST_CANC,"ملغى",IF($O740=ST_APPR,"معتمد ولم يُرحَّل","مسودة"))))),"")</f>
        <v/>
      </c>
      <c r="Y740" s="32">
        <f>IF($A740=1,IF(AND($R740=1,OR(LG_Acct="",$G740=LG_Acct),OR(LG_Party="",$K740=LG_Party),OR(LG_Loc="ALL",$I740=LG_Loc),OR(LG_CC="ALL",$J740=LG_CC),$D740&gt;=LG_From,$D740&lt;=LG_To),$D740+ROW()/1000000,""),"")</f>
        <v/>
      </c>
      <c r="Z740" s="32">
        <f>IF($A740=1,IF(Platform_Settlements!$M6="","",Platform_Settlements!$M6),"")</f>
        <v/>
      </c>
      <c r="AA740" s="32">
        <f>IF($A740=1,IF(Platform_Settlements!$N6="","",Platform_Settlements!$N6),"")</f>
        <v/>
      </c>
      <c r="AB740" s="32">
        <f>IF($A740=1,IF(Platform_Settlements!$O6="","",Platform_Settlements!$O6),"")</f>
        <v/>
      </c>
      <c r="AC740" s="32">
        <f>IF($A740=1,IF(Platform_Settlements!$P6="","",Platform_Settlements!$P6),"")</f>
        <v/>
      </c>
      <c r="AD740" s="32">
        <f>IF($A740=1,IF(Platform_Settlements!$Q6="","",Platform_Settlements!$Q6),"")</f>
        <v/>
      </c>
      <c r="AE740" s="32">
        <f>IF($A740=1,0,"")</f>
        <v/>
      </c>
      <c r="AF740" s="32" t="inlineStr"/>
    </row>
    <row r="741">
      <c r="A741" s="32">
        <f>IF(AND(Platform_Settlements!$X6=1,N(Platform_Settlements!$I6)&gt;0),1,0)</f>
        <v/>
      </c>
      <c r="B741" s="32">
        <f>IF($A741=1,$E741&amp;"/3","")</f>
        <v/>
      </c>
      <c r="C741" s="32">
        <f>IF($A741=1,"J-"&amp;Platform_Settlements!$A6,"")</f>
        <v/>
      </c>
      <c r="D741" s="33">
        <f>IF($A741=1,Platform_Settlements!$B6,"")</f>
        <v/>
      </c>
      <c r="E741" s="32">
        <f>IF($A741=1,IF(Platform_Settlements!$A6="","",Platform_Settlements!$A6),"")</f>
        <v/>
      </c>
      <c r="F741" s="32">
        <f>IF($A741=1,"PLT","")</f>
        <v/>
      </c>
      <c r="G741" s="32">
        <f>IF($A741=1,ACC_PLT_OTHER,"")</f>
        <v/>
      </c>
      <c r="H741" s="32">
        <f>IF($A741=1,IF(COUNTIF(COA!$A:$A,$G741)=0,"حساب غير معرف",INDEX(COA!$B:$B,MATCH($G741,COA!$A:$A,0))),"")</f>
        <v/>
      </c>
      <c r="I741" s="32">
        <f>IF($A741=1,IF(Platform_Settlements!$D6="","",Platform_Settlements!$D6),"")</f>
        <v/>
      </c>
      <c r="J741" s="32">
        <f>IF($A741=1,"CC30","")</f>
        <v/>
      </c>
      <c r="K741" s="32">
        <f>IF($A741=1,"-","")</f>
        <v/>
      </c>
      <c r="L741" s="32">
        <f>IF($A741=1,"خصومات/غرامات أخرى من المنصة","")</f>
        <v/>
      </c>
      <c r="M741" s="43">
        <f>IF($A741=1,Platform_Settlements!$I6,"")</f>
        <v/>
      </c>
      <c r="N741" s="43">
        <f>IF($A741=1,0,"")</f>
        <v/>
      </c>
      <c r="O741" s="32">
        <f>IF($A741=1,Platform_Settlements!$L6,"")</f>
        <v/>
      </c>
      <c r="P741" s="32">
        <f>IF($A741=1,IF(Platform_Settlements!$Y6="","",Platform_Settlements!$Y6),"")</f>
        <v/>
      </c>
      <c r="Q741" s="32">
        <f>IF($A741=1,Platform_Settlements!$AA6,"")</f>
        <v/>
      </c>
      <c r="R741" s="32">
        <f>IF($A741=1,IF(AND($Q741=1,COUNTIFS(COA!$A:$A,$G741,COA!$R:$R,1)=1),1,0),"")</f>
        <v/>
      </c>
      <c r="S741" s="43">
        <f>IF($A741=1,IF($R741=1,N($M741),0),"")</f>
        <v/>
      </c>
      <c r="T741" s="43">
        <f>IF($A741=1,IF($R741=1,N($N741),0),"")</f>
        <v/>
      </c>
      <c r="U741" s="32">
        <f>IF($A741=1,YEAR($D741)*100+MONTH($D741),"")</f>
        <v/>
      </c>
      <c r="V741" s="32">
        <f>IF($A741=1,IF(COUNTIF(COA!$A:$A,$G741)=0,0,INDEX(COA!$H:$H,MATCH($G741,COA!$A:$A,0))),"")</f>
        <v/>
      </c>
      <c r="W741" s="32">
        <f>IF($A741=1,"","")</f>
        <v/>
      </c>
      <c r="X741" s="32">
        <f>IF($A741=1,IF($R741=1,"",IF($O741=ST_POST,IF($P741&lt;&gt;"",$P741,"حساب غير صالح أو غير نشط"),IF($O741=ST_REV,"معكوس: لا أثر على الدفاتر",IF($O741=ST_CANC,"ملغى",IF($O741=ST_APPR,"معتمد ولم يُرحَّل","مسودة"))))),"")</f>
        <v/>
      </c>
      <c r="Y741" s="32">
        <f>IF($A741=1,IF(AND($R741=1,OR(LG_Acct="",$G741=LG_Acct),OR(LG_Party="",$K741=LG_Party),OR(LG_Loc="ALL",$I741=LG_Loc),OR(LG_CC="ALL",$J741=LG_CC),$D741&gt;=LG_From,$D741&lt;=LG_To),$D741+ROW()/1000000,""),"")</f>
        <v/>
      </c>
      <c r="Z741" s="32">
        <f>IF($A741=1,IF(Platform_Settlements!$M6="","",Platform_Settlements!$M6),"")</f>
        <v/>
      </c>
      <c r="AA741" s="32">
        <f>IF($A741=1,IF(Platform_Settlements!$N6="","",Platform_Settlements!$N6),"")</f>
        <v/>
      </c>
      <c r="AB741" s="32">
        <f>IF($A741=1,IF(Platform_Settlements!$O6="","",Platform_Settlements!$O6),"")</f>
        <v/>
      </c>
      <c r="AC741" s="32">
        <f>IF($A741=1,IF(Platform_Settlements!$P6="","",Platform_Settlements!$P6),"")</f>
        <v/>
      </c>
      <c r="AD741" s="32">
        <f>IF($A741=1,IF(Platform_Settlements!$Q6="","",Platform_Settlements!$Q6),"")</f>
        <v/>
      </c>
      <c r="AE741" s="32">
        <f>IF($A741=1,0,"")</f>
        <v/>
      </c>
      <c r="AF741" s="32" t="inlineStr"/>
    </row>
    <row r="742">
      <c r="A742" s="32">
        <f>IF(AND(Platform_Settlements!$X6=1,N(Platform_Settlements!$T6)&gt;0),1,0)</f>
        <v/>
      </c>
      <c r="B742" s="32">
        <f>IF($A742=1,$E742&amp;"/4","")</f>
        <v/>
      </c>
      <c r="C742" s="32">
        <f>IF($A742=1,"J-"&amp;Platform_Settlements!$A6,"")</f>
        <v/>
      </c>
      <c r="D742" s="33">
        <f>IF($A742=1,Platform_Settlements!$B6,"")</f>
        <v/>
      </c>
      <c r="E742" s="32">
        <f>IF($A742=1,IF(Platform_Settlements!$A6="","",Platform_Settlements!$A6),"")</f>
        <v/>
      </c>
      <c r="F742" s="32">
        <f>IF($A742=1,"PLT","")</f>
        <v/>
      </c>
      <c r="G742" s="32">
        <f>IF($A742=1,ACC_PLT_DIFF,"")</f>
        <v/>
      </c>
      <c r="H742" s="32">
        <f>IF($A742=1,IF(COUNTIF(COA!$A:$A,$G742)=0,"حساب غير معرف",INDEX(COA!$B:$B,MATCH($G742,COA!$A:$A,0))),"")</f>
        <v/>
      </c>
      <c r="I742" s="32">
        <f>IF($A742=1,IF(Platform_Settlements!$D6="","",Platform_Settlements!$D6),"")</f>
        <v/>
      </c>
      <c r="J742" s="32">
        <f>IF($A742=1,"CC00","")</f>
        <v/>
      </c>
      <c r="K742" s="32">
        <f>IF($A742=1,"-","")</f>
        <v/>
      </c>
      <c r="L742" s="32">
        <f>IF($A742=1,"فرق تسوية منصة (نقص) تحت المراجعة","")</f>
        <v/>
      </c>
      <c r="M742" s="43">
        <f>IF($A742=1,Platform_Settlements!$T6,"")</f>
        <v/>
      </c>
      <c r="N742" s="43">
        <f>IF($A742=1,0,"")</f>
        <v/>
      </c>
      <c r="O742" s="32">
        <f>IF($A742=1,Platform_Settlements!$L6,"")</f>
        <v/>
      </c>
      <c r="P742" s="32">
        <f>IF($A742=1,IF(Platform_Settlements!$Y6="","",Platform_Settlements!$Y6),"")</f>
        <v/>
      </c>
      <c r="Q742" s="32">
        <f>IF($A742=1,Platform_Settlements!$AA6,"")</f>
        <v/>
      </c>
      <c r="R742" s="32">
        <f>IF($A742=1,IF(AND($Q742=1,COUNTIFS(COA!$A:$A,$G742,COA!$R:$R,1)=1),1,0),"")</f>
        <v/>
      </c>
      <c r="S742" s="43">
        <f>IF($A742=1,IF($R742=1,N($M742),0),"")</f>
        <v/>
      </c>
      <c r="T742" s="43">
        <f>IF($A742=1,IF($R742=1,N($N742),0),"")</f>
        <v/>
      </c>
      <c r="U742" s="32">
        <f>IF($A742=1,YEAR($D742)*100+MONTH($D742),"")</f>
        <v/>
      </c>
      <c r="V742" s="32">
        <f>IF($A742=1,IF(COUNTIF(COA!$A:$A,$G742)=0,0,INDEX(COA!$H:$H,MATCH($G742,COA!$A:$A,0))),"")</f>
        <v/>
      </c>
      <c r="W742" s="32">
        <f>IF($A742=1,"","")</f>
        <v/>
      </c>
      <c r="X742" s="32">
        <f>IF($A742=1,IF($R742=1,"",IF($O742=ST_POST,IF($P742&lt;&gt;"",$P742,"حساب غير صالح أو غير نشط"),IF($O742=ST_REV,"معكوس: لا أثر على الدفاتر",IF($O742=ST_CANC,"ملغى",IF($O742=ST_APPR,"معتمد ولم يُرحَّل","مسودة"))))),"")</f>
        <v/>
      </c>
      <c r="Y742" s="32">
        <f>IF($A742=1,IF(AND($R742=1,OR(LG_Acct="",$G742=LG_Acct),OR(LG_Party="",$K742=LG_Party),OR(LG_Loc="ALL",$I742=LG_Loc),OR(LG_CC="ALL",$J742=LG_CC),$D742&gt;=LG_From,$D742&lt;=LG_To),$D742+ROW()/1000000,""),"")</f>
        <v/>
      </c>
      <c r="Z742" s="32">
        <f>IF($A742=1,IF(Platform_Settlements!$M6="","",Platform_Settlements!$M6),"")</f>
        <v/>
      </c>
      <c r="AA742" s="32">
        <f>IF($A742=1,IF(Platform_Settlements!$N6="","",Platform_Settlements!$N6),"")</f>
        <v/>
      </c>
      <c r="AB742" s="32">
        <f>IF($A742=1,IF(Platform_Settlements!$O6="","",Platform_Settlements!$O6),"")</f>
        <v/>
      </c>
      <c r="AC742" s="32">
        <f>IF($A742=1,IF(Platform_Settlements!$P6="","",Platform_Settlements!$P6),"")</f>
        <v/>
      </c>
      <c r="AD742" s="32">
        <f>IF($A742=1,IF(Platform_Settlements!$Q6="","",Platform_Settlements!$Q6),"")</f>
        <v/>
      </c>
      <c r="AE742" s="32">
        <f>IF($A742=1,0,"")</f>
        <v/>
      </c>
      <c r="AF742" s="32" t="inlineStr"/>
    </row>
    <row r="743">
      <c r="A743" s="32">
        <f>IF(AND(Platform_Settlements!$X6=1,N(Platform_Settlements!$T6)&lt;0),1,0)</f>
        <v/>
      </c>
      <c r="B743" s="32">
        <f>IF($A743=1,$E743&amp;"/5","")</f>
        <v/>
      </c>
      <c r="C743" s="32">
        <f>IF($A743=1,"J-"&amp;Platform_Settlements!$A6,"")</f>
        <v/>
      </c>
      <c r="D743" s="33">
        <f>IF($A743=1,Platform_Settlements!$B6,"")</f>
        <v/>
      </c>
      <c r="E743" s="32">
        <f>IF($A743=1,IF(Platform_Settlements!$A6="","",Platform_Settlements!$A6),"")</f>
        <v/>
      </c>
      <c r="F743" s="32">
        <f>IF($A743=1,"PLT","")</f>
        <v/>
      </c>
      <c r="G743" s="32">
        <f>IF($A743=1,ACC_PLT_DIFF,"")</f>
        <v/>
      </c>
      <c r="H743" s="32">
        <f>IF($A743=1,IF(COUNTIF(COA!$A:$A,$G743)=0,"حساب غير معرف",INDEX(COA!$B:$B,MATCH($G743,COA!$A:$A,0))),"")</f>
        <v/>
      </c>
      <c r="I743" s="32">
        <f>IF($A743=1,IF(Platform_Settlements!$D6="","",Platform_Settlements!$D6),"")</f>
        <v/>
      </c>
      <c r="J743" s="32">
        <f>IF($A743=1,"CC00","")</f>
        <v/>
      </c>
      <c r="K743" s="32">
        <f>IF($A743=1,"-","")</f>
        <v/>
      </c>
      <c r="L743" s="32">
        <f>IF($A743=1,"فرق تسوية منصة (زيادة) تحت المراجعة","")</f>
        <v/>
      </c>
      <c r="M743" s="43">
        <f>IF($A743=1,0,"")</f>
        <v/>
      </c>
      <c r="N743" s="43">
        <f>IF($A743=1,-Platform_Settlements!$T6,"")</f>
        <v/>
      </c>
      <c r="O743" s="32">
        <f>IF($A743=1,Platform_Settlements!$L6,"")</f>
        <v/>
      </c>
      <c r="P743" s="32">
        <f>IF($A743=1,IF(Platform_Settlements!$Y6="","",Platform_Settlements!$Y6),"")</f>
        <v/>
      </c>
      <c r="Q743" s="32">
        <f>IF($A743=1,Platform_Settlements!$AA6,"")</f>
        <v/>
      </c>
      <c r="R743" s="32">
        <f>IF($A743=1,IF(AND($Q743=1,COUNTIFS(COA!$A:$A,$G743,COA!$R:$R,1)=1),1,0),"")</f>
        <v/>
      </c>
      <c r="S743" s="43">
        <f>IF($A743=1,IF($R743=1,N($M743),0),"")</f>
        <v/>
      </c>
      <c r="T743" s="43">
        <f>IF($A743=1,IF($R743=1,N($N743),0),"")</f>
        <v/>
      </c>
      <c r="U743" s="32">
        <f>IF($A743=1,YEAR($D743)*100+MONTH($D743),"")</f>
        <v/>
      </c>
      <c r="V743" s="32">
        <f>IF($A743=1,IF(COUNTIF(COA!$A:$A,$G743)=0,0,INDEX(COA!$H:$H,MATCH($G743,COA!$A:$A,0))),"")</f>
        <v/>
      </c>
      <c r="W743" s="32">
        <f>IF($A743=1,"","")</f>
        <v/>
      </c>
      <c r="X743" s="32">
        <f>IF($A743=1,IF($R743=1,"",IF($O743=ST_POST,IF($P743&lt;&gt;"",$P743,"حساب غير صالح أو غير نشط"),IF($O743=ST_REV,"معكوس: لا أثر على الدفاتر",IF($O743=ST_CANC,"ملغى",IF($O743=ST_APPR,"معتمد ولم يُرحَّل","مسودة"))))),"")</f>
        <v/>
      </c>
      <c r="Y743" s="32">
        <f>IF($A743=1,IF(AND($R743=1,OR(LG_Acct="",$G743=LG_Acct),OR(LG_Party="",$K743=LG_Party),OR(LG_Loc="ALL",$I743=LG_Loc),OR(LG_CC="ALL",$J743=LG_CC),$D743&gt;=LG_From,$D743&lt;=LG_To),$D743+ROW()/1000000,""),"")</f>
        <v/>
      </c>
      <c r="Z743" s="32">
        <f>IF($A743=1,IF(Platform_Settlements!$M6="","",Platform_Settlements!$M6),"")</f>
        <v/>
      </c>
      <c r="AA743" s="32">
        <f>IF($A743=1,IF(Platform_Settlements!$N6="","",Platform_Settlements!$N6),"")</f>
        <v/>
      </c>
      <c r="AB743" s="32">
        <f>IF($A743=1,IF(Platform_Settlements!$O6="","",Platform_Settlements!$O6),"")</f>
        <v/>
      </c>
      <c r="AC743" s="32">
        <f>IF($A743=1,IF(Platform_Settlements!$P6="","",Platform_Settlements!$P6),"")</f>
        <v/>
      </c>
      <c r="AD743" s="32">
        <f>IF($A743=1,IF(Platform_Settlements!$Q6="","",Platform_Settlements!$Q6),"")</f>
        <v/>
      </c>
      <c r="AE743" s="32">
        <f>IF($A743=1,0,"")</f>
        <v/>
      </c>
      <c r="AF743" s="32" t="inlineStr"/>
    </row>
    <row r="744">
      <c r="A744" s="32">
        <f>IF(AND(Platform_Settlements!$X6=1,N(Platform_Settlements!$G6)&gt;0),1,0)</f>
        <v/>
      </c>
      <c r="B744" s="32">
        <f>IF($A744=1,$E744&amp;"/6","")</f>
        <v/>
      </c>
      <c r="C744" s="32">
        <f>IF($A744=1,"J-"&amp;Platform_Settlements!$A6,"")</f>
        <v/>
      </c>
      <c r="D744" s="33">
        <f>IF($A744=1,Platform_Settlements!$B6,"")</f>
        <v/>
      </c>
      <c r="E744" s="32">
        <f>IF($A744=1,IF(Platform_Settlements!$A6="","",Platform_Settlements!$A6),"")</f>
        <v/>
      </c>
      <c r="F744" s="32">
        <f>IF($A744=1,"PLT","")</f>
        <v/>
      </c>
      <c r="G744" s="32">
        <f>IF($A744=1,IF(Platform_Settlements!$U6="","",Platform_Settlements!$U6),"")</f>
        <v/>
      </c>
      <c r="H744" s="32">
        <f>IF($A744=1,IF(COUNTIF(COA!$A:$A,$G744)=0,"حساب غير معرف",INDEX(COA!$B:$B,MATCH($G744,COA!$A:$A,0))),"")</f>
        <v/>
      </c>
      <c r="I744" s="32">
        <f>IF($A744=1,IF(Platform_Settlements!$D6="","",Platform_Settlements!$D6),"")</f>
        <v/>
      </c>
      <c r="J744" s="32">
        <f>IF($A744=1,"CC00","")</f>
        <v/>
      </c>
      <c r="K744" s="32">
        <f>IF($A744=1,"-","")</f>
        <v/>
      </c>
      <c r="L744" s="32">
        <f>IF($A744=1,"تخفيض مستحقات المنصة/البطاقات","")</f>
        <v/>
      </c>
      <c r="M744" s="43">
        <f>IF($A744=1,0,"")</f>
        <v/>
      </c>
      <c r="N744" s="43">
        <f>IF($A744=1,Platform_Settlements!$G6,"")</f>
        <v/>
      </c>
      <c r="O744" s="32">
        <f>IF($A744=1,Platform_Settlements!$L6,"")</f>
        <v/>
      </c>
      <c r="P744" s="32">
        <f>IF($A744=1,IF(Platform_Settlements!$Y6="","",Platform_Settlements!$Y6),"")</f>
        <v/>
      </c>
      <c r="Q744" s="32">
        <f>IF($A744=1,Platform_Settlements!$AA6,"")</f>
        <v/>
      </c>
      <c r="R744" s="32">
        <f>IF($A744=1,IF(AND($Q744=1,COUNTIFS(COA!$A:$A,$G744,COA!$R:$R,1)=1),1,0),"")</f>
        <v/>
      </c>
      <c r="S744" s="43">
        <f>IF($A744=1,IF($R744=1,N($M744),0),"")</f>
        <v/>
      </c>
      <c r="T744" s="43">
        <f>IF($A744=1,IF($R744=1,N($N744),0),"")</f>
        <v/>
      </c>
      <c r="U744" s="32">
        <f>IF($A744=1,YEAR($D744)*100+MONTH($D744),"")</f>
        <v/>
      </c>
      <c r="V744" s="32">
        <f>IF($A744=1,IF(COUNTIF(COA!$A:$A,$G744)=0,0,INDEX(COA!$H:$H,MATCH($G744,COA!$A:$A,0))),"")</f>
        <v/>
      </c>
      <c r="W744" s="32">
        <f>IF($A744=1,"","")</f>
        <v/>
      </c>
      <c r="X744" s="32">
        <f>IF($A744=1,IF($R744=1,"",IF($O744=ST_POST,IF($P744&lt;&gt;"",$P744,"حساب غير صالح أو غير نشط"),IF($O744=ST_REV,"معكوس: لا أثر على الدفاتر",IF($O744=ST_CANC,"ملغى",IF($O744=ST_APPR,"معتمد ولم يُرحَّل","مسودة"))))),"")</f>
        <v/>
      </c>
      <c r="Y744" s="32">
        <f>IF($A744=1,IF(AND($R744=1,OR(LG_Acct="",$G744=LG_Acct),OR(LG_Party="",$K744=LG_Party),OR(LG_Loc="ALL",$I744=LG_Loc),OR(LG_CC="ALL",$J744=LG_CC),$D744&gt;=LG_From,$D744&lt;=LG_To),$D744+ROW()/1000000,""),"")</f>
        <v/>
      </c>
      <c r="Z744" s="32">
        <f>IF($A744=1,IF(Platform_Settlements!$M6="","",Platform_Settlements!$M6),"")</f>
        <v/>
      </c>
      <c r="AA744" s="32">
        <f>IF($A744=1,IF(Platform_Settlements!$N6="","",Platform_Settlements!$N6),"")</f>
        <v/>
      </c>
      <c r="AB744" s="32">
        <f>IF($A744=1,IF(Platform_Settlements!$O6="","",Platform_Settlements!$O6),"")</f>
        <v/>
      </c>
      <c r="AC744" s="32">
        <f>IF($A744=1,IF(Platform_Settlements!$P6="","",Platform_Settlements!$P6),"")</f>
        <v/>
      </c>
      <c r="AD744" s="32">
        <f>IF($A744=1,IF(Platform_Settlements!$Q6="","",Platform_Settlements!$Q6),"")</f>
        <v/>
      </c>
      <c r="AE744" s="32">
        <f>IF($A744=1,0,"")</f>
        <v/>
      </c>
      <c r="AF744" s="32" t="inlineStr"/>
    </row>
    <row r="745">
      <c r="A745" s="32">
        <f>IF(AND(Platform_Settlements!$X7=1,N(Platform_Settlements!$J7)&gt;0),1,0)</f>
        <v/>
      </c>
      <c r="B745" s="32">
        <f>IF($A745=1,$E745&amp;"/1","")</f>
        <v/>
      </c>
      <c r="C745" s="32">
        <f>IF($A745=1,"J-"&amp;Platform_Settlements!$A7,"")</f>
        <v/>
      </c>
      <c r="D745" s="33">
        <f>IF($A745=1,Platform_Settlements!$B7,"")</f>
        <v/>
      </c>
      <c r="E745" s="32">
        <f>IF($A745=1,IF(Platform_Settlements!$A7="","",Platform_Settlements!$A7),"")</f>
        <v/>
      </c>
      <c r="F745" s="32">
        <f>IF($A745=1,"PLT","")</f>
        <v/>
      </c>
      <c r="G745" s="32">
        <f>IF($A745=1,IF(Platform_Settlements!$W7="","",Platform_Settlements!$W7),"")</f>
        <v/>
      </c>
      <c r="H745" s="32">
        <f>IF($A745=1,IF(COUNTIF(COA!$A:$A,$G745)=0,"حساب غير معرف",INDEX(COA!$B:$B,MATCH($G745,COA!$A:$A,0))),"")</f>
        <v/>
      </c>
      <c r="I745" s="32">
        <f>IF($A745=1,IF(Platform_Settlements!$D7="","",Platform_Settlements!$D7),"")</f>
        <v/>
      </c>
      <c r="J745" s="32">
        <f>IF($A745=1,"CC00","")</f>
        <v/>
      </c>
      <c r="K745" s="32">
        <f>IF($A745=1,"-","")</f>
        <v/>
      </c>
      <c r="L745" s="32">
        <f>IF($A745=1,"استلام تسوية منصة/بطاقات","")</f>
        <v/>
      </c>
      <c r="M745" s="43">
        <f>IF($A745=1,Platform_Settlements!$J7,"")</f>
        <v/>
      </c>
      <c r="N745" s="43">
        <f>IF($A745=1,0,"")</f>
        <v/>
      </c>
      <c r="O745" s="32">
        <f>IF($A745=1,Platform_Settlements!$L7,"")</f>
        <v/>
      </c>
      <c r="P745" s="32">
        <f>IF($A745=1,IF(Platform_Settlements!$Y7="","",Platform_Settlements!$Y7),"")</f>
        <v/>
      </c>
      <c r="Q745" s="32">
        <f>IF($A745=1,Platform_Settlements!$AA7,"")</f>
        <v/>
      </c>
      <c r="R745" s="32">
        <f>IF($A745=1,IF(AND($Q745=1,COUNTIFS(COA!$A:$A,$G745,COA!$R:$R,1)=1),1,0),"")</f>
        <v/>
      </c>
      <c r="S745" s="43">
        <f>IF($A745=1,IF($R745=1,N($M745),0),"")</f>
        <v/>
      </c>
      <c r="T745" s="43">
        <f>IF($A745=1,IF($R745=1,N($N745),0),"")</f>
        <v/>
      </c>
      <c r="U745" s="32">
        <f>IF($A745=1,YEAR($D745)*100+MONTH($D745),"")</f>
        <v/>
      </c>
      <c r="V745" s="32">
        <f>IF($A745=1,IF(COUNTIF(COA!$A:$A,$G745)=0,0,INDEX(COA!$H:$H,MATCH($G745,COA!$A:$A,0))),"")</f>
        <v/>
      </c>
      <c r="W745" s="32">
        <f>IF($A745=1,"OPERATING","")</f>
        <v/>
      </c>
      <c r="X745" s="32">
        <f>IF($A745=1,IF($R745=1,"",IF($O745=ST_POST,IF($P745&lt;&gt;"",$P745,"حساب غير صالح أو غير نشط"),IF($O745=ST_REV,"معكوس: لا أثر على الدفاتر",IF($O745=ST_CANC,"ملغى",IF($O745=ST_APPR,"معتمد ولم يُرحَّل","مسودة"))))),"")</f>
        <v/>
      </c>
      <c r="Y745" s="32">
        <f>IF($A745=1,IF(AND($R745=1,OR(LG_Acct="",$G745=LG_Acct),OR(LG_Party="",$K745=LG_Party),OR(LG_Loc="ALL",$I745=LG_Loc),OR(LG_CC="ALL",$J745=LG_CC),$D745&gt;=LG_From,$D745&lt;=LG_To),$D745+ROW()/1000000,""),"")</f>
        <v/>
      </c>
      <c r="Z745" s="32">
        <f>IF($A745=1,IF(Platform_Settlements!$M7="","",Platform_Settlements!$M7),"")</f>
        <v/>
      </c>
      <c r="AA745" s="32">
        <f>IF($A745=1,IF(Platform_Settlements!$N7="","",Platform_Settlements!$N7),"")</f>
        <v/>
      </c>
      <c r="AB745" s="32">
        <f>IF($A745=1,IF(Platform_Settlements!$O7="","",Platform_Settlements!$O7),"")</f>
        <v/>
      </c>
      <c r="AC745" s="32">
        <f>IF($A745=1,IF(Platform_Settlements!$P7="","",Platform_Settlements!$P7),"")</f>
        <v/>
      </c>
      <c r="AD745" s="32">
        <f>IF($A745=1,IF(Platform_Settlements!$Q7="","",Platform_Settlements!$Q7),"")</f>
        <v/>
      </c>
      <c r="AE745" s="32">
        <f>IF($A745=1,0,"")</f>
        <v/>
      </c>
      <c r="AF745" s="32" t="inlineStr"/>
    </row>
    <row r="746">
      <c r="A746" s="32">
        <f>IF(AND(Platform_Settlements!$X7=1,N(Platform_Settlements!$H7)&gt;0),1,0)</f>
        <v/>
      </c>
      <c r="B746" s="32">
        <f>IF($A746=1,$E746&amp;"/2","")</f>
        <v/>
      </c>
      <c r="C746" s="32">
        <f>IF($A746=1,"J-"&amp;Platform_Settlements!$A7,"")</f>
        <v/>
      </c>
      <c r="D746" s="33">
        <f>IF($A746=1,Platform_Settlements!$B7,"")</f>
        <v/>
      </c>
      <c r="E746" s="32">
        <f>IF($A746=1,IF(Platform_Settlements!$A7="","",Platform_Settlements!$A7),"")</f>
        <v/>
      </c>
      <c r="F746" s="32">
        <f>IF($A746=1,"PLT","")</f>
        <v/>
      </c>
      <c r="G746" s="32">
        <f>IF($A746=1,IF(Platform_Settlements!$V7="","",Platform_Settlements!$V7),"")</f>
        <v/>
      </c>
      <c r="H746" s="32">
        <f>IF($A746=1,IF(COUNTIF(COA!$A:$A,$G746)=0,"حساب غير معرف",INDEX(COA!$B:$B,MATCH($G746,COA!$A:$A,0))),"")</f>
        <v/>
      </c>
      <c r="I746" s="32">
        <f>IF($A746=1,IF(Platform_Settlements!$D7="","",Platform_Settlements!$D7),"")</f>
        <v/>
      </c>
      <c r="J746" s="32">
        <f>IF($A746=1,"CC30","")</f>
        <v/>
      </c>
      <c r="K746" s="32">
        <f>IF($A746=1,"-","")</f>
        <v/>
      </c>
      <c r="L746" s="32">
        <f>IF($A746=1,"عمولة المنصة/رسوم البطاقات","")</f>
        <v/>
      </c>
      <c r="M746" s="43">
        <f>IF($A746=1,Platform_Settlements!$H7,"")</f>
        <v/>
      </c>
      <c r="N746" s="43">
        <f>IF($A746=1,0,"")</f>
        <v/>
      </c>
      <c r="O746" s="32">
        <f>IF($A746=1,Platform_Settlements!$L7,"")</f>
        <v/>
      </c>
      <c r="P746" s="32">
        <f>IF($A746=1,IF(Platform_Settlements!$Y7="","",Platform_Settlements!$Y7),"")</f>
        <v/>
      </c>
      <c r="Q746" s="32">
        <f>IF($A746=1,Platform_Settlements!$AA7,"")</f>
        <v/>
      </c>
      <c r="R746" s="32">
        <f>IF($A746=1,IF(AND($Q746=1,COUNTIFS(COA!$A:$A,$G746,COA!$R:$R,1)=1),1,0),"")</f>
        <v/>
      </c>
      <c r="S746" s="43">
        <f>IF($A746=1,IF($R746=1,N($M746),0),"")</f>
        <v/>
      </c>
      <c r="T746" s="43">
        <f>IF($A746=1,IF($R746=1,N($N746),0),"")</f>
        <v/>
      </c>
      <c r="U746" s="32">
        <f>IF($A746=1,YEAR($D746)*100+MONTH($D746),"")</f>
        <v/>
      </c>
      <c r="V746" s="32">
        <f>IF($A746=1,IF(COUNTIF(COA!$A:$A,$G746)=0,0,INDEX(COA!$H:$H,MATCH($G746,COA!$A:$A,0))),"")</f>
        <v/>
      </c>
      <c r="W746" s="32">
        <f>IF($A746=1,"","")</f>
        <v/>
      </c>
      <c r="X746" s="32">
        <f>IF($A746=1,IF($R746=1,"",IF($O746=ST_POST,IF($P746&lt;&gt;"",$P746,"حساب غير صالح أو غير نشط"),IF($O746=ST_REV,"معكوس: لا أثر على الدفاتر",IF($O746=ST_CANC,"ملغى",IF($O746=ST_APPR,"معتمد ولم يُرحَّل","مسودة"))))),"")</f>
        <v/>
      </c>
      <c r="Y746" s="32">
        <f>IF($A746=1,IF(AND($R746=1,OR(LG_Acct="",$G746=LG_Acct),OR(LG_Party="",$K746=LG_Party),OR(LG_Loc="ALL",$I746=LG_Loc),OR(LG_CC="ALL",$J746=LG_CC),$D746&gt;=LG_From,$D746&lt;=LG_To),$D746+ROW()/1000000,""),"")</f>
        <v/>
      </c>
      <c r="Z746" s="32">
        <f>IF($A746=1,IF(Platform_Settlements!$M7="","",Platform_Settlements!$M7),"")</f>
        <v/>
      </c>
      <c r="AA746" s="32">
        <f>IF($A746=1,IF(Platform_Settlements!$N7="","",Platform_Settlements!$N7),"")</f>
        <v/>
      </c>
      <c r="AB746" s="32">
        <f>IF($A746=1,IF(Platform_Settlements!$O7="","",Platform_Settlements!$O7),"")</f>
        <v/>
      </c>
      <c r="AC746" s="32">
        <f>IF($A746=1,IF(Platform_Settlements!$P7="","",Platform_Settlements!$P7),"")</f>
        <v/>
      </c>
      <c r="AD746" s="32">
        <f>IF($A746=1,IF(Platform_Settlements!$Q7="","",Platform_Settlements!$Q7),"")</f>
        <v/>
      </c>
      <c r="AE746" s="32">
        <f>IF($A746=1,0,"")</f>
        <v/>
      </c>
      <c r="AF746" s="32" t="inlineStr"/>
    </row>
    <row r="747">
      <c r="A747" s="32">
        <f>IF(AND(Platform_Settlements!$X7=1,N(Platform_Settlements!$I7)&gt;0),1,0)</f>
        <v/>
      </c>
      <c r="B747" s="32">
        <f>IF($A747=1,$E747&amp;"/3","")</f>
        <v/>
      </c>
      <c r="C747" s="32">
        <f>IF($A747=1,"J-"&amp;Platform_Settlements!$A7,"")</f>
        <v/>
      </c>
      <c r="D747" s="33">
        <f>IF($A747=1,Platform_Settlements!$B7,"")</f>
        <v/>
      </c>
      <c r="E747" s="32">
        <f>IF($A747=1,IF(Platform_Settlements!$A7="","",Platform_Settlements!$A7),"")</f>
        <v/>
      </c>
      <c r="F747" s="32">
        <f>IF($A747=1,"PLT","")</f>
        <v/>
      </c>
      <c r="G747" s="32">
        <f>IF($A747=1,ACC_PLT_OTHER,"")</f>
        <v/>
      </c>
      <c r="H747" s="32">
        <f>IF($A747=1,IF(COUNTIF(COA!$A:$A,$G747)=0,"حساب غير معرف",INDEX(COA!$B:$B,MATCH($G747,COA!$A:$A,0))),"")</f>
        <v/>
      </c>
      <c r="I747" s="32">
        <f>IF($A747=1,IF(Platform_Settlements!$D7="","",Platform_Settlements!$D7),"")</f>
        <v/>
      </c>
      <c r="J747" s="32">
        <f>IF($A747=1,"CC30","")</f>
        <v/>
      </c>
      <c r="K747" s="32">
        <f>IF($A747=1,"-","")</f>
        <v/>
      </c>
      <c r="L747" s="32">
        <f>IF($A747=1,"خصومات/غرامات أخرى من المنصة","")</f>
        <v/>
      </c>
      <c r="M747" s="43">
        <f>IF($A747=1,Platform_Settlements!$I7,"")</f>
        <v/>
      </c>
      <c r="N747" s="43">
        <f>IF($A747=1,0,"")</f>
        <v/>
      </c>
      <c r="O747" s="32">
        <f>IF($A747=1,Platform_Settlements!$L7,"")</f>
        <v/>
      </c>
      <c r="P747" s="32">
        <f>IF($A747=1,IF(Platform_Settlements!$Y7="","",Platform_Settlements!$Y7),"")</f>
        <v/>
      </c>
      <c r="Q747" s="32">
        <f>IF($A747=1,Platform_Settlements!$AA7,"")</f>
        <v/>
      </c>
      <c r="R747" s="32">
        <f>IF($A747=1,IF(AND($Q747=1,COUNTIFS(COA!$A:$A,$G747,COA!$R:$R,1)=1),1,0),"")</f>
        <v/>
      </c>
      <c r="S747" s="43">
        <f>IF($A747=1,IF($R747=1,N($M747),0),"")</f>
        <v/>
      </c>
      <c r="T747" s="43">
        <f>IF($A747=1,IF($R747=1,N($N747),0),"")</f>
        <v/>
      </c>
      <c r="U747" s="32">
        <f>IF($A747=1,YEAR($D747)*100+MONTH($D747),"")</f>
        <v/>
      </c>
      <c r="V747" s="32">
        <f>IF($A747=1,IF(COUNTIF(COA!$A:$A,$G747)=0,0,INDEX(COA!$H:$H,MATCH($G747,COA!$A:$A,0))),"")</f>
        <v/>
      </c>
      <c r="W747" s="32">
        <f>IF($A747=1,"","")</f>
        <v/>
      </c>
      <c r="X747" s="32">
        <f>IF($A747=1,IF($R747=1,"",IF($O747=ST_POST,IF($P747&lt;&gt;"",$P747,"حساب غير صالح أو غير نشط"),IF($O747=ST_REV,"معكوس: لا أثر على الدفاتر",IF($O747=ST_CANC,"ملغى",IF($O747=ST_APPR,"معتمد ولم يُرحَّل","مسودة"))))),"")</f>
        <v/>
      </c>
      <c r="Y747" s="32">
        <f>IF($A747=1,IF(AND($R747=1,OR(LG_Acct="",$G747=LG_Acct),OR(LG_Party="",$K747=LG_Party),OR(LG_Loc="ALL",$I747=LG_Loc),OR(LG_CC="ALL",$J747=LG_CC),$D747&gt;=LG_From,$D747&lt;=LG_To),$D747+ROW()/1000000,""),"")</f>
        <v/>
      </c>
      <c r="Z747" s="32">
        <f>IF($A747=1,IF(Platform_Settlements!$M7="","",Platform_Settlements!$M7),"")</f>
        <v/>
      </c>
      <c r="AA747" s="32">
        <f>IF($A747=1,IF(Platform_Settlements!$N7="","",Platform_Settlements!$N7),"")</f>
        <v/>
      </c>
      <c r="AB747" s="32">
        <f>IF($A747=1,IF(Platform_Settlements!$O7="","",Platform_Settlements!$O7),"")</f>
        <v/>
      </c>
      <c r="AC747" s="32">
        <f>IF($A747=1,IF(Platform_Settlements!$P7="","",Platform_Settlements!$P7),"")</f>
        <v/>
      </c>
      <c r="AD747" s="32">
        <f>IF($A747=1,IF(Platform_Settlements!$Q7="","",Platform_Settlements!$Q7),"")</f>
        <v/>
      </c>
      <c r="AE747" s="32">
        <f>IF($A747=1,0,"")</f>
        <v/>
      </c>
      <c r="AF747" s="32" t="inlineStr"/>
    </row>
    <row r="748">
      <c r="A748" s="32">
        <f>IF(AND(Platform_Settlements!$X7=1,N(Platform_Settlements!$T7)&gt;0),1,0)</f>
        <v/>
      </c>
      <c r="B748" s="32">
        <f>IF($A748=1,$E748&amp;"/4","")</f>
        <v/>
      </c>
      <c r="C748" s="32">
        <f>IF($A748=1,"J-"&amp;Platform_Settlements!$A7,"")</f>
        <v/>
      </c>
      <c r="D748" s="33">
        <f>IF($A748=1,Platform_Settlements!$B7,"")</f>
        <v/>
      </c>
      <c r="E748" s="32">
        <f>IF($A748=1,IF(Platform_Settlements!$A7="","",Platform_Settlements!$A7),"")</f>
        <v/>
      </c>
      <c r="F748" s="32">
        <f>IF($A748=1,"PLT","")</f>
        <v/>
      </c>
      <c r="G748" s="32">
        <f>IF($A748=1,ACC_PLT_DIFF,"")</f>
        <v/>
      </c>
      <c r="H748" s="32">
        <f>IF($A748=1,IF(COUNTIF(COA!$A:$A,$G748)=0,"حساب غير معرف",INDEX(COA!$B:$B,MATCH($G748,COA!$A:$A,0))),"")</f>
        <v/>
      </c>
      <c r="I748" s="32">
        <f>IF($A748=1,IF(Platform_Settlements!$D7="","",Platform_Settlements!$D7),"")</f>
        <v/>
      </c>
      <c r="J748" s="32">
        <f>IF($A748=1,"CC00","")</f>
        <v/>
      </c>
      <c r="K748" s="32">
        <f>IF($A748=1,"-","")</f>
        <v/>
      </c>
      <c r="L748" s="32">
        <f>IF($A748=1,"فرق تسوية منصة (نقص) تحت المراجعة","")</f>
        <v/>
      </c>
      <c r="M748" s="43">
        <f>IF($A748=1,Platform_Settlements!$T7,"")</f>
        <v/>
      </c>
      <c r="N748" s="43">
        <f>IF($A748=1,0,"")</f>
        <v/>
      </c>
      <c r="O748" s="32">
        <f>IF($A748=1,Platform_Settlements!$L7,"")</f>
        <v/>
      </c>
      <c r="P748" s="32">
        <f>IF($A748=1,IF(Platform_Settlements!$Y7="","",Platform_Settlements!$Y7),"")</f>
        <v/>
      </c>
      <c r="Q748" s="32">
        <f>IF($A748=1,Platform_Settlements!$AA7,"")</f>
        <v/>
      </c>
      <c r="R748" s="32">
        <f>IF($A748=1,IF(AND($Q748=1,COUNTIFS(COA!$A:$A,$G748,COA!$R:$R,1)=1),1,0),"")</f>
        <v/>
      </c>
      <c r="S748" s="43">
        <f>IF($A748=1,IF($R748=1,N($M748),0),"")</f>
        <v/>
      </c>
      <c r="T748" s="43">
        <f>IF($A748=1,IF($R748=1,N($N748),0),"")</f>
        <v/>
      </c>
      <c r="U748" s="32">
        <f>IF($A748=1,YEAR($D748)*100+MONTH($D748),"")</f>
        <v/>
      </c>
      <c r="V748" s="32">
        <f>IF($A748=1,IF(COUNTIF(COA!$A:$A,$G748)=0,0,INDEX(COA!$H:$H,MATCH($G748,COA!$A:$A,0))),"")</f>
        <v/>
      </c>
      <c r="W748" s="32">
        <f>IF($A748=1,"","")</f>
        <v/>
      </c>
      <c r="X748" s="32">
        <f>IF($A748=1,IF($R748=1,"",IF($O748=ST_POST,IF($P748&lt;&gt;"",$P748,"حساب غير صالح أو غير نشط"),IF($O748=ST_REV,"معكوس: لا أثر على الدفاتر",IF($O748=ST_CANC,"ملغى",IF($O748=ST_APPR,"معتمد ولم يُرحَّل","مسودة"))))),"")</f>
        <v/>
      </c>
      <c r="Y748" s="32">
        <f>IF($A748=1,IF(AND($R748=1,OR(LG_Acct="",$G748=LG_Acct),OR(LG_Party="",$K748=LG_Party),OR(LG_Loc="ALL",$I748=LG_Loc),OR(LG_CC="ALL",$J748=LG_CC),$D748&gt;=LG_From,$D748&lt;=LG_To),$D748+ROW()/1000000,""),"")</f>
        <v/>
      </c>
      <c r="Z748" s="32">
        <f>IF($A748=1,IF(Platform_Settlements!$M7="","",Platform_Settlements!$M7),"")</f>
        <v/>
      </c>
      <c r="AA748" s="32">
        <f>IF($A748=1,IF(Platform_Settlements!$N7="","",Platform_Settlements!$N7),"")</f>
        <v/>
      </c>
      <c r="AB748" s="32">
        <f>IF($A748=1,IF(Platform_Settlements!$O7="","",Platform_Settlements!$O7),"")</f>
        <v/>
      </c>
      <c r="AC748" s="32">
        <f>IF($A748=1,IF(Platform_Settlements!$P7="","",Platform_Settlements!$P7),"")</f>
        <v/>
      </c>
      <c r="AD748" s="32">
        <f>IF($A748=1,IF(Platform_Settlements!$Q7="","",Platform_Settlements!$Q7),"")</f>
        <v/>
      </c>
      <c r="AE748" s="32">
        <f>IF($A748=1,0,"")</f>
        <v/>
      </c>
      <c r="AF748" s="32" t="inlineStr"/>
    </row>
    <row r="749">
      <c r="A749" s="32">
        <f>IF(AND(Platform_Settlements!$X7=1,N(Platform_Settlements!$T7)&lt;0),1,0)</f>
        <v/>
      </c>
      <c r="B749" s="32">
        <f>IF($A749=1,$E749&amp;"/5","")</f>
        <v/>
      </c>
      <c r="C749" s="32">
        <f>IF($A749=1,"J-"&amp;Platform_Settlements!$A7,"")</f>
        <v/>
      </c>
      <c r="D749" s="33">
        <f>IF($A749=1,Platform_Settlements!$B7,"")</f>
        <v/>
      </c>
      <c r="E749" s="32">
        <f>IF($A749=1,IF(Platform_Settlements!$A7="","",Platform_Settlements!$A7),"")</f>
        <v/>
      </c>
      <c r="F749" s="32">
        <f>IF($A749=1,"PLT","")</f>
        <v/>
      </c>
      <c r="G749" s="32">
        <f>IF($A749=1,ACC_PLT_DIFF,"")</f>
        <v/>
      </c>
      <c r="H749" s="32">
        <f>IF($A749=1,IF(COUNTIF(COA!$A:$A,$G749)=0,"حساب غير معرف",INDEX(COA!$B:$B,MATCH($G749,COA!$A:$A,0))),"")</f>
        <v/>
      </c>
      <c r="I749" s="32">
        <f>IF($A749=1,IF(Platform_Settlements!$D7="","",Platform_Settlements!$D7),"")</f>
        <v/>
      </c>
      <c r="J749" s="32">
        <f>IF($A749=1,"CC00","")</f>
        <v/>
      </c>
      <c r="K749" s="32">
        <f>IF($A749=1,"-","")</f>
        <v/>
      </c>
      <c r="L749" s="32">
        <f>IF($A749=1,"فرق تسوية منصة (زيادة) تحت المراجعة","")</f>
        <v/>
      </c>
      <c r="M749" s="43">
        <f>IF($A749=1,0,"")</f>
        <v/>
      </c>
      <c r="N749" s="43">
        <f>IF($A749=1,-Platform_Settlements!$T7,"")</f>
        <v/>
      </c>
      <c r="O749" s="32">
        <f>IF($A749=1,Platform_Settlements!$L7,"")</f>
        <v/>
      </c>
      <c r="P749" s="32">
        <f>IF($A749=1,IF(Platform_Settlements!$Y7="","",Platform_Settlements!$Y7),"")</f>
        <v/>
      </c>
      <c r="Q749" s="32">
        <f>IF($A749=1,Platform_Settlements!$AA7,"")</f>
        <v/>
      </c>
      <c r="R749" s="32">
        <f>IF($A749=1,IF(AND($Q749=1,COUNTIFS(COA!$A:$A,$G749,COA!$R:$R,1)=1),1,0),"")</f>
        <v/>
      </c>
      <c r="S749" s="43">
        <f>IF($A749=1,IF($R749=1,N($M749),0),"")</f>
        <v/>
      </c>
      <c r="T749" s="43">
        <f>IF($A749=1,IF($R749=1,N($N749),0),"")</f>
        <v/>
      </c>
      <c r="U749" s="32">
        <f>IF($A749=1,YEAR($D749)*100+MONTH($D749),"")</f>
        <v/>
      </c>
      <c r="V749" s="32">
        <f>IF($A749=1,IF(COUNTIF(COA!$A:$A,$G749)=0,0,INDEX(COA!$H:$H,MATCH($G749,COA!$A:$A,0))),"")</f>
        <v/>
      </c>
      <c r="W749" s="32">
        <f>IF($A749=1,"","")</f>
        <v/>
      </c>
      <c r="X749" s="32">
        <f>IF($A749=1,IF($R749=1,"",IF($O749=ST_POST,IF($P749&lt;&gt;"",$P749,"حساب غير صالح أو غير نشط"),IF($O749=ST_REV,"معكوس: لا أثر على الدفاتر",IF($O749=ST_CANC,"ملغى",IF($O749=ST_APPR,"معتمد ولم يُرحَّل","مسودة"))))),"")</f>
        <v/>
      </c>
      <c r="Y749" s="32">
        <f>IF($A749=1,IF(AND($R749=1,OR(LG_Acct="",$G749=LG_Acct),OR(LG_Party="",$K749=LG_Party),OR(LG_Loc="ALL",$I749=LG_Loc),OR(LG_CC="ALL",$J749=LG_CC),$D749&gt;=LG_From,$D749&lt;=LG_To),$D749+ROW()/1000000,""),"")</f>
        <v/>
      </c>
      <c r="Z749" s="32">
        <f>IF($A749=1,IF(Platform_Settlements!$M7="","",Platform_Settlements!$M7),"")</f>
        <v/>
      </c>
      <c r="AA749" s="32">
        <f>IF($A749=1,IF(Platform_Settlements!$N7="","",Platform_Settlements!$N7),"")</f>
        <v/>
      </c>
      <c r="AB749" s="32">
        <f>IF($A749=1,IF(Platform_Settlements!$O7="","",Platform_Settlements!$O7),"")</f>
        <v/>
      </c>
      <c r="AC749" s="32">
        <f>IF($A749=1,IF(Platform_Settlements!$P7="","",Platform_Settlements!$P7),"")</f>
        <v/>
      </c>
      <c r="AD749" s="32">
        <f>IF($A749=1,IF(Platform_Settlements!$Q7="","",Platform_Settlements!$Q7),"")</f>
        <v/>
      </c>
      <c r="AE749" s="32">
        <f>IF($A749=1,0,"")</f>
        <v/>
      </c>
      <c r="AF749" s="32" t="inlineStr"/>
    </row>
    <row r="750">
      <c r="A750" s="32">
        <f>IF(AND(Platform_Settlements!$X7=1,N(Platform_Settlements!$G7)&gt;0),1,0)</f>
        <v/>
      </c>
      <c r="B750" s="32">
        <f>IF($A750=1,$E750&amp;"/6","")</f>
        <v/>
      </c>
      <c r="C750" s="32">
        <f>IF($A750=1,"J-"&amp;Platform_Settlements!$A7,"")</f>
        <v/>
      </c>
      <c r="D750" s="33">
        <f>IF($A750=1,Platform_Settlements!$B7,"")</f>
        <v/>
      </c>
      <c r="E750" s="32">
        <f>IF($A750=1,IF(Platform_Settlements!$A7="","",Platform_Settlements!$A7),"")</f>
        <v/>
      </c>
      <c r="F750" s="32">
        <f>IF($A750=1,"PLT","")</f>
        <v/>
      </c>
      <c r="G750" s="32">
        <f>IF($A750=1,IF(Platform_Settlements!$U7="","",Platform_Settlements!$U7),"")</f>
        <v/>
      </c>
      <c r="H750" s="32">
        <f>IF($A750=1,IF(COUNTIF(COA!$A:$A,$G750)=0,"حساب غير معرف",INDEX(COA!$B:$B,MATCH($G750,COA!$A:$A,0))),"")</f>
        <v/>
      </c>
      <c r="I750" s="32">
        <f>IF($A750=1,IF(Platform_Settlements!$D7="","",Platform_Settlements!$D7),"")</f>
        <v/>
      </c>
      <c r="J750" s="32">
        <f>IF($A750=1,"CC00","")</f>
        <v/>
      </c>
      <c r="K750" s="32">
        <f>IF($A750=1,"-","")</f>
        <v/>
      </c>
      <c r="L750" s="32">
        <f>IF($A750=1,"تخفيض مستحقات المنصة/البطاقات","")</f>
        <v/>
      </c>
      <c r="M750" s="43">
        <f>IF($A750=1,0,"")</f>
        <v/>
      </c>
      <c r="N750" s="43">
        <f>IF($A750=1,Platform_Settlements!$G7,"")</f>
        <v/>
      </c>
      <c r="O750" s="32">
        <f>IF($A750=1,Platform_Settlements!$L7,"")</f>
        <v/>
      </c>
      <c r="P750" s="32">
        <f>IF($A750=1,IF(Platform_Settlements!$Y7="","",Platform_Settlements!$Y7),"")</f>
        <v/>
      </c>
      <c r="Q750" s="32">
        <f>IF($A750=1,Platform_Settlements!$AA7,"")</f>
        <v/>
      </c>
      <c r="R750" s="32">
        <f>IF($A750=1,IF(AND($Q750=1,COUNTIFS(COA!$A:$A,$G750,COA!$R:$R,1)=1),1,0),"")</f>
        <v/>
      </c>
      <c r="S750" s="43">
        <f>IF($A750=1,IF($R750=1,N($M750),0),"")</f>
        <v/>
      </c>
      <c r="T750" s="43">
        <f>IF($A750=1,IF($R750=1,N($N750),0),"")</f>
        <v/>
      </c>
      <c r="U750" s="32">
        <f>IF($A750=1,YEAR($D750)*100+MONTH($D750),"")</f>
        <v/>
      </c>
      <c r="V750" s="32">
        <f>IF($A750=1,IF(COUNTIF(COA!$A:$A,$G750)=0,0,INDEX(COA!$H:$H,MATCH($G750,COA!$A:$A,0))),"")</f>
        <v/>
      </c>
      <c r="W750" s="32">
        <f>IF($A750=1,"","")</f>
        <v/>
      </c>
      <c r="X750" s="32">
        <f>IF($A750=1,IF($R750=1,"",IF($O750=ST_POST,IF($P750&lt;&gt;"",$P750,"حساب غير صالح أو غير نشط"),IF($O750=ST_REV,"معكوس: لا أثر على الدفاتر",IF($O750=ST_CANC,"ملغى",IF($O750=ST_APPR,"معتمد ولم يُرحَّل","مسودة"))))),"")</f>
        <v/>
      </c>
      <c r="Y750" s="32">
        <f>IF($A750=1,IF(AND($R750=1,OR(LG_Acct="",$G750=LG_Acct),OR(LG_Party="",$K750=LG_Party),OR(LG_Loc="ALL",$I750=LG_Loc),OR(LG_CC="ALL",$J750=LG_CC),$D750&gt;=LG_From,$D750&lt;=LG_To),$D750+ROW()/1000000,""),"")</f>
        <v/>
      </c>
      <c r="Z750" s="32">
        <f>IF($A750=1,IF(Platform_Settlements!$M7="","",Platform_Settlements!$M7),"")</f>
        <v/>
      </c>
      <c r="AA750" s="32">
        <f>IF($A750=1,IF(Platform_Settlements!$N7="","",Platform_Settlements!$N7),"")</f>
        <v/>
      </c>
      <c r="AB750" s="32">
        <f>IF($A750=1,IF(Platform_Settlements!$O7="","",Platform_Settlements!$O7),"")</f>
        <v/>
      </c>
      <c r="AC750" s="32">
        <f>IF($A750=1,IF(Platform_Settlements!$P7="","",Platform_Settlements!$P7),"")</f>
        <v/>
      </c>
      <c r="AD750" s="32">
        <f>IF($A750=1,IF(Platform_Settlements!$Q7="","",Platform_Settlements!$Q7),"")</f>
        <v/>
      </c>
      <c r="AE750" s="32">
        <f>IF($A750=1,0,"")</f>
        <v/>
      </c>
      <c r="AF750" s="32" t="inlineStr"/>
    </row>
    <row r="751">
      <c r="A751" s="32">
        <f>IF(AND(Platform_Settlements!$X8=1,N(Platform_Settlements!$J8)&gt;0),1,0)</f>
        <v/>
      </c>
      <c r="B751" s="32">
        <f>IF($A751=1,$E751&amp;"/1","")</f>
        <v/>
      </c>
      <c r="C751" s="32">
        <f>IF($A751=1,"J-"&amp;Platform_Settlements!$A8,"")</f>
        <v/>
      </c>
      <c r="D751" s="33">
        <f>IF($A751=1,Platform_Settlements!$B8,"")</f>
        <v/>
      </c>
      <c r="E751" s="32">
        <f>IF($A751=1,IF(Platform_Settlements!$A8="","",Platform_Settlements!$A8),"")</f>
        <v/>
      </c>
      <c r="F751" s="32">
        <f>IF($A751=1,"PLT","")</f>
        <v/>
      </c>
      <c r="G751" s="32">
        <f>IF($A751=1,IF(Platform_Settlements!$W8="","",Platform_Settlements!$W8),"")</f>
        <v/>
      </c>
      <c r="H751" s="32">
        <f>IF($A751=1,IF(COUNTIF(COA!$A:$A,$G751)=0,"حساب غير معرف",INDEX(COA!$B:$B,MATCH($G751,COA!$A:$A,0))),"")</f>
        <v/>
      </c>
      <c r="I751" s="32">
        <f>IF($A751=1,IF(Platform_Settlements!$D8="","",Platform_Settlements!$D8),"")</f>
        <v/>
      </c>
      <c r="J751" s="32">
        <f>IF($A751=1,"CC00","")</f>
        <v/>
      </c>
      <c r="K751" s="32">
        <f>IF($A751=1,"-","")</f>
        <v/>
      </c>
      <c r="L751" s="32">
        <f>IF($A751=1,"استلام تسوية منصة/بطاقات","")</f>
        <v/>
      </c>
      <c r="M751" s="43">
        <f>IF($A751=1,Platform_Settlements!$J8,"")</f>
        <v/>
      </c>
      <c r="N751" s="43">
        <f>IF($A751=1,0,"")</f>
        <v/>
      </c>
      <c r="O751" s="32">
        <f>IF($A751=1,Platform_Settlements!$L8,"")</f>
        <v/>
      </c>
      <c r="P751" s="32">
        <f>IF($A751=1,IF(Platform_Settlements!$Y8="","",Platform_Settlements!$Y8),"")</f>
        <v/>
      </c>
      <c r="Q751" s="32">
        <f>IF($A751=1,Platform_Settlements!$AA8,"")</f>
        <v/>
      </c>
      <c r="R751" s="32">
        <f>IF($A751=1,IF(AND($Q751=1,COUNTIFS(COA!$A:$A,$G751,COA!$R:$R,1)=1),1,0),"")</f>
        <v/>
      </c>
      <c r="S751" s="43">
        <f>IF($A751=1,IF($R751=1,N($M751),0),"")</f>
        <v/>
      </c>
      <c r="T751" s="43">
        <f>IF($A751=1,IF($R751=1,N($N751),0),"")</f>
        <v/>
      </c>
      <c r="U751" s="32">
        <f>IF($A751=1,YEAR($D751)*100+MONTH($D751),"")</f>
        <v/>
      </c>
      <c r="V751" s="32">
        <f>IF($A751=1,IF(COUNTIF(COA!$A:$A,$G751)=0,0,INDEX(COA!$H:$H,MATCH($G751,COA!$A:$A,0))),"")</f>
        <v/>
      </c>
      <c r="W751" s="32">
        <f>IF($A751=1,"OPERATING","")</f>
        <v/>
      </c>
      <c r="X751" s="32">
        <f>IF($A751=1,IF($R751=1,"",IF($O751=ST_POST,IF($P751&lt;&gt;"",$P751,"حساب غير صالح أو غير نشط"),IF($O751=ST_REV,"معكوس: لا أثر على الدفاتر",IF($O751=ST_CANC,"ملغى",IF($O751=ST_APPR,"معتمد ولم يُرحَّل","مسودة"))))),"")</f>
        <v/>
      </c>
      <c r="Y751" s="32">
        <f>IF($A751=1,IF(AND($R751=1,OR(LG_Acct="",$G751=LG_Acct),OR(LG_Party="",$K751=LG_Party),OR(LG_Loc="ALL",$I751=LG_Loc),OR(LG_CC="ALL",$J751=LG_CC),$D751&gt;=LG_From,$D751&lt;=LG_To),$D751+ROW()/1000000,""),"")</f>
        <v/>
      </c>
      <c r="Z751" s="32">
        <f>IF($A751=1,IF(Platform_Settlements!$M8="","",Platform_Settlements!$M8),"")</f>
        <v/>
      </c>
      <c r="AA751" s="32">
        <f>IF($A751=1,IF(Platform_Settlements!$N8="","",Platform_Settlements!$N8),"")</f>
        <v/>
      </c>
      <c r="AB751" s="32">
        <f>IF($A751=1,IF(Platform_Settlements!$O8="","",Platform_Settlements!$O8),"")</f>
        <v/>
      </c>
      <c r="AC751" s="32">
        <f>IF($A751=1,IF(Platform_Settlements!$P8="","",Platform_Settlements!$P8),"")</f>
        <v/>
      </c>
      <c r="AD751" s="32">
        <f>IF($A751=1,IF(Platform_Settlements!$Q8="","",Platform_Settlements!$Q8),"")</f>
        <v/>
      </c>
      <c r="AE751" s="32">
        <f>IF($A751=1,0,"")</f>
        <v/>
      </c>
      <c r="AF751" s="32" t="inlineStr"/>
    </row>
    <row r="752">
      <c r="A752" s="32">
        <f>IF(AND(Platform_Settlements!$X8=1,N(Platform_Settlements!$H8)&gt;0),1,0)</f>
        <v/>
      </c>
      <c r="B752" s="32">
        <f>IF($A752=1,$E752&amp;"/2","")</f>
        <v/>
      </c>
      <c r="C752" s="32">
        <f>IF($A752=1,"J-"&amp;Platform_Settlements!$A8,"")</f>
        <v/>
      </c>
      <c r="D752" s="33">
        <f>IF($A752=1,Platform_Settlements!$B8,"")</f>
        <v/>
      </c>
      <c r="E752" s="32">
        <f>IF($A752=1,IF(Platform_Settlements!$A8="","",Platform_Settlements!$A8),"")</f>
        <v/>
      </c>
      <c r="F752" s="32">
        <f>IF($A752=1,"PLT","")</f>
        <v/>
      </c>
      <c r="G752" s="32">
        <f>IF($A752=1,IF(Platform_Settlements!$V8="","",Platform_Settlements!$V8),"")</f>
        <v/>
      </c>
      <c r="H752" s="32">
        <f>IF($A752=1,IF(COUNTIF(COA!$A:$A,$G752)=0,"حساب غير معرف",INDEX(COA!$B:$B,MATCH($G752,COA!$A:$A,0))),"")</f>
        <v/>
      </c>
      <c r="I752" s="32">
        <f>IF($A752=1,IF(Platform_Settlements!$D8="","",Platform_Settlements!$D8),"")</f>
        <v/>
      </c>
      <c r="J752" s="32">
        <f>IF($A752=1,"CC30","")</f>
        <v/>
      </c>
      <c r="K752" s="32">
        <f>IF($A752=1,"-","")</f>
        <v/>
      </c>
      <c r="L752" s="32">
        <f>IF($A752=1,"عمولة المنصة/رسوم البطاقات","")</f>
        <v/>
      </c>
      <c r="M752" s="43">
        <f>IF($A752=1,Platform_Settlements!$H8,"")</f>
        <v/>
      </c>
      <c r="N752" s="43">
        <f>IF($A752=1,0,"")</f>
        <v/>
      </c>
      <c r="O752" s="32">
        <f>IF($A752=1,Platform_Settlements!$L8,"")</f>
        <v/>
      </c>
      <c r="P752" s="32">
        <f>IF($A752=1,IF(Platform_Settlements!$Y8="","",Platform_Settlements!$Y8),"")</f>
        <v/>
      </c>
      <c r="Q752" s="32">
        <f>IF($A752=1,Platform_Settlements!$AA8,"")</f>
        <v/>
      </c>
      <c r="R752" s="32">
        <f>IF($A752=1,IF(AND($Q752=1,COUNTIFS(COA!$A:$A,$G752,COA!$R:$R,1)=1),1,0),"")</f>
        <v/>
      </c>
      <c r="S752" s="43">
        <f>IF($A752=1,IF($R752=1,N($M752),0),"")</f>
        <v/>
      </c>
      <c r="T752" s="43">
        <f>IF($A752=1,IF($R752=1,N($N752),0),"")</f>
        <v/>
      </c>
      <c r="U752" s="32">
        <f>IF($A752=1,YEAR($D752)*100+MONTH($D752),"")</f>
        <v/>
      </c>
      <c r="V752" s="32">
        <f>IF($A752=1,IF(COUNTIF(COA!$A:$A,$G752)=0,0,INDEX(COA!$H:$H,MATCH($G752,COA!$A:$A,0))),"")</f>
        <v/>
      </c>
      <c r="W752" s="32">
        <f>IF($A752=1,"","")</f>
        <v/>
      </c>
      <c r="X752" s="32">
        <f>IF($A752=1,IF($R752=1,"",IF($O752=ST_POST,IF($P752&lt;&gt;"",$P752,"حساب غير صالح أو غير نشط"),IF($O752=ST_REV,"معكوس: لا أثر على الدفاتر",IF($O752=ST_CANC,"ملغى",IF($O752=ST_APPR,"معتمد ولم يُرحَّل","مسودة"))))),"")</f>
        <v/>
      </c>
      <c r="Y752" s="32">
        <f>IF($A752=1,IF(AND($R752=1,OR(LG_Acct="",$G752=LG_Acct),OR(LG_Party="",$K752=LG_Party),OR(LG_Loc="ALL",$I752=LG_Loc),OR(LG_CC="ALL",$J752=LG_CC),$D752&gt;=LG_From,$D752&lt;=LG_To),$D752+ROW()/1000000,""),"")</f>
        <v/>
      </c>
      <c r="Z752" s="32">
        <f>IF($A752=1,IF(Platform_Settlements!$M8="","",Platform_Settlements!$M8),"")</f>
        <v/>
      </c>
      <c r="AA752" s="32">
        <f>IF($A752=1,IF(Platform_Settlements!$N8="","",Platform_Settlements!$N8),"")</f>
        <v/>
      </c>
      <c r="AB752" s="32">
        <f>IF($A752=1,IF(Platform_Settlements!$O8="","",Platform_Settlements!$O8),"")</f>
        <v/>
      </c>
      <c r="AC752" s="32">
        <f>IF($A752=1,IF(Platform_Settlements!$P8="","",Platform_Settlements!$P8),"")</f>
        <v/>
      </c>
      <c r="AD752" s="32">
        <f>IF($A752=1,IF(Platform_Settlements!$Q8="","",Platform_Settlements!$Q8),"")</f>
        <v/>
      </c>
      <c r="AE752" s="32">
        <f>IF($A752=1,0,"")</f>
        <v/>
      </c>
      <c r="AF752" s="32" t="inlineStr"/>
    </row>
    <row r="753">
      <c r="A753" s="32">
        <f>IF(AND(Platform_Settlements!$X8=1,N(Platform_Settlements!$I8)&gt;0),1,0)</f>
        <v/>
      </c>
      <c r="B753" s="32">
        <f>IF($A753=1,$E753&amp;"/3","")</f>
        <v/>
      </c>
      <c r="C753" s="32">
        <f>IF($A753=1,"J-"&amp;Platform_Settlements!$A8,"")</f>
        <v/>
      </c>
      <c r="D753" s="33">
        <f>IF($A753=1,Platform_Settlements!$B8,"")</f>
        <v/>
      </c>
      <c r="E753" s="32">
        <f>IF($A753=1,IF(Platform_Settlements!$A8="","",Platform_Settlements!$A8),"")</f>
        <v/>
      </c>
      <c r="F753" s="32">
        <f>IF($A753=1,"PLT","")</f>
        <v/>
      </c>
      <c r="G753" s="32">
        <f>IF($A753=1,ACC_PLT_OTHER,"")</f>
        <v/>
      </c>
      <c r="H753" s="32">
        <f>IF($A753=1,IF(COUNTIF(COA!$A:$A,$G753)=0,"حساب غير معرف",INDEX(COA!$B:$B,MATCH($G753,COA!$A:$A,0))),"")</f>
        <v/>
      </c>
      <c r="I753" s="32">
        <f>IF($A753=1,IF(Platform_Settlements!$D8="","",Platform_Settlements!$D8),"")</f>
        <v/>
      </c>
      <c r="J753" s="32">
        <f>IF($A753=1,"CC30","")</f>
        <v/>
      </c>
      <c r="K753" s="32">
        <f>IF($A753=1,"-","")</f>
        <v/>
      </c>
      <c r="L753" s="32">
        <f>IF($A753=1,"خصومات/غرامات أخرى من المنصة","")</f>
        <v/>
      </c>
      <c r="M753" s="43">
        <f>IF($A753=1,Platform_Settlements!$I8,"")</f>
        <v/>
      </c>
      <c r="N753" s="43">
        <f>IF($A753=1,0,"")</f>
        <v/>
      </c>
      <c r="O753" s="32">
        <f>IF($A753=1,Platform_Settlements!$L8,"")</f>
        <v/>
      </c>
      <c r="P753" s="32">
        <f>IF($A753=1,IF(Platform_Settlements!$Y8="","",Platform_Settlements!$Y8),"")</f>
        <v/>
      </c>
      <c r="Q753" s="32">
        <f>IF($A753=1,Platform_Settlements!$AA8,"")</f>
        <v/>
      </c>
      <c r="R753" s="32">
        <f>IF($A753=1,IF(AND($Q753=1,COUNTIFS(COA!$A:$A,$G753,COA!$R:$R,1)=1),1,0),"")</f>
        <v/>
      </c>
      <c r="S753" s="43">
        <f>IF($A753=1,IF($R753=1,N($M753),0),"")</f>
        <v/>
      </c>
      <c r="T753" s="43">
        <f>IF($A753=1,IF($R753=1,N($N753),0),"")</f>
        <v/>
      </c>
      <c r="U753" s="32">
        <f>IF($A753=1,YEAR($D753)*100+MONTH($D753),"")</f>
        <v/>
      </c>
      <c r="V753" s="32">
        <f>IF($A753=1,IF(COUNTIF(COA!$A:$A,$G753)=0,0,INDEX(COA!$H:$H,MATCH($G753,COA!$A:$A,0))),"")</f>
        <v/>
      </c>
      <c r="W753" s="32">
        <f>IF($A753=1,"","")</f>
        <v/>
      </c>
      <c r="X753" s="32">
        <f>IF($A753=1,IF($R753=1,"",IF($O753=ST_POST,IF($P753&lt;&gt;"",$P753,"حساب غير صالح أو غير نشط"),IF($O753=ST_REV,"معكوس: لا أثر على الدفاتر",IF($O753=ST_CANC,"ملغى",IF($O753=ST_APPR,"معتمد ولم يُرحَّل","مسودة"))))),"")</f>
        <v/>
      </c>
      <c r="Y753" s="32">
        <f>IF($A753=1,IF(AND($R753=1,OR(LG_Acct="",$G753=LG_Acct),OR(LG_Party="",$K753=LG_Party),OR(LG_Loc="ALL",$I753=LG_Loc),OR(LG_CC="ALL",$J753=LG_CC),$D753&gt;=LG_From,$D753&lt;=LG_To),$D753+ROW()/1000000,""),"")</f>
        <v/>
      </c>
      <c r="Z753" s="32">
        <f>IF($A753=1,IF(Platform_Settlements!$M8="","",Platform_Settlements!$M8),"")</f>
        <v/>
      </c>
      <c r="AA753" s="32">
        <f>IF($A753=1,IF(Platform_Settlements!$N8="","",Platform_Settlements!$N8),"")</f>
        <v/>
      </c>
      <c r="AB753" s="32">
        <f>IF($A753=1,IF(Platform_Settlements!$O8="","",Platform_Settlements!$O8),"")</f>
        <v/>
      </c>
      <c r="AC753" s="32">
        <f>IF($A753=1,IF(Platform_Settlements!$P8="","",Platform_Settlements!$P8),"")</f>
        <v/>
      </c>
      <c r="AD753" s="32">
        <f>IF($A753=1,IF(Platform_Settlements!$Q8="","",Platform_Settlements!$Q8),"")</f>
        <v/>
      </c>
      <c r="AE753" s="32">
        <f>IF($A753=1,0,"")</f>
        <v/>
      </c>
      <c r="AF753" s="32" t="inlineStr"/>
    </row>
    <row r="754">
      <c r="A754" s="32">
        <f>IF(AND(Platform_Settlements!$X8=1,N(Platform_Settlements!$T8)&gt;0),1,0)</f>
        <v/>
      </c>
      <c r="B754" s="32">
        <f>IF($A754=1,$E754&amp;"/4","")</f>
        <v/>
      </c>
      <c r="C754" s="32">
        <f>IF($A754=1,"J-"&amp;Platform_Settlements!$A8,"")</f>
        <v/>
      </c>
      <c r="D754" s="33">
        <f>IF($A754=1,Platform_Settlements!$B8,"")</f>
        <v/>
      </c>
      <c r="E754" s="32">
        <f>IF($A754=1,IF(Platform_Settlements!$A8="","",Platform_Settlements!$A8),"")</f>
        <v/>
      </c>
      <c r="F754" s="32">
        <f>IF($A754=1,"PLT","")</f>
        <v/>
      </c>
      <c r="G754" s="32">
        <f>IF($A754=1,ACC_PLT_DIFF,"")</f>
        <v/>
      </c>
      <c r="H754" s="32">
        <f>IF($A754=1,IF(COUNTIF(COA!$A:$A,$G754)=0,"حساب غير معرف",INDEX(COA!$B:$B,MATCH($G754,COA!$A:$A,0))),"")</f>
        <v/>
      </c>
      <c r="I754" s="32">
        <f>IF($A754=1,IF(Platform_Settlements!$D8="","",Platform_Settlements!$D8),"")</f>
        <v/>
      </c>
      <c r="J754" s="32">
        <f>IF($A754=1,"CC00","")</f>
        <v/>
      </c>
      <c r="K754" s="32">
        <f>IF($A754=1,"-","")</f>
        <v/>
      </c>
      <c r="L754" s="32">
        <f>IF($A754=1,"فرق تسوية منصة (نقص) تحت المراجعة","")</f>
        <v/>
      </c>
      <c r="M754" s="43">
        <f>IF($A754=1,Platform_Settlements!$T8,"")</f>
        <v/>
      </c>
      <c r="N754" s="43">
        <f>IF($A754=1,0,"")</f>
        <v/>
      </c>
      <c r="O754" s="32">
        <f>IF($A754=1,Platform_Settlements!$L8,"")</f>
        <v/>
      </c>
      <c r="P754" s="32">
        <f>IF($A754=1,IF(Platform_Settlements!$Y8="","",Platform_Settlements!$Y8),"")</f>
        <v/>
      </c>
      <c r="Q754" s="32">
        <f>IF($A754=1,Platform_Settlements!$AA8,"")</f>
        <v/>
      </c>
      <c r="R754" s="32">
        <f>IF($A754=1,IF(AND($Q754=1,COUNTIFS(COA!$A:$A,$G754,COA!$R:$R,1)=1),1,0),"")</f>
        <v/>
      </c>
      <c r="S754" s="43">
        <f>IF($A754=1,IF($R754=1,N($M754),0),"")</f>
        <v/>
      </c>
      <c r="T754" s="43">
        <f>IF($A754=1,IF($R754=1,N($N754),0),"")</f>
        <v/>
      </c>
      <c r="U754" s="32">
        <f>IF($A754=1,YEAR($D754)*100+MONTH($D754),"")</f>
        <v/>
      </c>
      <c r="V754" s="32">
        <f>IF($A754=1,IF(COUNTIF(COA!$A:$A,$G754)=0,0,INDEX(COA!$H:$H,MATCH($G754,COA!$A:$A,0))),"")</f>
        <v/>
      </c>
      <c r="W754" s="32">
        <f>IF($A754=1,"","")</f>
        <v/>
      </c>
      <c r="X754" s="32">
        <f>IF($A754=1,IF($R754=1,"",IF($O754=ST_POST,IF($P754&lt;&gt;"",$P754,"حساب غير صالح أو غير نشط"),IF($O754=ST_REV,"معكوس: لا أثر على الدفاتر",IF($O754=ST_CANC,"ملغى",IF($O754=ST_APPR,"معتمد ولم يُرحَّل","مسودة"))))),"")</f>
        <v/>
      </c>
      <c r="Y754" s="32">
        <f>IF($A754=1,IF(AND($R754=1,OR(LG_Acct="",$G754=LG_Acct),OR(LG_Party="",$K754=LG_Party),OR(LG_Loc="ALL",$I754=LG_Loc),OR(LG_CC="ALL",$J754=LG_CC),$D754&gt;=LG_From,$D754&lt;=LG_To),$D754+ROW()/1000000,""),"")</f>
        <v/>
      </c>
      <c r="Z754" s="32">
        <f>IF($A754=1,IF(Platform_Settlements!$M8="","",Platform_Settlements!$M8),"")</f>
        <v/>
      </c>
      <c r="AA754" s="32">
        <f>IF($A754=1,IF(Platform_Settlements!$N8="","",Platform_Settlements!$N8),"")</f>
        <v/>
      </c>
      <c r="AB754" s="32">
        <f>IF($A754=1,IF(Platform_Settlements!$O8="","",Platform_Settlements!$O8),"")</f>
        <v/>
      </c>
      <c r="AC754" s="32">
        <f>IF($A754=1,IF(Platform_Settlements!$P8="","",Platform_Settlements!$P8),"")</f>
        <v/>
      </c>
      <c r="AD754" s="32">
        <f>IF($A754=1,IF(Platform_Settlements!$Q8="","",Platform_Settlements!$Q8),"")</f>
        <v/>
      </c>
      <c r="AE754" s="32">
        <f>IF($A754=1,0,"")</f>
        <v/>
      </c>
      <c r="AF754" s="32" t="inlineStr"/>
    </row>
    <row r="755">
      <c r="A755" s="32">
        <f>IF(AND(Platform_Settlements!$X8=1,N(Platform_Settlements!$T8)&lt;0),1,0)</f>
        <v/>
      </c>
      <c r="B755" s="32">
        <f>IF($A755=1,$E755&amp;"/5","")</f>
        <v/>
      </c>
      <c r="C755" s="32">
        <f>IF($A755=1,"J-"&amp;Platform_Settlements!$A8,"")</f>
        <v/>
      </c>
      <c r="D755" s="33">
        <f>IF($A755=1,Platform_Settlements!$B8,"")</f>
        <v/>
      </c>
      <c r="E755" s="32">
        <f>IF($A755=1,IF(Platform_Settlements!$A8="","",Platform_Settlements!$A8),"")</f>
        <v/>
      </c>
      <c r="F755" s="32">
        <f>IF($A755=1,"PLT","")</f>
        <v/>
      </c>
      <c r="G755" s="32">
        <f>IF($A755=1,ACC_PLT_DIFF,"")</f>
        <v/>
      </c>
      <c r="H755" s="32">
        <f>IF($A755=1,IF(COUNTIF(COA!$A:$A,$G755)=0,"حساب غير معرف",INDEX(COA!$B:$B,MATCH($G755,COA!$A:$A,0))),"")</f>
        <v/>
      </c>
      <c r="I755" s="32">
        <f>IF($A755=1,IF(Platform_Settlements!$D8="","",Platform_Settlements!$D8),"")</f>
        <v/>
      </c>
      <c r="J755" s="32">
        <f>IF($A755=1,"CC00","")</f>
        <v/>
      </c>
      <c r="K755" s="32">
        <f>IF($A755=1,"-","")</f>
        <v/>
      </c>
      <c r="L755" s="32">
        <f>IF($A755=1,"فرق تسوية منصة (زيادة) تحت المراجعة","")</f>
        <v/>
      </c>
      <c r="M755" s="43">
        <f>IF($A755=1,0,"")</f>
        <v/>
      </c>
      <c r="N755" s="43">
        <f>IF($A755=1,-Platform_Settlements!$T8,"")</f>
        <v/>
      </c>
      <c r="O755" s="32">
        <f>IF($A755=1,Platform_Settlements!$L8,"")</f>
        <v/>
      </c>
      <c r="P755" s="32">
        <f>IF($A755=1,IF(Platform_Settlements!$Y8="","",Platform_Settlements!$Y8),"")</f>
        <v/>
      </c>
      <c r="Q755" s="32">
        <f>IF($A755=1,Platform_Settlements!$AA8,"")</f>
        <v/>
      </c>
      <c r="R755" s="32">
        <f>IF($A755=1,IF(AND($Q755=1,COUNTIFS(COA!$A:$A,$G755,COA!$R:$R,1)=1),1,0),"")</f>
        <v/>
      </c>
      <c r="S755" s="43">
        <f>IF($A755=1,IF($R755=1,N($M755),0),"")</f>
        <v/>
      </c>
      <c r="T755" s="43">
        <f>IF($A755=1,IF($R755=1,N($N755),0),"")</f>
        <v/>
      </c>
      <c r="U755" s="32">
        <f>IF($A755=1,YEAR($D755)*100+MONTH($D755),"")</f>
        <v/>
      </c>
      <c r="V755" s="32">
        <f>IF($A755=1,IF(COUNTIF(COA!$A:$A,$G755)=0,0,INDEX(COA!$H:$H,MATCH($G755,COA!$A:$A,0))),"")</f>
        <v/>
      </c>
      <c r="W755" s="32">
        <f>IF($A755=1,"","")</f>
        <v/>
      </c>
      <c r="X755" s="32">
        <f>IF($A755=1,IF($R755=1,"",IF($O755=ST_POST,IF($P755&lt;&gt;"",$P755,"حساب غير صالح أو غير نشط"),IF($O755=ST_REV,"معكوس: لا أثر على الدفاتر",IF($O755=ST_CANC,"ملغى",IF($O755=ST_APPR,"معتمد ولم يُرحَّل","مسودة"))))),"")</f>
        <v/>
      </c>
      <c r="Y755" s="32">
        <f>IF($A755=1,IF(AND($R755=1,OR(LG_Acct="",$G755=LG_Acct),OR(LG_Party="",$K755=LG_Party),OR(LG_Loc="ALL",$I755=LG_Loc),OR(LG_CC="ALL",$J755=LG_CC),$D755&gt;=LG_From,$D755&lt;=LG_To),$D755+ROW()/1000000,""),"")</f>
        <v/>
      </c>
      <c r="Z755" s="32">
        <f>IF($A755=1,IF(Platform_Settlements!$M8="","",Platform_Settlements!$M8),"")</f>
        <v/>
      </c>
      <c r="AA755" s="32">
        <f>IF($A755=1,IF(Platform_Settlements!$N8="","",Platform_Settlements!$N8),"")</f>
        <v/>
      </c>
      <c r="AB755" s="32">
        <f>IF($A755=1,IF(Platform_Settlements!$O8="","",Platform_Settlements!$O8),"")</f>
        <v/>
      </c>
      <c r="AC755" s="32">
        <f>IF($A755=1,IF(Platform_Settlements!$P8="","",Platform_Settlements!$P8),"")</f>
        <v/>
      </c>
      <c r="AD755" s="32">
        <f>IF($A755=1,IF(Platform_Settlements!$Q8="","",Platform_Settlements!$Q8),"")</f>
        <v/>
      </c>
      <c r="AE755" s="32">
        <f>IF($A755=1,0,"")</f>
        <v/>
      </c>
      <c r="AF755" s="32" t="inlineStr"/>
    </row>
    <row r="756">
      <c r="A756" s="32">
        <f>IF(AND(Platform_Settlements!$X8=1,N(Platform_Settlements!$G8)&gt;0),1,0)</f>
        <v/>
      </c>
      <c r="B756" s="32">
        <f>IF($A756=1,$E756&amp;"/6","")</f>
        <v/>
      </c>
      <c r="C756" s="32">
        <f>IF($A756=1,"J-"&amp;Platform_Settlements!$A8,"")</f>
        <v/>
      </c>
      <c r="D756" s="33">
        <f>IF($A756=1,Platform_Settlements!$B8,"")</f>
        <v/>
      </c>
      <c r="E756" s="32">
        <f>IF($A756=1,IF(Platform_Settlements!$A8="","",Platform_Settlements!$A8),"")</f>
        <v/>
      </c>
      <c r="F756" s="32">
        <f>IF($A756=1,"PLT","")</f>
        <v/>
      </c>
      <c r="G756" s="32">
        <f>IF($A756=1,IF(Platform_Settlements!$U8="","",Platform_Settlements!$U8),"")</f>
        <v/>
      </c>
      <c r="H756" s="32">
        <f>IF($A756=1,IF(COUNTIF(COA!$A:$A,$G756)=0,"حساب غير معرف",INDEX(COA!$B:$B,MATCH($G756,COA!$A:$A,0))),"")</f>
        <v/>
      </c>
      <c r="I756" s="32">
        <f>IF($A756=1,IF(Platform_Settlements!$D8="","",Platform_Settlements!$D8),"")</f>
        <v/>
      </c>
      <c r="J756" s="32">
        <f>IF($A756=1,"CC00","")</f>
        <v/>
      </c>
      <c r="K756" s="32">
        <f>IF($A756=1,"-","")</f>
        <v/>
      </c>
      <c r="L756" s="32">
        <f>IF($A756=1,"تخفيض مستحقات المنصة/البطاقات","")</f>
        <v/>
      </c>
      <c r="M756" s="43">
        <f>IF($A756=1,0,"")</f>
        <v/>
      </c>
      <c r="N756" s="43">
        <f>IF($A756=1,Platform_Settlements!$G8,"")</f>
        <v/>
      </c>
      <c r="O756" s="32">
        <f>IF($A756=1,Platform_Settlements!$L8,"")</f>
        <v/>
      </c>
      <c r="P756" s="32">
        <f>IF($A756=1,IF(Platform_Settlements!$Y8="","",Platform_Settlements!$Y8),"")</f>
        <v/>
      </c>
      <c r="Q756" s="32">
        <f>IF($A756=1,Platform_Settlements!$AA8,"")</f>
        <v/>
      </c>
      <c r="R756" s="32">
        <f>IF($A756=1,IF(AND($Q756=1,COUNTIFS(COA!$A:$A,$G756,COA!$R:$R,1)=1),1,0),"")</f>
        <v/>
      </c>
      <c r="S756" s="43">
        <f>IF($A756=1,IF($R756=1,N($M756),0),"")</f>
        <v/>
      </c>
      <c r="T756" s="43">
        <f>IF($A756=1,IF($R756=1,N($N756),0),"")</f>
        <v/>
      </c>
      <c r="U756" s="32">
        <f>IF($A756=1,YEAR($D756)*100+MONTH($D756),"")</f>
        <v/>
      </c>
      <c r="V756" s="32">
        <f>IF($A756=1,IF(COUNTIF(COA!$A:$A,$G756)=0,0,INDEX(COA!$H:$H,MATCH($G756,COA!$A:$A,0))),"")</f>
        <v/>
      </c>
      <c r="W756" s="32">
        <f>IF($A756=1,"","")</f>
        <v/>
      </c>
      <c r="X756" s="32">
        <f>IF($A756=1,IF($R756=1,"",IF($O756=ST_POST,IF($P756&lt;&gt;"",$P756,"حساب غير صالح أو غير نشط"),IF($O756=ST_REV,"معكوس: لا أثر على الدفاتر",IF($O756=ST_CANC,"ملغى",IF($O756=ST_APPR,"معتمد ولم يُرحَّل","مسودة"))))),"")</f>
        <v/>
      </c>
      <c r="Y756" s="32">
        <f>IF($A756=1,IF(AND($R756=1,OR(LG_Acct="",$G756=LG_Acct),OR(LG_Party="",$K756=LG_Party),OR(LG_Loc="ALL",$I756=LG_Loc),OR(LG_CC="ALL",$J756=LG_CC),$D756&gt;=LG_From,$D756&lt;=LG_To),$D756+ROW()/1000000,""),"")</f>
        <v/>
      </c>
      <c r="Z756" s="32">
        <f>IF($A756=1,IF(Platform_Settlements!$M8="","",Platform_Settlements!$M8),"")</f>
        <v/>
      </c>
      <c r="AA756" s="32">
        <f>IF($A756=1,IF(Platform_Settlements!$N8="","",Platform_Settlements!$N8),"")</f>
        <v/>
      </c>
      <c r="AB756" s="32">
        <f>IF($A756=1,IF(Platform_Settlements!$O8="","",Platform_Settlements!$O8),"")</f>
        <v/>
      </c>
      <c r="AC756" s="32">
        <f>IF($A756=1,IF(Platform_Settlements!$P8="","",Platform_Settlements!$P8),"")</f>
        <v/>
      </c>
      <c r="AD756" s="32">
        <f>IF($A756=1,IF(Platform_Settlements!$Q8="","",Platform_Settlements!$Q8),"")</f>
        <v/>
      </c>
      <c r="AE756" s="32">
        <f>IF($A756=1,0,"")</f>
        <v/>
      </c>
      <c r="AF756" s="32" t="inlineStr"/>
    </row>
    <row r="757">
      <c r="A757" s="32">
        <f>IF(AND(Platform_Settlements!$X9=1,N(Platform_Settlements!$J9)&gt;0),1,0)</f>
        <v/>
      </c>
      <c r="B757" s="32">
        <f>IF($A757=1,$E757&amp;"/1","")</f>
        <v/>
      </c>
      <c r="C757" s="32">
        <f>IF($A757=1,"J-"&amp;Platform_Settlements!$A9,"")</f>
        <v/>
      </c>
      <c r="D757" s="33">
        <f>IF($A757=1,Platform_Settlements!$B9,"")</f>
        <v/>
      </c>
      <c r="E757" s="32">
        <f>IF($A757=1,IF(Platform_Settlements!$A9="","",Platform_Settlements!$A9),"")</f>
        <v/>
      </c>
      <c r="F757" s="32">
        <f>IF($A757=1,"PLT","")</f>
        <v/>
      </c>
      <c r="G757" s="32">
        <f>IF($A757=1,IF(Platform_Settlements!$W9="","",Platform_Settlements!$W9),"")</f>
        <v/>
      </c>
      <c r="H757" s="32">
        <f>IF($A757=1,IF(COUNTIF(COA!$A:$A,$G757)=0,"حساب غير معرف",INDEX(COA!$B:$B,MATCH($G757,COA!$A:$A,0))),"")</f>
        <v/>
      </c>
      <c r="I757" s="32">
        <f>IF($A757=1,IF(Platform_Settlements!$D9="","",Platform_Settlements!$D9),"")</f>
        <v/>
      </c>
      <c r="J757" s="32">
        <f>IF($A757=1,"CC00","")</f>
        <v/>
      </c>
      <c r="K757" s="32">
        <f>IF($A757=1,"-","")</f>
        <v/>
      </c>
      <c r="L757" s="32">
        <f>IF($A757=1,"استلام تسوية منصة/بطاقات","")</f>
        <v/>
      </c>
      <c r="M757" s="43">
        <f>IF($A757=1,Platform_Settlements!$J9,"")</f>
        <v/>
      </c>
      <c r="N757" s="43">
        <f>IF($A757=1,0,"")</f>
        <v/>
      </c>
      <c r="O757" s="32">
        <f>IF($A757=1,Platform_Settlements!$L9,"")</f>
        <v/>
      </c>
      <c r="P757" s="32">
        <f>IF($A757=1,IF(Platform_Settlements!$Y9="","",Platform_Settlements!$Y9),"")</f>
        <v/>
      </c>
      <c r="Q757" s="32">
        <f>IF($A757=1,Platform_Settlements!$AA9,"")</f>
        <v/>
      </c>
      <c r="R757" s="32">
        <f>IF($A757=1,IF(AND($Q757=1,COUNTIFS(COA!$A:$A,$G757,COA!$R:$R,1)=1),1,0),"")</f>
        <v/>
      </c>
      <c r="S757" s="43">
        <f>IF($A757=1,IF($R757=1,N($M757),0),"")</f>
        <v/>
      </c>
      <c r="T757" s="43">
        <f>IF($A757=1,IF($R757=1,N($N757),0),"")</f>
        <v/>
      </c>
      <c r="U757" s="32">
        <f>IF($A757=1,YEAR($D757)*100+MONTH($D757),"")</f>
        <v/>
      </c>
      <c r="V757" s="32">
        <f>IF($A757=1,IF(COUNTIF(COA!$A:$A,$G757)=0,0,INDEX(COA!$H:$H,MATCH($G757,COA!$A:$A,0))),"")</f>
        <v/>
      </c>
      <c r="W757" s="32">
        <f>IF($A757=1,"OPERATING","")</f>
        <v/>
      </c>
      <c r="X757" s="32">
        <f>IF($A757=1,IF($R757=1,"",IF($O757=ST_POST,IF($P757&lt;&gt;"",$P757,"حساب غير صالح أو غير نشط"),IF($O757=ST_REV,"معكوس: لا أثر على الدفاتر",IF($O757=ST_CANC,"ملغى",IF($O757=ST_APPR,"معتمد ولم يُرحَّل","مسودة"))))),"")</f>
        <v/>
      </c>
      <c r="Y757" s="32">
        <f>IF($A757=1,IF(AND($R757=1,OR(LG_Acct="",$G757=LG_Acct),OR(LG_Party="",$K757=LG_Party),OR(LG_Loc="ALL",$I757=LG_Loc),OR(LG_CC="ALL",$J757=LG_CC),$D757&gt;=LG_From,$D757&lt;=LG_To),$D757+ROW()/1000000,""),"")</f>
        <v/>
      </c>
      <c r="Z757" s="32">
        <f>IF($A757=1,IF(Platform_Settlements!$M9="","",Platform_Settlements!$M9),"")</f>
        <v/>
      </c>
      <c r="AA757" s="32">
        <f>IF($A757=1,IF(Platform_Settlements!$N9="","",Platform_Settlements!$N9),"")</f>
        <v/>
      </c>
      <c r="AB757" s="32">
        <f>IF($A757=1,IF(Platform_Settlements!$O9="","",Platform_Settlements!$O9),"")</f>
        <v/>
      </c>
      <c r="AC757" s="32">
        <f>IF($A757=1,IF(Platform_Settlements!$P9="","",Platform_Settlements!$P9),"")</f>
        <v/>
      </c>
      <c r="AD757" s="32">
        <f>IF($A757=1,IF(Platform_Settlements!$Q9="","",Platform_Settlements!$Q9),"")</f>
        <v/>
      </c>
      <c r="AE757" s="32">
        <f>IF($A757=1,0,"")</f>
        <v/>
      </c>
      <c r="AF757" s="32" t="inlineStr"/>
    </row>
    <row r="758">
      <c r="A758" s="32">
        <f>IF(AND(Platform_Settlements!$X9=1,N(Platform_Settlements!$H9)&gt;0),1,0)</f>
        <v/>
      </c>
      <c r="B758" s="32">
        <f>IF($A758=1,$E758&amp;"/2","")</f>
        <v/>
      </c>
      <c r="C758" s="32">
        <f>IF($A758=1,"J-"&amp;Platform_Settlements!$A9,"")</f>
        <v/>
      </c>
      <c r="D758" s="33">
        <f>IF($A758=1,Platform_Settlements!$B9,"")</f>
        <v/>
      </c>
      <c r="E758" s="32">
        <f>IF($A758=1,IF(Platform_Settlements!$A9="","",Platform_Settlements!$A9),"")</f>
        <v/>
      </c>
      <c r="F758" s="32">
        <f>IF($A758=1,"PLT","")</f>
        <v/>
      </c>
      <c r="G758" s="32">
        <f>IF($A758=1,IF(Platform_Settlements!$V9="","",Platform_Settlements!$V9),"")</f>
        <v/>
      </c>
      <c r="H758" s="32">
        <f>IF($A758=1,IF(COUNTIF(COA!$A:$A,$G758)=0,"حساب غير معرف",INDEX(COA!$B:$B,MATCH($G758,COA!$A:$A,0))),"")</f>
        <v/>
      </c>
      <c r="I758" s="32">
        <f>IF($A758=1,IF(Platform_Settlements!$D9="","",Platform_Settlements!$D9),"")</f>
        <v/>
      </c>
      <c r="J758" s="32">
        <f>IF($A758=1,"CC30","")</f>
        <v/>
      </c>
      <c r="K758" s="32">
        <f>IF($A758=1,"-","")</f>
        <v/>
      </c>
      <c r="L758" s="32">
        <f>IF($A758=1,"عمولة المنصة/رسوم البطاقات","")</f>
        <v/>
      </c>
      <c r="M758" s="43">
        <f>IF($A758=1,Platform_Settlements!$H9,"")</f>
        <v/>
      </c>
      <c r="N758" s="43">
        <f>IF($A758=1,0,"")</f>
        <v/>
      </c>
      <c r="O758" s="32">
        <f>IF($A758=1,Platform_Settlements!$L9,"")</f>
        <v/>
      </c>
      <c r="P758" s="32">
        <f>IF($A758=1,IF(Platform_Settlements!$Y9="","",Platform_Settlements!$Y9),"")</f>
        <v/>
      </c>
      <c r="Q758" s="32">
        <f>IF($A758=1,Platform_Settlements!$AA9,"")</f>
        <v/>
      </c>
      <c r="R758" s="32">
        <f>IF($A758=1,IF(AND($Q758=1,COUNTIFS(COA!$A:$A,$G758,COA!$R:$R,1)=1),1,0),"")</f>
        <v/>
      </c>
      <c r="S758" s="43">
        <f>IF($A758=1,IF($R758=1,N($M758),0),"")</f>
        <v/>
      </c>
      <c r="T758" s="43">
        <f>IF($A758=1,IF($R758=1,N($N758),0),"")</f>
        <v/>
      </c>
      <c r="U758" s="32">
        <f>IF($A758=1,YEAR($D758)*100+MONTH($D758),"")</f>
        <v/>
      </c>
      <c r="V758" s="32">
        <f>IF($A758=1,IF(COUNTIF(COA!$A:$A,$G758)=0,0,INDEX(COA!$H:$H,MATCH($G758,COA!$A:$A,0))),"")</f>
        <v/>
      </c>
      <c r="W758" s="32">
        <f>IF($A758=1,"","")</f>
        <v/>
      </c>
      <c r="X758" s="32">
        <f>IF($A758=1,IF($R758=1,"",IF($O758=ST_POST,IF($P758&lt;&gt;"",$P758,"حساب غير صالح أو غير نشط"),IF($O758=ST_REV,"معكوس: لا أثر على الدفاتر",IF($O758=ST_CANC,"ملغى",IF($O758=ST_APPR,"معتمد ولم يُرحَّل","مسودة"))))),"")</f>
        <v/>
      </c>
      <c r="Y758" s="32">
        <f>IF($A758=1,IF(AND($R758=1,OR(LG_Acct="",$G758=LG_Acct),OR(LG_Party="",$K758=LG_Party),OR(LG_Loc="ALL",$I758=LG_Loc),OR(LG_CC="ALL",$J758=LG_CC),$D758&gt;=LG_From,$D758&lt;=LG_To),$D758+ROW()/1000000,""),"")</f>
        <v/>
      </c>
      <c r="Z758" s="32">
        <f>IF($A758=1,IF(Platform_Settlements!$M9="","",Platform_Settlements!$M9),"")</f>
        <v/>
      </c>
      <c r="AA758" s="32">
        <f>IF($A758=1,IF(Platform_Settlements!$N9="","",Platform_Settlements!$N9),"")</f>
        <v/>
      </c>
      <c r="AB758" s="32">
        <f>IF($A758=1,IF(Platform_Settlements!$O9="","",Platform_Settlements!$O9),"")</f>
        <v/>
      </c>
      <c r="AC758" s="32">
        <f>IF($A758=1,IF(Platform_Settlements!$P9="","",Platform_Settlements!$P9),"")</f>
        <v/>
      </c>
      <c r="AD758" s="32">
        <f>IF($A758=1,IF(Platform_Settlements!$Q9="","",Platform_Settlements!$Q9),"")</f>
        <v/>
      </c>
      <c r="AE758" s="32">
        <f>IF($A758=1,0,"")</f>
        <v/>
      </c>
      <c r="AF758" s="32" t="inlineStr"/>
    </row>
    <row r="759">
      <c r="A759" s="32">
        <f>IF(AND(Platform_Settlements!$X9=1,N(Platform_Settlements!$I9)&gt;0),1,0)</f>
        <v/>
      </c>
      <c r="B759" s="32">
        <f>IF($A759=1,$E759&amp;"/3","")</f>
        <v/>
      </c>
      <c r="C759" s="32">
        <f>IF($A759=1,"J-"&amp;Platform_Settlements!$A9,"")</f>
        <v/>
      </c>
      <c r="D759" s="33">
        <f>IF($A759=1,Platform_Settlements!$B9,"")</f>
        <v/>
      </c>
      <c r="E759" s="32">
        <f>IF($A759=1,IF(Platform_Settlements!$A9="","",Platform_Settlements!$A9),"")</f>
        <v/>
      </c>
      <c r="F759" s="32">
        <f>IF($A759=1,"PLT","")</f>
        <v/>
      </c>
      <c r="G759" s="32">
        <f>IF($A759=1,ACC_PLT_OTHER,"")</f>
        <v/>
      </c>
      <c r="H759" s="32">
        <f>IF($A759=1,IF(COUNTIF(COA!$A:$A,$G759)=0,"حساب غير معرف",INDEX(COA!$B:$B,MATCH($G759,COA!$A:$A,0))),"")</f>
        <v/>
      </c>
      <c r="I759" s="32">
        <f>IF($A759=1,IF(Platform_Settlements!$D9="","",Platform_Settlements!$D9),"")</f>
        <v/>
      </c>
      <c r="J759" s="32">
        <f>IF($A759=1,"CC30","")</f>
        <v/>
      </c>
      <c r="K759" s="32">
        <f>IF($A759=1,"-","")</f>
        <v/>
      </c>
      <c r="L759" s="32">
        <f>IF($A759=1,"خصومات/غرامات أخرى من المنصة","")</f>
        <v/>
      </c>
      <c r="M759" s="43">
        <f>IF($A759=1,Platform_Settlements!$I9,"")</f>
        <v/>
      </c>
      <c r="N759" s="43">
        <f>IF($A759=1,0,"")</f>
        <v/>
      </c>
      <c r="O759" s="32">
        <f>IF($A759=1,Platform_Settlements!$L9,"")</f>
        <v/>
      </c>
      <c r="P759" s="32">
        <f>IF($A759=1,IF(Platform_Settlements!$Y9="","",Platform_Settlements!$Y9),"")</f>
        <v/>
      </c>
      <c r="Q759" s="32">
        <f>IF($A759=1,Platform_Settlements!$AA9,"")</f>
        <v/>
      </c>
      <c r="R759" s="32">
        <f>IF($A759=1,IF(AND($Q759=1,COUNTIFS(COA!$A:$A,$G759,COA!$R:$R,1)=1),1,0),"")</f>
        <v/>
      </c>
      <c r="S759" s="43">
        <f>IF($A759=1,IF($R759=1,N($M759),0),"")</f>
        <v/>
      </c>
      <c r="T759" s="43">
        <f>IF($A759=1,IF($R759=1,N($N759),0),"")</f>
        <v/>
      </c>
      <c r="U759" s="32">
        <f>IF($A759=1,YEAR($D759)*100+MONTH($D759),"")</f>
        <v/>
      </c>
      <c r="V759" s="32">
        <f>IF($A759=1,IF(COUNTIF(COA!$A:$A,$G759)=0,0,INDEX(COA!$H:$H,MATCH($G759,COA!$A:$A,0))),"")</f>
        <v/>
      </c>
      <c r="W759" s="32">
        <f>IF($A759=1,"","")</f>
        <v/>
      </c>
      <c r="X759" s="32">
        <f>IF($A759=1,IF($R759=1,"",IF($O759=ST_POST,IF($P759&lt;&gt;"",$P759,"حساب غير صالح أو غير نشط"),IF($O759=ST_REV,"معكوس: لا أثر على الدفاتر",IF($O759=ST_CANC,"ملغى",IF($O759=ST_APPR,"معتمد ولم يُرحَّل","مسودة"))))),"")</f>
        <v/>
      </c>
      <c r="Y759" s="32">
        <f>IF($A759=1,IF(AND($R759=1,OR(LG_Acct="",$G759=LG_Acct),OR(LG_Party="",$K759=LG_Party),OR(LG_Loc="ALL",$I759=LG_Loc),OR(LG_CC="ALL",$J759=LG_CC),$D759&gt;=LG_From,$D759&lt;=LG_To),$D759+ROW()/1000000,""),"")</f>
        <v/>
      </c>
      <c r="Z759" s="32">
        <f>IF($A759=1,IF(Platform_Settlements!$M9="","",Platform_Settlements!$M9),"")</f>
        <v/>
      </c>
      <c r="AA759" s="32">
        <f>IF($A759=1,IF(Platform_Settlements!$N9="","",Platform_Settlements!$N9),"")</f>
        <v/>
      </c>
      <c r="AB759" s="32">
        <f>IF($A759=1,IF(Platform_Settlements!$O9="","",Platform_Settlements!$O9),"")</f>
        <v/>
      </c>
      <c r="AC759" s="32">
        <f>IF($A759=1,IF(Platform_Settlements!$P9="","",Platform_Settlements!$P9),"")</f>
        <v/>
      </c>
      <c r="AD759" s="32">
        <f>IF($A759=1,IF(Platform_Settlements!$Q9="","",Platform_Settlements!$Q9),"")</f>
        <v/>
      </c>
      <c r="AE759" s="32">
        <f>IF($A759=1,0,"")</f>
        <v/>
      </c>
      <c r="AF759" s="32" t="inlineStr"/>
    </row>
    <row r="760">
      <c r="A760" s="32">
        <f>IF(AND(Platform_Settlements!$X9=1,N(Platform_Settlements!$T9)&gt;0),1,0)</f>
        <v/>
      </c>
      <c r="B760" s="32">
        <f>IF($A760=1,$E760&amp;"/4","")</f>
        <v/>
      </c>
      <c r="C760" s="32">
        <f>IF($A760=1,"J-"&amp;Platform_Settlements!$A9,"")</f>
        <v/>
      </c>
      <c r="D760" s="33">
        <f>IF($A760=1,Platform_Settlements!$B9,"")</f>
        <v/>
      </c>
      <c r="E760" s="32">
        <f>IF($A760=1,IF(Platform_Settlements!$A9="","",Platform_Settlements!$A9),"")</f>
        <v/>
      </c>
      <c r="F760" s="32">
        <f>IF($A760=1,"PLT","")</f>
        <v/>
      </c>
      <c r="G760" s="32">
        <f>IF($A760=1,ACC_PLT_DIFF,"")</f>
        <v/>
      </c>
      <c r="H760" s="32">
        <f>IF($A760=1,IF(COUNTIF(COA!$A:$A,$G760)=0,"حساب غير معرف",INDEX(COA!$B:$B,MATCH($G760,COA!$A:$A,0))),"")</f>
        <v/>
      </c>
      <c r="I760" s="32">
        <f>IF($A760=1,IF(Platform_Settlements!$D9="","",Platform_Settlements!$D9),"")</f>
        <v/>
      </c>
      <c r="J760" s="32">
        <f>IF($A760=1,"CC00","")</f>
        <v/>
      </c>
      <c r="K760" s="32">
        <f>IF($A760=1,"-","")</f>
        <v/>
      </c>
      <c r="L760" s="32">
        <f>IF($A760=1,"فرق تسوية منصة (نقص) تحت المراجعة","")</f>
        <v/>
      </c>
      <c r="M760" s="43">
        <f>IF($A760=1,Platform_Settlements!$T9,"")</f>
        <v/>
      </c>
      <c r="N760" s="43">
        <f>IF($A760=1,0,"")</f>
        <v/>
      </c>
      <c r="O760" s="32">
        <f>IF($A760=1,Platform_Settlements!$L9,"")</f>
        <v/>
      </c>
      <c r="P760" s="32">
        <f>IF($A760=1,IF(Platform_Settlements!$Y9="","",Platform_Settlements!$Y9),"")</f>
        <v/>
      </c>
      <c r="Q760" s="32">
        <f>IF($A760=1,Platform_Settlements!$AA9,"")</f>
        <v/>
      </c>
      <c r="R760" s="32">
        <f>IF($A760=1,IF(AND($Q760=1,COUNTIFS(COA!$A:$A,$G760,COA!$R:$R,1)=1),1,0),"")</f>
        <v/>
      </c>
      <c r="S760" s="43">
        <f>IF($A760=1,IF($R760=1,N($M760),0),"")</f>
        <v/>
      </c>
      <c r="T760" s="43">
        <f>IF($A760=1,IF($R760=1,N($N760),0),"")</f>
        <v/>
      </c>
      <c r="U760" s="32">
        <f>IF($A760=1,YEAR($D760)*100+MONTH($D760),"")</f>
        <v/>
      </c>
      <c r="V760" s="32">
        <f>IF($A760=1,IF(COUNTIF(COA!$A:$A,$G760)=0,0,INDEX(COA!$H:$H,MATCH($G760,COA!$A:$A,0))),"")</f>
        <v/>
      </c>
      <c r="W760" s="32">
        <f>IF($A760=1,"","")</f>
        <v/>
      </c>
      <c r="X760" s="32">
        <f>IF($A760=1,IF($R760=1,"",IF($O760=ST_POST,IF($P760&lt;&gt;"",$P760,"حساب غير صالح أو غير نشط"),IF($O760=ST_REV,"معكوس: لا أثر على الدفاتر",IF($O760=ST_CANC,"ملغى",IF($O760=ST_APPR,"معتمد ولم يُرحَّل","مسودة"))))),"")</f>
        <v/>
      </c>
      <c r="Y760" s="32">
        <f>IF($A760=1,IF(AND($R760=1,OR(LG_Acct="",$G760=LG_Acct),OR(LG_Party="",$K760=LG_Party),OR(LG_Loc="ALL",$I760=LG_Loc),OR(LG_CC="ALL",$J760=LG_CC),$D760&gt;=LG_From,$D760&lt;=LG_To),$D760+ROW()/1000000,""),"")</f>
        <v/>
      </c>
      <c r="Z760" s="32">
        <f>IF($A760=1,IF(Platform_Settlements!$M9="","",Platform_Settlements!$M9),"")</f>
        <v/>
      </c>
      <c r="AA760" s="32">
        <f>IF($A760=1,IF(Platform_Settlements!$N9="","",Platform_Settlements!$N9),"")</f>
        <v/>
      </c>
      <c r="AB760" s="32">
        <f>IF($A760=1,IF(Platform_Settlements!$O9="","",Platform_Settlements!$O9),"")</f>
        <v/>
      </c>
      <c r="AC760" s="32">
        <f>IF($A760=1,IF(Platform_Settlements!$P9="","",Platform_Settlements!$P9),"")</f>
        <v/>
      </c>
      <c r="AD760" s="32">
        <f>IF($A760=1,IF(Platform_Settlements!$Q9="","",Platform_Settlements!$Q9),"")</f>
        <v/>
      </c>
      <c r="AE760" s="32">
        <f>IF($A760=1,0,"")</f>
        <v/>
      </c>
      <c r="AF760" s="32" t="inlineStr"/>
    </row>
    <row r="761">
      <c r="A761" s="32">
        <f>IF(AND(Platform_Settlements!$X9=1,N(Platform_Settlements!$T9)&lt;0),1,0)</f>
        <v/>
      </c>
      <c r="B761" s="32">
        <f>IF($A761=1,$E761&amp;"/5","")</f>
        <v/>
      </c>
      <c r="C761" s="32">
        <f>IF($A761=1,"J-"&amp;Platform_Settlements!$A9,"")</f>
        <v/>
      </c>
      <c r="D761" s="33">
        <f>IF($A761=1,Platform_Settlements!$B9,"")</f>
        <v/>
      </c>
      <c r="E761" s="32">
        <f>IF($A761=1,IF(Platform_Settlements!$A9="","",Platform_Settlements!$A9),"")</f>
        <v/>
      </c>
      <c r="F761" s="32">
        <f>IF($A761=1,"PLT","")</f>
        <v/>
      </c>
      <c r="G761" s="32">
        <f>IF($A761=1,ACC_PLT_DIFF,"")</f>
        <v/>
      </c>
      <c r="H761" s="32">
        <f>IF($A761=1,IF(COUNTIF(COA!$A:$A,$G761)=0,"حساب غير معرف",INDEX(COA!$B:$B,MATCH($G761,COA!$A:$A,0))),"")</f>
        <v/>
      </c>
      <c r="I761" s="32">
        <f>IF($A761=1,IF(Platform_Settlements!$D9="","",Platform_Settlements!$D9),"")</f>
        <v/>
      </c>
      <c r="J761" s="32">
        <f>IF($A761=1,"CC00","")</f>
        <v/>
      </c>
      <c r="K761" s="32">
        <f>IF($A761=1,"-","")</f>
        <v/>
      </c>
      <c r="L761" s="32">
        <f>IF($A761=1,"فرق تسوية منصة (زيادة) تحت المراجعة","")</f>
        <v/>
      </c>
      <c r="M761" s="43">
        <f>IF($A761=1,0,"")</f>
        <v/>
      </c>
      <c r="N761" s="43">
        <f>IF($A761=1,-Platform_Settlements!$T9,"")</f>
        <v/>
      </c>
      <c r="O761" s="32">
        <f>IF($A761=1,Platform_Settlements!$L9,"")</f>
        <v/>
      </c>
      <c r="P761" s="32">
        <f>IF($A761=1,IF(Platform_Settlements!$Y9="","",Platform_Settlements!$Y9),"")</f>
        <v/>
      </c>
      <c r="Q761" s="32">
        <f>IF($A761=1,Platform_Settlements!$AA9,"")</f>
        <v/>
      </c>
      <c r="R761" s="32">
        <f>IF($A761=1,IF(AND($Q761=1,COUNTIFS(COA!$A:$A,$G761,COA!$R:$R,1)=1),1,0),"")</f>
        <v/>
      </c>
      <c r="S761" s="43">
        <f>IF($A761=1,IF($R761=1,N($M761),0),"")</f>
        <v/>
      </c>
      <c r="T761" s="43">
        <f>IF($A761=1,IF($R761=1,N($N761),0),"")</f>
        <v/>
      </c>
      <c r="U761" s="32">
        <f>IF($A761=1,YEAR($D761)*100+MONTH($D761),"")</f>
        <v/>
      </c>
      <c r="V761" s="32">
        <f>IF($A761=1,IF(COUNTIF(COA!$A:$A,$G761)=0,0,INDEX(COA!$H:$H,MATCH($G761,COA!$A:$A,0))),"")</f>
        <v/>
      </c>
      <c r="W761" s="32">
        <f>IF($A761=1,"","")</f>
        <v/>
      </c>
      <c r="X761" s="32">
        <f>IF($A761=1,IF($R761=1,"",IF($O761=ST_POST,IF($P761&lt;&gt;"",$P761,"حساب غير صالح أو غير نشط"),IF($O761=ST_REV,"معكوس: لا أثر على الدفاتر",IF($O761=ST_CANC,"ملغى",IF($O761=ST_APPR,"معتمد ولم يُرحَّل","مسودة"))))),"")</f>
        <v/>
      </c>
      <c r="Y761" s="32">
        <f>IF($A761=1,IF(AND($R761=1,OR(LG_Acct="",$G761=LG_Acct),OR(LG_Party="",$K761=LG_Party),OR(LG_Loc="ALL",$I761=LG_Loc),OR(LG_CC="ALL",$J761=LG_CC),$D761&gt;=LG_From,$D761&lt;=LG_To),$D761+ROW()/1000000,""),"")</f>
        <v/>
      </c>
      <c r="Z761" s="32">
        <f>IF($A761=1,IF(Platform_Settlements!$M9="","",Platform_Settlements!$M9),"")</f>
        <v/>
      </c>
      <c r="AA761" s="32">
        <f>IF($A761=1,IF(Platform_Settlements!$N9="","",Platform_Settlements!$N9),"")</f>
        <v/>
      </c>
      <c r="AB761" s="32">
        <f>IF($A761=1,IF(Platform_Settlements!$O9="","",Platform_Settlements!$O9),"")</f>
        <v/>
      </c>
      <c r="AC761" s="32">
        <f>IF($A761=1,IF(Platform_Settlements!$P9="","",Platform_Settlements!$P9),"")</f>
        <v/>
      </c>
      <c r="AD761" s="32">
        <f>IF($A761=1,IF(Platform_Settlements!$Q9="","",Platform_Settlements!$Q9),"")</f>
        <v/>
      </c>
      <c r="AE761" s="32">
        <f>IF($A761=1,0,"")</f>
        <v/>
      </c>
      <c r="AF761" s="32" t="inlineStr"/>
    </row>
    <row r="762">
      <c r="A762" s="32">
        <f>IF(AND(Platform_Settlements!$X9=1,N(Platform_Settlements!$G9)&gt;0),1,0)</f>
        <v/>
      </c>
      <c r="B762" s="32">
        <f>IF($A762=1,$E762&amp;"/6","")</f>
        <v/>
      </c>
      <c r="C762" s="32">
        <f>IF($A762=1,"J-"&amp;Platform_Settlements!$A9,"")</f>
        <v/>
      </c>
      <c r="D762" s="33">
        <f>IF($A762=1,Platform_Settlements!$B9,"")</f>
        <v/>
      </c>
      <c r="E762" s="32">
        <f>IF($A762=1,IF(Platform_Settlements!$A9="","",Platform_Settlements!$A9),"")</f>
        <v/>
      </c>
      <c r="F762" s="32">
        <f>IF($A762=1,"PLT","")</f>
        <v/>
      </c>
      <c r="G762" s="32">
        <f>IF($A762=1,IF(Platform_Settlements!$U9="","",Platform_Settlements!$U9),"")</f>
        <v/>
      </c>
      <c r="H762" s="32">
        <f>IF($A762=1,IF(COUNTIF(COA!$A:$A,$G762)=0,"حساب غير معرف",INDEX(COA!$B:$B,MATCH($G762,COA!$A:$A,0))),"")</f>
        <v/>
      </c>
      <c r="I762" s="32">
        <f>IF($A762=1,IF(Platform_Settlements!$D9="","",Platform_Settlements!$D9),"")</f>
        <v/>
      </c>
      <c r="J762" s="32">
        <f>IF($A762=1,"CC00","")</f>
        <v/>
      </c>
      <c r="K762" s="32">
        <f>IF($A762=1,"-","")</f>
        <v/>
      </c>
      <c r="L762" s="32">
        <f>IF($A762=1,"تخفيض مستحقات المنصة/البطاقات","")</f>
        <v/>
      </c>
      <c r="M762" s="43">
        <f>IF($A762=1,0,"")</f>
        <v/>
      </c>
      <c r="N762" s="43">
        <f>IF($A762=1,Platform_Settlements!$G9,"")</f>
        <v/>
      </c>
      <c r="O762" s="32">
        <f>IF($A762=1,Platform_Settlements!$L9,"")</f>
        <v/>
      </c>
      <c r="P762" s="32">
        <f>IF($A762=1,IF(Platform_Settlements!$Y9="","",Platform_Settlements!$Y9),"")</f>
        <v/>
      </c>
      <c r="Q762" s="32">
        <f>IF($A762=1,Platform_Settlements!$AA9,"")</f>
        <v/>
      </c>
      <c r="R762" s="32">
        <f>IF($A762=1,IF(AND($Q762=1,COUNTIFS(COA!$A:$A,$G762,COA!$R:$R,1)=1),1,0),"")</f>
        <v/>
      </c>
      <c r="S762" s="43">
        <f>IF($A762=1,IF($R762=1,N($M762),0),"")</f>
        <v/>
      </c>
      <c r="T762" s="43">
        <f>IF($A762=1,IF($R762=1,N($N762),0),"")</f>
        <v/>
      </c>
      <c r="U762" s="32">
        <f>IF($A762=1,YEAR($D762)*100+MONTH($D762),"")</f>
        <v/>
      </c>
      <c r="V762" s="32">
        <f>IF($A762=1,IF(COUNTIF(COA!$A:$A,$G762)=0,0,INDEX(COA!$H:$H,MATCH($G762,COA!$A:$A,0))),"")</f>
        <v/>
      </c>
      <c r="W762" s="32">
        <f>IF($A762=1,"","")</f>
        <v/>
      </c>
      <c r="X762" s="32">
        <f>IF($A762=1,IF($R762=1,"",IF($O762=ST_POST,IF($P762&lt;&gt;"",$P762,"حساب غير صالح أو غير نشط"),IF($O762=ST_REV,"معكوس: لا أثر على الدفاتر",IF($O762=ST_CANC,"ملغى",IF($O762=ST_APPR,"معتمد ولم يُرحَّل","مسودة"))))),"")</f>
        <v/>
      </c>
      <c r="Y762" s="32">
        <f>IF($A762=1,IF(AND($R762=1,OR(LG_Acct="",$G762=LG_Acct),OR(LG_Party="",$K762=LG_Party),OR(LG_Loc="ALL",$I762=LG_Loc),OR(LG_CC="ALL",$J762=LG_CC),$D762&gt;=LG_From,$D762&lt;=LG_To),$D762+ROW()/1000000,""),"")</f>
        <v/>
      </c>
      <c r="Z762" s="32">
        <f>IF($A762=1,IF(Platform_Settlements!$M9="","",Platform_Settlements!$M9),"")</f>
        <v/>
      </c>
      <c r="AA762" s="32">
        <f>IF($A762=1,IF(Platform_Settlements!$N9="","",Platform_Settlements!$N9),"")</f>
        <v/>
      </c>
      <c r="AB762" s="32">
        <f>IF($A762=1,IF(Platform_Settlements!$O9="","",Platform_Settlements!$O9),"")</f>
        <v/>
      </c>
      <c r="AC762" s="32">
        <f>IF($A762=1,IF(Platform_Settlements!$P9="","",Platform_Settlements!$P9),"")</f>
        <v/>
      </c>
      <c r="AD762" s="32">
        <f>IF($A762=1,IF(Platform_Settlements!$Q9="","",Platform_Settlements!$Q9),"")</f>
        <v/>
      </c>
      <c r="AE762" s="32">
        <f>IF($A762=1,0,"")</f>
        <v/>
      </c>
      <c r="AF762" s="32" t="inlineStr"/>
    </row>
    <row r="763">
      <c r="A763" s="32">
        <f>IF(AND(Platform_Settlements!$X10=1,N(Platform_Settlements!$J10)&gt;0),1,0)</f>
        <v/>
      </c>
      <c r="B763" s="32">
        <f>IF($A763=1,$E763&amp;"/1","")</f>
        <v/>
      </c>
      <c r="C763" s="32">
        <f>IF($A763=1,"J-"&amp;Platform_Settlements!$A10,"")</f>
        <v/>
      </c>
      <c r="D763" s="33">
        <f>IF($A763=1,Platform_Settlements!$B10,"")</f>
        <v/>
      </c>
      <c r="E763" s="32">
        <f>IF($A763=1,IF(Platform_Settlements!$A10="","",Platform_Settlements!$A10),"")</f>
        <v/>
      </c>
      <c r="F763" s="32">
        <f>IF($A763=1,"PLT","")</f>
        <v/>
      </c>
      <c r="G763" s="32">
        <f>IF($A763=1,IF(Platform_Settlements!$W10="","",Platform_Settlements!$W10),"")</f>
        <v/>
      </c>
      <c r="H763" s="32">
        <f>IF($A763=1,IF(COUNTIF(COA!$A:$A,$G763)=0,"حساب غير معرف",INDEX(COA!$B:$B,MATCH($G763,COA!$A:$A,0))),"")</f>
        <v/>
      </c>
      <c r="I763" s="32">
        <f>IF($A763=1,IF(Platform_Settlements!$D10="","",Platform_Settlements!$D10),"")</f>
        <v/>
      </c>
      <c r="J763" s="32">
        <f>IF($A763=1,"CC00","")</f>
        <v/>
      </c>
      <c r="K763" s="32">
        <f>IF($A763=1,"-","")</f>
        <v/>
      </c>
      <c r="L763" s="32">
        <f>IF($A763=1,"استلام تسوية منصة/بطاقات","")</f>
        <v/>
      </c>
      <c r="M763" s="43">
        <f>IF($A763=1,Platform_Settlements!$J10,"")</f>
        <v/>
      </c>
      <c r="N763" s="43">
        <f>IF($A763=1,0,"")</f>
        <v/>
      </c>
      <c r="O763" s="32">
        <f>IF($A763=1,Platform_Settlements!$L10,"")</f>
        <v/>
      </c>
      <c r="P763" s="32">
        <f>IF($A763=1,IF(Platform_Settlements!$Y10="","",Platform_Settlements!$Y10),"")</f>
        <v/>
      </c>
      <c r="Q763" s="32">
        <f>IF($A763=1,Platform_Settlements!$AA10,"")</f>
        <v/>
      </c>
      <c r="R763" s="32">
        <f>IF($A763=1,IF(AND($Q763=1,COUNTIFS(COA!$A:$A,$G763,COA!$R:$R,1)=1),1,0),"")</f>
        <v/>
      </c>
      <c r="S763" s="43">
        <f>IF($A763=1,IF($R763=1,N($M763),0),"")</f>
        <v/>
      </c>
      <c r="T763" s="43">
        <f>IF($A763=1,IF($R763=1,N($N763),0),"")</f>
        <v/>
      </c>
      <c r="U763" s="32">
        <f>IF($A763=1,YEAR($D763)*100+MONTH($D763),"")</f>
        <v/>
      </c>
      <c r="V763" s="32">
        <f>IF($A763=1,IF(COUNTIF(COA!$A:$A,$G763)=0,0,INDEX(COA!$H:$H,MATCH($G763,COA!$A:$A,0))),"")</f>
        <v/>
      </c>
      <c r="W763" s="32">
        <f>IF($A763=1,"OPERATING","")</f>
        <v/>
      </c>
      <c r="X763" s="32">
        <f>IF($A763=1,IF($R763=1,"",IF($O763=ST_POST,IF($P763&lt;&gt;"",$P763,"حساب غير صالح أو غير نشط"),IF($O763=ST_REV,"معكوس: لا أثر على الدفاتر",IF($O763=ST_CANC,"ملغى",IF($O763=ST_APPR,"معتمد ولم يُرحَّل","مسودة"))))),"")</f>
        <v/>
      </c>
      <c r="Y763" s="32">
        <f>IF($A763=1,IF(AND($R763=1,OR(LG_Acct="",$G763=LG_Acct),OR(LG_Party="",$K763=LG_Party),OR(LG_Loc="ALL",$I763=LG_Loc),OR(LG_CC="ALL",$J763=LG_CC),$D763&gt;=LG_From,$D763&lt;=LG_To),$D763+ROW()/1000000,""),"")</f>
        <v/>
      </c>
      <c r="Z763" s="32">
        <f>IF($A763=1,IF(Platform_Settlements!$M10="","",Platform_Settlements!$M10),"")</f>
        <v/>
      </c>
      <c r="AA763" s="32">
        <f>IF($A763=1,IF(Platform_Settlements!$N10="","",Platform_Settlements!$N10),"")</f>
        <v/>
      </c>
      <c r="AB763" s="32">
        <f>IF($A763=1,IF(Platform_Settlements!$O10="","",Platform_Settlements!$O10),"")</f>
        <v/>
      </c>
      <c r="AC763" s="32">
        <f>IF($A763=1,IF(Platform_Settlements!$P10="","",Platform_Settlements!$P10),"")</f>
        <v/>
      </c>
      <c r="AD763" s="32">
        <f>IF($A763=1,IF(Platform_Settlements!$Q10="","",Platform_Settlements!$Q10),"")</f>
        <v/>
      </c>
      <c r="AE763" s="32">
        <f>IF($A763=1,0,"")</f>
        <v/>
      </c>
      <c r="AF763" s="32" t="inlineStr"/>
    </row>
    <row r="764">
      <c r="A764" s="32">
        <f>IF(AND(Platform_Settlements!$X10=1,N(Platform_Settlements!$H10)&gt;0),1,0)</f>
        <v/>
      </c>
      <c r="B764" s="32">
        <f>IF($A764=1,$E764&amp;"/2","")</f>
        <v/>
      </c>
      <c r="C764" s="32">
        <f>IF($A764=1,"J-"&amp;Platform_Settlements!$A10,"")</f>
        <v/>
      </c>
      <c r="D764" s="33">
        <f>IF($A764=1,Platform_Settlements!$B10,"")</f>
        <v/>
      </c>
      <c r="E764" s="32">
        <f>IF($A764=1,IF(Platform_Settlements!$A10="","",Platform_Settlements!$A10),"")</f>
        <v/>
      </c>
      <c r="F764" s="32">
        <f>IF($A764=1,"PLT","")</f>
        <v/>
      </c>
      <c r="G764" s="32">
        <f>IF($A764=1,IF(Platform_Settlements!$V10="","",Platform_Settlements!$V10),"")</f>
        <v/>
      </c>
      <c r="H764" s="32">
        <f>IF($A764=1,IF(COUNTIF(COA!$A:$A,$G764)=0,"حساب غير معرف",INDEX(COA!$B:$B,MATCH($G764,COA!$A:$A,0))),"")</f>
        <v/>
      </c>
      <c r="I764" s="32">
        <f>IF($A764=1,IF(Platform_Settlements!$D10="","",Platform_Settlements!$D10),"")</f>
        <v/>
      </c>
      <c r="J764" s="32">
        <f>IF($A764=1,"CC30","")</f>
        <v/>
      </c>
      <c r="K764" s="32">
        <f>IF($A764=1,"-","")</f>
        <v/>
      </c>
      <c r="L764" s="32">
        <f>IF($A764=1,"عمولة المنصة/رسوم البطاقات","")</f>
        <v/>
      </c>
      <c r="M764" s="43">
        <f>IF($A764=1,Platform_Settlements!$H10,"")</f>
        <v/>
      </c>
      <c r="N764" s="43">
        <f>IF($A764=1,0,"")</f>
        <v/>
      </c>
      <c r="O764" s="32">
        <f>IF($A764=1,Platform_Settlements!$L10,"")</f>
        <v/>
      </c>
      <c r="P764" s="32">
        <f>IF($A764=1,IF(Platform_Settlements!$Y10="","",Platform_Settlements!$Y10),"")</f>
        <v/>
      </c>
      <c r="Q764" s="32">
        <f>IF($A764=1,Platform_Settlements!$AA10,"")</f>
        <v/>
      </c>
      <c r="R764" s="32">
        <f>IF($A764=1,IF(AND($Q764=1,COUNTIFS(COA!$A:$A,$G764,COA!$R:$R,1)=1),1,0),"")</f>
        <v/>
      </c>
      <c r="S764" s="43">
        <f>IF($A764=1,IF($R764=1,N($M764),0),"")</f>
        <v/>
      </c>
      <c r="T764" s="43">
        <f>IF($A764=1,IF($R764=1,N($N764),0),"")</f>
        <v/>
      </c>
      <c r="U764" s="32">
        <f>IF($A764=1,YEAR($D764)*100+MONTH($D764),"")</f>
        <v/>
      </c>
      <c r="V764" s="32">
        <f>IF($A764=1,IF(COUNTIF(COA!$A:$A,$G764)=0,0,INDEX(COA!$H:$H,MATCH($G764,COA!$A:$A,0))),"")</f>
        <v/>
      </c>
      <c r="W764" s="32">
        <f>IF($A764=1,"","")</f>
        <v/>
      </c>
      <c r="X764" s="32">
        <f>IF($A764=1,IF($R764=1,"",IF($O764=ST_POST,IF($P764&lt;&gt;"",$P764,"حساب غير صالح أو غير نشط"),IF($O764=ST_REV,"معكوس: لا أثر على الدفاتر",IF($O764=ST_CANC,"ملغى",IF($O764=ST_APPR,"معتمد ولم يُرحَّل","مسودة"))))),"")</f>
        <v/>
      </c>
      <c r="Y764" s="32">
        <f>IF($A764=1,IF(AND($R764=1,OR(LG_Acct="",$G764=LG_Acct),OR(LG_Party="",$K764=LG_Party),OR(LG_Loc="ALL",$I764=LG_Loc),OR(LG_CC="ALL",$J764=LG_CC),$D764&gt;=LG_From,$D764&lt;=LG_To),$D764+ROW()/1000000,""),"")</f>
        <v/>
      </c>
      <c r="Z764" s="32">
        <f>IF($A764=1,IF(Platform_Settlements!$M10="","",Platform_Settlements!$M10),"")</f>
        <v/>
      </c>
      <c r="AA764" s="32">
        <f>IF($A764=1,IF(Platform_Settlements!$N10="","",Platform_Settlements!$N10),"")</f>
        <v/>
      </c>
      <c r="AB764" s="32">
        <f>IF($A764=1,IF(Platform_Settlements!$O10="","",Platform_Settlements!$O10),"")</f>
        <v/>
      </c>
      <c r="AC764" s="32">
        <f>IF($A764=1,IF(Platform_Settlements!$P10="","",Platform_Settlements!$P10),"")</f>
        <v/>
      </c>
      <c r="AD764" s="32">
        <f>IF($A764=1,IF(Platform_Settlements!$Q10="","",Platform_Settlements!$Q10),"")</f>
        <v/>
      </c>
      <c r="AE764" s="32">
        <f>IF($A764=1,0,"")</f>
        <v/>
      </c>
      <c r="AF764" s="32" t="inlineStr"/>
    </row>
    <row r="765">
      <c r="A765" s="32">
        <f>IF(AND(Platform_Settlements!$X10=1,N(Platform_Settlements!$I10)&gt;0),1,0)</f>
        <v/>
      </c>
      <c r="B765" s="32">
        <f>IF($A765=1,$E765&amp;"/3","")</f>
        <v/>
      </c>
      <c r="C765" s="32">
        <f>IF($A765=1,"J-"&amp;Platform_Settlements!$A10,"")</f>
        <v/>
      </c>
      <c r="D765" s="33">
        <f>IF($A765=1,Platform_Settlements!$B10,"")</f>
        <v/>
      </c>
      <c r="E765" s="32">
        <f>IF($A765=1,IF(Platform_Settlements!$A10="","",Platform_Settlements!$A10),"")</f>
        <v/>
      </c>
      <c r="F765" s="32">
        <f>IF($A765=1,"PLT","")</f>
        <v/>
      </c>
      <c r="G765" s="32">
        <f>IF($A765=1,ACC_PLT_OTHER,"")</f>
        <v/>
      </c>
      <c r="H765" s="32">
        <f>IF($A765=1,IF(COUNTIF(COA!$A:$A,$G765)=0,"حساب غير معرف",INDEX(COA!$B:$B,MATCH($G765,COA!$A:$A,0))),"")</f>
        <v/>
      </c>
      <c r="I765" s="32">
        <f>IF($A765=1,IF(Platform_Settlements!$D10="","",Platform_Settlements!$D10),"")</f>
        <v/>
      </c>
      <c r="J765" s="32">
        <f>IF($A765=1,"CC30","")</f>
        <v/>
      </c>
      <c r="K765" s="32">
        <f>IF($A765=1,"-","")</f>
        <v/>
      </c>
      <c r="L765" s="32">
        <f>IF($A765=1,"خصومات/غرامات أخرى من المنصة","")</f>
        <v/>
      </c>
      <c r="M765" s="43">
        <f>IF($A765=1,Platform_Settlements!$I10,"")</f>
        <v/>
      </c>
      <c r="N765" s="43">
        <f>IF($A765=1,0,"")</f>
        <v/>
      </c>
      <c r="O765" s="32">
        <f>IF($A765=1,Platform_Settlements!$L10,"")</f>
        <v/>
      </c>
      <c r="P765" s="32">
        <f>IF($A765=1,IF(Platform_Settlements!$Y10="","",Platform_Settlements!$Y10),"")</f>
        <v/>
      </c>
      <c r="Q765" s="32">
        <f>IF($A765=1,Platform_Settlements!$AA10,"")</f>
        <v/>
      </c>
      <c r="R765" s="32">
        <f>IF($A765=1,IF(AND($Q765=1,COUNTIFS(COA!$A:$A,$G765,COA!$R:$R,1)=1),1,0),"")</f>
        <v/>
      </c>
      <c r="S765" s="43">
        <f>IF($A765=1,IF($R765=1,N($M765),0),"")</f>
        <v/>
      </c>
      <c r="T765" s="43">
        <f>IF($A765=1,IF($R765=1,N($N765),0),"")</f>
        <v/>
      </c>
      <c r="U765" s="32">
        <f>IF($A765=1,YEAR($D765)*100+MONTH($D765),"")</f>
        <v/>
      </c>
      <c r="V765" s="32">
        <f>IF($A765=1,IF(COUNTIF(COA!$A:$A,$G765)=0,0,INDEX(COA!$H:$H,MATCH($G765,COA!$A:$A,0))),"")</f>
        <v/>
      </c>
      <c r="W765" s="32">
        <f>IF($A765=1,"","")</f>
        <v/>
      </c>
      <c r="X765" s="32">
        <f>IF($A765=1,IF($R765=1,"",IF($O765=ST_POST,IF($P765&lt;&gt;"",$P765,"حساب غير صالح أو غير نشط"),IF($O765=ST_REV,"معكوس: لا أثر على الدفاتر",IF($O765=ST_CANC,"ملغى",IF($O765=ST_APPR,"معتمد ولم يُرحَّل","مسودة"))))),"")</f>
        <v/>
      </c>
      <c r="Y765" s="32">
        <f>IF($A765=1,IF(AND($R765=1,OR(LG_Acct="",$G765=LG_Acct),OR(LG_Party="",$K765=LG_Party),OR(LG_Loc="ALL",$I765=LG_Loc),OR(LG_CC="ALL",$J765=LG_CC),$D765&gt;=LG_From,$D765&lt;=LG_To),$D765+ROW()/1000000,""),"")</f>
        <v/>
      </c>
      <c r="Z765" s="32">
        <f>IF($A765=1,IF(Platform_Settlements!$M10="","",Platform_Settlements!$M10),"")</f>
        <v/>
      </c>
      <c r="AA765" s="32">
        <f>IF($A765=1,IF(Platform_Settlements!$N10="","",Platform_Settlements!$N10),"")</f>
        <v/>
      </c>
      <c r="AB765" s="32">
        <f>IF($A765=1,IF(Platform_Settlements!$O10="","",Platform_Settlements!$O10),"")</f>
        <v/>
      </c>
      <c r="AC765" s="32">
        <f>IF($A765=1,IF(Platform_Settlements!$P10="","",Platform_Settlements!$P10),"")</f>
        <v/>
      </c>
      <c r="AD765" s="32">
        <f>IF($A765=1,IF(Platform_Settlements!$Q10="","",Platform_Settlements!$Q10),"")</f>
        <v/>
      </c>
      <c r="AE765" s="32">
        <f>IF($A765=1,0,"")</f>
        <v/>
      </c>
      <c r="AF765" s="32" t="inlineStr"/>
    </row>
    <row r="766">
      <c r="A766" s="32">
        <f>IF(AND(Platform_Settlements!$X10=1,N(Platform_Settlements!$T10)&gt;0),1,0)</f>
        <v/>
      </c>
      <c r="B766" s="32">
        <f>IF($A766=1,$E766&amp;"/4","")</f>
        <v/>
      </c>
      <c r="C766" s="32">
        <f>IF($A766=1,"J-"&amp;Platform_Settlements!$A10,"")</f>
        <v/>
      </c>
      <c r="D766" s="33">
        <f>IF($A766=1,Platform_Settlements!$B10,"")</f>
        <v/>
      </c>
      <c r="E766" s="32">
        <f>IF($A766=1,IF(Platform_Settlements!$A10="","",Platform_Settlements!$A10),"")</f>
        <v/>
      </c>
      <c r="F766" s="32">
        <f>IF($A766=1,"PLT","")</f>
        <v/>
      </c>
      <c r="G766" s="32">
        <f>IF($A766=1,ACC_PLT_DIFF,"")</f>
        <v/>
      </c>
      <c r="H766" s="32">
        <f>IF($A766=1,IF(COUNTIF(COA!$A:$A,$G766)=0,"حساب غير معرف",INDEX(COA!$B:$B,MATCH($G766,COA!$A:$A,0))),"")</f>
        <v/>
      </c>
      <c r="I766" s="32">
        <f>IF($A766=1,IF(Platform_Settlements!$D10="","",Platform_Settlements!$D10),"")</f>
        <v/>
      </c>
      <c r="J766" s="32">
        <f>IF($A766=1,"CC00","")</f>
        <v/>
      </c>
      <c r="K766" s="32">
        <f>IF($A766=1,"-","")</f>
        <v/>
      </c>
      <c r="L766" s="32">
        <f>IF($A766=1,"فرق تسوية منصة (نقص) تحت المراجعة","")</f>
        <v/>
      </c>
      <c r="M766" s="43">
        <f>IF($A766=1,Platform_Settlements!$T10,"")</f>
        <v/>
      </c>
      <c r="N766" s="43">
        <f>IF($A766=1,0,"")</f>
        <v/>
      </c>
      <c r="O766" s="32">
        <f>IF($A766=1,Platform_Settlements!$L10,"")</f>
        <v/>
      </c>
      <c r="P766" s="32">
        <f>IF($A766=1,IF(Platform_Settlements!$Y10="","",Platform_Settlements!$Y10),"")</f>
        <v/>
      </c>
      <c r="Q766" s="32">
        <f>IF($A766=1,Platform_Settlements!$AA10,"")</f>
        <v/>
      </c>
      <c r="R766" s="32">
        <f>IF($A766=1,IF(AND($Q766=1,COUNTIFS(COA!$A:$A,$G766,COA!$R:$R,1)=1),1,0),"")</f>
        <v/>
      </c>
      <c r="S766" s="43">
        <f>IF($A766=1,IF($R766=1,N($M766),0),"")</f>
        <v/>
      </c>
      <c r="T766" s="43">
        <f>IF($A766=1,IF($R766=1,N($N766),0),"")</f>
        <v/>
      </c>
      <c r="U766" s="32">
        <f>IF($A766=1,YEAR($D766)*100+MONTH($D766),"")</f>
        <v/>
      </c>
      <c r="V766" s="32">
        <f>IF($A766=1,IF(COUNTIF(COA!$A:$A,$G766)=0,0,INDEX(COA!$H:$H,MATCH($G766,COA!$A:$A,0))),"")</f>
        <v/>
      </c>
      <c r="W766" s="32">
        <f>IF($A766=1,"","")</f>
        <v/>
      </c>
      <c r="X766" s="32">
        <f>IF($A766=1,IF($R766=1,"",IF($O766=ST_POST,IF($P766&lt;&gt;"",$P766,"حساب غير صالح أو غير نشط"),IF($O766=ST_REV,"معكوس: لا أثر على الدفاتر",IF($O766=ST_CANC,"ملغى",IF($O766=ST_APPR,"معتمد ولم يُرحَّل","مسودة"))))),"")</f>
        <v/>
      </c>
      <c r="Y766" s="32">
        <f>IF($A766=1,IF(AND($R766=1,OR(LG_Acct="",$G766=LG_Acct),OR(LG_Party="",$K766=LG_Party),OR(LG_Loc="ALL",$I766=LG_Loc),OR(LG_CC="ALL",$J766=LG_CC),$D766&gt;=LG_From,$D766&lt;=LG_To),$D766+ROW()/1000000,""),"")</f>
        <v/>
      </c>
      <c r="Z766" s="32">
        <f>IF($A766=1,IF(Platform_Settlements!$M10="","",Platform_Settlements!$M10),"")</f>
        <v/>
      </c>
      <c r="AA766" s="32">
        <f>IF($A766=1,IF(Platform_Settlements!$N10="","",Platform_Settlements!$N10),"")</f>
        <v/>
      </c>
      <c r="AB766" s="32">
        <f>IF($A766=1,IF(Platform_Settlements!$O10="","",Platform_Settlements!$O10),"")</f>
        <v/>
      </c>
      <c r="AC766" s="32">
        <f>IF($A766=1,IF(Platform_Settlements!$P10="","",Platform_Settlements!$P10),"")</f>
        <v/>
      </c>
      <c r="AD766" s="32">
        <f>IF($A766=1,IF(Platform_Settlements!$Q10="","",Platform_Settlements!$Q10),"")</f>
        <v/>
      </c>
      <c r="AE766" s="32">
        <f>IF($A766=1,0,"")</f>
        <v/>
      </c>
      <c r="AF766" s="32" t="inlineStr"/>
    </row>
    <row r="767">
      <c r="A767" s="32">
        <f>IF(AND(Platform_Settlements!$X10=1,N(Platform_Settlements!$T10)&lt;0),1,0)</f>
        <v/>
      </c>
      <c r="B767" s="32">
        <f>IF($A767=1,$E767&amp;"/5","")</f>
        <v/>
      </c>
      <c r="C767" s="32">
        <f>IF($A767=1,"J-"&amp;Platform_Settlements!$A10,"")</f>
        <v/>
      </c>
      <c r="D767" s="33">
        <f>IF($A767=1,Platform_Settlements!$B10,"")</f>
        <v/>
      </c>
      <c r="E767" s="32">
        <f>IF($A767=1,IF(Platform_Settlements!$A10="","",Platform_Settlements!$A10),"")</f>
        <v/>
      </c>
      <c r="F767" s="32">
        <f>IF($A767=1,"PLT","")</f>
        <v/>
      </c>
      <c r="G767" s="32">
        <f>IF($A767=1,ACC_PLT_DIFF,"")</f>
        <v/>
      </c>
      <c r="H767" s="32">
        <f>IF($A767=1,IF(COUNTIF(COA!$A:$A,$G767)=0,"حساب غير معرف",INDEX(COA!$B:$B,MATCH($G767,COA!$A:$A,0))),"")</f>
        <v/>
      </c>
      <c r="I767" s="32">
        <f>IF($A767=1,IF(Platform_Settlements!$D10="","",Platform_Settlements!$D10),"")</f>
        <v/>
      </c>
      <c r="J767" s="32">
        <f>IF($A767=1,"CC00","")</f>
        <v/>
      </c>
      <c r="K767" s="32">
        <f>IF($A767=1,"-","")</f>
        <v/>
      </c>
      <c r="L767" s="32">
        <f>IF($A767=1,"فرق تسوية منصة (زيادة) تحت المراجعة","")</f>
        <v/>
      </c>
      <c r="M767" s="43">
        <f>IF($A767=1,0,"")</f>
        <v/>
      </c>
      <c r="N767" s="43">
        <f>IF($A767=1,-Platform_Settlements!$T10,"")</f>
        <v/>
      </c>
      <c r="O767" s="32">
        <f>IF($A767=1,Platform_Settlements!$L10,"")</f>
        <v/>
      </c>
      <c r="P767" s="32">
        <f>IF($A767=1,IF(Platform_Settlements!$Y10="","",Platform_Settlements!$Y10),"")</f>
        <v/>
      </c>
      <c r="Q767" s="32">
        <f>IF($A767=1,Platform_Settlements!$AA10,"")</f>
        <v/>
      </c>
      <c r="R767" s="32">
        <f>IF($A767=1,IF(AND($Q767=1,COUNTIFS(COA!$A:$A,$G767,COA!$R:$R,1)=1),1,0),"")</f>
        <v/>
      </c>
      <c r="S767" s="43">
        <f>IF($A767=1,IF($R767=1,N($M767),0),"")</f>
        <v/>
      </c>
      <c r="T767" s="43">
        <f>IF($A767=1,IF($R767=1,N($N767),0),"")</f>
        <v/>
      </c>
      <c r="U767" s="32">
        <f>IF($A767=1,YEAR($D767)*100+MONTH($D767),"")</f>
        <v/>
      </c>
      <c r="V767" s="32">
        <f>IF($A767=1,IF(COUNTIF(COA!$A:$A,$G767)=0,0,INDEX(COA!$H:$H,MATCH($G767,COA!$A:$A,0))),"")</f>
        <v/>
      </c>
      <c r="W767" s="32">
        <f>IF($A767=1,"","")</f>
        <v/>
      </c>
      <c r="X767" s="32">
        <f>IF($A767=1,IF($R767=1,"",IF($O767=ST_POST,IF($P767&lt;&gt;"",$P767,"حساب غير صالح أو غير نشط"),IF($O767=ST_REV,"معكوس: لا أثر على الدفاتر",IF($O767=ST_CANC,"ملغى",IF($O767=ST_APPR,"معتمد ولم يُرحَّل","مسودة"))))),"")</f>
        <v/>
      </c>
      <c r="Y767" s="32">
        <f>IF($A767=1,IF(AND($R767=1,OR(LG_Acct="",$G767=LG_Acct),OR(LG_Party="",$K767=LG_Party),OR(LG_Loc="ALL",$I767=LG_Loc),OR(LG_CC="ALL",$J767=LG_CC),$D767&gt;=LG_From,$D767&lt;=LG_To),$D767+ROW()/1000000,""),"")</f>
        <v/>
      </c>
      <c r="Z767" s="32">
        <f>IF($A767=1,IF(Platform_Settlements!$M10="","",Platform_Settlements!$M10),"")</f>
        <v/>
      </c>
      <c r="AA767" s="32">
        <f>IF($A767=1,IF(Platform_Settlements!$N10="","",Platform_Settlements!$N10),"")</f>
        <v/>
      </c>
      <c r="AB767" s="32">
        <f>IF($A767=1,IF(Platform_Settlements!$O10="","",Platform_Settlements!$O10),"")</f>
        <v/>
      </c>
      <c r="AC767" s="32">
        <f>IF($A767=1,IF(Platform_Settlements!$P10="","",Platform_Settlements!$P10),"")</f>
        <v/>
      </c>
      <c r="AD767" s="32">
        <f>IF($A767=1,IF(Platform_Settlements!$Q10="","",Platform_Settlements!$Q10),"")</f>
        <v/>
      </c>
      <c r="AE767" s="32">
        <f>IF($A767=1,0,"")</f>
        <v/>
      </c>
      <c r="AF767" s="32" t="inlineStr"/>
    </row>
    <row r="768">
      <c r="A768" s="32">
        <f>IF(AND(Platform_Settlements!$X10=1,N(Platform_Settlements!$G10)&gt;0),1,0)</f>
        <v/>
      </c>
      <c r="B768" s="32">
        <f>IF($A768=1,$E768&amp;"/6","")</f>
        <v/>
      </c>
      <c r="C768" s="32">
        <f>IF($A768=1,"J-"&amp;Platform_Settlements!$A10,"")</f>
        <v/>
      </c>
      <c r="D768" s="33">
        <f>IF($A768=1,Platform_Settlements!$B10,"")</f>
        <v/>
      </c>
      <c r="E768" s="32">
        <f>IF($A768=1,IF(Platform_Settlements!$A10="","",Platform_Settlements!$A10),"")</f>
        <v/>
      </c>
      <c r="F768" s="32">
        <f>IF($A768=1,"PLT","")</f>
        <v/>
      </c>
      <c r="G768" s="32">
        <f>IF($A768=1,IF(Platform_Settlements!$U10="","",Platform_Settlements!$U10),"")</f>
        <v/>
      </c>
      <c r="H768" s="32">
        <f>IF($A768=1,IF(COUNTIF(COA!$A:$A,$G768)=0,"حساب غير معرف",INDEX(COA!$B:$B,MATCH($G768,COA!$A:$A,0))),"")</f>
        <v/>
      </c>
      <c r="I768" s="32">
        <f>IF($A768=1,IF(Platform_Settlements!$D10="","",Platform_Settlements!$D10),"")</f>
        <v/>
      </c>
      <c r="J768" s="32">
        <f>IF($A768=1,"CC00","")</f>
        <v/>
      </c>
      <c r="K768" s="32">
        <f>IF($A768=1,"-","")</f>
        <v/>
      </c>
      <c r="L768" s="32">
        <f>IF($A768=1,"تخفيض مستحقات المنصة/البطاقات","")</f>
        <v/>
      </c>
      <c r="M768" s="43">
        <f>IF($A768=1,0,"")</f>
        <v/>
      </c>
      <c r="N768" s="43">
        <f>IF($A768=1,Platform_Settlements!$G10,"")</f>
        <v/>
      </c>
      <c r="O768" s="32">
        <f>IF($A768=1,Platform_Settlements!$L10,"")</f>
        <v/>
      </c>
      <c r="P768" s="32">
        <f>IF($A768=1,IF(Platform_Settlements!$Y10="","",Platform_Settlements!$Y10),"")</f>
        <v/>
      </c>
      <c r="Q768" s="32">
        <f>IF($A768=1,Platform_Settlements!$AA10,"")</f>
        <v/>
      </c>
      <c r="R768" s="32">
        <f>IF($A768=1,IF(AND($Q768=1,COUNTIFS(COA!$A:$A,$G768,COA!$R:$R,1)=1),1,0),"")</f>
        <v/>
      </c>
      <c r="S768" s="43">
        <f>IF($A768=1,IF($R768=1,N($M768),0),"")</f>
        <v/>
      </c>
      <c r="T768" s="43">
        <f>IF($A768=1,IF($R768=1,N($N768),0),"")</f>
        <v/>
      </c>
      <c r="U768" s="32">
        <f>IF($A768=1,YEAR($D768)*100+MONTH($D768),"")</f>
        <v/>
      </c>
      <c r="V768" s="32">
        <f>IF($A768=1,IF(COUNTIF(COA!$A:$A,$G768)=0,0,INDEX(COA!$H:$H,MATCH($G768,COA!$A:$A,0))),"")</f>
        <v/>
      </c>
      <c r="W768" s="32">
        <f>IF($A768=1,"","")</f>
        <v/>
      </c>
      <c r="X768" s="32">
        <f>IF($A768=1,IF($R768=1,"",IF($O768=ST_POST,IF($P768&lt;&gt;"",$P768,"حساب غير صالح أو غير نشط"),IF($O768=ST_REV,"معكوس: لا أثر على الدفاتر",IF($O768=ST_CANC,"ملغى",IF($O768=ST_APPR,"معتمد ولم يُرحَّل","مسودة"))))),"")</f>
        <v/>
      </c>
      <c r="Y768" s="32">
        <f>IF($A768=1,IF(AND($R768=1,OR(LG_Acct="",$G768=LG_Acct),OR(LG_Party="",$K768=LG_Party),OR(LG_Loc="ALL",$I768=LG_Loc),OR(LG_CC="ALL",$J768=LG_CC),$D768&gt;=LG_From,$D768&lt;=LG_To),$D768+ROW()/1000000,""),"")</f>
        <v/>
      </c>
      <c r="Z768" s="32">
        <f>IF($A768=1,IF(Platform_Settlements!$M10="","",Platform_Settlements!$M10),"")</f>
        <v/>
      </c>
      <c r="AA768" s="32">
        <f>IF($A768=1,IF(Platform_Settlements!$N10="","",Platform_Settlements!$N10),"")</f>
        <v/>
      </c>
      <c r="AB768" s="32">
        <f>IF($A768=1,IF(Platform_Settlements!$O10="","",Platform_Settlements!$O10),"")</f>
        <v/>
      </c>
      <c r="AC768" s="32">
        <f>IF($A768=1,IF(Platform_Settlements!$P10="","",Platform_Settlements!$P10),"")</f>
        <v/>
      </c>
      <c r="AD768" s="32">
        <f>IF($A768=1,IF(Platform_Settlements!$Q10="","",Platform_Settlements!$Q10),"")</f>
        <v/>
      </c>
      <c r="AE768" s="32">
        <f>IF($A768=1,0,"")</f>
        <v/>
      </c>
      <c r="AF768" s="32" t="inlineStr"/>
    </row>
    <row r="769">
      <c r="A769" s="32">
        <f>IF(AND(Platform_Settlements!$X11=1,N(Platform_Settlements!$J11)&gt;0),1,0)</f>
        <v/>
      </c>
      <c r="B769" s="32">
        <f>IF($A769=1,$E769&amp;"/1","")</f>
        <v/>
      </c>
      <c r="C769" s="32">
        <f>IF($A769=1,"J-"&amp;Platform_Settlements!$A11,"")</f>
        <v/>
      </c>
      <c r="D769" s="33">
        <f>IF($A769=1,Platform_Settlements!$B11,"")</f>
        <v/>
      </c>
      <c r="E769" s="32">
        <f>IF($A769=1,IF(Platform_Settlements!$A11="","",Platform_Settlements!$A11),"")</f>
        <v/>
      </c>
      <c r="F769" s="32">
        <f>IF($A769=1,"PLT","")</f>
        <v/>
      </c>
      <c r="G769" s="32">
        <f>IF($A769=1,IF(Platform_Settlements!$W11="","",Platform_Settlements!$W11),"")</f>
        <v/>
      </c>
      <c r="H769" s="32">
        <f>IF($A769=1,IF(COUNTIF(COA!$A:$A,$G769)=0,"حساب غير معرف",INDEX(COA!$B:$B,MATCH($G769,COA!$A:$A,0))),"")</f>
        <v/>
      </c>
      <c r="I769" s="32">
        <f>IF($A769=1,IF(Platform_Settlements!$D11="","",Platform_Settlements!$D11),"")</f>
        <v/>
      </c>
      <c r="J769" s="32">
        <f>IF($A769=1,"CC00","")</f>
        <v/>
      </c>
      <c r="K769" s="32">
        <f>IF($A769=1,"-","")</f>
        <v/>
      </c>
      <c r="L769" s="32">
        <f>IF($A769=1,"استلام تسوية منصة/بطاقات","")</f>
        <v/>
      </c>
      <c r="M769" s="43">
        <f>IF($A769=1,Platform_Settlements!$J11,"")</f>
        <v/>
      </c>
      <c r="N769" s="43">
        <f>IF($A769=1,0,"")</f>
        <v/>
      </c>
      <c r="O769" s="32">
        <f>IF($A769=1,Platform_Settlements!$L11,"")</f>
        <v/>
      </c>
      <c r="P769" s="32">
        <f>IF($A769=1,IF(Platform_Settlements!$Y11="","",Platform_Settlements!$Y11),"")</f>
        <v/>
      </c>
      <c r="Q769" s="32">
        <f>IF($A769=1,Platform_Settlements!$AA11,"")</f>
        <v/>
      </c>
      <c r="R769" s="32">
        <f>IF($A769=1,IF(AND($Q769=1,COUNTIFS(COA!$A:$A,$G769,COA!$R:$R,1)=1),1,0),"")</f>
        <v/>
      </c>
      <c r="S769" s="43">
        <f>IF($A769=1,IF($R769=1,N($M769),0),"")</f>
        <v/>
      </c>
      <c r="T769" s="43">
        <f>IF($A769=1,IF($R769=1,N($N769),0),"")</f>
        <v/>
      </c>
      <c r="U769" s="32">
        <f>IF($A769=1,YEAR($D769)*100+MONTH($D769),"")</f>
        <v/>
      </c>
      <c r="V769" s="32">
        <f>IF($A769=1,IF(COUNTIF(COA!$A:$A,$G769)=0,0,INDEX(COA!$H:$H,MATCH($G769,COA!$A:$A,0))),"")</f>
        <v/>
      </c>
      <c r="W769" s="32">
        <f>IF($A769=1,"OPERATING","")</f>
        <v/>
      </c>
      <c r="X769" s="32">
        <f>IF($A769=1,IF($R769=1,"",IF($O769=ST_POST,IF($P769&lt;&gt;"",$P769,"حساب غير صالح أو غير نشط"),IF($O769=ST_REV,"معكوس: لا أثر على الدفاتر",IF($O769=ST_CANC,"ملغى",IF($O769=ST_APPR,"معتمد ولم يُرحَّل","مسودة"))))),"")</f>
        <v/>
      </c>
      <c r="Y769" s="32">
        <f>IF($A769=1,IF(AND($R769=1,OR(LG_Acct="",$G769=LG_Acct),OR(LG_Party="",$K769=LG_Party),OR(LG_Loc="ALL",$I769=LG_Loc),OR(LG_CC="ALL",$J769=LG_CC),$D769&gt;=LG_From,$D769&lt;=LG_To),$D769+ROW()/1000000,""),"")</f>
        <v/>
      </c>
      <c r="Z769" s="32">
        <f>IF($A769=1,IF(Platform_Settlements!$M11="","",Platform_Settlements!$M11),"")</f>
        <v/>
      </c>
      <c r="AA769" s="32">
        <f>IF($A769=1,IF(Platform_Settlements!$N11="","",Platform_Settlements!$N11),"")</f>
        <v/>
      </c>
      <c r="AB769" s="32">
        <f>IF($A769=1,IF(Platform_Settlements!$O11="","",Platform_Settlements!$O11),"")</f>
        <v/>
      </c>
      <c r="AC769" s="32">
        <f>IF($A769=1,IF(Platform_Settlements!$P11="","",Platform_Settlements!$P11),"")</f>
        <v/>
      </c>
      <c r="AD769" s="32">
        <f>IF($A769=1,IF(Platform_Settlements!$Q11="","",Platform_Settlements!$Q11),"")</f>
        <v/>
      </c>
      <c r="AE769" s="32">
        <f>IF($A769=1,0,"")</f>
        <v/>
      </c>
      <c r="AF769" s="32" t="inlineStr"/>
    </row>
    <row r="770">
      <c r="A770" s="32">
        <f>IF(AND(Platform_Settlements!$X11=1,N(Platform_Settlements!$H11)&gt;0),1,0)</f>
        <v/>
      </c>
      <c r="B770" s="32">
        <f>IF($A770=1,$E770&amp;"/2","")</f>
        <v/>
      </c>
      <c r="C770" s="32">
        <f>IF($A770=1,"J-"&amp;Platform_Settlements!$A11,"")</f>
        <v/>
      </c>
      <c r="D770" s="33">
        <f>IF($A770=1,Platform_Settlements!$B11,"")</f>
        <v/>
      </c>
      <c r="E770" s="32">
        <f>IF($A770=1,IF(Platform_Settlements!$A11="","",Platform_Settlements!$A11),"")</f>
        <v/>
      </c>
      <c r="F770" s="32">
        <f>IF($A770=1,"PLT","")</f>
        <v/>
      </c>
      <c r="G770" s="32">
        <f>IF($A770=1,IF(Platform_Settlements!$V11="","",Platform_Settlements!$V11),"")</f>
        <v/>
      </c>
      <c r="H770" s="32">
        <f>IF($A770=1,IF(COUNTIF(COA!$A:$A,$G770)=0,"حساب غير معرف",INDEX(COA!$B:$B,MATCH($G770,COA!$A:$A,0))),"")</f>
        <v/>
      </c>
      <c r="I770" s="32">
        <f>IF($A770=1,IF(Platform_Settlements!$D11="","",Platform_Settlements!$D11),"")</f>
        <v/>
      </c>
      <c r="J770" s="32">
        <f>IF($A770=1,"CC30","")</f>
        <v/>
      </c>
      <c r="K770" s="32">
        <f>IF($A770=1,"-","")</f>
        <v/>
      </c>
      <c r="L770" s="32">
        <f>IF($A770=1,"عمولة المنصة/رسوم البطاقات","")</f>
        <v/>
      </c>
      <c r="M770" s="43">
        <f>IF($A770=1,Platform_Settlements!$H11,"")</f>
        <v/>
      </c>
      <c r="N770" s="43">
        <f>IF($A770=1,0,"")</f>
        <v/>
      </c>
      <c r="O770" s="32">
        <f>IF($A770=1,Platform_Settlements!$L11,"")</f>
        <v/>
      </c>
      <c r="P770" s="32">
        <f>IF($A770=1,IF(Platform_Settlements!$Y11="","",Platform_Settlements!$Y11),"")</f>
        <v/>
      </c>
      <c r="Q770" s="32">
        <f>IF($A770=1,Platform_Settlements!$AA11,"")</f>
        <v/>
      </c>
      <c r="R770" s="32">
        <f>IF($A770=1,IF(AND($Q770=1,COUNTIFS(COA!$A:$A,$G770,COA!$R:$R,1)=1),1,0),"")</f>
        <v/>
      </c>
      <c r="S770" s="43">
        <f>IF($A770=1,IF($R770=1,N($M770),0),"")</f>
        <v/>
      </c>
      <c r="T770" s="43">
        <f>IF($A770=1,IF($R770=1,N($N770),0),"")</f>
        <v/>
      </c>
      <c r="U770" s="32">
        <f>IF($A770=1,YEAR($D770)*100+MONTH($D770),"")</f>
        <v/>
      </c>
      <c r="V770" s="32">
        <f>IF($A770=1,IF(COUNTIF(COA!$A:$A,$G770)=0,0,INDEX(COA!$H:$H,MATCH($G770,COA!$A:$A,0))),"")</f>
        <v/>
      </c>
      <c r="W770" s="32">
        <f>IF($A770=1,"","")</f>
        <v/>
      </c>
      <c r="X770" s="32">
        <f>IF($A770=1,IF($R770=1,"",IF($O770=ST_POST,IF($P770&lt;&gt;"",$P770,"حساب غير صالح أو غير نشط"),IF($O770=ST_REV,"معكوس: لا أثر على الدفاتر",IF($O770=ST_CANC,"ملغى",IF($O770=ST_APPR,"معتمد ولم يُرحَّل","مسودة"))))),"")</f>
        <v/>
      </c>
      <c r="Y770" s="32">
        <f>IF($A770=1,IF(AND($R770=1,OR(LG_Acct="",$G770=LG_Acct),OR(LG_Party="",$K770=LG_Party),OR(LG_Loc="ALL",$I770=LG_Loc),OR(LG_CC="ALL",$J770=LG_CC),$D770&gt;=LG_From,$D770&lt;=LG_To),$D770+ROW()/1000000,""),"")</f>
        <v/>
      </c>
      <c r="Z770" s="32">
        <f>IF($A770=1,IF(Platform_Settlements!$M11="","",Platform_Settlements!$M11),"")</f>
        <v/>
      </c>
      <c r="AA770" s="32">
        <f>IF($A770=1,IF(Platform_Settlements!$N11="","",Platform_Settlements!$N11),"")</f>
        <v/>
      </c>
      <c r="AB770" s="32">
        <f>IF($A770=1,IF(Platform_Settlements!$O11="","",Platform_Settlements!$O11),"")</f>
        <v/>
      </c>
      <c r="AC770" s="32">
        <f>IF($A770=1,IF(Platform_Settlements!$P11="","",Platform_Settlements!$P11),"")</f>
        <v/>
      </c>
      <c r="AD770" s="32">
        <f>IF($A770=1,IF(Platform_Settlements!$Q11="","",Platform_Settlements!$Q11),"")</f>
        <v/>
      </c>
      <c r="AE770" s="32">
        <f>IF($A770=1,0,"")</f>
        <v/>
      </c>
      <c r="AF770" s="32" t="inlineStr"/>
    </row>
    <row r="771">
      <c r="A771" s="32">
        <f>IF(AND(Platform_Settlements!$X11=1,N(Platform_Settlements!$I11)&gt;0),1,0)</f>
        <v/>
      </c>
      <c r="B771" s="32">
        <f>IF($A771=1,$E771&amp;"/3","")</f>
        <v/>
      </c>
      <c r="C771" s="32">
        <f>IF($A771=1,"J-"&amp;Platform_Settlements!$A11,"")</f>
        <v/>
      </c>
      <c r="D771" s="33">
        <f>IF($A771=1,Platform_Settlements!$B11,"")</f>
        <v/>
      </c>
      <c r="E771" s="32">
        <f>IF($A771=1,IF(Platform_Settlements!$A11="","",Platform_Settlements!$A11),"")</f>
        <v/>
      </c>
      <c r="F771" s="32">
        <f>IF($A771=1,"PLT","")</f>
        <v/>
      </c>
      <c r="G771" s="32">
        <f>IF($A771=1,ACC_PLT_OTHER,"")</f>
        <v/>
      </c>
      <c r="H771" s="32">
        <f>IF($A771=1,IF(COUNTIF(COA!$A:$A,$G771)=0,"حساب غير معرف",INDEX(COA!$B:$B,MATCH($G771,COA!$A:$A,0))),"")</f>
        <v/>
      </c>
      <c r="I771" s="32">
        <f>IF($A771=1,IF(Platform_Settlements!$D11="","",Platform_Settlements!$D11),"")</f>
        <v/>
      </c>
      <c r="J771" s="32">
        <f>IF($A771=1,"CC30","")</f>
        <v/>
      </c>
      <c r="K771" s="32">
        <f>IF($A771=1,"-","")</f>
        <v/>
      </c>
      <c r="L771" s="32">
        <f>IF($A771=1,"خصومات/غرامات أخرى من المنصة","")</f>
        <v/>
      </c>
      <c r="M771" s="43">
        <f>IF($A771=1,Platform_Settlements!$I11,"")</f>
        <v/>
      </c>
      <c r="N771" s="43">
        <f>IF($A771=1,0,"")</f>
        <v/>
      </c>
      <c r="O771" s="32">
        <f>IF($A771=1,Platform_Settlements!$L11,"")</f>
        <v/>
      </c>
      <c r="P771" s="32">
        <f>IF($A771=1,IF(Platform_Settlements!$Y11="","",Platform_Settlements!$Y11),"")</f>
        <v/>
      </c>
      <c r="Q771" s="32">
        <f>IF($A771=1,Platform_Settlements!$AA11,"")</f>
        <v/>
      </c>
      <c r="R771" s="32">
        <f>IF($A771=1,IF(AND($Q771=1,COUNTIFS(COA!$A:$A,$G771,COA!$R:$R,1)=1),1,0),"")</f>
        <v/>
      </c>
      <c r="S771" s="43">
        <f>IF($A771=1,IF($R771=1,N($M771),0),"")</f>
        <v/>
      </c>
      <c r="T771" s="43">
        <f>IF($A771=1,IF($R771=1,N($N771),0),"")</f>
        <v/>
      </c>
      <c r="U771" s="32">
        <f>IF($A771=1,YEAR($D771)*100+MONTH($D771),"")</f>
        <v/>
      </c>
      <c r="V771" s="32">
        <f>IF($A771=1,IF(COUNTIF(COA!$A:$A,$G771)=0,0,INDEX(COA!$H:$H,MATCH($G771,COA!$A:$A,0))),"")</f>
        <v/>
      </c>
      <c r="W771" s="32">
        <f>IF($A771=1,"","")</f>
        <v/>
      </c>
      <c r="X771" s="32">
        <f>IF($A771=1,IF($R771=1,"",IF($O771=ST_POST,IF($P771&lt;&gt;"",$P771,"حساب غير صالح أو غير نشط"),IF($O771=ST_REV,"معكوس: لا أثر على الدفاتر",IF($O771=ST_CANC,"ملغى",IF($O771=ST_APPR,"معتمد ولم يُرحَّل","مسودة"))))),"")</f>
        <v/>
      </c>
      <c r="Y771" s="32">
        <f>IF($A771=1,IF(AND($R771=1,OR(LG_Acct="",$G771=LG_Acct),OR(LG_Party="",$K771=LG_Party),OR(LG_Loc="ALL",$I771=LG_Loc),OR(LG_CC="ALL",$J771=LG_CC),$D771&gt;=LG_From,$D771&lt;=LG_To),$D771+ROW()/1000000,""),"")</f>
        <v/>
      </c>
      <c r="Z771" s="32">
        <f>IF($A771=1,IF(Platform_Settlements!$M11="","",Platform_Settlements!$M11),"")</f>
        <v/>
      </c>
      <c r="AA771" s="32">
        <f>IF($A771=1,IF(Platform_Settlements!$N11="","",Platform_Settlements!$N11),"")</f>
        <v/>
      </c>
      <c r="AB771" s="32">
        <f>IF($A771=1,IF(Platform_Settlements!$O11="","",Platform_Settlements!$O11),"")</f>
        <v/>
      </c>
      <c r="AC771" s="32">
        <f>IF($A771=1,IF(Platform_Settlements!$P11="","",Platform_Settlements!$P11),"")</f>
        <v/>
      </c>
      <c r="AD771" s="32">
        <f>IF($A771=1,IF(Platform_Settlements!$Q11="","",Platform_Settlements!$Q11),"")</f>
        <v/>
      </c>
      <c r="AE771" s="32">
        <f>IF($A771=1,0,"")</f>
        <v/>
      </c>
      <c r="AF771" s="32" t="inlineStr"/>
    </row>
    <row r="772">
      <c r="A772" s="32">
        <f>IF(AND(Platform_Settlements!$X11=1,N(Platform_Settlements!$T11)&gt;0),1,0)</f>
        <v/>
      </c>
      <c r="B772" s="32">
        <f>IF($A772=1,$E772&amp;"/4","")</f>
        <v/>
      </c>
      <c r="C772" s="32">
        <f>IF($A772=1,"J-"&amp;Platform_Settlements!$A11,"")</f>
        <v/>
      </c>
      <c r="D772" s="33">
        <f>IF($A772=1,Platform_Settlements!$B11,"")</f>
        <v/>
      </c>
      <c r="E772" s="32">
        <f>IF($A772=1,IF(Platform_Settlements!$A11="","",Platform_Settlements!$A11),"")</f>
        <v/>
      </c>
      <c r="F772" s="32">
        <f>IF($A772=1,"PLT","")</f>
        <v/>
      </c>
      <c r="G772" s="32">
        <f>IF($A772=1,ACC_PLT_DIFF,"")</f>
        <v/>
      </c>
      <c r="H772" s="32">
        <f>IF($A772=1,IF(COUNTIF(COA!$A:$A,$G772)=0,"حساب غير معرف",INDEX(COA!$B:$B,MATCH($G772,COA!$A:$A,0))),"")</f>
        <v/>
      </c>
      <c r="I772" s="32">
        <f>IF($A772=1,IF(Platform_Settlements!$D11="","",Platform_Settlements!$D11),"")</f>
        <v/>
      </c>
      <c r="J772" s="32">
        <f>IF($A772=1,"CC00","")</f>
        <v/>
      </c>
      <c r="K772" s="32">
        <f>IF($A772=1,"-","")</f>
        <v/>
      </c>
      <c r="L772" s="32">
        <f>IF($A772=1,"فرق تسوية منصة (نقص) تحت المراجعة","")</f>
        <v/>
      </c>
      <c r="M772" s="43">
        <f>IF($A772=1,Platform_Settlements!$T11,"")</f>
        <v/>
      </c>
      <c r="N772" s="43">
        <f>IF($A772=1,0,"")</f>
        <v/>
      </c>
      <c r="O772" s="32">
        <f>IF($A772=1,Platform_Settlements!$L11,"")</f>
        <v/>
      </c>
      <c r="P772" s="32">
        <f>IF($A772=1,IF(Platform_Settlements!$Y11="","",Platform_Settlements!$Y11),"")</f>
        <v/>
      </c>
      <c r="Q772" s="32">
        <f>IF($A772=1,Platform_Settlements!$AA11,"")</f>
        <v/>
      </c>
      <c r="R772" s="32">
        <f>IF($A772=1,IF(AND($Q772=1,COUNTIFS(COA!$A:$A,$G772,COA!$R:$R,1)=1),1,0),"")</f>
        <v/>
      </c>
      <c r="S772" s="43">
        <f>IF($A772=1,IF($R772=1,N($M772),0),"")</f>
        <v/>
      </c>
      <c r="T772" s="43">
        <f>IF($A772=1,IF($R772=1,N($N772),0),"")</f>
        <v/>
      </c>
      <c r="U772" s="32">
        <f>IF($A772=1,YEAR($D772)*100+MONTH($D772),"")</f>
        <v/>
      </c>
      <c r="V772" s="32">
        <f>IF($A772=1,IF(COUNTIF(COA!$A:$A,$G772)=0,0,INDEX(COA!$H:$H,MATCH($G772,COA!$A:$A,0))),"")</f>
        <v/>
      </c>
      <c r="W772" s="32">
        <f>IF($A772=1,"","")</f>
        <v/>
      </c>
      <c r="X772" s="32">
        <f>IF($A772=1,IF($R772=1,"",IF($O772=ST_POST,IF($P772&lt;&gt;"",$P772,"حساب غير صالح أو غير نشط"),IF($O772=ST_REV,"معكوس: لا أثر على الدفاتر",IF($O772=ST_CANC,"ملغى",IF($O772=ST_APPR,"معتمد ولم يُرحَّل","مسودة"))))),"")</f>
        <v/>
      </c>
      <c r="Y772" s="32">
        <f>IF($A772=1,IF(AND($R772=1,OR(LG_Acct="",$G772=LG_Acct),OR(LG_Party="",$K772=LG_Party),OR(LG_Loc="ALL",$I772=LG_Loc),OR(LG_CC="ALL",$J772=LG_CC),$D772&gt;=LG_From,$D772&lt;=LG_To),$D772+ROW()/1000000,""),"")</f>
        <v/>
      </c>
      <c r="Z772" s="32">
        <f>IF($A772=1,IF(Platform_Settlements!$M11="","",Platform_Settlements!$M11),"")</f>
        <v/>
      </c>
      <c r="AA772" s="32">
        <f>IF($A772=1,IF(Platform_Settlements!$N11="","",Platform_Settlements!$N11),"")</f>
        <v/>
      </c>
      <c r="AB772" s="32">
        <f>IF($A772=1,IF(Platform_Settlements!$O11="","",Platform_Settlements!$O11),"")</f>
        <v/>
      </c>
      <c r="AC772" s="32">
        <f>IF($A772=1,IF(Platform_Settlements!$P11="","",Platform_Settlements!$P11),"")</f>
        <v/>
      </c>
      <c r="AD772" s="32">
        <f>IF($A772=1,IF(Platform_Settlements!$Q11="","",Platform_Settlements!$Q11),"")</f>
        <v/>
      </c>
      <c r="AE772" s="32">
        <f>IF($A772=1,0,"")</f>
        <v/>
      </c>
      <c r="AF772" s="32" t="inlineStr"/>
    </row>
    <row r="773">
      <c r="A773" s="32">
        <f>IF(AND(Platform_Settlements!$X11=1,N(Platform_Settlements!$T11)&lt;0),1,0)</f>
        <v/>
      </c>
      <c r="B773" s="32">
        <f>IF($A773=1,$E773&amp;"/5","")</f>
        <v/>
      </c>
      <c r="C773" s="32">
        <f>IF($A773=1,"J-"&amp;Platform_Settlements!$A11,"")</f>
        <v/>
      </c>
      <c r="D773" s="33">
        <f>IF($A773=1,Platform_Settlements!$B11,"")</f>
        <v/>
      </c>
      <c r="E773" s="32">
        <f>IF($A773=1,IF(Platform_Settlements!$A11="","",Platform_Settlements!$A11),"")</f>
        <v/>
      </c>
      <c r="F773" s="32">
        <f>IF($A773=1,"PLT","")</f>
        <v/>
      </c>
      <c r="G773" s="32">
        <f>IF($A773=1,ACC_PLT_DIFF,"")</f>
        <v/>
      </c>
      <c r="H773" s="32">
        <f>IF($A773=1,IF(COUNTIF(COA!$A:$A,$G773)=0,"حساب غير معرف",INDEX(COA!$B:$B,MATCH($G773,COA!$A:$A,0))),"")</f>
        <v/>
      </c>
      <c r="I773" s="32">
        <f>IF($A773=1,IF(Platform_Settlements!$D11="","",Platform_Settlements!$D11),"")</f>
        <v/>
      </c>
      <c r="J773" s="32">
        <f>IF($A773=1,"CC00","")</f>
        <v/>
      </c>
      <c r="K773" s="32">
        <f>IF($A773=1,"-","")</f>
        <v/>
      </c>
      <c r="L773" s="32">
        <f>IF($A773=1,"فرق تسوية منصة (زيادة) تحت المراجعة","")</f>
        <v/>
      </c>
      <c r="M773" s="43">
        <f>IF($A773=1,0,"")</f>
        <v/>
      </c>
      <c r="N773" s="43">
        <f>IF($A773=1,-Platform_Settlements!$T11,"")</f>
        <v/>
      </c>
      <c r="O773" s="32">
        <f>IF($A773=1,Platform_Settlements!$L11,"")</f>
        <v/>
      </c>
      <c r="P773" s="32">
        <f>IF($A773=1,IF(Platform_Settlements!$Y11="","",Platform_Settlements!$Y11),"")</f>
        <v/>
      </c>
      <c r="Q773" s="32">
        <f>IF($A773=1,Platform_Settlements!$AA11,"")</f>
        <v/>
      </c>
      <c r="R773" s="32">
        <f>IF($A773=1,IF(AND($Q773=1,COUNTIFS(COA!$A:$A,$G773,COA!$R:$R,1)=1),1,0),"")</f>
        <v/>
      </c>
      <c r="S773" s="43">
        <f>IF($A773=1,IF($R773=1,N($M773),0),"")</f>
        <v/>
      </c>
      <c r="T773" s="43">
        <f>IF($A773=1,IF($R773=1,N($N773),0),"")</f>
        <v/>
      </c>
      <c r="U773" s="32">
        <f>IF($A773=1,YEAR($D773)*100+MONTH($D773),"")</f>
        <v/>
      </c>
      <c r="V773" s="32">
        <f>IF($A773=1,IF(COUNTIF(COA!$A:$A,$G773)=0,0,INDEX(COA!$H:$H,MATCH($G773,COA!$A:$A,0))),"")</f>
        <v/>
      </c>
      <c r="W773" s="32">
        <f>IF($A773=1,"","")</f>
        <v/>
      </c>
      <c r="X773" s="32">
        <f>IF($A773=1,IF($R773=1,"",IF($O773=ST_POST,IF($P773&lt;&gt;"",$P773,"حساب غير صالح أو غير نشط"),IF($O773=ST_REV,"معكوس: لا أثر على الدفاتر",IF($O773=ST_CANC,"ملغى",IF($O773=ST_APPR,"معتمد ولم يُرحَّل","مسودة"))))),"")</f>
        <v/>
      </c>
      <c r="Y773" s="32">
        <f>IF($A773=1,IF(AND($R773=1,OR(LG_Acct="",$G773=LG_Acct),OR(LG_Party="",$K773=LG_Party),OR(LG_Loc="ALL",$I773=LG_Loc),OR(LG_CC="ALL",$J773=LG_CC),$D773&gt;=LG_From,$D773&lt;=LG_To),$D773+ROW()/1000000,""),"")</f>
        <v/>
      </c>
      <c r="Z773" s="32">
        <f>IF($A773=1,IF(Platform_Settlements!$M11="","",Platform_Settlements!$M11),"")</f>
        <v/>
      </c>
      <c r="AA773" s="32">
        <f>IF($A773=1,IF(Platform_Settlements!$N11="","",Platform_Settlements!$N11),"")</f>
        <v/>
      </c>
      <c r="AB773" s="32">
        <f>IF($A773=1,IF(Platform_Settlements!$O11="","",Platform_Settlements!$O11),"")</f>
        <v/>
      </c>
      <c r="AC773" s="32">
        <f>IF($A773=1,IF(Platform_Settlements!$P11="","",Platform_Settlements!$P11),"")</f>
        <v/>
      </c>
      <c r="AD773" s="32">
        <f>IF($A773=1,IF(Platform_Settlements!$Q11="","",Platform_Settlements!$Q11),"")</f>
        <v/>
      </c>
      <c r="AE773" s="32">
        <f>IF($A773=1,0,"")</f>
        <v/>
      </c>
      <c r="AF773" s="32" t="inlineStr"/>
    </row>
    <row r="774">
      <c r="A774" s="32">
        <f>IF(AND(Platform_Settlements!$X11=1,N(Platform_Settlements!$G11)&gt;0),1,0)</f>
        <v/>
      </c>
      <c r="B774" s="32">
        <f>IF($A774=1,$E774&amp;"/6","")</f>
        <v/>
      </c>
      <c r="C774" s="32">
        <f>IF($A774=1,"J-"&amp;Platform_Settlements!$A11,"")</f>
        <v/>
      </c>
      <c r="D774" s="33">
        <f>IF($A774=1,Platform_Settlements!$B11,"")</f>
        <v/>
      </c>
      <c r="E774" s="32">
        <f>IF($A774=1,IF(Platform_Settlements!$A11="","",Platform_Settlements!$A11),"")</f>
        <v/>
      </c>
      <c r="F774" s="32">
        <f>IF($A774=1,"PLT","")</f>
        <v/>
      </c>
      <c r="G774" s="32">
        <f>IF($A774=1,IF(Platform_Settlements!$U11="","",Platform_Settlements!$U11),"")</f>
        <v/>
      </c>
      <c r="H774" s="32">
        <f>IF($A774=1,IF(COUNTIF(COA!$A:$A,$G774)=0,"حساب غير معرف",INDEX(COA!$B:$B,MATCH($G774,COA!$A:$A,0))),"")</f>
        <v/>
      </c>
      <c r="I774" s="32">
        <f>IF($A774=1,IF(Platform_Settlements!$D11="","",Platform_Settlements!$D11),"")</f>
        <v/>
      </c>
      <c r="J774" s="32">
        <f>IF($A774=1,"CC00","")</f>
        <v/>
      </c>
      <c r="K774" s="32">
        <f>IF($A774=1,"-","")</f>
        <v/>
      </c>
      <c r="L774" s="32">
        <f>IF($A774=1,"تخفيض مستحقات المنصة/البطاقات","")</f>
        <v/>
      </c>
      <c r="M774" s="43">
        <f>IF($A774=1,0,"")</f>
        <v/>
      </c>
      <c r="N774" s="43">
        <f>IF($A774=1,Platform_Settlements!$G11,"")</f>
        <v/>
      </c>
      <c r="O774" s="32">
        <f>IF($A774=1,Platform_Settlements!$L11,"")</f>
        <v/>
      </c>
      <c r="P774" s="32">
        <f>IF($A774=1,IF(Platform_Settlements!$Y11="","",Platform_Settlements!$Y11),"")</f>
        <v/>
      </c>
      <c r="Q774" s="32">
        <f>IF($A774=1,Platform_Settlements!$AA11,"")</f>
        <v/>
      </c>
      <c r="R774" s="32">
        <f>IF($A774=1,IF(AND($Q774=1,COUNTIFS(COA!$A:$A,$G774,COA!$R:$R,1)=1),1,0),"")</f>
        <v/>
      </c>
      <c r="S774" s="43">
        <f>IF($A774=1,IF($R774=1,N($M774),0),"")</f>
        <v/>
      </c>
      <c r="T774" s="43">
        <f>IF($A774=1,IF($R774=1,N($N774),0),"")</f>
        <v/>
      </c>
      <c r="U774" s="32">
        <f>IF($A774=1,YEAR($D774)*100+MONTH($D774),"")</f>
        <v/>
      </c>
      <c r="V774" s="32">
        <f>IF($A774=1,IF(COUNTIF(COA!$A:$A,$G774)=0,0,INDEX(COA!$H:$H,MATCH($G774,COA!$A:$A,0))),"")</f>
        <v/>
      </c>
      <c r="W774" s="32">
        <f>IF($A774=1,"","")</f>
        <v/>
      </c>
      <c r="X774" s="32">
        <f>IF($A774=1,IF($R774=1,"",IF($O774=ST_POST,IF($P774&lt;&gt;"",$P774,"حساب غير صالح أو غير نشط"),IF($O774=ST_REV,"معكوس: لا أثر على الدفاتر",IF($O774=ST_CANC,"ملغى",IF($O774=ST_APPR,"معتمد ولم يُرحَّل","مسودة"))))),"")</f>
        <v/>
      </c>
      <c r="Y774" s="32">
        <f>IF($A774=1,IF(AND($R774=1,OR(LG_Acct="",$G774=LG_Acct),OR(LG_Party="",$K774=LG_Party),OR(LG_Loc="ALL",$I774=LG_Loc),OR(LG_CC="ALL",$J774=LG_CC),$D774&gt;=LG_From,$D774&lt;=LG_To),$D774+ROW()/1000000,""),"")</f>
        <v/>
      </c>
      <c r="Z774" s="32">
        <f>IF($A774=1,IF(Platform_Settlements!$M11="","",Platform_Settlements!$M11),"")</f>
        <v/>
      </c>
      <c r="AA774" s="32">
        <f>IF($A774=1,IF(Platform_Settlements!$N11="","",Platform_Settlements!$N11),"")</f>
        <v/>
      </c>
      <c r="AB774" s="32">
        <f>IF($A774=1,IF(Platform_Settlements!$O11="","",Platform_Settlements!$O11),"")</f>
        <v/>
      </c>
      <c r="AC774" s="32">
        <f>IF($A774=1,IF(Platform_Settlements!$P11="","",Platform_Settlements!$P11),"")</f>
        <v/>
      </c>
      <c r="AD774" s="32">
        <f>IF($A774=1,IF(Platform_Settlements!$Q11="","",Platform_Settlements!$Q11),"")</f>
        <v/>
      </c>
      <c r="AE774" s="32">
        <f>IF($A774=1,0,"")</f>
        <v/>
      </c>
      <c r="AF774" s="32" t="inlineStr"/>
    </row>
    <row r="775">
      <c r="A775" s="32">
        <f>IF(AND(Platform_Settlements!$X12=1,N(Platform_Settlements!$J12)&gt;0),1,0)</f>
        <v/>
      </c>
      <c r="B775" s="32">
        <f>IF($A775=1,$E775&amp;"/1","")</f>
        <v/>
      </c>
      <c r="C775" s="32">
        <f>IF($A775=1,"J-"&amp;Platform_Settlements!$A12,"")</f>
        <v/>
      </c>
      <c r="D775" s="33">
        <f>IF($A775=1,Platform_Settlements!$B12,"")</f>
        <v/>
      </c>
      <c r="E775" s="32">
        <f>IF($A775=1,IF(Platform_Settlements!$A12="","",Platform_Settlements!$A12),"")</f>
        <v/>
      </c>
      <c r="F775" s="32">
        <f>IF($A775=1,"PLT","")</f>
        <v/>
      </c>
      <c r="G775" s="32">
        <f>IF($A775=1,IF(Platform_Settlements!$W12="","",Platform_Settlements!$W12),"")</f>
        <v/>
      </c>
      <c r="H775" s="32">
        <f>IF($A775=1,IF(COUNTIF(COA!$A:$A,$G775)=0,"حساب غير معرف",INDEX(COA!$B:$B,MATCH($G775,COA!$A:$A,0))),"")</f>
        <v/>
      </c>
      <c r="I775" s="32">
        <f>IF($A775=1,IF(Platform_Settlements!$D12="","",Platform_Settlements!$D12),"")</f>
        <v/>
      </c>
      <c r="J775" s="32">
        <f>IF($A775=1,"CC00","")</f>
        <v/>
      </c>
      <c r="K775" s="32">
        <f>IF($A775=1,"-","")</f>
        <v/>
      </c>
      <c r="L775" s="32">
        <f>IF($A775=1,"استلام تسوية منصة/بطاقات","")</f>
        <v/>
      </c>
      <c r="M775" s="43">
        <f>IF($A775=1,Platform_Settlements!$J12,"")</f>
        <v/>
      </c>
      <c r="N775" s="43">
        <f>IF($A775=1,0,"")</f>
        <v/>
      </c>
      <c r="O775" s="32">
        <f>IF($A775=1,Platform_Settlements!$L12,"")</f>
        <v/>
      </c>
      <c r="P775" s="32">
        <f>IF($A775=1,IF(Platform_Settlements!$Y12="","",Platform_Settlements!$Y12),"")</f>
        <v/>
      </c>
      <c r="Q775" s="32">
        <f>IF($A775=1,Platform_Settlements!$AA12,"")</f>
        <v/>
      </c>
      <c r="R775" s="32">
        <f>IF($A775=1,IF(AND($Q775=1,COUNTIFS(COA!$A:$A,$G775,COA!$R:$R,1)=1),1,0),"")</f>
        <v/>
      </c>
      <c r="S775" s="43">
        <f>IF($A775=1,IF($R775=1,N($M775),0),"")</f>
        <v/>
      </c>
      <c r="T775" s="43">
        <f>IF($A775=1,IF($R775=1,N($N775),0),"")</f>
        <v/>
      </c>
      <c r="U775" s="32">
        <f>IF($A775=1,YEAR($D775)*100+MONTH($D775),"")</f>
        <v/>
      </c>
      <c r="V775" s="32">
        <f>IF($A775=1,IF(COUNTIF(COA!$A:$A,$G775)=0,0,INDEX(COA!$H:$H,MATCH($G775,COA!$A:$A,0))),"")</f>
        <v/>
      </c>
      <c r="W775" s="32">
        <f>IF($A775=1,"OPERATING","")</f>
        <v/>
      </c>
      <c r="X775" s="32">
        <f>IF($A775=1,IF($R775=1,"",IF($O775=ST_POST,IF($P775&lt;&gt;"",$P775,"حساب غير صالح أو غير نشط"),IF($O775=ST_REV,"معكوس: لا أثر على الدفاتر",IF($O775=ST_CANC,"ملغى",IF($O775=ST_APPR,"معتمد ولم يُرحَّل","مسودة"))))),"")</f>
        <v/>
      </c>
      <c r="Y775" s="32">
        <f>IF($A775=1,IF(AND($R775=1,OR(LG_Acct="",$G775=LG_Acct),OR(LG_Party="",$K775=LG_Party),OR(LG_Loc="ALL",$I775=LG_Loc),OR(LG_CC="ALL",$J775=LG_CC),$D775&gt;=LG_From,$D775&lt;=LG_To),$D775+ROW()/1000000,""),"")</f>
        <v/>
      </c>
      <c r="Z775" s="32">
        <f>IF($A775=1,IF(Platform_Settlements!$M12="","",Platform_Settlements!$M12),"")</f>
        <v/>
      </c>
      <c r="AA775" s="32">
        <f>IF($A775=1,IF(Platform_Settlements!$N12="","",Platform_Settlements!$N12),"")</f>
        <v/>
      </c>
      <c r="AB775" s="32">
        <f>IF($A775=1,IF(Platform_Settlements!$O12="","",Platform_Settlements!$O12),"")</f>
        <v/>
      </c>
      <c r="AC775" s="32">
        <f>IF($A775=1,IF(Platform_Settlements!$P12="","",Platform_Settlements!$P12),"")</f>
        <v/>
      </c>
      <c r="AD775" s="32">
        <f>IF($A775=1,IF(Platform_Settlements!$Q12="","",Platform_Settlements!$Q12),"")</f>
        <v/>
      </c>
      <c r="AE775" s="32">
        <f>IF($A775=1,0,"")</f>
        <v/>
      </c>
      <c r="AF775" s="32" t="inlineStr"/>
    </row>
    <row r="776">
      <c r="A776" s="32">
        <f>IF(AND(Platform_Settlements!$X12=1,N(Platform_Settlements!$H12)&gt;0),1,0)</f>
        <v/>
      </c>
      <c r="B776" s="32">
        <f>IF($A776=1,$E776&amp;"/2","")</f>
        <v/>
      </c>
      <c r="C776" s="32">
        <f>IF($A776=1,"J-"&amp;Platform_Settlements!$A12,"")</f>
        <v/>
      </c>
      <c r="D776" s="33">
        <f>IF($A776=1,Platform_Settlements!$B12,"")</f>
        <v/>
      </c>
      <c r="E776" s="32">
        <f>IF($A776=1,IF(Platform_Settlements!$A12="","",Platform_Settlements!$A12),"")</f>
        <v/>
      </c>
      <c r="F776" s="32">
        <f>IF($A776=1,"PLT","")</f>
        <v/>
      </c>
      <c r="G776" s="32">
        <f>IF($A776=1,IF(Platform_Settlements!$V12="","",Platform_Settlements!$V12),"")</f>
        <v/>
      </c>
      <c r="H776" s="32">
        <f>IF($A776=1,IF(COUNTIF(COA!$A:$A,$G776)=0,"حساب غير معرف",INDEX(COA!$B:$B,MATCH($G776,COA!$A:$A,0))),"")</f>
        <v/>
      </c>
      <c r="I776" s="32">
        <f>IF($A776=1,IF(Platform_Settlements!$D12="","",Platform_Settlements!$D12),"")</f>
        <v/>
      </c>
      <c r="J776" s="32">
        <f>IF($A776=1,"CC30","")</f>
        <v/>
      </c>
      <c r="K776" s="32">
        <f>IF($A776=1,"-","")</f>
        <v/>
      </c>
      <c r="L776" s="32">
        <f>IF($A776=1,"عمولة المنصة/رسوم البطاقات","")</f>
        <v/>
      </c>
      <c r="M776" s="43">
        <f>IF($A776=1,Platform_Settlements!$H12,"")</f>
        <v/>
      </c>
      <c r="N776" s="43">
        <f>IF($A776=1,0,"")</f>
        <v/>
      </c>
      <c r="O776" s="32">
        <f>IF($A776=1,Platform_Settlements!$L12,"")</f>
        <v/>
      </c>
      <c r="P776" s="32">
        <f>IF($A776=1,IF(Platform_Settlements!$Y12="","",Platform_Settlements!$Y12),"")</f>
        <v/>
      </c>
      <c r="Q776" s="32">
        <f>IF($A776=1,Platform_Settlements!$AA12,"")</f>
        <v/>
      </c>
      <c r="R776" s="32">
        <f>IF($A776=1,IF(AND($Q776=1,COUNTIFS(COA!$A:$A,$G776,COA!$R:$R,1)=1),1,0),"")</f>
        <v/>
      </c>
      <c r="S776" s="43">
        <f>IF($A776=1,IF($R776=1,N($M776),0),"")</f>
        <v/>
      </c>
      <c r="T776" s="43">
        <f>IF($A776=1,IF($R776=1,N($N776),0),"")</f>
        <v/>
      </c>
      <c r="U776" s="32">
        <f>IF($A776=1,YEAR($D776)*100+MONTH($D776),"")</f>
        <v/>
      </c>
      <c r="V776" s="32">
        <f>IF($A776=1,IF(COUNTIF(COA!$A:$A,$G776)=0,0,INDEX(COA!$H:$H,MATCH($G776,COA!$A:$A,0))),"")</f>
        <v/>
      </c>
      <c r="W776" s="32">
        <f>IF($A776=1,"","")</f>
        <v/>
      </c>
      <c r="X776" s="32">
        <f>IF($A776=1,IF($R776=1,"",IF($O776=ST_POST,IF($P776&lt;&gt;"",$P776,"حساب غير صالح أو غير نشط"),IF($O776=ST_REV,"معكوس: لا أثر على الدفاتر",IF($O776=ST_CANC,"ملغى",IF($O776=ST_APPR,"معتمد ولم يُرحَّل","مسودة"))))),"")</f>
        <v/>
      </c>
      <c r="Y776" s="32">
        <f>IF($A776=1,IF(AND($R776=1,OR(LG_Acct="",$G776=LG_Acct),OR(LG_Party="",$K776=LG_Party),OR(LG_Loc="ALL",$I776=LG_Loc),OR(LG_CC="ALL",$J776=LG_CC),$D776&gt;=LG_From,$D776&lt;=LG_To),$D776+ROW()/1000000,""),"")</f>
        <v/>
      </c>
      <c r="Z776" s="32">
        <f>IF($A776=1,IF(Platform_Settlements!$M12="","",Platform_Settlements!$M12),"")</f>
        <v/>
      </c>
      <c r="AA776" s="32">
        <f>IF($A776=1,IF(Platform_Settlements!$N12="","",Platform_Settlements!$N12),"")</f>
        <v/>
      </c>
      <c r="AB776" s="32">
        <f>IF($A776=1,IF(Platform_Settlements!$O12="","",Platform_Settlements!$O12),"")</f>
        <v/>
      </c>
      <c r="AC776" s="32">
        <f>IF($A776=1,IF(Platform_Settlements!$P12="","",Platform_Settlements!$P12),"")</f>
        <v/>
      </c>
      <c r="AD776" s="32">
        <f>IF($A776=1,IF(Platform_Settlements!$Q12="","",Platform_Settlements!$Q12),"")</f>
        <v/>
      </c>
      <c r="AE776" s="32">
        <f>IF($A776=1,0,"")</f>
        <v/>
      </c>
      <c r="AF776" s="32" t="inlineStr"/>
    </row>
    <row r="777">
      <c r="A777" s="32">
        <f>IF(AND(Platform_Settlements!$X12=1,N(Platform_Settlements!$I12)&gt;0),1,0)</f>
        <v/>
      </c>
      <c r="B777" s="32">
        <f>IF($A777=1,$E777&amp;"/3","")</f>
        <v/>
      </c>
      <c r="C777" s="32">
        <f>IF($A777=1,"J-"&amp;Platform_Settlements!$A12,"")</f>
        <v/>
      </c>
      <c r="D777" s="33">
        <f>IF($A777=1,Platform_Settlements!$B12,"")</f>
        <v/>
      </c>
      <c r="E777" s="32">
        <f>IF($A777=1,IF(Platform_Settlements!$A12="","",Platform_Settlements!$A12),"")</f>
        <v/>
      </c>
      <c r="F777" s="32">
        <f>IF($A777=1,"PLT","")</f>
        <v/>
      </c>
      <c r="G777" s="32">
        <f>IF($A777=1,ACC_PLT_OTHER,"")</f>
        <v/>
      </c>
      <c r="H777" s="32">
        <f>IF($A777=1,IF(COUNTIF(COA!$A:$A,$G777)=0,"حساب غير معرف",INDEX(COA!$B:$B,MATCH($G777,COA!$A:$A,0))),"")</f>
        <v/>
      </c>
      <c r="I777" s="32">
        <f>IF($A777=1,IF(Platform_Settlements!$D12="","",Platform_Settlements!$D12),"")</f>
        <v/>
      </c>
      <c r="J777" s="32">
        <f>IF($A777=1,"CC30","")</f>
        <v/>
      </c>
      <c r="K777" s="32">
        <f>IF($A777=1,"-","")</f>
        <v/>
      </c>
      <c r="L777" s="32">
        <f>IF($A777=1,"خصومات/غرامات أخرى من المنصة","")</f>
        <v/>
      </c>
      <c r="M777" s="43">
        <f>IF($A777=1,Platform_Settlements!$I12,"")</f>
        <v/>
      </c>
      <c r="N777" s="43">
        <f>IF($A777=1,0,"")</f>
        <v/>
      </c>
      <c r="O777" s="32">
        <f>IF($A777=1,Platform_Settlements!$L12,"")</f>
        <v/>
      </c>
      <c r="P777" s="32">
        <f>IF($A777=1,IF(Platform_Settlements!$Y12="","",Platform_Settlements!$Y12),"")</f>
        <v/>
      </c>
      <c r="Q777" s="32">
        <f>IF($A777=1,Platform_Settlements!$AA12,"")</f>
        <v/>
      </c>
      <c r="R777" s="32">
        <f>IF($A777=1,IF(AND($Q777=1,COUNTIFS(COA!$A:$A,$G777,COA!$R:$R,1)=1),1,0),"")</f>
        <v/>
      </c>
      <c r="S777" s="43">
        <f>IF($A777=1,IF($R777=1,N($M777),0),"")</f>
        <v/>
      </c>
      <c r="T777" s="43">
        <f>IF($A777=1,IF($R777=1,N($N777),0),"")</f>
        <v/>
      </c>
      <c r="U777" s="32">
        <f>IF($A777=1,YEAR($D777)*100+MONTH($D777),"")</f>
        <v/>
      </c>
      <c r="V777" s="32">
        <f>IF($A777=1,IF(COUNTIF(COA!$A:$A,$G777)=0,0,INDEX(COA!$H:$H,MATCH($G777,COA!$A:$A,0))),"")</f>
        <v/>
      </c>
      <c r="W777" s="32">
        <f>IF($A777=1,"","")</f>
        <v/>
      </c>
      <c r="X777" s="32">
        <f>IF($A777=1,IF($R777=1,"",IF($O777=ST_POST,IF($P777&lt;&gt;"",$P777,"حساب غير صالح أو غير نشط"),IF($O777=ST_REV,"معكوس: لا أثر على الدفاتر",IF($O777=ST_CANC,"ملغى",IF($O777=ST_APPR,"معتمد ولم يُرحَّل","مسودة"))))),"")</f>
        <v/>
      </c>
      <c r="Y777" s="32">
        <f>IF($A777=1,IF(AND($R777=1,OR(LG_Acct="",$G777=LG_Acct),OR(LG_Party="",$K777=LG_Party),OR(LG_Loc="ALL",$I777=LG_Loc),OR(LG_CC="ALL",$J777=LG_CC),$D777&gt;=LG_From,$D777&lt;=LG_To),$D777+ROW()/1000000,""),"")</f>
        <v/>
      </c>
      <c r="Z777" s="32">
        <f>IF($A777=1,IF(Platform_Settlements!$M12="","",Platform_Settlements!$M12),"")</f>
        <v/>
      </c>
      <c r="AA777" s="32">
        <f>IF($A777=1,IF(Platform_Settlements!$N12="","",Platform_Settlements!$N12),"")</f>
        <v/>
      </c>
      <c r="AB777" s="32">
        <f>IF($A777=1,IF(Platform_Settlements!$O12="","",Platform_Settlements!$O12),"")</f>
        <v/>
      </c>
      <c r="AC777" s="32">
        <f>IF($A777=1,IF(Platform_Settlements!$P12="","",Platform_Settlements!$P12),"")</f>
        <v/>
      </c>
      <c r="AD777" s="32">
        <f>IF($A777=1,IF(Platform_Settlements!$Q12="","",Platform_Settlements!$Q12),"")</f>
        <v/>
      </c>
      <c r="AE777" s="32">
        <f>IF($A777=1,0,"")</f>
        <v/>
      </c>
      <c r="AF777" s="32" t="inlineStr"/>
    </row>
    <row r="778">
      <c r="A778" s="32">
        <f>IF(AND(Platform_Settlements!$X12=1,N(Platform_Settlements!$T12)&gt;0),1,0)</f>
        <v/>
      </c>
      <c r="B778" s="32">
        <f>IF($A778=1,$E778&amp;"/4","")</f>
        <v/>
      </c>
      <c r="C778" s="32">
        <f>IF($A778=1,"J-"&amp;Platform_Settlements!$A12,"")</f>
        <v/>
      </c>
      <c r="D778" s="33">
        <f>IF($A778=1,Platform_Settlements!$B12,"")</f>
        <v/>
      </c>
      <c r="E778" s="32">
        <f>IF($A778=1,IF(Platform_Settlements!$A12="","",Platform_Settlements!$A12),"")</f>
        <v/>
      </c>
      <c r="F778" s="32">
        <f>IF($A778=1,"PLT","")</f>
        <v/>
      </c>
      <c r="G778" s="32">
        <f>IF($A778=1,ACC_PLT_DIFF,"")</f>
        <v/>
      </c>
      <c r="H778" s="32">
        <f>IF($A778=1,IF(COUNTIF(COA!$A:$A,$G778)=0,"حساب غير معرف",INDEX(COA!$B:$B,MATCH($G778,COA!$A:$A,0))),"")</f>
        <v/>
      </c>
      <c r="I778" s="32">
        <f>IF($A778=1,IF(Platform_Settlements!$D12="","",Platform_Settlements!$D12),"")</f>
        <v/>
      </c>
      <c r="J778" s="32">
        <f>IF($A778=1,"CC00","")</f>
        <v/>
      </c>
      <c r="K778" s="32">
        <f>IF($A778=1,"-","")</f>
        <v/>
      </c>
      <c r="L778" s="32">
        <f>IF($A778=1,"فرق تسوية منصة (نقص) تحت المراجعة","")</f>
        <v/>
      </c>
      <c r="M778" s="43">
        <f>IF($A778=1,Platform_Settlements!$T12,"")</f>
        <v/>
      </c>
      <c r="N778" s="43">
        <f>IF($A778=1,0,"")</f>
        <v/>
      </c>
      <c r="O778" s="32">
        <f>IF($A778=1,Platform_Settlements!$L12,"")</f>
        <v/>
      </c>
      <c r="P778" s="32">
        <f>IF($A778=1,IF(Platform_Settlements!$Y12="","",Platform_Settlements!$Y12),"")</f>
        <v/>
      </c>
      <c r="Q778" s="32">
        <f>IF($A778=1,Platform_Settlements!$AA12,"")</f>
        <v/>
      </c>
      <c r="R778" s="32">
        <f>IF($A778=1,IF(AND($Q778=1,COUNTIFS(COA!$A:$A,$G778,COA!$R:$R,1)=1),1,0),"")</f>
        <v/>
      </c>
      <c r="S778" s="43">
        <f>IF($A778=1,IF($R778=1,N($M778),0),"")</f>
        <v/>
      </c>
      <c r="T778" s="43">
        <f>IF($A778=1,IF($R778=1,N($N778),0),"")</f>
        <v/>
      </c>
      <c r="U778" s="32">
        <f>IF($A778=1,YEAR($D778)*100+MONTH($D778),"")</f>
        <v/>
      </c>
      <c r="V778" s="32">
        <f>IF($A778=1,IF(COUNTIF(COA!$A:$A,$G778)=0,0,INDEX(COA!$H:$H,MATCH($G778,COA!$A:$A,0))),"")</f>
        <v/>
      </c>
      <c r="W778" s="32">
        <f>IF($A778=1,"","")</f>
        <v/>
      </c>
      <c r="X778" s="32">
        <f>IF($A778=1,IF($R778=1,"",IF($O778=ST_POST,IF($P778&lt;&gt;"",$P778,"حساب غير صالح أو غير نشط"),IF($O778=ST_REV,"معكوس: لا أثر على الدفاتر",IF($O778=ST_CANC,"ملغى",IF($O778=ST_APPR,"معتمد ولم يُرحَّل","مسودة"))))),"")</f>
        <v/>
      </c>
      <c r="Y778" s="32">
        <f>IF($A778=1,IF(AND($R778=1,OR(LG_Acct="",$G778=LG_Acct),OR(LG_Party="",$K778=LG_Party),OR(LG_Loc="ALL",$I778=LG_Loc),OR(LG_CC="ALL",$J778=LG_CC),$D778&gt;=LG_From,$D778&lt;=LG_To),$D778+ROW()/1000000,""),"")</f>
        <v/>
      </c>
      <c r="Z778" s="32">
        <f>IF($A778=1,IF(Platform_Settlements!$M12="","",Platform_Settlements!$M12),"")</f>
        <v/>
      </c>
      <c r="AA778" s="32">
        <f>IF($A778=1,IF(Platform_Settlements!$N12="","",Platform_Settlements!$N12),"")</f>
        <v/>
      </c>
      <c r="AB778" s="32">
        <f>IF($A778=1,IF(Platform_Settlements!$O12="","",Platform_Settlements!$O12),"")</f>
        <v/>
      </c>
      <c r="AC778" s="32">
        <f>IF($A778=1,IF(Platform_Settlements!$P12="","",Platform_Settlements!$P12),"")</f>
        <v/>
      </c>
      <c r="AD778" s="32">
        <f>IF($A778=1,IF(Platform_Settlements!$Q12="","",Platform_Settlements!$Q12),"")</f>
        <v/>
      </c>
      <c r="AE778" s="32">
        <f>IF($A778=1,0,"")</f>
        <v/>
      </c>
      <c r="AF778" s="32" t="inlineStr"/>
    </row>
    <row r="779">
      <c r="A779" s="32">
        <f>IF(AND(Platform_Settlements!$X12=1,N(Platform_Settlements!$T12)&lt;0),1,0)</f>
        <v/>
      </c>
      <c r="B779" s="32">
        <f>IF($A779=1,$E779&amp;"/5","")</f>
        <v/>
      </c>
      <c r="C779" s="32">
        <f>IF($A779=1,"J-"&amp;Platform_Settlements!$A12,"")</f>
        <v/>
      </c>
      <c r="D779" s="33">
        <f>IF($A779=1,Platform_Settlements!$B12,"")</f>
        <v/>
      </c>
      <c r="E779" s="32">
        <f>IF($A779=1,IF(Platform_Settlements!$A12="","",Platform_Settlements!$A12),"")</f>
        <v/>
      </c>
      <c r="F779" s="32">
        <f>IF($A779=1,"PLT","")</f>
        <v/>
      </c>
      <c r="G779" s="32">
        <f>IF($A779=1,ACC_PLT_DIFF,"")</f>
        <v/>
      </c>
      <c r="H779" s="32">
        <f>IF($A779=1,IF(COUNTIF(COA!$A:$A,$G779)=0,"حساب غير معرف",INDEX(COA!$B:$B,MATCH($G779,COA!$A:$A,0))),"")</f>
        <v/>
      </c>
      <c r="I779" s="32">
        <f>IF($A779=1,IF(Platform_Settlements!$D12="","",Platform_Settlements!$D12),"")</f>
        <v/>
      </c>
      <c r="J779" s="32">
        <f>IF($A779=1,"CC00","")</f>
        <v/>
      </c>
      <c r="K779" s="32">
        <f>IF($A779=1,"-","")</f>
        <v/>
      </c>
      <c r="L779" s="32">
        <f>IF($A779=1,"فرق تسوية منصة (زيادة) تحت المراجعة","")</f>
        <v/>
      </c>
      <c r="M779" s="43">
        <f>IF($A779=1,0,"")</f>
        <v/>
      </c>
      <c r="N779" s="43">
        <f>IF($A779=1,-Platform_Settlements!$T12,"")</f>
        <v/>
      </c>
      <c r="O779" s="32">
        <f>IF($A779=1,Platform_Settlements!$L12,"")</f>
        <v/>
      </c>
      <c r="P779" s="32">
        <f>IF($A779=1,IF(Platform_Settlements!$Y12="","",Platform_Settlements!$Y12),"")</f>
        <v/>
      </c>
      <c r="Q779" s="32">
        <f>IF($A779=1,Platform_Settlements!$AA12,"")</f>
        <v/>
      </c>
      <c r="R779" s="32">
        <f>IF($A779=1,IF(AND($Q779=1,COUNTIFS(COA!$A:$A,$G779,COA!$R:$R,1)=1),1,0),"")</f>
        <v/>
      </c>
      <c r="S779" s="43">
        <f>IF($A779=1,IF($R779=1,N($M779),0),"")</f>
        <v/>
      </c>
      <c r="T779" s="43">
        <f>IF($A779=1,IF($R779=1,N($N779),0),"")</f>
        <v/>
      </c>
      <c r="U779" s="32">
        <f>IF($A779=1,YEAR($D779)*100+MONTH($D779),"")</f>
        <v/>
      </c>
      <c r="V779" s="32">
        <f>IF($A779=1,IF(COUNTIF(COA!$A:$A,$G779)=0,0,INDEX(COA!$H:$H,MATCH($G779,COA!$A:$A,0))),"")</f>
        <v/>
      </c>
      <c r="W779" s="32">
        <f>IF($A779=1,"","")</f>
        <v/>
      </c>
      <c r="X779" s="32">
        <f>IF($A779=1,IF($R779=1,"",IF($O779=ST_POST,IF($P779&lt;&gt;"",$P779,"حساب غير صالح أو غير نشط"),IF($O779=ST_REV,"معكوس: لا أثر على الدفاتر",IF($O779=ST_CANC,"ملغى",IF($O779=ST_APPR,"معتمد ولم يُرحَّل","مسودة"))))),"")</f>
        <v/>
      </c>
      <c r="Y779" s="32">
        <f>IF($A779=1,IF(AND($R779=1,OR(LG_Acct="",$G779=LG_Acct),OR(LG_Party="",$K779=LG_Party),OR(LG_Loc="ALL",$I779=LG_Loc),OR(LG_CC="ALL",$J779=LG_CC),$D779&gt;=LG_From,$D779&lt;=LG_To),$D779+ROW()/1000000,""),"")</f>
        <v/>
      </c>
      <c r="Z779" s="32">
        <f>IF($A779=1,IF(Platform_Settlements!$M12="","",Platform_Settlements!$M12),"")</f>
        <v/>
      </c>
      <c r="AA779" s="32">
        <f>IF($A779=1,IF(Platform_Settlements!$N12="","",Platform_Settlements!$N12),"")</f>
        <v/>
      </c>
      <c r="AB779" s="32">
        <f>IF($A779=1,IF(Platform_Settlements!$O12="","",Platform_Settlements!$O12),"")</f>
        <v/>
      </c>
      <c r="AC779" s="32">
        <f>IF($A779=1,IF(Platform_Settlements!$P12="","",Platform_Settlements!$P12),"")</f>
        <v/>
      </c>
      <c r="AD779" s="32">
        <f>IF($A779=1,IF(Platform_Settlements!$Q12="","",Platform_Settlements!$Q12),"")</f>
        <v/>
      </c>
      <c r="AE779" s="32">
        <f>IF($A779=1,0,"")</f>
        <v/>
      </c>
      <c r="AF779" s="32" t="inlineStr"/>
    </row>
    <row r="780">
      <c r="A780" s="32">
        <f>IF(AND(Platform_Settlements!$X12=1,N(Platform_Settlements!$G12)&gt;0),1,0)</f>
        <v/>
      </c>
      <c r="B780" s="32">
        <f>IF($A780=1,$E780&amp;"/6","")</f>
        <v/>
      </c>
      <c r="C780" s="32">
        <f>IF($A780=1,"J-"&amp;Platform_Settlements!$A12,"")</f>
        <v/>
      </c>
      <c r="D780" s="33">
        <f>IF($A780=1,Platform_Settlements!$B12,"")</f>
        <v/>
      </c>
      <c r="E780" s="32">
        <f>IF($A780=1,IF(Platform_Settlements!$A12="","",Platform_Settlements!$A12),"")</f>
        <v/>
      </c>
      <c r="F780" s="32">
        <f>IF($A780=1,"PLT","")</f>
        <v/>
      </c>
      <c r="G780" s="32">
        <f>IF($A780=1,IF(Platform_Settlements!$U12="","",Platform_Settlements!$U12),"")</f>
        <v/>
      </c>
      <c r="H780" s="32">
        <f>IF($A780=1,IF(COUNTIF(COA!$A:$A,$G780)=0,"حساب غير معرف",INDEX(COA!$B:$B,MATCH($G780,COA!$A:$A,0))),"")</f>
        <v/>
      </c>
      <c r="I780" s="32">
        <f>IF($A780=1,IF(Platform_Settlements!$D12="","",Platform_Settlements!$D12),"")</f>
        <v/>
      </c>
      <c r="J780" s="32">
        <f>IF($A780=1,"CC00","")</f>
        <v/>
      </c>
      <c r="K780" s="32">
        <f>IF($A780=1,"-","")</f>
        <v/>
      </c>
      <c r="L780" s="32">
        <f>IF($A780=1,"تخفيض مستحقات المنصة/البطاقات","")</f>
        <v/>
      </c>
      <c r="M780" s="43">
        <f>IF($A780=1,0,"")</f>
        <v/>
      </c>
      <c r="N780" s="43">
        <f>IF($A780=1,Platform_Settlements!$G12,"")</f>
        <v/>
      </c>
      <c r="O780" s="32">
        <f>IF($A780=1,Platform_Settlements!$L12,"")</f>
        <v/>
      </c>
      <c r="P780" s="32">
        <f>IF($A780=1,IF(Platform_Settlements!$Y12="","",Platform_Settlements!$Y12),"")</f>
        <v/>
      </c>
      <c r="Q780" s="32">
        <f>IF($A780=1,Platform_Settlements!$AA12,"")</f>
        <v/>
      </c>
      <c r="R780" s="32">
        <f>IF($A780=1,IF(AND($Q780=1,COUNTIFS(COA!$A:$A,$G780,COA!$R:$R,1)=1),1,0),"")</f>
        <v/>
      </c>
      <c r="S780" s="43">
        <f>IF($A780=1,IF($R780=1,N($M780),0),"")</f>
        <v/>
      </c>
      <c r="T780" s="43">
        <f>IF($A780=1,IF($R780=1,N($N780),0),"")</f>
        <v/>
      </c>
      <c r="U780" s="32">
        <f>IF($A780=1,YEAR($D780)*100+MONTH($D780),"")</f>
        <v/>
      </c>
      <c r="V780" s="32">
        <f>IF($A780=1,IF(COUNTIF(COA!$A:$A,$G780)=0,0,INDEX(COA!$H:$H,MATCH($G780,COA!$A:$A,0))),"")</f>
        <v/>
      </c>
      <c r="W780" s="32">
        <f>IF($A780=1,"","")</f>
        <v/>
      </c>
      <c r="X780" s="32">
        <f>IF($A780=1,IF($R780=1,"",IF($O780=ST_POST,IF($P780&lt;&gt;"",$P780,"حساب غير صالح أو غير نشط"),IF($O780=ST_REV,"معكوس: لا أثر على الدفاتر",IF($O780=ST_CANC,"ملغى",IF($O780=ST_APPR,"معتمد ولم يُرحَّل","مسودة"))))),"")</f>
        <v/>
      </c>
      <c r="Y780" s="32">
        <f>IF($A780=1,IF(AND($R780=1,OR(LG_Acct="",$G780=LG_Acct),OR(LG_Party="",$K780=LG_Party),OR(LG_Loc="ALL",$I780=LG_Loc),OR(LG_CC="ALL",$J780=LG_CC),$D780&gt;=LG_From,$D780&lt;=LG_To),$D780+ROW()/1000000,""),"")</f>
        <v/>
      </c>
      <c r="Z780" s="32">
        <f>IF($A780=1,IF(Platform_Settlements!$M12="","",Platform_Settlements!$M12),"")</f>
        <v/>
      </c>
      <c r="AA780" s="32">
        <f>IF($A780=1,IF(Platform_Settlements!$N12="","",Platform_Settlements!$N12),"")</f>
        <v/>
      </c>
      <c r="AB780" s="32">
        <f>IF($A780=1,IF(Platform_Settlements!$O12="","",Platform_Settlements!$O12),"")</f>
        <v/>
      </c>
      <c r="AC780" s="32">
        <f>IF($A780=1,IF(Platform_Settlements!$P12="","",Platform_Settlements!$P12),"")</f>
        <v/>
      </c>
      <c r="AD780" s="32">
        <f>IF($A780=1,IF(Platform_Settlements!$Q12="","",Platform_Settlements!$Q12),"")</f>
        <v/>
      </c>
      <c r="AE780" s="32">
        <f>IF($A780=1,0,"")</f>
        <v/>
      </c>
      <c r="AF780" s="32" t="inlineStr"/>
    </row>
    <row r="781">
      <c r="A781" s="32">
        <f>IF(AND(Platform_Settlements!$X13=1,N(Platform_Settlements!$J13)&gt;0),1,0)</f>
        <v/>
      </c>
      <c r="B781" s="32">
        <f>IF($A781=1,$E781&amp;"/1","")</f>
        <v/>
      </c>
      <c r="C781" s="32">
        <f>IF($A781=1,"J-"&amp;Platform_Settlements!$A13,"")</f>
        <v/>
      </c>
      <c r="D781" s="33">
        <f>IF($A781=1,Platform_Settlements!$B13,"")</f>
        <v/>
      </c>
      <c r="E781" s="32">
        <f>IF($A781=1,IF(Platform_Settlements!$A13="","",Platform_Settlements!$A13),"")</f>
        <v/>
      </c>
      <c r="F781" s="32">
        <f>IF($A781=1,"PLT","")</f>
        <v/>
      </c>
      <c r="G781" s="32">
        <f>IF($A781=1,IF(Platform_Settlements!$W13="","",Platform_Settlements!$W13),"")</f>
        <v/>
      </c>
      <c r="H781" s="32">
        <f>IF($A781=1,IF(COUNTIF(COA!$A:$A,$G781)=0,"حساب غير معرف",INDEX(COA!$B:$B,MATCH($G781,COA!$A:$A,0))),"")</f>
        <v/>
      </c>
      <c r="I781" s="32">
        <f>IF($A781=1,IF(Platform_Settlements!$D13="","",Platform_Settlements!$D13),"")</f>
        <v/>
      </c>
      <c r="J781" s="32">
        <f>IF($A781=1,"CC00","")</f>
        <v/>
      </c>
      <c r="K781" s="32">
        <f>IF($A781=1,"-","")</f>
        <v/>
      </c>
      <c r="L781" s="32">
        <f>IF($A781=1,"استلام تسوية منصة/بطاقات","")</f>
        <v/>
      </c>
      <c r="M781" s="43">
        <f>IF($A781=1,Platform_Settlements!$J13,"")</f>
        <v/>
      </c>
      <c r="N781" s="43">
        <f>IF($A781=1,0,"")</f>
        <v/>
      </c>
      <c r="O781" s="32">
        <f>IF($A781=1,Platform_Settlements!$L13,"")</f>
        <v/>
      </c>
      <c r="P781" s="32">
        <f>IF($A781=1,IF(Platform_Settlements!$Y13="","",Platform_Settlements!$Y13),"")</f>
        <v/>
      </c>
      <c r="Q781" s="32">
        <f>IF($A781=1,Platform_Settlements!$AA13,"")</f>
        <v/>
      </c>
      <c r="R781" s="32">
        <f>IF($A781=1,IF(AND($Q781=1,COUNTIFS(COA!$A:$A,$G781,COA!$R:$R,1)=1),1,0),"")</f>
        <v/>
      </c>
      <c r="S781" s="43">
        <f>IF($A781=1,IF($R781=1,N($M781),0),"")</f>
        <v/>
      </c>
      <c r="T781" s="43">
        <f>IF($A781=1,IF($R781=1,N($N781),0),"")</f>
        <v/>
      </c>
      <c r="U781" s="32">
        <f>IF($A781=1,YEAR($D781)*100+MONTH($D781),"")</f>
        <v/>
      </c>
      <c r="V781" s="32">
        <f>IF($A781=1,IF(COUNTIF(COA!$A:$A,$G781)=0,0,INDEX(COA!$H:$H,MATCH($G781,COA!$A:$A,0))),"")</f>
        <v/>
      </c>
      <c r="W781" s="32">
        <f>IF($A781=1,"OPERATING","")</f>
        <v/>
      </c>
      <c r="X781" s="32">
        <f>IF($A781=1,IF($R781=1,"",IF($O781=ST_POST,IF($P781&lt;&gt;"",$P781,"حساب غير صالح أو غير نشط"),IF($O781=ST_REV,"معكوس: لا أثر على الدفاتر",IF($O781=ST_CANC,"ملغى",IF($O781=ST_APPR,"معتمد ولم يُرحَّل","مسودة"))))),"")</f>
        <v/>
      </c>
      <c r="Y781" s="32">
        <f>IF($A781=1,IF(AND($R781=1,OR(LG_Acct="",$G781=LG_Acct),OR(LG_Party="",$K781=LG_Party),OR(LG_Loc="ALL",$I781=LG_Loc),OR(LG_CC="ALL",$J781=LG_CC),$D781&gt;=LG_From,$D781&lt;=LG_To),$D781+ROW()/1000000,""),"")</f>
        <v/>
      </c>
      <c r="Z781" s="32">
        <f>IF($A781=1,IF(Platform_Settlements!$M13="","",Platform_Settlements!$M13),"")</f>
        <v/>
      </c>
      <c r="AA781" s="32">
        <f>IF($A781=1,IF(Platform_Settlements!$N13="","",Platform_Settlements!$N13),"")</f>
        <v/>
      </c>
      <c r="AB781" s="32">
        <f>IF($A781=1,IF(Platform_Settlements!$O13="","",Platform_Settlements!$O13),"")</f>
        <v/>
      </c>
      <c r="AC781" s="32">
        <f>IF($A781=1,IF(Platform_Settlements!$P13="","",Platform_Settlements!$P13),"")</f>
        <v/>
      </c>
      <c r="AD781" s="32">
        <f>IF($A781=1,IF(Platform_Settlements!$Q13="","",Platform_Settlements!$Q13),"")</f>
        <v/>
      </c>
      <c r="AE781" s="32">
        <f>IF($A781=1,0,"")</f>
        <v/>
      </c>
      <c r="AF781" s="32" t="inlineStr"/>
    </row>
    <row r="782">
      <c r="A782" s="32">
        <f>IF(AND(Platform_Settlements!$X13=1,N(Platform_Settlements!$H13)&gt;0),1,0)</f>
        <v/>
      </c>
      <c r="B782" s="32">
        <f>IF($A782=1,$E782&amp;"/2","")</f>
        <v/>
      </c>
      <c r="C782" s="32">
        <f>IF($A782=1,"J-"&amp;Platform_Settlements!$A13,"")</f>
        <v/>
      </c>
      <c r="D782" s="33">
        <f>IF($A782=1,Platform_Settlements!$B13,"")</f>
        <v/>
      </c>
      <c r="E782" s="32">
        <f>IF($A782=1,IF(Platform_Settlements!$A13="","",Platform_Settlements!$A13),"")</f>
        <v/>
      </c>
      <c r="F782" s="32">
        <f>IF($A782=1,"PLT","")</f>
        <v/>
      </c>
      <c r="G782" s="32">
        <f>IF($A782=1,IF(Platform_Settlements!$V13="","",Platform_Settlements!$V13),"")</f>
        <v/>
      </c>
      <c r="H782" s="32">
        <f>IF($A782=1,IF(COUNTIF(COA!$A:$A,$G782)=0,"حساب غير معرف",INDEX(COA!$B:$B,MATCH($G782,COA!$A:$A,0))),"")</f>
        <v/>
      </c>
      <c r="I782" s="32">
        <f>IF($A782=1,IF(Platform_Settlements!$D13="","",Platform_Settlements!$D13),"")</f>
        <v/>
      </c>
      <c r="J782" s="32">
        <f>IF($A782=1,"CC30","")</f>
        <v/>
      </c>
      <c r="K782" s="32">
        <f>IF($A782=1,"-","")</f>
        <v/>
      </c>
      <c r="L782" s="32">
        <f>IF($A782=1,"عمولة المنصة/رسوم البطاقات","")</f>
        <v/>
      </c>
      <c r="M782" s="43">
        <f>IF($A782=1,Platform_Settlements!$H13,"")</f>
        <v/>
      </c>
      <c r="N782" s="43">
        <f>IF($A782=1,0,"")</f>
        <v/>
      </c>
      <c r="O782" s="32">
        <f>IF($A782=1,Platform_Settlements!$L13,"")</f>
        <v/>
      </c>
      <c r="P782" s="32">
        <f>IF($A782=1,IF(Platform_Settlements!$Y13="","",Platform_Settlements!$Y13),"")</f>
        <v/>
      </c>
      <c r="Q782" s="32">
        <f>IF($A782=1,Platform_Settlements!$AA13,"")</f>
        <v/>
      </c>
      <c r="R782" s="32">
        <f>IF($A782=1,IF(AND($Q782=1,COUNTIFS(COA!$A:$A,$G782,COA!$R:$R,1)=1),1,0),"")</f>
        <v/>
      </c>
      <c r="S782" s="43">
        <f>IF($A782=1,IF($R782=1,N($M782),0),"")</f>
        <v/>
      </c>
      <c r="T782" s="43">
        <f>IF($A782=1,IF($R782=1,N($N782),0),"")</f>
        <v/>
      </c>
      <c r="U782" s="32">
        <f>IF($A782=1,YEAR($D782)*100+MONTH($D782),"")</f>
        <v/>
      </c>
      <c r="V782" s="32">
        <f>IF($A782=1,IF(COUNTIF(COA!$A:$A,$G782)=0,0,INDEX(COA!$H:$H,MATCH($G782,COA!$A:$A,0))),"")</f>
        <v/>
      </c>
      <c r="W782" s="32">
        <f>IF($A782=1,"","")</f>
        <v/>
      </c>
      <c r="X782" s="32">
        <f>IF($A782=1,IF($R782=1,"",IF($O782=ST_POST,IF($P782&lt;&gt;"",$P782,"حساب غير صالح أو غير نشط"),IF($O782=ST_REV,"معكوس: لا أثر على الدفاتر",IF($O782=ST_CANC,"ملغى",IF($O782=ST_APPR,"معتمد ولم يُرحَّل","مسودة"))))),"")</f>
        <v/>
      </c>
      <c r="Y782" s="32">
        <f>IF($A782=1,IF(AND($R782=1,OR(LG_Acct="",$G782=LG_Acct),OR(LG_Party="",$K782=LG_Party),OR(LG_Loc="ALL",$I782=LG_Loc),OR(LG_CC="ALL",$J782=LG_CC),$D782&gt;=LG_From,$D782&lt;=LG_To),$D782+ROW()/1000000,""),"")</f>
        <v/>
      </c>
      <c r="Z782" s="32">
        <f>IF($A782=1,IF(Platform_Settlements!$M13="","",Platform_Settlements!$M13),"")</f>
        <v/>
      </c>
      <c r="AA782" s="32">
        <f>IF($A782=1,IF(Platform_Settlements!$N13="","",Platform_Settlements!$N13),"")</f>
        <v/>
      </c>
      <c r="AB782" s="32">
        <f>IF($A782=1,IF(Platform_Settlements!$O13="","",Platform_Settlements!$O13),"")</f>
        <v/>
      </c>
      <c r="AC782" s="32">
        <f>IF($A782=1,IF(Platform_Settlements!$P13="","",Platform_Settlements!$P13),"")</f>
        <v/>
      </c>
      <c r="AD782" s="32">
        <f>IF($A782=1,IF(Platform_Settlements!$Q13="","",Platform_Settlements!$Q13),"")</f>
        <v/>
      </c>
      <c r="AE782" s="32">
        <f>IF($A782=1,0,"")</f>
        <v/>
      </c>
      <c r="AF782" s="32" t="inlineStr"/>
    </row>
    <row r="783">
      <c r="A783" s="32">
        <f>IF(AND(Platform_Settlements!$X13=1,N(Platform_Settlements!$I13)&gt;0),1,0)</f>
        <v/>
      </c>
      <c r="B783" s="32">
        <f>IF($A783=1,$E783&amp;"/3","")</f>
        <v/>
      </c>
      <c r="C783" s="32">
        <f>IF($A783=1,"J-"&amp;Platform_Settlements!$A13,"")</f>
        <v/>
      </c>
      <c r="D783" s="33">
        <f>IF($A783=1,Platform_Settlements!$B13,"")</f>
        <v/>
      </c>
      <c r="E783" s="32">
        <f>IF($A783=1,IF(Platform_Settlements!$A13="","",Platform_Settlements!$A13),"")</f>
        <v/>
      </c>
      <c r="F783" s="32">
        <f>IF($A783=1,"PLT","")</f>
        <v/>
      </c>
      <c r="G783" s="32">
        <f>IF($A783=1,ACC_PLT_OTHER,"")</f>
        <v/>
      </c>
      <c r="H783" s="32">
        <f>IF($A783=1,IF(COUNTIF(COA!$A:$A,$G783)=0,"حساب غير معرف",INDEX(COA!$B:$B,MATCH($G783,COA!$A:$A,0))),"")</f>
        <v/>
      </c>
      <c r="I783" s="32">
        <f>IF($A783=1,IF(Platform_Settlements!$D13="","",Platform_Settlements!$D13),"")</f>
        <v/>
      </c>
      <c r="J783" s="32">
        <f>IF($A783=1,"CC30","")</f>
        <v/>
      </c>
      <c r="K783" s="32">
        <f>IF($A783=1,"-","")</f>
        <v/>
      </c>
      <c r="L783" s="32">
        <f>IF($A783=1,"خصومات/غرامات أخرى من المنصة","")</f>
        <v/>
      </c>
      <c r="M783" s="43">
        <f>IF($A783=1,Platform_Settlements!$I13,"")</f>
        <v/>
      </c>
      <c r="N783" s="43">
        <f>IF($A783=1,0,"")</f>
        <v/>
      </c>
      <c r="O783" s="32">
        <f>IF($A783=1,Platform_Settlements!$L13,"")</f>
        <v/>
      </c>
      <c r="P783" s="32">
        <f>IF($A783=1,IF(Platform_Settlements!$Y13="","",Platform_Settlements!$Y13),"")</f>
        <v/>
      </c>
      <c r="Q783" s="32">
        <f>IF($A783=1,Platform_Settlements!$AA13,"")</f>
        <v/>
      </c>
      <c r="R783" s="32">
        <f>IF($A783=1,IF(AND($Q783=1,COUNTIFS(COA!$A:$A,$G783,COA!$R:$R,1)=1),1,0),"")</f>
        <v/>
      </c>
      <c r="S783" s="43">
        <f>IF($A783=1,IF($R783=1,N($M783),0),"")</f>
        <v/>
      </c>
      <c r="T783" s="43">
        <f>IF($A783=1,IF($R783=1,N($N783),0),"")</f>
        <v/>
      </c>
      <c r="U783" s="32">
        <f>IF($A783=1,YEAR($D783)*100+MONTH($D783),"")</f>
        <v/>
      </c>
      <c r="V783" s="32">
        <f>IF($A783=1,IF(COUNTIF(COA!$A:$A,$G783)=0,0,INDEX(COA!$H:$H,MATCH($G783,COA!$A:$A,0))),"")</f>
        <v/>
      </c>
      <c r="W783" s="32">
        <f>IF($A783=1,"","")</f>
        <v/>
      </c>
      <c r="X783" s="32">
        <f>IF($A783=1,IF($R783=1,"",IF($O783=ST_POST,IF($P783&lt;&gt;"",$P783,"حساب غير صالح أو غير نشط"),IF($O783=ST_REV,"معكوس: لا أثر على الدفاتر",IF($O783=ST_CANC,"ملغى",IF($O783=ST_APPR,"معتمد ولم يُرحَّل","مسودة"))))),"")</f>
        <v/>
      </c>
      <c r="Y783" s="32">
        <f>IF($A783=1,IF(AND($R783=1,OR(LG_Acct="",$G783=LG_Acct),OR(LG_Party="",$K783=LG_Party),OR(LG_Loc="ALL",$I783=LG_Loc),OR(LG_CC="ALL",$J783=LG_CC),$D783&gt;=LG_From,$D783&lt;=LG_To),$D783+ROW()/1000000,""),"")</f>
        <v/>
      </c>
      <c r="Z783" s="32">
        <f>IF($A783=1,IF(Platform_Settlements!$M13="","",Platform_Settlements!$M13),"")</f>
        <v/>
      </c>
      <c r="AA783" s="32">
        <f>IF($A783=1,IF(Platform_Settlements!$N13="","",Platform_Settlements!$N13),"")</f>
        <v/>
      </c>
      <c r="AB783" s="32">
        <f>IF($A783=1,IF(Platform_Settlements!$O13="","",Platform_Settlements!$O13),"")</f>
        <v/>
      </c>
      <c r="AC783" s="32">
        <f>IF($A783=1,IF(Platform_Settlements!$P13="","",Platform_Settlements!$P13),"")</f>
        <v/>
      </c>
      <c r="AD783" s="32">
        <f>IF($A783=1,IF(Platform_Settlements!$Q13="","",Platform_Settlements!$Q13),"")</f>
        <v/>
      </c>
      <c r="AE783" s="32">
        <f>IF($A783=1,0,"")</f>
        <v/>
      </c>
      <c r="AF783" s="32" t="inlineStr"/>
    </row>
    <row r="784">
      <c r="A784" s="32">
        <f>IF(AND(Platform_Settlements!$X13=1,N(Platform_Settlements!$T13)&gt;0),1,0)</f>
        <v/>
      </c>
      <c r="B784" s="32">
        <f>IF($A784=1,$E784&amp;"/4","")</f>
        <v/>
      </c>
      <c r="C784" s="32">
        <f>IF($A784=1,"J-"&amp;Platform_Settlements!$A13,"")</f>
        <v/>
      </c>
      <c r="D784" s="33">
        <f>IF($A784=1,Platform_Settlements!$B13,"")</f>
        <v/>
      </c>
      <c r="E784" s="32">
        <f>IF($A784=1,IF(Platform_Settlements!$A13="","",Platform_Settlements!$A13),"")</f>
        <v/>
      </c>
      <c r="F784" s="32">
        <f>IF($A784=1,"PLT","")</f>
        <v/>
      </c>
      <c r="G784" s="32">
        <f>IF($A784=1,ACC_PLT_DIFF,"")</f>
        <v/>
      </c>
      <c r="H784" s="32">
        <f>IF($A784=1,IF(COUNTIF(COA!$A:$A,$G784)=0,"حساب غير معرف",INDEX(COA!$B:$B,MATCH($G784,COA!$A:$A,0))),"")</f>
        <v/>
      </c>
      <c r="I784" s="32">
        <f>IF($A784=1,IF(Platform_Settlements!$D13="","",Platform_Settlements!$D13),"")</f>
        <v/>
      </c>
      <c r="J784" s="32">
        <f>IF($A784=1,"CC00","")</f>
        <v/>
      </c>
      <c r="K784" s="32">
        <f>IF($A784=1,"-","")</f>
        <v/>
      </c>
      <c r="L784" s="32">
        <f>IF($A784=1,"فرق تسوية منصة (نقص) تحت المراجعة","")</f>
        <v/>
      </c>
      <c r="M784" s="43">
        <f>IF($A784=1,Platform_Settlements!$T13,"")</f>
        <v/>
      </c>
      <c r="N784" s="43">
        <f>IF($A784=1,0,"")</f>
        <v/>
      </c>
      <c r="O784" s="32">
        <f>IF($A784=1,Platform_Settlements!$L13,"")</f>
        <v/>
      </c>
      <c r="P784" s="32">
        <f>IF($A784=1,IF(Platform_Settlements!$Y13="","",Platform_Settlements!$Y13),"")</f>
        <v/>
      </c>
      <c r="Q784" s="32">
        <f>IF($A784=1,Platform_Settlements!$AA13,"")</f>
        <v/>
      </c>
      <c r="R784" s="32">
        <f>IF($A784=1,IF(AND($Q784=1,COUNTIFS(COA!$A:$A,$G784,COA!$R:$R,1)=1),1,0),"")</f>
        <v/>
      </c>
      <c r="S784" s="43">
        <f>IF($A784=1,IF($R784=1,N($M784),0),"")</f>
        <v/>
      </c>
      <c r="T784" s="43">
        <f>IF($A784=1,IF($R784=1,N($N784),0),"")</f>
        <v/>
      </c>
      <c r="U784" s="32">
        <f>IF($A784=1,YEAR($D784)*100+MONTH($D784),"")</f>
        <v/>
      </c>
      <c r="V784" s="32">
        <f>IF($A784=1,IF(COUNTIF(COA!$A:$A,$G784)=0,0,INDEX(COA!$H:$H,MATCH($G784,COA!$A:$A,0))),"")</f>
        <v/>
      </c>
      <c r="W784" s="32">
        <f>IF($A784=1,"","")</f>
        <v/>
      </c>
      <c r="X784" s="32">
        <f>IF($A784=1,IF($R784=1,"",IF($O784=ST_POST,IF($P784&lt;&gt;"",$P784,"حساب غير صالح أو غير نشط"),IF($O784=ST_REV,"معكوس: لا أثر على الدفاتر",IF($O784=ST_CANC,"ملغى",IF($O784=ST_APPR,"معتمد ولم يُرحَّل","مسودة"))))),"")</f>
        <v/>
      </c>
      <c r="Y784" s="32">
        <f>IF($A784=1,IF(AND($R784=1,OR(LG_Acct="",$G784=LG_Acct),OR(LG_Party="",$K784=LG_Party),OR(LG_Loc="ALL",$I784=LG_Loc),OR(LG_CC="ALL",$J784=LG_CC),$D784&gt;=LG_From,$D784&lt;=LG_To),$D784+ROW()/1000000,""),"")</f>
        <v/>
      </c>
      <c r="Z784" s="32">
        <f>IF($A784=1,IF(Platform_Settlements!$M13="","",Platform_Settlements!$M13),"")</f>
        <v/>
      </c>
      <c r="AA784" s="32">
        <f>IF($A784=1,IF(Platform_Settlements!$N13="","",Platform_Settlements!$N13),"")</f>
        <v/>
      </c>
      <c r="AB784" s="32">
        <f>IF($A784=1,IF(Platform_Settlements!$O13="","",Platform_Settlements!$O13),"")</f>
        <v/>
      </c>
      <c r="AC784" s="32">
        <f>IF($A784=1,IF(Platform_Settlements!$P13="","",Platform_Settlements!$P13),"")</f>
        <v/>
      </c>
      <c r="AD784" s="32">
        <f>IF($A784=1,IF(Platform_Settlements!$Q13="","",Platform_Settlements!$Q13),"")</f>
        <v/>
      </c>
      <c r="AE784" s="32">
        <f>IF($A784=1,0,"")</f>
        <v/>
      </c>
      <c r="AF784" s="32" t="inlineStr"/>
    </row>
    <row r="785">
      <c r="A785" s="32">
        <f>IF(AND(Platform_Settlements!$X13=1,N(Platform_Settlements!$T13)&lt;0),1,0)</f>
        <v/>
      </c>
      <c r="B785" s="32">
        <f>IF($A785=1,$E785&amp;"/5","")</f>
        <v/>
      </c>
      <c r="C785" s="32">
        <f>IF($A785=1,"J-"&amp;Platform_Settlements!$A13,"")</f>
        <v/>
      </c>
      <c r="D785" s="33">
        <f>IF($A785=1,Platform_Settlements!$B13,"")</f>
        <v/>
      </c>
      <c r="E785" s="32">
        <f>IF($A785=1,IF(Platform_Settlements!$A13="","",Platform_Settlements!$A13),"")</f>
        <v/>
      </c>
      <c r="F785" s="32">
        <f>IF($A785=1,"PLT","")</f>
        <v/>
      </c>
      <c r="G785" s="32">
        <f>IF($A785=1,ACC_PLT_DIFF,"")</f>
        <v/>
      </c>
      <c r="H785" s="32">
        <f>IF($A785=1,IF(COUNTIF(COA!$A:$A,$G785)=0,"حساب غير معرف",INDEX(COA!$B:$B,MATCH($G785,COA!$A:$A,0))),"")</f>
        <v/>
      </c>
      <c r="I785" s="32">
        <f>IF($A785=1,IF(Platform_Settlements!$D13="","",Platform_Settlements!$D13),"")</f>
        <v/>
      </c>
      <c r="J785" s="32">
        <f>IF($A785=1,"CC00","")</f>
        <v/>
      </c>
      <c r="K785" s="32">
        <f>IF($A785=1,"-","")</f>
        <v/>
      </c>
      <c r="L785" s="32">
        <f>IF($A785=1,"فرق تسوية منصة (زيادة) تحت المراجعة","")</f>
        <v/>
      </c>
      <c r="M785" s="43">
        <f>IF($A785=1,0,"")</f>
        <v/>
      </c>
      <c r="N785" s="43">
        <f>IF($A785=1,-Platform_Settlements!$T13,"")</f>
        <v/>
      </c>
      <c r="O785" s="32">
        <f>IF($A785=1,Platform_Settlements!$L13,"")</f>
        <v/>
      </c>
      <c r="P785" s="32">
        <f>IF($A785=1,IF(Platform_Settlements!$Y13="","",Platform_Settlements!$Y13),"")</f>
        <v/>
      </c>
      <c r="Q785" s="32">
        <f>IF($A785=1,Platform_Settlements!$AA13,"")</f>
        <v/>
      </c>
      <c r="R785" s="32">
        <f>IF($A785=1,IF(AND($Q785=1,COUNTIFS(COA!$A:$A,$G785,COA!$R:$R,1)=1),1,0),"")</f>
        <v/>
      </c>
      <c r="S785" s="43">
        <f>IF($A785=1,IF($R785=1,N($M785),0),"")</f>
        <v/>
      </c>
      <c r="T785" s="43">
        <f>IF($A785=1,IF($R785=1,N($N785),0),"")</f>
        <v/>
      </c>
      <c r="U785" s="32">
        <f>IF($A785=1,YEAR($D785)*100+MONTH($D785),"")</f>
        <v/>
      </c>
      <c r="V785" s="32">
        <f>IF($A785=1,IF(COUNTIF(COA!$A:$A,$G785)=0,0,INDEX(COA!$H:$H,MATCH($G785,COA!$A:$A,0))),"")</f>
        <v/>
      </c>
      <c r="W785" s="32">
        <f>IF($A785=1,"","")</f>
        <v/>
      </c>
      <c r="X785" s="32">
        <f>IF($A785=1,IF($R785=1,"",IF($O785=ST_POST,IF($P785&lt;&gt;"",$P785,"حساب غير صالح أو غير نشط"),IF($O785=ST_REV,"معكوس: لا أثر على الدفاتر",IF($O785=ST_CANC,"ملغى",IF($O785=ST_APPR,"معتمد ولم يُرحَّل","مسودة"))))),"")</f>
        <v/>
      </c>
      <c r="Y785" s="32">
        <f>IF($A785=1,IF(AND($R785=1,OR(LG_Acct="",$G785=LG_Acct),OR(LG_Party="",$K785=LG_Party),OR(LG_Loc="ALL",$I785=LG_Loc),OR(LG_CC="ALL",$J785=LG_CC),$D785&gt;=LG_From,$D785&lt;=LG_To),$D785+ROW()/1000000,""),"")</f>
        <v/>
      </c>
      <c r="Z785" s="32">
        <f>IF($A785=1,IF(Platform_Settlements!$M13="","",Platform_Settlements!$M13),"")</f>
        <v/>
      </c>
      <c r="AA785" s="32">
        <f>IF($A785=1,IF(Platform_Settlements!$N13="","",Platform_Settlements!$N13),"")</f>
        <v/>
      </c>
      <c r="AB785" s="32">
        <f>IF($A785=1,IF(Platform_Settlements!$O13="","",Platform_Settlements!$O13),"")</f>
        <v/>
      </c>
      <c r="AC785" s="32">
        <f>IF($A785=1,IF(Platform_Settlements!$P13="","",Platform_Settlements!$P13),"")</f>
        <v/>
      </c>
      <c r="AD785" s="32">
        <f>IF($A785=1,IF(Platform_Settlements!$Q13="","",Platform_Settlements!$Q13),"")</f>
        <v/>
      </c>
      <c r="AE785" s="32">
        <f>IF($A785=1,0,"")</f>
        <v/>
      </c>
      <c r="AF785" s="32" t="inlineStr"/>
    </row>
    <row r="786">
      <c r="A786" s="32">
        <f>IF(AND(Platform_Settlements!$X13=1,N(Platform_Settlements!$G13)&gt;0),1,0)</f>
        <v/>
      </c>
      <c r="B786" s="32">
        <f>IF($A786=1,$E786&amp;"/6","")</f>
        <v/>
      </c>
      <c r="C786" s="32">
        <f>IF($A786=1,"J-"&amp;Platform_Settlements!$A13,"")</f>
        <v/>
      </c>
      <c r="D786" s="33">
        <f>IF($A786=1,Platform_Settlements!$B13,"")</f>
        <v/>
      </c>
      <c r="E786" s="32">
        <f>IF($A786=1,IF(Platform_Settlements!$A13="","",Platform_Settlements!$A13),"")</f>
        <v/>
      </c>
      <c r="F786" s="32">
        <f>IF($A786=1,"PLT","")</f>
        <v/>
      </c>
      <c r="G786" s="32">
        <f>IF($A786=1,IF(Platform_Settlements!$U13="","",Platform_Settlements!$U13),"")</f>
        <v/>
      </c>
      <c r="H786" s="32">
        <f>IF($A786=1,IF(COUNTIF(COA!$A:$A,$G786)=0,"حساب غير معرف",INDEX(COA!$B:$B,MATCH($G786,COA!$A:$A,0))),"")</f>
        <v/>
      </c>
      <c r="I786" s="32">
        <f>IF($A786=1,IF(Platform_Settlements!$D13="","",Platform_Settlements!$D13),"")</f>
        <v/>
      </c>
      <c r="J786" s="32">
        <f>IF($A786=1,"CC00","")</f>
        <v/>
      </c>
      <c r="K786" s="32">
        <f>IF($A786=1,"-","")</f>
        <v/>
      </c>
      <c r="L786" s="32">
        <f>IF($A786=1,"تخفيض مستحقات المنصة/البطاقات","")</f>
        <v/>
      </c>
      <c r="M786" s="43">
        <f>IF($A786=1,0,"")</f>
        <v/>
      </c>
      <c r="N786" s="43">
        <f>IF($A786=1,Platform_Settlements!$G13,"")</f>
        <v/>
      </c>
      <c r="O786" s="32">
        <f>IF($A786=1,Platform_Settlements!$L13,"")</f>
        <v/>
      </c>
      <c r="P786" s="32">
        <f>IF($A786=1,IF(Platform_Settlements!$Y13="","",Platform_Settlements!$Y13),"")</f>
        <v/>
      </c>
      <c r="Q786" s="32">
        <f>IF($A786=1,Platform_Settlements!$AA13,"")</f>
        <v/>
      </c>
      <c r="R786" s="32">
        <f>IF($A786=1,IF(AND($Q786=1,COUNTIFS(COA!$A:$A,$G786,COA!$R:$R,1)=1),1,0),"")</f>
        <v/>
      </c>
      <c r="S786" s="43">
        <f>IF($A786=1,IF($R786=1,N($M786),0),"")</f>
        <v/>
      </c>
      <c r="T786" s="43">
        <f>IF($A786=1,IF($R786=1,N($N786),0),"")</f>
        <v/>
      </c>
      <c r="U786" s="32">
        <f>IF($A786=1,YEAR($D786)*100+MONTH($D786),"")</f>
        <v/>
      </c>
      <c r="V786" s="32">
        <f>IF($A786=1,IF(COUNTIF(COA!$A:$A,$G786)=0,0,INDEX(COA!$H:$H,MATCH($G786,COA!$A:$A,0))),"")</f>
        <v/>
      </c>
      <c r="W786" s="32">
        <f>IF($A786=1,"","")</f>
        <v/>
      </c>
      <c r="X786" s="32">
        <f>IF($A786=1,IF($R786=1,"",IF($O786=ST_POST,IF($P786&lt;&gt;"",$P786,"حساب غير صالح أو غير نشط"),IF($O786=ST_REV,"معكوس: لا أثر على الدفاتر",IF($O786=ST_CANC,"ملغى",IF($O786=ST_APPR,"معتمد ولم يُرحَّل","مسودة"))))),"")</f>
        <v/>
      </c>
      <c r="Y786" s="32">
        <f>IF($A786=1,IF(AND($R786=1,OR(LG_Acct="",$G786=LG_Acct),OR(LG_Party="",$K786=LG_Party),OR(LG_Loc="ALL",$I786=LG_Loc),OR(LG_CC="ALL",$J786=LG_CC),$D786&gt;=LG_From,$D786&lt;=LG_To),$D786+ROW()/1000000,""),"")</f>
        <v/>
      </c>
      <c r="Z786" s="32">
        <f>IF($A786=1,IF(Platform_Settlements!$M13="","",Platform_Settlements!$M13),"")</f>
        <v/>
      </c>
      <c r="AA786" s="32">
        <f>IF($A786=1,IF(Platform_Settlements!$N13="","",Platform_Settlements!$N13),"")</f>
        <v/>
      </c>
      <c r="AB786" s="32">
        <f>IF($A786=1,IF(Platform_Settlements!$O13="","",Platform_Settlements!$O13),"")</f>
        <v/>
      </c>
      <c r="AC786" s="32">
        <f>IF($A786=1,IF(Platform_Settlements!$P13="","",Platform_Settlements!$P13),"")</f>
        <v/>
      </c>
      <c r="AD786" s="32">
        <f>IF($A786=1,IF(Platform_Settlements!$Q13="","",Platform_Settlements!$Q13),"")</f>
        <v/>
      </c>
      <c r="AE786" s="32">
        <f>IF($A786=1,0,"")</f>
        <v/>
      </c>
      <c r="AF786" s="32" t="inlineStr"/>
    </row>
    <row r="787">
      <c r="A787" s="32">
        <f>IF(AND(Platform_Settlements!$X14=1,N(Platform_Settlements!$J14)&gt;0),1,0)</f>
        <v/>
      </c>
      <c r="B787" s="32">
        <f>IF($A787=1,$E787&amp;"/1","")</f>
        <v/>
      </c>
      <c r="C787" s="32">
        <f>IF($A787=1,"J-"&amp;Platform_Settlements!$A14,"")</f>
        <v/>
      </c>
      <c r="D787" s="33">
        <f>IF($A787=1,Platform_Settlements!$B14,"")</f>
        <v/>
      </c>
      <c r="E787" s="32">
        <f>IF($A787=1,IF(Platform_Settlements!$A14="","",Platform_Settlements!$A14),"")</f>
        <v/>
      </c>
      <c r="F787" s="32">
        <f>IF($A787=1,"PLT","")</f>
        <v/>
      </c>
      <c r="G787" s="32">
        <f>IF($A787=1,IF(Platform_Settlements!$W14="","",Platform_Settlements!$W14),"")</f>
        <v/>
      </c>
      <c r="H787" s="32">
        <f>IF($A787=1,IF(COUNTIF(COA!$A:$A,$G787)=0,"حساب غير معرف",INDEX(COA!$B:$B,MATCH($G787,COA!$A:$A,0))),"")</f>
        <v/>
      </c>
      <c r="I787" s="32">
        <f>IF($A787=1,IF(Platform_Settlements!$D14="","",Platform_Settlements!$D14),"")</f>
        <v/>
      </c>
      <c r="J787" s="32">
        <f>IF($A787=1,"CC00","")</f>
        <v/>
      </c>
      <c r="K787" s="32">
        <f>IF($A787=1,"-","")</f>
        <v/>
      </c>
      <c r="L787" s="32">
        <f>IF($A787=1,"استلام تسوية منصة/بطاقات","")</f>
        <v/>
      </c>
      <c r="M787" s="43">
        <f>IF($A787=1,Platform_Settlements!$J14,"")</f>
        <v/>
      </c>
      <c r="N787" s="43">
        <f>IF($A787=1,0,"")</f>
        <v/>
      </c>
      <c r="O787" s="32">
        <f>IF($A787=1,Platform_Settlements!$L14,"")</f>
        <v/>
      </c>
      <c r="P787" s="32">
        <f>IF($A787=1,IF(Platform_Settlements!$Y14="","",Platform_Settlements!$Y14),"")</f>
        <v/>
      </c>
      <c r="Q787" s="32">
        <f>IF($A787=1,Platform_Settlements!$AA14,"")</f>
        <v/>
      </c>
      <c r="R787" s="32">
        <f>IF($A787=1,IF(AND($Q787=1,COUNTIFS(COA!$A:$A,$G787,COA!$R:$R,1)=1),1,0),"")</f>
        <v/>
      </c>
      <c r="S787" s="43">
        <f>IF($A787=1,IF($R787=1,N($M787),0),"")</f>
        <v/>
      </c>
      <c r="T787" s="43">
        <f>IF($A787=1,IF($R787=1,N($N787),0),"")</f>
        <v/>
      </c>
      <c r="U787" s="32">
        <f>IF($A787=1,YEAR($D787)*100+MONTH($D787),"")</f>
        <v/>
      </c>
      <c r="V787" s="32">
        <f>IF($A787=1,IF(COUNTIF(COA!$A:$A,$G787)=0,0,INDEX(COA!$H:$H,MATCH($G787,COA!$A:$A,0))),"")</f>
        <v/>
      </c>
      <c r="W787" s="32">
        <f>IF($A787=1,"OPERATING","")</f>
        <v/>
      </c>
      <c r="X787" s="32">
        <f>IF($A787=1,IF($R787=1,"",IF($O787=ST_POST,IF($P787&lt;&gt;"",$P787,"حساب غير صالح أو غير نشط"),IF($O787=ST_REV,"معكوس: لا أثر على الدفاتر",IF($O787=ST_CANC,"ملغى",IF($O787=ST_APPR,"معتمد ولم يُرحَّل","مسودة"))))),"")</f>
        <v/>
      </c>
      <c r="Y787" s="32">
        <f>IF($A787=1,IF(AND($R787=1,OR(LG_Acct="",$G787=LG_Acct),OR(LG_Party="",$K787=LG_Party),OR(LG_Loc="ALL",$I787=LG_Loc),OR(LG_CC="ALL",$J787=LG_CC),$D787&gt;=LG_From,$D787&lt;=LG_To),$D787+ROW()/1000000,""),"")</f>
        <v/>
      </c>
      <c r="Z787" s="32">
        <f>IF($A787=1,IF(Platform_Settlements!$M14="","",Platform_Settlements!$M14),"")</f>
        <v/>
      </c>
      <c r="AA787" s="32">
        <f>IF($A787=1,IF(Platform_Settlements!$N14="","",Platform_Settlements!$N14),"")</f>
        <v/>
      </c>
      <c r="AB787" s="32">
        <f>IF($A787=1,IF(Platform_Settlements!$O14="","",Platform_Settlements!$O14),"")</f>
        <v/>
      </c>
      <c r="AC787" s="32">
        <f>IF($A787=1,IF(Platform_Settlements!$P14="","",Platform_Settlements!$P14),"")</f>
        <v/>
      </c>
      <c r="AD787" s="32">
        <f>IF($A787=1,IF(Platform_Settlements!$Q14="","",Platform_Settlements!$Q14),"")</f>
        <v/>
      </c>
      <c r="AE787" s="32">
        <f>IF($A787=1,0,"")</f>
        <v/>
      </c>
      <c r="AF787" s="32" t="inlineStr"/>
    </row>
    <row r="788">
      <c r="A788" s="32">
        <f>IF(AND(Platform_Settlements!$X14=1,N(Platform_Settlements!$H14)&gt;0),1,0)</f>
        <v/>
      </c>
      <c r="B788" s="32">
        <f>IF($A788=1,$E788&amp;"/2","")</f>
        <v/>
      </c>
      <c r="C788" s="32">
        <f>IF($A788=1,"J-"&amp;Platform_Settlements!$A14,"")</f>
        <v/>
      </c>
      <c r="D788" s="33">
        <f>IF($A788=1,Platform_Settlements!$B14,"")</f>
        <v/>
      </c>
      <c r="E788" s="32">
        <f>IF($A788=1,IF(Platform_Settlements!$A14="","",Platform_Settlements!$A14),"")</f>
        <v/>
      </c>
      <c r="F788" s="32">
        <f>IF($A788=1,"PLT","")</f>
        <v/>
      </c>
      <c r="G788" s="32">
        <f>IF($A788=1,IF(Platform_Settlements!$V14="","",Platform_Settlements!$V14),"")</f>
        <v/>
      </c>
      <c r="H788" s="32">
        <f>IF($A788=1,IF(COUNTIF(COA!$A:$A,$G788)=0,"حساب غير معرف",INDEX(COA!$B:$B,MATCH($G788,COA!$A:$A,0))),"")</f>
        <v/>
      </c>
      <c r="I788" s="32">
        <f>IF($A788=1,IF(Platform_Settlements!$D14="","",Platform_Settlements!$D14),"")</f>
        <v/>
      </c>
      <c r="J788" s="32">
        <f>IF($A788=1,"CC30","")</f>
        <v/>
      </c>
      <c r="K788" s="32">
        <f>IF($A788=1,"-","")</f>
        <v/>
      </c>
      <c r="L788" s="32">
        <f>IF($A788=1,"عمولة المنصة/رسوم البطاقات","")</f>
        <v/>
      </c>
      <c r="M788" s="43">
        <f>IF($A788=1,Platform_Settlements!$H14,"")</f>
        <v/>
      </c>
      <c r="N788" s="43">
        <f>IF($A788=1,0,"")</f>
        <v/>
      </c>
      <c r="O788" s="32">
        <f>IF($A788=1,Platform_Settlements!$L14,"")</f>
        <v/>
      </c>
      <c r="P788" s="32">
        <f>IF($A788=1,IF(Platform_Settlements!$Y14="","",Platform_Settlements!$Y14),"")</f>
        <v/>
      </c>
      <c r="Q788" s="32">
        <f>IF($A788=1,Platform_Settlements!$AA14,"")</f>
        <v/>
      </c>
      <c r="R788" s="32">
        <f>IF($A788=1,IF(AND($Q788=1,COUNTIFS(COA!$A:$A,$G788,COA!$R:$R,1)=1),1,0),"")</f>
        <v/>
      </c>
      <c r="S788" s="43">
        <f>IF($A788=1,IF($R788=1,N($M788),0),"")</f>
        <v/>
      </c>
      <c r="T788" s="43">
        <f>IF($A788=1,IF($R788=1,N($N788),0),"")</f>
        <v/>
      </c>
      <c r="U788" s="32">
        <f>IF($A788=1,YEAR($D788)*100+MONTH($D788),"")</f>
        <v/>
      </c>
      <c r="V788" s="32">
        <f>IF($A788=1,IF(COUNTIF(COA!$A:$A,$G788)=0,0,INDEX(COA!$H:$H,MATCH($G788,COA!$A:$A,0))),"")</f>
        <v/>
      </c>
      <c r="W788" s="32">
        <f>IF($A788=1,"","")</f>
        <v/>
      </c>
      <c r="X788" s="32">
        <f>IF($A788=1,IF($R788=1,"",IF($O788=ST_POST,IF($P788&lt;&gt;"",$P788,"حساب غير صالح أو غير نشط"),IF($O788=ST_REV,"معكوس: لا أثر على الدفاتر",IF($O788=ST_CANC,"ملغى",IF($O788=ST_APPR,"معتمد ولم يُرحَّل","مسودة"))))),"")</f>
        <v/>
      </c>
      <c r="Y788" s="32">
        <f>IF($A788=1,IF(AND($R788=1,OR(LG_Acct="",$G788=LG_Acct),OR(LG_Party="",$K788=LG_Party),OR(LG_Loc="ALL",$I788=LG_Loc),OR(LG_CC="ALL",$J788=LG_CC),$D788&gt;=LG_From,$D788&lt;=LG_To),$D788+ROW()/1000000,""),"")</f>
        <v/>
      </c>
      <c r="Z788" s="32">
        <f>IF($A788=1,IF(Platform_Settlements!$M14="","",Platform_Settlements!$M14),"")</f>
        <v/>
      </c>
      <c r="AA788" s="32">
        <f>IF($A788=1,IF(Platform_Settlements!$N14="","",Platform_Settlements!$N14),"")</f>
        <v/>
      </c>
      <c r="AB788" s="32">
        <f>IF($A788=1,IF(Platform_Settlements!$O14="","",Platform_Settlements!$O14),"")</f>
        <v/>
      </c>
      <c r="AC788" s="32">
        <f>IF($A788=1,IF(Platform_Settlements!$P14="","",Platform_Settlements!$P14),"")</f>
        <v/>
      </c>
      <c r="AD788" s="32">
        <f>IF($A788=1,IF(Platform_Settlements!$Q14="","",Platform_Settlements!$Q14),"")</f>
        <v/>
      </c>
      <c r="AE788" s="32">
        <f>IF($A788=1,0,"")</f>
        <v/>
      </c>
      <c r="AF788" s="32" t="inlineStr"/>
    </row>
    <row r="789">
      <c r="A789" s="32">
        <f>IF(AND(Platform_Settlements!$X14=1,N(Platform_Settlements!$I14)&gt;0),1,0)</f>
        <v/>
      </c>
      <c r="B789" s="32">
        <f>IF($A789=1,$E789&amp;"/3","")</f>
        <v/>
      </c>
      <c r="C789" s="32">
        <f>IF($A789=1,"J-"&amp;Platform_Settlements!$A14,"")</f>
        <v/>
      </c>
      <c r="D789" s="33">
        <f>IF($A789=1,Platform_Settlements!$B14,"")</f>
        <v/>
      </c>
      <c r="E789" s="32">
        <f>IF($A789=1,IF(Platform_Settlements!$A14="","",Platform_Settlements!$A14),"")</f>
        <v/>
      </c>
      <c r="F789" s="32">
        <f>IF($A789=1,"PLT","")</f>
        <v/>
      </c>
      <c r="G789" s="32">
        <f>IF($A789=1,ACC_PLT_OTHER,"")</f>
        <v/>
      </c>
      <c r="H789" s="32">
        <f>IF($A789=1,IF(COUNTIF(COA!$A:$A,$G789)=0,"حساب غير معرف",INDEX(COA!$B:$B,MATCH($G789,COA!$A:$A,0))),"")</f>
        <v/>
      </c>
      <c r="I789" s="32">
        <f>IF($A789=1,IF(Platform_Settlements!$D14="","",Platform_Settlements!$D14),"")</f>
        <v/>
      </c>
      <c r="J789" s="32">
        <f>IF($A789=1,"CC30","")</f>
        <v/>
      </c>
      <c r="K789" s="32">
        <f>IF($A789=1,"-","")</f>
        <v/>
      </c>
      <c r="L789" s="32">
        <f>IF($A789=1,"خصومات/غرامات أخرى من المنصة","")</f>
        <v/>
      </c>
      <c r="M789" s="43">
        <f>IF($A789=1,Platform_Settlements!$I14,"")</f>
        <v/>
      </c>
      <c r="N789" s="43">
        <f>IF($A789=1,0,"")</f>
        <v/>
      </c>
      <c r="O789" s="32">
        <f>IF($A789=1,Platform_Settlements!$L14,"")</f>
        <v/>
      </c>
      <c r="P789" s="32">
        <f>IF($A789=1,IF(Platform_Settlements!$Y14="","",Platform_Settlements!$Y14),"")</f>
        <v/>
      </c>
      <c r="Q789" s="32">
        <f>IF($A789=1,Platform_Settlements!$AA14,"")</f>
        <v/>
      </c>
      <c r="R789" s="32">
        <f>IF($A789=1,IF(AND($Q789=1,COUNTIFS(COA!$A:$A,$G789,COA!$R:$R,1)=1),1,0),"")</f>
        <v/>
      </c>
      <c r="S789" s="43">
        <f>IF($A789=1,IF($R789=1,N($M789),0),"")</f>
        <v/>
      </c>
      <c r="T789" s="43">
        <f>IF($A789=1,IF($R789=1,N($N789),0),"")</f>
        <v/>
      </c>
      <c r="U789" s="32">
        <f>IF($A789=1,YEAR($D789)*100+MONTH($D789),"")</f>
        <v/>
      </c>
      <c r="V789" s="32">
        <f>IF($A789=1,IF(COUNTIF(COA!$A:$A,$G789)=0,0,INDEX(COA!$H:$H,MATCH($G789,COA!$A:$A,0))),"")</f>
        <v/>
      </c>
      <c r="W789" s="32">
        <f>IF($A789=1,"","")</f>
        <v/>
      </c>
      <c r="X789" s="32">
        <f>IF($A789=1,IF($R789=1,"",IF($O789=ST_POST,IF($P789&lt;&gt;"",$P789,"حساب غير صالح أو غير نشط"),IF($O789=ST_REV,"معكوس: لا أثر على الدفاتر",IF($O789=ST_CANC,"ملغى",IF($O789=ST_APPR,"معتمد ولم يُرحَّل","مسودة"))))),"")</f>
        <v/>
      </c>
      <c r="Y789" s="32">
        <f>IF($A789=1,IF(AND($R789=1,OR(LG_Acct="",$G789=LG_Acct),OR(LG_Party="",$K789=LG_Party),OR(LG_Loc="ALL",$I789=LG_Loc),OR(LG_CC="ALL",$J789=LG_CC),$D789&gt;=LG_From,$D789&lt;=LG_To),$D789+ROW()/1000000,""),"")</f>
        <v/>
      </c>
      <c r="Z789" s="32">
        <f>IF($A789=1,IF(Platform_Settlements!$M14="","",Platform_Settlements!$M14),"")</f>
        <v/>
      </c>
      <c r="AA789" s="32">
        <f>IF($A789=1,IF(Platform_Settlements!$N14="","",Platform_Settlements!$N14),"")</f>
        <v/>
      </c>
      <c r="AB789" s="32">
        <f>IF($A789=1,IF(Platform_Settlements!$O14="","",Platform_Settlements!$O14),"")</f>
        <v/>
      </c>
      <c r="AC789" s="32">
        <f>IF($A789=1,IF(Platform_Settlements!$P14="","",Platform_Settlements!$P14),"")</f>
        <v/>
      </c>
      <c r="AD789" s="32">
        <f>IF($A789=1,IF(Platform_Settlements!$Q14="","",Platform_Settlements!$Q14),"")</f>
        <v/>
      </c>
      <c r="AE789" s="32">
        <f>IF($A789=1,0,"")</f>
        <v/>
      </c>
      <c r="AF789" s="32" t="inlineStr"/>
    </row>
    <row r="790">
      <c r="A790" s="32">
        <f>IF(AND(Platform_Settlements!$X14=1,N(Platform_Settlements!$T14)&gt;0),1,0)</f>
        <v/>
      </c>
      <c r="B790" s="32">
        <f>IF($A790=1,$E790&amp;"/4","")</f>
        <v/>
      </c>
      <c r="C790" s="32">
        <f>IF($A790=1,"J-"&amp;Platform_Settlements!$A14,"")</f>
        <v/>
      </c>
      <c r="D790" s="33">
        <f>IF($A790=1,Platform_Settlements!$B14,"")</f>
        <v/>
      </c>
      <c r="E790" s="32">
        <f>IF($A790=1,IF(Platform_Settlements!$A14="","",Platform_Settlements!$A14),"")</f>
        <v/>
      </c>
      <c r="F790" s="32">
        <f>IF($A790=1,"PLT","")</f>
        <v/>
      </c>
      <c r="G790" s="32">
        <f>IF($A790=1,ACC_PLT_DIFF,"")</f>
        <v/>
      </c>
      <c r="H790" s="32">
        <f>IF($A790=1,IF(COUNTIF(COA!$A:$A,$G790)=0,"حساب غير معرف",INDEX(COA!$B:$B,MATCH($G790,COA!$A:$A,0))),"")</f>
        <v/>
      </c>
      <c r="I790" s="32">
        <f>IF($A790=1,IF(Platform_Settlements!$D14="","",Platform_Settlements!$D14),"")</f>
        <v/>
      </c>
      <c r="J790" s="32">
        <f>IF($A790=1,"CC00","")</f>
        <v/>
      </c>
      <c r="K790" s="32">
        <f>IF($A790=1,"-","")</f>
        <v/>
      </c>
      <c r="L790" s="32">
        <f>IF($A790=1,"فرق تسوية منصة (نقص) تحت المراجعة","")</f>
        <v/>
      </c>
      <c r="M790" s="43">
        <f>IF($A790=1,Platform_Settlements!$T14,"")</f>
        <v/>
      </c>
      <c r="N790" s="43">
        <f>IF($A790=1,0,"")</f>
        <v/>
      </c>
      <c r="O790" s="32">
        <f>IF($A790=1,Platform_Settlements!$L14,"")</f>
        <v/>
      </c>
      <c r="P790" s="32">
        <f>IF($A790=1,IF(Platform_Settlements!$Y14="","",Platform_Settlements!$Y14),"")</f>
        <v/>
      </c>
      <c r="Q790" s="32">
        <f>IF($A790=1,Platform_Settlements!$AA14,"")</f>
        <v/>
      </c>
      <c r="R790" s="32">
        <f>IF($A790=1,IF(AND($Q790=1,COUNTIFS(COA!$A:$A,$G790,COA!$R:$R,1)=1),1,0),"")</f>
        <v/>
      </c>
      <c r="S790" s="43">
        <f>IF($A790=1,IF($R790=1,N($M790),0),"")</f>
        <v/>
      </c>
      <c r="T790" s="43">
        <f>IF($A790=1,IF($R790=1,N($N790),0),"")</f>
        <v/>
      </c>
      <c r="U790" s="32">
        <f>IF($A790=1,YEAR($D790)*100+MONTH($D790),"")</f>
        <v/>
      </c>
      <c r="V790" s="32">
        <f>IF($A790=1,IF(COUNTIF(COA!$A:$A,$G790)=0,0,INDEX(COA!$H:$H,MATCH($G790,COA!$A:$A,0))),"")</f>
        <v/>
      </c>
      <c r="W790" s="32">
        <f>IF($A790=1,"","")</f>
        <v/>
      </c>
      <c r="X790" s="32">
        <f>IF($A790=1,IF($R790=1,"",IF($O790=ST_POST,IF($P790&lt;&gt;"",$P790,"حساب غير صالح أو غير نشط"),IF($O790=ST_REV,"معكوس: لا أثر على الدفاتر",IF($O790=ST_CANC,"ملغى",IF($O790=ST_APPR,"معتمد ولم يُرحَّل","مسودة"))))),"")</f>
        <v/>
      </c>
      <c r="Y790" s="32">
        <f>IF($A790=1,IF(AND($R790=1,OR(LG_Acct="",$G790=LG_Acct),OR(LG_Party="",$K790=LG_Party),OR(LG_Loc="ALL",$I790=LG_Loc),OR(LG_CC="ALL",$J790=LG_CC),$D790&gt;=LG_From,$D790&lt;=LG_To),$D790+ROW()/1000000,""),"")</f>
        <v/>
      </c>
      <c r="Z790" s="32">
        <f>IF($A790=1,IF(Platform_Settlements!$M14="","",Platform_Settlements!$M14),"")</f>
        <v/>
      </c>
      <c r="AA790" s="32">
        <f>IF($A790=1,IF(Platform_Settlements!$N14="","",Platform_Settlements!$N14),"")</f>
        <v/>
      </c>
      <c r="AB790" s="32">
        <f>IF($A790=1,IF(Platform_Settlements!$O14="","",Platform_Settlements!$O14),"")</f>
        <v/>
      </c>
      <c r="AC790" s="32">
        <f>IF($A790=1,IF(Platform_Settlements!$P14="","",Platform_Settlements!$P14),"")</f>
        <v/>
      </c>
      <c r="AD790" s="32">
        <f>IF($A790=1,IF(Platform_Settlements!$Q14="","",Platform_Settlements!$Q14),"")</f>
        <v/>
      </c>
      <c r="AE790" s="32">
        <f>IF($A790=1,0,"")</f>
        <v/>
      </c>
      <c r="AF790" s="32" t="inlineStr"/>
    </row>
    <row r="791">
      <c r="A791" s="32">
        <f>IF(AND(Platform_Settlements!$X14=1,N(Platform_Settlements!$T14)&lt;0),1,0)</f>
        <v/>
      </c>
      <c r="B791" s="32">
        <f>IF($A791=1,$E791&amp;"/5","")</f>
        <v/>
      </c>
      <c r="C791" s="32">
        <f>IF($A791=1,"J-"&amp;Platform_Settlements!$A14,"")</f>
        <v/>
      </c>
      <c r="D791" s="33">
        <f>IF($A791=1,Platform_Settlements!$B14,"")</f>
        <v/>
      </c>
      <c r="E791" s="32">
        <f>IF($A791=1,IF(Platform_Settlements!$A14="","",Platform_Settlements!$A14),"")</f>
        <v/>
      </c>
      <c r="F791" s="32">
        <f>IF($A791=1,"PLT","")</f>
        <v/>
      </c>
      <c r="G791" s="32">
        <f>IF($A791=1,ACC_PLT_DIFF,"")</f>
        <v/>
      </c>
      <c r="H791" s="32">
        <f>IF($A791=1,IF(COUNTIF(COA!$A:$A,$G791)=0,"حساب غير معرف",INDEX(COA!$B:$B,MATCH($G791,COA!$A:$A,0))),"")</f>
        <v/>
      </c>
      <c r="I791" s="32">
        <f>IF($A791=1,IF(Platform_Settlements!$D14="","",Platform_Settlements!$D14),"")</f>
        <v/>
      </c>
      <c r="J791" s="32">
        <f>IF($A791=1,"CC00","")</f>
        <v/>
      </c>
      <c r="K791" s="32">
        <f>IF($A791=1,"-","")</f>
        <v/>
      </c>
      <c r="L791" s="32">
        <f>IF($A791=1,"فرق تسوية منصة (زيادة) تحت المراجعة","")</f>
        <v/>
      </c>
      <c r="M791" s="43">
        <f>IF($A791=1,0,"")</f>
        <v/>
      </c>
      <c r="N791" s="43">
        <f>IF($A791=1,-Platform_Settlements!$T14,"")</f>
        <v/>
      </c>
      <c r="O791" s="32">
        <f>IF($A791=1,Platform_Settlements!$L14,"")</f>
        <v/>
      </c>
      <c r="P791" s="32">
        <f>IF($A791=1,IF(Platform_Settlements!$Y14="","",Platform_Settlements!$Y14),"")</f>
        <v/>
      </c>
      <c r="Q791" s="32">
        <f>IF($A791=1,Platform_Settlements!$AA14,"")</f>
        <v/>
      </c>
      <c r="R791" s="32">
        <f>IF($A791=1,IF(AND($Q791=1,COUNTIFS(COA!$A:$A,$G791,COA!$R:$R,1)=1),1,0),"")</f>
        <v/>
      </c>
      <c r="S791" s="43">
        <f>IF($A791=1,IF($R791=1,N($M791),0),"")</f>
        <v/>
      </c>
      <c r="T791" s="43">
        <f>IF($A791=1,IF($R791=1,N($N791),0),"")</f>
        <v/>
      </c>
      <c r="U791" s="32">
        <f>IF($A791=1,YEAR($D791)*100+MONTH($D791),"")</f>
        <v/>
      </c>
      <c r="V791" s="32">
        <f>IF($A791=1,IF(COUNTIF(COA!$A:$A,$G791)=0,0,INDEX(COA!$H:$H,MATCH($G791,COA!$A:$A,0))),"")</f>
        <v/>
      </c>
      <c r="W791" s="32">
        <f>IF($A791=1,"","")</f>
        <v/>
      </c>
      <c r="X791" s="32">
        <f>IF($A791=1,IF($R791=1,"",IF($O791=ST_POST,IF($P791&lt;&gt;"",$P791,"حساب غير صالح أو غير نشط"),IF($O791=ST_REV,"معكوس: لا أثر على الدفاتر",IF($O791=ST_CANC,"ملغى",IF($O791=ST_APPR,"معتمد ولم يُرحَّل","مسودة"))))),"")</f>
        <v/>
      </c>
      <c r="Y791" s="32">
        <f>IF($A791=1,IF(AND($R791=1,OR(LG_Acct="",$G791=LG_Acct),OR(LG_Party="",$K791=LG_Party),OR(LG_Loc="ALL",$I791=LG_Loc),OR(LG_CC="ALL",$J791=LG_CC),$D791&gt;=LG_From,$D791&lt;=LG_To),$D791+ROW()/1000000,""),"")</f>
        <v/>
      </c>
      <c r="Z791" s="32">
        <f>IF($A791=1,IF(Platform_Settlements!$M14="","",Platform_Settlements!$M14),"")</f>
        <v/>
      </c>
      <c r="AA791" s="32">
        <f>IF($A791=1,IF(Platform_Settlements!$N14="","",Platform_Settlements!$N14),"")</f>
        <v/>
      </c>
      <c r="AB791" s="32">
        <f>IF($A791=1,IF(Platform_Settlements!$O14="","",Platform_Settlements!$O14),"")</f>
        <v/>
      </c>
      <c r="AC791" s="32">
        <f>IF($A791=1,IF(Platform_Settlements!$P14="","",Platform_Settlements!$P14),"")</f>
        <v/>
      </c>
      <c r="AD791" s="32">
        <f>IF($A791=1,IF(Platform_Settlements!$Q14="","",Platform_Settlements!$Q14),"")</f>
        <v/>
      </c>
      <c r="AE791" s="32">
        <f>IF($A791=1,0,"")</f>
        <v/>
      </c>
      <c r="AF791" s="32" t="inlineStr"/>
    </row>
    <row r="792">
      <c r="A792" s="32">
        <f>IF(AND(Platform_Settlements!$X14=1,N(Platform_Settlements!$G14)&gt;0),1,0)</f>
        <v/>
      </c>
      <c r="B792" s="32">
        <f>IF($A792=1,$E792&amp;"/6","")</f>
        <v/>
      </c>
      <c r="C792" s="32">
        <f>IF($A792=1,"J-"&amp;Platform_Settlements!$A14,"")</f>
        <v/>
      </c>
      <c r="D792" s="33">
        <f>IF($A792=1,Platform_Settlements!$B14,"")</f>
        <v/>
      </c>
      <c r="E792" s="32">
        <f>IF($A792=1,IF(Platform_Settlements!$A14="","",Platform_Settlements!$A14),"")</f>
        <v/>
      </c>
      <c r="F792" s="32">
        <f>IF($A792=1,"PLT","")</f>
        <v/>
      </c>
      <c r="G792" s="32">
        <f>IF($A792=1,IF(Platform_Settlements!$U14="","",Platform_Settlements!$U14),"")</f>
        <v/>
      </c>
      <c r="H792" s="32">
        <f>IF($A792=1,IF(COUNTIF(COA!$A:$A,$G792)=0,"حساب غير معرف",INDEX(COA!$B:$B,MATCH($G792,COA!$A:$A,0))),"")</f>
        <v/>
      </c>
      <c r="I792" s="32">
        <f>IF($A792=1,IF(Platform_Settlements!$D14="","",Platform_Settlements!$D14),"")</f>
        <v/>
      </c>
      <c r="J792" s="32">
        <f>IF($A792=1,"CC00","")</f>
        <v/>
      </c>
      <c r="K792" s="32">
        <f>IF($A792=1,"-","")</f>
        <v/>
      </c>
      <c r="L792" s="32">
        <f>IF($A792=1,"تخفيض مستحقات المنصة/البطاقات","")</f>
        <v/>
      </c>
      <c r="M792" s="43">
        <f>IF($A792=1,0,"")</f>
        <v/>
      </c>
      <c r="N792" s="43">
        <f>IF($A792=1,Platform_Settlements!$G14,"")</f>
        <v/>
      </c>
      <c r="O792" s="32">
        <f>IF($A792=1,Platform_Settlements!$L14,"")</f>
        <v/>
      </c>
      <c r="P792" s="32">
        <f>IF($A792=1,IF(Platform_Settlements!$Y14="","",Platform_Settlements!$Y14),"")</f>
        <v/>
      </c>
      <c r="Q792" s="32">
        <f>IF($A792=1,Platform_Settlements!$AA14,"")</f>
        <v/>
      </c>
      <c r="R792" s="32">
        <f>IF($A792=1,IF(AND($Q792=1,COUNTIFS(COA!$A:$A,$G792,COA!$R:$R,1)=1),1,0),"")</f>
        <v/>
      </c>
      <c r="S792" s="43">
        <f>IF($A792=1,IF($R792=1,N($M792),0),"")</f>
        <v/>
      </c>
      <c r="T792" s="43">
        <f>IF($A792=1,IF($R792=1,N($N792),0),"")</f>
        <v/>
      </c>
      <c r="U792" s="32">
        <f>IF($A792=1,YEAR($D792)*100+MONTH($D792),"")</f>
        <v/>
      </c>
      <c r="V792" s="32">
        <f>IF($A792=1,IF(COUNTIF(COA!$A:$A,$G792)=0,0,INDEX(COA!$H:$H,MATCH($G792,COA!$A:$A,0))),"")</f>
        <v/>
      </c>
      <c r="W792" s="32">
        <f>IF($A792=1,"","")</f>
        <v/>
      </c>
      <c r="X792" s="32">
        <f>IF($A792=1,IF($R792=1,"",IF($O792=ST_POST,IF($P792&lt;&gt;"",$P792,"حساب غير صالح أو غير نشط"),IF($O792=ST_REV,"معكوس: لا أثر على الدفاتر",IF($O792=ST_CANC,"ملغى",IF($O792=ST_APPR,"معتمد ولم يُرحَّل","مسودة"))))),"")</f>
        <v/>
      </c>
      <c r="Y792" s="32">
        <f>IF($A792=1,IF(AND($R792=1,OR(LG_Acct="",$G792=LG_Acct),OR(LG_Party="",$K792=LG_Party),OR(LG_Loc="ALL",$I792=LG_Loc),OR(LG_CC="ALL",$J792=LG_CC),$D792&gt;=LG_From,$D792&lt;=LG_To),$D792+ROW()/1000000,""),"")</f>
        <v/>
      </c>
      <c r="Z792" s="32">
        <f>IF($A792=1,IF(Platform_Settlements!$M14="","",Platform_Settlements!$M14),"")</f>
        <v/>
      </c>
      <c r="AA792" s="32">
        <f>IF($A792=1,IF(Platform_Settlements!$N14="","",Platform_Settlements!$N14),"")</f>
        <v/>
      </c>
      <c r="AB792" s="32">
        <f>IF($A792=1,IF(Platform_Settlements!$O14="","",Platform_Settlements!$O14),"")</f>
        <v/>
      </c>
      <c r="AC792" s="32">
        <f>IF($A792=1,IF(Platform_Settlements!$P14="","",Platform_Settlements!$P14),"")</f>
        <v/>
      </c>
      <c r="AD792" s="32">
        <f>IF($A792=1,IF(Platform_Settlements!$Q14="","",Platform_Settlements!$Q14),"")</f>
        <v/>
      </c>
      <c r="AE792" s="32">
        <f>IF($A792=1,0,"")</f>
        <v/>
      </c>
      <c r="AF792" s="32" t="inlineStr"/>
    </row>
    <row r="793">
      <c r="A793" s="32">
        <f>IF(AND(Platform_Settlements!$X15=1,N(Platform_Settlements!$J15)&gt;0),1,0)</f>
        <v/>
      </c>
      <c r="B793" s="32">
        <f>IF($A793=1,$E793&amp;"/1","")</f>
        <v/>
      </c>
      <c r="C793" s="32">
        <f>IF($A793=1,"J-"&amp;Platform_Settlements!$A15,"")</f>
        <v/>
      </c>
      <c r="D793" s="33">
        <f>IF($A793=1,Platform_Settlements!$B15,"")</f>
        <v/>
      </c>
      <c r="E793" s="32">
        <f>IF($A793=1,IF(Platform_Settlements!$A15="","",Platform_Settlements!$A15),"")</f>
        <v/>
      </c>
      <c r="F793" s="32">
        <f>IF($A793=1,"PLT","")</f>
        <v/>
      </c>
      <c r="G793" s="32">
        <f>IF($A793=1,IF(Platform_Settlements!$W15="","",Platform_Settlements!$W15),"")</f>
        <v/>
      </c>
      <c r="H793" s="32">
        <f>IF($A793=1,IF(COUNTIF(COA!$A:$A,$G793)=0,"حساب غير معرف",INDEX(COA!$B:$B,MATCH($G793,COA!$A:$A,0))),"")</f>
        <v/>
      </c>
      <c r="I793" s="32">
        <f>IF($A793=1,IF(Platform_Settlements!$D15="","",Platform_Settlements!$D15),"")</f>
        <v/>
      </c>
      <c r="J793" s="32">
        <f>IF($A793=1,"CC00","")</f>
        <v/>
      </c>
      <c r="K793" s="32">
        <f>IF($A793=1,"-","")</f>
        <v/>
      </c>
      <c r="L793" s="32">
        <f>IF($A793=1,"استلام تسوية منصة/بطاقات","")</f>
        <v/>
      </c>
      <c r="M793" s="43">
        <f>IF($A793=1,Platform_Settlements!$J15,"")</f>
        <v/>
      </c>
      <c r="N793" s="43">
        <f>IF($A793=1,0,"")</f>
        <v/>
      </c>
      <c r="O793" s="32">
        <f>IF($A793=1,Platform_Settlements!$L15,"")</f>
        <v/>
      </c>
      <c r="P793" s="32">
        <f>IF($A793=1,IF(Platform_Settlements!$Y15="","",Platform_Settlements!$Y15),"")</f>
        <v/>
      </c>
      <c r="Q793" s="32">
        <f>IF($A793=1,Platform_Settlements!$AA15,"")</f>
        <v/>
      </c>
      <c r="R793" s="32">
        <f>IF($A793=1,IF(AND($Q793=1,COUNTIFS(COA!$A:$A,$G793,COA!$R:$R,1)=1),1,0),"")</f>
        <v/>
      </c>
      <c r="S793" s="43">
        <f>IF($A793=1,IF($R793=1,N($M793),0),"")</f>
        <v/>
      </c>
      <c r="T793" s="43">
        <f>IF($A793=1,IF($R793=1,N($N793),0),"")</f>
        <v/>
      </c>
      <c r="U793" s="32">
        <f>IF($A793=1,YEAR($D793)*100+MONTH($D793),"")</f>
        <v/>
      </c>
      <c r="V793" s="32">
        <f>IF($A793=1,IF(COUNTIF(COA!$A:$A,$G793)=0,0,INDEX(COA!$H:$H,MATCH($G793,COA!$A:$A,0))),"")</f>
        <v/>
      </c>
      <c r="W793" s="32">
        <f>IF($A793=1,"OPERATING","")</f>
        <v/>
      </c>
      <c r="X793" s="32">
        <f>IF($A793=1,IF($R793=1,"",IF($O793=ST_POST,IF($P793&lt;&gt;"",$P793,"حساب غير صالح أو غير نشط"),IF($O793=ST_REV,"معكوس: لا أثر على الدفاتر",IF($O793=ST_CANC,"ملغى",IF($O793=ST_APPR,"معتمد ولم يُرحَّل","مسودة"))))),"")</f>
        <v/>
      </c>
      <c r="Y793" s="32">
        <f>IF($A793=1,IF(AND($R793=1,OR(LG_Acct="",$G793=LG_Acct),OR(LG_Party="",$K793=LG_Party),OR(LG_Loc="ALL",$I793=LG_Loc),OR(LG_CC="ALL",$J793=LG_CC),$D793&gt;=LG_From,$D793&lt;=LG_To),$D793+ROW()/1000000,""),"")</f>
        <v/>
      </c>
      <c r="Z793" s="32">
        <f>IF($A793=1,IF(Platform_Settlements!$M15="","",Platform_Settlements!$M15),"")</f>
        <v/>
      </c>
      <c r="AA793" s="32">
        <f>IF($A793=1,IF(Platform_Settlements!$N15="","",Platform_Settlements!$N15),"")</f>
        <v/>
      </c>
      <c r="AB793" s="32">
        <f>IF($A793=1,IF(Platform_Settlements!$O15="","",Platform_Settlements!$O15),"")</f>
        <v/>
      </c>
      <c r="AC793" s="32">
        <f>IF($A793=1,IF(Platform_Settlements!$P15="","",Platform_Settlements!$P15),"")</f>
        <v/>
      </c>
      <c r="AD793" s="32">
        <f>IF($A793=1,IF(Platform_Settlements!$Q15="","",Platform_Settlements!$Q15),"")</f>
        <v/>
      </c>
      <c r="AE793" s="32">
        <f>IF($A793=1,0,"")</f>
        <v/>
      </c>
      <c r="AF793" s="32" t="inlineStr"/>
    </row>
    <row r="794">
      <c r="A794" s="32">
        <f>IF(AND(Platform_Settlements!$X15=1,N(Platform_Settlements!$H15)&gt;0),1,0)</f>
        <v/>
      </c>
      <c r="B794" s="32">
        <f>IF($A794=1,$E794&amp;"/2","")</f>
        <v/>
      </c>
      <c r="C794" s="32">
        <f>IF($A794=1,"J-"&amp;Platform_Settlements!$A15,"")</f>
        <v/>
      </c>
      <c r="D794" s="33">
        <f>IF($A794=1,Platform_Settlements!$B15,"")</f>
        <v/>
      </c>
      <c r="E794" s="32">
        <f>IF($A794=1,IF(Platform_Settlements!$A15="","",Platform_Settlements!$A15),"")</f>
        <v/>
      </c>
      <c r="F794" s="32">
        <f>IF($A794=1,"PLT","")</f>
        <v/>
      </c>
      <c r="G794" s="32">
        <f>IF($A794=1,IF(Platform_Settlements!$V15="","",Platform_Settlements!$V15),"")</f>
        <v/>
      </c>
      <c r="H794" s="32">
        <f>IF($A794=1,IF(COUNTIF(COA!$A:$A,$G794)=0,"حساب غير معرف",INDEX(COA!$B:$B,MATCH($G794,COA!$A:$A,0))),"")</f>
        <v/>
      </c>
      <c r="I794" s="32">
        <f>IF($A794=1,IF(Platform_Settlements!$D15="","",Platform_Settlements!$D15),"")</f>
        <v/>
      </c>
      <c r="J794" s="32">
        <f>IF($A794=1,"CC30","")</f>
        <v/>
      </c>
      <c r="K794" s="32">
        <f>IF($A794=1,"-","")</f>
        <v/>
      </c>
      <c r="L794" s="32">
        <f>IF($A794=1,"عمولة المنصة/رسوم البطاقات","")</f>
        <v/>
      </c>
      <c r="M794" s="43">
        <f>IF($A794=1,Platform_Settlements!$H15,"")</f>
        <v/>
      </c>
      <c r="N794" s="43">
        <f>IF($A794=1,0,"")</f>
        <v/>
      </c>
      <c r="O794" s="32">
        <f>IF($A794=1,Platform_Settlements!$L15,"")</f>
        <v/>
      </c>
      <c r="P794" s="32">
        <f>IF($A794=1,IF(Platform_Settlements!$Y15="","",Platform_Settlements!$Y15),"")</f>
        <v/>
      </c>
      <c r="Q794" s="32">
        <f>IF($A794=1,Platform_Settlements!$AA15,"")</f>
        <v/>
      </c>
      <c r="R794" s="32">
        <f>IF($A794=1,IF(AND($Q794=1,COUNTIFS(COA!$A:$A,$G794,COA!$R:$R,1)=1),1,0),"")</f>
        <v/>
      </c>
      <c r="S794" s="43">
        <f>IF($A794=1,IF($R794=1,N($M794),0),"")</f>
        <v/>
      </c>
      <c r="T794" s="43">
        <f>IF($A794=1,IF($R794=1,N($N794),0),"")</f>
        <v/>
      </c>
      <c r="U794" s="32">
        <f>IF($A794=1,YEAR($D794)*100+MONTH($D794),"")</f>
        <v/>
      </c>
      <c r="V794" s="32">
        <f>IF($A794=1,IF(COUNTIF(COA!$A:$A,$G794)=0,0,INDEX(COA!$H:$H,MATCH($G794,COA!$A:$A,0))),"")</f>
        <v/>
      </c>
      <c r="W794" s="32">
        <f>IF($A794=1,"","")</f>
        <v/>
      </c>
      <c r="X794" s="32">
        <f>IF($A794=1,IF($R794=1,"",IF($O794=ST_POST,IF($P794&lt;&gt;"",$P794,"حساب غير صالح أو غير نشط"),IF($O794=ST_REV,"معكوس: لا أثر على الدفاتر",IF($O794=ST_CANC,"ملغى",IF($O794=ST_APPR,"معتمد ولم يُرحَّل","مسودة"))))),"")</f>
        <v/>
      </c>
      <c r="Y794" s="32">
        <f>IF($A794=1,IF(AND($R794=1,OR(LG_Acct="",$G794=LG_Acct),OR(LG_Party="",$K794=LG_Party),OR(LG_Loc="ALL",$I794=LG_Loc),OR(LG_CC="ALL",$J794=LG_CC),$D794&gt;=LG_From,$D794&lt;=LG_To),$D794+ROW()/1000000,""),"")</f>
        <v/>
      </c>
      <c r="Z794" s="32">
        <f>IF($A794=1,IF(Platform_Settlements!$M15="","",Platform_Settlements!$M15),"")</f>
        <v/>
      </c>
      <c r="AA794" s="32">
        <f>IF($A794=1,IF(Platform_Settlements!$N15="","",Platform_Settlements!$N15),"")</f>
        <v/>
      </c>
      <c r="AB794" s="32">
        <f>IF($A794=1,IF(Platform_Settlements!$O15="","",Platform_Settlements!$O15),"")</f>
        <v/>
      </c>
      <c r="AC794" s="32">
        <f>IF($A794=1,IF(Platform_Settlements!$P15="","",Platform_Settlements!$P15),"")</f>
        <v/>
      </c>
      <c r="AD794" s="32">
        <f>IF($A794=1,IF(Platform_Settlements!$Q15="","",Platform_Settlements!$Q15),"")</f>
        <v/>
      </c>
      <c r="AE794" s="32">
        <f>IF($A794=1,0,"")</f>
        <v/>
      </c>
      <c r="AF794" s="32" t="inlineStr"/>
    </row>
    <row r="795">
      <c r="A795" s="32">
        <f>IF(AND(Platform_Settlements!$X15=1,N(Platform_Settlements!$I15)&gt;0),1,0)</f>
        <v/>
      </c>
      <c r="B795" s="32">
        <f>IF($A795=1,$E795&amp;"/3","")</f>
        <v/>
      </c>
      <c r="C795" s="32">
        <f>IF($A795=1,"J-"&amp;Platform_Settlements!$A15,"")</f>
        <v/>
      </c>
      <c r="D795" s="33">
        <f>IF($A795=1,Platform_Settlements!$B15,"")</f>
        <v/>
      </c>
      <c r="E795" s="32">
        <f>IF($A795=1,IF(Platform_Settlements!$A15="","",Platform_Settlements!$A15),"")</f>
        <v/>
      </c>
      <c r="F795" s="32">
        <f>IF($A795=1,"PLT","")</f>
        <v/>
      </c>
      <c r="G795" s="32">
        <f>IF($A795=1,ACC_PLT_OTHER,"")</f>
        <v/>
      </c>
      <c r="H795" s="32">
        <f>IF($A795=1,IF(COUNTIF(COA!$A:$A,$G795)=0,"حساب غير معرف",INDEX(COA!$B:$B,MATCH($G795,COA!$A:$A,0))),"")</f>
        <v/>
      </c>
      <c r="I795" s="32">
        <f>IF($A795=1,IF(Platform_Settlements!$D15="","",Platform_Settlements!$D15),"")</f>
        <v/>
      </c>
      <c r="J795" s="32">
        <f>IF($A795=1,"CC30","")</f>
        <v/>
      </c>
      <c r="K795" s="32">
        <f>IF($A795=1,"-","")</f>
        <v/>
      </c>
      <c r="L795" s="32">
        <f>IF($A795=1,"خصومات/غرامات أخرى من المنصة","")</f>
        <v/>
      </c>
      <c r="M795" s="43">
        <f>IF($A795=1,Platform_Settlements!$I15,"")</f>
        <v/>
      </c>
      <c r="N795" s="43">
        <f>IF($A795=1,0,"")</f>
        <v/>
      </c>
      <c r="O795" s="32">
        <f>IF($A795=1,Platform_Settlements!$L15,"")</f>
        <v/>
      </c>
      <c r="P795" s="32">
        <f>IF($A795=1,IF(Platform_Settlements!$Y15="","",Platform_Settlements!$Y15),"")</f>
        <v/>
      </c>
      <c r="Q795" s="32">
        <f>IF($A795=1,Platform_Settlements!$AA15,"")</f>
        <v/>
      </c>
      <c r="R795" s="32">
        <f>IF($A795=1,IF(AND($Q795=1,COUNTIFS(COA!$A:$A,$G795,COA!$R:$R,1)=1),1,0),"")</f>
        <v/>
      </c>
      <c r="S795" s="43">
        <f>IF($A795=1,IF($R795=1,N($M795),0),"")</f>
        <v/>
      </c>
      <c r="T795" s="43">
        <f>IF($A795=1,IF($R795=1,N($N795),0),"")</f>
        <v/>
      </c>
      <c r="U795" s="32">
        <f>IF($A795=1,YEAR($D795)*100+MONTH($D795),"")</f>
        <v/>
      </c>
      <c r="V795" s="32">
        <f>IF($A795=1,IF(COUNTIF(COA!$A:$A,$G795)=0,0,INDEX(COA!$H:$H,MATCH($G795,COA!$A:$A,0))),"")</f>
        <v/>
      </c>
      <c r="W795" s="32">
        <f>IF($A795=1,"","")</f>
        <v/>
      </c>
      <c r="X795" s="32">
        <f>IF($A795=1,IF($R795=1,"",IF($O795=ST_POST,IF($P795&lt;&gt;"",$P795,"حساب غير صالح أو غير نشط"),IF($O795=ST_REV,"معكوس: لا أثر على الدفاتر",IF($O795=ST_CANC,"ملغى",IF($O795=ST_APPR,"معتمد ولم يُرحَّل","مسودة"))))),"")</f>
        <v/>
      </c>
      <c r="Y795" s="32">
        <f>IF($A795=1,IF(AND($R795=1,OR(LG_Acct="",$G795=LG_Acct),OR(LG_Party="",$K795=LG_Party),OR(LG_Loc="ALL",$I795=LG_Loc),OR(LG_CC="ALL",$J795=LG_CC),$D795&gt;=LG_From,$D795&lt;=LG_To),$D795+ROW()/1000000,""),"")</f>
        <v/>
      </c>
      <c r="Z795" s="32">
        <f>IF($A795=1,IF(Platform_Settlements!$M15="","",Platform_Settlements!$M15),"")</f>
        <v/>
      </c>
      <c r="AA795" s="32">
        <f>IF($A795=1,IF(Platform_Settlements!$N15="","",Platform_Settlements!$N15),"")</f>
        <v/>
      </c>
      <c r="AB795" s="32">
        <f>IF($A795=1,IF(Platform_Settlements!$O15="","",Platform_Settlements!$O15),"")</f>
        <v/>
      </c>
      <c r="AC795" s="32">
        <f>IF($A795=1,IF(Platform_Settlements!$P15="","",Platform_Settlements!$P15),"")</f>
        <v/>
      </c>
      <c r="AD795" s="32">
        <f>IF($A795=1,IF(Platform_Settlements!$Q15="","",Platform_Settlements!$Q15),"")</f>
        <v/>
      </c>
      <c r="AE795" s="32">
        <f>IF($A795=1,0,"")</f>
        <v/>
      </c>
      <c r="AF795" s="32" t="inlineStr"/>
    </row>
    <row r="796">
      <c r="A796" s="32">
        <f>IF(AND(Platform_Settlements!$X15=1,N(Platform_Settlements!$T15)&gt;0),1,0)</f>
        <v/>
      </c>
      <c r="B796" s="32">
        <f>IF($A796=1,$E796&amp;"/4","")</f>
        <v/>
      </c>
      <c r="C796" s="32">
        <f>IF($A796=1,"J-"&amp;Platform_Settlements!$A15,"")</f>
        <v/>
      </c>
      <c r="D796" s="33">
        <f>IF($A796=1,Platform_Settlements!$B15,"")</f>
        <v/>
      </c>
      <c r="E796" s="32">
        <f>IF($A796=1,IF(Platform_Settlements!$A15="","",Platform_Settlements!$A15),"")</f>
        <v/>
      </c>
      <c r="F796" s="32">
        <f>IF($A796=1,"PLT","")</f>
        <v/>
      </c>
      <c r="G796" s="32">
        <f>IF($A796=1,ACC_PLT_DIFF,"")</f>
        <v/>
      </c>
      <c r="H796" s="32">
        <f>IF($A796=1,IF(COUNTIF(COA!$A:$A,$G796)=0,"حساب غير معرف",INDEX(COA!$B:$B,MATCH($G796,COA!$A:$A,0))),"")</f>
        <v/>
      </c>
      <c r="I796" s="32">
        <f>IF($A796=1,IF(Platform_Settlements!$D15="","",Platform_Settlements!$D15),"")</f>
        <v/>
      </c>
      <c r="J796" s="32">
        <f>IF($A796=1,"CC00","")</f>
        <v/>
      </c>
      <c r="K796" s="32">
        <f>IF($A796=1,"-","")</f>
        <v/>
      </c>
      <c r="L796" s="32">
        <f>IF($A796=1,"فرق تسوية منصة (نقص) تحت المراجعة","")</f>
        <v/>
      </c>
      <c r="M796" s="43">
        <f>IF($A796=1,Platform_Settlements!$T15,"")</f>
        <v/>
      </c>
      <c r="N796" s="43">
        <f>IF($A796=1,0,"")</f>
        <v/>
      </c>
      <c r="O796" s="32">
        <f>IF($A796=1,Platform_Settlements!$L15,"")</f>
        <v/>
      </c>
      <c r="P796" s="32">
        <f>IF($A796=1,IF(Platform_Settlements!$Y15="","",Platform_Settlements!$Y15),"")</f>
        <v/>
      </c>
      <c r="Q796" s="32">
        <f>IF($A796=1,Platform_Settlements!$AA15,"")</f>
        <v/>
      </c>
      <c r="R796" s="32">
        <f>IF($A796=1,IF(AND($Q796=1,COUNTIFS(COA!$A:$A,$G796,COA!$R:$R,1)=1),1,0),"")</f>
        <v/>
      </c>
      <c r="S796" s="43">
        <f>IF($A796=1,IF($R796=1,N($M796),0),"")</f>
        <v/>
      </c>
      <c r="T796" s="43">
        <f>IF($A796=1,IF($R796=1,N($N796),0),"")</f>
        <v/>
      </c>
      <c r="U796" s="32">
        <f>IF($A796=1,YEAR($D796)*100+MONTH($D796),"")</f>
        <v/>
      </c>
      <c r="V796" s="32">
        <f>IF($A796=1,IF(COUNTIF(COA!$A:$A,$G796)=0,0,INDEX(COA!$H:$H,MATCH($G796,COA!$A:$A,0))),"")</f>
        <v/>
      </c>
      <c r="W796" s="32">
        <f>IF($A796=1,"","")</f>
        <v/>
      </c>
      <c r="X796" s="32">
        <f>IF($A796=1,IF($R796=1,"",IF($O796=ST_POST,IF($P796&lt;&gt;"",$P796,"حساب غير صالح أو غير نشط"),IF($O796=ST_REV,"معكوس: لا أثر على الدفاتر",IF($O796=ST_CANC,"ملغى",IF($O796=ST_APPR,"معتمد ولم يُرحَّل","مسودة"))))),"")</f>
        <v/>
      </c>
      <c r="Y796" s="32">
        <f>IF($A796=1,IF(AND($R796=1,OR(LG_Acct="",$G796=LG_Acct),OR(LG_Party="",$K796=LG_Party),OR(LG_Loc="ALL",$I796=LG_Loc),OR(LG_CC="ALL",$J796=LG_CC),$D796&gt;=LG_From,$D796&lt;=LG_To),$D796+ROW()/1000000,""),"")</f>
        <v/>
      </c>
      <c r="Z796" s="32">
        <f>IF($A796=1,IF(Platform_Settlements!$M15="","",Platform_Settlements!$M15),"")</f>
        <v/>
      </c>
      <c r="AA796" s="32">
        <f>IF($A796=1,IF(Platform_Settlements!$N15="","",Platform_Settlements!$N15),"")</f>
        <v/>
      </c>
      <c r="AB796" s="32">
        <f>IF($A796=1,IF(Platform_Settlements!$O15="","",Platform_Settlements!$O15),"")</f>
        <v/>
      </c>
      <c r="AC796" s="32">
        <f>IF($A796=1,IF(Platform_Settlements!$P15="","",Platform_Settlements!$P15),"")</f>
        <v/>
      </c>
      <c r="AD796" s="32">
        <f>IF($A796=1,IF(Platform_Settlements!$Q15="","",Platform_Settlements!$Q15),"")</f>
        <v/>
      </c>
      <c r="AE796" s="32">
        <f>IF($A796=1,0,"")</f>
        <v/>
      </c>
      <c r="AF796" s="32" t="inlineStr"/>
    </row>
    <row r="797">
      <c r="A797" s="32">
        <f>IF(AND(Platform_Settlements!$X15=1,N(Platform_Settlements!$T15)&lt;0),1,0)</f>
        <v/>
      </c>
      <c r="B797" s="32">
        <f>IF($A797=1,$E797&amp;"/5","")</f>
        <v/>
      </c>
      <c r="C797" s="32">
        <f>IF($A797=1,"J-"&amp;Platform_Settlements!$A15,"")</f>
        <v/>
      </c>
      <c r="D797" s="33">
        <f>IF($A797=1,Platform_Settlements!$B15,"")</f>
        <v/>
      </c>
      <c r="E797" s="32">
        <f>IF($A797=1,IF(Platform_Settlements!$A15="","",Platform_Settlements!$A15),"")</f>
        <v/>
      </c>
      <c r="F797" s="32">
        <f>IF($A797=1,"PLT","")</f>
        <v/>
      </c>
      <c r="G797" s="32">
        <f>IF($A797=1,ACC_PLT_DIFF,"")</f>
        <v/>
      </c>
      <c r="H797" s="32">
        <f>IF($A797=1,IF(COUNTIF(COA!$A:$A,$G797)=0,"حساب غير معرف",INDEX(COA!$B:$B,MATCH($G797,COA!$A:$A,0))),"")</f>
        <v/>
      </c>
      <c r="I797" s="32">
        <f>IF($A797=1,IF(Platform_Settlements!$D15="","",Platform_Settlements!$D15),"")</f>
        <v/>
      </c>
      <c r="J797" s="32">
        <f>IF($A797=1,"CC00","")</f>
        <v/>
      </c>
      <c r="K797" s="32">
        <f>IF($A797=1,"-","")</f>
        <v/>
      </c>
      <c r="L797" s="32">
        <f>IF($A797=1,"فرق تسوية منصة (زيادة) تحت المراجعة","")</f>
        <v/>
      </c>
      <c r="M797" s="43">
        <f>IF($A797=1,0,"")</f>
        <v/>
      </c>
      <c r="N797" s="43">
        <f>IF($A797=1,-Platform_Settlements!$T15,"")</f>
        <v/>
      </c>
      <c r="O797" s="32">
        <f>IF($A797=1,Platform_Settlements!$L15,"")</f>
        <v/>
      </c>
      <c r="P797" s="32">
        <f>IF($A797=1,IF(Platform_Settlements!$Y15="","",Platform_Settlements!$Y15),"")</f>
        <v/>
      </c>
      <c r="Q797" s="32">
        <f>IF($A797=1,Platform_Settlements!$AA15,"")</f>
        <v/>
      </c>
      <c r="R797" s="32">
        <f>IF($A797=1,IF(AND($Q797=1,COUNTIFS(COA!$A:$A,$G797,COA!$R:$R,1)=1),1,0),"")</f>
        <v/>
      </c>
      <c r="S797" s="43">
        <f>IF($A797=1,IF($R797=1,N($M797),0),"")</f>
        <v/>
      </c>
      <c r="T797" s="43">
        <f>IF($A797=1,IF($R797=1,N($N797),0),"")</f>
        <v/>
      </c>
      <c r="U797" s="32">
        <f>IF($A797=1,YEAR($D797)*100+MONTH($D797),"")</f>
        <v/>
      </c>
      <c r="V797" s="32">
        <f>IF($A797=1,IF(COUNTIF(COA!$A:$A,$G797)=0,0,INDEX(COA!$H:$H,MATCH($G797,COA!$A:$A,0))),"")</f>
        <v/>
      </c>
      <c r="W797" s="32">
        <f>IF($A797=1,"","")</f>
        <v/>
      </c>
      <c r="X797" s="32">
        <f>IF($A797=1,IF($R797=1,"",IF($O797=ST_POST,IF($P797&lt;&gt;"",$P797,"حساب غير صالح أو غير نشط"),IF($O797=ST_REV,"معكوس: لا أثر على الدفاتر",IF($O797=ST_CANC,"ملغى",IF($O797=ST_APPR,"معتمد ولم يُرحَّل","مسودة"))))),"")</f>
        <v/>
      </c>
      <c r="Y797" s="32">
        <f>IF($A797=1,IF(AND($R797=1,OR(LG_Acct="",$G797=LG_Acct),OR(LG_Party="",$K797=LG_Party),OR(LG_Loc="ALL",$I797=LG_Loc),OR(LG_CC="ALL",$J797=LG_CC),$D797&gt;=LG_From,$D797&lt;=LG_To),$D797+ROW()/1000000,""),"")</f>
        <v/>
      </c>
      <c r="Z797" s="32">
        <f>IF($A797=1,IF(Platform_Settlements!$M15="","",Platform_Settlements!$M15),"")</f>
        <v/>
      </c>
      <c r="AA797" s="32">
        <f>IF($A797=1,IF(Platform_Settlements!$N15="","",Platform_Settlements!$N15),"")</f>
        <v/>
      </c>
      <c r="AB797" s="32">
        <f>IF($A797=1,IF(Platform_Settlements!$O15="","",Platform_Settlements!$O15),"")</f>
        <v/>
      </c>
      <c r="AC797" s="32">
        <f>IF($A797=1,IF(Platform_Settlements!$P15="","",Platform_Settlements!$P15),"")</f>
        <v/>
      </c>
      <c r="AD797" s="32">
        <f>IF($A797=1,IF(Platform_Settlements!$Q15="","",Platform_Settlements!$Q15),"")</f>
        <v/>
      </c>
      <c r="AE797" s="32">
        <f>IF($A797=1,0,"")</f>
        <v/>
      </c>
      <c r="AF797" s="32" t="inlineStr"/>
    </row>
    <row r="798">
      <c r="A798" s="32">
        <f>IF(AND(Platform_Settlements!$X15=1,N(Platform_Settlements!$G15)&gt;0),1,0)</f>
        <v/>
      </c>
      <c r="B798" s="32">
        <f>IF($A798=1,$E798&amp;"/6","")</f>
        <v/>
      </c>
      <c r="C798" s="32">
        <f>IF($A798=1,"J-"&amp;Platform_Settlements!$A15,"")</f>
        <v/>
      </c>
      <c r="D798" s="33">
        <f>IF($A798=1,Platform_Settlements!$B15,"")</f>
        <v/>
      </c>
      <c r="E798" s="32">
        <f>IF($A798=1,IF(Platform_Settlements!$A15="","",Platform_Settlements!$A15),"")</f>
        <v/>
      </c>
      <c r="F798" s="32">
        <f>IF($A798=1,"PLT","")</f>
        <v/>
      </c>
      <c r="G798" s="32">
        <f>IF($A798=1,IF(Platform_Settlements!$U15="","",Platform_Settlements!$U15),"")</f>
        <v/>
      </c>
      <c r="H798" s="32">
        <f>IF($A798=1,IF(COUNTIF(COA!$A:$A,$G798)=0,"حساب غير معرف",INDEX(COA!$B:$B,MATCH($G798,COA!$A:$A,0))),"")</f>
        <v/>
      </c>
      <c r="I798" s="32">
        <f>IF($A798=1,IF(Platform_Settlements!$D15="","",Platform_Settlements!$D15),"")</f>
        <v/>
      </c>
      <c r="J798" s="32">
        <f>IF($A798=1,"CC00","")</f>
        <v/>
      </c>
      <c r="K798" s="32">
        <f>IF($A798=1,"-","")</f>
        <v/>
      </c>
      <c r="L798" s="32">
        <f>IF($A798=1,"تخفيض مستحقات المنصة/البطاقات","")</f>
        <v/>
      </c>
      <c r="M798" s="43">
        <f>IF($A798=1,0,"")</f>
        <v/>
      </c>
      <c r="N798" s="43">
        <f>IF($A798=1,Platform_Settlements!$G15,"")</f>
        <v/>
      </c>
      <c r="O798" s="32">
        <f>IF($A798=1,Platform_Settlements!$L15,"")</f>
        <v/>
      </c>
      <c r="P798" s="32">
        <f>IF($A798=1,IF(Platform_Settlements!$Y15="","",Platform_Settlements!$Y15),"")</f>
        <v/>
      </c>
      <c r="Q798" s="32">
        <f>IF($A798=1,Platform_Settlements!$AA15,"")</f>
        <v/>
      </c>
      <c r="R798" s="32">
        <f>IF($A798=1,IF(AND($Q798=1,COUNTIFS(COA!$A:$A,$G798,COA!$R:$R,1)=1),1,0),"")</f>
        <v/>
      </c>
      <c r="S798" s="43">
        <f>IF($A798=1,IF($R798=1,N($M798),0),"")</f>
        <v/>
      </c>
      <c r="T798" s="43">
        <f>IF($A798=1,IF($R798=1,N($N798),0),"")</f>
        <v/>
      </c>
      <c r="U798" s="32">
        <f>IF($A798=1,YEAR($D798)*100+MONTH($D798),"")</f>
        <v/>
      </c>
      <c r="V798" s="32">
        <f>IF($A798=1,IF(COUNTIF(COA!$A:$A,$G798)=0,0,INDEX(COA!$H:$H,MATCH($G798,COA!$A:$A,0))),"")</f>
        <v/>
      </c>
      <c r="W798" s="32">
        <f>IF($A798=1,"","")</f>
        <v/>
      </c>
      <c r="X798" s="32">
        <f>IF($A798=1,IF($R798=1,"",IF($O798=ST_POST,IF($P798&lt;&gt;"",$P798,"حساب غير صالح أو غير نشط"),IF($O798=ST_REV,"معكوس: لا أثر على الدفاتر",IF($O798=ST_CANC,"ملغى",IF($O798=ST_APPR,"معتمد ولم يُرحَّل","مسودة"))))),"")</f>
        <v/>
      </c>
      <c r="Y798" s="32">
        <f>IF($A798=1,IF(AND($R798=1,OR(LG_Acct="",$G798=LG_Acct),OR(LG_Party="",$K798=LG_Party),OR(LG_Loc="ALL",$I798=LG_Loc),OR(LG_CC="ALL",$J798=LG_CC),$D798&gt;=LG_From,$D798&lt;=LG_To),$D798+ROW()/1000000,""),"")</f>
        <v/>
      </c>
      <c r="Z798" s="32">
        <f>IF($A798=1,IF(Platform_Settlements!$M15="","",Platform_Settlements!$M15),"")</f>
        <v/>
      </c>
      <c r="AA798" s="32">
        <f>IF($A798=1,IF(Platform_Settlements!$N15="","",Platform_Settlements!$N15),"")</f>
        <v/>
      </c>
      <c r="AB798" s="32">
        <f>IF($A798=1,IF(Platform_Settlements!$O15="","",Platform_Settlements!$O15),"")</f>
        <v/>
      </c>
      <c r="AC798" s="32">
        <f>IF($A798=1,IF(Platform_Settlements!$P15="","",Platform_Settlements!$P15),"")</f>
        <v/>
      </c>
      <c r="AD798" s="32">
        <f>IF($A798=1,IF(Platform_Settlements!$Q15="","",Platform_Settlements!$Q15),"")</f>
        <v/>
      </c>
      <c r="AE798" s="32">
        <f>IF($A798=1,0,"")</f>
        <v/>
      </c>
      <c r="AF798" s="32" t="inlineStr"/>
    </row>
    <row r="799">
      <c r="A799" s="32">
        <f>IF(AND(Platform_Settlements!$X16=1,N(Platform_Settlements!$J16)&gt;0),1,0)</f>
        <v/>
      </c>
      <c r="B799" s="32">
        <f>IF($A799=1,$E799&amp;"/1","")</f>
        <v/>
      </c>
      <c r="C799" s="32">
        <f>IF($A799=1,"J-"&amp;Platform_Settlements!$A16,"")</f>
        <v/>
      </c>
      <c r="D799" s="33">
        <f>IF($A799=1,Platform_Settlements!$B16,"")</f>
        <v/>
      </c>
      <c r="E799" s="32">
        <f>IF($A799=1,IF(Platform_Settlements!$A16="","",Platform_Settlements!$A16),"")</f>
        <v/>
      </c>
      <c r="F799" s="32">
        <f>IF($A799=1,"PLT","")</f>
        <v/>
      </c>
      <c r="G799" s="32">
        <f>IF($A799=1,IF(Platform_Settlements!$W16="","",Platform_Settlements!$W16),"")</f>
        <v/>
      </c>
      <c r="H799" s="32">
        <f>IF($A799=1,IF(COUNTIF(COA!$A:$A,$G799)=0,"حساب غير معرف",INDEX(COA!$B:$B,MATCH($G799,COA!$A:$A,0))),"")</f>
        <v/>
      </c>
      <c r="I799" s="32">
        <f>IF($A799=1,IF(Platform_Settlements!$D16="","",Platform_Settlements!$D16),"")</f>
        <v/>
      </c>
      <c r="J799" s="32">
        <f>IF($A799=1,"CC00","")</f>
        <v/>
      </c>
      <c r="K799" s="32">
        <f>IF($A799=1,"-","")</f>
        <v/>
      </c>
      <c r="L799" s="32">
        <f>IF($A799=1,"استلام تسوية منصة/بطاقات","")</f>
        <v/>
      </c>
      <c r="M799" s="43">
        <f>IF($A799=1,Platform_Settlements!$J16,"")</f>
        <v/>
      </c>
      <c r="N799" s="43">
        <f>IF($A799=1,0,"")</f>
        <v/>
      </c>
      <c r="O799" s="32">
        <f>IF($A799=1,Platform_Settlements!$L16,"")</f>
        <v/>
      </c>
      <c r="P799" s="32">
        <f>IF($A799=1,IF(Platform_Settlements!$Y16="","",Platform_Settlements!$Y16),"")</f>
        <v/>
      </c>
      <c r="Q799" s="32">
        <f>IF($A799=1,Platform_Settlements!$AA16,"")</f>
        <v/>
      </c>
      <c r="R799" s="32">
        <f>IF($A799=1,IF(AND($Q799=1,COUNTIFS(COA!$A:$A,$G799,COA!$R:$R,1)=1),1,0),"")</f>
        <v/>
      </c>
      <c r="S799" s="43">
        <f>IF($A799=1,IF($R799=1,N($M799),0),"")</f>
        <v/>
      </c>
      <c r="T799" s="43">
        <f>IF($A799=1,IF($R799=1,N($N799),0),"")</f>
        <v/>
      </c>
      <c r="U799" s="32">
        <f>IF($A799=1,YEAR($D799)*100+MONTH($D799),"")</f>
        <v/>
      </c>
      <c r="V799" s="32">
        <f>IF($A799=1,IF(COUNTIF(COA!$A:$A,$G799)=0,0,INDEX(COA!$H:$H,MATCH($G799,COA!$A:$A,0))),"")</f>
        <v/>
      </c>
      <c r="W799" s="32">
        <f>IF($A799=1,"OPERATING","")</f>
        <v/>
      </c>
      <c r="X799" s="32">
        <f>IF($A799=1,IF($R799=1,"",IF($O799=ST_POST,IF($P799&lt;&gt;"",$P799,"حساب غير صالح أو غير نشط"),IF($O799=ST_REV,"معكوس: لا أثر على الدفاتر",IF($O799=ST_CANC,"ملغى",IF($O799=ST_APPR,"معتمد ولم يُرحَّل","مسودة"))))),"")</f>
        <v/>
      </c>
      <c r="Y799" s="32">
        <f>IF($A799=1,IF(AND($R799=1,OR(LG_Acct="",$G799=LG_Acct),OR(LG_Party="",$K799=LG_Party),OR(LG_Loc="ALL",$I799=LG_Loc),OR(LG_CC="ALL",$J799=LG_CC),$D799&gt;=LG_From,$D799&lt;=LG_To),$D799+ROW()/1000000,""),"")</f>
        <v/>
      </c>
      <c r="Z799" s="32">
        <f>IF($A799=1,IF(Platform_Settlements!$M16="","",Platform_Settlements!$M16),"")</f>
        <v/>
      </c>
      <c r="AA799" s="32">
        <f>IF($A799=1,IF(Platform_Settlements!$N16="","",Platform_Settlements!$N16),"")</f>
        <v/>
      </c>
      <c r="AB799" s="32">
        <f>IF($A799=1,IF(Platform_Settlements!$O16="","",Platform_Settlements!$O16),"")</f>
        <v/>
      </c>
      <c r="AC799" s="32">
        <f>IF($A799=1,IF(Platform_Settlements!$P16="","",Platform_Settlements!$P16),"")</f>
        <v/>
      </c>
      <c r="AD799" s="32">
        <f>IF($A799=1,IF(Platform_Settlements!$Q16="","",Platform_Settlements!$Q16),"")</f>
        <v/>
      </c>
      <c r="AE799" s="32">
        <f>IF($A799=1,0,"")</f>
        <v/>
      </c>
      <c r="AF799" s="32" t="inlineStr"/>
    </row>
    <row r="800">
      <c r="A800" s="32">
        <f>IF(AND(Platform_Settlements!$X16=1,N(Platform_Settlements!$H16)&gt;0),1,0)</f>
        <v/>
      </c>
      <c r="B800" s="32">
        <f>IF($A800=1,$E800&amp;"/2","")</f>
        <v/>
      </c>
      <c r="C800" s="32">
        <f>IF($A800=1,"J-"&amp;Platform_Settlements!$A16,"")</f>
        <v/>
      </c>
      <c r="D800" s="33">
        <f>IF($A800=1,Platform_Settlements!$B16,"")</f>
        <v/>
      </c>
      <c r="E800" s="32">
        <f>IF($A800=1,IF(Platform_Settlements!$A16="","",Platform_Settlements!$A16),"")</f>
        <v/>
      </c>
      <c r="F800" s="32">
        <f>IF($A800=1,"PLT","")</f>
        <v/>
      </c>
      <c r="G800" s="32">
        <f>IF($A800=1,IF(Platform_Settlements!$V16="","",Platform_Settlements!$V16),"")</f>
        <v/>
      </c>
      <c r="H800" s="32">
        <f>IF($A800=1,IF(COUNTIF(COA!$A:$A,$G800)=0,"حساب غير معرف",INDEX(COA!$B:$B,MATCH($G800,COA!$A:$A,0))),"")</f>
        <v/>
      </c>
      <c r="I800" s="32">
        <f>IF($A800=1,IF(Platform_Settlements!$D16="","",Platform_Settlements!$D16),"")</f>
        <v/>
      </c>
      <c r="J800" s="32">
        <f>IF($A800=1,"CC30","")</f>
        <v/>
      </c>
      <c r="K800" s="32">
        <f>IF($A800=1,"-","")</f>
        <v/>
      </c>
      <c r="L800" s="32">
        <f>IF($A800=1,"عمولة المنصة/رسوم البطاقات","")</f>
        <v/>
      </c>
      <c r="M800" s="43">
        <f>IF($A800=1,Platform_Settlements!$H16,"")</f>
        <v/>
      </c>
      <c r="N800" s="43">
        <f>IF($A800=1,0,"")</f>
        <v/>
      </c>
      <c r="O800" s="32">
        <f>IF($A800=1,Platform_Settlements!$L16,"")</f>
        <v/>
      </c>
      <c r="P800" s="32">
        <f>IF($A800=1,IF(Platform_Settlements!$Y16="","",Platform_Settlements!$Y16),"")</f>
        <v/>
      </c>
      <c r="Q800" s="32">
        <f>IF($A800=1,Platform_Settlements!$AA16,"")</f>
        <v/>
      </c>
      <c r="R800" s="32">
        <f>IF($A800=1,IF(AND($Q800=1,COUNTIFS(COA!$A:$A,$G800,COA!$R:$R,1)=1),1,0),"")</f>
        <v/>
      </c>
      <c r="S800" s="43">
        <f>IF($A800=1,IF($R800=1,N($M800),0),"")</f>
        <v/>
      </c>
      <c r="T800" s="43">
        <f>IF($A800=1,IF($R800=1,N($N800),0),"")</f>
        <v/>
      </c>
      <c r="U800" s="32">
        <f>IF($A800=1,YEAR($D800)*100+MONTH($D800),"")</f>
        <v/>
      </c>
      <c r="V800" s="32">
        <f>IF($A800=1,IF(COUNTIF(COA!$A:$A,$G800)=0,0,INDEX(COA!$H:$H,MATCH($G800,COA!$A:$A,0))),"")</f>
        <v/>
      </c>
      <c r="W800" s="32">
        <f>IF($A800=1,"","")</f>
        <v/>
      </c>
      <c r="X800" s="32">
        <f>IF($A800=1,IF($R800=1,"",IF($O800=ST_POST,IF($P800&lt;&gt;"",$P800,"حساب غير صالح أو غير نشط"),IF($O800=ST_REV,"معكوس: لا أثر على الدفاتر",IF($O800=ST_CANC,"ملغى",IF($O800=ST_APPR,"معتمد ولم يُرحَّل","مسودة"))))),"")</f>
        <v/>
      </c>
      <c r="Y800" s="32">
        <f>IF($A800=1,IF(AND($R800=1,OR(LG_Acct="",$G800=LG_Acct),OR(LG_Party="",$K800=LG_Party),OR(LG_Loc="ALL",$I800=LG_Loc),OR(LG_CC="ALL",$J800=LG_CC),$D800&gt;=LG_From,$D800&lt;=LG_To),$D800+ROW()/1000000,""),"")</f>
        <v/>
      </c>
      <c r="Z800" s="32">
        <f>IF($A800=1,IF(Platform_Settlements!$M16="","",Platform_Settlements!$M16),"")</f>
        <v/>
      </c>
      <c r="AA800" s="32">
        <f>IF($A800=1,IF(Platform_Settlements!$N16="","",Platform_Settlements!$N16),"")</f>
        <v/>
      </c>
      <c r="AB800" s="32">
        <f>IF($A800=1,IF(Platform_Settlements!$O16="","",Platform_Settlements!$O16),"")</f>
        <v/>
      </c>
      <c r="AC800" s="32">
        <f>IF($A800=1,IF(Platform_Settlements!$P16="","",Platform_Settlements!$P16),"")</f>
        <v/>
      </c>
      <c r="AD800" s="32">
        <f>IF($A800=1,IF(Platform_Settlements!$Q16="","",Platform_Settlements!$Q16),"")</f>
        <v/>
      </c>
      <c r="AE800" s="32">
        <f>IF($A800=1,0,"")</f>
        <v/>
      </c>
      <c r="AF800" s="32" t="inlineStr"/>
    </row>
    <row r="801">
      <c r="A801" s="32">
        <f>IF(AND(Platform_Settlements!$X16=1,N(Platform_Settlements!$I16)&gt;0),1,0)</f>
        <v/>
      </c>
      <c r="B801" s="32">
        <f>IF($A801=1,$E801&amp;"/3","")</f>
        <v/>
      </c>
      <c r="C801" s="32">
        <f>IF($A801=1,"J-"&amp;Platform_Settlements!$A16,"")</f>
        <v/>
      </c>
      <c r="D801" s="33">
        <f>IF($A801=1,Platform_Settlements!$B16,"")</f>
        <v/>
      </c>
      <c r="E801" s="32">
        <f>IF($A801=1,IF(Platform_Settlements!$A16="","",Platform_Settlements!$A16),"")</f>
        <v/>
      </c>
      <c r="F801" s="32">
        <f>IF($A801=1,"PLT","")</f>
        <v/>
      </c>
      <c r="G801" s="32">
        <f>IF($A801=1,ACC_PLT_OTHER,"")</f>
        <v/>
      </c>
      <c r="H801" s="32">
        <f>IF($A801=1,IF(COUNTIF(COA!$A:$A,$G801)=0,"حساب غير معرف",INDEX(COA!$B:$B,MATCH($G801,COA!$A:$A,0))),"")</f>
        <v/>
      </c>
      <c r="I801" s="32">
        <f>IF($A801=1,IF(Platform_Settlements!$D16="","",Platform_Settlements!$D16),"")</f>
        <v/>
      </c>
      <c r="J801" s="32">
        <f>IF($A801=1,"CC30","")</f>
        <v/>
      </c>
      <c r="K801" s="32">
        <f>IF($A801=1,"-","")</f>
        <v/>
      </c>
      <c r="L801" s="32">
        <f>IF($A801=1,"خصومات/غرامات أخرى من المنصة","")</f>
        <v/>
      </c>
      <c r="M801" s="43">
        <f>IF($A801=1,Platform_Settlements!$I16,"")</f>
        <v/>
      </c>
      <c r="N801" s="43">
        <f>IF($A801=1,0,"")</f>
        <v/>
      </c>
      <c r="O801" s="32">
        <f>IF($A801=1,Platform_Settlements!$L16,"")</f>
        <v/>
      </c>
      <c r="P801" s="32">
        <f>IF($A801=1,IF(Platform_Settlements!$Y16="","",Platform_Settlements!$Y16),"")</f>
        <v/>
      </c>
      <c r="Q801" s="32">
        <f>IF($A801=1,Platform_Settlements!$AA16,"")</f>
        <v/>
      </c>
      <c r="R801" s="32">
        <f>IF($A801=1,IF(AND($Q801=1,COUNTIFS(COA!$A:$A,$G801,COA!$R:$R,1)=1),1,0),"")</f>
        <v/>
      </c>
      <c r="S801" s="43">
        <f>IF($A801=1,IF($R801=1,N($M801),0),"")</f>
        <v/>
      </c>
      <c r="T801" s="43">
        <f>IF($A801=1,IF($R801=1,N($N801),0),"")</f>
        <v/>
      </c>
      <c r="U801" s="32">
        <f>IF($A801=1,YEAR($D801)*100+MONTH($D801),"")</f>
        <v/>
      </c>
      <c r="V801" s="32">
        <f>IF($A801=1,IF(COUNTIF(COA!$A:$A,$G801)=0,0,INDEX(COA!$H:$H,MATCH($G801,COA!$A:$A,0))),"")</f>
        <v/>
      </c>
      <c r="W801" s="32">
        <f>IF($A801=1,"","")</f>
        <v/>
      </c>
      <c r="X801" s="32">
        <f>IF($A801=1,IF($R801=1,"",IF($O801=ST_POST,IF($P801&lt;&gt;"",$P801,"حساب غير صالح أو غير نشط"),IF($O801=ST_REV,"معكوس: لا أثر على الدفاتر",IF($O801=ST_CANC,"ملغى",IF($O801=ST_APPR,"معتمد ولم يُرحَّل","مسودة"))))),"")</f>
        <v/>
      </c>
      <c r="Y801" s="32">
        <f>IF($A801=1,IF(AND($R801=1,OR(LG_Acct="",$G801=LG_Acct),OR(LG_Party="",$K801=LG_Party),OR(LG_Loc="ALL",$I801=LG_Loc),OR(LG_CC="ALL",$J801=LG_CC),$D801&gt;=LG_From,$D801&lt;=LG_To),$D801+ROW()/1000000,""),"")</f>
        <v/>
      </c>
      <c r="Z801" s="32">
        <f>IF($A801=1,IF(Platform_Settlements!$M16="","",Platform_Settlements!$M16),"")</f>
        <v/>
      </c>
      <c r="AA801" s="32">
        <f>IF($A801=1,IF(Platform_Settlements!$N16="","",Platform_Settlements!$N16),"")</f>
        <v/>
      </c>
      <c r="AB801" s="32">
        <f>IF($A801=1,IF(Platform_Settlements!$O16="","",Platform_Settlements!$O16),"")</f>
        <v/>
      </c>
      <c r="AC801" s="32">
        <f>IF($A801=1,IF(Platform_Settlements!$P16="","",Platform_Settlements!$P16),"")</f>
        <v/>
      </c>
      <c r="AD801" s="32">
        <f>IF($A801=1,IF(Platform_Settlements!$Q16="","",Platform_Settlements!$Q16),"")</f>
        <v/>
      </c>
      <c r="AE801" s="32">
        <f>IF($A801=1,0,"")</f>
        <v/>
      </c>
      <c r="AF801" s="32" t="inlineStr"/>
    </row>
    <row r="802">
      <c r="A802" s="32">
        <f>IF(AND(Platform_Settlements!$X16=1,N(Platform_Settlements!$T16)&gt;0),1,0)</f>
        <v/>
      </c>
      <c r="B802" s="32">
        <f>IF($A802=1,$E802&amp;"/4","")</f>
        <v/>
      </c>
      <c r="C802" s="32">
        <f>IF($A802=1,"J-"&amp;Platform_Settlements!$A16,"")</f>
        <v/>
      </c>
      <c r="D802" s="33">
        <f>IF($A802=1,Platform_Settlements!$B16,"")</f>
        <v/>
      </c>
      <c r="E802" s="32">
        <f>IF($A802=1,IF(Platform_Settlements!$A16="","",Platform_Settlements!$A16),"")</f>
        <v/>
      </c>
      <c r="F802" s="32">
        <f>IF($A802=1,"PLT","")</f>
        <v/>
      </c>
      <c r="G802" s="32">
        <f>IF($A802=1,ACC_PLT_DIFF,"")</f>
        <v/>
      </c>
      <c r="H802" s="32">
        <f>IF($A802=1,IF(COUNTIF(COA!$A:$A,$G802)=0,"حساب غير معرف",INDEX(COA!$B:$B,MATCH($G802,COA!$A:$A,0))),"")</f>
        <v/>
      </c>
      <c r="I802" s="32">
        <f>IF($A802=1,IF(Platform_Settlements!$D16="","",Platform_Settlements!$D16),"")</f>
        <v/>
      </c>
      <c r="J802" s="32">
        <f>IF($A802=1,"CC00","")</f>
        <v/>
      </c>
      <c r="K802" s="32">
        <f>IF($A802=1,"-","")</f>
        <v/>
      </c>
      <c r="L802" s="32">
        <f>IF($A802=1,"فرق تسوية منصة (نقص) تحت المراجعة","")</f>
        <v/>
      </c>
      <c r="M802" s="43">
        <f>IF($A802=1,Platform_Settlements!$T16,"")</f>
        <v/>
      </c>
      <c r="N802" s="43">
        <f>IF($A802=1,0,"")</f>
        <v/>
      </c>
      <c r="O802" s="32">
        <f>IF($A802=1,Platform_Settlements!$L16,"")</f>
        <v/>
      </c>
      <c r="P802" s="32">
        <f>IF($A802=1,IF(Platform_Settlements!$Y16="","",Platform_Settlements!$Y16),"")</f>
        <v/>
      </c>
      <c r="Q802" s="32">
        <f>IF($A802=1,Platform_Settlements!$AA16,"")</f>
        <v/>
      </c>
      <c r="R802" s="32">
        <f>IF($A802=1,IF(AND($Q802=1,COUNTIFS(COA!$A:$A,$G802,COA!$R:$R,1)=1),1,0),"")</f>
        <v/>
      </c>
      <c r="S802" s="43">
        <f>IF($A802=1,IF($R802=1,N($M802),0),"")</f>
        <v/>
      </c>
      <c r="T802" s="43">
        <f>IF($A802=1,IF($R802=1,N($N802),0),"")</f>
        <v/>
      </c>
      <c r="U802" s="32">
        <f>IF($A802=1,YEAR($D802)*100+MONTH($D802),"")</f>
        <v/>
      </c>
      <c r="V802" s="32">
        <f>IF($A802=1,IF(COUNTIF(COA!$A:$A,$G802)=0,0,INDEX(COA!$H:$H,MATCH($G802,COA!$A:$A,0))),"")</f>
        <v/>
      </c>
      <c r="W802" s="32">
        <f>IF($A802=1,"","")</f>
        <v/>
      </c>
      <c r="X802" s="32">
        <f>IF($A802=1,IF($R802=1,"",IF($O802=ST_POST,IF($P802&lt;&gt;"",$P802,"حساب غير صالح أو غير نشط"),IF($O802=ST_REV,"معكوس: لا أثر على الدفاتر",IF($O802=ST_CANC,"ملغى",IF($O802=ST_APPR,"معتمد ولم يُرحَّل","مسودة"))))),"")</f>
        <v/>
      </c>
      <c r="Y802" s="32">
        <f>IF($A802=1,IF(AND($R802=1,OR(LG_Acct="",$G802=LG_Acct),OR(LG_Party="",$K802=LG_Party),OR(LG_Loc="ALL",$I802=LG_Loc),OR(LG_CC="ALL",$J802=LG_CC),$D802&gt;=LG_From,$D802&lt;=LG_To),$D802+ROW()/1000000,""),"")</f>
        <v/>
      </c>
      <c r="Z802" s="32">
        <f>IF($A802=1,IF(Platform_Settlements!$M16="","",Platform_Settlements!$M16),"")</f>
        <v/>
      </c>
      <c r="AA802" s="32">
        <f>IF($A802=1,IF(Platform_Settlements!$N16="","",Platform_Settlements!$N16),"")</f>
        <v/>
      </c>
      <c r="AB802" s="32">
        <f>IF($A802=1,IF(Platform_Settlements!$O16="","",Platform_Settlements!$O16),"")</f>
        <v/>
      </c>
      <c r="AC802" s="32">
        <f>IF($A802=1,IF(Platform_Settlements!$P16="","",Platform_Settlements!$P16),"")</f>
        <v/>
      </c>
      <c r="AD802" s="32">
        <f>IF($A802=1,IF(Platform_Settlements!$Q16="","",Platform_Settlements!$Q16),"")</f>
        <v/>
      </c>
      <c r="AE802" s="32">
        <f>IF($A802=1,0,"")</f>
        <v/>
      </c>
      <c r="AF802" s="32" t="inlineStr"/>
    </row>
    <row r="803">
      <c r="A803" s="32">
        <f>IF(AND(Platform_Settlements!$X16=1,N(Platform_Settlements!$T16)&lt;0),1,0)</f>
        <v/>
      </c>
      <c r="B803" s="32">
        <f>IF($A803=1,$E803&amp;"/5","")</f>
        <v/>
      </c>
      <c r="C803" s="32">
        <f>IF($A803=1,"J-"&amp;Platform_Settlements!$A16,"")</f>
        <v/>
      </c>
      <c r="D803" s="33">
        <f>IF($A803=1,Platform_Settlements!$B16,"")</f>
        <v/>
      </c>
      <c r="E803" s="32">
        <f>IF($A803=1,IF(Platform_Settlements!$A16="","",Platform_Settlements!$A16),"")</f>
        <v/>
      </c>
      <c r="F803" s="32">
        <f>IF($A803=1,"PLT","")</f>
        <v/>
      </c>
      <c r="G803" s="32">
        <f>IF($A803=1,ACC_PLT_DIFF,"")</f>
        <v/>
      </c>
      <c r="H803" s="32">
        <f>IF($A803=1,IF(COUNTIF(COA!$A:$A,$G803)=0,"حساب غير معرف",INDEX(COA!$B:$B,MATCH($G803,COA!$A:$A,0))),"")</f>
        <v/>
      </c>
      <c r="I803" s="32">
        <f>IF($A803=1,IF(Platform_Settlements!$D16="","",Platform_Settlements!$D16),"")</f>
        <v/>
      </c>
      <c r="J803" s="32">
        <f>IF($A803=1,"CC00","")</f>
        <v/>
      </c>
      <c r="K803" s="32">
        <f>IF($A803=1,"-","")</f>
        <v/>
      </c>
      <c r="L803" s="32">
        <f>IF($A803=1,"فرق تسوية منصة (زيادة) تحت المراجعة","")</f>
        <v/>
      </c>
      <c r="M803" s="43">
        <f>IF($A803=1,0,"")</f>
        <v/>
      </c>
      <c r="N803" s="43">
        <f>IF($A803=1,-Platform_Settlements!$T16,"")</f>
        <v/>
      </c>
      <c r="O803" s="32">
        <f>IF($A803=1,Platform_Settlements!$L16,"")</f>
        <v/>
      </c>
      <c r="P803" s="32">
        <f>IF($A803=1,IF(Platform_Settlements!$Y16="","",Platform_Settlements!$Y16),"")</f>
        <v/>
      </c>
      <c r="Q803" s="32">
        <f>IF($A803=1,Platform_Settlements!$AA16,"")</f>
        <v/>
      </c>
      <c r="R803" s="32">
        <f>IF($A803=1,IF(AND($Q803=1,COUNTIFS(COA!$A:$A,$G803,COA!$R:$R,1)=1),1,0),"")</f>
        <v/>
      </c>
      <c r="S803" s="43">
        <f>IF($A803=1,IF($R803=1,N($M803),0),"")</f>
        <v/>
      </c>
      <c r="T803" s="43">
        <f>IF($A803=1,IF($R803=1,N($N803),0),"")</f>
        <v/>
      </c>
      <c r="U803" s="32">
        <f>IF($A803=1,YEAR($D803)*100+MONTH($D803),"")</f>
        <v/>
      </c>
      <c r="V803" s="32">
        <f>IF($A803=1,IF(COUNTIF(COA!$A:$A,$G803)=0,0,INDEX(COA!$H:$H,MATCH($G803,COA!$A:$A,0))),"")</f>
        <v/>
      </c>
      <c r="W803" s="32">
        <f>IF($A803=1,"","")</f>
        <v/>
      </c>
      <c r="X803" s="32">
        <f>IF($A803=1,IF($R803=1,"",IF($O803=ST_POST,IF($P803&lt;&gt;"",$P803,"حساب غير صالح أو غير نشط"),IF($O803=ST_REV,"معكوس: لا أثر على الدفاتر",IF($O803=ST_CANC,"ملغى",IF($O803=ST_APPR,"معتمد ولم يُرحَّل","مسودة"))))),"")</f>
        <v/>
      </c>
      <c r="Y803" s="32">
        <f>IF($A803=1,IF(AND($R803=1,OR(LG_Acct="",$G803=LG_Acct),OR(LG_Party="",$K803=LG_Party),OR(LG_Loc="ALL",$I803=LG_Loc),OR(LG_CC="ALL",$J803=LG_CC),$D803&gt;=LG_From,$D803&lt;=LG_To),$D803+ROW()/1000000,""),"")</f>
        <v/>
      </c>
      <c r="Z803" s="32">
        <f>IF($A803=1,IF(Platform_Settlements!$M16="","",Platform_Settlements!$M16),"")</f>
        <v/>
      </c>
      <c r="AA803" s="32">
        <f>IF($A803=1,IF(Platform_Settlements!$N16="","",Platform_Settlements!$N16),"")</f>
        <v/>
      </c>
      <c r="AB803" s="32">
        <f>IF($A803=1,IF(Platform_Settlements!$O16="","",Platform_Settlements!$O16),"")</f>
        <v/>
      </c>
      <c r="AC803" s="32">
        <f>IF($A803=1,IF(Platform_Settlements!$P16="","",Platform_Settlements!$P16),"")</f>
        <v/>
      </c>
      <c r="AD803" s="32">
        <f>IF($A803=1,IF(Platform_Settlements!$Q16="","",Platform_Settlements!$Q16),"")</f>
        <v/>
      </c>
      <c r="AE803" s="32">
        <f>IF($A803=1,0,"")</f>
        <v/>
      </c>
      <c r="AF803" s="32" t="inlineStr"/>
    </row>
    <row r="804">
      <c r="A804" s="32">
        <f>IF(AND(Platform_Settlements!$X16=1,N(Platform_Settlements!$G16)&gt;0),1,0)</f>
        <v/>
      </c>
      <c r="B804" s="32">
        <f>IF($A804=1,$E804&amp;"/6","")</f>
        <v/>
      </c>
      <c r="C804" s="32">
        <f>IF($A804=1,"J-"&amp;Platform_Settlements!$A16,"")</f>
        <v/>
      </c>
      <c r="D804" s="33">
        <f>IF($A804=1,Platform_Settlements!$B16,"")</f>
        <v/>
      </c>
      <c r="E804" s="32">
        <f>IF($A804=1,IF(Platform_Settlements!$A16="","",Platform_Settlements!$A16),"")</f>
        <v/>
      </c>
      <c r="F804" s="32">
        <f>IF($A804=1,"PLT","")</f>
        <v/>
      </c>
      <c r="G804" s="32">
        <f>IF($A804=1,IF(Platform_Settlements!$U16="","",Platform_Settlements!$U16),"")</f>
        <v/>
      </c>
      <c r="H804" s="32">
        <f>IF($A804=1,IF(COUNTIF(COA!$A:$A,$G804)=0,"حساب غير معرف",INDEX(COA!$B:$B,MATCH($G804,COA!$A:$A,0))),"")</f>
        <v/>
      </c>
      <c r="I804" s="32">
        <f>IF($A804=1,IF(Platform_Settlements!$D16="","",Platform_Settlements!$D16),"")</f>
        <v/>
      </c>
      <c r="J804" s="32">
        <f>IF($A804=1,"CC00","")</f>
        <v/>
      </c>
      <c r="K804" s="32">
        <f>IF($A804=1,"-","")</f>
        <v/>
      </c>
      <c r="L804" s="32">
        <f>IF($A804=1,"تخفيض مستحقات المنصة/البطاقات","")</f>
        <v/>
      </c>
      <c r="M804" s="43">
        <f>IF($A804=1,0,"")</f>
        <v/>
      </c>
      <c r="N804" s="43">
        <f>IF($A804=1,Platform_Settlements!$G16,"")</f>
        <v/>
      </c>
      <c r="O804" s="32">
        <f>IF($A804=1,Platform_Settlements!$L16,"")</f>
        <v/>
      </c>
      <c r="P804" s="32">
        <f>IF($A804=1,IF(Platform_Settlements!$Y16="","",Platform_Settlements!$Y16),"")</f>
        <v/>
      </c>
      <c r="Q804" s="32">
        <f>IF($A804=1,Platform_Settlements!$AA16,"")</f>
        <v/>
      </c>
      <c r="R804" s="32">
        <f>IF($A804=1,IF(AND($Q804=1,COUNTIFS(COA!$A:$A,$G804,COA!$R:$R,1)=1),1,0),"")</f>
        <v/>
      </c>
      <c r="S804" s="43">
        <f>IF($A804=1,IF($R804=1,N($M804),0),"")</f>
        <v/>
      </c>
      <c r="T804" s="43">
        <f>IF($A804=1,IF($R804=1,N($N804),0),"")</f>
        <v/>
      </c>
      <c r="U804" s="32">
        <f>IF($A804=1,YEAR($D804)*100+MONTH($D804),"")</f>
        <v/>
      </c>
      <c r="V804" s="32">
        <f>IF($A804=1,IF(COUNTIF(COA!$A:$A,$G804)=0,0,INDEX(COA!$H:$H,MATCH($G804,COA!$A:$A,0))),"")</f>
        <v/>
      </c>
      <c r="W804" s="32">
        <f>IF($A804=1,"","")</f>
        <v/>
      </c>
      <c r="X804" s="32">
        <f>IF($A804=1,IF($R804=1,"",IF($O804=ST_POST,IF($P804&lt;&gt;"",$P804,"حساب غير صالح أو غير نشط"),IF($O804=ST_REV,"معكوس: لا أثر على الدفاتر",IF($O804=ST_CANC,"ملغى",IF($O804=ST_APPR,"معتمد ولم يُرحَّل","مسودة"))))),"")</f>
        <v/>
      </c>
      <c r="Y804" s="32">
        <f>IF($A804=1,IF(AND($R804=1,OR(LG_Acct="",$G804=LG_Acct),OR(LG_Party="",$K804=LG_Party),OR(LG_Loc="ALL",$I804=LG_Loc),OR(LG_CC="ALL",$J804=LG_CC),$D804&gt;=LG_From,$D804&lt;=LG_To),$D804+ROW()/1000000,""),"")</f>
        <v/>
      </c>
      <c r="Z804" s="32">
        <f>IF($A804=1,IF(Platform_Settlements!$M16="","",Platform_Settlements!$M16),"")</f>
        <v/>
      </c>
      <c r="AA804" s="32">
        <f>IF($A804=1,IF(Platform_Settlements!$N16="","",Platform_Settlements!$N16),"")</f>
        <v/>
      </c>
      <c r="AB804" s="32">
        <f>IF($A804=1,IF(Platform_Settlements!$O16="","",Platform_Settlements!$O16),"")</f>
        <v/>
      </c>
      <c r="AC804" s="32">
        <f>IF($A804=1,IF(Platform_Settlements!$P16="","",Platform_Settlements!$P16),"")</f>
        <v/>
      </c>
      <c r="AD804" s="32">
        <f>IF($A804=1,IF(Platform_Settlements!$Q16="","",Platform_Settlements!$Q16),"")</f>
        <v/>
      </c>
      <c r="AE804" s="32">
        <f>IF($A804=1,0,"")</f>
        <v/>
      </c>
      <c r="AF804" s="32" t="inlineStr"/>
    </row>
    <row r="805">
      <c r="A805" s="32">
        <f>IF(AND(Platform_Settlements!$X17=1,N(Platform_Settlements!$J17)&gt;0),1,0)</f>
        <v/>
      </c>
      <c r="B805" s="32">
        <f>IF($A805=1,$E805&amp;"/1","")</f>
        <v/>
      </c>
      <c r="C805" s="32">
        <f>IF($A805=1,"J-"&amp;Platform_Settlements!$A17,"")</f>
        <v/>
      </c>
      <c r="D805" s="33">
        <f>IF($A805=1,Platform_Settlements!$B17,"")</f>
        <v/>
      </c>
      <c r="E805" s="32">
        <f>IF($A805=1,IF(Platform_Settlements!$A17="","",Platform_Settlements!$A17),"")</f>
        <v/>
      </c>
      <c r="F805" s="32">
        <f>IF($A805=1,"PLT","")</f>
        <v/>
      </c>
      <c r="G805" s="32">
        <f>IF($A805=1,IF(Platform_Settlements!$W17="","",Platform_Settlements!$W17),"")</f>
        <v/>
      </c>
      <c r="H805" s="32">
        <f>IF($A805=1,IF(COUNTIF(COA!$A:$A,$G805)=0,"حساب غير معرف",INDEX(COA!$B:$B,MATCH($G805,COA!$A:$A,0))),"")</f>
        <v/>
      </c>
      <c r="I805" s="32">
        <f>IF($A805=1,IF(Platform_Settlements!$D17="","",Platform_Settlements!$D17),"")</f>
        <v/>
      </c>
      <c r="J805" s="32">
        <f>IF($A805=1,"CC00","")</f>
        <v/>
      </c>
      <c r="K805" s="32">
        <f>IF($A805=1,"-","")</f>
        <v/>
      </c>
      <c r="L805" s="32">
        <f>IF($A805=1,"استلام تسوية منصة/بطاقات","")</f>
        <v/>
      </c>
      <c r="M805" s="43">
        <f>IF($A805=1,Platform_Settlements!$J17,"")</f>
        <v/>
      </c>
      <c r="N805" s="43">
        <f>IF($A805=1,0,"")</f>
        <v/>
      </c>
      <c r="O805" s="32">
        <f>IF($A805=1,Platform_Settlements!$L17,"")</f>
        <v/>
      </c>
      <c r="P805" s="32">
        <f>IF($A805=1,IF(Platform_Settlements!$Y17="","",Platform_Settlements!$Y17),"")</f>
        <v/>
      </c>
      <c r="Q805" s="32">
        <f>IF($A805=1,Platform_Settlements!$AA17,"")</f>
        <v/>
      </c>
      <c r="R805" s="32">
        <f>IF($A805=1,IF(AND($Q805=1,COUNTIFS(COA!$A:$A,$G805,COA!$R:$R,1)=1),1,0),"")</f>
        <v/>
      </c>
      <c r="S805" s="43">
        <f>IF($A805=1,IF($R805=1,N($M805),0),"")</f>
        <v/>
      </c>
      <c r="T805" s="43">
        <f>IF($A805=1,IF($R805=1,N($N805),0),"")</f>
        <v/>
      </c>
      <c r="U805" s="32">
        <f>IF($A805=1,YEAR($D805)*100+MONTH($D805),"")</f>
        <v/>
      </c>
      <c r="V805" s="32">
        <f>IF($A805=1,IF(COUNTIF(COA!$A:$A,$G805)=0,0,INDEX(COA!$H:$H,MATCH($G805,COA!$A:$A,0))),"")</f>
        <v/>
      </c>
      <c r="W805" s="32">
        <f>IF($A805=1,"OPERATING","")</f>
        <v/>
      </c>
      <c r="X805" s="32">
        <f>IF($A805=1,IF($R805=1,"",IF($O805=ST_POST,IF($P805&lt;&gt;"",$P805,"حساب غير صالح أو غير نشط"),IF($O805=ST_REV,"معكوس: لا أثر على الدفاتر",IF($O805=ST_CANC,"ملغى",IF($O805=ST_APPR,"معتمد ولم يُرحَّل","مسودة"))))),"")</f>
        <v/>
      </c>
      <c r="Y805" s="32">
        <f>IF($A805=1,IF(AND($R805=1,OR(LG_Acct="",$G805=LG_Acct),OR(LG_Party="",$K805=LG_Party),OR(LG_Loc="ALL",$I805=LG_Loc),OR(LG_CC="ALL",$J805=LG_CC),$D805&gt;=LG_From,$D805&lt;=LG_To),$D805+ROW()/1000000,""),"")</f>
        <v/>
      </c>
      <c r="Z805" s="32">
        <f>IF($A805=1,IF(Platform_Settlements!$M17="","",Platform_Settlements!$M17),"")</f>
        <v/>
      </c>
      <c r="AA805" s="32">
        <f>IF($A805=1,IF(Platform_Settlements!$N17="","",Platform_Settlements!$N17),"")</f>
        <v/>
      </c>
      <c r="AB805" s="32">
        <f>IF($A805=1,IF(Platform_Settlements!$O17="","",Platform_Settlements!$O17),"")</f>
        <v/>
      </c>
      <c r="AC805" s="32">
        <f>IF($A805=1,IF(Platform_Settlements!$P17="","",Platform_Settlements!$P17),"")</f>
        <v/>
      </c>
      <c r="AD805" s="32">
        <f>IF($A805=1,IF(Platform_Settlements!$Q17="","",Platform_Settlements!$Q17),"")</f>
        <v/>
      </c>
      <c r="AE805" s="32">
        <f>IF($A805=1,0,"")</f>
        <v/>
      </c>
      <c r="AF805" s="32" t="inlineStr"/>
    </row>
    <row r="806">
      <c r="A806" s="32">
        <f>IF(AND(Platform_Settlements!$X17=1,N(Platform_Settlements!$H17)&gt;0),1,0)</f>
        <v/>
      </c>
      <c r="B806" s="32">
        <f>IF($A806=1,$E806&amp;"/2","")</f>
        <v/>
      </c>
      <c r="C806" s="32">
        <f>IF($A806=1,"J-"&amp;Platform_Settlements!$A17,"")</f>
        <v/>
      </c>
      <c r="D806" s="33">
        <f>IF($A806=1,Platform_Settlements!$B17,"")</f>
        <v/>
      </c>
      <c r="E806" s="32">
        <f>IF($A806=1,IF(Platform_Settlements!$A17="","",Platform_Settlements!$A17),"")</f>
        <v/>
      </c>
      <c r="F806" s="32">
        <f>IF($A806=1,"PLT","")</f>
        <v/>
      </c>
      <c r="G806" s="32">
        <f>IF($A806=1,IF(Platform_Settlements!$V17="","",Platform_Settlements!$V17),"")</f>
        <v/>
      </c>
      <c r="H806" s="32">
        <f>IF($A806=1,IF(COUNTIF(COA!$A:$A,$G806)=0,"حساب غير معرف",INDEX(COA!$B:$B,MATCH($G806,COA!$A:$A,0))),"")</f>
        <v/>
      </c>
      <c r="I806" s="32">
        <f>IF($A806=1,IF(Platform_Settlements!$D17="","",Platform_Settlements!$D17),"")</f>
        <v/>
      </c>
      <c r="J806" s="32">
        <f>IF($A806=1,"CC30","")</f>
        <v/>
      </c>
      <c r="K806" s="32">
        <f>IF($A806=1,"-","")</f>
        <v/>
      </c>
      <c r="L806" s="32">
        <f>IF($A806=1,"عمولة المنصة/رسوم البطاقات","")</f>
        <v/>
      </c>
      <c r="M806" s="43">
        <f>IF($A806=1,Platform_Settlements!$H17,"")</f>
        <v/>
      </c>
      <c r="N806" s="43">
        <f>IF($A806=1,0,"")</f>
        <v/>
      </c>
      <c r="O806" s="32">
        <f>IF($A806=1,Platform_Settlements!$L17,"")</f>
        <v/>
      </c>
      <c r="P806" s="32">
        <f>IF($A806=1,IF(Platform_Settlements!$Y17="","",Platform_Settlements!$Y17),"")</f>
        <v/>
      </c>
      <c r="Q806" s="32">
        <f>IF($A806=1,Platform_Settlements!$AA17,"")</f>
        <v/>
      </c>
      <c r="R806" s="32">
        <f>IF($A806=1,IF(AND($Q806=1,COUNTIFS(COA!$A:$A,$G806,COA!$R:$R,1)=1),1,0),"")</f>
        <v/>
      </c>
      <c r="S806" s="43">
        <f>IF($A806=1,IF($R806=1,N($M806),0),"")</f>
        <v/>
      </c>
      <c r="T806" s="43">
        <f>IF($A806=1,IF($R806=1,N($N806),0),"")</f>
        <v/>
      </c>
      <c r="U806" s="32">
        <f>IF($A806=1,YEAR($D806)*100+MONTH($D806),"")</f>
        <v/>
      </c>
      <c r="V806" s="32">
        <f>IF($A806=1,IF(COUNTIF(COA!$A:$A,$G806)=0,0,INDEX(COA!$H:$H,MATCH($G806,COA!$A:$A,0))),"")</f>
        <v/>
      </c>
      <c r="W806" s="32">
        <f>IF($A806=1,"","")</f>
        <v/>
      </c>
      <c r="X806" s="32">
        <f>IF($A806=1,IF($R806=1,"",IF($O806=ST_POST,IF($P806&lt;&gt;"",$P806,"حساب غير صالح أو غير نشط"),IF($O806=ST_REV,"معكوس: لا أثر على الدفاتر",IF($O806=ST_CANC,"ملغى",IF($O806=ST_APPR,"معتمد ولم يُرحَّل","مسودة"))))),"")</f>
        <v/>
      </c>
      <c r="Y806" s="32">
        <f>IF($A806=1,IF(AND($R806=1,OR(LG_Acct="",$G806=LG_Acct),OR(LG_Party="",$K806=LG_Party),OR(LG_Loc="ALL",$I806=LG_Loc),OR(LG_CC="ALL",$J806=LG_CC),$D806&gt;=LG_From,$D806&lt;=LG_To),$D806+ROW()/1000000,""),"")</f>
        <v/>
      </c>
      <c r="Z806" s="32">
        <f>IF($A806=1,IF(Platform_Settlements!$M17="","",Platform_Settlements!$M17),"")</f>
        <v/>
      </c>
      <c r="AA806" s="32">
        <f>IF($A806=1,IF(Platform_Settlements!$N17="","",Platform_Settlements!$N17),"")</f>
        <v/>
      </c>
      <c r="AB806" s="32">
        <f>IF($A806=1,IF(Platform_Settlements!$O17="","",Platform_Settlements!$O17),"")</f>
        <v/>
      </c>
      <c r="AC806" s="32">
        <f>IF($A806=1,IF(Platform_Settlements!$P17="","",Platform_Settlements!$P17),"")</f>
        <v/>
      </c>
      <c r="AD806" s="32">
        <f>IF($A806=1,IF(Platform_Settlements!$Q17="","",Platform_Settlements!$Q17),"")</f>
        <v/>
      </c>
      <c r="AE806" s="32">
        <f>IF($A806=1,0,"")</f>
        <v/>
      </c>
      <c r="AF806" s="32" t="inlineStr"/>
    </row>
    <row r="807">
      <c r="A807" s="32">
        <f>IF(AND(Platform_Settlements!$X17=1,N(Platform_Settlements!$I17)&gt;0),1,0)</f>
        <v/>
      </c>
      <c r="B807" s="32">
        <f>IF($A807=1,$E807&amp;"/3","")</f>
        <v/>
      </c>
      <c r="C807" s="32">
        <f>IF($A807=1,"J-"&amp;Platform_Settlements!$A17,"")</f>
        <v/>
      </c>
      <c r="D807" s="33">
        <f>IF($A807=1,Platform_Settlements!$B17,"")</f>
        <v/>
      </c>
      <c r="E807" s="32">
        <f>IF($A807=1,IF(Platform_Settlements!$A17="","",Platform_Settlements!$A17),"")</f>
        <v/>
      </c>
      <c r="F807" s="32">
        <f>IF($A807=1,"PLT","")</f>
        <v/>
      </c>
      <c r="G807" s="32">
        <f>IF($A807=1,ACC_PLT_OTHER,"")</f>
        <v/>
      </c>
      <c r="H807" s="32">
        <f>IF($A807=1,IF(COUNTIF(COA!$A:$A,$G807)=0,"حساب غير معرف",INDEX(COA!$B:$B,MATCH($G807,COA!$A:$A,0))),"")</f>
        <v/>
      </c>
      <c r="I807" s="32">
        <f>IF($A807=1,IF(Platform_Settlements!$D17="","",Platform_Settlements!$D17),"")</f>
        <v/>
      </c>
      <c r="J807" s="32">
        <f>IF($A807=1,"CC30","")</f>
        <v/>
      </c>
      <c r="K807" s="32">
        <f>IF($A807=1,"-","")</f>
        <v/>
      </c>
      <c r="L807" s="32">
        <f>IF($A807=1,"خصومات/غرامات أخرى من المنصة","")</f>
        <v/>
      </c>
      <c r="M807" s="43">
        <f>IF($A807=1,Platform_Settlements!$I17,"")</f>
        <v/>
      </c>
      <c r="N807" s="43">
        <f>IF($A807=1,0,"")</f>
        <v/>
      </c>
      <c r="O807" s="32">
        <f>IF($A807=1,Platform_Settlements!$L17,"")</f>
        <v/>
      </c>
      <c r="P807" s="32">
        <f>IF($A807=1,IF(Platform_Settlements!$Y17="","",Platform_Settlements!$Y17),"")</f>
        <v/>
      </c>
      <c r="Q807" s="32">
        <f>IF($A807=1,Platform_Settlements!$AA17,"")</f>
        <v/>
      </c>
      <c r="R807" s="32">
        <f>IF($A807=1,IF(AND($Q807=1,COUNTIFS(COA!$A:$A,$G807,COA!$R:$R,1)=1),1,0),"")</f>
        <v/>
      </c>
      <c r="S807" s="43">
        <f>IF($A807=1,IF($R807=1,N($M807),0),"")</f>
        <v/>
      </c>
      <c r="T807" s="43">
        <f>IF($A807=1,IF($R807=1,N($N807),0),"")</f>
        <v/>
      </c>
      <c r="U807" s="32">
        <f>IF($A807=1,YEAR($D807)*100+MONTH($D807),"")</f>
        <v/>
      </c>
      <c r="V807" s="32">
        <f>IF($A807=1,IF(COUNTIF(COA!$A:$A,$G807)=0,0,INDEX(COA!$H:$H,MATCH($G807,COA!$A:$A,0))),"")</f>
        <v/>
      </c>
      <c r="W807" s="32">
        <f>IF($A807=1,"","")</f>
        <v/>
      </c>
      <c r="X807" s="32">
        <f>IF($A807=1,IF($R807=1,"",IF($O807=ST_POST,IF($P807&lt;&gt;"",$P807,"حساب غير صالح أو غير نشط"),IF($O807=ST_REV,"معكوس: لا أثر على الدفاتر",IF($O807=ST_CANC,"ملغى",IF($O807=ST_APPR,"معتمد ولم يُرحَّل","مسودة"))))),"")</f>
        <v/>
      </c>
      <c r="Y807" s="32">
        <f>IF($A807=1,IF(AND($R807=1,OR(LG_Acct="",$G807=LG_Acct),OR(LG_Party="",$K807=LG_Party),OR(LG_Loc="ALL",$I807=LG_Loc),OR(LG_CC="ALL",$J807=LG_CC),$D807&gt;=LG_From,$D807&lt;=LG_To),$D807+ROW()/1000000,""),"")</f>
        <v/>
      </c>
      <c r="Z807" s="32">
        <f>IF($A807=1,IF(Platform_Settlements!$M17="","",Platform_Settlements!$M17),"")</f>
        <v/>
      </c>
      <c r="AA807" s="32">
        <f>IF($A807=1,IF(Platform_Settlements!$N17="","",Platform_Settlements!$N17),"")</f>
        <v/>
      </c>
      <c r="AB807" s="32">
        <f>IF($A807=1,IF(Platform_Settlements!$O17="","",Platform_Settlements!$O17),"")</f>
        <v/>
      </c>
      <c r="AC807" s="32">
        <f>IF($A807=1,IF(Platform_Settlements!$P17="","",Platform_Settlements!$P17),"")</f>
        <v/>
      </c>
      <c r="AD807" s="32">
        <f>IF($A807=1,IF(Platform_Settlements!$Q17="","",Platform_Settlements!$Q17),"")</f>
        <v/>
      </c>
      <c r="AE807" s="32">
        <f>IF($A807=1,0,"")</f>
        <v/>
      </c>
      <c r="AF807" s="32" t="inlineStr"/>
    </row>
    <row r="808">
      <c r="A808" s="32">
        <f>IF(AND(Platform_Settlements!$X17=1,N(Platform_Settlements!$T17)&gt;0),1,0)</f>
        <v/>
      </c>
      <c r="B808" s="32">
        <f>IF($A808=1,$E808&amp;"/4","")</f>
        <v/>
      </c>
      <c r="C808" s="32">
        <f>IF($A808=1,"J-"&amp;Platform_Settlements!$A17,"")</f>
        <v/>
      </c>
      <c r="D808" s="33">
        <f>IF($A808=1,Platform_Settlements!$B17,"")</f>
        <v/>
      </c>
      <c r="E808" s="32">
        <f>IF($A808=1,IF(Platform_Settlements!$A17="","",Platform_Settlements!$A17),"")</f>
        <v/>
      </c>
      <c r="F808" s="32">
        <f>IF($A808=1,"PLT","")</f>
        <v/>
      </c>
      <c r="G808" s="32">
        <f>IF($A808=1,ACC_PLT_DIFF,"")</f>
        <v/>
      </c>
      <c r="H808" s="32">
        <f>IF($A808=1,IF(COUNTIF(COA!$A:$A,$G808)=0,"حساب غير معرف",INDEX(COA!$B:$B,MATCH($G808,COA!$A:$A,0))),"")</f>
        <v/>
      </c>
      <c r="I808" s="32">
        <f>IF($A808=1,IF(Platform_Settlements!$D17="","",Platform_Settlements!$D17),"")</f>
        <v/>
      </c>
      <c r="J808" s="32">
        <f>IF($A808=1,"CC00","")</f>
        <v/>
      </c>
      <c r="K808" s="32">
        <f>IF($A808=1,"-","")</f>
        <v/>
      </c>
      <c r="L808" s="32">
        <f>IF($A808=1,"فرق تسوية منصة (نقص) تحت المراجعة","")</f>
        <v/>
      </c>
      <c r="M808" s="43">
        <f>IF($A808=1,Platform_Settlements!$T17,"")</f>
        <v/>
      </c>
      <c r="N808" s="43">
        <f>IF($A808=1,0,"")</f>
        <v/>
      </c>
      <c r="O808" s="32">
        <f>IF($A808=1,Platform_Settlements!$L17,"")</f>
        <v/>
      </c>
      <c r="P808" s="32">
        <f>IF($A808=1,IF(Platform_Settlements!$Y17="","",Platform_Settlements!$Y17),"")</f>
        <v/>
      </c>
      <c r="Q808" s="32">
        <f>IF($A808=1,Platform_Settlements!$AA17,"")</f>
        <v/>
      </c>
      <c r="R808" s="32">
        <f>IF($A808=1,IF(AND($Q808=1,COUNTIFS(COA!$A:$A,$G808,COA!$R:$R,1)=1),1,0),"")</f>
        <v/>
      </c>
      <c r="S808" s="43">
        <f>IF($A808=1,IF($R808=1,N($M808),0),"")</f>
        <v/>
      </c>
      <c r="T808" s="43">
        <f>IF($A808=1,IF($R808=1,N($N808),0),"")</f>
        <v/>
      </c>
      <c r="U808" s="32">
        <f>IF($A808=1,YEAR($D808)*100+MONTH($D808),"")</f>
        <v/>
      </c>
      <c r="V808" s="32">
        <f>IF($A808=1,IF(COUNTIF(COA!$A:$A,$G808)=0,0,INDEX(COA!$H:$H,MATCH($G808,COA!$A:$A,0))),"")</f>
        <v/>
      </c>
      <c r="W808" s="32">
        <f>IF($A808=1,"","")</f>
        <v/>
      </c>
      <c r="X808" s="32">
        <f>IF($A808=1,IF($R808=1,"",IF($O808=ST_POST,IF($P808&lt;&gt;"",$P808,"حساب غير صالح أو غير نشط"),IF($O808=ST_REV,"معكوس: لا أثر على الدفاتر",IF($O808=ST_CANC,"ملغى",IF($O808=ST_APPR,"معتمد ولم يُرحَّل","مسودة"))))),"")</f>
        <v/>
      </c>
      <c r="Y808" s="32">
        <f>IF($A808=1,IF(AND($R808=1,OR(LG_Acct="",$G808=LG_Acct),OR(LG_Party="",$K808=LG_Party),OR(LG_Loc="ALL",$I808=LG_Loc),OR(LG_CC="ALL",$J808=LG_CC),$D808&gt;=LG_From,$D808&lt;=LG_To),$D808+ROW()/1000000,""),"")</f>
        <v/>
      </c>
      <c r="Z808" s="32">
        <f>IF($A808=1,IF(Platform_Settlements!$M17="","",Platform_Settlements!$M17),"")</f>
        <v/>
      </c>
      <c r="AA808" s="32">
        <f>IF($A808=1,IF(Platform_Settlements!$N17="","",Platform_Settlements!$N17),"")</f>
        <v/>
      </c>
      <c r="AB808" s="32">
        <f>IF($A808=1,IF(Platform_Settlements!$O17="","",Platform_Settlements!$O17),"")</f>
        <v/>
      </c>
      <c r="AC808" s="32">
        <f>IF($A808=1,IF(Platform_Settlements!$P17="","",Platform_Settlements!$P17),"")</f>
        <v/>
      </c>
      <c r="AD808" s="32">
        <f>IF($A808=1,IF(Platform_Settlements!$Q17="","",Platform_Settlements!$Q17),"")</f>
        <v/>
      </c>
      <c r="AE808" s="32">
        <f>IF($A808=1,0,"")</f>
        <v/>
      </c>
      <c r="AF808" s="32" t="inlineStr"/>
    </row>
    <row r="809">
      <c r="A809" s="32">
        <f>IF(AND(Platform_Settlements!$X17=1,N(Platform_Settlements!$T17)&lt;0),1,0)</f>
        <v/>
      </c>
      <c r="B809" s="32">
        <f>IF($A809=1,$E809&amp;"/5","")</f>
        <v/>
      </c>
      <c r="C809" s="32">
        <f>IF($A809=1,"J-"&amp;Platform_Settlements!$A17,"")</f>
        <v/>
      </c>
      <c r="D809" s="33">
        <f>IF($A809=1,Platform_Settlements!$B17,"")</f>
        <v/>
      </c>
      <c r="E809" s="32">
        <f>IF($A809=1,IF(Platform_Settlements!$A17="","",Platform_Settlements!$A17),"")</f>
        <v/>
      </c>
      <c r="F809" s="32">
        <f>IF($A809=1,"PLT","")</f>
        <v/>
      </c>
      <c r="G809" s="32">
        <f>IF($A809=1,ACC_PLT_DIFF,"")</f>
        <v/>
      </c>
      <c r="H809" s="32">
        <f>IF($A809=1,IF(COUNTIF(COA!$A:$A,$G809)=0,"حساب غير معرف",INDEX(COA!$B:$B,MATCH($G809,COA!$A:$A,0))),"")</f>
        <v/>
      </c>
      <c r="I809" s="32">
        <f>IF($A809=1,IF(Platform_Settlements!$D17="","",Platform_Settlements!$D17),"")</f>
        <v/>
      </c>
      <c r="J809" s="32">
        <f>IF($A809=1,"CC00","")</f>
        <v/>
      </c>
      <c r="K809" s="32">
        <f>IF($A809=1,"-","")</f>
        <v/>
      </c>
      <c r="L809" s="32">
        <f>IF($A809=1,"فرق تسوية منصة (زيادة) تحت المراجعة","")</f>
        <v/>
      </c>
      <c r="M809" s="43">
        <f>IF($A809=1,0,"")</f>
        <v/>
      </c>
      <c r="N809" s="43">
        <f>IF($A809=1,-Platform_Settlements!$T17,"")</f>
        <v/>
      </c>
      <c r="O809" s="32">
        <f>IF($A809=1,Platform_Settlements!$L17,"")</f>
        <v/>
      </c>
      <c r="P809" s="32">
        <f>IF($A809=1,IF(Platform_Settlements!$Y17="","",Platform_Settlements!$Y17),"")</f>
        <v/>
      </c>
      <c r="Q809" s="32">
        <f>IF($A809=1,Platform_Settlements!$AA17,"")</f>
        <v/>
      </c>
      <c r="R809" s="32">
        <f>IF($A809=1,IF(AND($Q809=1,COUNTIFS(COA!$A:$A,$G809,COA!$R:$R,1)=1),1,0),"")</f>
        <v/>
      </c>
      <c r="S809" s="43">
        <f>IF($A809=1,IF($R809=1,N($M809),0),"")</f>
        <v/>
      </c>
      <c r="T809" s="43">
        <f>IF($A809=1,IF($R809=1,N($N809),0),"")</f>
        <v/>
      </c>
      <c r="U809" s="32">
        <f>IF($A809=1,YEAR($D809)*100+MONTH($D809),"")</f>
        <v/>
      </c>
      <c r="V809" s="32">
        <f>IF($A809=1,IF(COUNTIF(COA!$A:$A,$G809)=0,0,INDEX(COA!$H:$H,MATCH($G809,COA!$A:$A,0))),"")</f>
        <v/>
      </c>
      <c r="W809" s="32">
        <f>IF($A809=1,"","")</f>
        <v/>
      </c>
      <c r="X809" s="32">
        <f>IF($A809=1,IF($R809=1,"",IF($O809=ST_POST,IF($P809&lt;&gt;"",$P809,"حساب غير صالح أو غير نشط"),IF($O809=ST_REV,"معكوس: لا أثر على الدفاتر",IF($O809=ST_CANC,"ملغى",IF($O809=ST_APPR,"معتمد ولم يُرحَّل","مسودة"))))),"")</f>
        <v/>
      </c>
      <c r="Y809" s="32">
        <f>IF($A809=1,IF(AND($R809=1,OR(LG_Acct="",$G809=LG_Acct),OR(LG_Party="",$K809=LG_Party),OR(LG_Loc="ALL",$I809=LG_Loc),OR(LG_CC="ALL",$J809=LG_CC),$D809&gt;=LG_From,$D809&lt;=LG_To),$D809+ROW()/1000000,""),"")</f>
        <v/>
      </c>
      <c r="Z809" s="32">
        <f>IF($A809=1,IF(Platform_Settlements!$M17="","",Platform_Settlements!$M17),"")</f>
        <v/>
      </c>
      <c r="AA809" s="32">
        <f>IF($A809=1,IF(Platform_Settlements!$N17="","",Platform_Settlements!$N17),"")</f>
        <v/>
      </c>
      <c r="AB809" s="32">
        <f>IF($A809=1,IF(Platform_Settlements!$O17="","",Platform_Settlements!$O17),"")</f>
        <v/>
      </c>
      <c r="AC809" s="32">
        <f>IF($A809=1,IF(Platform_Settlements!$P17="","",Platform_Settlements!$P17),"")</f>
        <v/>
      </c>
      <c r="AD809" s="32">
        <f>IF($A809=1,IF(Platform_Settlements!$Q17="","",Platform_Settlements!$Q17),"")</f>
        <v/>
      </c>
      <c r="AE809" s="32">
        <f>IF($A809=1,0,"")</f>
        <v/>
      </c>
      <c r="AF809" s="32" t="inlineStr"/>
    </row>
    <row r="810">
      <c r="A810" s="32">
        <f>IF(AND(Platform_Settlements!$X17=1,N(Platform_Settlements!$G17)&gt;0),1,0)</f>
        <v/>
      </c>
      <c r="B810" s="32">
        <f>IF($A810=1,$E810&amp;"/6","")</f>
        <v/>
      </c>
      <c r="C810" s="32">
        <f>IF($A810=1,"J-"&amp;Platform_Settlements!$A17,"")</f>
        <v/>
      </c>
      <c r="D810" s="33">
        <f>IF($A810=1,Platform_Settlements!$B17,"")</f>
        <v/>
      </c>
      <c r="E810" s="32">
        <f>IF($A810=1,IF(Platform_Settlements!$A17="","",Platform_Settlements!$A17),"")</f>
        <v/>
      </c>
      <c r="F810" s="32">
        <f>IF($A810=1,"PLT","")</f>
        <v/>
      </c>
      <c r="G810" s="32">
        <f>IF($A810=1,IF(Platform_Settlements!$U17="","",Platform_Settlements!$U17),"")</f>
        <v/>
      </c>
      <c r="H810" s="32">
        <f>IF($A810=1,IF(COUNTIF(COA!$A:$A,$G810)=0,"حساب غير معرف",INDEX(COA!$B:$B,MATCH($G810,COA!$A:$A,0))),"")</f>
        <v/>
      </c>
      <c r="I810" s="32">
        <f>IF($A810=1,IF(Platform_Settlements!$D17="","",Platform_Settlements!$D17),"")</f>
        <v/>
      </c>
      <c r="J810" s="32">
        <f>IF($A810=1,"CC00","")</f>
        <v/>
      </c>
      <c r="K810" s="32">
        <f>IF($A810=1,"-","")</f>
        <v/>
      </c>
      <c r="L810" s="32">
        <f>IF($A810=1,"تخفيض مستحقات المنصة/البطاقات","")</f>
        <v/>
      </c>
      <c r="M810" s="43">
        <f>IF($A810=1,0,"")</f>
        <v/>
      </c>
      <c r="N810" s="43">
        <f>IF($A810=1,Platform_Settlements!$G17,"")</f>
        <v/>
      </c>
      <c r="O810" s="32">
        <f>IF($A810=1,Platform_Settlements!$L17,"")</f>
        <v/>
      </c>
      <c r="P810" s="32">
        <f>IF($A810=1,IF(Platform_Settlements!$Y17="","",Platform_Settlements!$Y17),"")</f>
        <v/>
      </c>
      <c r="Q810" s="32">
        <f>IF($A810=1,Platform_Settlements!$AA17,"")</f>
        <v/>
      </c>
      <c r="R810" s="32">
        <f>IF($A810=1,IF(AND($Q810=1,COUNTIFS(COA!$A:$A,$G810,COA!$R:$R,1)=1),1,0),"")</f>
        <v/>
      </c>
      <c r="S810" s="43">
        <f>IF($A810=1,IF($R810=1,N($M810),0),"")</f>
        <v/>
      </c>
      <c r="T810" s="43">
        <f>IF($A810=1,IF($R810=1,N($N810),0),"")</f>
        <v/>
      </c>
      <c r="U810" s="32">
        <f>IF($A810=1,YEAR($D810)*100+MONTH($D810),"")</f>
        <v/>
      </c>
      <c r="V810" s="32">
        <f>IF($A810=1,IF(COUNTIF(COA!$A:$A,$G810)=0,0,INDEX(COA!$H:$H,MATCH($G810,COA!$A:$A,0))),"")</f>
        <v/>
      </c>
      <c r="W810" s="32">
        <f>IF($A810=1,"","")</f>
        <v/>
      </c>
      <c r="X810" s="32">
        <f>IF($A810=1,IF($R810=1,"",IF($O810=ST_POST,IF($P810&lt;&gt;"",$P810,"حساب غير صالح أو غير نشط"),IF($O810=ST_REV,"معكوس: لا أثر على الدفاتر",IF($O810=ST_CANC,"ملغى",IF($O810=ST_APPR,"معتمد ولم يُرحَّل","مسودة"))))),"")</f>
        <v/>
      </c>
      <c r="Y810" s="32">
        <f>IF($A810=1,IF(AND($R810=1,OR(LG_Acct="",$G810=LG_Acct),OR(LG_Party="",$K810=LG_Party),OR(LG_Loc="ALL",$I810=LG_Loc),OR(LG_CC="ALL",$J810=LG_CC),$D810&gt;=LG_From,$D810&lt;=LG_To),$D810+ROW()/1000000,""),"")</f>
        <v/>
      </c>
      <c r="Z810" s="32">
        <f>IF($A810=1,IF(Platform_Settlements!$M17="","",Platform_Settlements!$M17),"")</f>
        <v/>
      </c>
      <c r="AA810" s="32">
        <f>IF($A810=1,IF(Platform_Settlements!$N17="","",Platform_Settlements!$N17),"")</f>
        <v/>
      </c>
      <c r="AB810" s="32">
        <f>IF($A810=1,IF(Platform_Settlements!$O17="","",Platform_Settlements!$O17),"")</f>
        <v/>
      </c>
      <c r="AC810" s="32">
        <f>IF($A810=1,IF(Platform_Settlements!$P17="","",Platform_Settlements!$P17),"")</f>
        <v/>
      </c>
      <c r="AD810" s="32">
        <f>IF($A810=1,IF(Platform_Settlements!$Q17="","",Platform_Settlements!$Q17),"")</f>
        <v/>
      </c>
      <c r="AE810" s="32">
        <f>IF($A810=1,0,"")</f>
        <v/>
      </c>
      <c r="AF810" s="32" t="inlineStr"/>
    </row>
    <row r="811">
      <c r="A811" s="32">
        <f>IF(AND(Platform_Settlements!$X18=1,N(Platform_Settlements!$J18)&gt;0),1,0)</f>
        <v/>
      </c>
      <c r="B811" s="32">
        <f>IF($A811=1,$E811&amp;"/1","")</f>
        <v/>
      </c>
      <c r="C811" s="32">
        <f>IF($A811=1,"J-"&amp;Platform_Settlements!$A18,"")</f>
        <v/>
      </c>
      <c r="D811" s="33">
        <f>IF($A811=1,Platform_Settlements!$B18,"")</f>
        <v/>
      </c>
      <c r="E811" s="32">
        <f>IF($A811=1,IF(Platform_Settlements!$A18="","",Platform_Settlements!$A18),"")</f>
        <v/>
      </c>
      <c r="F811" s="32">
        <f>IF($A811=1,"PLT","")</f>
        <v/>
      </c>
      <c r="G811" s="32">
        <f>IF($A811=1,IF(Platform_Settlements!$W18="","",Platform_Settlements!$W18),"")</f>
        <v/>
      </c>
      <c r="H811" s="32">
        <f>IF($A811=1,IF(COUNTIF(COA!$A:$A,$G811)=0,"حساب غير معرف",INDEX(COA!$B:$B,MATCH($G811,COA!$A:$A,0))),"")</f>
        <v/>
      </c>
      <c r="I811" s="32">
        <f>IF($A811=1,IF(Platform_Settlements!$D18="","",Platform_Settlements!$D18),"")</f>
        <v/>
      </c>
      <c r="J811" s="32">
        <f>IF($A811=1,"CC00","")</f>
        <v/>
      </c>
      <c r="K811" s="32">
        <f>IF($A811=1,"-","")</f>
        <v/>
      </c>
      <c r="L811" s="32">
        <f>IF($A811=1,"استلام تسوية منصة/بطاقات","")</f>
        <v/>
      </c>
      <c r="M811" s="43">
        <f>IF($A811=1,Platform_Settlements!$J18,"")</f>
        <v/>
      </c>
      <c r="N811" s="43">
        <f>IF($A811=1,0,"")</f>
        <v/>
      </c>
      <c r="O811" s="32">
        <f>IF($A811=1,Platform_Settlements!$L18,"")</f>
        <v/>
      </c>
      <c r="P811" s="32">
        <f>IF($A811=1,IF(Platform_Settlements!$Y18="","",Platform_Settlements!$Y18),"")</f>
        <v/>
      </c>
      <c r="Q811" s="32">
        <f>IF($A811=1,Platform_Settlements!$AA18,"")</f>
        <v/>
      </c>
      <c r="R811" s="32">
        <f>IF($A811=1,IF(AND($Q811=1,COUNTIFS(COA!$A:$A,$G811,COA!$R:$R,1)=1),1,0),"")</f>
        <v/>
      </c>
      <c r="S811" s="43">
        <f>IF($A811=1,IF($R811=1,N($M811),0),"")</f>
        <v/>
      </c>
      <c r="T811" s="43">
        <f>IF($A811=1,IF($R811=1,N($N811),0),"")</f>
        <v/>
      </c>
      <c r="U811" s="32">
        <f>IF($A811=1,YEAR($D811)*100+MONTH($D811),"")</f>
        <v/>
      </c>
      <c r="V811" s="32">
        <f>IF($A811=1,IF(COUNTIF(COA!$A:$A,$G811)=0,0,INDEX(COA!$H:$H,MATCH($G811,COA!$A:$A,0))),"")</f>
        <v/>
      </c>
      <c r="W811" s="32">
        <f>IF($A811=1,"OPERATING","")</f>
        <v/>
      </c>
      <c r="X811" s="32">
        <f>IF($A811=1,IF($R811=1,"",IF($O811=ST_POST,IF($P811&lt;&gt;"",$P811,"حساب غير صالح أو غير نشط"),IF($O811=ST_REV,"معكوس: لا أثر على الدفاتر",IF($O811=ST_CANC,"ملغى",IF($O811=ST_APPR,"معتمد ولم يُرحَّل","مسودة"))))),"")</f>
        <v/>
      </c>
      <c r="Y811" s="32">
        <f>IF($A811=1,IF(AND($R811=1,OR(LG_Acct="",$G811=LG_Acct),OR(LG_Party="",$K811=LG_Party),OR(LG_Loc="ALL",$I811=LG_Loc),OR(LG_CC="ALL",$J811=LG_CC),$D811&gt;=LG_From,$D811&lt;=LG_To),$D811+ROW()/1000000,""),"")</f>
        <v/>
      </c>
      <c r="Z811" s="32">
        <f>IF($A811=1,IF(Platform_Settlements!$M18="","",Platform_Settlements!$M18),"")</f>
        <v/>
      </c>
      <c r="AA811" s="32">
        <f>IF($A811=1,IF(Platform_Settlements!$N18="","",Platform_Settlements!$N18),"")</f>
        <v/>
      </c>
      <c r="AB811" s="32">
        <f>IF($A811=1,IF(Platform_Settlements!$O18="","",Platform_Settlements!$O18),"")</f>
        <v/>
      </c>
      <c r="AC811" s="32">
        <f>IF($A811=1,IF(Platform_Settlements!$P18="","",Platform_Settlements!$P18),"")</f>
        <v/>
      </c>
      <c r="AD811" s="32">
        <f>IF($A811=1,IF(Platform_Settlements!$Q18="","",Platform_Settlements!$Q18),"")</f>
        <v/>
      </c>
      <c r="AE811" s="32">
        <f>IF($A811=1,0,"")</f>
        <v/>
      </c>
      <c r="AF811" s="32" t="inlineStr"/>
    </row>
    <row r="812">
      <c r="A812" s="32">
        <f>IF(AND(Platform_Settlements!$X18=1,N(Platform_Settlements!$H18)&gt;0),1,0)</f>
        <v/>
      </c>
      <c r="B812" s="32">
        <f>IF($A812=1,$E812&amp;"/2","")</f>
        <v/>
      </c>
      <c r="C812" s="32">
        <f>IF($A812=1,"J-"&amp;Platform_Settlements!$A18,"")</f>
        <v/>
      </c>
      <c r="D812" s="33">
        <f>IF($A812=1,Platform_Settlements!$B18,"")</f>
        <v/>
      </c>
      <c r="E812" s="32">
        <f>IF($A812=1,IF(Platform_Settlements!$A18="","",Platform_Settlements!$A18),"")</f>
        <v/>
      </c>
      <c r="F812" s="32">
        <f>IF($A812=1,"PLT","")</f>
        <v/>
      </c>
      <c r="G812" s="32">
        <f>IF($A812=1,IF(Platform_Settlements!$V18="","",Platform_Settlements!$V18),"")</f>
        <v/>
      </c>
      <c r="H812" s="32">
        <f>IF($A812=1,IF(COUNTIF(COA!$A:$A,$G812)=0,"حساب غير معرف",INDEX(COA!$B:$B,MATCH($G812,COA!$A:$A,0))),"")</f>
        <v/>
      </c>
      <c r="I812" s="32">
        <f>IF($A812=1,IF(Platform_Settlements!$D18="","",Platform_Settlements!$D18),"")</f>
        <v/>
      </c>
      <c r="J812" s="32">
        <f>IF($A812=1,"CC30","")</f>
        <v/>
      </c>
      <c r="K812" s="32">
        <f>IF($A812=1,"-","")</f>
        <v/>
      </c>
      <c r="L812" s="32">
        <f>IF($A812=1,"عمولة المنصة/رسوم البطاقات","")</f>
        <v/>
      </c>
      <c r="M812" s="43">
        <f>IF($A812=1,Platform_Settlements!$H18,"")</f>
        <v/>
      </c>
      <c r="N812" s="43">
        <f>IF($A812=1,0,"")</f>
        <v/>
      </c>
      <c r="O812" s="32">
        <f>IF($A812=1,Platform_Settlements!$L18,"")</f>
        <v/>
      </c>
      <c r="P812" s="32">
        <f>IF($A812=1,IF(Platform_Settlements!$Y18="","",Platform_Settlements!$Y18),"")</f>
        <v/>
      </c>
      <c r="Q812" s="32">
        <f>IF($A812=1,Platform_Settlements!$AA18,"")</f>
        <v/>
      </c>
      <c r="R812" s="32">
        <f>IF($A812=1,IF(AND($Q812=1,COUNTIFS(COA!$A:$A,$G812,COA!$R:$R,1)=1),1,0),"")</f>
        <v/>
      </c>
      <c r="S812" s="43">
        <f>IF($A812=1,IF($R812=1,N($M812),0),"")</f>
        <v/>
      </c>
      <c r="T812" s="43">
        <f>IF($A812=1,IF($R812=1,N($N812),0),"")</f>
        <v/>
      </c>
      <c r="U812" s="32">
        <f>IF($A812=1,YEAR($D812)*100+MONTH($D812),"")</f>
        <v/>
      </c>
      <c r="V812" s="32">
        <f>IF($A812=1,IF(COUNTIF(COA!$A:$A,$G812)=0,0,INDEX(COA!$H:$H,MATCH($G812,COA!$A:$A,0))),"")</f>
        <v/>
      </c>
      <c r="W812" s="32">
        <f>IF($A812=1,"","")</f>
        <v/>
      </c>
      <c r="X812" s="32">
        <f>IF($A812=1,IF($R812=1,"",IF($O812=ST_POST,IF($P812&lt;&gt;"",$P812,"حساب غير صالح أو غير نشط"),IF($O812=ST_REV,"معكوس: لا أثر على الدفاتر",IF($O812=ST_CANC,"ملغى",IF($O812=ST_APPR,"معتمد ولم يُرحَّل","مسودة"))))),"")</f>
        <v/>
      </c>
      <c r="Y812" s="32">
        <f>IF($A812=1,IF(AND($R812=1,OR(LG_Acct="",$G812=LG_Acct),OR(LG_Party="",$K812=LG_Party),OR(LG_Loc="ALL",$I812=LG_Loc),OR(LG_CC="ALL",$J812=LG_CC),$D812&gt;=LG_From,$D812&lt;=LG_To),$D812+ROW()/1000000,""),"")</f>
        <v/>
      </c>
      <c r="Z812" s="32">
        <f>IF($A812=1,IF(Platform_Settlements!$M18="","",Platform_Settlements!$M18),"")</f>
        <v/>
      </c>
      <c r="AA812" s="32">
        <f>IF($A812=1,IF(Platform_Settlements!$N18="","",Platform_Settlements!$N18),"")</f>
        <v/>
      </c>
      <c r="AB812" s="32">
        <f>IF($A812=1,IF(Platform_Settlements!$O18="","",Platform_Settlements!$O18),"")</f>
        <v/>
      </c>
      <c r="AC812" s="32">
        <f>IF($A812=1,IF(Platform_Settlements!$P18="","",Platform_Settlements!$P18),"")</f>
        <v/>
      </c>
      <c r="AD812" s="32">
        <f>IF($A812=1,IF(Platform_Settlements!$Q18="","",Platform_Settlements!$Q18),"")</f>
        <v/>
      </c>
      <c r="AE812" s="32">
        <f>IF($A812=1,0,"")</f>
        <v/>
      </c>
      <c r="AF812" s="32" t="inlineStr"/>
    </row>
    <row r="813">
      <c r="A813" s="32">
        <f>IF(AND(Platform_Settlements!$X18=1,N(Platform_Settlements!$I18)&gt;0),1,0)</f>
        <v/>
      </c>
      <c r="B813" s="32">
        <f>IF($A813=1,$E813&amp;"/3","")</f>
        <v/>
      </c>
      <c r="C813" s="32">
        <f>IF($A813=1,"J-"&amp;Platform_Settlements!$A18,"")</f>
        <v/>
      </c>
      <c r="D813" s="33">
        <f>IF($A813=1,Platform_Settlements!$B18,"")</f>
        <v/>
      </c>
      <c r="E813" s="32">
        <f>IF($A813=1,IF(Platform_Settlements!$A18="","",Platform_Settlements!$A18),"")</f>
        <v/>
      </c>
      <c r="F813" s="32">
        <f>IF($A813=1,"PLT","")</f>
        <v/>
      </c>
      <c r="G813" s="32">
        <f>IF($A813=1,ACC_PLT_OTHER,"")</f>
        <v/>
      </c>
      <c r="H813" s="32">
        <f>IF($A813=1,IF(COUNTIF(COA!$A:$A,$G813)=0,"حساب غير معرف",INDEX(COA!$B:$B,MATCH($G813,COA!$A:$A,0))),"")</f>
        <v/>
      </c>
      <c r="I813" s="32">
        <f>IF($A813=1,IF(Platform_Settlements!$D18="","",Platform_Settlements!$D18),"")</f>
        <v/>
      </c>
      <c r="J813" s="32">
        <f>IF($A813=1,"CC30","")</f>
        <v/>
      </c>
      <c r="K813" s="32">
        <f>IF($A813=1,"-","")</f>
        <v/>
      </c>
      <c r="L813" s="32">
        <f>IF($A813=1,"خصومات/غرامات أخرى من المنصة","")</f>
        <v/>
      </c>
      <c r="M813" s="43">
        <f>IF($A813=1,Platform_Settlements!$I18,"")</f>
        <v/>
      </c>
      <c r="N813" s="43">
        <f>IF($A813=1,0,"")</f>
        <v/>
      </c>
      <c r="O813" s="32">
        <f>IF($A813=1,Platform_Settlements!$L18,"")</f>
        <v/>
      </c>
      <c r="P813" s="32">
        <f>IF($A813=1,IF(Platform_Settlements!$Y18="","",Platform_Settlements!$Y18),"")</f>
        <v/>
      </c>
      <c r="Q813" s="32">
        <f>IF($A813=1,Platform_Settlements!$AA18,"")</f>
        <v/>
      </c>
      <c r="R813" s="32">
        <f>IF($A813=1,IF(AND($Q813=1,COUNTIFS(COA!$A:$A,$G813,COA!$R:$R,1)=1),1,0),"")</f>
        <v/>
      </c>
      <c r="S813" s="43">
        <f>IF($A813=1,IF($R813=1,N($M813),0),"")</f>
        <v/>
      </c>
      <c r="T813" s="43">
        <f>IF($A813=1,IF($R813=1,N($N813),0),"")</f>
        <v/>
      </c>
      <c r="U813" s="32">
        <f>IF($A813=1,YEAR($D813)*100+MONTH($D813),"")</f>
        <v/>
      </c>
      <c r="V813" s="32">
        <f>IF($A813=1,IF(COUNTIF(COA!$A:$A,$G813)=0,0,INDEX(COA!$H:$H,MATCH($G813,COA!$A:$A,0))),"")</f>
        <v/>
      </c>
      <c r="W813" s="32">
        <f>IF($A813=1,"","")</f>
        <v/>
      </c>
      <c r="X813" s="32">
        <f>IF($A813=1,IF($R813=1,"",IF($O813=ST_POST,IF($P813&lt;&gt;"",$P813,"حساب غير صالح أو غير نشط"),IF($O813=ST_REV,"معكوس: لا أثر على الدفاتر",IF($O813=ST_CANC,"ملغى",IF($O813=ST_APPR,"معتمد ولم يُرحَّل","مسودة"))))),"")</f>
        <v/>
      </c>
      <c r="Y813" s="32">
        <f>IF($A813=1,IF(AND($R813=1,OR(LG_Acct="",$G813=LG_Acct),OR(LG_Party="",$K813=LG_Party),OR(LG_Loc="ALL",$I813=LG_Loc),OR(LG_CC="ALL",$J813=LG_CC),$D813&gt;=LG_From,$D813&lt;=LG_To),$D813+ROW()/1000000,""),"")</f>
        <v/>
      </c>
      <c r="Z813" s="32">
        <f>IF($A813=1,IF(Platform_Settlements!$M18="","",Platform_Settlements!$M18),"")</f>
        <v/>
      </c>
      <c r="AA813" s="32">
        <f>IF($A813=1,IF(Platform_Settlements!$N18="","",Platform_Settlements!$N18),"")</f>
        <v/>
      </c>
      <c r="AB813" s="32">
        <f>IF($A813=1,IF(Platform_Settlements!$O18="","",Platform_Settlements!$O18),"")</f>
        <v/>
      </c>
      <c r="AC813" s="32">
        <f>IF($A813=1,IF(Platform_Settlements!$P18="","",Platform_Settlements!$P18),"")</f>
        <v/>
      </c>
      <c r="AD813" s="32">
        <f>IF($A813=1,IF(Platform_Settlements!$Q18="","",Platform_Settlements!$Q18),"")</f>
        <v/>
      </c>
      <c r="AE813" s="32">
        <f>IF($A813=1,0,"")</f>
        <v/>
      </c>
      <c r="AF813" s="32" t="inlineStr"/>
    </row>
    <row r="814">
      <c r="A814" s="32">
        <f>IF(AND(Platform_Settlements!$X18=1,N(Platform_Settlements!$T18)&gt;0),1,0)</f>
        <v/>
      </c>
      <c r="B814" s="32">
        <f>IF($A814=1,$E814&amp;"/4","")</f>
        <v/>
      </c>
      <c r="C814" s="32">
        <f>IF($A814=1,"J-"&amp;Platform_Settlements!$A18,"")</f>
        <v/>
      </c>
      <c r="D814" s="33">
        <f>IF($A814=1,Platform_Settlements!$B18,"")</f>
        <v/>
      </c>
      <c r="E814" s="32">
        <f>IF($A814=1,IF(Platform_Settlements!$A18="","",Platform_Settlements!$A18),"")</f>
        <v/>
      </c>
      <c r="F814" s="32">
        <f>IF($A814=1,"PLT","")</f>
        <v/>
      </c>
      <c r="G814" s="32">
        <f>IF($A814=1,ACC_PLT_DIFF,"")</f>
        <v/>
      </c>
      <c r="H814" s="32">
        <f>IF($A814=1,IF(COUNTIF(COA!$A:$A,$G814)=0,"حساب غير معرف",INDEX(COA!$B:$B,MATCH($G814,COA!$A:$A,0))),"")</f>
        <v/>
      </c>
      <c r="I814" s="32">
        <f>IF($A814=1,IF(Platform_Settlements!$D18="","",Platform_Settlements!$D18),"")</f>
        <v/>
      </c>
      <c r="J814" s="32">
        <f>IF($A814=1,"CC00","")</f>
        <v/>
      </c>
      <c r="K814" s="32">
        <f>IF($A814=1,"-","")</f>
        <v/>
      </c>
      <c r="L814" s="32">
        <f>IF($A814=1,"فرق تسوية منصة (نقص) تحت المراجعة","")</f>
        <v/>
      </c>
      <c r="M814" s="43">
        <f>IF($A814=1,Platform_Settlements!$T18,"")</f>
        <v/>
      </c>
      <c r="N814" s="43">
        <f>IF($A814=1,0,"")</f>
        <v/>
      </c>
      <c r="O814" s="32">
        <f>IF($A814=1,Platform_Settlements!$L18,"")</f>
        <v/>
      </c>
      <c r="P814" s="32">
        <f>IF($A814=1,IF(Platform_Settlements!$Y18="","",Platform_Settlements!$Y18),"")</f>
        <v/>
      </c>
      <c r="Q814" s="32">
        <f>IF($A814=1,Platform_Settlements!$AA18,"")</f>
        <v/>
      </c>
      <c r="R814" s="32">
        <f>IF($A814=1,IF(AND($Q814=1,COUNTIFS(COA!$A:$A,$G814,COA!$R:$R,1)=1),1,0),"")</f>
        <v/>
      </c>
      <c r="S814" s="43">
        <f>IF($A814=1,IF($R814=1,N($M814),0),"")</f>
        <v/>
      </c>
      <c r="T814" s="43">
        <f>IF($A814=1,IF($R814=1,N($N814),0),"")</f>
        <v/>
      </c>
      <c r="U814" s="32">
        <f>IF($A814=1,YEAR($D814)*100+MONTH($D814),"")</f>
        <v/>
      </c>
      <c r="V814" s="32">
        <f>IF($A814=1,IF(COUNTIF(COA!$A:$A,$G814)=0,0,INDEX(COA!$H:$H,MATCH($G814,COA!$A:$A,0))),"")</f>
        <v/>
      </c>
      <c r="W814" s="32">
        <f>IF($A814=1,"","")</f>
        <v/>
      </c>
      <c r="X814" s="32">
        <f>IF($A814=1,IF($R814=1,"",IF($O814=ST_POST,IF($P814&lt;&gt;"",$P814,"حساب غير صالح أو غير نشط"),IF($O814=ST_REV,"معكوس: لا أثر على الدفاتر",IF($O814=ST_CANC,"ملغى",IF($O814=ST_APPR,"معتمد ولم يُرحَّل","مسودة"))))),"")</f>
        <v/>
      </c>
      <c r="Y814" s="32">
        <f>IF($A814=1,IF(AND($R814=1,OR(LG_Acct="",$G814=LG_Acct),OR(LG_Party="",$K814=LG_Party),OR(LG_Loc="ALL",$I814=LG_Loc),OR(LG_CC="ALL",$J814=LG_CC),$D814&gt;=LG_From,$D814&lt;=LG_To),$D814+ROW()/1000000,""),"")</f>
        <v/>
      </c>
      <c r="Z814" s="32">
        <f>IF($A814=1,IF(Platform_Settlements!$M18="","",Platform_Settlements!$M18),"")</f>
        <v/>
      </c>
      <c r="AA814" s="32">
        <f>IF($A814=1,IF(Platform_Settlements!$N18="","",Platform_Settlements!$N18),"")</f>
        <v/>
      </c>
      <c r="AB814" s="32">
        <f>IF($A814=1,IF(Platform_Settlements!$O18="","",Platform_Settlements!$O18),"")</f>
        <v/>
      </c>
      <c r="AC814" s="32">
        <f>IF($A814=1,IF(Platform_Settlements!$P18="","",Platform_Settlements!$P18),"")</f>
        <v/>
      </c>
      <c r="AD814" s="32">
        <f>IF($A814=1,IF(Platform_Settlements!$Q18="","",Platform_Settlements!$Q18),"")</f>
        <v/>
      </c>
      <c r="AE814" s="32">
        <f>IF($A814=1,0,"")</f>
        <v/>
      </c>
      <c r="AF814" s="32" t="inlineStr"/>
    </row>
    <row r="815">
      <c r="A815" s="32">
        <f>IF(AND(Platform_Settlements!$X18=1,N(Platform_Settlements!$T18)&lt;0),1,0)</f>
        <v/>
      </c>
      <c r="B815" s="32">
        <f>IF($A815=1,$E815&amp;"/5","")</f>
        <v/>
      </c>
      <c r="C815" s="32">
        <f>IF($A815=1,"J-"&amp;Platform_Settlements!$A18,"")</f>
        <v/>
      </c>
      <c r="D815" s="33">
        <f>IF($A815=1,Platform_Settlements!$B18,"")</f>
        <v/>
      </c>
      <c r="E815" s="32">
        <f>IF($A815=1,IF(Platform_Settlements!$A18="","",Platform_Settlements!$A18),"")</f>
        <v/>
      </c>
      <c r="F815" s="32">
        <f>IF($A815=1,"PLT","")</f>
        <v/>
      </c>
      <c r="G815" s="32">
        <f>IF($A815=1,ACC_PLT_DIFF,"")</f>
        <v/>
      </c>
      <c r="H815" s="32">
        <f>IF($A815=1,IF(COUNTIF(COA!$A:$A,$G815)=0,"حساب غير معرف",INDEX(COA!$B:$B,MATCH($G815,COA!$A:$A,0))),"")</f>
        <v/>
      </c>
      <c r="I815" s="32">
        <f>IF($A815=1,IF(Platform_Settlements!$D18="","",Platform_Settlements!$D18),"")</f>
        <v/>
      </c>
      <c r="J815" s="32">
        <f>IF($A815=1,"CC00","")</f>
        <v/>
      </c>
      <c r="K815" s="32">
        <f>IF($A815=1,"-","")</f>
        <v/>
      </c>
      <c r="L815" s="32">
        <f>IF($A815=1,"فرق تسوية منصة (زيادة) تحت المراجعة","")</f>
        <v/>
      </c>
      <c r="M815" s="43">
        <f>IF($A815=1,0,"")</f>
        <v/>
      </c>
      <c r="N815" s="43">
        <f>IF($A815=1,-Platform_Settlements!$T18,"")</f>
        <v/>
      </c>
      <c r="O815" s="32">
        <f>IF($A815=1,Platform_Settlements!$L18,"")</f>
        <v/>
      </c>
      <c r="P815" s="32">
        <f>IF($A815=1,IF(Platform_Settlements!$Y18="","",Platform_Settlements!$Y18),"")</f>
        <v/>
      </c>
      <c r="Q815" s="32">
        <f>IF($A815=1,Platform_Settlements!$AA18,"")</f>
        <v/>
      </c>
      <c r="R815" s="32">
        <f>IF($A815=1,IF(AND($Q815=1,COUNTIFS(COA!$A:$A,$G815,COA!$R:$R,1)=1),1,0),"")</f>
        <v/>
      </c>
      <c r="S815" s="43">
        <f>IF($A815=1,IF($R815=1,N($M815),0),"")</f>
        <v/>
      </c>
      <c r="T815" s="43">
        <f>IF($A815=1,IF($R815=1,N($N815),0),"")</f>
        <v/>
      </c>
      <c r="U815" s="32">
        <f>IF($A815=1,YEAR($D815)*100+MONTH($D815),"")</f>
        <v/>
      </c>
      <c r="V815" s="32">
        <f>IF($A815=1,IF(COUNTIF(COA!$A:$A,$G815)=0,0,INDEX(COA!$H:$H,MATCH($G815,COA!$A:$A,0))),"")</f>
        <v/>
      </c>
      <c r="W815" s="32">
        <f>IF($A815=1,"","")</f>
        <v/>
      </c>
      <c r="X815" s="32">
        <f>IF($A815=1,IF($R815=1,"",IF($O815=ST_POST,IF($P815&lt;&gt;"",$P815,"حساب غير صالح أو غير نشط"),IF($O815=ST_REV,"معكوس: لا أثر على الدفاتر",IF($O815=ST_CANC,"ملغى",IF($O815=ST_APPR,"معتمد ولم يُرحَّل","مسودة"))))),"")</f>
        <v/>
      </c>
      <c r="Y815" s="32">
        <f>IF($A815=1,IF(AND($R815=1,OR(LG_Acct="",$G815=LG_Acct),OR(LG_Party="",$K815=LG_Party),OR(LG_Loc="ALL",$I815=LG_Loc),OR(LG_CC="ALL",$J815=LG_CC),$D815&gt;=LG_From,$D815&lt;=LG_To),$D815+ROW()/1000000,""),"")</f>
        <v/>
      </c>
      <c r="Z815" s="32">
        <f>IF($A815=1,IF(Platform_Settlements!$M18="","",Platform_Settlements!$M18),"")</f>
        <v/>
      </c>
      <c r="AA815" s="32">
        <f>IF($A815=1,IF(Platform_Settlements!$N18="","",Platform_Settlements!$N18),"")</f>
        <v/>
      </c>
      <c r="AB815" s="32">
        <f>IF($A815=1,IF(Platform_Settlements!$O18="","",Platform_Settlements!$O18),"")</f>
        <v/>
      </c>
      <c r="AC815" s="32">
        <f>IF($A815=1,IF(Platform_Settlements!$P18="","",Platform_Settlements!$P18),"")</f>
        <v/>
      </c>
      <c r="AD815" s="32">
        <f>IF($A815=1,IF(Platform_Settlements!$Q18="","",Platform_Settlements!$Q18),"")</f>
        <v/>
      </c>
      <c r="AE815" s="32">
        <f>IF($A815=1,0,"")</f>
        <v/>
      </c>
      <c r="AF815" s="32" t="inlineStr"/>
    </row>
    <row r="816">
      <c r="A816" s="32">
        <f>IF(AND(Platform_Settlements!$X18=1,N(Platform_Settlements!$G18)&gt;0),1,0)</f>
        <v/>
      </c>
      <c r="B816" s="32">
        <f>IF($A816=1,$E816&amp;"/6","")</f>
        <v/>
      </c>
      <c r="C816" s="32">
        <f>IF($A816=1,"J-"&amp;Platform_Settlements!$A18,"")</f>
        <v/>
      </c>
      <c r="D816" s="33">
        <f>IF($A816=1,Platform_Settlements!$B18,"")</f>
        <v/>
      </c>
      <c r="E816" s="32">
        <f>IF($A816=1,IF(Platform_Settlements!$A18="","",Platform_Settlements!$A18),"")</f>
        <v/>
      </c>
      <c r="F816" s="32">
        <f>IF($A816=1,"PLT","")</f>
        <v/>
      </c>
      <c r="G816" s="32">
        <f>IF($A816=1,IF(Platform_Settlements!$U18="","",Platform_Settlements!$U18),"")</f>
        <v/>
      </c>
      <c r="H816" s="32">
        <f>IF($A816=1,IF(COUNTIF(COA!$A:$A,$G816)=0,"حساب غير معرف",INDEX(COA!$B:$B,MATCH($G816,COA!$A:$A,0))),"")</f>
        <v/>
      </c>
      <c r="I816" s="32">
        <f>IF($A816=1,IF(Platform_Settlements!$D18="","",Platform_Settlements!$D18),"")</f>
        <v/>
      </c>
      <c r="J816" s="32">
        <f>IF($A816=1,"CC00","")</f>
        <v/>
      </c>
      <c r="K816" s="32">
        <f>IF($A816=1,"-","")</f>
        <v/>
      </c>
      <c r="L816" s="32">
        <f>IF($A816=1,"تخفيض مستحقات المنصة/البطاقات","")</f>
        <v/>
      </c>
      <c r="M816" s="43">
        <f>IF($A816=1,0,"")</f>
        <v/>
      </c>
      <c r="N816" s="43">
        <f>IF($A816=1,Platform_Settlements!$G18,"")</f>
        <v/>
      </c>
      <c r="O816" s="32">
        <f>IF($A816=1,Platform_Settlements!$L18,"")</f>
        <v/>
      </c>
      <c r="P816" s="32">
        <f>IF($A816=1,IF(Platform_Settlements!$Y18="","",Platform_Settlements!$Y18),"")</f>
        <v/>
      </c>
      <c r="Q816" s="32">
        <f>IF($A816=1,Platform_Settlements!$AA18,"")</f>
        <v/>
      </c>
      <c r="R816" s="32">
        <f>IF($A816=1,IF(AND($Q816=1,COUNTIFS(COA!$A:$A,$G816,COA!$R:$R,1)=1),1,0),"")</f>
        <v/>
      </c>
      <c r="S816" s="43">
        <f>IF($A816=1,IF($R816=1,N($M816),0),"")</f>
        <v/>
      </c>
      <c r="T816" s="43">
        <f>IF($A816=1,IF($R816=1,N($N816),0),"")</f>
        <v/>
      </c>
      <c r="U816" s="32">
        <f>IF($A816=1,YEAR($D816)*100+MONTH($D816),"")</f>
        <v/>
      </c>
      <c r="V816" s="32">
        <f>IF($A816=1,IF(COUNTIF(COA!$A:$A,$G816)=0,0,INDEX(COA!$H:$H,MATCH($G816,COA!$A:$A,0))),"")</f>
        <v/>
      </c>
      <c r="W816" s="32">
        <f>IF($A816=1,"","")</f>
        <v/>
      </c>
      <c r="X816" s="32">
        <f>IF($A816=1,IF($R816=1,"",IF($O816=ST_POST,IF($P816&lt;&gt;"",$P816,"حساب غير صالح أو غير نشط"),IF($O816=ST_REV,"معكوس: لا أثر على الدفاتر",IF($O816=ST_CANC,"ملغى",IF($O816=ST_APPR,"معتمد ولم يُرحَّل","مسودة"))))),"")</f>
        <v/>
      </c>
      <c r="Y816" s="32">
        <f>IF($A816=1,IF(AND($R816=1,OR(LG_Acct="",$G816=LG_Acct),OR(LG_Party="",$K816=LG_Party),OR(LG_Loc="ALL",$I816=LG_Loc),OR(LG_CC="ALL",$J816=LG_CC),$D816&gt;=LG_From,$D816&lt;=LG_To),$D816+ROW()/1000000,""),"")</f>
        <v/>
      </c>
      <c r="Z816" s="32">
        <f>IF($A816=1,IF(Platform_Settlements!$M18="","",Platform_Settlements!$M18),"")</f>
        <v/>
      </c>
      <c r="AA816" s="32">
        <f>IF($A816=1,IF(Platform_Settlements!$N18="","",Platform_Settlements!$N18),"")</f>
        <v/>
      </c>
      <c r="AB816" s="32">
        <f>IF($A816=1,IF(Platform_Settlements!$O18="","",Platform_Settlements!$O18),"")</f>
        <v/>
      </c>
      <c r="AC816" s="32">
        <f>IF($A816=1,IF(Platform_Settlements!$P18="","",Platform_Settlements!$P18),"")</f>
        <v/>
      </c>
      <c r="AD816" s="32">
        <f>IF($A816=1,IF(Platform_Settlements!$Q18="","",Platform_Settlements!$Q18),"")</f>
        <v/>
      </c>
      <c r="AE816" s="32">
        <f>IF($A816=1,0,"")</f>
        <v/>
      </c>
      <c r="AF816" s="32" t="inlineStr"/>
    </row>
    <row r="817">
      <c r="A817" s="32">
        <f>IF(AND(Platform_Settlements!$X19=1,N(Platform_Settlements!$J19)&gt;0),1,0)</f>
        <v/>
      </c>
      <c r="B817" s="32">
        <f>IF($A817=1,$E817&amp;"/1","")</f>
        <v/>
      </c>
      <c r="C817" s="32">
        <f>IF($A817=1,"J-"&amp;Platform_Settlements!$A19,"")</f>
        <v/>
      </c>
      <c r="D817" s="33">
        <f>IF($A817=1,Platform_Settlements!$B19,"")</f>
        <v/>
      </c>
      <c r="E817" s="32">
        <f>IF($A817=1,IF(Platform_Settlements!$A19="","",Platform_Settlements!$A19),"")</f>
        <v/>
      </c>
      <c r="F817" s="32">
        <f>IF($A817=1,"PLT","")</f>
        <v/>
      </c>
      <c r="G817" s="32">
        <f>IF($A817=1,IF(Platform_Settlements!$W19="","",Platform_Settlements!$W19),"")</f>
        <v/>
      </c>
      <c r="H817" s="32">
        <f>IF($A817=1,IF(COUNTIF(COA!$A:$A,$G817)=0,"حساب غير معرف",INDEX(COA!$B:$B,MATCH($G817,COA!$A:$A,0))),"")</f>
        <v/>
      </c>
      <c r="I817" s="32">
        <f>IF($A817=1,IF(Platform_Settlements!$D19="","",Platform_Settlements!$D19),"")</f>
        <v/>
      </c>
      <c r="J817" s="32">
        <f>IF($A817=1,"CC00","")</f>
        <v/>
      </c>
      <c r="K817" s="32">
        <f>IF($A817=1,"-","")</f>
        <v/>
      </c>
      <c r="L817" s="32">
        <f>IF($A817=1,"استلام تسوية منصة/بطاقات","")</f>
        <v/>
      </c>
      <c r="M817" s="43">
        <f>IF($A817=1,Platform_Settlements!$J19,"")</f>
        <v/>
      </c>
      <c r="N817" s="43">
        <f>IF($A817=1,0,"")</f>
        <v/>
      </c>
      <c r="O817" s="32">
        <f>IF($A817=1,Platform_Settlements!$L19,"")</f>
        <v/>
      </c>
      <c r="P817" s="32">
        <f>IF($A817=1,IF(Platform_Settlements!$Y19="","",Platform_Settlements!$Y19),"")</f>
        <v/>
      </c>
      <c r="Q817" s="32">
        <f>IF($A817=1,Platform_Settlements!$AA19,"")</f>
        <v/>
      </c>
      <c r="R817" s="32">
        <f>IF($A817=1,IF(AND($Q817=1,COUNTIFS(COA!$A:$A,$G817,COA!$R:$R,1)=1),1,0),"")</f>
        <v/>
      </c>
      <c r="S817" s="43">
        <f>IF($A817=1,IF($R817=1,N($M817),0),"")</f>
        <v/>
      </c>
      <c r="T817" s="43">
        <f>IF($A817=1,IF($R817=1,N($N817),0),"")</f>
        <v/>
      </c>
      <c r="U817" s="32">
        <f>IF($A817=1,YEAR($D817)*100+MONTH($D817),"")</f>
        <v/>
      </c>
      <c r="V817" s="32">
        <f>IF($A817=1,IF(COUNTIF(COA!$A:$A,$G817)=0,0,INDEX(COA!$H:$H,MATCH($G817,COA!$A:$A,0))),"")</f>
        <v/>
      </c>
      <c r="W817" s="32">
        <f>IF($A817=1,"OPERATING","")</f>
        <v/>
      </c>
      <c r="X817" s="32">
        <f>IF($A817=1,IF($R817=1,"",IF($O817=ST_POST,IF($P817&lt;&gt;"",$P817,"حساب غير صالح أو غير نشط"),IF($O817=ST_REV,"معكوس: لا أثر على الدفاتر",IF($O817=ST_CANC,"ملغى",IF($O817=ST_APPR,"معتمد ولم يُرحَّل","مسودة"))))),"")</f>
        <v/>
      </c>
      <c r="Y817" s="32">
        <f>IF($A817=1,IF(AND($R817=1,OR(LG_Acct="",$G817=LG_Acct),OR(LG_Party="",$K817=LG_Party),OR(LG_Loc="ALL",$I817=LG_Loc),OR(LG_CC="ALL",$J817=LG_CC),$D817&gt;=LG_From,$D817&lt;=LG_To),$D817+ROW()/1000000,""),"")</f>
        <v/>
      </c>
      <c r="Z817" s="32">
        <f>IF($A817=1,IF(Platform_Settlements!$M19="","",Platform_Settlements!$M19),"")</f>
        <v/>
      </c>
      <c r="AA817" s="32">
        <f>IF($A817=1,IF(Platform_Settlements!$N19="","",Platform_Settlements!$N19),"")</f>
        <v/>
      </c>
      <c r="AB817" s="32">
        <f>IF($A817=1,IF(Platform_Settlements!$O19="","",Platform_Settlements!$O19),"")</f>
        <v/>
      </c>
      <c r="AC817" s="32">
        <f>IF($A817=1,IF(Platform_Settlements!$P19="","",Platform_Settlements!$P19),"")</f>
        <v/>
      </c>
      <c r="AD817" s="32">
        <f>IF($A817=1,IF(Platform_Settlements!$Q19="","",Platform_Settlements!$Q19),"")</f>
        <v/>
      </c>
      <c r="AE817" s="32">
        <f>IF($A817=1,0,"")</f>
        <v/>
      </c>
      <c r="AF817" s="32" t="inlineStr"/>
    </row>
    <row r="818">
      <c r="A818" s="32">
        <f>IF(AND(Platform_Settlements!$X19=1,N(Platform_Settlements!$H19)&gt;0),1,0)</f>
        <v/>
      </c>
      <c r="B818" s="32">
        <f>IF($A818=1,$E818&amp;"/2","")</f>
        <v/>
      </c>
      <c r="C818" s="32">
        <f>IF($A818=1,"J-"&amp;Platform_Settlements!$A19,"")</f>
        <v/>
      </c>
      <c r="D818" s="33">
        <f>IF($A818=1,Platform_Settlements!$B19,"")</f>
        <v/>
      </c>
      <c r="E818" s="32">
        <f>IF($A818=1,IF(Platform_Settlements!$A19="","",Platform_Settlements!$A19),"")</f>
        <v/>
      </c>
      <c r="F818" s="32">
        <f>IF($A818=1,"PLT","")</f>
        <v/>
      </c>
      <c r="G818" s="32">
        <f>IF($A818=1,IF(Platform_Settlements!$V19="","",Platform_Settlements!$V19),"")</f>
        <v/>
      </c>
      <c r="H818" s="32">
        <f>IF($A818=1,IF(COUNTIF(COA!$A:$A,$G818)=0,"حساب غير معرف",INDEX(COA!$B:$B,MATCH($G818,COA!$A:$A,0))),"")</f>
        <v/>
      </c>
      <c r="I818" s="32">
        <f>IF($A818=1,IF(Platform_Settlements!$D19="","",Platform_Settlements!$D19),"")</f>
        <v/>
      </c>
      <c r="J818" s="32">
        <f>IF($A818=1,"CC30","")</f>
        <v/>
      </c>
      <c r="K818" s="32">
        <f>IF($A818=1,"-","")</f>
        <v/>
      </c>
      <c r="L818" s="32">
        <f>IF($A818=1,"عمولة المنصة/رسوم البطاقات","")</f>
        <v/>
      </c>
      <c r="M818" s="43">
        <f>IF($A818=1,Platform_Settlements!$H19,"")</f>
        <v/>
      </c>
      <c r="N818" s="43">
        <f>IF($A818=1,0,"")</f>
        <v/>
      </c>
      <c r="O818" s="32">
        <f>IF($A818=1,Platform_Settlements!$L19,"")</f>
        <v/>
      </c>
      <c r="P818" s="32">
        <f>IF($A818=1,IF(Platform_Settlements!$Y19="","",Platform_Settlements!$Y19),"")</f>
        <v/>
      </c>
      <c r="Q818" s="32">
        <f>IF($A818=1,Platform_Settlements!$AA19,"")</f>
        <v/>
      </c>
      <c r="R818" s="32">
        <f>IF($A818=1,IF(AND($Q818=1,COUNTIFS(COA!$A:$A,$G818,COA!$R:$R,1)=1),1,0),"")</f>
        <v/>
      </c>
      <c r="S818" s="43">
        <f>IF($A818=1,IF($R818=1,N($M818),0),"")</f>
        <v/>
      </c>
      <c r="T818" s="43">
        <f>IF($A818=1,IF($R818=1,N($N818),0),"")</f>
        <v/>
      </c>
      <c r="U818" s="32">
        <f>IF($A818=1,YEAR($D818)*100+MONTH($D818),"")</f>
        <v/>
      </c>
      <c r="V818" s="32">
        <f>IF($A818=1,IF(COUNTIF(COA!$A:$A,$G818)=0,0,INDEX(COA!$H:$H,MATCH($G818,COA!$A:$A,0))),"")</f>
        <v/>
      </c>
      <c r="W818" s="32">
        <f>IF($A818=1,"","")</f>
        <v/>
      </c>
      <c r="X818" s="32">
        <f>IF($A818=1,IF($R818=1,"",IF($O818=ST_POST,IF($P818&lt;&gt;"",$P818,"حساب غير صالح أو غير نشط"),IF($O818=ST_REV,"معكوس: لا أثر على الدفاتر",IF($O818=ST_CANC,"ملغى",IF($O818=ST_APPR,"معتمد ولم يُرحَّل","مسودة"))))),"")</f>
        <v/>
      </c>
      <c r="Y818" s="32">
        <f>IF($A818=1,IF(AND($R818=1,OR(LG_Acct="",$G818=LG_Acct),OR(LG_Party="",$K818=LG_Party),OR(LG_Loc="ALL",$I818=LG_Loc),OR(LG_CC="ALL",$J818=LG_CC),$D818&gt;=LG_From,$D818&lt;=LG_To),$D818+ROW()/1000000,""),"")</f>
        <v/>
      </c>
      <c r="Z818" s="32">
        <f>IF($A818=1,IF(Platform_Settlements!$M19="","",Platform_Settlements!$M19),"")</f>
        <v/>
      </c>
      <c r="AA818" s="32">
        <f>IF($A818=1,IF(Platform_Settlements!$N19="","",Platform_Settlements!$N19),"")</f>
        <v/>
      </c>
      <c r="AB818" s="32">
        <f>IF($A818=1,IF(Platform_Settlements!$O19="","",Platform_Settlements!$O19),"")</f>
        <v/>
      </c>
      <c r="AC818" s="32">
        <f>IF($A818=1,IF(Platform_Settlements!$P19="","",Platform_Settlements!$P19),"")</f>
        <v/>
      </c>
      <c r="AD818" s="32">
        <f>IF($A818=1,IF(Platform_Settlements!$Q19="","",Platform_Settlements!$Q19),"")</f>
        <v/>
      </c>
      <c r="AE818" s="32">
        <f>IF($A818=1,0,"")</f>
        <v/>
      </c>
      <c r="AF818" s="32" t="inlineStr"/>
    </row>
    <row r="819">
      <c r="A819" s="32">
        <f>IF(AND(Platform_Settlements!$X19=1,N(Platform_Settlements!$I19)&gt;0),1,0)</f>
        <v/>
      </c>
      <c r="B819" s="32">
        <f>IF($A819=1,$E819&amp;"/3","")</f>
        <v/>
      </c>
      <c r="C819" s="32">
        <f>IF($A819=1,"J-"&amp;Platform_Settlements!$A19,"")</f>
        <v/>
      </c>
      <c r="D819" s="33">
        <f>IF($A819=1,Platform_Settlements!$B19,"")</f>
        <v/>
      </c>
      <c r="E819" s="32">
        <f>IF($A819=1,IF(Platform_Settlements!$A19="","",Platform_Settlements!$A19),"")</f>
        <v/>
      </c>
      <c r="F819" s="32">
        <f>IF($A819=1,"PLT","")</f>
        <v/>
      </c>
      <c r="G819" s="32">
        <f>IF($A819=1,ACC_PLT_OTHER,"")</f>
        <v/>
      </c>
      <c r="H819" s="32">
        <f>IF($A819=1,IF(COUNTIF(COA!$A:$A,$G819)=0,"حساب غير معرف",INDEX(COA!$B:$B,MATCH($G819,COA!$A:$A,0))),"")</f>
        <v/>
      </c>
      <c r="I819" s="32">
        <f>IF($A819=1,IF(Platform_Settlements!$D19="","",Platform_Settlements!$D19),"")</f>
        <v/>
      </c>
      <c r="J819" s="32">
        <f>IF($A819=1,"CC30","")</f>
        <v/>
      </c>
      <c r="K819" s="32">
        <f>IF($A819=1,"-","")</f>
        <v/>
      </c>
      <c r="L819" s="32">
        <f>IF($A819=1,"خصومات/غرامات أخرى من المنصة","")</f>
        <v/>
      </c>
      <c r="M819" s="43">
        <f>IF($A819=1,Platform_Settlements!$I19,"")</f>
        <v/>
      </c>
      <c r="N819" s="43">
        <f>IF($A819=1,0,"")</f>
        <v/>
      </c>
      <c r="O819" s="32">
        <f>IF($A819=1,Platform_Settlements!$L19,"")</f>
        <v/>
      </c>
      <c r="P819" s="32">
        <f>IF($A819=1,IF(Platform_Settlements!$Y19="","",Platform_Settlements!$Y19),"")</f>
        <v/>
      </c>
      <c r="Q819" s="32">
        <f>IF($A819=1,Platform_Settlements!$AA19,"")</f>
        <v/>
      </c>
      <c r="R819" s="32">
        <f>IF($A819=1,IF(AND($Q819=1,COUNTIFS(COA!$A:$A,$G819,COA!$R:$R,1)=1),1,0),"")</f>
        <v/>
      </c>
      <c r="S819" s="43">
        <f>IF($A819=1,IF($R819=1,N($M819),0),"")</f>
        <v/>
      </c>
      <c r="T819" s="43">
        <f>IF($A819=1,IF($R819=1,N($N819),0),"")</f>
        <v/>
      </c>
      <c r="U819" s="32">
        <f>IF($A819=1,YEAR($D819)*100+MONTH($D819),"")</f>
        <v/>
      </c>
      <c r="V819" s="32">
        <f>IF($A819=1,IF(COUNTIF(COA!$A:$A,$G819)=0,0,INDEX(COA!$H:$H,MATCH($G819,COA!$A:$A,0))),"")</f>
        <v/>
      </c>
      <c r="W819" s="32">
        <f>IF($A819=1,"","")</f>
        <v/>
      </c>
      <c r="X819" s="32">
        <f>IF($A819=1,IF($R819=1,"",IF($O819=ST_POST,IF($P819&lt;&gt;"",$P819,"حساب غير صالح أو غير نشط"),IF($O819=ST_REV,"معكوس: لا أثر على الدفاتر",IF($O819=ST_CANC,"ملغى",IF($O819=ST_APPR,"معتمد ولم يُرحَّل","مسودة"))))),"")</f>
        <v/>
      </c>
      <c r="Y819" s="32">
        <f>IF($A819=1,IF(AND($R819=1,OR(LG_Acct="",$G819=LG_Acct),OR(LG_Party="",$K819=LG_Party),OR(LG_Loc="ALL",$I819=LG_Loc),OR(LG_CC="ALL",$J819=LG_CC),$D819&gt;=LG_From,$D819&lt;=LG_To),$D819+ROW()/1000000,""),"")</f>
        <v/>
      </c>
      <c r="Z819" s="32">
        <f>IF($A819=1,IF(Platform_Settlements!$M19="","",Platform_Settlements!$M19),"")</f>
        <v/>
      </c>
      <c r="AA819" s="32">
        <f>IF($A819=1,IF(Platform_Settlements!$N19="","",Platform_Settlements!$N19),"")</f>
        <v/>
      </c>
      <c r="AB819" s="32">
        <f>IF($A819=1,IF(Platform_Settlements!$O19="","",Platform_Settlements!$O19),"")</f>
        <v/>
      </c>
      <c r="AC819" s="32">
        <f>IF($A819=1,IF(Platform_Settlements!$P19="","",Platform_Settlements!$P19),"")</f>
        <v/>
      </c>
      <c r="AD819" s="32">
        <f>IF($A819=1,IF(Platform_Settlements!$Q19="","",Platform_Settlements!$Q19),"")</f>
        <v/>
      </c>
      <c r="AE819" s="32">
        <f>IF($A819=1,0,"")</f>
        <v/>
      </c>
      <c r="AF819" s="32" t="inlineStr"/>
    </row>
    <row r="820">
      <c r="A820" s="32">
        <f>IF(AND(Platform_Settlements!$X19=1,N(Platform_Settlements!$T19)&gt;0),1,0)</f>
        <v/>
      </c>
      <c r="B820" s="32">
        <f>IF($A820=1,$E820&amp;"/4","")</f>
        <v/>
      </c>
      <c r="C820" s="32">
        <f>IF($A820=1,"J-"&amp;Platform_Settlements!$A19,"")</f>
        <v/>
      </c>
      <c r="D820" s="33">
        <f>IF($A820=1,Platform_Settlements!$B19,"")</f>
        <v/>
      </c>
      <c r="E820" s="32">
        <f>IF($A820=1,IF(Platform_Settlements!$A19="","",Platform_Settlements!$A19),"")</f>
        <v/>
      </c>
      <c r="F820" s="32">
        <f>IF($A820=1,"PLT","")</f>
        <v/>
      </c>
      <c r="G820" s="32">
        <f>IF($A820=1,ACC_PLT_DIFF,"")</f>
        <v/>
      </c>
      <c r="H820" s="32">
        <f>IF($A820=1,IF(COUNTIF(COA!$A:$A,$G820)=0,"حساب غير معرف",INDEX(COA!$B:$B,MATCH($G820,COA!$A:$A,0))),"")</f>
        <v/>
      </c>
      <c r="I820" s="32">
        <f>IF($A820=1,IF(Platform_Settlements!$D19="","",Platform_Settlements!$D19),"")</f>
        <v/>
      </c>
      <c r="J820" s="32">
        <f>IF($A820=1,"CC00","")</f>
        <v/>
      </c>
      <c r="K820" s="32">
        <f>IF($A820=1,"-","")</f>
        <v/>
      </c>
      <c r="L820" s="32">
        <f>IF($A820=1,"فرق تسوية منصة (نقص) تحت المراجعة","")</f>
        <v/>
      </c>
      <c r="M820" s="43">
        <f>IF($A820=1,Platform_Settlements!$T19,"")</f>
        <v/>
      </c>
      <c r="N820" s="43">
        <f>IF($A820=1,0,"")</f>
        <v/>
      </c>
      <c r="O820" s="32">
        <f>IF($A820=1,Platform_Settlements!$L19,"")</f>
        <v/>
      </c>
      <c r="P820" s="32">
        <f>IF($A820=1,IF(Platform_Settlements!$Y19="","",Platform_Settlements!$Y19),"")</f>
        <v/>
      </c>
      <c r="Q820" s="32">
        <f>IF($A820=1,Platform_Settlements!$AA19,"")</f>
        <v/>
      </c>
      <c r="R820" s="32">
        <f>IF($A820=1,IF(AND($Q820=1,COUNTIFS(COA!$A:$A,$G820,COA!$R:$R,1)=1),1,0),"")</f>
        <v/>
      </c>
      <c r="S820" s="43">
        <f>IF($A820=1,IF($R820=1,N($M820),0),"")</f>
        <v/>
      </c>
      <c r="T820" s="43">
        <f>IF($A820=1,IF($R820=1,N($N820),0),"")</f>
        <v/>
      </c>
      <c r="U820" s="32">
        <f>IF($A820=1,YEAR($D820)*100+MONTH($D820),"")</f>
        <v/>
      </c>
      <c r="V820" s="32">
        <f>IF($A820=1,IF(COUNTIF(COA!$A:$A,$G820)=0,0,INDEX(COA!$H:$H,MATCH($G820,COA!$A:$A,0))),"")</f>
        <v/>
      </c>
      <c r="W820" s="32">
        <f>IF($A820=1,"","")</f>
        <v/>
      </c>
      <c r="X820" s="32">
        <f>IF($A820=1,IF($R820=1,"",IF($O820=ST_POST,IF($P820&lt;&gt;"",$P820,"حساب غير صالح أو غير نشط"),IF($O820=ST_REV,"معكوس: لا أثر على الدفاتر",IF($O820=ST_CANC,"ملغى",IF($O820=ST_APPR,"معتمد ولم يُرحَّل","مسودة"))))),"")</f>
        <v/>
      </c>
      <c r="Y820" s="32">
        <f>IF($A820=1,IF(AND($R820=1,OR(LG_Acct="",$G820=LG_Acct),OR(LG_Party="",$K820=LG_Party),OR(LG_Loc="ALL",$I820=LG_Loc),OR(LG_CC="ALL",$J820=LG_CC),$D820&gt;=LG_From,$D820&lt;=LG_To),$D820+ROW()/1000000,""),"")</f>
        <v/>
      </c>
      <c r="Z820" s="32">
        <f>IF($A820=1,IF(Platform_Settlements!$M19="","",Platform_Settlements!$M19),"")</f>
        <v/>
      </c>
      <c r="AA820" s="32">
        <f>IF($A820=1,IF(Platform_Settlements!$N19="","",Platform_Settlements!$N19),"")</f>
        <v/>
      </c>
      <c r="AB820" s="32">
        <f>IF($A820=1,IF(Platform_Settlements!$O19="","",Platform_Settlements!$O19),"")</f>
        <v/>
      </c>
      <c r="AC820" s="32">
        <f>IF($A820=1,IF(Platform_Settlements!$P19="","",Platform_Settlements!$P19),"")</f>
        <v/>
      </c>
      <c r="AD820" s="32">
        <f>IF($A820=1,IF(Platform_Settlements!$Q19="","",Platform_Settlements!$Q19),"")</f>
        <v/>
      </c>
      <c r="AE820" s="32">
        <f>IF($A820=1,0,"")</f>
        <v/>
      </c>
      <c r="AF820" s="32" t="inlineStr"/>
    </row>
    <row r="821">
      <c r="A821" s="32">
        <f>IF(AND(Platform_Settlements!$X19=1,N(Platform_Settlements!$T19)&lt;0),1,0)</f>
        <v/>
      </c>
      <c r="B821" s="32">
        <f>IF($A821=1,$E821&amp;"/5","")</f>
        <v/>
      </c>
      <c r="C821" s="32">
        <f>IF($A821=1,"J-"&amp;Platform_Settlements!$A19,"")</f>
        <v/>
      </c>
      <c r="D821" s="33">
        <f>IF($A821=1,Platform_Settlements!$B19,"")</f>
        <v/>
      </c>
      <c r="E821" s="32">
        <f>IF($A821=1,IF(Platform_Settlements!$A19="","",Platform_Settlements!$A19),"")</f>
        <v/>
      </c>
      <c r="F821" s="32">
        <f>IF($A821=1,"PLT","")</f>
        <v/>
      </c>
      <c r="G821" s="32">
        <f>IF($A821=1,ACC_PLT_DIFF,"")</f>
        <v/>
      </c>
      <c r="H821" s="32">
        <f>IF($A821=1,IF(COUNTIF(COA!$A:$A,$G821)=0,"حساب غير معرف",INDEX(COA!$B:$B,MATCH($G821,COA!$A:$A,0))),"")</f>
        <v/>
      </c>
      <c r="I821" s="32">
        <f>IF($A821=1,IF(Platform_Settlements!$D19="","",Platform_Settlements!$D19),"")</f>
        <v/>
      </c>
      <c r="J821" s="32">
        <f>IF($A821=1,"CC00","")</f>
        <v/>
      </c>
      <c r="K821" s="32">
        <f>IF($A821=1,"-","")</f>
        <v/>
      </c>
      <c r="L821" s="32">
        <f>IF($A821=1,"فرق تسوية منصة (زيادة) تحت المراجعة","")</f>
        <v/>
      </c>
      <c r="M821" s="43">
        <f>IF($A821=1,0,"")</f>
        <v/>
      </c>
      <c r="N821" s="43">
        <f>IF($A821=1,-Platform_Settlements!$T19,"")</f>
        <v/>
      </c>
      <c r="O821" s="32">
        <f>IF($A821=1,Platform_Settlements!$L19,"")</f>
        <v/>
      </c>
      <c r="P821" s="32">
        <f>IF($A821=1,IF(Platform_Settlements!$Y19="","",Platform_Settlements!$Y19),"")</f>
        <v/>
      </c>
      <c r="Q821" s="32">
        <f>IF($A821=1,Platform_Settlements!$AA19,"")</f>
        <v/>
      </c>
      <c r="R821" s="32">
        <f>IF($A821=1,IF(AND($Q821=1,COUNTIFS(COA!$A:$A,$G821,COA!$R:$R,1)=1),1,0),"")</f>
        <v/>
      </c>
      <c r="S821" s="43">
        <f>IF($A821=1,IF($R821=1,N($M821),0),"")</f>
        <v/>
      </c>
      <c r="T821" s="43">
        <f>IF($A821=1,IF($R821=1,N($N821),0),"")</f>
        <v/>
      </c>
      <c r="U821" s="32">
        <f>IF($A821=1,YEAR($D821)*100+MONTH($D821),"")</f>
        <v/>
      </c>
      <c r="V821" s="32">
        <f>IF($A821=1,IF(COUNTIF(COA!$A:$A,$G821)=0,0,INDEX(COA!$H:$H,MATCH($G821,COA!$A:$A,0))),"")</f>
        <v/>
      </c>
      <c r="W821" s="32">
        <f>IF($A821=1,"","")</f>
        <v/>
      </c>
      <c r="X821" s="32">
        <f>IF($A821=1,IF($R821=1,"",IF($O821=ST_POST,IF($P821&lt;&gt;"",$P821,"حساب غير صالح أو غير نشط"),IF($O821=ST_REV,"معكوس: لا أثر على الدفاتر",IF($O821=ST_CANC,"ملغى",IF($O821=ST_APPR,"معتمد ولم يُرحَّل","مسودة"))))),"")</f>
        <v/>
      </c>
      <c r="Y821" s="32">
        <f>IF($A821=1,IF(AND($R821=1,OR(LG_Acct="",$G821=LG_Acct),OR(LG_Party="",$K821=LG_Party),OR(LG_Loc="ALL",$I821=LG_Loc),OR(LG_CC="ALL",$J821=LG_CC),$D821&gt;=LG_From,$D821&lt;=LG_To),$D821+ROW()/1000000,""),"")</f>
        <v/>
      </c>
      <c r="Z821" s="32">
        <f>IF($A821=1,IF(Platform_Settlements!$M19="","",Platform_Settlements!$M19),"")</f>
        <v/>
      </c>
      <c r="AA821" s="32">
        <f>IF($A821=1,IF(Platform_Settlements!$N19="","",Platform_Settlements!$N19),"")</f>
        <v/>
      </c>
      <c r="AB821" s="32">
        <f>IF($A821=1,IF(Platform_Settlements!$O19="","",Platform_Settlements!$O19),"")</f>
        <v/>
      </c>
      <c r="AC821" s="32">
        <f>IF($A821=1,IF(Platform_Settlements!$P19="","",Platform_Settlements!$P19),"")</f>
        <v/>
      </c>
      <c r="AD821" s="32">
        <f>IF($A821=1,IF(Platform_Settlements!$Q19="","",Platform_Settlements!$Q19),"")</f>
        <v/>
      </c>
      <c r="AE821" s="32">
        <f>IF($A821=1,0,"")</f>
        <v/>
      </c>
      <c r="AF821" s="32" t="inlineStr"/>
    </row>
    <row r="822">
      <c r="A822" s="32">
        <f>IF(AND(Platform_Settlements!$X19=1,N(Platform_Settlements!$G19)&gt;0),1,0)</f>
        <v/>
      </c>
      <c r="B822" s="32">
        <f>IF($A822=1,$E822&amp;"/6","")</f>
        <v/>
      </c>
      <c r="C822" s="32">
        <f>IF($A822=1,"J-"&amp;Platform_Settlements!$A19,"")</f>
        <v/>
      </c>
      <c r="D822" s="33">
        <f>IF($A822=1,Platform_Settlements!$B19,"")</f>
        <v/>
      </c>
      <c r="E822" s="32">
        <f>IF($A822=1,IF(Platform_Settlements!$A19="","",Platform_Settlements!$A19),"")</f>
        <v/>
      </c>
      <c r="F822" s="32">
        <f>IF($A822=1,"PLT","")</f>
        <v/>
      </c>
      <c r="G822" s="32">
        <f>IF($A822=1,IF(Platform_Settlements!$U19="","",Platform_Settlements!$U19),"")</f>
        <v/>
      </c>
      <c r="H822" s="32">
        <f>IF($A822=1,IF(COUNTIF(COA!$A:$A,$G822)=0,"حساب غير معرف",INDEX(COA!$B:$B,MATCH($G822,COA!$A:$A,0))),"")</f>
        <v/>
      </c>
      <c r="I822" s="32">
        <f>IF($A822=1,IF(Platform_Settlements!$D19="","",Platform_Settlements!$D19),"")</f>
        <v/>
      </c>
      <c r="J822" s="32">
        <f>IF($A822=1,"CC00","")</f>
        <v/>
      </c>
      <c r="K822" s="32">
        <f>IF($A822=1,"-","")</f>
        <v/>
      </c>
      <c r="L822" s="32">
        <f>IF($A822=1,"تخفيض مستحقات المنصة/البطاقات","")</f>
        <v/>
      </c>
      <c r="M822" s="43">
        <f>IF($A822=1,0,"")</f>
        <v/>
      </c>
      <c r="N822" s="43">
        <f>IF($A822=1,Platform_Settlements!$G19,"")</f>
        <v/>
      </c>
      <c r="O822" s="32">
        <f>IF($A822=1,Platform_Settlements!$L19,"")</f>
        <v/>
      </c>
      <c r="P822" s="32">
        <f>IF($A822=1,IF(Platform_Settlements!$Y19="","",Platform_Settlements!$Y19),"")</f>
        <v/>
      </c>
      <c r="Q822" s="32">
        <f>IF($A822=1,Platform_Settlements!$AA19,"")</f>
        <v/>
      </c>
      <c r="R822" s="32">
        <f>IF($A822=1,IF(AND($Q822=1,COUNTIFS(COA!$A:$A,$G822,COA!$R:$R,1)=1),1,0),"")</f>
        <v/>
      </c>
      <c r="S822" s="43">
        <f>IF($A822=1,IF($R822=1,N($M822),0),"")</f>
        <v/>
      </c>
      <c r="T822" s="43">
        <f>IF($A822=1,IF($R822=1,N($N822),0),"")</f>
        <v/>
      </c>
      <c r="U822" s="32">
        <f>IF($A822=1,YEAR($D822)*100+MONTH($D822),"")</f>
        <v/>
      </c>
      <c r="V822" s="32">
        <f>IF($A822=1,IF(COUNTIF(COA!$A:$A,$G822)=0,0,INDEX(COA!$H:$H,MATCH($G822,COA!$A:$A,0))),"")</f>
        <v/>
      </c>
      <c r="W822" s="32">
        <f>IF($A822=1,"","")</f>
        <v/>
      </c>
      <c r="X822" s="32">
        <f>IF($A822=1,IF($R822=1,"",IF($O822=ST_POST,IF($P822&lt;&gt;"",$P822,"حساب غير صالح أو غير نشط"),IF($O822=ST_REV,"معكوس: لا أثر على الدفاتر",IF($O822=ST_CANC,"ملغى",IF($O822=ST_APPR,"معتمد ولم يُرحَّل","مسودة"))))),"")</f>
        <v/>
      </c>
      <c r="Y822" s="32">
        <f>IF($A822=1,IF(AND($R822=1,OR(LG_Acct="",$G822=LG_Acct),OR(LG_Party="",$K822=LG_Party),OR(LG_Loc="ALL",$I822=LG_Loc),OR(LG_CC="ALL",$J822=LG_CC),$D822&gt;=LG_From,$D822&lt;=LG_To),$D822+ROW()/1000000,""),"")</f>
        <v/>
      </c>
      <c r="Z822" s="32">
        <f>IF($A822=1,IF(Platform_Settlements!$M19="","",Platform_Settlements!$M19),"")</f>
        <v/>
      </c>
      <c r="AA822" s="32">
        <f>IF($A822=1,IF(Platform_Settlements!$N19="","",Platform_Settlements!$N19),"")</f>
        <v/>
      </c>
      <c r="AB822" s="32">
        <f>IF($A822=1,IF(Platform_Settlements!$O19="","",Platform_Settlements!$O19),"")</f>
        <v/>
      </c>
      <c r="AC822" s="32">
        <f>IF($A822=1,IF(Platform_Settlements!$P19="","",Platform_Settlements!$P19),"")</f>
        <v/>
      </c>
      <c r="AD822" s="32">
        <f>IF($A822=1,IF(Platform_Settlements!$Q19="","",Platform_Settlements!$Q19),"")</f>
        <v/>
      </c>
      <c r="AE822" s="32">
        <f>IF($A822=1,0,"")</f>
        <v/>
      </c>
      <c r="AF822" s="32" t="inlineStr"/>
    </row>
    <row r="823">
      <c r="A823" s="32">
        <f>IF(AND(Platform_Settlements!$X20=1,N(Platform_Settlements!$J20)&gt;0),1,0)</f>
        <v/>
      </c>
      <c r="B823" s="32">
        <f>IF($A823=1,$E823&amp;"/1","")</f>
        <v/>
      </c>
      <c r="C823" s="32">
        <f>IF($A823=1,"J-"&amp;Platform_Settlements!$A20,"")</f>
        <v/>
      </c>
      <c r="D823" s="33">
        <f>IF($A823=1,Platform_Settlements!$B20,"")</f>
        <v/>
      </c>
      <c r="E823" s="32">
        <f>IF($A823=1,IF(Platform_Settlements!$A20="","",Platform_Settlements!$A20),"")</f>
        <v/>
      </c>
      <c r="F823" s="32">
        <f>IF($A823=1,"PLT","")</f>
        <v/>
      </c>
      <c r="G823" s="32">
        <f>IF($A823=1,IF(Platform_Settlements!$W20="","",Platform_Settlements!$W20),"")</f>
        <v/>
      </c>
      <c r="H823" s="32">
        <f>IF($A823=1,IF(COUNTIF(COA!$A:$A,$G823)=0,"حساب غير معرف",INDEX(COA!$B:$B,MATCH($G823,COA!$A:$A,0))),"")</f>
        <v/>
      </c>
      <c r="I823" s="32">
        <f>IF($A823=1,IF(Platform_Settlements!$D20="","",Platform_Settlements!$D20),"")</f>
        <v/>
      </c>
      <c r="J823" s="32">
        <f>IF($A823=1,"CC00","")</f>
        <v/>
      </c>
      <c r="K823" s="32">
        <f>IF($A823=1,"-","")</f>
        <v/>
      </c>
      <c r="L823" s="32">
        <f>IF($A823=1,"استلام تسوية منصة/بطاقات","")</f>
        <v/>
      </c>
      <c r="M823" s="43">
        <f>IF($A823=1,Platform_Settlements!$J20,"")</f>
        <v/>
      </c>
      <c r="N823" s="43">
        <f>IF($A823=1,0,"")</f>
        <v/>
      </c>
      <c r="O823" s="32">
        <f>IF($A823=1,Platform_Settlements!$L20,"")</f>
        <v/>
      </c>
      <c r="P823" s="32">
        <f>IF($A823=1,IF(Platform_Settlements!$Y20="","",Platform_Settlements!$Y20),"")</f>
        <v/>
      </c>
      <c r="Q823" s="32">
        <f>IF($A823=1,Platform_Settlements!$AA20,"")</f>
        <v/>
      </c>
      <c r="R823" s="32">
        <f>IF($A823=1,IF(AND($Q823=1,COUNTIFS(COA!$A:$A,$G823,COA!$R:$R,1)=1),1,0),"")</f>
        <v/>
      </c>
      <c r="S823" s="43">
        <f>IF($A823=1,IF($R823=1,N($M823),0),"")</f>
        <v/>
      </c>
      <c r="T823" s="43">
        <f>IF($A823=1,IF($R823=1,N($N823),0),"")</f>
        <v/>
      </c>
      <c r="U823" s="32">
        <f>IF($A823=1,YEAR($D823)*100+MONTH($D823),"")</f>
        <v/>
      </c>
      <c r="V823" s="32">
        <f>IF($A823=1,IF(COUNTIF(COA!$A:$A,$G823)=0,0,INDEX(COA!$H:$H,MATCH($G823,COA!$A:$A,0))),"")</f>
        <v/>
      </c>
      <c r="W823" s="32">
        <f>IF($A823=1,"OPERATING","")</f>
        <v/>
      </c>
      <c r="X823" s="32">
        <f>IF($A823=1,IF($R823=1,"",IF($O823=ST_POST,IF($P823&lt;&gt;"",$P823,"حساب غير صالح أو غير نشط"),IF($O823=ST_REV,"معكوس: لا أثر على الدفاتر",IF($O823=ST_CANC,"ملغى",IF($O823=ST_APPR,"معتمد ولم يُرحَّل","مسودة"))))),"")</f>
        <v/>
      </c>
      <c r="Y823" s="32">
        <f>IF($A823=1,IF(AND($R823=1,OR(LG_Acct="",$G823=LG_Acct),OR(LG_Party="",$K823=LG_Party),OR(LG_Loc="ALL",$I823=LG_Loc),OR(LG_CC="ALL",$J823=LG_CC),$D823&gt;=LG_From,$D823&lt;=LG_To),$D823+ROW()/1000000,""),"")</f>
        <v/>
      </c>
      <c r="Z823" s="32">
        <f>IF($A823=1,IF(Platform_Settlements!$M20="","",Platform_Settlements!$M20),"")</f>
        <v/>
      </c>
      <c r="AA823" s="32">
        <f>IF($A823=1,IF(Platform_Settlements!$N20="","",Platform_Settlements!$N20),"")</f>
        <v/>
      </c>
      <c r="AB823" s="32">
        <f>IF($A823=1,IF(Platform_Settlements!$O20="","",Platform_Settlements!$O20),"")</f>
        <v/>
      </c>
      <c r="AC823" s="32">
        <f>IF($A823=1,IF(Platform_Settlements!$P20="","",Platform_Settlements!$P20),"")</f>
        <v/>
      </c>
      <c r="AD823" s="32">
        <f>IF($A823=1,IF(Platform_Settlements!$Q20="","",Platform_Settlements!$Q20),"")</f>
        <v/>
      </c>
      <c r="AE823" s="32">
        <f>IF($A823=1,0,"")</f>
        <v/>
      </c>
      <c r="AF823" s="32" t="inlineStr"/>
    </row>
    <row r="824">
      <c r="A824" s="32">
        <f>IF(AND(Platform_Settlements!$X20=1,N(Platform_Settlements!$H20)&gt;0),1,0)</f>
        <v/>
      </c>
      <c r="B824" s="32">
        <f>IF($A824=1,$E824&amp;"/2","")</f>
        <v/>
      </c>
      <c r="C824" s="32">
        <f>IF($A824=1,"J-"&amp;Platform_Settlements!$A20,"")</f>
        <v/>
      </c>
      <c r="D824" s="33">
        <f>IF($A824=1,Platform_Settlements!$B20,"")</f>
        <v/>
      </c>
      <c r="E824" s="32">
        <f>IF($A824=1,IF(Platform_Settlements!$A20="","",Platform_Settlements!$A20),"")</f>
        <v/>
      </c>
      <c r="F824" s="32">
        <f>IF($A824=1,"PLT","")</f>
        <v/>
      </c>
      <c r="G824" s="32">
        <f>IF($A824=1,IF(Platform_Settlements!$V20="","",Platform_Settlements!$V20),"")</f>
        <v/>
      </c>
      <c r="H824" s="32">
        <f>IF($A824=1,IF(COUNTIF(COA!$A:$A,$G824)=0,"حساب غير معرف",INDEX(COA!$B:$B,MATCH($G824,COA!$A:$A,0))),"")</f>
        <v/>
      </c>
      <c r="I824" s="32">
        <f>IF($A824=1,IF(Platform_Settlements!$D20="","",Platform_Settlements!$D20),"")</f>
        <v/>
      </c>
      <c r="J824" s="32">
        <f>IF($A824=1,"CC30","")</f>
        <v/>
      </c>
      <c r="K824" s="32">
        <f>IF($A824=1,"-","")</f>
        <v/>
      </c>
      <c r="L824" s="32">
        <f>IF($A824=1,"عمولة المنصة/رسوم البطاقات","")</f>
        <v/>
      </c>
      <c r="M824" s="43">
        <f>IF($A824=1,Platform_Settlements!$H20,"")</f>
        <v/>
      </c>
      <c r="N824" s="43">
        <f>IF($A824=1,0,"")</f>
        <v/>
      </c>
      <c r="O824" s="32">
        <f>IF($A824=1,Platform_Settlements!$L20,"")</f>
        <v/>
      </c>
      <c r="P824" s="32">
        <f>IF($A824=1,IF(Platform_Settlements!$Y20="","",Platform_Settlements!$Y20),"")</f>
        <v/>
      </c>
      <c r="Q824" s="32">
        <f>IF($A824=1,Platform_Settlements!$AA20,"")</f>
        <v/>
      </c>
      <c r="R824" s="32">
        <f>IF($A824=1,IF(AND($Q824=1,COUNTIFS(COA!$A:$A,$G824,COA!$R:$R,1)=1),1,0),"")</f>
        <v/>
      </c>
      <c r="S824" s="43">
        <f>IF($A824=1,IF($R824=1,N($M824),0),"")</f>
        <v/>
      </c>
      <c r="T824" s="43">
        <f>IF($A824=1,IF($R824=1,N($N824),0),"")</f>
        <v/>
      </c>
      <c r="U824" s="32">
        <f>IF($A824=1,YEAR($D824)*100+MONTH($D824),"")</f>
        <v/>
      </c>
      <c r="V824" s="32">
        <f>IF($A824=1,IF(COUNTIF(COA!$A:$A,$G824)=0,0,INDEX(COA!$H:$H,MATCH($G824,COA!$A:$A,0))),"")</f>
        <v/>
      </c>
      <c r="W824" s="32">
        <f>IF($A824=1,"","")</f>
        <v/>
      </c>
      <c r="X824" s="32">
        <f>IF($A824=1,IF($R824=1,"",IF($O824=ST_POST,IF($P824&lt;&gt;"",$P824,"حساب غير صالح أو غير نشط"),IF($O824=ST_REV,"معكوس: لا أثر على الدفاتر",IF($O824=ST_CANC,"ملغى",IF($O824=ST_APPR,"معتمد ولم يُرحَّل","مسودة"))))),"")</f>
        <v/>
      </c>
      <c r="Y824" s="32">
        <f>IF($A824=1,IF(AND($R824=1,OR(LG_Acct="",$G824=LG_Acct),OR(LG_Party="",$K824=LG_Party),OR(LG_Loc="ALL",$I824=LG_Loc),OR(LG_CC="ALL",$J824=LG_CC),$D824&gt;=LG_From,$D824&lt;=LG_To),$D824+ROW()/1000000,""),"")</f>
        <v/>
      </c>
      <c r="Z824" s="32">
        <f>IF($A824=1,IF(Platform_Settlements!$M20="","",Platform_Settlements!$M20),"")</f>
        <v/>
      </c>
      <c r="AA824" s="32">
        <f>IF($A824=1,IF(Platform_Settlements!$N20="","",Platform_Settlements!$N20),"")</f>
        <v/>
      </c>
      <c r="AB824" s="32">
        <f>IF($A824=1,IF(Platform_Settlements!$O20="","",Platform_Settlements!$O20),"")</f>
        <v/>
      </c>
      <c r="AC824" s="32">
        <f>IF($A824=1,IF(Platform_Settlements!$P20="","",Platform_Settlements!$P20),"")</f>
        <v/>
      </c>
      <c r="AD824" s="32">
        <f>IF($A824=1,IF(Platform_Settlements!$Q20="","",Platform_Settlements!$Q20),"")</f>
        <v/>
      </c>
      <c r="AE824" s="32">
        <f>IF($A824=1,0,"")</f>
        <v/>
      </c>
      <c r="AF824" s="32" t="inlineStr"/>
    </row>
    <row r="825">
      <c r="A825" s="32">
        <f>IF(AND(Platform_Settlements!$X20=1,N(Platform_Settlements!$I20)&gt;0),1,0)</f>
        <v/>
      </c>
      <c r="B825" s="32">
        <f>IF($A825=1,$E825&amp;"/3","")</f>
        <v/>
      </c>
      <c r="C825" s="32">
        <f>IF($A825=1,"J-"&amp;Platform_Settlements!$A20,"")</f>
        <v/>
      </c>
      <c r="D825" s="33">
        <f>IF($A825=1,Platform_Settlements!$B20,"")</f>
        <v/>
      </c>
      <c r="E825" s="32">
        <f>IF($A825=1,IF(Platform_Settlements!$A20="","",Platform_Settlements!$A20),"")</f>
        <v/>
      </c>
      <c r="F825" s="32">
        <f>IF($A825=1,"PLT","")</f>
        <v/>
      </c>
      <c r="G825" s="32">
        <f>IF($A825=1,ACC_PLT_OTHER,"")</f>
        <v/>
      </c>
      <c r="H825" s="32">
        <f>IF($A825=1,IF(COUNTIF(COA!$A:$A,$G825)=0,"حساب غير معرف",INDEX(COA!$B:$B,MATCH($G825,COA!$A:$A,0))),"")</f>
        <v/>
      </c>
      <c r="I825" s="32">
        <f>IF($A825=1,IF(Platform_Settlements!$D20="","",Platform_Settlements!$D20),"")</f>
        <v/>
      </c>
      <c r="J825" s="32">
        <f>IF($A825=1,"CC30","")</f>
        <v/>
      </c>
      <c r="K825" s="32">
        <f>IF($A825=1,"-","")</f>
        <v/>
      </c>
      <c r="L825" s="32">
        <f>IF($A825=1,"خصومات/غرامات أخرى من المنصة","")</f>
        <v/>
      </c>
      <c r="M825" s="43">
        <f>IF($A825=1,Platform_Settlements!$I20,"")</f>
        <v/>
      </c>
      <c r="N825" s="43">
        <f>IF($A825=1,0,"")</f>
        <v/>
      </c>
      <c r="O825" s="32">
        <f>IF($A825=1,Platform_Settlements!$L20,"")</f>
        <v/>
      </c>
      <c r="P825" s="32">
        <f>IF($A825=1,IF(Platform_Settlements!$Y20="","",Platform_Settlements!$Y20),"")</f>
        <v/>
      </c>
      <c r="Q825" s="32">
        <f>IF($A825=1,Platform_Settlements!$AA20,"")</f>
        <v/>
      </c>
      <c r="R825" s="32">
        <f>IF($A825=1,IF(AND($Q825=1,COUNTIFS(COA!$A:$A,$G825,COA!$R:$R,1)=1),1,0),"")</f>
        <v/>
      </c>
      <c r="S825" s="43">
        <f>IF($A825=1,IF($R825=1,N($M825),0),"")</f>
        <v/>
      </c>
      <c r="T825" s="43">
        <f>IF($A825=1,IF($R825=1,N($N825),0),"")</f>
        <v/>
      </c>
      <c r="U825" s="32">
        <f>IF($A825=1,YEAR($D825)*100+MONTH($D825),"")</f>
        <v/>
      </c>
      <c r="V825" s="32">
        <f>IF($A825=1,IF(COUNTIF(COA!$A:$A,$G825)=0,0,INDEX(COA!$H:$H,MATCH($G825,COA!$A:$A,0))),"")</f>
        <v/>
      </c>
      <c r="W825" s="32">
        <f>IF($A825=1,"","")</f>
        <v/>
      </c>
      <c r="X825" s="32">
        <f>IF($A825=1,IF($R825=1,"",IF($O825=ST_POST,IF($P825&lt;&gt;"",$P825,"حساب غير صالح أو غير نشط"),IF($O825=ST_REV,"معكوس: لا أثر على الدفاتر",IF($O825=ST_CANC,"ملغى",IF($O825=ST_APPR,"معتمد ولم يُرحَّل","مسودة"))))),"")</f>
        <v/>
      </c>
      <c r="Y825" s="32">
        <f>IF($A825=1,IF(AND($R825=1,OR(LG_Acct="",$G825=LG_Acct),OR(LG_Party="",$K825=LG_Party),OR(LG_Loc="ALL",$I825=LG_Loc),OR(LG_CC="ALL",$J825=LG_CC),$D825&gt;=LG_From,$D825&lt;=LG_To),$D825+ROW()/1000000,""),"")</f>
        <v/>
      </c>
      <c r="Z825" s="32">
        <f>IF($A825=1,IF(Platform_Settlements!$M20="","",Platform_Settlements!$M20),"")</f>
        <v/>
      </c>
      <c r="AA825" s="32">
        <f>IF($A825=1,IF(Platform_Settlements!$N20="","",Platform_Settlements!$N20),"")</f>
        <v/>
      </c>
      <c r="AB825" s="32">
        <f>IF($A825=1,IF(Platform_Settlements!$O20="","",Platform_Settlements!$O20),"")</f>
        <v/>
      </c>
      <c r="AC825" s="32">
        <f>IF($A825=1,IF(Platform_Settlements!$P20="","",Platform_Settlements!$P20),"")</f>
        <v/>
      </c>
      <c r="AD825" s="32">
        <f>IF($A825=1,IF(Platform_Settlements!$Q20="","",Platform_Settlements!$Q20),"")</f>
        <v/>
      </c>
      <c r="AE825" s="32">
        <f>IF($A825=1,0,"")</f>
        <v/>
      </c>
      <c r="AF825" s="32" t="inlineStr"/>
    </row>
    <row r="826">
      <c r="A826" s="32">
        <f>IF(AND(Platform_Settlements!$X20=1,N(Platform_Settlements!$T20)&gt;0),1,0)</f>
        <v/>
      </c>
      <c r="B826" s="32">
        <f>IF($A826=1,$E826&amp;"/4","")</f>
        <v/>
      </c>
      <c r="C826" s="32">
        <f>IF($A826=1,"J-"&amp;Platform_Settlements!$A20,"")</f>
        <v/>
      </c>
      <c r="D826" s="33">
        <f>IF($A826=1,Platform_Settlements!$B20,"")</f>
        <v/>
      </c>
      <c r="E826" s="32">
        <f>IF($A826=1,IF(Platform_Settlements!$A20="","",Platform_Settlements!$A20),"")</f>
        <v/>
      </c>
      <c r="F826" s="32">
        <f>IF($A826=1,"PLT","")</f>
        <v/>
      </c>
      <c r="G826" s="32">
        <f>IF($A826=1,ACC_PLT_DIFF,"")</f>
        <v/>
      </c>
      <c r="H826" s="32">
        <f>IF($A826=1,IF(COUNTIF(COA!$A:$A,$G826)=0,"حساب غير معرف",INDEX(COA!$B:$B,MATCH($G826,COA!$A:$A,0))),"")</f>
        <v/>
      </c>
      <c r="I826" s="32">
        <f>IF($A826=1,IF(Platform_Settlements!$D20="","",Platform_Settlements!$D20),"")</f>
        <v/>
      </c>
      <c r="J826" s="32">
        <f>IF($A826=1,"CC00","")</f>
        <v/>
      </c>
      <c r="K826" s="32">
        <f>IF($A826=1,"-","")</f>
        <v/>
      </c>
      <c r="L826" s="32">
        <f>IF($A826=1,"فرق تسوية منصة (نقص) تحت المراجعة","")</f>
        <v/>
      </c>
      <c r="M826" s="43">
        <f>IF($A826=1,Platform_Settlements!$T20,"")</f>
        <v/>
      </c>
      <c r="N826" s="43">
        <f>IF($A826=1,0,"")</f>
        <v/>
      </c>
      <c r="O826" s="32">
        <f>IF($A826=1,Platform_Settlements!$L20,"")</f>
        <v/>
      </c>
      <c r="P826" s="32">
        <f>IF($A826=1,IF(Platform_Settlements!$Y20="","",Platform_Settlements!$Y20),"")</f>
        <v/>
      </c>
      <c r="Q826" s="32">
        <f>IF($A826=1,Platform_Settlements!$AA20,"")</f>
        <v/>
      </c>
      <c r="R826" s="32">
        <f>IF($A826=1,IF(AND($Q826=1,COUNTIFS(COA!$A:$A,$G826,COA!$R:$R,1)=1),1,0),"")</f>
        <v/>
      </c>
      <c r="S826" s="43">
        <f>IF($A826=1,IF($R826=1,N($M826),0),"")</f>
        <v/>
      </c>
      <c r="T826" s="43">
        <f>IF($A826=1,IF($R826=1,N($N826),0),"")</f>
        <v/>
      </c>
      <c r="U826" s="32">
        <f>IF($A826=1,YEAR($D826)*100+MONTH($D826),"")</f>
        <v/>
      </c>
      <c r="V826" s="32">
        <f>IF($A826=1,IF(COUNTIF(COA!$A:$A,$G826)=0,0,INDEX(COA!$H:$H,MATCH($G826,COA!$A:$A,0))),"")</f>
        <v/>
      </c>
      <c r="W826" s="32">
        <f>IF($A826=1,"","")</f>
        <v/>
      </c>
      <c r="X826" s="32">
        <f>IF($A826=1,IF($R826=1,"",IF($O826=ST_POST,IF($P826&lt;&gt;"",$P826,"حساب غير صالح أو غير نشط"),IF($O826=ST_REV,"معكوس: لا أثر على الدفاتر",IF($O826=ST_CANC,"ملغى",IF($O826=ST_APPR,"معتمد ولم يُرحَّل","مسودة"))))),"")</f>
        <v/>
      </c>
      <c r="Y826" s="32">
        <f>IF($A826=1,IF(AND($R826=1,OR(LG_Acct="",$G826=LG_Acct),OR(LG_Party="",$K826=LG_Party),OR(LG_Loc="ALL",$I826=LG_Loc),OR(LG_CC="ALL",$J826=LG_CC),$D826&gt;=LG_From,$D826&lt;=LG_To),$D826+ROW()/1000000,""),"")</f>
        <v/>
      </c>
      <c r="Z826" s="32">
        <f>IF($A826=1,IF(Platform_Settlements!$M20="","",Platform_Settlements!$M20),"")</f>
        <v/>
      </c>
      <c r="AA826" s="32">
        <f>IF($A826=1,IF(Platform_Settlements!$N20="","",Platform_Settlements!$N20),"")</f>
        <v/>
      </c>
      <c r="AB826" s="32">
        <f>IF($A826=1,IF(Platform_Settlements!$O20="","",Platform_Settlements!$O20),"")</f>
        <v/>
      </c>
      <c r="AC826" s="32">
        <f>IF($A826=1,IF(Platform_Settlements!$P20="","",Platform_Settlements!$P20),"")</f>
        <v/>
      </c>
      <c r="AD826" s="32">
        <f>IF($A826=1,IF(Platform_Settlements!$Q20="","",Platform_Settlements!$Q20),"")</f>
        <v/>
      </c>
      <c r="AE826" s="32">
        <f>IF($A826=1,0,"")</f>
        <v/>
      </c>
      <c r="AF826" s="32" t="inlineStr"/>
    </row>
    <row r="827">
      <c r="A827" s="32">
        <f>IF(AND(Platform_Settlements!$X20=1,N(Platform_Settlements!$T20)&lt;0),1,0)</f>
        <v/>
      </c>
      <c r="B827" s="32">
        <f>IF($A827=1,$E827&amp;"/5","")</f>
        <v/>
      </c>
      <c r="C827" s="32">
        <f>IF($A827=1,"J-"&amp;Platform_Settlements!$A20,"")</f>
        <v/>
      </c>
      <c r="D827" s="33">
        <f>IF($A827=1,Platform_Settlements!$B20,"")</f>
        <v/>
      </c>
      <c r="E827" s="32">
        <f>IF($A827=1,IF(Platform_Settlements!$A20="","",Platform_Settlements!$A20),"")</f>
        <v/>
      </c>
      <c r="F827" s="32">
        <f>IF($A827=1,"PLT","")</f>
        <v/>
      </c>
      <c r="G827" s="32">
        <f>IF($A827=1,ACC_PLT_DIFF,"")</f>
        <v/>
      </c>
      <c r="H827" s="32">
        <f>IF($A827=1,IF(COUNTIF(COA!$A:$A,$G827)=0,"حساب غير معرف",INDEX(COA!$B:$B,MATCH($G827,COA!$A:$A,0))),"")</f>
        <v/>
      </c>
      <c r="I827" s="32">
        <f>IF($A827=1,IF(Platform_Settlements!$D20="","",Platform_Settlements!$D20),"")</f>
        <v/>
      </c>
      <c r="J827" s="32">
        <f>IF($A827=1,"CC00","")</f>
        <v/>
      </c>
      <c r="K827" s="32">
        <f>IF($A827=1,"-","")</f>
        <v/>
      </c>
      <c r="L827" s="32">
        <f>IF($A827=1,"فرق تسوية منصة (زيادة) تحت المراجعة","")</f>
        <v/>
      </c>
      <c r="M827" s="43">
        <f>IF($A827=1,0,"")</f>
        <v/>
      </c>
      <c r="N827" s="43">
        <f>IF($A827=1,-Platform_Settlements!$T20,"")</f>
        <v/>
      </c>
      <c r="O827" s="32">
        <f>IF($A827=1,Platform_Settlements!$L20,"")</f>
        <v/>
      </c>
      <c r="P827" s="32">
        <f>IF($A827=1,IF(Platform_Settlements!$Y20="","",Platform_Settlements!$Y20),"")</f>
        <v/>
      </c>
      <c r="Q827" s="32">
        <f>IF($A827=1,Platform_Settlements!$AA20,"")</f>
        <v/>
      </c>
      <c r="R827" s="32">
        <f>IF($A827=1,IF(AND($Q827=1,COUNTIFS(COA!$A:$A,$G827,COA!$R:$R,1)=1),1,0),"")</f>
        <v/>
      </c>
      <c r="S827" s="43">
        <f>IF($A827=1,IF($R827=1,N($M827),0),"")</f>
        <v/>
      </c>
      <c r="T827" s="43">
        <f>IF($A827=1,IF($R827=1,N($N827),0),"")</f>
        <v/>
      </c>
      <c r="U827" s="32">
        <f>IF($A827=1,YEAR($D827)*100+MONTH($D827),"")</f>
        <v/>
      </c>
      <c r="V827" s="32">
        <f>IF($A827=1,IF(COUNTIF(COA!$A:$A,$G827)=0,0,INDEX(COA!$H:$H,MATCH($G827,COA!$A:$A,0))),"")</f>
        <v/>
      </c>
      <c r="W827" s="32">
        <f>IF($A827=1,"","")</f>
        <v/>
      </c>
      <c r="X827" s="32">
        <f>IF($A827=1,IF($R827=1,"",IF($O827=ST_POST,IF($P827&lt;&gt;"",$P827,"حساب غير صالح أو غير نشط"),IF($O827=ST_REV,"معكوس: لا أثر على الدفاتر",IF($O827=ST_CANC,"ملغى",IF($O827=ST_APPR,"معتمد ولم يُرحَّل","مسودة"))))),"")</f>
        <v/>
      </c>
      <c r="Y827" s="32">
        <f>IF($A827=1,IF(AND($R827=1,OR(LG_Acct="",$G827=LG_Acct),OR(LG_Party="",$K827=LG_Party),OR(LG_Loc="ALL",$I827=LG_Loc),OR(LG_CC="ALL",$J827=LG_CC),$D827&gt;=LG_From,$D827&lt;=LG_To),$D827+ROW()/1000000,""),"")</f>
        <v/>
      </c>
      <c r="Z827" s="32">
        <f>IF($A827=1,IF(Platform_Settlements!$M20="","",Platform_Settlements!$M20),"")</f>
        <v/>
      </c>
      <c r="AA827" s="32">
        <f>IF($A827=1,IF(Platform_Settlements!$N20="","",Platform_Settlements!$N20),"")</f>
        <v/>
      </c>
      <c r="AB827" s="32">
        <f>IF($A827=1,IF(Platform_Settlements!$O20="","",Platform_Settlements!$O20),"")</f>
        <v/>
      </c>
      <c r="AC827" s="32">
        <f>IF($A827=1,IF(Platform_Settlements!$P20="","",Platform_Settlements!$P20),"")</f>
        <v/>
      </c>
      <c r="AD827" s="32">
        <f>IF($A827=1,IF(Platform_Settlements!$Q20="","",Platform_Settlements!$Q20),"")</f>
        <v/>
      </c>
      <c r="AE827" s="32">
        <f>IF($A827=1,0,"")</f>
        <v/>
      </c>
      <c r="AF827" s="32" t="inlineStr"/>
    </row>
    <row r="828">
      <c r="A828" s="32">
        <f>IF(AND(Platform_Settlements!$X20=1,N(Platform_Settlements!$G20)&gt;0),1,0)</f>
        <v/>
      </c>
      <c r="B828" s="32">
        <f>IF($A828=1,$E828&amp;"/6","")</f>
        <v/>
      </c>
      <c r="C828" s="32">
        <f>IF($A828=1,"J-"&amp;Platform_Settlements!$A20,"")</f>
        <v/>
      </c>
      <c r="D828" s="33">
        <f>IF($A828=1,Platform_Settlements!$B20,"")</f>
        <v/>
      </c>
      <c r="E828" s="32">
        <f>IF($A828=1,IF(Platform_Settlements!$A20="","",Platform_Settlements!$A20),"")</f>
        <v/>
      </c>
      <c r="F828" s="32">
        <f>IF($A828=1,"PLT","")</f>
        <v/>
      </c>
      <c r="G828" s="32">
        <f>IF($A828=1,IF(Platform_Settlements!$U20="","",Platform_Settlements!$U20),"")</f>
        <v/>
      </c>
      <c r="H828" s="32">
        <f>IF($A828=1,IF(COUNTIF(COA!$A:$A,$G828)=0,"حساب غير معرف",INDEX(COA!$B:$B,MATCH($G828,COA!$A:$A,0))),"")</f>
        <v/>
      </c>
      <c r="I828" s="32">
        <f>IF($A828=1,IF(Platform_Settlements!$D20="","",Platform_Settlements!$D20),"")</f>
        <v/>
      </c>
      <c r="J828" s="32">
        <f>IF($A828=1,"CC00","")</f>
        <v/>
      </c>
      <c r="K828" s="32">
        <f>IF($A828=1,"-","")</f>
        <v/>
      </c>
      <c r="L828" s="32">
        <f>IF($A828=1,"تخفيض مستحقات المنصة/البطاقات","")</f>
        <v/>
      </c>
      <c r="M828" s="43">
        <f>IF($A828=1,0,"")</f>
        <v/>
      </c>
      <c r="N828" s="43">
        <f>IF($A828=1,Platform_Settlements!$G20,"")</f>
        <v/>
      </c>
      <c r="O828" s="32">
        <f>IF($A828=1,Platform_Settlements!$L20,"")</f>
        <v/>
      </c>
      <c r="P828" s="32">
        <f>IF($A828=1,IF(Platform_Settlements!$Y20="","",Platform_Settlements!$Y20),"")</f>
        <v/>
      </c>
      <c r="Q828" s="32">
        <f>IF($A828=1,Platform_Settlements!$AA20,"")</f>
        <v/>
      </c>
      <c r="R828" s="32">
        <f>IF($A828=1,IF(AND($Q828=1,COUNTIFS(COA!$A:$A,$G828,COA!$R:$R,1)=1),1,0),"")</f>
        <v/>
      </c>
      <c r="S828" s="43">
        <f>IF($A828=1,IF($R828=1,N($M828),0),"")</f>
        <v/>
      </c>
      <c r="T828" s="43">
        <f>IF($A828=1,IF($R828=1,N($N828),0),"")</f>
        <v/>
      </c>
      <c r="U828" s="32">
        <f>IF($A828=1,YEAR($D828)*100+MONTH($D828),"")</f>
        <v/>
      </c>
      <c r="V828" s="32">
        <f>IF($A828=1,IF(COUNTIF(COA!$A:$A,$G828)=0,0,INDEX(COA!$H:$H,MATCH($G828,COA!$A:$A,0))),"")</f>
        <v/>
      </c>
      <c r="W828" s="32">
        <f>IF($A828=1,"","")</f>
        <v/>
      </c>
      <c r="X828" s="32">
        <f>IF($A828=1,IF($R828=1,"",IF($O828=ST_POST,IF($P828&lt;&gt;"",$P828,"حساب غير صالح أو غير نشط"),IF($O828=ST_REV,"معكوس: لا أثر على الدفاتر",IF($O828=ST_CANC,"ملغى",IF($O828=ST_APPR,"معتمد ولم يُرحَّل","مسودة"))))),"")</f>
        <v/>
      </c>
      <c r="Y828" s="32">
        <f>IF($A828=1,IF(AND($R828=1,OR(LG_Acct="",$G828=LG_Acct),OR(LG_Party="",$K828=LG_Party),OR(LG_Loc="ALL",$I828=LG_Loc),OR(LG_CC="ALL",$J828=LG_CC),$D828&gt;=LG_From,$D828&lt;=LG_To),$D828+ROW()/1000000,""),"")</f>
        <v/>
      </c>
      <c r="Z828" s="32">
        <f>IF($A828=1,IF(Platform_Settlements!$M20="","",Platform_Settlements!$M20),"")</f>
        <v/>
      </c>
      <c r="AA828" s="32">
        <f>IF($A828=1,IF(Platform_Settlements!$N20="","",Platform_Settlements!$N20),"")</f>
        <v/>
      </c>
      <c r="AB828" s="32">
        <f>IF($A828=1,IF(Platform_Settlements!$O20="","",Platform_Settlements!$O20),"")</f>
        <v/>
      </c>
      <c r="AC828" s="32">
        <f>IF($A828=1,IF(Platform_Settlements!$P20="","",Platform_Settlements!$P20),"")</f>
        <v/>
      </c>
      <c r="AD828" s="32">
        <f>IF($A828=1,IF(Platform_Settlements!$Q20="","",Platform_Settlements!$Q20),"")</f>
        <v/>
      </c>
      <c r="AE828" s="32">
        <f>IF($A828=1,0,"")</f>
        <v/>
      </c>
      <c r="AF828" s="32" t="inlineStr"/>
    </row>
    <row r="829">
      <c r="A829" s="32">
        <f>IF(AND(Cash_Vouchers!$AJ5=1,N(Cash_Vouchers!$I5)&gt;0),1,0)</f>
        <v/>
      </c>
      <c r="B829" s="32">
        <f>IF($A829=1,$E829&amp;"/1","")</f>
        <v/>
      </c>
      <c r="C829" s="32">
        <f>IF($A829=1,"J-"&amp;Cash_Vouchers!$A5,"")</f>
        <v/>
      </c>
      <c r="D829" s="33">
        <f>IF($A829=1,Cash_Vouchers!$B5,"")</f>
        <v/>
      </c>
      <c r="E829" s="32">
        <f>IF($A829=1,IF(Cash_Vouchers!$A5="","",Cash_Vouchers!$A5),"")</f>
        <v/>
      </c>
      <c r="F829" s="32">
        <f>IF($A829=1,"CV","")</f>
        <v/>
      </c>
      <c r="G829" s="32">
        <f>IF($A829=1,IF(Cash_Vouchers!$AA5="","",Cash_Vouchers!$AA5),"")</f>
        <v/>
      </c>
      <c r="H829" s="32">
        <f>IF($A829=1,IF(COUNTIF(COA!$A:$A,$G829)=0,"حساب غير معرف",INDEX(COA!$B:$B,MATCH($G829,COA!$A:$A,0))),"")</f>
        <v/>
      </c>
      <c r="I829" s="32">
        <f>IF($A829=1,IF(Cash_Vouchers!$AC5="","",Cash_Vouchers!$AC5),"")</f>
        <v/>
      </c>
      <c r="J829" s="32">
        <f>IF($A829=1,IF(Cash_Vouchers!$AE5="","",Cash_Vouchers!$AE5),"")</f>
        <v/>
      </c>
      <c r="K829" s="32">
        <f>IF($A829=1,IF(Cash_Vouchers!$AG5="","",Cash_Vouchers!$AG5),"")</f>
        <v/>
      </c>
      <c r="L829" s="32">
        <f>IF($A829=1,IF(Cash_Vouchers!$K5="",Cash_Vouchers!$C5&amp;" - "&amp;Cash_Vouchers!$H5,Cash_Vouchers!$K5),"")</f>
        <v/>
      </c>
      <c r="M829" s="43">
        <f>IF($A829=1,Cash_Vouchers!$I5,"")</f>
        <v/>
      </c>
      <c r="N829" s="43">
        <f>IF($A829=1,0,"")</f>
        <v/>
      </c>
      <c r="O829" s="32">
        <f>IF($A829=1,Cash_Vouchers!$N5,"")</f>
        <v/>
      </c>
      <c r="P829" s="32">
        <f>IF($A829=1,IF(Cash_Vouchers!$AK5="","",Cash_Vouchers!$AK5),"")</f>
        <v/>
      </c>
      <c r="Q829" s="32">
        <f>IF($A829=1,Cash_Vouchers!$AM5,"")</f>
        <v/>
      </c>
      <c r="R829" s="32">
        <f>IF($A829=1,IF(AND($Q829=1,COUNTIFS(COA!$A:$A,$G829,COA!$R:$R,1)=1),1,0),"")</f>
        <v/>
      </c>
      <c r="S829" s="43">
        <f>IF($A829=1,IF($R829=1,N($M829),0),"")</f>
        <v/>
      </c>
      <c r="T829" s="43">
        <f>IF($A829=1,IF($R829=1,N($N829),0),"")</f>
        <v/>
      </c>
      <c r="U829" s="32">
        <f>IF($A829=1,YEAR($D829)*100+MONTH($D829),"")</f>
        <v/>
      </c>
      <c r="V829" s="32">
        <f>IF($A829=1,IF(COUNTIF(COA!$A:$A,$G829)=0,0,INDEX(COA!$H:$H,MATCH($G829,COA!$A:$A,0))),"")</f>
        <v/>
      </c>
      <c r="W829" s="32">
        <f>IF($A829=1,IF(Cash_Vouchers!$AI5="","",Cash_Vouchers!$AI5),"")</f>
        <v/>
      </c>
      <c r="X829" s="32">
        <f>IF($A829=1,IF($R829=1,"",IF($O829=ST_POST,IF($P829&lt;&gt;"",$P829,"حساب غير صالح أو غير نشط"),IF($O829=ST_REV,"معكوس: لا أثر على الدفاتر",IF($O829=ST_CANC,"ملغى",IF($O829=ST_APPR,"معتمد ولم يُرحَّل","مسودة"))))),"")</f>
        <v/>
      </c>
      <c r="Y829" s="32">
        <f>IF($A829=1,IF(AND($R829=1,OR(LG_Acct="",$G829=LG_Acct),OR(LG_Party="",$K829=LG_Party),OR(LG_Loc="ALL",$I829=LG_Loc),OR(LG_CC="ALL",$J829=LG_CC),$D829&gt;=LG_From,$D829&lt;=LG_To),$D829+ROW()/1000000,""),"")</f>
        <v/>
      </c>
      <c r="Z829" s="32">
        <f>IF($A829=1,IF(Cash_Vouchers!$O5="","",Cash_Vouchers!$O5),"")</f>
        <v/>
      </c>
      <c r="AA829" s="32">
        <f>IF($A829=1,IF(Cash_Vouchers!$P5="","",Cash_Vouchers!$P5),"")</f>
        <v/>
      </c>
      <c r="AB829" s="32">
        <f>IF($A829=1,IF(Cash_Vouchers!$Q5="","",Cash_Vouchers!$Q5),"")</f>
        <v/>
      </c>
      <c r="AC829" s="32">
        <f>IF($A829=1,IF(Cash_Vouchers!$R5="","",Cash_Vouchers!$R5),"")</f>
        <v/>
      </c>
      <c r="AD829" s="32">
        <f>IF($A829=1,IF(Cash_Vouchers!$S5="","",Cash_Vouchers!$S5),"")</f>
        <v/>
      </c>
      <c r="AE829" s="32">
        <f>IF($A829=1,0,"")</f>
        <v/>
      </c>
      <c r="AF829" s="32" t="inlineStr"/>
    </row>
    <row r="830">
      <c r="A830" s="32">
        <f>IF(AND(Cash_Vouchers!$AJ5=1,N(Cash_Vouchers!$I5)&gt;0),1,0)</f>
        <v/>
      </c>
      <c r="B830" s="32">
        <f>IF($A830=1,$E830&amp;"/2","")</f>
        <v/>
      </c>
      <c r="C830" s="32">
        <f>IF($A830=1,"J-"&amp;Cash_Vouchers!$A5,"")</f>
        <v/>
      </c>
      <c r="D830" s="33">
        <f>IF($A830=1,Cash_Vouchers!$B5,"")</f>
        <v/>
      </c>
      <c r="E830" s="32">
        <f>IF($A830=1,IF(Cash_Vouchers!$A5="","",Cash_Vouchers!$A5),"")</f>
        <v/>
      </c>
      <c r="F830" s="32">
        <f>IF($A830=1,"CV","")</f>
        <v/>
      </c>
      <c r="G830" s="32">
        <f>IF($A830=1,IF(Cash_Vouchers!$AB5="","",Cash_Vouchers!$AB5),"")</f>
        <v/>
      </c>
      <c r="H830" s="32">
        <f>IF($A830=1,IF(COUNTIF(COA!$A:$A,$G830)=0,"حساب غير معرف",INDEX(COA!$B:$B,MATCH($G830,COA!$A:$A,0))),"")</f>
        <v/>
      </c>
      <c r="I830" s="32">
        <f>IF($A830=1,IF(Cash_Vouchers!$AD5="","",Cash_Vouchers!$AD5),"")</f>
        <v/>
      </c>
      <c r="J830" s="32">
        <f>IF($A830=1,IF(Cash_Vouchers!$AF5="","",Cash_Vouchers!$AF5),"")</f>
        <v/>
      </c>
      <c r="K830" s="32">
        <f>IF($A830=1,IF(Cash_Vouchers!$AH5="","",Cash_Vouchers!$AH5),"")</f>
        <v/>
      </c>
      <c r="L830" s="32">
        <f>IF($A830=1,IF(Cash_Vouchers!$K5="",Cash_Vouchers!$C5&amp;" - "&amp;Cash_Vouchers!$H5,Cash_Vouchers!$K5),"")</f>
        <v/>
      </c>
      <c r="M830" s="43">
        <f>IF($A830=1,0,"")</f>
        <v/>
      </c>
      <c r="N830" s="43">
        <f>IF($A830=1,Cash_Vouchers!$I5,"")</f>
        <v/>
      </c>
      <c r="O830" s="32">
        <f>IF($A830=1,Cash_Vouchers!$N5,"")</f>
        <v/>
      </c>
      <c r="P830" s="32">
        <f>IF($A830=1,IF(Cash_Vouchers!$AK5="","",Cash_Vouchers!$AK5),"")</f>
        <v/>
      </c>
      <c r="Q830" s="32">
        <f>IF($A830=1,Cash_Vouchers!$AM5,"")</f>
        <v/>
      </c>
      <c r="R830" s="32">
        <f>IF($A830=1,IF(AND($Q830=1,COUNTIFS(COA!$A:$A,$G830,COA!$R:$R,1)=1),1,0),"")</f>
        <v/>
      </c>
      <c r="S830" s="43">
        <f>IF($A830=1,IF($R830=1,N($M830),0),"")</f>
        <v/>
      </c>
      <c r="T830" s="43">
        <f>IF($A830=1,IF($R830=1,N($N830),0),"")</f>
        <v/>
      </c>
      <c r="U830" s="32">
        <f>IF($A830=1,YEAR($D830)*100+MONTH($D830),"")</f>
        <v/>
      </c>
      <c r="V830" s="32">
        <f>IF($A830=1,IF(COUNTIF(COA!$A:$A,$G830)=0,0,INDEX(COA!$H:$H,MATCH($G830,COA!$A:$A,0))),"")</f>
        <v/>
      </c>
      <c r="W830" s="32">
        <f>IF($A830=1,IF(Cash_Vouchers!$AI5="","",Cash_Vouchers!$AI5),"")</f>
        <v/>
      </c>
      <c r="X830" s="32">
        <f>IF($A830=1,IF($R830=1,"",IF($O830=ST_POST,IF($P830&lt;&gt;"",$P830,"حساب غير صالح أو غير نشط"),IF($O830=ST_REV,"معكوس: لا أثر على الدفاتر",IF($O830=ST_CANC,"ملغى",IF($O830=ST_APPR,"معتمد ولم يُرحَّل","مسودة"))))),"")</f>
        <v/>
      </c>
      <c r="Y830" s="32">
        <f>IF($A830=1,IF(AND($R830=1,OR(LG_Acct="",$G830=LG_Acct),OR(LG_Party="",$K830=LG_Party),OR(LG_Loc="ALL",$I830=LG_Loc),OR(LG_CC="ALL",$J830=LG_CC),$D830&gt;=LG_From,$D830&lt;=LG_To),$D830+ROW()/1000000,""),"")</f>
        <v/>
      </c>
      <c r="Z830" s="32">
        <f>IF($A830=1,IF(Cash_Vouchers!$O5="","",Cash_Vouchers!$O5),"")</f>
        <v/>
      </c>
      <c r="AA830" s="32">
        <f>IF($A830=1,IF(Cash_Vouchers!$P5="","",Cash_Vouchers!$P5),"")</f>
        <v/>
      </c>
      <c r="AB830" s="32">
        <f>IF($A830=1,IF(Cash_Vouchers!$Q5="","",Cash_Vouchers!$Q5),"")</f>
        <v/>
      </c>
      <c r="AC830" s="32">
        <f>IF($A830=1,IF(Cash_Vouchers!$R5="","",Cash_Vouchers!$R5),"")</f>
        <v/>
      </c>
      <c r="AD830" s="32">
        <f>IF($A830=1,IF(Cash_Vouchers!$S5="","",Cash_Vouchers!$S5),"")</f>
        <v/>
      </c>
      <c r="AE830" s="32">
        <f>IF($A830=1,0,"")</f>
        <v/>
      </c>
      <c r="AF830" s="32" t="inlineStr"/>
    </row>
    <row r="831">
      <c r="A831" s="32">
        <f>IF(AND(Cash_Vouchers!$AJ6=1,N(Cash_Vouchers!$I6)&gt;0),1,0)</f>
        <v/>
      </c>
      <c r="B831" s="32">
        <f>IF($A831=1,$E831&amp;"/1","")</f>
        <v/>
      </c>
      <c r="C831" s="32">
        <f>IF($A831=1,"J-"&amp;Cash_Vouchers!$A6,"")</f>
        <v/>
      </c>
      <c r="D831" s="33">
        <f>IF($A831=1,Cash_Vouchers!$B6,"")</f>
        <v/>
      </c>
      <c r="E831" s="32">
        <f>IF($A831=1,IF(Cash_Vouchers!$A6="","",Cash_Vouchers!$A6),"")</f>
        <v/>
      </c>
      <c r="F831" s="32">
        <f>IF($A831=1,"CV","")</f>
        <v/>
      </c>
      <c r="G831" s="32">
        <f>IF($A831=1,IF(Cash_Vouchers!$AA6="","",Cash_Vouchers!$AA6),"")</f>
        <v/>
      </c>
      <c r="H831" s="32">
        <f>IF($A831=1,IF(COUNTIF(COA!$A:$A,$G831)=0,"حساب غير معرف",INDEX(COA!$B:$B,MATCH($G831,COA!$A:$A,0))),"")</f>
        <v/>
      </c>
      <c r="I831" s="32">
        <f>IF($A831=1,IF(Cash_Vouchers!$AC6="","",Cash_Vouchers!$AC6),"")</f>
        <v/>
      </c>
      <c r="J831" s="32">
        <f>IF($A831=1,IF(Cash_Vouchers!$AE6="","",Cash_Vouchers!$AE6),"")</f>
        <v/>
      </c>
      <c r="K831" s="32">
        <f>IF($A831=1,IF(Cash_Vouchers!$AG6="","",Cash_Vouchers!$AG6),"")</f>
        <v/>
      </c>
      <c r="L831" s="32">
        <f>IF($A831=1,IF(Cash_Vouchers!$K6="",Cash_Vouchers!$C6&amp;" - "&amp;Cash_Vouchers!$H6,Cash_Vouchers!$K6),"")</f>
        <v/>
      </c>
      <c r="M831" s="43">
        <f>IF($A831=1,Cash_Vouchers!$I6,"")</f>
        <v/>
      </c>
      <c r="N831" s="43">
        <f>IF($A831=1,0,"")</f>
        <v/>
      </c>
      <c r="O831" s="32">
        <f>IF($A831=1,Cash_Vouchers!$N6,"")</f>
        <v/>
      </c>
      <c r="P831" s="32">
        <f>IF($A831=1,IF(Cash_Vouchers!$AK6="","",Cash_Vouchers!$AK6),"")</f>
        <v/>
      </c>
      <c r="Q831" s="32">
        <f>IF($A831=1,Cash_Vouchers!$AM6,"")</f>
        <v/>
      </c>
      <c r="R831" s="32">
        <f>IF($A831=1,IF(AND($Q831=1,COUNTIFS(COA!$A:$A,$G831,COA!$R:$R,1)=1),1,0),"")</f>
        <v/>
      </c>
      <c r="S831" s="43">
        <f>IF($A831=1,IF($R831=1,N($M831),0),"")</f>
        <v/>
      </c>
      <c r="T831" s="43">
        <f>IF($A831=1,IF($R831=1,N($N831),0),"")</f>
        <v/>
      </c>
      <c r="U831" s="32">
        <f>IF($A831=1,YEAR($D831)*100+MONTH($D831),"")</f>
        <v/>
      </c>
      <c r="V831" s="32">
        <f>IF($A831=1,IF(COUNTIF(COA!$A:$A,$G831)=0,0,INDEX(COA!$H:$H,MATCH($G831,COA!$A:$A,0))),"")</f>
        <v/>
      </c>
      <c r="W831" s="32">
        <f>IF($A831=1,IF(Cash_Vouchers!$AI6="","",Cash_Vouchers!$AI6),"")</f>
        <v/>
      </c>
      <c r="X831" s="32">
        <f>IF($A831=1,IF($R831=1,"",IF($O831=ST_POST,IF($P831&lt;&gt;"",$P831,"حساب غير صالح أو غير نشط"),IF($O831=ST_REV,"معكوس: لا أثر على الدفاتر",IF($O831=ST_CANC,"ملغى",IF($O831=ST_APPR,"معتمد ولم يُرحَّل","مسودة"))))),"")</f>
        <v/>
      </c>
      <c r="Y831" s="32">
        <f>IF($A831=1,IF(AND($R831=1,OR(LG_Acct="",$G831=LG_Acct),OR(LG_Party="",$K831=LG_Party),OR(LG_Loc="ALL",$I831=LG_Loc),OR(LG_CC="ALL",$J831=LG_CC),$D831&gt;=LG_From,$D831&lt;=LG_To),$D831+ROW()/1000000,""),"")</f>
        <v/>
      </c>
      <c r="Z831" s="32">
        <f>IF($A831=1,IF(Cash_Vouchers!$O6="","",Cash_Vouchers!$O6),"")</f>
        <v/>
      </c>
      <c r="AA831" s="32">
        <f>IF($A831=1,IF(Cash_Vouchers!$P6="","",Cash_Vouchers!$P6),"")</f>
        <v/>
      </c>
      <c r="AB831" s="32">
        <f>IF($A831=1,IF(Cash_Vouchers!$Q6="","",Cash_Vouchers!$Q6),"")</f>
        <v/>
      </c>
      <c r="AC831" s="32">
        <f>IF($A831=1,IF(Cash_Vouchers!$R6="","",Cash_Vouchers!$R6),"")</f>
        <v/>
      </c>
      <c r="AD831" s="32">
        <f>IF($A831=1,IF(Cash_Vouchers!$S6="","",Cash_Vouchers!$S6),"")</f>
        <v/>
      </c>
      <c r="AE831" s="32">
        <f>IF($A831=1,0,"")</f>
        <v/>
      </c>
      <c r="AF831" s="32" t="inlineStr"/>
    </row>
    <row r="832">
      <c r="A832" s="32">
        <f>IF(AND(Cash_Vouchers!$AJ6=1,N(Cash_Vouchers!$I6)&gt;0),1,0)</f>
        <v/>
      </c>
      <c r="B832" s="32">
        <f>IF($A832=1,$E832&amp;"/2","")</f>
        <v/>
      </c>
      <c r="C832" s="32">
        <f>IF($A832=1,"J-"&amp;Cash_Vouchers!$A6,"")</f>
        <v/>
      </c>
      <c r="D832" s="33">
        <f>IF($A832=1,Cash_Vouchers!$B6,"")</f>
        <v/>
      </c>
      <c r="E832" s="32">
        <f>IF($A832=1,IF(Cash_Vouchers!$A6="","",Cash_Vouchers!$A6),"")</f>
        <v/>
      </c>
      <c r="F832" s="32">
        <f>IF($A832=1,"CV","")</f>
        <v/>
      </c>
      <c r="G832" s="32">
        <f>IF($A832=1,IF(Cash_Vouchers!$AB6="","",Cash_Vouchers!$AB6),"")</f>
        <v/>
      </c>
      <c r="H832" s="32">
        <f>IF($A832=1,IF(COUNTIF(COA!$A:$A,$G832)=0,"حساب غير معرف",INDEX(COA!$B:$B,MATCH($G832,COA!$A:$A,0))),"")</f>
        <v/>
      </c>
      <c r="I832" s="32">
        <f>IF($A832=1,IF(Cash_Vouchers!$AD6="","",Cash_Vouchers!$AD6),"")</f>
        <v/>
      </c>
      <c r="J832" s="32">
        <f>IF($A832=1,IF(Cash_Vouchers!$AF6="","",Cash_Vouchers!$AF6),"")</f>
        <v/>
      </c>
      <c r="K832" s="32">
        <f>IF($A832=1,IF(Cash_Vouchers!$AH6="","",Cash_Vouchers!$AH6),"")</f>
        <v/>
      </c>
      <c r="L832" s="32">
        <f>IF($A832=1,IF(Cash_Vouchers!$K6="",Cash_Vouchers!$C6&amp;" - "&amp;Cash_Vouchers!$H6,Cash_Vouchers!$K6),"")</f>
        <v/>
      </c>
      <c r="M832" s="43">
        <f>IF($A832=1,0,"")</f>
        <v/>
      </c>
      <c r="N832" s="43">
        <f>IF($A832=1,Cash_Vouchers!$I6,"")</f>
        <v/>
      </c>
      <c r="O832" s="32">
        <f>IF($A832=1,Cash_Vouchers!$N6,"")</f>
        <v/>
      </c>
      <c r="P832" s="32">
        <f>IF($A832=1,IF(Cash_Vouchers!$AK6="","",Cash_Vouchers!$AK6),"")</f>
        <v/>
      </c>
      <c r="Q832" s="32">
        <f>IF($A832=1,Cash_Vouchers!$AM6,"")</f>
        <v/>
      </c>
      <c r="R832" s="32">
        <f>IF($A832=1,IF(AND($Q832=1,COUNTIFS(COA!$A:$A,$G832,COA!$R:$R,1)=1),1,0),"")</f>
        <v/>
      </c>
      <c r="S832" s="43">
        <f>IF($A832=1,IF($R832=1,N($M832),0),"")</f>
        <v/>
      </c>
      <c r="T832" s="43">
        <f>IF($A832=1,IF($R832=1,N($N832),0),"")</f>
        <v/>
      </c>
      <c r="U832" s="32">
        <f>IF($A832=1,YEAR($D832)*100+MONTH($D832),"")</f>
        <v/>
      </c>
      <c r="V832" s="32">
        <f>IF($A832=1,IF(COUNTIF(COA!$A:$A,$G832)=0,0,INDEX(COA!$H:$H,MATCH($G832,COA!$A:$A,0))),"")</f>
        <v/>
      </c>
      <c r="W832" s="32">
        <f>IF($A832=1,IF(Cash_Vouchers!$AI6="","",Cash_Vouchers!$AI6),"")</f>
        <v/>
      </c>
      <c r="X832" s="32">
        <f>IF($A832=1,IF($R832=1,"",IF($O832=ST_POST,IF($P832&lt;&gt;"",$P832,"حساب غير صالح أو غير نشط"),IF($O832=ST_REV,"معكوس: لا أثر على الدفاتر",IF($O832=ST_CANC,"ملغى",IF($O832=ST_APPR,"معتمد ولم يُرحَّل","مسودة"))))),"")</f>
        <v/>
      </c>
      <c r="Y832" s="32">
        <f>IF($A832=1,IF(AND($R832=1,OR(LG_Acct="",$G832=LG_Acct),OR(LG_Party="",$K832=LG_Party),OR(LG_Loc="ALL",$I832=LG_Loc),OR(LG_CC="ALL",$J832=LG_CC),$D832&gt;=LG_From,$D832&lt;=LG_To),$D832+ROW()/1000000,""),"")</f>
        <v/>
      </c>
      <c r="Z832" s="32">
        <f>IF($A832=1,IF(Cash_Vouchers!$O6="","",Cash_Vouchers!$O6),"")</f>
        <v/>
      </c>
      <c r="AA832" s="32">
        <f>IF($A832=1,IF(Cash_Vouchers!$P6="","",Cash_Vouchers!$P6),"")</f>
        <v/>
      </c>
      <c r="AB832" s="32">
        <f>IF($A832=1,IF(Cash_Vouchers!$Q6="","",Cash_Vouchers!$Q6),"")</f>
        <v/>
      </c>
      <c r="AC832" s="32">
        <f>IF($A832=1,IF(Cash_Vouchers!$R6="","",Cash_Vouchers!$R6),"")</f>
        <v/>
      </c>
      <c r="AD832" s="32">
        <f>IF($A832=1,IF(Cash_Vouchers!$S6="","",Cash_Vouchers!$S6),"")</f>
        <v/>
      </c>
      <c r="AE832" s="32">
        <f>IF($A832=1,0,"")</f>
        <v/>
      </c>
      <c r="AF832" s="32" t="inlineStr"/>
    </row>
    <row r="833">
      <c r="A833" s="32">
        <f>IF(AND(Cash_Vouchers!$AJ7=1,N(Cash_Vouchers!$I7)&gt;0),1,0)</f>
        <v/>
      </c>
      <c r="B833" s="32">
        <f>IF($A833=1,$E833&amp;"/1","")</f>
        <v/>
      </c>
      <c r="C833" s="32">
        <f>IF($A833=1,"J-"&amp;Cash_Vouchers!$A7,"")</f>
        <v/>
      </c>
      <c r="D833" s="33">
        <f>IF($A833=1,Cash_Vouchers!$B7,"")</f>
        <v/>
      </c>
      <c r="E833" s="32">
        <f>IF($A833=1,IF(Cash_Vouchers!$A7="","",Cash_Vouchers!$A7),"")</f>
        <v/>
      </c>
      <c r="F833" s="32">
        <f>IF($A833=1,"CV","")</f>
        <v/>
      </c>
      <c r="G833" s="32">
        <f>IF($A833=1,IF(Cash_Vouchers!$AA7="","",Cash_Vouchers!$AA7),"")</f>
        <v/>
      </c>
      <c r="H833" s="32">
        <f>IF($A833=1,IF(COUNTIF(COA!$A:$A,$G833)=0,"حساب غير معرف",INDEX(COA!$B:$B,MATCH($G833,COA!$A:$A,0))),"")</f>
        <v/>
      </c>
      <c r="I833" s="32">
        <f>IF($A833=1,IF(Cash_Vouchers!$AC7="","",Cash_Vouchers!$AC7),"")</f>
        <v/>
      </c>
      <c r="J833" s="32">
        <f>IF($A833=1,IF(Cash_Vouchers!$AE7="","",Cash_Vouchers!$AE7),"")</f>
        <v/>
      </c>
      <c r="K833" s="32">
        <f>IF($A833=1,IF(Cash_Vouchers!$AG7="","",Cash_Vouchers!$AG7),"")</f>
        <v/>
      </c>
      <c r="L833" s="32">
        <f>IF($A833=1,IF(Cash_Vouchers!$K7="",Cash_Vouchers!$C7&amp;" - "&amp;Cash_Vouchers!$H7,Cash_Vouchers!$K7),"")</f>
        <v/>
      </c>
      <c r="M833" s="43">
        <f>IF($A833=1,Cash_Vouchers!$I7,"")</f>
        <v/>
      </c>
      <c r="N833" s="43">
        <f>IF($A833=1,0,"")</f>
        <v/>
      </c>
      <c r="O833" s="32">
        <f>IF($A833=1,Cash_Vouchers!$N7,"")</f>
        <v/>
      </c>
      <c r="P833" s="32">
        <f>IF($A833=1,IF(Cash_Vouchers!$AK7="","",Cash_Vouchers!$AK7),"")</f>
        <v/>
      </c>
      <c r="Q833" s="32">
        <f>IF($A833=1,Cash_Vouchers!$AM7,"")</f>
        <v/>
      </c>
      <c r="R833" s="32">
        <f>IF($A833=1,IF(AND($Q833=1,COUNTIFS(COA!$A:$A,$G833,COA!$R:$R,1)=1),1,0),"")</f>
        <v/>
      </c>
      <c r="S833" s="43">
        <f>IF($A833=1,IF($R833=1,N($M833),0),"")</f>
        <v/>
      </c>
      <c r="T833" s="43">
        <f>IF($A833=1,IF($R833=1,N($N833),0),"")</f>
        <v/>
      </c>
      <c r="U833" s="32">
        <f>IF($A833=1,YEAR($D833)*100+MONTH($D833),"")</f>
        <v/>
      </c>
      <c r="V833" s="32">
        <f>IF($A833=1,IF(COUNTIF(COA!$A:$A,$G833)=0,0,INDEX(COA!$H:$H,MATCH($G833,COA!$A:$A,0))),"")</f>
        <v/>
      </c>
      <c r="W833" s="32">
        <f>IF($A833=1,IF(Cash_Vouchers!$AI7="","",Cash_Vouchers!$AI7),"")</f>
        <v/>
      </c>
      <c r="X833" s="32">
        <f>IF($A833=1,IF($R833=1,"",IF($O833=ST_POST,IF($P833&lt;&gt;"",$P833,"حساب غير صالح أو غير نشط"),IF($O833=ST_REV,"معكوس: لا أثر على الدفاتر",IF($O833=ST_CANC,"ملغى",IF($O833=ST_APPR,"معتمد ولم يُرحَّل","مسودة"))))),"")</f>
        <v/>
      </c>
      <c r="Y833" s="32">
        <f>IF($A833=1,IF(AND($R833=1,OR(LG_Acct="",$G833=LG_Acct),OR(LG_Party="",$K833=LG_Party),OR(LG_Loc="ALL",$I833=LG_Loc),OR(LG_CC="ALL",$J833=LG_CC),$D833&gt;=LG_From,$D833&lt;=LG_To),$D833+ROW()/1000000,""),"")</f>
        <v/>
      </c>
      <c r="Z833" s="32">
        <f>IF($A833=1,IF(Cash_Vouchers!$O7="","",Cash_Vouchers!$O7),"")</f>
        <v/>
      </c>
      <c r="AA833" s="32">
        <f>IF($A833=1,IF(Cash_Vouchers!$P7="","",Cash_Vouchers!$P7),"")</f>
        <v/>
      </c>
      <c r="AB833" s="32">
        <f>IF($A833=1,IF(Cash_Vouchers!$Q7="","",Cash_Vouchers!$Q7),"")</f>
        <v/>
      </c>
      <c r="AC833" s="32">
        <f>IF($A833=1,IF(Cash_Vouchers!$R7="","",Cash_Vouchers!$R7),"")</f>
        <v/>
      </c>
      <c r="AD833" s="32">
        <f>IF($A833=1,IF(Cash_Vouchers!$S7="","",Cash_Vouchers!$S7),"")</f>
        <v/>
      </c>
      <c r="AE833" s="32">
        <f>IF($A833=1,0,"")</f>
        <v/>
      </c>
      <c r="AF833" s="32" t="inlineStr"/>
    </row>
    <row r="834">
      <c r="A834" s="32">
        <f>IF(AND(Cash_Vouchers!$AJ7=1,N(Cash_Vouchers!$I7)&gt;0),1,0)</f>
        <v/>
      </c>
      <c r="B834" s="32">
        <f>IF($A834=1,$E834&amp;"/2","")</f>
        <v/>
      </c>
      <c r="C834" s="32">
        <f>IF($A834=1,"J-"&amp;Cash_Vouchers!$A7,"")</f>
        <v/>
      </c>
      <c r="D834" s="33">
        <f>IF($A834=1,Cash_Vouchers!$B7,"")</f>
        <v/>
      </c>
      <c r="E834" s="32">
        <f>IF($A834=1,IF(Cash_Vouchers!$A7="","",Cash_Vouchers!$A7),"")</f>
        <v/>
      </c>
      <c r="F834" s="32">
        <f>IF($A834=1,"CV","")</f>
        <v/>
      </c>
      <c r="G834" s="32">
        <f>IF($A834=1,IF(Cash_Vouchers!$AB7="","",Cash_Vouchers!$AB7),"")</f>
        <v/>
      </c>
      <c r="H834" s="32">
        <f>IF($A834=1,IF(COUNTIF(COA!$A:$A,$G834)=0,"حساب غير معرف",INDEX(COA!$B:$B,MATCH($G834,COA!$A:$A,0))),"")</f>
        <v/>
      </c>
      <c r="I834" s="32">
        <f>IF($A834=1,IF(Cash_Vouchers!$AD7="","",Cash_Vouchers!$AD7),"")</f>
        <v/>
      </c>
      <c r="J834" s="32">
        <f>IF($A834=1,IF(Cash_Vouchers!$AF7="","",Cash_Vouchers!$AF7),"")</f>
        <v/>
      </c>
      <c r="K834" s="32">
        <f>IF($A834=1,IF(Cash_Vouchers!$AH7="","",Cash_Vouchers!$AH7),"")</f>
        <v/>
      </c>
      <c r="L834" s="32">
        <f>IF($A834=1,IF(Cash_Vouchers!$K7="",Cash_Vouchers!$C7&amp;" - "&amp;Cash_Vouchers!$H7,Cash_Vouchers!$K7),"")</f>
        <v/>
      </c>
      <c r="M834" s="43">
        <f>IF($A834=1,0,"")</f>
        <v/>
      </c>
      <c r="N834" s="43">
        <f>IF($A834=1,Cash_Vouchers!$I7,"")</f>
        <v/>
      </c>
      <c r="O834" s="32">
        <f>IF($A834=1,Cash_Vouchers!$N7,"")</f>
        <v/>
      </c>
      <c r="P834" s="32">
        <f>IF($A834=1,IF(Cash_Vouchers!$AK7="","",Cash_Vouchers!$AK7),"")</f>
        <v/>
      </c>
      <c r="Q834" s="32">
        <f>IF($A834=1,Cash_Vouchers!$AM7,"")</f>
        <v/>
      </c>
      <c r="R834" s="32">
        <f>IF($A834=1,IF(AND($Q834=1,COUNTIFS(COA!$A:$A,$G834,COA!$R:$R,1)=1),1,0),"")</f>
        <v/>
      </c>
      <c r="S834" s="43">
        <f>IF($A834=1,IF($R834=1,N($M834),0),"")</f>
        <v/>
      </c>
      <c r="T834" s="43">
        <f>IF($A834=1,IF($R834=1,N($N834),0),"")</f>
        <v/>
      </c>
      <c r="U834" s="32">
        <f>IF($A834=1,YEAR($D834)*100+MONTH($D834),"")</f>
        <v/>
      </c>
      <c r="V834" s="32">
        <f>IF($A834=1,IF(COUNTIF(COA!$A:$A,$G834)=0,0,INDEX(COA!$H:$H,MATCH($G834,COA!$A:$A,0))),"")</f>
        <v/>
      </c>
      <c r="W834" s="32">
        <f>IF($A834=1,IF(Cash_Vouchers!$AI7="","",Cash_Vouchers!$AI7),"")</f>
        <v/>
      </c>
      <c r="X834" s="32">
        <f>IF($A834=1,IF($R834=1,"",IF($O834=ST_POST,IF($P834&lt;&gt;"",$P834,"حساب غير صالح أو غير نشط"),IF($O834=ST_REV,"معكوس: لا أثر على الدفاتر",IF($O834=ST_CANC,"ملغى",IF($O834=ST_APPR,"معتمد ولم يُرحَّل","مسودة"))))),"")</f>
        <v/>
      </c>
      <c r="Y834" s="32">
        <f>IF($A834=1,IF(AND($R834=1,OR(LG_Acct="",$G834=LG_Acct),OR(LG_Party="",$K834=LG_Party),OR(LG_Loc="ALL",$I834=LG_Loc),OR(LG_CC="ALL",$J834=LG_CC),$D834&gt;=LG_From,$D834&lt;=LG_To),$D834+ROW()/1000000,""),"")</f>
        <v/>
      </c>
      <c r="Z834" s="32">
        <f>IF($A834=1,IF(Cash_Vouchers!$O7="","",Cash_Vouchers!$O7),"")</f>
        <v/>
      </c>
      <c r="AA834" s="32">
        <f>IF($A834=1,IF(Cash_Vouchers!$P7="","",Cash_Vouchers!$P7),"")</f>
        <v/>
      </c>
      <c r="AB834" s="32">
        <f>IF($A834=1,IF(Cash_Vouchers!$Q7="","",Cash_Vouchers!$Q7),"")</f>
        <v/>
      </c>
      <c r="AC834" s="32">
        <f>IF($A834=1,IF(Cash_Vouchers!$R7="","",Cash_Vouchers!$R7),"")</f>
        <v/>
      </c>
      <c r="AD834" s="32">
        <f>IF($A834=1,IF(Cash_Vouchers!$S7="","",Cash_Vouchers!$S7),"")</f>
        <v/>
      </c>
      <c r="AE834" s="32">
        <f>IF($A834=1,0,"")</f>
        <v/>
      </c>
      <c r="AF834" s="32" t="inlineStr"/>
    </row>
    <row r="835">
      <c r="A835" s="32">
        <f>IF(AND(Cash_Vouchers!$AJ8=1,N(Cash_Vouchers!$I8)&gt;0),1,0)</f>
        <v/>
      </c>
      <c r="B835" s="32">
        <f>IF($A835=1,$E835&amp;"/1","")</f>
        <v/>
      </c>
      <c r="C835" s="32">
        <f>IF($A835=1,"J-"&amp;Cash_Vouchers!$A8,"")</f>
        <v/>
      </c>
      <c r="D835" s="33">
        <f>IF($A835=1,Cash_Vouchers!$B8,"")</f>
        <v/>
      </c>
      <c r="E835" s="32">
        <f>IF($A835=1,IF(Cash_Vouchers!$A8="","",Cash_Vouchers!$A8),"")</f>
        <v/>
      </c>
      <c r="F835" s="32">
        <f>IF($A835=1,"CV","")</f>
        <v/>
      </c>
      <c r="G835" s="32">
        <f>IF($A835=1,IF(Cash_Vouchers!$AA8="","",Cash_Vouchers!$AA8),"")</f>
        <v/>
      </c>
      <c r="H835" s="32">
        <f>IF($A835=1,IF(COUNTIF(COA!$A:$A,$G835)=0,"حساب غير معرف",INDEX(COA!$B:$B,MATCH($G835,COA!$A:$A,0))),"")</f>
        <v/>
      </c>
      <c r="I835" s="32">
        <f>IF($A835=1,IF(Cash_Vouchers!$AC8="","",Cash_Vouchers!$AC8),"")</f>
        <v/>
      </c>
      <c r="J835" s="32">
        <f>IF($A835=1,IF(Cash_Vouchers!$AE8="","",Cash_Vouchers!$AE8),"")</f>
        <v/>
      </c>
      <c r="K835" s="32">
        <f>IF($A835=1,IF(Cash_Vouchers!$AG8="","",Cash_Vouchers!$AG8),"")</f>
        <v/>
      </c>
      <c r="L835" s="32">
        <f>IF($A835=1,IF(Cash_Vouchers!$K8="",Cash_Vouchers!$C8&amp;" - "&amp;Cash_Vouchers!$H8,Cash_Vouchers!$K8),"")</f>
        <v/>
      </c>
      <c r="M835" s="43">
        <f>IF($A835=1,Cash_Vouchers!$I8,"")</f>
        <v/>
      </c>
      <c r="N835" s="43">
        <f>IF($A835=1,0,"")</f>
        <v/>
      </c>
      <c r="O835" s="32">
        <f>IF($A835=1,Cash_Vouchers!$N8,"")</f>
        <v/>
      </c>
      <c r="P835" s="32">
        <f>IF($A835=1,IF(Cash_Vouchers!$AK8="","",Cash_Vouchers!$AK8),"")</f>
        <v/>
      </c>
      <c r="Q835" s="32">
        <f>IF($A835=1,Cash_Vouchers!$AM8,"")</f>
        <v/>
      </c>
      <c r="R835" s="32">
        <f>IF($A835=1,IF(AND($Q835=1,COUNTIFS(COA!$A:$A,$G835,COA!$R:$R,1)=1),1,0),"")</f>
        <v/>
      </c>
      <c r="S835" s="43">
        <f>IF($A835=1,IF($R835=1,N($M835),0),"")</f>
        <v/>
      </c>
      <c r="T835" s="43">
        <f>IF($A835=1,IF($R835=1,N($N835),0),"")</f>
        <v/>
      </c>
      <c r="U835" s="32">
        <f>IF($A835=1,YEAR($D835)*100+MONTH($D835),"")</f>
        <v/>
      </c>
      <c r="V835" s="32">
        <f>IF($A835=1,IF(COUNTIF(COA!$A:$A,$G835)=0,0,INDEX(COA!$H:$H,MATCH($G835,COA!$A:$A,0))),"")</f>
        <v/>
      </c>
      <c r="W835" s="32">
        <f>IF($A835=1,IF(Cash_Vouchers!$AI8="","",Cash_Vouchers!$AI8),"")</f>
        <v/>
      </c>
      <c r="X835" s="32">
        <f>IF($A835=1,IF($R835=1,"",IF($O835=ST_POST,IF($P835&lt;&gt;"",$P835,"حساب غير صالح أو غير نشط"),IF($O835=ST_REV,"معكوس: لا أثر على الدفاتر",IF($O835=ST_CANC,"ملغى",IF($O835=ST_APPR,"معتمد ولم يُرحَّل","مسودة"))))),"")</f>
        <v/>
      </c>
      <c r="Y835" s="32">
        <f>IF($A835=1,IF(AND($R835=1,OR(LG_Acct="",$G835=LG_Acct),OR(LG_Party="",$K835=LG_Party),OR(LG_Loc="ALL",$I835=LG_Loc),OR(LG_CC="ALL",$J835=LG_CC),$D835&gt;=LG_From,$D835&lt;=LG_To),$D835+ROW()/1000000,""),"")</f>
        <v/>
      </c>
      <c r="Z835" s="32">
        <f>IF($A835=1,IF(Cash_Vouchers!$O8="","",Cash_Vouchers!$O8),"")</f>
        <v/>
      </c>
      <c r="AA835" s="32">
        <f>IF($A835=1,IF(Cash_Vouchers!$P8="","",Cash_Vouchers!$P8),"")</f>
        <v/>
      </c>
      <c r="AB835" s="32">
        <f>IF($A835=1,IF(Cash_Vouchers!$Q8="","",Cash_Vouchers!$Q8),"")</f>
        <v/>
      </c>
      <c r="AC835" s="32">
        <f>IF($A835=1,IF(Cash_Vouchers!$R8="","",Cash_Vouchers!$R8),"")</f>
        <v/>
      </c>
      <c r="AD835" s="32">
        <f>IF($A835=1,IF(Cash_Vouchers!$S8="","",Cash_Vouchers!$S8),"")</f>
        <v/>
      </c>
      <c r="AE835" s="32">
        <f>IF($A835=1,0,"")</f>
        <v/>
      </c>
      <c r="AF835" s="32" t="inlineStr"/>
    </row>
    <row r="836">
      <c r="A836" s="32">
        <f>IF(AND(Cash_Vouchers!$AJ8=1,N(Cash_Vouchers!$I8)&gt;0),1,0)</f>
        <v/>
      </c>
      <c r="B836" s="32">
        <f>IF($A836=1,$E836&amp;"/2","")</f>
        <v/>
      </c>
      <c r="C836" s="32">
        <f>IF($A836=1,"J-"&amp;Cash_Vouchers!$A8,"")</f>
        <v/>
      </c>
      <c r="D836" s="33">
        <f>IF($A836=1,Cash_Vouchers!$B8,"")</f>
        <v/>
      </c>
      <c r="E836" s="32">
        <f>IF($A836=1,IF(Cash_Vouchers!$A8="","",Cash_Vouchers!$A8),"")</f>
        <v/>
      </c>
      <c r="F836" s="32">
        <f>IF($A836=1,"CV","")</f>
        <v/>
      </c>
      <c r="G836" s="32">
        <f>IF($A836=1,IF(Cash_Vouchers!$AB8="","",Cash_Vouchers!$AB8),"")</f>
        <v/>
      </c>
      <c r="H836" s="32">
        <f>IF($A836=1,IF(COUNTIF(COA!$A:$A,$G836)=0,"حساب غير معرف",INDEX(COA!$B:$B,MATCH($G836,COA!$A:$A,0))),"")</f>
        <v/>
      </c>
      <c r="I836" s="32">
        <f>IF($A836=1,IF(Cash_Vouchers!$AD8="","",Cash_Vouchers!$AD8),"")</f>
        <v/>
      </c>
      <c r="J836" s="32">
        <f>IF($A836=1,IF(Cash_Vouchers!$AF8="","",Cash_Vouchers!$AF8),"")</f>
        <v/>
      </c>
      <c r="K836" s="32">
        <f>IF($A836=1,IF(Cash_Vouchers!$AH8="","",Cash_Vouchers!$AH8),"")</f>
        <v/>
      </c>
      <c r="L836" s="32">
        <f>IF($A836=1,IF(Cash_Vouchers!$K8="",Cash_Vouchers!$C8&amp;" - "&amp;Cash_Vouchers!$H8,Cash_Vouchers!$K8),"")</f>
        <v/>
      </c>
      <c r="M836" s="43">
        <f>IF($A836=1,0,"")</f>
        <v/>
      </c>
      <c r="N836" s="43">
        <f>IF($A836=1,Cash_Vouchers!$I8,"")</f>
        <v/>
      </c>
      <c r="O836" s="32">
        <f>IF($A836=1,Cash_Vouchers!$N8,"")</f>
        <v/>
      </c>
      <c r="P836" s="32">
        <f>IF($A836=1,IF(Cash_Vouchers!$AK8="","",Cash_Vouchers!$AK8),"")</f>
        <v/>
      </c>
      <c r="Q836" s="32">
        <f>IF($A836=1,Cash_Vouchers!$AM8,"")</f>
        <v/>
      </c>
      <c r="R836" s="32">
        <f>IF($A836=1,IF(AND($Q836=1,COUNTIFS(COA!$A:$A,$G836,COA!$R:$R,1)=1),1,0),"")</f>
        <v/>
      </c>
      <c r="S836" s="43">
        <f>IF($A836=1,IF($R836=1,N($M836),0),"")</f>
        <v/>
      </c>
      <c r="T836" s="43">
        <f>IF($A836=1,IF($R836=1,N($N836),0),"")</f>
        <v/>
      </c>
      <c r="U836" s="32">
        <f>IF($A836=1,YEAR($D836)*100+MONTH($D836),"")</f>
        <v/>
      </c>
      <c r="V836" s="32">
        <f>IF($A836=1,IF(COUNTIF(COA!$A:$A,$G836)=0,0,INDEX(COA!$H:$H,MATCH($G836,COA!$A:$A,0))),"")</f>
        <v/>
      </c>
      <c r="W836" s="32">
        <f>IF($A836=1,IF(Cash_Vouchers!$AI8="","",Cash_Vouchers!$AI8),"")</f>
        <v/>
      </c>
      <c r="X836" s="32">
        <f>IF($A836=1,IF($R836=1,"",IF($O836=ST_POST,IF($P836&lt;&gt;"",$P836,"حساب غير صالح أو غير نشط"),IF($O836=ST_REV,"معكوس: لا أثر على الدفاتر",IF($O836=ST_CANC,"ملغى",IF($O836=ST_APPR,"معتمد ولم يُرحَّل","مسودة"))))),"")</f>
        <v/>
      </c>
      <c r="Y836" s="32">
        <f>IF($A836=1,IF(AND($R836=1,OR(LG_Acct="",$G836=LG_Acct),OR(LG_Party="",$K836=LG_Party),OR(LG_Loc="ALL",$I836=LG_Loc),OR(LG_CC="ALL",$J836=LG_CC),$D836&gt;=LG_From,$D836&lt;=LG_To),$D836+ROW()/1000000,""),"")</f>
        <v/>
      </c>
      <c r="Z836" s="32">
        <f>IF($A836=1,IF(Cash_Vouchers!$O8="","",Cash_Vouchers!$O8),"")</f>
        <v/>
      </c>
      <c r="AA836" s="32">
        <f>IF($A836=1,IF(Cash_Vouchers!$P8="","",Cash_Vouchers!$P8),"")</f>
        <v/>
      </c>
      <c r="AB836" s="32">
        <f>IF($A836=1,IF(Cash_Vouchers!$Q8="","",Cash_Vouchers!$Q8),"")</f>
        <v/>
      </c>
      <c r="AC836" s="32">
        <f>IF($A836=1,IF(Cash_Vouchers!$R8="","",Cash_Vouchers!$R8),"")</f>
        <v/>
      </c>
      <c r="AD836" s="32">
        <f>IF($A836=1,IF(Cash_Vouchers!$S8="","",Cash_Vouchers!$S8),"")</f>
        <v/>
      </c>
      <c r="AE836" s="32">
        <f>IF($A836=1,0,"")</f>
        <v/>
      </c>
      <c r="AF836" s="32" t="inlineStr"/>
    </row>
    <row r="837">
      <c r="A837" s="32">
        <f>IF(AND(Cash_Vouchers!$AJ9=1,N(Cash_Vouchers!$I9)&gt;0),1,0)</f>
        <v/>
      </c>
      <c r="B837" s="32">
        <f>IF($A837=1,$E837&amp;"/1","")</f>
        <v/>
      </c>
      <c r="C837" s="32">
        <f>IF($A837=1,"J-"&amp;Cash_Vouchers!$A9,"")</f>
        <v/>
      </c>
      <c r="D837" s="33">
        <f>IF($A837=1,Cash_Vouchers!$B9,"")</f>
        <v/>
      </c>
      <c r="E837" s="32">
        <f>IF($A837=1,IF(Cash_Vouchers!$A9="","",Cash_Vouchers!$A9),"")</f>
        <v/>
      </c>
      <c r="F837" s="32">
        <f>IF($A837=1,"CV","")</f>
        <v/>
      </c>
      <c r="G837" s="32">
        <f>IF($A837=1,IF(Cash_Vouchers!$AA9="","",Cash_Vouchers!$AA9),"")</f>
        <v/>
      </c>
      <c r="H837" s="32">
        <f>IF($A837=1,IF(COUNTIF(COA!$A:$A,$G837)=0,"حساب غير معرف",INDEX(COA!$B:$B,MATCH($G837,COA!$A:$A,0))),"")</f>
        <v/>
      </c>
      <c r="I837" s="32">
        <f>IF($A837=1,IF(Cash_Vouchers!$AC9="","",Cash_Vouchers!$AC9),"")</f>
        <v/>
      </c>
      <c r="J837" s="32">
        <f>IF($A837=1,IF(Cash_Vouchers!$AE9="","",Cash_Vouchers!$AE9),"")</f>
        <v/>
      </c>
      <c r="K837" s="32">
        <f>IF($A837=1,IF(Cash_Vouchers!$AG9="","",Cash_Vouchers!$AG9),"")</f>
        <v/>
      </c>
      <c r="L837" s="32">
        <f>IF($A837=1,IF(Cash_Vouchers!$K9="",Cash_Vouchers!$C9&amp;" - "&amp;Cash_Vouchers!$H9,Cash_Vouchers!$K9),"")</f>
        <v/>
      </c>
      <c r="M837" s="43">
        <f>IF($A837=1,Cash_Vouchers!$I9,"")</f>
        <v/>
      </c>
      <c r="N837" s="43">
        <f>IF($A837=1,0,"")</f>
        <v/>
      </c>
      <c r="O837" s="32">
        <f>IF($A837=1,Cash_Vouchers!$N9,"")</f>
        <v/>
      </c>
      <c r="P837" s="32">
        <f>IF($A837=1,IF(Cash_Vouchers!$AK9="","",Cash_Vouchers!$AK9),"")</f>
        <v/>
      </c>
      <c r="Q837" s="32">
        <f>IF($A837=1,Cash_Vouchers!$AM9,"")</f>
        <v/>
      </c>
      <c r="R837" s="32">
        <f>IF($A837=1,IF(AND($Q837=1,COUNTIFS(COA!$A:$A,$G837,COA!$R:$R,1)=1),1,0),"")</f>
        <v/>
      </c>
      <c r="S837" s="43">
        <f>IF($A837=1,IF($R837=1,N($M837),0),"")</f>
        <v/>
      </c>
      <c r="T837" s="43">
        <f>IF($A837=1,IF($R837=1,N($N837),0),"")</f>
        <v/>
      </c>
      <c r="U837" s="32">
        <f>IF($A837=1,YEAR($D837)*100+MONTH($D837),"")</f>
        <v/>
      </c>
      <c r="V837" s="32">
        <f>IF($A837=1,IF(COUNTIF(COA!$A:$A,$G837)=0,0,INDEX(COA!$H:$H,MATCH($G837,COA!$A:$A,0))),"")</f>
        <v/>
      </c>
      <c r="W837" s="32">
        <f>IF($A837=1,IF(Cash_Vouchers!$AI9="","",Cash_Vouchers!$AI9),"")</f>
        <v/>
      </c>
      <c r="X837" s="32">
        <f>IF($A837=1,IF($R837=1,"",IF($O837=ST_POST,IF($P837&lt;&gt;"",$P837,"حساب غير صالح أو غير نشط"),IF($O837=ST_REV,"معكوس: لا أثر على الدفاتر",IF($O837=ST_CANC,"ملغى",IF($O837=ST_APPR,"معتمد ولم يُرحَّل","مسودة"))))),"")</f>
        <v/>
      </c>
      <c r="Y837" s="32">
        <f>IF($A837=1,IF(AND($R837=1,OR(LG_Acct="",$G837=LG_Acct),OR(LG_Party="",$K837=LG_Party),OR(LG_Loc="ALL",$I837=LG_Loc),OR(LG_CC="ALL",$J837=LG_CC),$D837&gt;=LG_From,$D837&lt;=LG_To),$D837+ROW()/1000000,""),"")</f>
        <v/>
      </c>
      <c r="Z837" s="32">
        <f>IF($A837=1,IF(Cash_Vouchers!$O9="","",Cash_Vouchers!$O9),"")</f>
        <v/>
      </c>
      <c r="AA837" s="32">
        <f>IF($A837=1,IF(Cash_Vouchers!$P9="","",Cash_Vouchers!$P9),"")</f>
        <v/>
      </c>
      <c r="AB837" s="32">
        <f>IF($A837=1,IF(Cash_Vouchers!$Q9="","",Cash_Vouchers!$Q9),"")</f>
        <v/>
      </c>
      <c r="AC837" s="32">
        <f>IF($A837=1,IF(Cash_Vouchers!$R9="","",Cash_Vouchers!$R9),"")</f>
        <v/>
      </c>
      <c r="AD837" s="32">
        <f>IF($A837=1,IF(Cash_Vouchers!$S9="","",Cash_Vouchers!$S9),"")</f>
        <v/>
      </c>
      <c r="AE837" s="32">
        <f>IF($A837=1,0,"")</f>
        <v/>
      </c>
      <c r="AF837" s="32" t="inlineStr"/>
    </row>
    <row r="838">
      <c r="A838" s="32">
        <f>IF(AND(Cash_Vouchers!$AJ9=1,N(Cash_Vouchers!$I9)&gt;0),1,0)</f>
        <v/>
      </c>
      <c r="B838" s="32">
        <f>IF($A838=1,$E838&amp;"/2","")</f>
        <v/>
      </c>
      <c r="C838" s="32">
        <f>IF($A838=1,"J-"&amp;Cash_Vouchers!$A9,"")</f>
        <v/>
      </c>
      <c r="D838" s="33">
        <f>IF($A838=1,Cash_Vouchers!$B9,"")</f>
        <v/>
      </c>
      <c r="E838" s="32">
        <f>IF($A838=1,IF(Cash_Vouchers!$A9="","",Cash_Vouchers!$A9),"")</f>
        <v/>
      </c>
      <c r="F838" s="32">
        <f>IF($A838=1,"CV","")</f>
        <v/>
      </c>
      <c r="G838" s="32">
        <f>IF($A838=1,IF(Cash_Vouchers!$AB9="","",Cash_Vouchers!$AB9),"")</f>
        <v/>
      </c>
      <c r="H838" s="32">
        <f>IF($A838=1,IF(COUNTIF(COA!$A:$A,$G838)=0,"حساب غير معرف",INDEX(COA!$B:$B,MATCH($G838,COA!$A:$A,0))),"")</f>
        <v/>
      </c>
      <c r="I838" s="32">
        <f>IF($A838=1,IF(Cash_Vouchers!$AD9="","",Cash_Vouchers!$AD9),"")</f>
        <v/>
      </c>
      <c r="J838" s="32">
        <f>IF($A838=1,IF(Cash_Vouchers!$AF9="","",Cash_Vouchers!$AF9),"")</f>
        <v/>
      </c>
      <c r="K838" s="32">
        <f>IF($A838=1,IF(Cash_Vouchers!$AH9="","",Cash_Vouchers!$AH9),"")</f>
        <v/>
      </c>
      <c r="L838" s="32">
        <f>IF($A838=1,IF(Cash_Vouchers!$K9="",Cash_Vouchers!$C9&amp;" - "&amp;Cash_Vouchers!$H9,Cash_Vouchers!$K9),"")</f>
        <v/>
      </c>
      <c r="M838" s="43">
        <f>IF($A838=1,0,"")</f>
        <v/>
      </c>
      <c r="N838" s="43">
        <f>IF($A838=1,Cash_Vouchers!$I9,"")</f>
        <v/>
      </c>
      <c r="O838" s="32">
        <f>IF($A838=1,Cash_Vouchers!$N9,"")</f>
        <v/>
      </c>
      <c r="P838" s="32">
        <f>IF($A838=1,IF(Cash_Vouchers!$AK9="","",Cash_Vouchers!$AK9),"")</f>
        <v/>
      </c>
      <c r="Q838" s="32">
        <f>IF($A838=1,Cash_Vouchers!$AM9,"")</f>
        <v/>
      </c>
      <c r="R838" s="32">
        <f>IF($A838=1,IF(AND($Q838=1,COUNTIFS(COA!$A:$A,$G838,COA!$R:$R,1)=1),1,0),"")</f>
        <v/>
      </c>
      <c r="S838" s="43">
        <f>IF($A838=1,IF($R838=1,N($M838),0),"")</f>
        <v/>
      </c>
      <c r="T838" s="43">
        <f>IF($A838=1,IF($R838=1,N($N838),0),"")</f>
        <v/>
      </c>
      <c r="U838" s="32">
        <f>IF($A838=1,YEAR($D838)*100+MONTH($D838),"")</f>
        <v/>
      </c>
      <c r="V838" s="32">
        <f>IF($A838=1,IF(COUNTIF(COA!$A:$A,$G838)=0,0,INDEX(COA!$H:$H,MATCH($G838,COA!$A:$A,0))),"")</f>
        <v/>
      </c>
      <c r="W838" s="32">
        <f>IF($A838=1,IF(Cash_Vouchers!$AI9="","",Cash_Vouchers!$AI9),"")</f>
        <v/>
      </c>
      <c r="X838" s="32">
        <f>IF($A838=1,IF($R838=1,"",IF($O838=ST_POST,IF($P838&lt;&gt;"",$P838,"حساب غير صالح أو غير نشط"),IF($O838=ST_REV,"معكوس: لا أثر على الدفاتر",IF($O838=ST_CANC,"ملغى",IF($O838=ST_APPR,"معتمد ولم يُرحَّل","مسودة"))))),"")</f>
        <v/>
      </c>
      <c r="Y838" s="32">
        <f>IF($A838=1,IF(AND($R838=1,OR(LG_Acct="",$G838=LG_Acct),OR(LG_Party="",$K838=LG_Party),OR(LG_Loc="ALL",$I838=LG_Loc),OR(LG_CC="ALL",$J838=LG_CC),$D838&gt;=LG_From,$D838&lt;=LG_To),$D838+ROW()/1000000,""),"")</f>
        <v/>
      </c>
      <c r="Z838" s="32">
        <f>IF($A838=1,IF(Cash_Vouchers!$O9="","",Cash_Vouchers!$O9),"")</f>
        <v/>
      </c>
      <c r="AA838" s="32">
        <f>IF($A838=1,IF(Cash_Vouchers!$P9="","",Cash_Vouchers!$P9),"")</f>
        <v/>
      </c>
      <c r="AB838" s="32">
        <f>IF($A838=1,IF(Cash_Vouchers!$Q9="","",Cash_Vouchers!$Q9),"")</f>
        <v/>
      </c>
      <c r="AC838" s="32">
        <f>IF($A838=1,IF(Cash_Vouchers!$R9="","",Cash_Vouchers!$R9),"")</f>
        <v/>
      </c>
      <c r="AD838" s="32">
        <f>IF($A838=1,IF(Cash_Vouchers!$S9="","",Cash_Vouchers!$S9),"")</f>
        <v/>
      </c>
      <c r="AE838" s="32">
        <f>IF($A838=1,0,"")</f>
        <v/>
      </c>
      <c r="AF838" s="32" t="inlineStr"/>
    </row>
    <row r="839">
      <c r="A839" s="32">
        <f>IF(AND(Cash_Vouchers!$AJ10=1,N(Cash_Vouchers!$I10)&gt;0),1,0)</f>
        <v/>
      </c>
      <c r="B839" s="32">
        <f>IF($A839=1,$E839&amp;"/1","")</f>
        <v/>
      </c>
      <c r="C839" s="32">
        <f>IF($A839=1,"J-"&amp;Cash_Vouchers!$A10,"")</f>
        <v/>
      </c>
      <c r="D839" s="33">
        <f>IF($A839=1,Cash_Vouchers!$B10,"")</f>
        <v/>
      </c>
      <c r="E839" s="32">
        <f>IF($A839=1,IF(Cash_Vouchers!$A10="","",Cash_Vouchers!$A10),"")</f>
        <v/>
      </c>
      <c r="F839" s="32">
        <f>IF($A839=1,"CV","")</f>
        <v/>
      </c>
      <c r="G839" s="32">
        <f>IF($A839=1,IF(Cash_Vouchers!$AA10="","",Cash_Vouchers!$AA10),"")</f>
        <v/>
      </c>
      <c r="H839" s="32">
        <f>IF($A839=1,IF(COUNTIF(COA!$A:$A,$G839)=0,"حساب غير معرف",INDEX(COA!$B:$B,MATCH($G839,COA!$A:$A,0))),"")</f>
        <v/>
      </c>
      <c r="I839" s="32">
        <f>IF($A839=1,IF(Cash_Vouchers!$AC10="","",Cash_Vouchers!$AC10),"")</f>
        <v/>
      </c>
      <c r="J839" s="32">
        <f>IF($A839=1,IF(Cash_Vouchers!$AE10="","",Cash_Vouchers!$AE10),"")</f>
        <v/>
      </c>
      <c r="K839" s="32">
        <f>IF($A839=1,IF(Cash_Vouchers!$AG10="","",Cash_Vouchers!$AG10),"")</f>
        <v/>
      </c>
      <c r="L839" s="32">
        <f>IF($A839=1,IF(Cash_Vouchers!$K10="",Cash_Vouchers!$C10&amp;" - "&amp;Cash_Vouchers!$H10,Cash_Vouchers!$K10),"")</f>
        <v/>
      </c>
      <c r="M839" s="43">
        <f>IF($A839=1,Cash_Vouchers!$I10,"")</f>
        <v/>
      </c>
      <c r="N839" s="43">
        <f>IF($A839=1,0,"")</f>
        <v/>
      </c>
      <c r="O839" s="32">
        <f>IF($A839=1,Cash_Vouchers!$N10,"")</f>
        <v/>
      </c>
      <c r="P839" s="32">
        <f>IF($A839=1,IF(Cash_Vouchers!$AK10="","",Cash_Vouchers!$AK10),"")</f>
        <v/>
      </c>
      <c r="Q839" s="32">
        <f>IF($A839=1,Cash_Vouchers!$AM10,"")</f>
        <v/>
      </c>
      <c r="R839" s="32">
        <f>IF($A839=1,IF(AND($Q839=1,COUNTIFS(COA!$A:$A,$G839,COA!$R:$R,1)=1),1,0),"")</f>
        <v/>
      </c>
      <c r="S839" s="43">
        <f>IF($A839=1,IF($R839=1,N($M839),0),"")</f>
        <v/>
      </c>
      <c r="T839" s="43">
        <f>IF($A839=1,IF($R839=1,N($N839),0),"")</f>
        <v/>
      </c>
      <c r="U839" s="32">
        <f>IF($A839=1,YEAR($D839)*100+MONTH($D839),"")</f>
        <v/>
      </c>
      <c r="V839" s="32">
        <f>IF($A839=1,IF(COUNTIF(COA!$A:$A,$G839)=0,0,INDEX(COA!$H:$H,MATCH($G839,COA!$A:$A,0))),"")</f>
        <v/>
      </c>
      <c r="W839" s="32">
        <f>IF($A839=1,IF(Cash_Vouchers!$AI10="","",Cash_Vouchers!$AI10),"")</f>
        <v/>
      </c>
      <c r="X839" s="32">
        <f>IF($A839=1,IF($R839=1,"",IF($O839=ST_POST,IF($P839&lt;&gt;"",$P839,"حساب غير صالح أو غير نشط"),IF($O839=ST_REV,"معكوس: لا أثر على الدفاتر",IF($O839=ST_CANC,"ملغى",IF($O839=ST_APPR,"معتمد ولم يُرحَّل","مسودة"))))),"")</f>
        <v/>
      </c>
      <c r="Y839" s="32">
        <f>IF($A839=1,IF(AND($R839=1,OR(LG_Acct="",$G839=LG_Acct),OR(LG_Party="",$K839=LG_Party),OR(LG_Loc="ALL",$I839=LG_Loc),OR(LG_CC="ALL",$J839=LG_CC),$D839&gt;=LG_From,$D839&lt;=LG_To),$D839+ROW()/1000000,""),"")</f>
        <v/>
      </c>
      <c r="Z839" s="32">
        <f>IF($A839=1,IF(Cash_Vouchers!$O10="","",Cash_Vouchers!$O10),"")</f>
        <v/>
      </c>
      <c r="AA839" s="32">
        <f>IF($A839=1,IF(Cash_Vouchers!$P10="","",Cash_Vouchers!$P10),"")</f>
        <v/>
      </c>
      <c r="AB839" s="32">
        <f>IF($A839=1,IF(Cash_Vouchers!$Q10="","",Cash_Vouchers!$Q10),"")</f>
        <v/>
      </c>
      <c r="AC839" s="32">
        <f>IF($A839=1,IF(Cash_Vouchers!$R10="","",Cash_Vouchers!$R10),"")</f>
        <v/>
      </c>
      <c r="AD839" s="32">
        <f>IF($A839=1,IF(Cash_Vouchers!$S10="","",Cash_Vouchers!$S10),"")</f>
        <v/>
      </c>
      <c r="AE839" s="32">
        <f>IF($A839=1,0,"")</f>
        <v/>
      </c>
      <c r="AF839" s="32" t="inlineStr"/>
    </row>
    <row r="840">
      <c r="A840" s="32">
        <f>IF(AND(Cash_Vouchers!$AJ10=1,N(Cash_Vouchers!$I10)&gt;0),1,0)</f>
        <v/>
      </c>
      <c r="B840" s="32">
        <f>IF($A840=1,$E840&amp;"/2","")</f>
        <v/>
      </c>
      <c r="C840" s="32">
        <f>IF($A840=1,"J-"&amp;Cash_Vouchers!$A10,"")</f>
        <v/>
      </c>
      <c r="D840" s="33">
        <f>IF($A840=1,Cash_Vouchers!$B10,"")</f>
        <v/>
      </c>
      <c r="E840" s="32">
        <f>IF($A840=1,IF(Cash_Vouchers!$A10="","",Cash_Vouchers!$A10),"")</f>
        <v/>
      </c>
      <c r="F840" s="32">
        <f>IF($A840=1,"CV","")</f>
        <v/>
      </c>
      <c r="G840" s="32">
        <f>IF($A840=1,IF(Cash_Vouchers!$AB10="","",Cash_Vouchers!$AB10),"")</f>
        <v/>
      </c>
      <c r="H840" s="32">
        <f>IF($A840=1,IF(COUNTIF(COA!$A:$A,$G840)=0,"حساب غير معرف",INDEX(COA!$B:$B,MATCH($G840,COA!$A:$A,0))),"")</f>
        <v/>
      </c>
      <c r="I840" s="32">
        <f>IF($A840=1,IF(Cash_Vouchers!$AD10="","",Cash_Vouchers!$AD10),"")</f>
        <v/>
      </c>
      <c r="J840" s="32">
        <f>IF($A840=1,IF(Cash_Vouchers!$AF10="","",Cash_Vouchers!$AF10),"")</f>
        <v/>
      </c>
      <c r="K840" s="32">
        <f>IF($A840=1,IF(Cash_Vouchers!$AH10="","",Cash_Vouchers!$AH10),"")</f>
        <v/>
      </c>
      <c r="L840" s="32">
        <f>IF($A840=1,IF(Cash_Vouchers!$K10="",Cash_Vouchers!$C10&amp;" - "&amp;Cash_Vouchers!$H10,Cash_Vouchers!$K10),"")</f>
        <v/>
      </c>
      <c r="M840" s="43">
        <f>IF($A840=1,0,"")</f>
        <v/>
      </c>
      <c r="N840" s="43">
        <f>IF($A840=1,Cash_Vouchers!$I10,"")</f>
        <v/>
      </c>
      <c r="O840" s="32">
        <f>IF($A840=1,Cash_Vouchers!$N10,"")</f>
        <v/>
      </c>
      <c r="P840" s="32">
        <f>IF($A840=1,IF(Cash_Vouchers!$AK10="","",Cash_Vouchers!$AK10),"")</f>
        <v/>
      </c>
      <c r="Q840" s="32">
        <f>IF($A840=1,Cash_Vouchers!$AM10,"")</f>
        <v/>
      </c>
      <c r="R840" s="32">
        <f>IF($A840=1,IF(AND($Q840=1,COUNTIFS(COA!$A:$A,$G840,COA!$R:$R,1)=1),1,0),"")</f>
        <v/>
      </c>
      <c r="S840" s="43">
        <f>IF($A840=1,IF($R840=1,N($M840),0),"")</f>
        <v/>
      </c>
      <c r="T840" s="43">
        <f>IF($A840=1,IF($R840=1,N($N840),0),"")</f>
        <v/>
      </c>
      <c r="U840" s="32">
        <f>IF($A840=1,YEAR($D840)*100+MONTH($D840),"")</f>
        <v/>
      </c>
      <c r="V840" s="32">
        <f>IF($A840=1,IF(COUNTIF(COA!$A:$A,$G840)=0,0,INDEX(COA!$H:$H,MATCH($G840,COA!$A:$A,0))),"")</f>
        <v/>
      </c>
      <c r="W840" s="32">
        <f>IF($A840=1,IF(Cash_Vouchers!$AI10="","",Cash_Vouchers!$AI10),"")</f>
        <v/>
      </c>
      <c r="X840" s="32">
        <f>IF($A840=1,IF($R840=1,"",IF($O840=ST_POST,IF($P840&lt;&gt;"",$P840,"حساب غير صالح أو غير نشط"),IF($O840=ST_REV,"معكوس: لا أثر على الدفاتر",IF($O840=ST_CANC,"ملغى",IF($O840=ST_APPR,"معتمد ولم يُرحَّل","مسودة"))))),"")</f>
        <v/>
      </c>
      <c r="Y840" s="32">
        <f>IF($A840=1,IF(AND($R840=1,OR(LG_Acct="",$G840=LG_Acct),OR(LG_Party="",$K840=LG_Party),OR(LG_Loc="ALL",$I840=LG_Loc),OR(LG_CC="ALL",$J840=LG_CC),$D840&gt;=LG_From,$D840&lt;=LG_To),$D840+ROW()/1000000,""),"")</f>
        <v/>
      </c>
      <c r="Z840" s="32">
        <f>IF($A840=1,IF(Cash_Vouchers!$O10="","",Cash_Vouchers!$O10),"")</f>
        <v/>
      </c>
      <c r="AA840" s="32">
        <f>IF($A840=1,IF(Cash_Vouchers!$P10="","",Cash_Vouchers!$P10),"")</f>
        <v/>
      </c>
      <c r="AB840" s="32">
        <f>IF($A840=1,IF(Cash_Vouchers!$Q10="","",Cash_Vouchers!$Q10),"")</f>
        <v/>
      </c>
      <c r="AC840" s="32">
        <f>IF($A840=1,IF(Cash_Vouchers!$R10="","",Cash_Vouchers!$R10),"")</f>
        <v/>
      </c>
      <c r="AD840" s="32">
        <f>IF($A840=1,IF(Cash_Vouchers!$S10="","",Cash_Vouchers!$S10),"")</f>
        <v/>
      </c>
      <c r="AE840" s="32">
        <f>IF($A840=1,0,"")</f>
        <v/>
      </c>
      <c r="AF840" s="32" t="inlineStr"/>
    </row>
    <row r="841">
      <c r="A841" s="32">
        <f>IF(AND(Cash_Vouchers!$AJ11=1,N(Cash_Vouchers!$I11)&gt;0),1,0)</f>
        <v/>
      </c>
      <c r="B841" s="32">
        <f>IF($A841=1,$E841&amp;"/1","")</f>
        <v/>
      </c>
      <c r="C841" s="32">
        <f>IF($A841=1,"J-"&amp;Cash_Vouchers!$A11,"")</f>
        <v/>
      </c>
      <c r="D841" s="33">
        <f>IF($A841=1,Cash_Vouchers!$B11,"")</f>
        <v/>
      </c>
      <c r="E841" s="32">
        <f>IF($A841=1,IF(Cash_Vouchers!$A11="","",Cash_Vouchers!$A11),"")</f>
        <v/>
      </c>
      <c r="F841" s="32">
        <f>IF($A841=1,"CV","")</f>
        <v/>
      </c>
      <c r="G841" s="32">
        <f>IF($A841=1,IF(Cash_Vouchers!$AA11="","",Cash_Vouchers!$AA11),"")</f>
        <v/>
      </c>
      <c r="H841" s="32">
        <f>IF($A841=1,IF(COUNTIF(COA!$A:$A,$G841)=0,"حساب غير معرف",INDEX(COA!$B:$B,MATCH($G841,COA!$A:$A,0))),"")</f>
        <v/>
      </c>
      <c r="I841" s="32">
        <f>IF($A841=1,IF(Cash_Vouchers!$AC11="","",Cash_Vouchers!$AC11),"")</f>
        <v/>
      </c>
      <c r="J841" s="32">
        <f>IF($A841=1,IF(Cash_Vouchers!$AE11="","",Cash_Vouchers!$AE11),"")</f>
        <v/>
      </c>
      <c r="K841" s="32">
        <f>IF($A841=1,IF(Cash_Vouchers!$AG11="","",Cash_Vouchers!$AG11),"")</f>
        <v/>
      </c>
      <c r="L841" s="32">
        <f>IF($A841=1,IF(Cash_Vouchers!$K11="",Cash_Vouchers!$C11&amp;" - "&amp;Cash_Vouchers!$H11,Cash_Vouchers!$K11),"")</f>
        <v/>
      </c>
      <c r="M841" s="43">
        <f>IF($A841=1,Cash_Vouchers!$I11,"")</f>
        <v/>
      </c>
      <c r="N841" s="43">
        <f>IF($A841=1,0,"")</f>
        <v/>
      </c>
      <c r="O841" s="32">
        <f>IF($A841=1,Cash_Vouchers!$N11,"")</f>
        <v/>
      </c>
      <c r="P841" s="32">
        <f>IF($A841=1,IF(Cash_Vouchers!$AK11="","",Cash_Vouchers!$AK11),"")</f>
        <v/>
      </c>
      <c r="Q841" s="32">
        <f>IF($A841=1,Cash_Vouchers!$AM11,"")</f>
        <v/>
      </c>
      <c r="R841" s="32">
        <f>IF($A841=1,IF(AND($Q841=1,COUNTIFS(COA!$A:$A,$G841,COA!$R:$R,1)=1),1,0),"")</f>
        <v/>
      </c>
      <c r="S841" s="43">
        <f>IF($A841=1,IF($R841=1,N($M841),0),"")</f>
        <v/>
      </c>
      <c r="T841" s="43">
        <f>IF($A841=1,IF($R841=1,N($N841),0),"")</f>
        <v/>
      </c>
      <c r="U841" s="32">
        <f>IF($A841=1,YEAR($D841)*100+MONTH($D841),"")</f>
        <v/>
      </c>
      <c r="V841" s="32">
        <f>IF($A841=1,IF(COUNTIF(COA!$A:$A,$G841)=0,0,INDEX(COA!$H:$H,MATCH($G841,COA!$A:$A,0))),"")</f>
        <v/>
      </c>
      <c r="W841" s="32">
        <f>IF($A841=1,IF(Cash_Vouchers!$AI11="","",Cash_Vouchers!$AI11),"")</f>
        <v/>
      </c>
      <c r="X841" s="32">
        <f>IF($A841=1,IF($R841=1,"",IF($O841=ST_POST,IF($P841&lt;&gt;"",$P841,"حساب غير صالح أو غير نشط"),IF($O841=ST_REV,"معكوس: لا أثر على الدفاتر",IF($O841=ST_CANC,"ملغى",IF($O841=ST_APPR,"معتمد ولم يُرحَّل","مسودة"))))),"")</f>
        <v/>
      </c>
      <c r="Y841" s="32">
        <f>IF($A841=1,IF(AND($R841=1,OR(LG_Acct="",$G841=LG_Acct),OR(LG_Party="",$K841=LG_Party),OR(LG_Loc="ALL",$I841=LG_Loc),OR(LG_CC="ALL",$J841=LG_CC),$D841&gt;=LG_From,$D841&lt;=LG_To),$D841+ROW()/1000000,""),"")</f>
        <v/>
      </c>
      <c r="Z841" s="32">
        <f>IF($A841=1,IF(Cash_Vouchers!$O11="","",Cash_Vouchers!$O11),"")</f>
        <v/>
      </c>
      <c r="AA841" s="32">
        <f>IF($A841=1,IF(Cash_Vouchers!$P11="","",Cash_Vouchers!$P11),"")</f>
        <v/>
      </c>
      <c r="AB841" s="32">
        <f>IF($A841=1,IF(Cash_Vouchers!$Q11="","",Cash_Vouchers!$Q11),"")</f>
        <v/>
      </c>
      <c r="AC841" s="32">
        <f>IF($A841=1,IF(Cash_Vouchers!$R11="","",Cash_Vouchers!$R11),"")</f>
        <v/>
      </c>
      <c r="AD841" s="32">
        <f>IF($A841=1,IF(Cash_Vouchers!$S11="","",Cash_Vouchers!$S11),"")</f>
        <v/>
      </c>
      <c r="AE841" s="32">
        <f>IF($A841=1,0,"")</f>
        <v/>
      </c>
      <c r="AF841" s="32" t="inlineStr"/>
    </row>
    <row r="842">
      <c r="A842" s="32">
        <f>IF(AND(Cash_Vouchers!$AJ11=1,N(Cash_Vouchers!$I11)&gt;0),1,0)</f>
        <v/>
      </c>
      <c r="B842" s="32">
        <f>IF($A842=1,$E842&amp;"/2","")</f>
        <v/>
      </c>
      <c r="C842" s="32">
        <f>IF($A842=1,"J-"&amp;Cash_Vouchers!$A11,"")</f>
        <v/>
      </c>
      <c r="D842" s="33">
        <f>IF($A842=1,Cash_Vouchers!$B11,"")</f>
        <v/>
      </c>
      <c r="E842" s="32">
        <f>IF($A842=1,IF(Cash_Vouchers!$A11="","",Cash_Vouchers!$A11),"")</f>
        <v/>
      </c>
      <c r="F842" s="32">
        <f>IF($A842=1,"CV","")</f>
        <v/>
      </c>
      <c r="G842" s="32">
        <f>IF($A842=1,IF(Cash_Vouchers!$AB11="","",Cash_Vouchers!$AB11),"")</f>
        <v/>
      </c>
      <c r="H842" s="32">
        <f>IF($A842=1,IF(COUNTIF(COA!$A:$A,$G842)=0,"حساب غير معرف",INDEX(COA!$B:$B,MATCH($G842,COA!$A:$A,0))),"")</f>
        <v/>
      </c>
      <c r="I842" s="32">
        <f>IF($A842=1,IF(Cash_Vouchers!$AD11="","",Cash_Vouchers!$AD11),"")</f>
        <v/>
      </c>
      <c r="J842" s="32">
        <f>IF($A842=1,IF(Cash_Vouchers!$AF11="","",Cash_Vouchers!$AF11),"")</f>
        <v/>
      </c>
      <c r="K842" s="32">
        <f>IF($A842=1,IF(Cash_Vouchers!$AH11="","",Cash_Vouchers!$AH11),"")</f>
        <v/>
      </c>
      <c r="L842" s="32">
        <f>IF($A842=1,IF(Cash_Vouchers!$K11="",Cash_Vouchers!$C11&amp;" - "&amp;Cash_Vouchers!$H11,Cash_Vouchers!$K11),"")</f>
        <v/>
      </c>
      <c r="M842" s="43">
        <f>IF($A842=1,0,"")</f>
        <v/>
      </c>
      <c r="N842" s="43">
        <f>IF($A842=1,Cash_Vouchers!$I11,"")</f>
        <v/>
      </c>
      <c r="O842" s="32">
        <f>IF($A842=1,Cash_Vouchers!$N11,"")</f>
        <v/>
      </c>
      <c r="P842" s="32">
        <f>IF($A842=1,IF(Cash_Vouchers!$AK11="","",Cash_Vouchers!$AK11),"")</f>
        <v/>
      </c>
      <c r="Q842" s="32">
        <f>IF($A842=1,Cash_Vouchers!$AM11,"")</f>
        <v/>
      </c>
      <c r="R842" s="32">
        <f>IF($A842=1,IF(AND($Q842=1,COUNTIFS(COA!$A:$A,$G842,COA!$R:$R,1)=1),1,0),"")</f>
        <v/>
      </c>
      <c r="S842" s="43">
        <f>IF($A842=1,IF($R842=1,N($M842),0),"")</f>
        <v/>
      </c>
      <c r="T842" s="43">
        <f>IF($A842=1,IF($R842=1,N($N842),0),"")</f>
        <v/>
      </c>
      <c r="U842" s="32">
        <f>IF($A842=1,YEAR($D842)*100+MONTH($D842),"")</f>
        <v/>
      </c>
      <c r="V842" s="32">
        <f>IF($A842=1,IF(COUNTIF(COA!$A:$A,$G842)=0,0,INDEX(COA!$H:$H,MATCH($G842,COA!$A:$A,0))),"")</f>
        <v/>
      </c>
      <c r="W842" s="32">
        <f>IF($A842=1,IF(Cash_Vouchers!$AI11="","",Cash_Vouchers!$AI11),"")</f>
        <v/>
      </c>
      <c r="X842" s="32">
        <f>IF($A842=1,IF($R842=1,"",IF($O842=ST_POST,IF($P842&lt;&gt;"",$P842,"حساب غير صالح أو غير نشط"),IF($O842=ST_REV,"معكوس: لا أثر على الدفاتر",IF($O842=ST_CANC,"ملغى",IF($O842=ST_APPR,"معتمد ولم يُرحَّل","مسودة"))))),"")</f>
        <v/>
      </c>
      <c r="Y842" s="32">
        <f>IF($A842=1,IF(AND($R842=1,OR(LG_Acct="",$G842=LG_Acct),OR(LG_Party="",$K842=LG_Party),OR(LG_Loc="ALL",$I842=LG_Loc),OR(LG_CC="ALL",$J842=LG_CC),$D842&gt;=LG_From,$D842&lt;=LG_To),$D842+ROW()/1000000,""),"")</f>
        <v/>
      </c>
      <c r="Z842" s="32">
        <f>IF($A842=1,IF(Cash_Vouchers!$O11="","",Cash_Vouchers!$O11),"")</f>
        <v/>
      </c>
      <c r="AA842" s="32">
        <f>IF($A842=1,IF(Cash_Vouchers!$P11="","",Cash_Vouchers!$P11),"")</f>
        <v/>
      </c>
      <c r="AB842" s="32">
        <f>IF($A842=1,IF(Cash_Vouchers!$Q11="","",Cash_Vouchers!$Q11),"")</f>
        <v/>
      </c>
      <c r="AC842" s="32">
        <f>IF($A842=1,IF(Cash_Vouchers!$R11="","",Cash_Vouchers!$R11),"")</f>
        <v/>
      </c>
      <c r="AD842" s="32">
        <f>IF($A842=1,IF(Cash_Vouchers!$S11="","",Cash_Vouchers!$S11),"")</f>
        <v/>
      </c>
      <c r="AE842" s="32">
        <f>IF($A842=1,0,"")</f>
        <v/>
      </c>
      <c r="AF842" s="32" t="inlineStr"/>
    </row>
    <row r="843">
      <c r="A843" s="32">
        <f>IF(AND(Cash_Vouchers!$AJ12=1,N(Cash_Vouchers!$I12)&gt;0),1,0)</f>
        <v/>
      </c>
      <c r="B843" s="32">
        <f>IF($A843=1,$E843&amp;"/1","")</f>
        <v/>
      </c>
      <c r="C843" s="32">
        <f>IF($A843=1,"J-"&amp;Cash_Vouchers!$A12,"")</f>
        <v/>
      </c>
      <c r="D843" s="33">
        <f>IF($A843=1,Cash_Vouchers!$B12,"")</f>
        <v/>
      </c>
      <c r="E843" s="32">
        <f>IF($A843=1,IF(Cash_Vouchers!$A12="","",Cash_Vouchers!$A12),"")</f>
        <v/>
      </c>
      <c r="F843" s="32">
        <f>IF($A843=1,"CV","")</f>
        <v/>
      </c>
      <c r="G843" s="32">
        <f>IF($A843=1,IF(Cash_Vouchers!$AA12="","",Cash_Vouchers!$AA12),"")</f>
        <v/>
      </c>
      <c r="H843" s="32">
        <f>IF($A843=1,IF(COUNTIF(COA!$A:$A,$G843)=0,"حساب غير معرف",INDEX(COA!$B:$B,MATCH($G843,COA!$A:$A,0))),"")</f>
        <v/>
      </c>
      <c r="I843" s="32">
        <f>IF($A843=1,IF(Cash_Vouchers!$AC12="","",Cash_Vouchers!$AC12),"")</f>
        <v/>
      </c>
      <c r="J843" s="32">
        <f>IF($A843=1,IF(Cash_Vouchers!$AE12="","",Cash_Vouchers!$AE12),"")</f>
        <v/>
      </c>
      <c r="K843" s="32">
        <f>IF($A843=1,IF(Cash_Vouchers!$AG12="","",Cash_Vouchers!$AG12),"")</f>
        <v/>
      </c>
      <c r="L843" s="32">
        <f>IF($A843=1,IF(Cash_Vouchers!$K12="",Cash_Vouchers!$C12&amp;" - "&amp;Cash_Vouchers!$H12,Cash_Vouchers!$K12),"")</f>
        <v/>
      </c>
      <c r="M843" s="43">
        <f>IF($A843=1,Cash_Vouchers!$I12,"")</f>
        <v/>
      </c>
      <c r="N843" s="43">
        <f>IF($A843=1,0,"")</f>
        <v/>
      </c>
      <c r="O843" s="32">
        <f>IF($A843=1,Cash_Vouchers!$N12,"")</f>
        <v/>
      </c>
      <c r="P843" s="32">
        <f>IF($A843=1,IF(Cash_Vouchers!$AK12="","",Cash_Vouchers!$AK12),"")</f>
        <v/>
      </c>
      <c r="Q843" s="32">
        <f>IF($A843=1,Cash_Vouchers!$AM12,"")</f>
        <v/>
      </c>
      <c r="R843" s="32">
        <f>IF($A843=1,IF(AND($Q843=1,COUNTIFS(COA!$A:$A,$G843,COA!$R:$R,1)=1),1,0),"")</f>
        <v/>
      </c>
      <c r="S843" s="43">
        <f>IF($A843=1,IF($R843=1,N($M843),0),"")</f>
        <v/>
      </c>
      <c r="T843" s="43">
        <f>IF($A843=1,IF($R843=1,N($N843),0),"")</f>
        <v/>
      </c>
      <c r="U843" s="32">
        <f>IF($A843=1,YEAR($D843)*100+MONTH($D843),"")</f>
        <v/>
      </c>
      <c r="V843" s="32">
        <f>IF($A843=1,IF(COUNTIF(COA!$A:$A,$G843)=0,0,INDEX(COA!$H:$H,MATCH($G843,COA!$A:$A,0))),"")</f>
        <v/>
      </c>
      <c r="W843" s="32">
        <f>IF($A843=1,IF(Cash_Vouchers!$AI12="","",Cash_Vouchers!$AI12),"")</f>
        <v/>
      </c>
      <c r="X843" s="32">
        <f>IF($A843=1,IF($R843=1,"",IF($O843=ST_POST,IF($P843&lt;&gt;"",$P843,"حساب غير صالح أو غير نشط"),IF($O843=ST_REV,"معكوس: لا أثر على الدفاتر",IF($O843=ST_CANC,"ملغى",IF($O843=ST_APPR,"معتمد ولم يُرحَّل","مسودة"))))),"")</f>
        <v/>
      </c>
      <c r="Y843" s="32">
        <f>IF($A843=1,IF(AND($R843=1,OR(LG_Acct="",$G843=LG_Acct),OR(LG_Party="",$K843=LG_Party),OR(LG_Loc="ALL",$I843=LG_Loc),OR(LG_CC="ALL",$J843=LG_CC),$D843&gt;=LG_From,$D843&lt;=LG_To),$D843+ROW()/1000000,""),"")</f>
        <v/>
      </c>
      <c r="Z843" s="32">
        <f>IF($A843=1,IF(Cash_Vouchers!$O12="","",Cash_Vouchers!$O12),"")</f>
        <v/>
      </c>
      <c r="AA843" s="32">
        <f>IF($A843=1,IF(Cash_Vouchers!$P12="","",Cash_Vouchers!$P12),"")</f>
        <v/>
      </c>
      <c r="AB843" s="32">
        <f>IF($A843=1,IF(Cash_Vouchers!$Q12="","",Cash_Vouchers!$Q12),"")</f>
        <v/>
      </c>
      <c r="AC843" s="32">
        <f>IF($A843=1,IF(Cash_Vouchers!$R12="","",Cash_Vouchers!$R12),"")</f>
        <v/>
      </c>
      <c r="AD843" s="32">
        <f>IF($A843=1,IF(Cash_Vouchers!$S12="","",Cash_Vouchers!$S12),"")</f>
        <v/>
      </c>
      <c r="AE843" s="32">
        <f>IF($A843=1,0,"")</f>
        <v/>
      </c>
      <c r="AF843" s="32" t="inlineStr"/>
    </row>
    <row r="844">
      <c r="A844" s="32">
        <f>IF(AND(Cash_Vouchers!$AJ12=1,N(Cash_Vouchers!$I12)&gt;0),1,0)</f>
        <v/>
      </c>
      <c r="B844" s="32">
        <f>IF($A844=1,$E844&amp;"/2","")</f>
        <v/>
      </c>
      <c r="C844" s="32">
        <f>IF($A844=1,"J-"&amp;Cash_Vouchers!$A12,"")</f>
        <v/>
      </c>
      <c r="D844" s="33">
        <f>IF($A844=1,Cash_Vouchers!$B12,"")</f>
        <v/>
      </c>
      <c r="E844" s="32">
        <f>IF($A844=1,IF(Cash_Vouchers!$A12="","",Cash_Vouchers!$A12),"")</f>
        <v/>
      </c>
      <c r="F844" s="32">
        <f>IF($A844=1,"CV","")</f>
        <v/>
      </c>
      <c r="G844" s="32">
        <f>IF($A844=1,IF(Cash_Vouchers!$AB12="","",Cash_Vouchers!$AB12),"")</f>
        <v/>
      </c>
      <c r="H844" s="32">
        <f>IF($A844=1,IF(COUNTIF(COA!$A:$A,$G844)=0,"حساب غير معرف",INDEX(COA!$B:$B,MATCH($G844,COA!$A:$A,0))),"")</f>
        <v/>
      </c>
      <c r="I844" s="32">
        <f>IF($A844=1,IF(Cash_Vouchers!$AD12="","",Cash_Vouchers!$AD12),"")</f>
        <v/>
      </c>
      <c r="J844" s="32">
        <f>IF($A844=1,IF(Cash_Vouchers!$AF12="","",Cash_Vouchers!$AF12),"")</f>
        <v/>
      </c>
      <c r="K844" s="32">
        <f>IF($A844=1,IF(Cash_Vouchers!$AH12="","",Cash_Vouchers!$AH12),"")</f>
        <v/>
      </c>
      <c r="L844" s="32">
        <f>IF($A844=1,IF(Cash_Vouchers!$K12="",Cash_Vouchers!$C12&amp;" - "&amp;Cash_Vouchers!$H12,Cash_Vouchers!$K12),"")</f>
        <v/>
      </c>
      <c r="M844" s="43">
        <f>IF($A844=1,0,"")</f>
        <v/>
      </c>
      <c r="N844" s="43">
        <f>IF($A844=1,Cash_Vouchers!$I12,"")</f>
        <v/>
      </c>
      <c r="O844" s="32">
        <f>IF($A844=1,Cash_Vouchers!$N12,"")</f>
        <v/>
      </c>
      <c r="P844" s="32">
        <f>IF($A844=1,IF(Cash_Vouchers!$AK12="","",Cash_Vouchers!$AK12),"")</f>
        <v/>
      </c>
      <c r="Q844" s="32">
        <f>IF($A844=1,Cash_Vouchers!$AM12,"")</f>
        <v/>
      </c>
      <c r="R844" s="32">
        <f>IF($A844=1,IF(AND($Q844=1,COUNTIFS(COA!$A:$A,$G844,COA!$R:$R,1)=1),1,0),"")</f>
        <v/>
      </c>
      <c r="S844" s="43">
        <f>IF($A844=1,IF($R844=1,N($M844),0),"")</f>
        <v/>
      </c>
      <c r="T844" s="43">
        <f>IF($A844=1,IF($R844=1,N($N844),0),"")</f>
        <v/>
      </c>
      <c r="U844" s="32">
        <f>IF($A844=1,YEAR($D844)*100+MONTH($D844),"")</f>
        <v/>
      </c>
      <c r="V844" s="32">
        <f>IF($A844=1,IF(COUNTIF(COA!$A:$A,$G844)=0,0,INDEX(COA!$H:$H,MATCH($G844,COA!$A:$A,0))),"")</f>
        <v/>
      </c>
      <c r="W844" s="32">
        <f>IF($A844=1,IF(Cash_Vouchers!$AI12="","",Cash_Vouchers!$AI12),"")</f>
        <v/>
      </c>
      <c r="X844" s="32">
        <f>IF($A844=1,IF($R844=1,"",IF($O844=ST_POST,IF($P844&lt;&gt;"",$P844,"حساب غير صالح أو غير نشط"),IF($O844=ST_REV,"معكوس: لا أثر على الدفاتر",IF($O844=ST_CANC,"ملغى",IF($O844=ST_APPR,"معتمد ولم يُرحَّل","مسودة"))))),"")</f>
        <v/>
      </c>
      <c r="Y844" s="32">
        <f>IF($A844=1,IF(AND($R844=1,OR(LG_Acct="",$G844=LG_Acct),OR(LG_Party="",$K844=LG_Party),OR(LG_Loc="ALL",$I844=LG_Loc),OR(LG_CC="ALL",$J844=LG_CC),$D844&gt;=LG_From,$D844&lt;=LG_To),$D844+ROW()/1000000,""),"")</f>
        <v/>
      </c>
      <c r="Z844" s="32">
        <f>IF($A844=1,IF(Cash_Vouchers!$O12="","",Cash_Vouchers!$O12),"")</f>
        <v/>
      </c>
      <c r="AA844" s="32">
        <f>IF($A844=1,IF(Cash_Vouchers!$P12="","",Cash_Vouchers!$P12),"")</f>
        <v/>
      </c>
      <c r="AB844" s="32">
        <f>IF($A844=1,IF(Cash_Vouchers!$Q12="","",Cash_Vouchers!$Q12),"")</f>
        <v/>
      </c>
      <c r="AC844" s="32">
        <f>IF($A844=1,IF(Cash_Vouchers!$R12="","",Cash_Vouchers!$R12),"")</f>
        <v/>
      </c>
      <c r="AD844" s="32">
        <f>IF($A844=1,IF(Cash_Vouchers!$S12="","",Cash_Vouchers!$S12),"")</f>
        <v/>
      </c>
      <c r="AE844" s="32">
        <f>IF($A844=1,0,"")</f>
        <v/>
      </c>
      <c r="AF844" s="32" t="inlineStr"/>
    </row>
    <row r="845">
      <c r="A845" s="32">
        <f>IF(AND(Cash_Vouchers!$AJ13=1,N(Cash_Vouchers!$I13)&gt;0),1,0)</f>
        <v/>
      </c>
      <c r="B845" s="32">
        <f>IF($A845=1,$E845&amp;"/1","")</f>
        <v/>
      </c>
      <c r="C845" s="32">
        <f>IF($A845=1,"J-"&amp;Cash_Vouchers!$A13,"")</f>
        <v/>
      </c>
      <c r="D845" s="33">
        <f>IF($A845=1,Cash_Vouchers!$B13,"")</f>
        <v/>
      </c>
      <c r="E845" s="32">
        <f>IF($A845=1,IF(Cash_Vouchers!$A13="","",Cash_Vouchers!$A13),"")</f>
        <v/>
      </c>
      <c r="F845" s="32">
        <f>IF($A845=1,"CV","")</f>
        <v/>
      </c>
      <c r="G845" s="32">
        <f>IF($A845=1,IF(Cash_Vouchers!$AA13="","",Cash_Vouchers!$AA13),"")</f>
        <v/>
      </c>
      <c r="H845" s="32">
        <f>IF($A845=1,IF(COUNTIF(COA!$A:$A,$G845)=0,"حساب غير معرف",INDEX(COA!$B:$B,MATCH($G845,COA!$A:$A,0))),"")</f>
        <v/>
      </c>
      <c r="I845" s="32">
        <f>IF($A845=1,IF(Cash_Vouchers!$AC13="","",Cash_Vouchers!$AC13),"")</f>
        <v/>
      </c>
      <c r="J845" s="32">
        <f>IF($A845=1,IF(Cash_Vouchers!$AE13="","",Cash_Vouchers!$AE13),"")</f>
        <v/>
      </c>
      <c r="K845" s="32">
        <f>IF($A845=1,IF(Cash_Vouchers!$AG13="","",Cash_Vouchers!$AG13),"")</f>
        <v/>
      </c>
      <c r="L845" s="32">
        <f>IF($A845=1,IF(Cash_Vouchers!$K13="",Cash_Vouchers!$C13&amp;" - "&amp;Cash_Vouchers!$H13,Cash_Vouchers!$K13),"")</f>
        <v/>
      </c>
      <c r="M845" s="43">
        <f>IF($A845=1,Cash_Vouchers!$I13,"")</f>
        <v/>
      </c>
      <c r="N845" s="43">
        <f>IF($A845=1,0,"")</f>
        <v/>
      </c>
      <c r="O845" s="32">
        <f>IF($A845=1,Cash_Vouchers!$N13,"")</f>
        <v/>
      </c>
      <c r="P845" s="32">
        <f>IF($A845=1,IF(Cash_Vouchers!$AK13="","",Cash_Vouchers!$AK13),"")</f>
        <v/>
      </c>
      <c r="Q845" s="32">
        <f>IF($A845=1,Cash_Vouchers!$AM13,"")</f>
        <v/>
      </c>
      <c r="R845" s="32">
        <f>IF($A845=1,IF(AND($Q845=1,COUNTIFS(COA!$A:$A,$G845,COA!$R:$R,1)=1),1,0),"")</f>
        <v/>
      </c>
      <c r="S845" s="43">
        <f>IF($A845=1,IF($R845=1,N($M845),0),"")</f>
        <v/>
      </c>
      <c r="T845" s="43">
        <f>IF($A845=1,IF($R845=1,N($N845),0),"")</f>
        <v/>
      </c>
      <c r="U845" s="32">
        <f>IF($A845=1,YEAR($D845)*100+MONTH($D845),"")</f>
        <v/>
      </c>
      <c r="V845" s="32">
        <f>IF($A845=1,IF(COUNTIF(COA!$A:$A,$G845)=0,0,INDEX(COA!$H:$H,MATCH($G845,COA!$A:$A,0))),"")</f>
        <v/>
      </c>
      <c r="W845" s="32">
        <f>IF($A845=1,IF(Cash_Vouchers!$AI13="","",Cash_Vouchers!$AI13),"")</f>
        <v/>
      </c>
      <c r="X845" s="32">
        <f>IF($A845=1,IF($R845=1,"",IF($O845=ST_POST,IF($P845&lt;&gt;"",$P845,"حساب غير صالح أو غير نشط"),IF($O845=ST_REV,"معكوس: لا أثر على الدفاتر",IF($O845=ST_CANC,"ملغى",IF($O845=ST_APPR,"معتمد ولم يُرحَّل","مسودة"))))),"")</f>
        <v/>
      </c>
      <c r="Y845" s="32">
        <f>IF($A845=1,IF(AND($R845=1,OR(LG_Acct="",$G845=LG_Acct),OR(LG_Party="",$K845=LG_Party),OR(LG_Loc="ALL",$I845=LG_Loc),OR(LG_CC="ALL",$J845=LG_CC),$D845&gt;=LG_From,$D845&lt;=LG_To),$D845+ROW()/1000000,""),"")</f>
        <v/>
      </c>
      <c r="Z845" s="32">
        <f>IF($A845=1,IF(Cash_Vouchers!$O13="","",Cash_Vouchers!$O13),"")</f>
        <v/>
      </c>
      <c r="AA845" s="32">
        <f>IF($A845=1,IF(Cash_Vouchers!$P13="","",Cash_Vouchers!$P13),"")</f>
        <v/>
      </c>
      <c r="AB845" s="32">
        <f>IF($A845=1,IF(Cash_Vouchers!$Q13="","",Cash_Vouchers!$Q13),"")</f>
        <v/>
      </c>
      <c r="AC845" s="32">
        <f>IF($A845=1,IF(Cash_Vouchers!$R13="","",Cash_Vouchers!$R13),"")</f>
        <v/>
      </c>
      <c r="AD845" s="32">
        <f>IF($A845=1,IF(Cash_Vouchers!$S13="","",Cash_Vouchers!$S13),"")</f>
        <v/>
      </c>
      <c r="AE845" s="32">
        <f>IF($A845=1,0,"")</f>
        <v/>
      </c>
      <c r="AF845" s="32" t="inlineStr"/>
    </row>
    <row r="846">
      <c r="A846" s="32">
        <f>IF(AND(Cash_Vouchers!$AJ13=1,N(Cash_Vouchers!$I13)&gt;0),1,0)</f>
        <v/>
      </c>
      <c r="B846" s="32">
        <f>IF($A846=1,$E846&amp;"/2","")</f>
        <v/>
      </c>
      <c r="C846" s="32">
        <f>IF($A846=1,"J-"&amp;Cash_Vouchers!$A13,"")</f>
        <v/>
      </c>
      <c r="D846" s="33">
        <f>IF($A846=1,Cash_Vouchers!$B13,"")</f>
        <v/>
      </c>
      <c r="E846" s="32">
        <f>IF($A846=1,IF(Cash_Vouchers!$A13="","",Cash_Vouchers!$A13),"")</f>
        <v/>
      </c>
      <c r="F846" s="32">
        <f>IF($A846=1,"CV","")</f>
        <v/>
      </c>
      <c r="G846" s="32">
        <f>IF($A846=1,IF(Cash_Vouchers!$AB13="","",Cash_Vouchers!$AB13),"")</f>
        <v/>
      </c>
      <c r="H846" s="32">
        <f>IF($A846=1,IF(COUNTIF(COA!$A:$A,$G846)=0,"حساب غير معرف",INDEX(COA!$B:$B,MATCH($G846,COA!$A:$A,0))),"")</f>
        <v/>
      </c>
      <c r="I846" s="32">
        <f>IF($A846=1,IF(Cash_Vouchers!$AD13="","",Cash_Vouchers!$AD13),"")</f>
        <v/>
      </c>
      <c r="J846" s="32">
        <f>IF($A846=1,IF(Cash_Vouchers!$AF13="","",Cash_Vouchers!$AF13),"")</f>
        <v/>
      </c>
      <c r="K846" s="32">
        <f>IF($A846=1,IF(Cash_Vouchers!$AH13="","",Cash_Vouchers!$AH13),"")</f>
        <v/>
      </c>
      <c r="L846" s="32">
        <f>IF($A846=1,IF(Cash_Vouchers!$K13="",Cash_Vouchers!$C13&amp;" - "&amp;Cash_Vouchers!$H13,Cash_Vouchers!$K13),"")</f>
        <v/>
      </c>
      <c r="M846" s="43">
        <f>IF($A846=1,0,"")</f>
        <v/>
      </c>
      <c r="N846" s="43">
        <f>IF($A846=1,Cash_Vouchers!$I13,"")</f>
        <v/>
      </c>
      <c r="O846" s="32">
        <f>IF($A846=1,Cash_Vouchers!$N13,"")</f>
        <v/>
      </c>
      <c r="P846" s="32">
        <f>IF($A846=1,IF(Cash_Vouchers!$AK13="","",Cash_Vouchers!$AK13),"")</f>
        <v/>
      </c>
      <c r="Q846" s="32">
        <f>IF($A846=1,Cash_Vouchers!$AM13,"")</f>
        <v/>
      </c>
      <c r="R846" s="32">
        <f>IF($A846=1,IF(AND($Q846=1,COUNTIFS(COA!$A:$A,$G846,COA!$R:$R,1)=1),1,0),"")</f>
        <v/>
      </c>
      <c r="S846" s="43">
        <f>IF($A846=1,IF($R846=1,N($M846),0),"")</f>
        <v/>
      </c>
      <c r="T846" s="43">
        <f>IF($A846=1,IF($R846=1,N($N846),0),"")</f>
        <v/>
      </c>
      <c r="U846" s="32">
        <f>IF($A846=1,YEAR($D846)*100+MONTH($D846),"")</f>
        <v/>
      </c>
      <c r="V846" s="32">
        <f>IF($A846=1,IF(COUNTIF(COA!$A:$A,$G846)=0,0,INDEX(COA!$H:$H,MATCH($G846,COA!$A:$A,0))),"")</f>
        <v/>
      </c>
      <c r="W846" s="32">
        <f>IF($A846=1,IF(Cash_Vouchers!$AI13="","",Cash_Vouchers!$AI13),"")</f>
        <v/>
      </c>
      <c r="X846" s="32">
        <f>IF($A846=1,IF($R846=1,"",IF($O846=ST_POST,IF($P846&lt;&gt;"",$P846,"حساب غير صالح أو غير نشط"),IF($O846=ST_REV,"معكوس: لا أثر على الدفاتر",IF($O846=ST_CANC,"ملغى",IF($O846=ST_APPR,"معتمد ولم يُرحَّل","مسودة"))))),"")</f>
        <v/>
      </c>
      <c r="Y846" s="32">
        <f>IF($A846=1,IF(AND($R846=1,OR(LG_Acct="",$G846=LG_Acct),OR(LG_Party="",$K846=LG_Party),OR(LG_Loc="ALL",$I846=LG_Loc),OR(LG_CC="ALL",$J846=LG_CC),$D846&gt;=LG_From,$D846&lt;=LG_To),$D846+ROW()/1000000,""),"")</f>
        <v/>
      </c>
      <c r="Z846" s="32">
        <f>IF($A846=1,IF(Cash_Vouchers!$O13="","",Cash_Vouchers!$O13),"")</f>
        <v/>
      </c>
      <c r="AA846" s="32">
        <f>IF($A846=1,IF(Cash_Vouchers!$P13="","",Cash_Vouchers!$P13),"")</f>
        <v/>
      </c>
      <c r="AB846" s="32">
        <f>IF($A846=1,IF(Cash_Vouchers!$Q13="","",Cash_Vouchers!$Q13),"")</f>
        <v/>
      </c>
      <c r="AC846" s="32">
        <f>IF($A846=1,IF(Cash_Vouchers!$R13="","",Cash_Vouchers!$R13),"")</f>
        <v/>
      </c>
      <c r="AD846" s="32">
        <f>IF($A846=1,IF(Cash_Vouchers!$S13="","",Cash_Vouchers!$S13),"")</f>
        <v/>
      </c>
      <c r="AE846" s="32">
        <f>IF($A846=1,0,"")</f>
        <v/>
      </c>
      <c r="AF846" s="32" t="inlineStr"/>
    </row>
    <row r="847">
      <c r="A847" s="32">
        <f>IF(AND(Cash_Vouchers!$AJ14=1,N(Cash_Vouchers!$I14)&gt;0),1,0)</f>
        <v/>
      </c>
      <c r="B847" s="32">
        <f>IF($A847=1,$E847&amp;"/1","")</f>
        <v/>
      </c>
      <c r="C847" s="32">
        <f>IF($A847=1,"J-"&amp;Cash_Vouchers!$A14,"")</f>
        <v/>
      </c>
      <c r="D847" s="33">
        <f>IF($A847=1,Cash_Vouchers!$B14,"")</f>
        <v/>
      </c>
      <c r="E847" s="32">
        <f>IF($A847=1,IF(Cash_Vouchers!$A14="","",Cash_Vouchers!$A14),"")</f>
        <v/>
      </c>
      <c r="F847" s="32">
        <f>IF($A847=1,"CV","")</f>
        <v/>
      </c>
      <c r="G847" s="32">
        <f>IF($A847=1,IF(Cash_Vouchers!$AA14="","",Cash_Vouchers!$AA14),"")</f>
        <v/>
      </c>
      <c r="H847" s="32">
        <f>IF($A847=1,IF(COUNTIF(COA!$A:$A,$G847)=0,"حساب غير معرف",INDEX(COA!$B:$B,MATCH($G847,COA!$A:$A,0))),"")</f>
        <v/>
      </c>
      <c r="I847" s="32">
        <f>IF($A847=1,IF(Cash_Vouchers!$AC14="","",Cash_Vouchers!$AC14),"")</f>
        <v/>
      </c>
      <c r="J847" s="32">
        <f>IF($A847=1,IF(Cash_Vouchers!$AE14="","",Cash_Vouchers!$AE14),"")</f>
        <v/>
      </c>
      <c r="K847" s="32">
        <f>IF($A847=1,IF(Cash_Vouchers!$AG14="","",Cash_Vouchers!$AG14),"")</f>
        <v/>
      </c>
      <c r="L847" s="32">
        <f>IF($A847=1,IF(Cash_Vouchers!$K14="",Cash_Vouchers!$C14&amp;" - "&amp;Cash_Vouchers!$H14,Cash_Vouchers!$K14),"")</f>
        <v/>
      </c>
      <c r="M847" s="43">
        <f>IF($A847=1,Cash_Vouchers!$I14,"")</f>
        <v/>
      </c>
      <c r="N847" s="43">
        <f>IF($A847=1,0,"")</f>
        <v/>
      </c>
      <c r="O847" s="32">
        <f>IF($A847=1,Cash_Vouchers!$N14,"")</f>
        <v/>
      </c>
      <c r="P847" s="32">
        <f>IF($A847=1,IF(Cash_Vouchers!$AK14="","",Cash_Vouchers!$AK14),"")</f>
        <v/>
      </c>
      <c r="Q847" s="32">
        <f>IF($A847=1,Cash_Vouchers!$AM14,"")</f>
        <v/>
      </c>
      <c r="R847" s="32">
        <f>IF($A847=1,IF(AND($Q847=1,COUNTIFS(COA!$A:$A,$G847,COA!$R:$R,1)=1),1,0),"")</f>
        <v/>
      </c>
      <c r="S847" s="43">
        <f>IF($A847=1,IF($R847=1,N($M847),0),"")</f>
        <v/>
      </c>
      <c r="T847" s="43">
        <f>IF($A847=1,IF($R847=1,N($N847),0),"")</f>
        <v/>
      </c>
      <c r="U847" s="32">
        <f>IF($A847=1,YEAR($D847)*100+MONTH($D847),"")</f>
        <v/>
      </c>
      <c r="V847" s="32">
        <f>IF($A847=1,IF(COUNTIF(COA!$A:$A,$G847)=0,0,INDEX(COA!$H:$H,MATCH($G847,COA!$A:$A,0))),"")</f>
        <v/>
      </c>
      <c r="W847" s="32">
        <f>IF($A847=1,IF(Cash_Vouchers!$AI14="","",Cash_Vouchers!$AI14),"")</f>
        <v/>
      </c>
      <c r="X847" s="32">
        <f>IF($A847=1,IF($R847=1,"",IF($O847=ST_POST,IF($P847&lt;&gt;"",$P847,"حساب غير صالح أو غير نشط"),IF($O847=ST_REV,"معكوس: لا أثر على الدفاتر",IF($O847=ST_CANC,"ملغى",IF($O847=ST_APPR,"معتمد ولم يُرحَّل","مسودة"))))),"")</f>
        <v/>
      </c>
      <c r="Y847" s="32">
        <f>IF($A847=1,IF(AND($R847=1,OR(LG_Acct="",$G847=LG_Acct),OR(LG_Party="",$K847=LG_Party),OR(LG_Loc="ALL",$I847=LG_Loc),OR(LG_CC="ALL",$J847=LG_CC),$D847&gt;=LG_From,$D847&lt;=LG_To),$D847+ROW()/1000000,""),"")</f>
        <v/>
      </c>
      <c r="Z847" s="32">
        <f>IF($A847=1,IF(Cash_Vouchers!$O14="","",Cash_Vouchers!$O14),"")</f>
        <v/>
      </c>
      <c r="AA847" s="32">
        <f>IF($A847=1,IF(Cash_Vouchers!$P14="","",Cash_Vouchers!$P14),"")</f>
        <v/>
      </c>
      <c r="AB847" s="32">
        <f>IF($A847=1,IF(Cash_Vouchers!$Q14="","",Cash_Vouchers!$Q14),"")</f>
        <v/>
      </c>
      <c r="AC847" s="32">
        <f>IF($A847=1,IF(Cash_Vouchers!$R14="","",Cash_Vouchers!$R14),"")</f>
        <v/>
      </c>
      <c r="AD847" s="32">
        <f>IF($A847=1,IF(Cash_Vouchers!$S14="","",Cash_Vouchers!$S14),"")</f>
        <v/>
      </c>
      <c r="AE847" s="32">
        <f>IF($A847=1,0,"")</f>
        <v/>
      </c>
      <c r="AF847" s="32" t="inlineStr"/>
    </row>
    <row r="848">
      <c r="A848" s="32">
        <f>IF(AND(Cash_Vouchers!$AJ14=1,N(Cash_Vouchers!$I14)&gt;0),1,0)</f>
        <v/>
      </c>
      <c r="B848" s="32">
        <f>IF($A848=1,$E848&amp;"/2","")</f>
        <v/>
      </c>
      <c r="C848" s="32">
        <f>IF($A848=1,"J-"&amp;Cash_Vouchers!$A14,"")</f>
        <v/>
      </c>
      <c r="D848" s="33">
        <f>IF($A848=1,Cash_Vouchers!$B14,"")</f>
        <v/>
      </c>
      <c r="E848" s="32">
        <f>IF($A848=1,IF(Cash_Vouchers!$A14="","",Cash_Vouchers!$A14),"")</f>
        <v/>
      </c>
      <c r="F848" s="32">
        <f>IF($A848=1,"CV","")</f>
        <v/>
      </c>
      <c r="G848" s="32">
        <f>IF($A848=1,IF(Cash_Vouchers!$AB14="","",Cash_Vouchers!$AB14),"")</f>
        <v/>
      </c>
      <c r="H848" s="32">
        <f>IF($A848=1,IF(COUNTIF(COA!$A:$A,$G848)=0,"حساب غير معرف",INDEX(COA!$B:$B,MATCH($G848,COA!$A:$A,0))),"")</f>
        <v/>
      </c>
      <c r="I848" s="32">
        <f>IF($A848=1,IF(Cash_Vouchers!$AD14="","",Cash_Vouchers!$AD14),"")</f>
        <v/>
      </c>
      <c r="J848" s="32">
        <f>IF($A848=1,IF(Cash_Vouchers!$AF14="","",Cash_Vouchers!$AF14),"")</f>
        <v/>
      </c>
      <c r="K848" s="32">
        <f>IF($A848=1,IF(Cash_Vouchers!$AH14="","",Cash_Vouchers!$AH14),"")</f>
        <v/>
      </c>
      <c r="L848" s="32">
        <f>IF($A848=1,IF(Cash_Vouchers!$K14="",Cash_Vouchers!$C14&amp;" - "&amp;Cash_Vouchers!$H14,Cash_Vouchers!$K14),"")</f>
        <v/>
      </c>
      <c r="M848" s="43">
        <f>IF($A848=1,0,"")</f>
        <v/>
      </c>
      <c r="N848" s="43">
        <f>IF($A848=1,Cash_Vouchers!$I14,"")</f>
        <v/>
      </c>
      <c r="O848" s="32">
        <f>IF($A848=1,Cash_Vouchers!$N14,"")</f>
        <v/>
      </c>
      <c r="P848" s="32">
        <f>IF($A848=1,IF(Cash_Vouchers!$AK14="","",Cash_Vouchers!$AK14),"")</f>
        <v/>
      </c>
      <c r="Q848" s="32">
        <f>IF($A848=1,Cash_Vouchers!$AM14,"")</f>
        <v/>
      </c>
      <c r="R848" s="32">
        <f>IF($A848=1,IF(AND($Q848=1,COUNTIFS(COA!$A:$A,$G848,COA!$R:$R,1)=1),1,0),"")</f>
        <v/>
      </c>
      <c r="S848" s="43">
        <f>IF($A848=1,IF($R848=1,N($M848),0),"")</f>
        <v/>
      </c>
      <c r="T848" s="43">
        <f>IF($A848=1,IF($R848=1,N($N848),0),"")</f>
        <v/>
      </c>
      <c r="U848" s="32">
        <f>IF($A848=1,YEAR($D848)*100+MONTH($D848),"")</f>
        <v/>
      </c>
      <c r="V848" s="32">
        <f>IF($A848=1,IF(COUNTIF(COA!$A:$A,$G848)=0,0,INDEX(COA!$H:$H,MATCH($G848,COA!$A:$A,0))),"")</f>
        <v/>
      </c>
      <c r="W848" s="32">
        <f>IF($A848=1,IF(Cash_Vouchers!$AI14="","",Cash_Vouchers!$AI14),"")</f>
        <v/>
      </c>
      <c r="X848" s="32">
        <f>IF($A848=1,IF($R848=1,"",IF($O848=ST_POST,IF($P848&lt;&gt;"",$P848,"حساب غير صالح أو غير نشط"),IF($O848=ST_REV,"معكوس: لا أثر على الدفاتر",IF($O848=ST_CANC,"ملغى",IF($O848=ST_APPR,"معتمد ولم يُرحَّل","مسودة"))))),"")</f>
        <v/>
      </c>
      <c r="Y848" s="32">
        <f>IF($A848=1,IF(AND($R848=1,OR(LG_Acct="",$G848=LG_Acct),OR(LG_Party="",$K848=LG_Party),OR(LG_Loc="ALL",$I848=LG_Loc),OR(LG_CC="ALL",$J848=LG_CC),$D848&gt;=LG_From,$D848&lt;=LG_To),$D848+ROW()/1000000,""),"")</f>
        <v/>
      </c>
      <c r="Z848" s="32">
        <f>IF($A848=1,IF(Cash_Vouchers!$O14="","",Cash_Vouchers!$O14),"")</f>
        <v/>
      </c>
      <c r="AA848" s="32">
        <f>IF($A848=1,IF(Cash_Vouchers!$P14="","",Cash_Vouchers!$P14),"")</f>
        <v/>
      </c>
      <c r="AB848" s="32">
        <f>IF($A848=1,IF(Cash_Vouchers!$Q14="","",Cash_Vouchers!$Q14),"")</f>
        <v/>
      </c>
      <c r="AC848" s="32">
        <f>IF($A848=1,IF(Cash_Vouchers!$R14="","",Cash_Vouchers!$R14),"")</f>
        <v/>
      </c>
      <c r="AD848" s="32">
        <f>IF($A848=1,IF(Cash_Vouchers!$S14="","",Cash_Vouchers!$S14),"")</f>
        <v/>
      </c>
      <c r="AE848" s="32">
        <f>IF($A848=1,0,"")</f>
        <v/>
      </c>
      <c r="AF848" s="32" t="inlineStr"/>
    </row>
    <row r="849">
      <c r="A849" s="32">
        <f>IF(AND(Cash_Vouchers!$AJ15=1,N(Cash_Vouchers!$I15)&gt;0),1,0)</f>
        <v/>
      </c>
      <c r="B849" s="32">
        <f>IF($A849=1,$E849&amp;"/1","")</f>
        <v/>
      </c>
      <c r="C849" s="32">
        <f>IF($A849=1,"J-"&amp;Cash_Vouchers!$A15,"")</f>
        <v/>
      </c>
      <c r="D849" s="33">
        <f>IF($A849=1,Cash_Vouchers!$B15,"")</f>
        <v/>
      </c>
      <c r="E849" s="32">
        <f>IF($A849=1,IF(Cash_Vouchers!$A15="","",Cash_Vouchers!$A15),"")</f>
        <v/>
      </c>
      <c r="F849" s="32">
        <f>IF($A849=1,"CV","")</f>
        <v/>
      </c>
      <c r="G849" s="32">
        <f>IF($A849=1,IF(Cash_Vouchers!$AA15="","",Cash_Vouchers!$AA15),"")</f>
        <v/>
      </c>
      <c r="H849" s="32">
        <f>IF($A849=1,IF(COUNTIF(COA!$A:$A,$G849)=0,"حساب غير معرف",INDEX(COA!$B:$B,MATCH($G849,COA!$A:$A,0))),"")</f>
        <v/>
      </c>
      <c r="I849" s="32">
        <f>IF($A849=1,IF(Cash_Vouchers!$AC15="","",Cash_Vouchers!$AC15),"")</f>
        <v/>
      </c>
      <c r="J849" s="32">
        <f>IF($A849=1,IF(Cash_Vouchers!$AE15="","",Cash_Vouchers!$AE15),"")</f>
        <v/>
      </c>
      <c r="K849" s="32">
        <f>IF($A849=1,IF(Cash_Vouchers!$AG15="","",Cash_Vouchers!$AG15),"")</f>
        <v/>
      </c>
      <c r="L849" s="32">
        <f>IF($A849=1,IF(Cash_Vouchers!$K15="",Cash_Vouchers!$C15&amp;" - "&amp;Cash_Vouchers!$H15,Cash_Vouchers!$K15),"")</f>
        <v/>
      </c>
      <c r="M849" s="43">
        <f>IF($A849=1,Cash_Vouchers!$I15,"")</f>
        <v/>
      </c>
      <c r="N849" s="43">
        <f>IF($A849=1,0,"")</f>
        <v/>
      </c>
      <c r="O849" s="32">
        <f>IF($A849=1,Cash_Vouchers!$N15,"")</f>
        <v/>
      </c>
      <c r="P849" s="32">
        <f>IF($A849=1,IF(Cash_Vouchers!$AK15="","",Cash_Vouchers!$AK15),"")</f>
        <v/>
      </c>
      <c r="Q849" s="32">
        <f>IF($A849=1,Cash_Vouchers!$AM15,"")</f>
        <v/>
      </c>
      <c r="R849" s="32">
        <f>IF($A849=1,IF(AND($Q849=1,COUNTIFS(COA!$A:$A,$G849,COA!$R:$R,1)=1),1,0),"")</f>
        <v/>
      </c>
      <c r="S849" s="43">
        <f>IF($A849=1,IF($R849=1,N($M849),0),"")</f>
        <v/>
      </c>
      <c r="T849" s="43">
        <f>IF($A849=1,IF($R849=1,N($N849),0),"")</f>
        <v/>
      </c>
      <c r="U849" s="32">
        <f>IF($A849=1,YEAR($D849)*100+MONTH($D849),"")</f>
        <v/>
      </c>
      <c r="V849" s="32">
        <f>IF($A849=1,IF(COUNTIF(COA!$A:$A,$G849)=0,0,INDEX(COA!$H:$H,MATCH($G849,COA!$A:$A,0))),"")</f>
        <v/>
      </c>
      <c r="W849" s="32">
        <f>IF($A849=1,IF(Cash_Vouchers!$AI15="","",Cash_Vouchers!$AI15),"")</f>
        <v/>
      </c>
      <c r="X849" s="32">
        <f>IF($A849=1,IF($R849=1,"",IF($O849=ST_POST,IF($P849&lt;&gt;"",$P849,"حساب غير صالح أو غير نشط"),IF($O849=ST_REV,"معكوس: لا أثر على الدفاتر",IF($O849=ST_CANC,"ملغى",IF($O849=ST_APPR,"معتمد ولم يُرحَّل","مسودة"))))),"")</f>
        <v/>
      </c>
      <c r="Y849" s="32">
        <f>IF($A849=1,IF(AND($R849=1,OR(LG_Acct="",$G849=LG_Acct),OR(LG_Party="",$K849=LG_Party),OR(LG_Loc="ALL",$I849=LG_Loc),OR(LG_CC="ALL",$J849=LG_CC),$D849&gt;=LG_From,$D849&lt;=LG_To),$D849+ROW()/1000000,""),"")</f>
        <v/>
      </c>
      <c r="Z849" s="32">
        <f>IF($A849=1,IF(Cash_Vouchers!$O15="","",Cash_Vouchers!$O15),"")</f>
        <v/>
      </c>
      <c r="AA849" s="32">
        <f>IF($A849=1,IF(Cash_Vouchers!$P15="","",Cash_Vouchers!$P15),"")</f>
        <v/>
      </c>
      <c r="AB849" s="32">
        <f>IF($A849=1,IF(Cash_Vouchers!$Q15="","",Cash_Vouchers!$Q15),"")</f>
        <v/>
      </c>
      <c r="AC849" s="32">
        <f>IF($A849=1,IF(Cash_Vouchers!$R15="","",Cash_Vouchers!$R15),"")</f>
        <v/>
      </c>
      <c r="AD849" s="32">
        <f>IF($A849=1,IF(Cash_Vouchers!$S15="","",Cash_Vouchers!$S15),"")</f>
        <v/>
      </c>
      <c r="AE849" s="32">
        <f>IF($A849=1,0,"")</f>
        <v/>
      </c>
      <c r="AF849" s="32" t="inlineStr"/>
    </row>
    <row r="850">
      <c r="A850" s="32">
        <f>IF(AND(Cash_Vouchers!$AJ15=1,N(Cash_Vouchers!$I15)&gt;0),1,0)</f>
        <v/>
      </c>
      <c r="B850" s="32">
        <f>IF($A850=1,$E850&amp;"/2","")</f>
        <v/>
      </c>
      <c r="C850" s="32">
        <f>IF($A850=1,"J-"&amp;Cash_Vouchers!$A15,"")</f>
        <v/>
      </c>
      <c r="D850" s="33">
        <f>IF($A850=1,Cash_Vouchers!$B15,"")</f>
        <v/>
      </c>
      <c r="E850" s="32">
        <f>IF($A850=1,IF(Cash_Vouchers!$A15="","",Cash_Vouchers!$A15),"")</f>
        <v/>
      </c>
      <c r="F850" s="32">
        <f>IF($A850=1,"CV","")</f>
        <v/>
      </c>
      <c r="G850" s="32">
        <f>IF($A850=1,IF(Cash_Vouchers!$AB15="","",Cash_Vouchers!$AB15),"")</f>
        <v/>
      </c>
      <c r="H850" s="32">
        <f>IF($A850=1,IF(COUNTIF(COA!$A:$A,$G850)=0,"حساب غير معرف",INDEX(COA!$B:$B,MATCH($G850,COA!$A:$A,0))),"")</f>
        <v/>
      </c>
      <c r="I850" s="32">
        <f>IF($A850=1,IF(Cash_Vouchers!$AD15="","",Cash_Vouchers!$AD15),"")</f>
        <v/>
      </c>
      <c r="J850" s="32">
        <f>IF($A850=1,IF(Cash_Vouchers!$AF15="","",Cash_Vouchers!$AF15),"")</f>
        <v/>
      </c>
      <c r="K850" s="32">
        <f>IF($A850=1,IF(Cash_Vouchers!$AH15="","",Cash_Vouchers!$AH15),"")</f>
        <v/>
      </c>
      <c r="L850" s="32">
        <f>IF($A850=1,IF(Cash_Vouchers!$K15="",Cash_Vouchers!$C15&amp;" - "&amp;Cash_Vouchers!$H15,Cash_Vouchers!$K15),"")</f>
        <v/>
      </c>
      <c r="M850" s="43">
        <f>IF($A850=1,0,"")</f>
        <v/>
      </c>
      <c r="N850" s="43">
        <f>IF($A850=1,Cash_Vouchers!$I15,"")</f>
        <v/>
      </c>
      <c r="O850" s="32">
        <f>IF($A850=1,Cash_Vouchers!$N15,"")</f>
        <v/>
      </c>
      <c r="P850" s="32">
        <f>IF($A850=1,IF(Cash_Vouchers!$AK15="","",Cash_Vouchers!$AK15),"")</f>
        <v/>
      </c>
      <c r="Q850" s="32">
        <f>IF($A850=1,Cash_Vouchers!$AM15,"")</f>
        <v/>
      </c>
      <c r="R850" s="32">
        <f>IF($A850=1,IF(AND($Q850=1,COUNTIFS(COA!$A:$A,$G850,COA!$R:$R,1)=1),1,0),"")</f>
        <v/>
      </c>
      <c r="S850" s="43">
        <f>IF($A850=1,IF($R850=1,N($M850),0),"")</f>
        <v/>
      </c>
      <c r="T850" s="43">
        <f>IF($A850=1,IF($R850=1,N($N850),0),"")</f>
        <v/>
      </c>
      <c r="U850" s="32">
        <f>IF($A850=1,YEAR($D850)*100+MONTH($D850),"")</f>
        <v/>
      </c>
      <c r="V850" s="32">
        <f>IF($A850=1,IF(COUNTIF(COA!$A:$A,$G850)=0,0,INDEX(COA!$H:$H,MATCH($G850,COA!$A:$A,0))),"")</f>
        <v/>
      </c>
      <c r="W850" s="32">
        <f>IF($A850=1,IF(Cash_Vouchers!$AI15="","",Cash_Vouchers!$AI15),"")</f>
        <v/>
      </c>
      <c r="X850" s="32">
        <f>IF($A850=1,IF($R850=1,"",IF($O850=ST_POST,IF($P850&lt;&gt;"",$P850,"حساب غير صالح أو غير نشط"),IF($O850=ST_REV,"معكوس: لا أثر على الدفاتر",IF($O850=ST_CANC,"ملغى",IF($O850=ST_APPR,"معتمد ولم يُرحَّل","مسودة"))))),"")</f>
        <v/>
      </c>
      <c r="Y850" s="32">
        <f>IF($A850=1,IF(AND($R850=1,OR(LG_Acct="",$G850=LG_Acct),OR(LG_Party="",$K850=LG_Party),OR(LG_Loc="ALL",$I850=LG_Loc),OR(LG_CC="ALL",$J850=LG_CC),$D850&gt;=LG_From,$D850&lt;=LG_To),$D850+ROW()/1000000,""),"")</f>
        <v/>
      </c>
      <c r="Z850" s="32">
        <f>IF($A850=1,IF(Cash_Vouchers!$O15="","",Cash_Vouchers!$O15),"")</f>
        <v/>
      </c>
      <c r="AA850" s="32">
        <f>IF($A850=1,IF(Cash_Vouchers!$P15="","",Cash_Vouchers!$P15),"")</f>
        <v/>
      </c>
      <c r="AB850" s="32">
        <f>IF($A850=1,IF(Cash_Vouchers!$Q15="","",Cash_Vouchers!$Q15),"")</f>
        <v/>
      </c>
      <c r="AC850" s="32">
        <f>IF($A850=1,IF(Cash_Vouchers!$R15="","",Cash_Vouchers!$R15),"")</f>
        <v/>
      </c>
      <c r="AD850" s="32">
        <f>IF($A850=1,IF(Cash_Vouchers!$S15="","",Cash_Vouchers!$S15),"")</f>
        <v/>
      </c>
      <c r="AE850" s="32">
        <f>IF($A850=1,0,"")</f>
        <v/>
      </c>
      <c r="AF850" s="32" t="inlineStr"/>
    </row>
    <row r="851">
      <c r="A851" s="32">
        <f>IF(AND(Cash_Vouchers!$AJ16=1,N(Cash_Vouchers!$I16)&gt;0),1,0)</f>
        <v/>
      </c>
      <c r="B851" s="32">
        <f>IF($A851=1,$E851&amp;"/1","")</f>
        <v/>
      </c>
      <c r="C851" s="32">
        <f>IF($A851=1,"J-"&amp;Cash_Vouchers!$A16,"")</f>
        <v/>
      </c>
      <c r="D851" s="33">
        <f>IF($A851=1,Cash_Vouchers!$B16,"")</f>
        <v/>
      </c>
      <c r="E851" s="32">
        <f>IF($A851=1,IF(Cash_Vouchers!$A16="","",Cash_Vouchers!$A16),"")</f>
        <v/>
      </c>
      <c r="F851" s="32">
        <f>IF($A851=1,"CV","")</f>
        <v/>
      </c>
      <c r="G851" s="32">
        <f>IF($A851=1,IF(Cash_Vouchers!$AA16="","",Cash_Vouchers!$AA16),"")</f>
        <v/>
      </c>
      <c r="H851" s="32">
        <f>IF($A851=1,IF(COUNTIF(COA!$A:$A,$G851)=0,"حساب غير معرف",INDEX(COA!$B:$B,MATCH($G851,COA!$A:$A,0))),"")</f>
        <v/>
      </c>
      <c r="I851" s="32">
        <f>IF($A851=1,IF(Cash_Vouchers!$AC16="","",Cash_Vouchers!$AC16),"")</f>
        <v/>
      </c>
      <c r="J851" s="32">
        <f>IF($A851=1,IF(Cash_Vouchers!$AE16="","",Cash_Vouchers!$AE16),"")</f>
        <v/>
      </c>
      <c r="K851" s="32">
        <f>IF($A851=1,IF(Cash_Vouchers!$AG16="","",Cash_Vouchers!$AG16),"")</f>
        <v/>
      </c>
      <c r="L851" s="32">
        <f>IF($A851=1,IF(Cash_Vouchers!$K16="",Cash_Vouchers!$C16&amp;" - "&amp;Cash_Vouchers!$H16,Cash_Vouchers!$K16),"")</f>
        <v/>
      </c>
      <c r="M851" s="43">
        <f>IF($A851=1,Cash_Vouchers!$I16,"")</f>
        <v/>
      </c>
      <c r="N851" s="43">
        <f>IF($A851=1,0,"")</f>
        <v/>
      </c>
      <c r="O851" s="32">
        <f>IF($A851=1,Cash_Vouchers!$N16,"")</f>
        <v/>
      </c>
      <c r="P851" s="32">
        <f>IF($A851=1,IF(Cash_Vouchers!$AK16="","",Cash_Vouchers!$AK16),"")</f>
        <v/>
      </c>
      <c r="Q851" s="32">
        <f>IF($A851=1,Cash_Vouchers!$AM16,"")</f>
        <v/>
      </c>
      <c r="R851" s="32">
        <f>IF($A851=1,IF(AND($Q851=1,COUNTIFS(COA!$A:$A,$G851,COA!$R:$R,1)=1),1,0),"")</f>
        <v/>
      </c>
      <c r="S851" s="43">
        <f>IF($A851=1,IF($R851=1,N($M851),0),"")</f>
        <v/>
      </c>
      <c r="T851" s="43">
        <f>IF($A851=1,IF($R851=1,N($N851),0),"")</f>
        <v/>
      </c>
      <c r="U851" s="32">
        <f>IF($A851=1,YEAR($D851)*100+MONTH($D851),"")</f>
        <v/>
      </c>
      <c r="V851" s="32">
        <f>IF($A851=1,IF(COUNTIF(COA!$A:$A,$G851)=0,0,INDEX(COA!$H:$H,MATCH($G851,COA!$A:$A,0))),"")</f>
        <v/>
      </c>
      <c r="W851" s="32">
        <f>IF($A851=1,IF(Cash_Vouchers!$AI16="","",Cash_Vouchers!$AI16),"")</f>
        <v/>
      </c>
      <c r="X851" s="32">
        <f>IF($A851=1,IF($R851=1,"",IF($O851=ST_POST,IF($P851&lt;&gt;"",$P851,"حساب غير صالح أو غير نشط"),IF($O851=ST_REV,"معكوس: لا أثر على الدفاتر",IF($O851=ST_CANC,"ملغى",IF($O851=ST_APPR,"معتمد ولم يُرحَّل","مسودة"))))),"")</f>
        <v/>
      </c>
      <c r="Y851" s="32">
        <f>IF($A851=1,IF(AND($R851=1,OR(LG_Acct="",$G851=LG_Acct),OR(LG_Party="",$K851=LG_Party),OR(LG_Loc="ALL",$I851=LG_Loc),OR(LG_CC="ALL",$J851=LG_CC),$D851&gt;=LG_From,$D851&lt;=LG_To),$D851+ROW()/1000000,""),"")</f>
        <v/>
      </c>
      <c r="Z851" s="32">
        <f>IF($A851=1,IF(Cash_Vouchers!$O16="","",Cash_Vouchers!$O16),"")</f>
        <v/>
      </c>
      <c r="AA851" s="32">
        <f>IF($A851=1,IF(Cash_Vouchers!$P16="","",Cash_Vouchers!$P16),"")</f>
        <v/>
      </c>
      <c r="AB851" s="32">
        <f>IF($A851=1,IF(Cash_Vouchers!$Q16="","",Cash_Vouchers!$Q16),"")</f>
        <v/>
      </c>
      <c r="AC851" s="32">
        <f>IF($A851=1,IF(Cash_Vouchers!$R16="","",Cash_Vouchers!$R16),"")</f>
        <v/>
      </c>
      <c r="AD851" s="32">
        <f>IF($A851=1,IF(Cash_Vouchers!$S16="","",Cash_Vouchers!$S16),"")</f>
        <v/>
      </c>
      <c r="AE851" s="32">
        <f>IF($A851=1,0,"")</f>
        <v/>
      </c>
      <c r="AF851" s="32" t="inlineStr"/>
    </row>
    <row r="852">
      <c r="A852" s="32">
        <f>IF(AND(Cash_Vouchers!$AJ16=1,N(Cash_Vouchers!$I16)&gt;0),1,0)</f>
        <v/>
      </c>
      <c r="B852" s="32">
        <f>IF($A852=1,$E852&amp;"/2","")</f>
        <v/>
      </c>
      <c r="C852" s="32">
        <f>IF($A852=1,"J-"&amp;Cash_Vouchers!$A16,"")</f>
        <v/>
      </c>
      <c r="D852" s="33">
        <f>IF($A852=1,Cash_Vouchers!$B16,"")</f>
        <v/>
      </c>
      <c r="E852" s="32">
        <f>IF($A852=1,IF(Cash_Vouchers!$A16="","",Cash_Vouchers!$A16),"")</f>
        <v/>
      </c>
      <c r="F852" s="32">
        <f>IF($A852=1,"CV","")</f>
        <v/>
      </c>
      <c r="G852" s="32">
        <f>IF($A852=1,IF(Cash_Vouchers!$AB16="","",Cash_Vouchers!$AB16),"")</f>
        <v/>
      </c>
      <c r="H852" s="32">
        <f>IF($A852=1,IF(COUNTIF(COA!$A:$A,$G852)=0,"حساب غير معرف",INDEX(COA!$B:$B,MATCH($G852,COA!$A:$A,0))),"")</f>
        <v/>
      </c>
      <c r="I852" s="32">
        <f>IF($A852=1,IF(Cash_Vouchers!$AD16="","",Cash_Vouchers!$AD16),"")</f>
        <v/>
      </c>
      <c r="J852" s="32">
        <f>IF($A852=1,IF(Cash_Vouchers!$AF16="","",Cash_Vouchers!$AF16),"")</f>
        <v/>
      </c>
      <c r="K852" s="32">
        <f>IF($A852=1,IF(Cash_Vouchers!$AH16="","",Cash_Vouchers!$AH16),"")</f>
        <v/>
      </c>
      <c r="L852" s="32">
        <f>IF($A852=1,IF(Cash_Vouchers!$K16="",Cash_Vouchers!$C16&amp;" - "&amp;Cash_Vouchers!$H16,Cash_Vouchers!$K16),"")</f>
        <v/>
      </c>
      <c r="M852" s="43">
        <f>IF($A852=1,0,"")</f>
        <v/>
      </c>
      <c r="N852" s="43">
        <f>IF($A852=1,Cash_Vouchers!$I16,"")</f>
        <v/>
      </c>
      <c r="O852" s="32">
        <f>IF($A852=1,Cash_Vouchers!$N16,"")</f>
        <v/>
      </c>
      <c r="P852" s="32">
        <f>IF($A852=1,IF(Cash_Vouchers!$AK16="","",Cash_Vouchers!$AK16),"")</f>
        <v/>
      </c>
      <c r="Q852" s="32">
        <f>IF($A852=1,Cash_Vouchers!$AM16,"")</f>
        <v/>
      </c>
      <c r="R852" s="32">
        <f>IF($A852=1,IF(AND($Q852=1,COUNTIFS(COA!$A:$A,$G852,COA!$R:$R,1)=1),1,0),"")</f>
        <v/>
      </c>
      <c r="S852" s="43">
        <f>IF($A852=1,IF($R852=1,N($M852),0),"")</f>
        <v/>
      </c>
      <c r="T852" s="43">
        <f>IF($A852=1,IF($R852=1,N($N852),0),"")</f>
        <v/>
      </c>
      <c r="U852" s="32">
        <f>IF($A852=1,YEAR($D852)*100+MONTH($D852),"")</f>
        <v/>
      </c>
      <c r="V852" s="32">
        <f>IF($A852=1,IF(COUNTIF(COA!$A:$A,$G852)=0,0,INDEX(COA!$H:$H,MATCH($G852,COA!$A:$A,0))),"")</f>
        <v/>
      </c>
      <c r="W852" s="32">
        <f>IF($A852=1,IF(Cash_Vouchers!$AI16="","",Cash_Vouchers!$AI16),"")</f>
        <v/>
      </c>
      <c r="X852" s="32">
        <f>IF($A852=1,IF($R852=1,"",IF($O852=ST_POST,IF($P852&lt;&gt;"",$P852,"حساب غير صالح أو غير نشط"),IF($O852=ST_REV,"معكوس: لا أثر على الدفاتر",IF($O852=ST_CANC,"ملغى",IF($O852=ST_APPR,"معتمد ولم يُرحَّل","مسودة"))))),"")</f>
        <v/>
      </c>
      <c r="Y852" s="32">
        <f>IF($A852=1,IF(AND($R852=1,OR(LG_Acct="",$G852=LG_Acct),OR(LG_Party="",$K852=LG_Party),OR(LG_Loc="ALL",$I852=LG_Loc),OR(LG_CC="ALL",$J852=LG_CC),$D852&gt;=LG_From,$D852&lt;=LG_To),$D852+ROW()/1000000,""),"")</f>
        <v/>
      </c>
      <c r="Z852" s="32">
        <f>IF($A852=1,IF(Cash_Vouchers!$O16="","",Cash_Vouchers!$O16),"")</f>
        <v/>
      </c>
      <c r="AA852" s="32">
        <f>IF($A852=1,IF(Cash_Vouchers!$P16="","",Cash_Vouchers!$P16),"")</f>
        <v/>
      </c>
      <c r="AB852" s="32">
        <f>IF($A852=1,IF(Cash_Vouchers!$Q16="","",Cash_Vouchers!$Q16),"")</f>
        <v/>
      </c>
      <c r="AC852" s="32">
        <f>IF($A852=1,IF(Cash_Vouchers!$R16="","",Cash_Vouchers!$R16),"")</f>
        <v/>
      </c>
      <c r="AD852" s="32">
        <f>IF($A852=1,IF(Cash_Vouchers!$S16="","",Cash_Vouchers!$S16),"")</f>
        <v/>
      </c>
      <c r="AE852" s="32">
        <f>IF($A852=1,0,"")</f>
        <v/>
      </c>
      <c r="AF852" s="32" t="inlineStr"/>
    </row>
    <row r="853">
      <c r="A853" s="32">
        <f>IF(AND(Cash_Vouchers!$AJ17=1,N(Cash_Vouchers!$I17)&gt;0),1,0)</f>
        <v/>
      </c>
      <c r="B853" s="32">
        <f>IF($A853=1,$E853&amp;"/1","")</f>
        <v/>
      </c>
      <c r="C853" s="32">
        <f>IF($A853=1,"J-"&amp;Cash_Vouchers!$A17,"")</f>
        <v/>
      </c>
      <c r="D853" s="33">
        <f>IF($A853=1,Cash_Vouchers!$B17,"")</f>
        <v/>
      </c>
      <c r="E853" s="32">
        <f>IF($A853=1,IF(Cash_Vouchers!$A17="","",Cash_Vouchers!$A17),"")</f>
        <v/>
      </c>
      <c r="F853" s="32">
        <f>IF($A853=1,"CV","")</f>
        <v/>
      </c>
      <c r="G853" s="32">
        <f>IF($A853=1,IF(Cash_Vouchers!$AA17="","",Cash_Vouchers!$AA17),"")</f>
        <v/>
      </c>
      <c r="H853" s="32">
        <f>IF($A853=1,IF(COUNTIF(COA!$A:$A,$G853)=0,"حساب غير معرف",INDEX(COA!$B:$B,MATCH($G853,COA!$A:$A,0))),"")</f>
        <v/>
      </c>
      <c r="I853" s="32">
        <f>IF($A853=1,IF(Cash_Vouchers!$AC17="","",Cash_Vouchers!$AC17),"")</f>
        <v/>
      </c>
      <c r="J853" s="32">
        <f>IF($A853=1,IF(Cash_Vouchers!$AE17="","",Cash_Vouchers!$AE17),"")</f>
        <v/>
      </c>
      <c r="K853" s="32">
        <f>IF($A853=1,IF(Cash_Vouchers!$AG17="","",Cash_Vouchers!$AG17),"")</f>
        <v/>
      </c>
      <c r="L853" s="32">
        <f>IF($A853=1,IF(Cash_Vouchers!$K17="",Cash_Vouchers!$C17&amp;" - "&amp;Cash_Vouchers!$H17,Cash_Vouchers!$K17),"")</f>
        <v/>
      </c>
      <c r="M853" s="43">
        <f>IF($A853=1,Cash_Vouchers!$I17,"")</f>
        <v/>
      </c>
      <c r="N853" s="43">
        <f>IF($A853=1,0,"")</f>
        <v/>
      </c>
      <c r="O853" s="32">
        <f>IF($A853=1,Cash_Vouchers!$N17,"")</f>
        <v/>
      </c>
      <c r="P853" s="32">
        <f>IF($A853=1,IF(Cash_Vouchers!$AK17="","",Cash_Vouchers!$AK17),"")</f>
        <v/>
      </c>
      <c r="Q853" s="32">
        <f>IF($A853=1,Cash_Vouchers!$AM17,"")</f>
        <v/>
      </c>
      <c r="R853" s="32">
        <f>IF($A853=1,IF(AND($Q853=1,COUNTIFS(COA!$A:$A,$G853,COA!$R:$R,1)=1),1,0),"")</f>
        <v/>
      </c>
      <c r="S853" s="43">
        <f>IF($A853=1,IF($R853=1,N($M853),0),"")</f>
        <v/>
      </c>
      <c r="T853" s="43">
        <f>IF($A853=1,IF($R853=1,N($N853),0),"")</f>
        <v/>
      </c>
      <c r="U853" s="32">
        <f>IF($A853=1,YEAR($D853)*100+MONTH($D853),"")</f>
        <v/>
      </c>
      <c r="V853" s="32">
        <f>IF($A853=1,IF(COUNTIF(COA!$A:$A,$G853)=0,0,INDEX(COA!$H:$H,MATCH($G853,COA!$A:$A,0))),"")</f>
        <v/>
      </c>
      <c r="W853" s="32">
        <f>IF($A853=1,IF(Cash_Vouchers!$AI17="","",Cash_Vouchers!$AI17),"")</f>
        <v/>
      </c>
      <c r="X853" s="32">
        <f>IF($A853=1,IF($R853=1,"",IF($O853=ST_POST,IF($P853&lt;&gt;"",$P853,"حساب غير صالح أو غير نشط"),IF($O853=ST_REV,"معكوس: لا أثر على الدفاتر",IF($O853=ST_CANC,"ملغى",IF($O853=ST_APPR,"معتمد ولم يُرحَّل","مسودة"))))),"")</f>
        <v/>
      </c>
      <c r="Y853" s="32">
        <f>IF($A853=1,IF(AND($R853=1,OR(LG_Acct="",$G853=LG_Acct),OR(LG_Party="",$K853=LG_Party),OR(LG_Loc="ALL",$I853=LG_Loc),OR(LG_CC="ALL",$J853=LG_CC),$D853&gt;=LG_From,$D853&lt;=LG_To),$D853+ROW()/1000000,""),"")</f>
        <v/>
      </c>
      <c r="Z853" s="32">
        <f>IF($A853=1,IF(Cash_Vouchers!$O17="","",Cash_Vouchers!$O17),"")</f>
        <v/>
      </c>
      <c r="AA853" s="32">
        <f>IF($A853=1,IF(Cash_Vouchers!$P17="","",Cash_Vouchers!$P17),"")</f>
        <v/>
      </c>
      <c r="AB853" s="32">
        <f>IF($A853=1,IF(Cash_Vouchers!$Q17="","",Cash_Vouchers!$Q17),"")</f>
        <v/>
      </c>
      <c r="AC853" s="32">
        <f>IF($A853=1,IF(Cash_Vouchers!$R17="","",Cash_Vouchers!$R17),"")</f>
        <v/>
      </c>
      <c r="AD853" s="32">
        <f>IF($A853=1,IF(Cash_Vouchers!$S17="","",Cash_Vouchers!$S17),"")</f>
        <v/>
      </c>
      <c r="AE853" s="32">
        <f>IF($A853=1,0,"")</f>
        <v/>
      </c>
      <c r="AF853" s="32" t="inlineStr"/>
    </row>
    <row r="854">
      <c r="A854" s="32">
        <f>IF(AND(Cash_Vouchers!$AJ17=1,N(Cash_Vouchers!$I17)&gt;0),1,0)</f>
        <v/>
      </c>
      <c r="B854" s="32">
        <f>IF($A854=1,$E854&amp;"/2","")</f>
        <v/>
      </c>
      <c r="C854" s="32">
        <f>IF($A854=1,"J-"&amp;Cash_Vouchers!$A17,"")</f>
        <v/>
      </c>
      <c r="D854" s="33">
        <f>IF($A854=1,Cash_Vouchers!$B17,"")</f>
        <v/>
      </c>
      <c r="E854" s="32">
        <f>IF($A854=1,IF(Cash_Vouchers!$A17="","",Cash_Vouchers!$A17),"")</f>
        <v/>
      </c>
      <c r="F854" s="32">
        <f>IF($A854=1,"CV","")</f>
        <v/>
      </c>
      <c r="G854" s="32">
        <f>IF($A854=1,IF(Cash_Vouchers!$AB17="","",Cash_Vouchers!$AB17),"")</f>
        <v/>
      </c>
      <c r="H854" s="32">
        <f>IF($A854=1,IF(COUNTIF(COA!$A:$A,$G854)=0,"حساب غير معرف",INDEX(COA!$B:$B,MATCH($G854,COA!$A:$A,0))),"")</f>
        <v/>
      </c>
      <c r="I854" s="32">
        <f>IF($A854=1,IF(Cash_Vouchers!$AD17="","",Cash_Vouchers!$AD17),"")</f>
        <v/>
      </c>
      <c r="J854" s="32">
        <f>IF($A854=1,IF(Cash_Vouchers!$AF17="","",Cash_Vouchers!$AF17),"")</f>
        <v/>
      </c>
      <c r="K854" s="32">
        <f>IF($A854=1,IF(Cash_Vouchers!$AH17="","",Cash_Vouchers!$AH17),"")</f>
        <v/>
      </c>
      <c r="L854" s="32">
        <f>IF($A854=1,IF(Cash_Vouchers!$K17="",Cash_Vouchers!$C17&amp;" - "&amp;Cash_Vouchers!$H17,Cash_Vouchers!$K17),"")</f>
        <v/>
      </c>
      <c r="M854" s="43">
        <f>IF($A854=1,0,"")</f>
        <v/>
      </c>
      <c r="N854" s="43">
        <f>IF($A854=1,Cash_Vouchers!$I17,"")</f>
        <v/>
      </c>
      <c r="O854" s="32">
        <f>IF($A854=1,Cash_Vouchers!$N17,"")</f>
        <v/>
      </c>
      <c r="P854" s="32">
        <f>IF($A854=1,IF(Cash_Vouchers!$AK17="","",Cash_Vouchers!$AK17),"")</f>
        <v/>
      </c>
      <c r="Q854" s="32">
        <f>IF($A854=1,Cash_Vouchers!$AM17,"")</f>
        <v/>
      </c>
      <c r="R854" s="32">
        <f>IF($A854=1,IF(AND($Q854=1,COUNTIFS(COA!$A:$A,$G854,COA!$R:$R,1)=1),1,0),"")</f>
        <v/>
      </c>
      <c r="S854" s="43">
        <f>IF($A854=1,IF($R854=1,N($M854),0),"")</f>
        <v/>
      </c>
      <c r="T854" s="43">
        <f>IF($A854=1,IF($R854=1,N($N854),0),"")</f>
        <v/>
      </c>
      <c r="U854" s="32">
        <f>IF($A854=1,YEAR($D854)*100+MONTH($D854),"")</f>
        <v/>
      </c>
      <c r="V854" s="32">
        <f>IF($A854=1,IF(COUNTIF(COA!$A:$A,$G854)=0,0,INDEX(COA!$H:$H,MATCH($G854,COA!$A:$A,0))),"")</f>
        <v/>
      </c>
      <c r="W854" s="32">
        <f>IF($A854=1,IF(Cash_Vouchers!$AI17="","",Cash_Vouchers!$AI17),"")</f>
        <v/>
      </c>
      <c r="X854" s="32">
        <f>IF($A854=1,IF($R854=1,"",IF($O854=ST_POST,IF($P854&lt;&gt;"",$P854,"حساب غير صالح أو غير نشط"),IF($O854=ST_REV,"معكوس: لا أثر على الدفاتر",IF($O854=ST_CANC,"ملغى",IF($O854=ST_APPR,"معتمد ولم يُرحَّل","مسودة"))))),"")</f>
        <v/>
      </c>
      <c r="Y854" s="32">
        <f>IF($A854=1,IF(AND($R854=1,OR(LG_Acct="",$G854=LG_Acct),OR(LG_Party="",$K854=LG_Party),OR(LG_Loc="ALL",$I854=LG_Loc),OR(LG_CC="ALL",$J854=LG_CC),$D854&gt;=LG_From,$D854&lt;=LG_To),$D854+ROW()/1000000,""),"")</f>
        <v/>
      </c>
      <c r="Z854" s="32">
        <f>IF($A854=1,IF(Cash_Vouchers!$O17="","",Cash_Vouchers!$O17),"")</f>
        <v/>
      </c>
      <c r="AA854" s="32">
        <f>IF($A854=1,IF(Cash_Vouchers!$P17="","",Cash_Vouchers!$P17),"")</f>
        <v/>
      </c>
      <c r="AB854" s="32">
        <f>IF($A854=1,IF(Cash_Vouchers!$Q17="","",Cash_Vouchers!$Q17),"")</f>
        <v/>
      </c>
      <c r="AC854" s="32">
        <f>IF($A854=1,IF(Cash_Vouchers!$R17="","",Cash_Vouchers!$R17),"")</f>
        <v/>
      </c>
      <c r="AD854" s="32">
        <f>IF($A854=1,IF(Cash_Vouchers!$S17="","",Cash_Vouchers!$S17),"")</f>
        <v/>
      </c>
      <c r="AE854" s="32">
        <f>IF($A854=1,0,"")</f>
        <v/>
      </c>
      <c r="AF854" s="32" t="inlineStr"/>
    </row>
    <row r="855">
      <c r="A855" s="32">
        <f>IF(AND(Cash_Vouchers!$AJ18=1,N(Cash_Vouchers!$I18)&gt;0),1,0)</f>
        <v/>
      </c>
      <c r="B855" s="32">
        <f>IF($A855=1,$E855&amp;"/1","")</f>
        <v/>
      </c>
      <c r="C855" s="32">
        <f>IF($A855=1,"J-"&amp;Cash_Vouchers!$A18,"")</f>
        <v/>
      </c>
      <c r="D855" s="33">
        <f>IF($A855=1,Cash_Vouchers!$B18,"")</f>
        <v/>
      </c>
      <c r="E855" s="32">
        <f>IF($A855=1,IF(Cash_Vouchers!$A18="","",Cash_Vouchers!$A18),"")</f>
        <v/>
      </c>
      <c r="F855" s="32">
        <f>IF($A855=1,"CV","")</f>
        <v/>
      </c>
      <c r="G855" s="32">
        <f>IF($A855=1,IF(Cash_Vouchers!$AA18="","",Cash_Vouchers!$AA18),"")</f>
        <v/>
      </c>
      <c r="H855" s="32">
        <f>IF($A855=1,IF(COUNTIF(COA!$A:$A,$G855)=0,"حساب غير معرف",INDEX(COA!$B:$B,MATCH($G855,COA!$A:$A,0))),"")</f>
        <v/>
      </c>
      <c r="I855" s="32">
        <f>IF($A855=1,IF(Cash_Vouchers!$AC18="","",Cash_Vouchers!$AC18),"")</f>
        <v/>
      </c>
      <c r="J855" s="32">
        <f>IF($A855=1,IF(Cash_Vouchers!$AE18="","",Cash_Vouchers!$AE18),"")</f>
        <v/>
      </c>
      <c r="K855" s="32">
        <f>IF($A855=1,IF(Cash_Vouchers!$AG18="","",Cash_Vouchers!$AG18),"")</f>
        <v/>
      </c>
      <c r="L855" s="32">
        <f>IF($A855=1,IF(Cash_Vouchers!$K18="",Cash_Vouchers!$C18&amp;" - "&amp;Cash_Vouchers!$H18,Cash_Vouchers!$K18),"")</f>
        <v/>
      </c>
      <c r="M855" s="43">
        <f>IF($A855=1,Cash_Vouchers!$I18,"")</f>
        <v/>
      </c>
      <c r="N855" s="43">
        <f>IF($A855=1,0,"")</f>
        <v/>
      </c>
      <c r="O855" s="32">
        <f>IF($A855=1,Cash_Vouchers!$N18,"")</f>
        <v/>
      </c>
      <c r="P855" s="32">
        <f>IF($A855=1,IF(Cash_Vouchers!$AK18="","",Cash_Vouchers!$AK18),"")</f>
        <v/>
      </c>
      <c r="Q855" s="32">
        <f>IF($A855=1,Cash_Vouchers!$AM18,"")</f>
        <v/>
      </c>
      <c r="R855" s="32">
        <f>IF($A855=1,IF(AND($Q855=1,COUNTIFS(COA!$A:$A,$G855,COA!$R:$R,1)=1),1,0),"")</f>
        <v/>
      </c>
      <c r="S855" s="43">
        <f>IF($A855=1,IF($R855=1,N($M855),0),"")</f>
        <v/>
      </c>
      <c r="T855" s="43">
        <f>IF($A855=1,IF($R855=1,N($N855),0),"")</f>
        <v/>
      </c>
      <c r="U855" s="32">
        <f>IF($A855=1,YEAR($D855)*100+MONTH($D855),"")</f>
        <v/>
      </c>
      <c r="V855" s="32">
        <f>IF($A855=1,IF(COUNTIF(COA!$A:$A,$G855)=0,0,INDEX(COA!$H:$H,MATCH($G855,COA!$A:$A,0))),"")</f>
        <v/>
      </c>
      <c r="W855" s="32">
        <f>IF($A855=1,IF(Cash_Vouchers!$AI18="","",Cash_Vouchers!$AI18),"")</f>
        <v/>
      </c>
      <c r="X855" s="32">
        <f>IF($A855=1,IF($R855=1,"",IF($O855=ST_POST,IF($P855&lt;&gt;"",$P855,"حساب غير صالح أو غير نشط"),IF($O855=ST_REV,"معكوس: لا أثر على الدفاتر",IF($O855=ST_CANC,"ملغى",IF($O855=ST_APPR,"معتمد ولم يُرحَّل","مسودة"))))),"")</f>
        <v/>
      </c>
      <c r="Y855" s="32">
        <f>IF($A855=1,IF(AND($R855=1,OR(LG_Acct="",$G855=LG_Acct),OR(LG_Party="",$K855=LG_Party),OR(LG_Loc="ALL",$I855=LG_Loc),OR(LG_CC="ALL",$J855=LG_CC),$D855&gt;=LG_From,$D855&lt;=LG_To),$D855+ROW()/1000000,""),"")</f>
        <v/>
      </c>
      <c r="Z855" s="32">
        <f>IF($A855=1,IF(Cash_Vouchers!$O18="","",Cash_Vouchers!$O18),"")</f>
        <v/>
      </c>
      <c r="AA855" s="32">
        <f>IF($A855=1,IF(Cash_Vouchers!$P18="","",Cash_Vouchers!$P18),"")</f>
        <v/>
      </c>
      <c r="AB855" s="32">
        <f>IF($A855=1,IF(Cash_Vouchers!$Q18="","",Cash_Vouchers!$Q18),"")</f>
        <v/>
      </c>
      <c r="AC855" s="32">
        <f>IF($A855=1,IF(Cash_Vouchers!$R18="","",Cash_Vouchers!$R18),"")</f>
        <v/>
      </c>
      <c r="AD855" s="32">
        <f>IF($A855=1,IF(Cash_Vouchers!$S18="","",Cash_Vouchers!$S18),"")</f>
        <v/>
      </c>
      <c r="AE855" s="32">
        <f>IF($A855=1,0,"")</f>
        <v/>
      </c>
      <c r="AF855" s="32" t="inlineStr"/>
    </row>
    <row r="856">
      <c r="A856" s="32">
        <f>IF(AND(Cash_Vouchers!$AJ18=1,N(Cash_Vouchers!$I18)&gt;0),1,0)</f>
        <v/>
      </c>
      <c r="B856" s="32">
        <f>IF($A856=1,$E856&amp;"/2","")</f>
        <v/>
      </c>
      <c r="C856" s="32">
        <f>IF($A856=1,"J-"&amp;Cash_Vouchers!$A18,"")</f>
        <v/>
      </c>
      <c r="D856" s="33">
        <f>IF($A856=1,Cash_Vouchers!$B18,"")</f>
        <v/>
      </c>
      <c r="E856" s="32">
        <f>IF($A856=1,IF(Cash_Vouchers!$A18="","",Cash_Vouchers!$A18),"")</f>
        <v/>
      </c>
      <c r="F856" s="32">
        <f>IF($A856=1,"CV","")</f>
        <v/>
      </c>
      <c r="G856" s="32">
        <f>IF($A856=1,IF(Cash_Vouchers!$AB18="","",Cash_Vouchers!$AB18),"")</f>
        <v/>
      </c>
      <c r="H856" s="32">
        <f>IF($A856=1,IF(COUNTIF(COA!$A:$A,$G856)=0,"حساب غير معرف",INDEX(COA!$B:$B,MATCH($G856,COA!$A:$A,0))),"")</f>
        <v/>
      </c>
      <c r="I856" s="32">
        <f>IF($A856=1,IF(Cash_Vouchers!$AD18="","",Cash_Vouchers!$AD18),"")</f>
        <v/>
      </c>
      <c r="J856" s="32">
        <f>IF($A856=1,IF(Cash_Vouchers!$AF18="","",Cash_Vouchers!$AF18),"")</f>
        <v/>
      </c>
      <c r="K856" s="32">
        <f>IF($A856=1,IF(Cash_Vouchers!$AH18="","",Cash_Vouchers!$AH18),"")</f>
        <v/>
      </c>
      <c r="L856" s="32">
        <f>IF($A856=1,IF(Cash_Vouchers!$K18="",Cash_Vouchers!$C18&amp;" - "&amp;Cash_Vouchers!$H18,Cash_Vouchers!$K18),"")</f>
        <v/>
      </c>
      <c r="M856" s="43">
        <f>IF($A856=1,0,"")</f>
        <v/>
      </c>
      <c r="N856" s="43">
        <f>IF($A856=1,Cash_Vouchers!$I18,"")</f>
        <v/>
      </c>
      <c r="O856" s="32">
        <f>IF($A856=1,Cash_Vouchers!$N18,"")</f>
        <v/>
      </c>
      <c r="P856" s="32">
        <f>IF($A856=1,IF(Cash_Vouchers!$AK18="","",Cash_Vouchers!$AK18),"")</f>
        <v/>
      </c>
      <c r="Q856" s="32">
        <f>IF($A856=1,Cash_Vouchers!$AM18,"")</f>
        <v/>
      </c>
      <c r="R856" s="32">
        <f>IF($A856=1,IF(AND($Q856=1,COUNTIFS(COA!$A:$A,$G856,COA!$R:$R,1)=1),1,0),"")</f>
        <v/>
      </c>
      <c r="S856" s="43">
        <f>IF($A856=1,IF($R856=1,N($M856),0),"")</f>
        <v/>
      </c>
      <c r="T856" s="43">
        <f>IF($A856=1,IF($R856=1,N($N856),0),"")</f>
        <v/>
      </c>
      <c r="U856" s="32">
        <f>IF($A856=1,YEAR($D856)*100+MONTH($D856),"")</f>
        <v/>
      </c>
      <c r="V856" s="32">
        <f>IF($A856=1,IF(COUNTIF(COA!$A:$A,$G856)=0,0,INDEX(COA!$H:$H,MATCH($G856,COA!$A:$A,0))),"")</f>
        <v/>
      </c>
      <c r="W856" s="32">
        <f>IF($A856=1,IF(Cash_Vouchers!$AI18="","",Cash_Vouchers!$AI18),"")</f>
        <v/>
      </c>
      <c r="X856" s="32">
        <f>IF($A856=1,IF($R856=1,"",IF($O856=ST_POST,IF($P856&lt;&gt;"",$P856,"حساب غير صالح أو غير نشط"),IF($O856=ST_REV,"معكوس: لا أثر على الدفاتر",IF($O856=ST_CANC,"ملغى",IF($O856=ST_APPR,"معتمد ولم يُرحَّل","مسودة"))))),"")</f>
        <v/>
      </c>
      <c r="Y856" s="32">
        <f>IF($A856=1,IF(AND($R856=1,OR(LG_Acct="",$G856=LG_Acct),OR(LG_Party="",$K856=LG_Party),OR(LG_Loc="ALL",$I856=LG_Loc),OR(LG_CC="ALL",$J856=LG_CC),$D856&gt;=LG_From,$D856&lt;=LG_To),$D856+ROW()/1000000,""),"")</f>
        <v/>
      </c>
      <c r="Z856" s="32">
        <f>IF($A856=1,IF(Cash_Vouchers!$O18="","",Cash_Vouchers!$O18),"")</f>
        <v/>
      </c>
      <c r="AA856" s="32">
        <f>IF($A856=1,IF(Cash_Vouchers!$P18="","",Cash_Vouchers!$P18),"")</f>
        <v/>
      </c>
      <c r="AB856" s="32">
        <f>IF($A856=1,IF(Cash_Vouchers!$Q18="","",Cash_Vouchers!$Q18),"")</f>
        <v/>
      </c>
      <c r="AC856" s="32">
        <f>IF($A856=1,IF(Cash_Vouchers!$R18="","",Cash_Vouchers!$R18),"")</f>
        <v/>
      </c>
      <c r="AD856" s="32">
        <f>IF($A856=1,IF(Cash_Vouchers!$S18="","",Cash_Vouchers!$S18),"")</f>
        <v/>
      </c>
      <c r="AE856" s="32">
        <f>IF($A856=1,0,"")</f>
        <v/>
      </c>
      <c r="AF856" s="32" t="inlineStr"/>
    </row>
    <row r="857">
      <c r="A857" s="32">
        <f>IF(AND(Cash_Vouchers!$AJ19=1,N(Cash_Vouchers!$I19)&gt;0),1,0)</f>
        <v/>
      </c>
      <c r="B857" s="32">
        <f>IF($A857=1,$E857&amp;"/1","")</f>
        <v/>
      </c>
      <c r="C857" s="32">
        <f>IF($A857=1,"J-"&amp;Cash_Vouchers!$A19,"")</f>
        <v/>
      </c>
      <c r="D857" s="33">
        <f>IF($A857=1,Cash_Vouchers!$B19,"")</f>
        <v/>
      </c>
      <c r="E857" s="32">
        <f>IF($A857=1,IF(Cash_Vouchers!$A19="","",Cash_Vouchers!$A19),"")</f>
        <v/>
      </c>
      <c r="F857" s="32">
        <f>IF($A857=1,"CV","")</f>
        <v/>
      </c>
      <c r="G857" s="32">
        <f>IF($A857=1,IF(Cash_Vouchers!$AA19="","",Cash_Vouchers!$AA19),"")</f>
        <v/>
      </c>
      <c r="H857" s="32">
        <f>IF($A857=1,IF(COUNTIF(COA!$A:$A,$G857)=0,"حساب غير معرف",INDEX(COA!$B:$B,MATCH($G857,COA!$A:$A,0))),"")</f>
        <v/>
      </c>
      <c r="I857" s="32">
        <f>IF($A857=1,IF(Cash_Vouchers!$AC19="","",Cash_Vouchers!$AC19),"")</f>
        <v/>
      </c>
      <c r="J857" s="32">
        <f>IF($A857=1,IF(Cash_Vouchers!$AE19="","",Cash_Vouchers!$AE19),"")</f>
        <v/>
      </c>
      <c r="K857" s="32">
        <f>IF($A857=1,IF(Cash_Vouchers!$AG19="","",Cash_Vouchers!$AG19),"")</f>
        <v/>
      </c>
      <c r="L857" s="32">
        <f>IF($A857=1,IF(Cash_Vouchers!$K19="",Cash_Vouchers!$C19&amp;" - "&amp;Cash_Vouchers!$H19,Cash_Vouchers!$K19),"")</f>
        <v/>
      </c>
      <c r="M857" s="43">
        <f>IF($A857=1,Cash_Vouchers!$I19,"")</f>
        <v/>
      </c>
      <c r="N857" s="43">
        <f>IF($A857=1,0,"")</f>
        <v/>
      </c>
      <c r="O857" s="32">
        <f>IF($A857=1,Cash_Vouchers!$N19,"")</f>
        <v/>
      </c>
      <c r="P857" s="32">
        <f>IF($A857=1,IF(Cash_Vouchers!$AK19="","",Cash_Vouchers!$AK19),"")</f>
        <v/>
      </c>
      <c r="Q857" s="32">
        <f>IF($A857=1,Cash_Vouchers!$AM19,"")</f>
        <v/>
      </c>
      <c r="R857" s="32">
        <f>IF($A857=1,IF(AND($Q857=1,COUNTIFS(COA!$A:$A,$G857,COA!$R:$R,1)=1),1,0),"")</f>
        <v/>
      </c>
      <c r="S857" s="43">
        <f>IF($A857=1,IF($R857=1,N($M857),0),"")</f>
        <v/>
      </c>
      <c r="T857" s="43">
        <f>IF($A857=1,IF($R857=1,N($N857),0),"")</f>
        <v/>
      </c>
      <c r="U857" s="32">
        <f>IF($A857=1,YEAR($D857)*100+MONTH($D857),"")</f>
        <v/>
      </c>
      <c r="V857" s="32">
        <f>IF($A857=1,IF(COUNTIF(COA!$A:$A,$G857)=0,0,INDEX(COA!$H:$H,MATCH($G857,COA!$A:$A,0))),"")</f>
        <v/>
      </c>
      <c r="W857" s="32">
        <f>IF($A857=1,IF(Cash_Vouchers!$AI19="","",Cash_Vouchers!$AI19),"")</f>
        <v/>
      </c>
      <c r="X857" s="32">
        <f>IF($A857=1,IF($R857=1,"",IF($O857=ST_POST,IF($P857&lt;&gt;"",$P857,"حساب غير صالح أو غير نشط"),IF($O857=ST_REV,"معكوس: لا أثر على الدفاتر",IF($O857=ST_CANC,"ملغى",IF($O857=ST_APPR,"معتمد ولم يُرحَّل","مسودة"))))),"")</f>
        <v/>
      </c>
      <c r="Y857" s="32">
        <f>IF($A857=1,IF(AND($R857=1,OR(LG_Acct="",$G857=LG_Acct),OR(LG_Party="",$K857=LG_Party),OR(LG_Loc="ALL",$I857=LG_Loc),OR(LG_CC="ALL",$J857=LG_CC),$D857&gt;=LG_From,$D857&lt;=LG_To),$D857+ROW()/1000000,""),"")</f>
        <v/>
      </c>
      <c r="Z857" s="32">
        <f>IF($A857=1,IF(Cash_Vouchers!$O19="","",Cash_Vouchers!$O19),"")</f>
        <v/>
      </c>
      <c r="AA857" s="32">
        <f>IF($A857=1,IF(Cash_Vouchers!$P19="","",Cash_Vouchers!$P19),"")</f>
        <v/>
      </c>
      <c r="AB857" s="32">
        <f>IF($A857=1,IF(Cash_Vouchers!$Q19="","",Cash_Vouchers!$Q19),"")</f>
        <v/>
      </c>
      <c r="AC857" s="32">
        <f>IF($A857=1,IF(Cash_Vouchers!$R19="","",Cash_Vouchers!$R19),"")</f>
        <v/>
      </c>
      <c r="AD857" s="32">
        <f>IF($A857=1,IF(Cash_Vouchers!$S19="","",Cash_Vouchers!$S19),"")</f>
        <v/>
      </c>
      <c r="AE857" s="32">
        <f>IF($A857=1,0,"")</f>
        <v/>
      </c>
      <c r="AF857" s="32" t="inlineStr"/>
    </row>
    <row r="858">
      <c r="A858" s="32">
        <f>IF(AND(Cash_Vouchers!$AJ19=1,N(Cash_Vouchers!$I19)&gt;0),1,0)</f>
        <v/>
      </c>
      <c r="B858" s="32">
        <f>IF($A858=1,$E858&amp;"/2","")</f>
        <v/>
      </c>
      <c r="C858" s="32">
        <f>IF($A858=1,"J-"&amp;Cash_Vouchers!$A19,"")</f>
        <v/>
      </c>
      <c r="D858" s="33">
        <f>IF($A858=1,Cash_Vouchers!$B19,"")</f>
        <v/>
      </c>
      <c r="E858" s="32">
        <f>IF($A858=1,IF(Cash_Vouchers!$A19="","",Cash_Vouchers!$A19),"")</f>
        <v/>
      </c>
      <c r="F858" s="32">
        <f>IF($A858=1,"CV","")</f>
        <v/>
      </c>
      <c r="G858" s="32">
        <f>IF($A858=1,IF(Cash_Vouchers!$AB19="","",Cash_Vouchers!$AB19),"")</f>
        <v/>
      </c>
      <c r="H858" s="32">
        <f>IF($A858=1,IF(COUNTIF(COA!$A:$A,$G858)=0,"حساب غير معرف",INDEX(COA!$B:$B,MATCH($G858,COA!$A:$A,0))),"")</f>
        <v/>
      </c>
      <c r="I858" s="32">
        <f>IF($A858=1,IF(Cash_Vouchers!$AD19="","",Cash_Vouchers!$AD19),"")</f>
        <v/>
      </c>
      <c r="J858" s="32">
        <f>IF($A858=1,IF(Cash_Vouchers!$AF19="","",Cash_Vouchers!$AF19),"")</f>
        <v/>
      </c>
      <c r="K858" s="32">
        <f>IF($A858=1,IF(Cash_Vouchers!$AH19="","",Cash_Vouchers!$AH19),"")</f>
        <v/>
      </c>
      <c r="L858" s="32">
        <f>IF($A858=1,IF(Cash_Vouchers!$K19="",Cash_Vouchers!$C19&amp;" - "&amp;Cash_Vouchers!$H19,Cash_Vouchers!$K19),"")</f>
        <v/>
      </c>
      <c r="M858" s="43">
        <f>IF($A858=1,0,"")</f>
        <v/>
      </c>
      <c r="N858" s="43">
        <f>IF($A858=1,Cash_Vouchers!$I19,"")</f>
        <v/>
      </c>
      <c r="O858" s="32">
        <f>IF($A858=1,Cash_Vouchers!$N19,"")</f>
        <v/>
      </c>
      <c r="P858" s="32">
        <f>IF($A858=1,IF(Cash_Vouchers!$AK19="","",Cash_Vouchers!$AK19),"")</f>
        <v/>
      </c>
      <c r="Q858" s="32">
        <f>IF($A858=1,Cash_Vouchers!$AM19,"")</f>
        <v/>
      </c>
      <c r="R858" s="32">
        <f>IF($A858=1,IF(AND($Q858=1,COUNTIFS(COA!$A:$A,$G858,COA!$R:$R,1)=1),1,0),"")</f>
        <v/>
      </c>
      <c r="S858" s="43">
        <f>IF($A858=1,IF($R858=1,N($M858),0),"")</f>
        <v/>
      </c>
      <c r="T858" s="43">
        <f>IF($A858=1,IF($R858=1,N($N858),0),"")</f>
        <v/>
      </c>
      <c r="U858" s="32">
        <f>IF($A858=1,YEAR($D858)*100+MONTH($D858),"")</f>
        <v/>
      </c>
      <c r="V858" s="32">
        <f>IF($A858=1,IF(COUNTIF(COA!$A:$A,$G858)=0,0,INDEX(COA!$H:$H,MATCH($G858,COA!$A:$A,0))),"")</f>
        <v/>
      </c>
      <c r="W858" s="32">
        <f>IF($A858=1,IF(Cash_Vouchers!$AI19="","",Cash_Vouchers!$AI19),"")</f>
        <v/>
      </c>
      <c r="X858" s="32">
        <f>IF($A858=1,IF($R858=1,"",IF($O858=ST_POST,IF($P858&lt;&gt;"",$P858,"حساب غير صالح أو غير نشط"),IF($O858=ST_REV,"معكوس: لا أثر على الدفاتر",IF($O858=ST_CANC,"ملغى",IF($O858=ST_APPR,"معتمد ولم يُرحَّل","مسودة"))))),"")</f>
        <v/>
      </c>
      <c r="Y858" s="32">
        <f>IF($A858=1,IF(AND($R858=1,OR(LG_Acct="",$G858=LG_Acct),OR(LG_Party="",$K858=LG_Party),OR(LG_Loc="ALL",$I858=LG_Loc),OR(LG_CC="ALL",$J858=LG_CC),$D858&gt;=LG_From,$D858&lt;=LG_To),$D858+ROW()/1000000,""),"")</f>
        <v/>
      </c>
      <c r="Z858" s="32">
        <f>IF($A858=1,IF(Cash_Vouchers!$O19="","",Cash_Vouchers!$O19),"")</f>
        <v/>
      </c>
      <c r="AA858" s="32">
        <f>IF($A858=1,IF(Cash_Vouchers!$P19="","",Cash_Vouchers!$P19),"")</f>
        <v/>
      </c>
      <c r="AB858" s="32">
        <f>IF($A858=1,IF(Cash_Vouchers!$Q19="","",Cash_Vouchers!$Q19),"")</f>
        <v/>
      </c>
      <c r="AC858" s="32">
        <f>IF($A858=1,IF(Cash_Vouchers!$R19="","",Cash_Vouchers!$R19),"")</f>
        <v/>
      </c>
      <c r="AD858" s="32">
        <f>IF($A858=1,IF(Cash_Vouchers!$S19="","",Cash_Vouchers!$S19),"")</f>
        <v/>
      </c>
      <c r="AE858" s="32">
        <f>IF($A858=1,0,"")</f>
        <v/>
      </c>
      <c r="AF858" s="32" t="inlineStr"/>
    </row>
    <row r="859">
      <c r="A859" s="32">
        <f>IF(AND(Cash_Vouchers!$AJ20=1,N(Cash_Vouchers!$I20)&gt;0),1,0)</f>
        <v/>
      </c>
      <c r="B859" s="32">
        <f>IF($A859=1,$E859&amp;"/1","")</f>
        <v/>
      </c>
      <c r="C859" s="32">
        <f>IF($A859=1,"J-"&amp;Cash_Vouchers!$A20,"")</f>
        <v/>
      </c>
      <c r="D859" s="33">
        <f>IF($A859=1,Cash_Vouchers!$B20,"")</f>
        <v/>
      </c>
      <c r="E859" s="32">
        <f>IF($A859=1,IF(Cash_Vouchers!$A20="","",Cash_Vouchers!$A20),"")</f>
        <v/>
      </c>
      <c r="F859" s="32">
        <f>IF($A859=1,"CV","")</f>
        <v/>
      </c>
      <c r="G859" s="32">
        <f>IF($A859=1,IF(Cash_Vouchers!$AA20="","",Cash_Vouchers!$AA20),"")</f>
        <v/>
      </c>
      <c r="H859" s="32">
        <f>IF($A859=1,IF(COUNTIF(COA!$A:$A,$G859)=0,"حساب غير معرف",INDEX(COA!$B:$B,MATCH($G859,COA!$A:$A,0))),"")</f>
        <v/>
      </c>
      <c r="I859" s="32">
        <f>IF($A859=1,IF(Cash_Vouchers!$AC20="","",Cash_Vouchers!$AC20),"")</f>
        <v/>
      </c>
      <c r="J859" s="32">
        <f>IF($A859=1,IF(Cash_Vouchers!$AE20="","",Cash_Vouchers!$AE20),"")</f>
        <v/>
      </c>
      <c r="K859" s="32">
        <f>IF($A859=1,IF(Cash_Vouchers!$AG20="","",Cash_Vouchers!$AG20),"")</f>
        <v/>
      </c>
      <c r="L859" s="32">
        <f>IF($A859=1,IF(Cash_Vouchers!$K20="",Cash_Vouchers!$C20&amp;" - "&amp;Cash_Vouchers!$H20,Cash_Vouchers!$K20),"")</f>
        <v/>
      </c>
      <c r="M859" s="43">
        <f>IF($A859=1,Cash_Vouchers!$I20,"")</f>
        <v/>
      </c>
      <c r="N859" s="43">
        <f>IF($A859=1,0,"")</f>
        <v/>
      </c>
      <c r="O859" s="32">
        <f>IF($A859=1,Cash_Vouchers!$N20,"")</f>
        <v/>
      </c>
      <c r="P859" s="32">
        <f>IF($A859=1,IF(Cash_Vouchers!$AK20="","",Cash_Vouchers!$AK20),"")</f>
        <v/>
      </c>
      <c r="Q859" s="32">
        <f>IF($A859=1,Cash_Vouchers!$AM20,"")</f>
        <v/>
      </c>
      <c r="R859" s="32">
        <f>IF($A859=1,IF(AND($Q859=1,COUNTIFS(COA!$A:$A,$G859,COA!$R:$R,1)=1),1,0),"")</f>
        <v/>
      </c>
      <c r="S859" s="43">
        <f>IF($A859=1,IF($R859=1,N($M859),0),"")</f>
        <v/>
      </c>
      <c r="T859" s="43">
        <f>IF($A859=1,IF($R859=1,N($N859),0),"")</f>
        <v/>
      </c>
      <c r="U859" s="32">
        <f>IF($A859=1,YEAR($D859)*100+MONTH($D859),"")</f>
        <v/>
      </c>
      <c r="V859" s="32">
        <f>IF($A859=1,IF(COUNTIF(COA!$A:$A,$G859)=0,0,INDEX(COA!$H:$H,MATCH($G859,COA!$A:$A,0))),"")</f>
        <v/>
      </c>
      <c r="W859" s="32">
        <f>IF($A859=1,IF(Cash_Vouchers!$AI20="","",Cash_Vouchers!$AI20),"")</f>
        <v/>
      </c>
      <c r="X859" s="32">
        <f>IF($A859=1,IF($R859=1,"",IF($O859=ST_POST,IF($P859&lt;&gt;"",$P859,"حساب غير صالح أو غير نشط"),IF($O859=ST_REV,"معكوس: لا أثر على الدفاتر",IF($O859=ST_CANC,"ملغى",IF($O859=ST_APPR,"معتمد ولم يُرحَّل","مسودة"))))),"")</f>
        <v/>
      </c>
      <c r="Y859" s="32">
        <f>IF($A859=1,IF(AND($R859=1,OR(LG_Acct="",$G859=LG_Acct),OR(LG_Party="",$K859=LG_Party),OR(LG_Loc="ALL",$I859=LG_Loc),OR(LG_CC="ALL",$J859=LG_CC),$D859&gt;=LG_From,$D859&lt;=LG_To),$D859+ROW()/1000000,""),"")</f>
        <v/>
      </c>
      <c r="Z859" s="32">
        <f>IF($A859=1,IF(Cash_Vouchers!$O20="","",Cash_Vouchers!$O20),"")</f>
        <v/>
      </c>
      <c r="AA859" s="32">
        <f>IF($A859=1,IF(Cash_Vouchers!$P20="","",Cash_Vouchers!$P20),"")</f>
        <v/>
      </c>
      <c r="AB859" s="32">
        <f>IF($A859=1,IF(Cash_Vouchers!$Q20="","",Cash_Vouchers!$Q20),"")</f>
        <v/>
      </c>
      <c r="AC859" s="32">
        <f>IF($A859=1,IF(Cash_Vouchers!$R20="","",Cash_Vouchers!$R20),"")</f>
        <v/>
      </c>
      <c r="AD859" s="32">
        <f>IF($A859=1,IF(Cash_Vouchers!$S20="","",Cash_Vouchers!$S20),"")</f>
        <v/>
      </c>
      <c r="AE859" s="32">
        <f>IF($A859=1,0,"")</f>
        <v/>
      </c>
      <c r="AF859" s="32" t="inlineStr"/>
    </row>
    <row r="860">
      <c r="A860" s="32">
        <f>IF(AND(Cash_Vouchers!$AJ20=1,N(Cash_Vouchers!$I20)&gt;0),1,0)</f>
        <v/>
      </c>
      <c r="B860" s="32">
        <f>IF($A860=1,$E860&amp;"/2","")</f>
        <v/>
      </c>
      <c r="C860" s="32">
        <f>IF($A860=1,"J-"&amp;Cash_Vouchers!$A20,"")</f>
        <v/>
      </c>
      <c r="D860" s="33">
        <f>IF($A860=1,Cash_Vouchers!$B20,"")</f>
        <v/>
      </c>
      <c r="E860" s="32">
        <f>IF($A860=1,IF(Cash_Vouchers!$A20="","",Cash_Vouchers!$A20),"")</f>
        <v/>
      </c>
      <c r="F860" s="32">
        <f>IF($A860=1,"CV","")</f>
        <v/>
      </c>
      <c r="G860" s="32">
        <f>IF($A860=1,IF(Cash_Vouchers!$AB20="","",Cash_Vouchers!$AB20),"")</f>
        <v/>
      </c>
      <c r="H860" s="32">
        <f>IF($A860=1,IF(COUNTIF(COA!$A:$A,$G860)=0,"حساب غير معرف",INDEX(COA!$B:$B,MATCH($G860,COA!$A:$A,0))),"")</f>
        <v/>
      </c>
      <c r="I860" s="32">
        <f>IF($A860=1,IF(Cash_Vouchers!$AD20="","",Cash_Vouchers!$AD20),"")</f>
        <v/>
      </c>
      <c r="J860" s="32">
        <f>IF($A860=1,IF(Cash_Vouchers!$AF20="","",Cash_Vouchers!$AF20),"")</f>
        <v/>
      </c>
      <c r="K860" s="32">
        <f>IF($A860=1,IF(Cash_Vouchers!$AH20="","",Cash_Vouchers!$AH20),"")</f>
        <v/>
      </c>
      <c r="L860" s="32">
        <f>IF($A860=1,IF(Cash_Vouchers!$K20="",Cash_Vouchers!$C20&amp;" - "&amp;Cash_Vouchers!$H20,Cash_Vouchers!$K20),"")</f>
        <v/>
      </c>
      <c r="M860" s="43">
        <f>IF($A860=1,0,"")</f>
        <v/>
      </c>
      <c r="N860" s="43">
        <f>IF($A860=1,Cash_Vouchers!$I20,"")</f>
        <v/>
      </c>
      <c r="O860" s="32">
        <f>IF($A860=1,Cash_Vouchers!$N20,"")</f>
        <v/>
      </c>
      <c r="P860" s="32">
        <f>IF($A860=1,IF(Cash_Vouchers!$AK20="","",Cash_Vouchers!$AK20),"")</f>
        <v/>
      </c>
      <c r="Q860" s="32">
        <f>IF($A860=1,Cash_Vouchers!$AM20,"")</f>
        <v/>
      </c>
      <c r="R860" s="32">
        <f>IF($A860=1,IF(AND($Q860=1,COUNTIFS(COA!$A:$A,$G860,COA!$R:$R,1)=1),1,0),"")</f>
        <v/>
      </c>
      <c r="S860" s="43">
        <f>IF($A860=1,IF($R860=1,N($M860),0),"")</f>
        <v/>
      </c>
      <c r="T860" s="43">
        <f>IF($A860=1,IF($R860=1,N($N860),0),"")</f>
        <v/>
      </c>
      <c r="U860" s="32">
        <f>IF($A860=1,YEAR($D860)*100+MONTH($D860),"")</f>
        <v/>
      </c>
      <c r="V860" s="32">
        <f>IF($A860=1,IF(COUNTIF(COA!$A:$A,$G860)=0,0,INDEX(COA!$H:$H,MATCH($G860,COA!$A:$A,0))),"")</f>
        <v/>
      </c>
      <c r="W860" s="32">
        <f>IF($A860=1,IF(Cash_Vouchers!$AI20="","",Cash_Vouchers!$AI20),"")</f>
        <v/>
      </c>
      <c r="X860" s="32">
        <f>IF($A860=1,IF($R860=1,"",IF($O860=ST_POST,IF($P860&lt;&gt;"",$P860,"حساب غير صالح أو غير نشط"),IF($O860=ST_REV,"معكوس: لا أثر على الدفاتر",IF($O860=ST_CANC,"ملغى",IF($O860=ST_APPR,"معتمد ولم يُرحَّل","مسودة"))))),"")</f>
        <v/>
      </c>
      <c r="Y860" s="32">
        <f>IF($A860=1,IF(AND($R860=1,OR(LG_Acct="",$G860=LG_Acct),OR(LG_Party="",$K860=LG_Party),OR(LG_Loc="ALL",$I860=LG_Loc),OR(LG_CC="ALL",$J860=LG_CC),$D860&gt;=LG_From,$D860&lt;=LG_To),$D860+ROW()/1000000,""),"")</f>
        <v/>
      </c>
      <c r="Z860" s="32">
        <f>IF($A860=1,IF(Cash_Vouchers!$O20="","",Cash_Vouchers!$O20),"")</f>
        <v/>
      </c>
      <c r="AA860" s="32">
        <f>IF($A860=1,IF(Cash_Vouchers!$P20="","",Cash_Vouchers!$P20),"")</f>
        <v/>
      </c>
      <c r="AB860" s="32">
        <f>IF($A860=1,IF(Cash_Vouchers!$Q20="","",Cash_Vouchers!$Q20),"")</f>
        <v/>
      </c>
      <c r="AC860" s="32">
        <f>IF($A860=1,IF(Cash_Vouchers!$R20="","",Cash_Vouchers!$R20),"")</f>
        <v/>
      </c>
      <c r="AD860" s="32">
        <f>IF($A860=1,IF(Cash_Vouchers!$S20="","",Cash_Vouchers!$S20),"")</f>
        <v/>
      </c>
      <c r="AE860" s="32">
        <f>IF($A860=1,0,"")</f>
        <v/>
      </c>
      <c r="AF860" s="32" t="inlineStr"/>
    </row>
    <row r="861">
      <c r="A861" s="32">
        <f>IF(AND(Cash_Vouchers!$AJ21=1,N(Cash_Vouchers!$I21)&gt;0),1,0)</f>
        <v/>
      </c>
      <c r="B861" s="32">
        <f>IF($A861=1,$E861&amp;"/1","")</f>
        <v/>
      </c>
      <c r="C861" s="32">
        <f>IF($A861=1,"J-"&amp;Cash_Vouchers!$A21,"")</f>
        <v/>
      </c>
      <c r="D861" s="33">
        <f>IF($A861=1,Cash_Vouchers!$B21,"")</f>
        <v/>
      </c>
      <c r="E861" s="32">
        <f>IF($A861=1,IF(Cash_Vouchers!$A21="","",Cash_Vouchers!$A21),"")</f>
        <v/>
      </c>
      <c r="F861" s="32">
        <f>IF($A861=1,"CV","")</f>
        <v/>
      </c>
      <c r="G861" s="32">
        <f>IF($A861=1,IF(Cash_Vouchers!$AA21="","",Cash_Vouchers!$AA21),"")</f>
        <v/>
      </c>
      <c r="H861" s="32">
        <f>IF($A861=1,IF(COUNTIF(COA!$A:$A,$G861)=0,"حساب غير معرف",INDEX(COA!$B:$B,MATCH($G861,COA!$A:$A,0))),"")</f>
        <v/>
      </c>
      <c r="I861" s="32">
        <f>IF($A861=1,IF(Cash_Vouchers!$AC21="","",Cash_Vouchers!$AC21),"")</f>
        <v/>
      </c>
      <c r="J861" s="32">
        <f>IF($A861=1,IF(Cash_Vouchers!$AE21="","",Cash_Vouchers!$AE21),"")</f>
        <v/>
      </c>
      <c r="K861" s="32">
        <f>IF($A861=1,IF(Cash_Vouchers!$AG21="","",Cash_Vouchers!$AG21),"")</f>
        <v/>
      </c>
      <c r="L861" s="32">
        <f>IF($A861=1,IF(Cash_Vouchers!$K21="",Cash_Vouchers!$C21&amp;" - "&amp;Cash_Vouchers!$H21,Cash_Vouchers!$K21),"")</f>
        <v/>
      </c>
      <c r="M861" s="43">
        <f>IF($A861=1,Cash_Vouchers!$I21,"")</f>
        <v/>
      </c>
      <c r="N861" s="43">
        <f>IF($A861=1,0,"")</f>
        <v/>
      </c>
      <c r="O861" s="32">
        <f>IF($A861=1,Cash_Vouchers!$N21,"")</f>
        <v/>
      </c>
      <c r="P861" s="32">
        <f>IF($A861=1,IF(Cash_Vouchers!$AK21="","",Cash_Vouchers!$AK21),"")</f>
        <v/>
      </c>
      <c r="Q861" s="32">
        <f>IF($A861=1,Cash_Vouchers!$AM21,"")</f>
        <v/>
      </c>
      <c r="R861" s="32">
        <f>IF($A861=1,IF(AND($Q861=1,COUNTIFS(COA!$A:$A,$G861,COA!$R:$R,1)=1),1,0),"")</f>
        <v/>
      </c>
      <c r="S861" s="43">
        <f>IF($A861=1,IF($R861=1,N($M861),0),"")</f>
        <v/>
      </c>
      <c r="T861" s="43">
        <f>IF($A861=1,IF($R861=1,N($N861),0),"")</f>
        <v/>
      </c>
      <c r="U861" s="32">
        <f>IF($A861=1,YEAR($D861)*100+MONTH($D861),"")</f>
        <v/>
      </c>
      <c r="V861" s="32">
        <f>IF($A861=1,IF(COUNTIF(COA!$A:$A,$G861)=0,0,INDEX(COA!$H:$H,MATCH($G861,COA!$A:$A,0))),"")</f>
        <v/>
      </c>
      <c r="W861" s="32">
        <f>IF($A861=1,IF(Cash_Vouchers!$AI21="","",Cash_Vouchers!$AI21),"")</f>
        <v/>
      </c>
      <c r="X861" s="32">
        <f>IF($A861=1,IF($R861=1,"",IF($O861=ST_POST,IF($P861&lt;&gt;"",$P861,"حساب غير صالح أو غير نشط"),IF($O861=ST_REV,"معكوس: لا أثر على الدفاتر",IF($O861=ST_CANC,"ملغى",IF($O861=ST_APPR,"معتمد ولم يُرحَّل","مسودة"))))),"")</f>
        <v/>
      </c>
      <c r="Y861" s="32">
        <f>IF($A861=1,IF(AND($R861=1,OR(LG_Acct="",$G861=LG_Acct),OR(LG_Party="",$K861=LG_Party),OR(LG_Loc="ALL",$I861=LG_Loc),OR(LG_CC="ALL",$J861=LG_CC),$D861&gt;=LG_From,$D861&lt;=LG_To),$D861+ROW()/1000000,""),"")</f>
        <v/>
      </c>
      <c r="Z861" s="32">
        <f>IF($A861=1,IF(Cash_Vouchers!$O21="","",Cash_Vouchers!$O21),"")</f>
        <v/>
      </c>
      <c r="AA861" s="32">
        <f>IF($A861=1,IF(Cash_Vouchers!$P21="","",Cash_Vouchers!$P21),"")</f>
        <v/>
      </c>
      <c r="AB861" s="32">
        <f>IF($A861=1,IF(Cash_Vouchers!$Q21="","",Cash_Vouchers!$Q21),"")</f>
        <v/>
      </c>
      <c r="AC861" s="32">
        <f>IF($A861=1,IF(Cash_Vouchers!$R21="","",Cash_Vouchers!$R21),"")</f>
        <v/>
      </c>
      <c r="AD861" s="32">
        <f>IF($A861=1,IF(Cash_Vouchers!$S21="","",Cash_Vouchers!$S21),"")</f>
        <v/>
      </c>
      <c r="AE861" s="32">
        <f>IF($A861=1,0,"")</f>
        <v/>
      </c>
      <c r="AF861" s="32" t="inlineStr"/>
    </row>
    <row r="862">
      <c r="A862" s="32">
        <f>IF(AND(Cash_Vouchers!$AJ21=1,N(Cash_Vouchers!$I21)&gt;0),1,0)</f>
        <v/>
      </c>
      <c r="B862" s="32">
        <f>IF($A862=1,$E862&amp;"/2","")</f>
        <v/>
      </c>
      <c r="C862" s="32">
        <f>IF($A862=1,"J-"&amp;Cash_Vouchers!$A21,"")</f>
        <v/>
      </c>
      <c r="D862" s="33">
        <f>IF($A862=1,Cash_Vouchers!$B21,"")</f>
        <v/>
      </c>
      <c r="E862" s="32">
        <f>IF($A862=1,IF(Cash_Vouchers!$A21="","",Cash_Vouchers!$A21),"")</f>
        <v/>
      </c>
      <c r="F862" s="32">
        <f>IF($A862=1,"CV","")</f>
        <v/>
      </c>
      <c r="G862" s="32">
        <f>IF($A862=1,IF(Cash_Vouchers!$AB21="","",Cash_Vouchers!$AB21),"")</f>
        <v/>
      </c>
      <c r="H862" s="32">
        <f>IF($A862=1,IF(COUNTIF(COA!$A:$A,$G862)=0,"حساب غير معرف",INDEX(COA!$B:$B,MATCH($G862,COA!$A:$A,0))),"")</f>
        <v/>
      </c>
      <c r="I862" s="32">
        <f>IF($A862=1,IF(Cash_Vouchers!$AD21="","",Cash_Vouchers!$AD21),"")</f>
        <v/>
      </c>
      <c r="J862" s="32">
        <f>IF($A862=1,IF(Cash_Vouchers!$AF21="","",Cash_Vouchers!$AF21),"")</f>
        <v/>
      </c>
      <c r="K862" s="32">
        <f>IF($A862=1,IF(Cash_Vouchers!$AH21="","",Cash_Vouchers!$AH21),"")</f>
        <v/>
      </c>
      <c r="L862" s="32">
        <f>IF($A862=1,IF(Cash_Vouchers!$K21="",Cash_Vouchers!$C21&amp;" - "&amp;Cash_Vouchers!$H21,Cash_Vouchers!$K21),"")</f>
        <v/>
      </c>
      <c r="M862" s="43">
        <f>IF($A862=1,0,"")</f>
        <v/>
      </c>
      <c r="N862" s="43">
        <f>IF($A862=1,Cash_Vouchers!$I21,"")</f>
        <v/>
      </c>
      <c r="O862" s="32">
        <f>IF($A862=1,Cash_Vouchers!$N21,"")</f>
        <v/>
      </c>
      <c r="P862" s="32">
        <f>IF($A862=1,IF(Cash_Vouchers!$AK21="","",Cash_Vouchers!$AK21),"")</f>
        <v/>
      </c>
      <c r="Q862" s="32">
        <f>IF($A862=1,Cash_Vouchers!$AM21,"")</f>
        <v/>
      </c>
      <c r="R862" s="32">
        <f>IF($A862=1,IF(AND($Q862=1,COUNTIFS(COA!$A:$A,$G862,COA!$R:$R,1)=1),1,0),"")</f>
        <v/>
      </c>
      <c r="S862" s="43">
        <f>IF($A862=1,IF($R862=1,N($M862),0),"")</f>
        <v/>
      </c>
      <c r="T862" s="43">
        <f>IF($A862=1,IF($R862=1,N($N862),0),"")</f>
        <v/>
      </c>
      <c r="U862" s="32">
        <f>IF($A862=1,YEAR($D862)*100+MONTH($D862),"")</f>
        <v/>
      </c>
      <c r="V862" s="32">
        <f>IF($A862=1,IF(COUNTIF(COA!$A:$A,$G862)=0,0,INDEX(COA!$H:$H,MATCH($G862,COA!$A:$A,0))),"")</f>
        <v/>
      </c>
      <c r="W862" s="32">
        <f>IF($A862=1,IF(Cash_Vouchers!$AI21="","",Cash_Vouchers!$AI21),"")</f>
        <v/>
      </c>
      <c r="X862" s="32">
        <f>IF($A862=1,IF($R862=1,"",IF($O862=ST_POST,IF($P862&lt;&gt;"",$P862,"حساب غير صالح أو غير نشط"),IF($O862=ST_REV,"معكوس: لا أثر على الدفاتر",IF($O862=ST_CANC,"ملغى",IF($O862=ST_APPR,"معتمد ولم يُرحَّل","مسودة"))))),"")</f>
        <v/>
      </c>
      <c r="Y862" s="32">
        <f>IF($A862=1,IF(AND($R862=1,OR(LG_Acct="",$G862=LG_Acct),OR(LG_Party="",$K862=LG_Party),OR(LG_Loc="ALL",$I862=LG_Loc),OR(LG_CC="ALL",$J862=LG_CC),$D862&gt;=LG_From,$D862&lt;=LG_To),$D862+ROW()/1000000,""),"")</f>
        <v/>
      </c>
      <c r="Z862" s="32">
        <f>IF($A862=1,IF(Cash_Vouchers!$O21="","",Cash_Vouchers!$O21),"")</f>
        <v/>
      </c>
      <c r="AA862" s="32">
        <f>IF($A862=1,IF(Cash_Vouchers!$P21="","",Cash_Vouchers!$P21),"")</f>
        <v/>
      </c>
      <c r="AB862" s="32">
        <f>IF($A862=1,IF(Cash_Vouchers!$Q21="","",Cash_Vouchers!$Q21),"")</f>
        <v/>
      </c>
      <c r="AC862" s="32">
        <f>IF($A862=1,IF(Cash_Vouchers!$R21="","",Cash_Vouchers!$R21),"")</f>
        <v/>
      </c>
      <c r="AD862" s="32">
        <f>IF($A862=1,IF(Cash_Vouchers!$S21="","",Cash_Vouchers!$S21),"")</f>
        <v/>
      </c>
      <c r="AE862" s="32">
        <f>IF($A862=1,0,"")</f>
        <v/>
      </c>
      <c r="AF862" s="32" t="inlineStr"/>
    </row>
    <row r="863">
      <c r="A863" s="32">
        <f>IF(AND(Cash_Vouchers!$AJ22=1,N(Cash_Vouchers!$I22)&gt;0),1,0)</f>
        <v/>
      </c>
      <c r="B863" s="32">
        <f>IF($A863=1,$E863&amp;"/1","")</f>
        <v/>
      </c>
      <c r="C863" s="32">
        <f>IF($A863=1,"J-"&amp;Cash_Vouchers!$A22,"")</f>
        <v/>
      </c>
      <c r="D863" s="33">
        <f>IF($A863=1,Cash_Vouchers!$B22,"")</f>
        <v/>
      </c>
      <c r="E863" s="32">
        <f>IF($A863=1,IF(Cash_Vouchers!$A22="","",Cash_Vouchers!$A22),"")</f>
        <v/>
      </c>
      <c r="F863" s="32">
        <f>IF($A863=1,"CV","")</f>
        <v/>
      </c>
      <c r="G863" s="32">
        <f>IF($A863=1,IF(Cash_Vouchers!$AA22="","",Cash_Vouchers!$AA22),"")</f>
        <v/>
      </c>
      <c r="H863" s="32">
        <f>IF($A863=1,IF(COUNTIF(COA!$A:$A,$G863)=0,"حساب غير معرف",INDEX(COA!$B:$B,MATCH($G863,COA!$A:$A,0))),"")</f>
        <v/>
      </c>
      <c r="I863" s="32">
        <f>IF($A863=1,IF(Cash_Vouchers!$AC22="","",Cash_Vouchers!$AC22),"")</f>
        <v/>
      </c>
      <c r="J863" s="32">
        <f>IF($A863=1,IF(Cash_Vouchers!$AE22="","",Cash_Vouchers!$AE22),"")</f>
        <v/>
      </c>
      <c r="K863" s="32">
        <f>IF($A863=1,IF(Cash_Vouchers!$AG22="","",Cash_Vouchers!$AG22),"")</f>
        <v/>
      </c>
      <c r="L863" s="32">
        <f>IF($A863=1,IF(Cash_Vouchers!$K22="",Cash_Vouchers!$C22&amp;" - "&amp;Cash_Vouchers!$H22,Cash_Vouchers!$K22),"")</f>
        <v/>
      </c>
      <c r="M863" s="43">
        <f>IF($A863=1,Cash_Vouchers!$I22,"")</f>
        <v/>
      </c>
      <c r="N863" s="43">
        <f>IF($A863=1,0,"")</f>
        <v/>
      </c>
      <c r="O863" s="32">
        <f>IF($A863=1,Cash_Vouchers!$N22,"")</f>
        <v/>
      </c>
      <c r="P863" s="32">
        <f>IF($A863=1,IF(Cash_Vouchers!$AK22="","",Cash_Vouchers!$AK22),"")</f>
        <v/>
      </c>
      <c r="Q863" s="32">
        <f>IF($A863=1,Cash_Vouchers!$AM22,"")</f>
        <v/>
      </c>
      <c r="R863" s="32">
        <f>IF($A863=1,IF(AND($Q863=1,COUNTIFS(COA!$A:$A,$G863,COA!$R:$R,1)=1),1,0),"")</f>
        <v/>
      </c>
      <c r="S863" s="43">
        <f>IF($A863=1,IF($R863=1,N($M863),0),"")</f>
        <v/>
      </c>
      <c r="T863" s="43">
        <f>IF($A863=1,IF($R863=1,N($N863),0),"")</f>
        <v/>
      </c>
      <c r="U863" s="32">
        <f>IF($A863=1,YEAR($D863)*100+MONTH($D863),"")</f>
        <v/>
      </c>
      <c r="V863" s="32">
        <f>IF($A863=1,IF(COUNTIF(COA!$A:$A,$G863)=0,0,INDEX(COA!$H:$H,MATCH($G863,COA!$A:$A,0))),"")</f>
        <v/>
      </c>
      <c r="W863" s="32">
        <f>IF($A863=1,IF(Cash_Vouchers!$AI22="","",Cash_Vouchers!$AI22),"")</f>
        <v/>
      </c>
      <c r="X863" s="32">
        <f>IF($A863=1,IF($R863=1,"",IF($O863=ST_POST,IF($P863&lt;&gt;"",$P863,"حساب غير صالح أو غير نشط"),IF($O863=ST_REV,"معكوس: لا أثر على الدفاتر",IF($O863=ST_CANC,"ملغى",IF($O863=ST_APPR,"معتمد ولم يُرحَّل","مسودة"))))),"")</f>
        <v/>
      </c>
      <c r="Y863" s="32">
        <f>IF($A863=1,IF(AND($R863=1,OR(LG_Acct="",$G863=LG_Acct),OR(LG_Party="",$K863=LG_Party),OR(LG_Loc="ALL",$I863=LG_Loc),OR(LG_CC="ALL",$J863=LG_CC),$D863&gt;=LG_From,$D863&lt;=LG_To),$D863+ROW()/1000000,""),"")</f>
        <v/>
      </c>
      <c r="Z863" s="32">
        <f>IF($A863=1,IF(Cash_Vouchers!$O22="","",Cash_Vouchers!$O22),"")</f>
        <v/>
      </c>
      <c r="AA863" s="32">
        <f>IF($A863=1,IF(Cash_Vouchers!$P22="","",Cash_Vouchers!$P22),"")</f>
        <v/>
      </c>
      <c r="AB863" s="32">
        <f>IF($A863=1,IF(Cash_Vouchers!$Q22="","",Cash_Vouchers!$Q22),"")</f>
        <v/>
      </c>
      <c r="AC863" s="32">
        <f>IF($A863=1,IF(Cash_Vouchers!$R22="","",Cash_Vouchers!$R22),"")</f>
        <v/>
      </c>
      <c r="AD863" s="32">
        <f>IF($A863=1,IF(Cash_Vouchers!$S22="","",Cash_Vouchers!$S22),"")</f>
        <v/>
      </c>
      <c r="AE863" s="32">
        <f>IF($A863=1,0,"")</f>
        <v/>
      </c>
      <c r="AF863" s="32" t="inlineStr"/>
    </row>
    <row r="864">
      <c r="A864" s="32">
        <f>IF(AND(Cash_Vouchers!$AJ22=1,N(Cash_Vouchers!$I22)&gt;0),1,0)</f>
        <v/>
      </c>
      <c r="B864" s="32">
        <f>IF($A864=1,$E864&amp;"/2","")</f>
        <v/>
      </c>
      <c r="C864" s="32">
        <f>IF($A864=1,"J-"&amp;Cash_Vouchers!$A22,"")</f>
        <v/>
      </c>
      <c r="D864" s="33">
        <f>IF($A864=1,Cash_Vouchers!$B22,"")</f>
        <v/>
      </c>
      <c r="E864" s="32">
        <f>IF($A864=1,IF(Cash_Vouchers!$A22="","",Cash_Vouchers!$A22),"")</f>
        <v/>
      </c>
      <c r="F864" s="32">
        <f>IF($A864=1,"CV","")</f>
        <v/>
      </c>
      <c r="G864" s="32">
        <f>IF($A864=1,IF(Cash_Vouchers!$AB22="","",Cash_Vouchers!$AB22),"")</f>
        <v/>
      </c>
      <c r="H864" s="32">
        <f>IF($A864=1,IF(COUNTIF(COA!$A:$A,$G864)=0,"حساب غير معرف",INDEX(COA!$B:$B,MATCH($G864,COA!$A:$A,0))),"")</f>
        <v/>
      </c>
      <c r="I864" s="32">
        <f>IF($A864=1,IF(Cash_Vouchers!$AD22="","",Cash_Vouchers!$AD22),"")</f>
        <v/>
      </c>
      <c r="J864" s="32">
        <f>IF($A864=1,IF(Cash_Vouchers!$AF22="","",Cash_Vouchers!$AF22),"")</f>
        <v/>
      </c>
      <c r="K864" s="32">
        <f>IF($A864=1,IF(Cash_Vouchers!$AH22="","",Cash_Vouchers!$AH22),"")</f>
        <v/>
      </c>
      <c r="L864" s="32">
        <f>IF($A864=1,IF(Cash_Vouchers!$K22="",Cash_Vouchers!$C22&amp;" - "&amp;Cash_Vouchers!$H22,Cash_Vouchers!$K22),"")</f>
        <v/>
      </c>
      <c r="M864" s="43">
        <f>IF($A864=1,0,"")</f>
        <v/>
      </c>
      <c r="N864" s="43">
        <f>IF($A864=1,Cash_Vouchers!$I22,"")</f>
        <v/>
      </c>
      <c r="O864" s="32">
        <f>IF($A864=1,Cash_Vouchers!$N22,"")</f>
        <v/>
      </c>
      <c r="P864" s="32">
        <f>IF($A864=1,IF(Cash_Vouchers!$AK22="","",Cash_Vouchers!$AK22),"")</f>
        <v/>
      </c>
      <c r="Q864" s="32">
        <f>IF($A864=1,Cash_Vouchers!$AM22,"")</f>
        <v/>
      </c>
      <c r="R864" s="32">
        <f>IF($A864=1,IF(AND($Q864=1,COUNTIFS(COA!$A:$A,$G864,COA!$R:$R,1)=1),1,0),"")</f>
        <v/>
      </c>
      <c r="S864" s="43">
        <f>IF($A864=1,IF($R864=1,N($M864),0),"")</f>
        <v/>
      </c>
      <c r="T864" s="43">
        <f>IF($A864=1,IF($R864=1,N($N864),0),"")</f>
        <v/>
      </c>
      <c r="U864" s="32">
        <f>IF($A864=1,YEAR($D864)*100+MONTH($D864),"")</f>
        <v/>
      </c>
      <c r="V864" s="32">
        <f>IF($A864=1,IF(COUNTIF(COA!$A:$A,$G864)=0,0,INDEX(COA!$H:$H,MATCH($G864,COA!$A:$A,0))),"")</f>
        <v/>
      </c>
      <c r="W864" s="32">
        <f>IF($A864=1,IF(Cash_Vouchers!$AI22="","",Cash_Vouchers!$AI22),"")</f>
        <v/>
      </c>
      <c r="X864" s="32">
        <f>IF($A864=1,IF($R864=1,"",IF($O864=ST_POST,IF($P864&lt;&gt;"",$P864,"حساب غير صالح أو غير نشط"),IF($O864=ST_REV,"معكوس: لا أثر على الدفاتر",IF($O864=ST_CANC,"ملغى",IF($O864=ST_APPR,"معتمد ولم يُرحَّل","مسودة"))))),"")</f>
        <v/>
      </c>
      <c r="Y864" s="32">
        <f>IF($A864=1,IF(AND($R864=1,OR(LG_Acct="",$G864=LG_Acct),OR(LG_Party="",$K864=LG_Party),OR(LG_Loc="ALL",$I864=LG_Loc),OR(LG_CC="ALL",$J864=LG_CC),$D864&gt;=LG_From,$D864&lt;=LG_To),$D864+ROW()/1000000,""),"")</f>
        <v/>
      </c>
      <c r="Z864" s="32">
        <f>IF($A864=1,IF(Cash_Vouchers!$O22="","",Cash_Vouchers!$O22),"")</f>
        <v/>
      </c>
      <c r="AA864" s="32">
        <f>IF($A864=1,IF(Cash_Vouchers!$P22="","",Cash_Vouchers!$P22),"")</f>
        <v/>
      </c>
      <c r="AB864" s="32">
        <f>IF($A864=1,IF(Cash_Vouchers!$Q22="","",Cash_Vouchers!$Q22),"")</f>
        <v/>
      </c>
      <c r="AC864" s="32">
        <f>IF($A864=1,IF(Cash_Vouchers!$R22="","",Cash_Vouchers!$R22),"")</f>
        <v/>
      </c>
      <c r="AD864" s="32">
        <f>IF($A864=1,IF(Cash_Vouchers!$S22="","",Cash_Vouchers!$S22),"")</f>
        <v/>
      </c>
      <c r="AE864" s="32">
        <f>IF($A864=1,0,"")</f>
        <v/>
      </c>
      <c r="AF864" s="32" t="inlineStr"/>
    </row>
    <row r="865">
      <c r="A865" s="32">
        <f>IF(AND(Cash_Vouchers!$AJ23=1,N(Cash_Vouchers!$I23)&gt;0),1,0)</f>
        <v/>
      </c>
      <c r="B865" s="32">
        <f>IF($A865=1,$E865&amp;"/1","")</f>
        <v/>
      </c>
      <c r="C865" s="32">
        <f>IF($A865=1,"J-"&amp;Cash_Vouchers!$A23,"")</f>
        <v/>
      </c>
      <c r="D865" s="33">
        <f>IF($A865=1,Cash_Vouchers!$B23,"")</f>
        <v/>
      </c>
      <c r="E865" s="32">
        <f>IF($A865=1,IF(Cash_Vouchers!$A23="","",Cash_Vouchers!$A23),"")</f>
        <v/>
      </c>
      <c r="F865" s="32">
        <f>IF($A865=1,"CV","")</f>
        <v/>
      </c>
      <c r="G865" s="32">
        <f>IF($A865=1,IF(Cash_Vouchers!$AA23="","",Cash_Vouchers!$AA23),"")</f>
        <v/>
      </c>
      <c r="H865" s="32">
        <f>IF($A865=1,IF(COUNTIF(COA!$A:$A,$G865)=0,"حساب غير معرف",INDEX(COA!$B:$B,MATCH($G865,COA!$A:$A,0))),"")</f>
        <v/>
      </c>
      <c r="I865" s="32">
        <f>IF($A865=1,IF(Cash_Vouchers!$AC23="","",Cash_Vouchers!$AC23),"")</f>
        <v/>
      </c>
      <c r="J865" s="32">
        <f>IF($A865=1,IF(Cash_Vouchers!$AE23="","",Cash_Vouchers!$AE23),"")</f>
        <v/>
      </c>
      <c r="K865" s="32">
        <f>IF($A865=1,IF(Cash_Vouchers!$AG23="","",Cash_Vouchers!$AG23),"")</f>
        <v/>
      </c>
      <c r="L865" s="32">
        <f>IF($A865=1,IF(Cash_Vouchers!$K23="",Cash_Vouchers!$C23&amp;" - "&amp;Cash_Vouchers!$H23,Cash_Vouchers!$K23),"")</f>
        <v/>
      </c>
      <c r="M865" s="43">
        <f>IF($A865=1,Cash_Vouchers!$I23,"")</f>
        <v/>
      </c>
      <c r="N865" s="43">
        <f>IF($A865=1,0,"")</f>
        <v/>
      </c>
      <c r="O865" s="32">
        <f>IF($A865=1,Cash_Vouchers!$N23,"")</f>
        <v/>
      </c>
      <c r="P865" s="32">
        <f>IF($A865=1,IF(Cash_Vouchers!$AK23="","",Cash_Vouchers!$AK23),"")</f>
        <v/>
      </c>
      <c r="Q865" s="32">
        <f>IF($A865=1,Cash_Vouchers!$AM23,"")</f>
        <v/>
      </c>
      <c r="R865" s="32">
        <f>IF($A865=1,IF(AND($Q865=1,COUNTIFS(COA!$A:$A,$G865,COA!$R:$R,1)=1),1,0),"")</f>
        <v/>
      </c>
      <c r="S865" s="43">
        <f>IF($A865=1,IF($R865=1,N($M865),0),"")</f>
        <v/>
      </c>
      <c r="T865" s="43">
        <f>IF($A865=1,IF($R865=1,N($N865),0),"")</f>
        <v/>
      </c>
      <c r="U865" s="32">
        <f>IF($A865=1,YEAR($D865)*100+MONTH($D865),"")</f>
        <v/>
      </c>
      <c r="V865" s="32">
        <f>IF($A865=1,IF(COUNTIF(COA!$A:$A,$G865)=0,0,INDEX(COA!$H:$H,MATCH($G865,COA!$A:$A,0))),"")</f>
        <v/>
      </c>
      <c r="W865" s="32">
        <f>IF($A865=1,IF(Cash_Vouchers!$AI23="","",Cash_Vouchers!$AI23),"")</f>
        <v/>
      </c>
      <c r="X865" s="32">
        <f>IF($A865=1,IF($R865=1,"",IF($O865=ST_POST,IF($P865&lt;&gt;"",$P865,"حساب غير صالح أو غير نشط"),IF($O865=ST_REV,"معكوس: لا أثر على الدفاتر",IF($O865=ST_CANC,"ملغى",IF($O865=ST_APPR,"معتمد ولم يُرحَّل","مسودة"))))),"")</f>
        <v/>
      </c>
      <c r="Y865" s="32">
        <f>IF($A865=1,IF(AND($R865=1,OR(LG_Acct="",$G865=LG_Acct),OR(LG_Party="",$K865=LG_Party),OR(LG_Loc="ALL",$I865=LG_Loc),OR(LG_CC="ALL",$J865=LG_CC),$D865&gt;=LG_From,$D865&lt;=LG_To),$D865+ROW()/1000000,""),"")</f>
        <v/>
      </c>
      <c r="Z865" s="32">
        <f>IF($A865=1,IF(Cash_Vouchers!$O23="","",Cash_Vouchers!$O23),"")</f>
        <v/>
      </c>
      <c r="AA865" s="32">
        <f>IF($A865=1,IF(Cash_Vouchers!$P23="","",Cash_Vouchers!$P23),"")</f>
        <v/>
      </c>
      <c r="AB865" s="32">
        <f>IF($A865=1,IF(Cash_Vouchers!$Q23="","",Cash_Vouchers!$Q23),"")</f>
        <v/>
      </c>
      <c r="AC865" s="32">
        <f>IF($A865=1,IF(Cash_Vouchers!$R23="","",Cash_Vouchers!$R23),"")</f>
        <v/>
      </c>
      <c r="AD865" s="32">
        <f>IF($A865=1,IF(Cash_Vouchers!$S23="","",Cash_Vouchers!$S23),"")</f>
        <v/>
      </c>
      <c r="AE865" s="32">
        <f>IF($A865=1,0,"")</f>
        <v/>
      </c>
      <c r="AF865" s="32" t="inlineStr"/>
    </row>
    <row r="866">
      <c r="A866" s="32">
        <f>IF(AND(Cash_Vouchers!$AJ23=1,N(Cash_Vouchers!$I23)&gt;0),1,0)</f>
        <v/>
      </c>
      <c r="B866" s="32">
        <f>IF($A866=1,$E866&amp;"/2","")</f>
        <v/>
      </c>
      <c r="C866" s="32">
        <f>IF($A866=1,"J-"&amp;Cash_Vouchers!$A23,"")</f>
        <v/>
      </c>
      <c r="D866" s="33">
        <f>IF($A866=1,Cash_Vouchers!$B23,"")</f>
        <v/>
      </c>
      <c r="E866" s="32">
        <f>IF($A866=1,IF(Cash_Vouchers!$A23="","",Cash_Vouchers!$A23),"")</f>
        <v/>
      </c>
      <c r="F866" s="32">
        <f>IF($A866=1,"CV","")</f>
        <v/>
      </c>
      <c r="G866" s="32">
        <f>IF($A866=1,IF(Cash_Vouchers!$AB23="","",Cash_Vouchers!$AB23),"")</f>
        <v/>
      </c>
      <c r="H866" s="32">
        <f>IF($A866=1,IF(COUNTIF(COA!$A:$A,$G866)=0,"حساب غير معرف",INDEX(COA!$B:$B,MATCH($G866,COA!$A:$A,0))),"")</f>
        <v/>
      </c>
      <c r="I866" s="32">
        <f>IF($A866=1,IF(Cash_Vouchers!$AD23="","",Cash_Vouchers!$AD23),"")</f>
        <v/>
      </c>
      <c r="J866" s="32">
        <f>IF($A866=1,IF(Cash_Vouchers!$AF23="","",Cash_Vouchers!$AF23),"")</f>
        <v/>
      </c>
      <c r="K866" s="32">
        <f>IF($A866=1,IF(Cash_Vouchers!$AH23="","",Cash_Vouchers!$AH23),"")</f>
        <v/>
      </c>
      <c r="L866" s="32">
        <f>IF($A866=1,IF(Cash_Vouchers!$K23="",Cash_Vouchers!$C23&amp;" - "&amp;Cash_Vouchers!$H23,Cash_Vouchers!$K23),"")</f>
        <v/>
      </c>
      <c r="M866" s="43">
        <f>IF($A866=1,0,"")</f>
        <v/>
      </c>
      <c r="N866" s="43">
        <f>IF($A866=1,Cash_Vouchers!$I23,"")</f>
        <v/>
      </c>
      <c r="O866" s="32">
        <f>IF($A866=1,Cash_Vouchers!$N23,"")</f>
        <v/>
      </c>
      <c r="P866" s="32">
        <f>IF($A866=1,IF(Cash_Vouchers!$AK23="","",Cash_Vouchers!$AK23),"")</f>
        <v/>
      </c>
      <c r="Q866" s="32">
        <f>IF($A866=1,Cash_Vouchers!$AM23,"")</f>
        <v/>
      </c>
      <c r="R866" s="32">
        <f>IF($A866=1,IF(AND($Q866=1,COUNTIFS(COA!$A:$A,$G866,COA!$R:$R,1)=1),1,0),"")</f>
        <v/>
      </c>
      <c r="S866" s="43">
        <f>IF($A866=1,IF($R866=1,N($M866),0),"")</f>
        <v/>
      </c>
      <c r="T866" s="43">
        <f>IF($A866=1,IF($R866=1,N($N866),0),"")</f>
        <v/>
      </c>
      <c r="U866" s="32">
        <f>IF($A866=1,YEAR($D866)*100+MONTH($D866),"")</f>
        <v/>
      </c>
      <c r="V866" s="32">
        <f>IF($A866=1,IF(COUNTIF(COA!$A:$A,$G866)=0,0,INDEX(COA!$H:$H,MATCH($G866,COA!$A:$A,0))),"")</f>
        <v/>
      </c>
      <c r="W866" s="32">
        <f>IF($A866=1,IF(Cash_Vouchers!$AI23="","",Cash_Vouchers!$AI23),"")</f>
        <v/>
      </c>
      <c r="X866" s="32">
        <f>IF($A866=1,IF($R866=1,"",IF($O866=ST_POST,IF($P866&lt;&gt;"",$P866,"حساب غير صالح أو غير نشط"),IF($O866=ST_REV,"معكوس: لا أثر على الدفاتر",IF($O866=ST_CANC,"ملغى",IF($O866=ST_APPR,"معتمد ولم يُرحَّل","مسودة"))))),"")</f>
        <v/>
      </c>
      <c r="Y866" s="32">
        <f>IF($A866=1,IF(AND($R866=1,OR(LG_Acct="",$G866=LG_Acct),OR(LG_Party="",$K866=LG_Party),OR(LG_Loc="ALL",$I866=LG_Loc),OR(LG_CC="ALL",$J866=LG_CC),$D866&gt;=LG_From,$D866&lt;=LG_To),$D866+ROW()/1000000,""),"")</f>
        <v/>
      </c>
      <c r="Z866" s="32">
        <f>IF($A866=1,IF(Cash_Vouchers!$O23="","",Cash_Vouchers!$O23),"")</f>
        <v/>
      </c>
      <c r="AA866" s="32">
        <f>IF($A866=1,IF(Cash_Vouchers!$P23="","",Cash_Vouchers!$P23),"")</f>
        <v/>
      </c>
      <c r="AB866" s="32">
        <f>IF($A866=1,IF(Cash_Vouchers!$Q23="","",Cash_Vouchers!$Q23),"")</f>
        <v/>
      </c>
      <c r="AC866" s="32">
        <f>IF($A866=1,IF(Cash_Vouchers!$R23="","",Cash_Vouchers!$R23),"")</f>
        <v/>
      </c>
      <c r="AD866" s="32">
        <f>IF($A866=1,IF(Cash_Vouchers!$S23="","",Cash_Vouchers!$S23),"")</f>
        <v/>
      </c>
      <c r="AE866" s="32">
        <f>IF($A866=1,0,"")</f>
        <v/>
      </c>
      <c r="AF866" s="32" t="inlineStr"/>
    </row>
    <row r="867">
      <c r="A867" s="32">
        <f>IF(AND(Cash_Vouchers!$AJ24=1,N(Cash_Vouchers!$I24)&gt;0),1,0)</f>
        <v/>
      </c>
      <c r="B867" s="32">
        <f>IF($A867=1,$E867&amp;"/1","")</f>
        <v/>
      </c>
      <c r="C867" s="32">
        <f>IF($A867=1,"J-"&amp;Cash_Vouchers!$A24,"")</f>
        <v/>
      </c>
      <c r="D867" s="33">
        <f>IF($A867=1,Cash_Vouchers!$B24,"")</f>
        <v/>
      </c>
      <c r="E867" s="32">
        <f>IF($A867=1,IF(Cash_Vouchers!$A24="","",Cash_Vouchers!$A24),"")</f>
        <v/>
      </c>
      <c r="F867" s="32">
        <f>IF($A867=1,"CV","")</f>
        <v/>
      </c>
      <c r="G867" s="32">
        <f>IF($A867=1,IF(Cash_Vouchers!$AA24="","",Cash_Vouchers!$AA24),"")</f>
        <v/>
      </c>
      <c r="H867" s="32">
        <f>IF($A867=1,IF(COUNTIF(COA!$A:$A,$G867)=0,"حساب غير معرف",INDEX(COA!$B:$B,MATCH($G867,COA!$A:$A,0))),"")</f>
        <v/>
      </c>
      <c r="I867" s="32">
        <f>IF($A867=1,IF(Cash_Vouchers!$AC24="","",Cash_Vouchers!$AC24),"")</f>
        <v/>
      </c>
      <c r="J867" s="32">
        <f>IF($A867=1,IF(Cash_Vouchers!$AE24="","",Cash_Vouchers!$AE24),"")</f>
        <v/>
      </c>
      <c r="K867" s="32">
        <f>IF($A867=1,IF(Cash_Vouchers!$AG24="","",Cash_Vouchers!$AG24),"")</f>
        <v/>
      </c>
      <c r="L867" s="32">
        <f>IF($A867=1,IF(Cash_Vouchers!$K24="",Cash_Vouchers!$C24&amp;" - "&amp;Cash_Vouchers!$H24,Cash_Vouchers!$K24),"")</f>
        <v/>
      </c>
      <c r="M867" s="43">
        <f>IF($A867=1,Cash_Vouchers!$I24,"")</f>
        <v/>
      </c>
      <c r="N867" s="43">
        <f>IF($A867=1,0,"")</f>
        <v/>
      </c>
      <c r="O867" s="32">
        <f>IF($A867=1,Cash_Vouchers!$N24,"")</f>
        <v/>
      </c>
      <c r="P867" s="32">
        <f>IF($A867=1,IF(Cash_Vouchers!$AK24="","",Cash_Vouchers!$AK24),"")</f>
        <v/>
      </c>
      <c r="Q867" s="32">
        <f>IF($A867=1,Cash_Vouchers!$AM24,"")</f>
        <v/>
      </c>
      <c r="R867" s="32">
        <f>IF($A867=1,IF(AND($Q867=1,COUNTIFS(COA!$A:$A,$G867,COA!$R:$R,1)=1),1,0),"")</f>
        <v/>
      </c>
      <c r="S867" s="43">
        <f>IF($A867=1,IF($R867=1,N($M867),0),"")</f>
        <v/>
      </c>
      <c r="T867" s="43">
        <f>IF($A867=1,IF($R867=1,N($N867),0),"")</f>
        <v/>
      </c>
      <c r="U867" s="32">
        <f>IF($A867=1,YEAR($D867)*100+MONTH($D867),"")</f>
        <v/>
      </c>
      <c r="V867" s="32">
        <f>IF($A867=1,IF(COUNTIF(COA!$A:$A,$G867)=0,0,INDEX(COA!$H:$H,MATCH($G867,COA!$A:$A,0))),"")</f>
        <v/>
      </c>
      <c r="W867" s="32">
        <f>IF($A867=1,IF(Cash_Vouchers!$AI24="","",Cash_Vouchers!$AI24),"")</f>
        <v/>
      </c>
      <c r="X867" s="32">
        <f>IF($A867=1,IF($R867=1,"",IF($O867=ST_POST,IF($P867&lt;&gt;"",$P867,"حساب غير صالح أو غير نشط"),IF($O867=ST_REV,"معكوس: لا أثر على الدفاتر",IF($O867=ST_CANC,"ملغى",IF($O867=ST_APPR,"معتمد ولم يُرحَّل","مسودة"))))),"")</f>
        <v/>
      </c>
      <c r="Y867" s="32">
        <f>IF($A867=1,IF(AND($R867=1,OR(LG_Acct="",$G867=LG_Acct),OR(LG_Party="",$K867=LG_Party),OR(LG_Loc="ALL",$I867=LG_Loc),OR(LG_CC="ALL",$J867=LG_CC),$D867&gt;=LG_From,$D867&lt;=LG_To),$D867+ROW()/1000000,""),"")</f>
        <v/>
      </c>
      <c r="Z867" s="32">
        <f>IF($A867=1,IF(Cash_Vouchers!$O24="","",Cash_Vouchers!$O24),"")</f>
        <v/>
      </c>
      <c r="AA867" s="32">
        <f>IF($A867=1,IF(Cash_Vouchers!$P24="","",Cash_Vouchers!$P24),"")</f>
        <v/>
      </c>
      <c r="AB867" s="32">
        <f>IF($A867=1,IF(Cash_Vouchers!$Q24="","",Cash_Vouchers!$Q24),"")</f>
        <v/>
      </c>
      <c r="AC867" s="32">
        <f>IF($A867=1,IF(Cash_Vouchers!$R24="","",Cash_Vouchers!$R24),"")</f>
        <v/>
      </c>
      <c r="AD867" s="32">
        <f>IF($A867=1,IF(Cash_Vouchers!$S24="","",Cash_Vouchers!$S24),"")</f>
        <v/>
      </c>
      <c r="AE867" s="32">
        <f>IF($A867=1,0,"")</f>
        <v/>
      </c>
      <c r="AF867" s="32" t="inlineStr"/>
    </row>
    <row r="868">
      <c r="A868" s="32">
        <f>IF(AND(Cash_Vouchers!$AJ24=1,N(Cash_Vouchers!$I24)&gt;0),1,0)</f>
        <v/>
      </c>
      <c r="B868" s="32">
        <f>IF($A868=1,$E868&amp;"/2","")</f>
        <v/>
      </c>
      <c r="C868" s="32">
        <f>IF($A868=1,"J-"&amp;Cash_Vouchers!$A24,"")</f>
        <v/>
      </c>
      <c r="D868" s="33">
        <f>IF($A868=1,Cash_Vouchers!$B24,"")</f>
        <v/>
      </c>
      <c r="E868" s="32">
        <f>IF($A868=1,IF(Cash_Vouchers!$A24="","",Cash_Vouchers!$A24),"")</f>
        <v/>
      </c>
      <c r="F868" s="32">
        <f>IF($A868=1,"CV","")</f>
        <v/>
      </c>
      <c r="G868" s="32">
        <f>IF($A868=1,IF(Cash_Vouchers!$AB24="","",Cash_Vouchers!$AB24),"")</f>
        <v/>
      </c>
      <c r="H868" s="32">
        <f>IF($A868=1,IF(COUNTIF(COA!$A:$A,$G868)=0,"حساب غير معرف",INDEX(COA!$B:$B,MATCH($G868,COA!$A:$A,0))),"")</f>
        <v/>
      </c>
      <c r="I868" s="32">
        <f>IF($A868=1,IF(Cash_Vouchers!$AD24="","",Cash_Vouchers!$AD24),"")</f>
        <v/>
      </c>
      <c r="J868" s="32">
        <f>IF($A868=1,IF(Cash_Vouchers!$AF24="","",Cash_Vouchers!$AF24),"")</f>
        <v/>
      </c>
      <c r="K868" s="32">
        <f>IF($A868=1,IF(Cash_Vouchers!$AH24="","",Cash_Vouchers!$AH24),"")</f>
        <v/>
      </c>
      <c r="L868" s="32">
        <f>IF($A868=1,IF(Cash_Vouchers!$K24="",Cash_Vouchers!$C24&amp;" - "&amp;Cash_Vouchers!$H24,Cash_Vouchers!$K24),"")</f>
        <v/>
      </c>
      <c r="M868" s="43">
        <f>IF($A868=1,0,"")</f>
        <v/>
      </c>
      <c r="N868" s="43">
        <f>IF($A868=1,Cash_Vouchers!$I24,"")</f>
        <v/>
      </c>
      <c r="O868" s="32">
        <f>IF($A868=1,Cash_Vouchers!$N24,"")</f>
        <v/>
      </c>
      <c r="P868" s="32">
        <f>IF($A868=1,IF(Cash_Vouchers!$AK24="","",Cash_Vouchers!$AK24),"")</f>
        <v/>
      </c>
      <c r="Q868" s="32">
        <f>IF($A868=1,Cash_Vouchers!$AM24,"")</f>
        <v/>
      </c>
      <c r="R868" s="32">
        <f>IF($A868=1,IF(AND($Q868=1,COUNTIFS(COA!$A:$A,$G868,COA!$R:$R,1)=1),1,0),"")</f>
        <v/>
      </c>
      <c r="S868" s="43">
        <f>IF($A868=1,IF($R868=1,N($M868),0),"")</f>
        <v/>
      </c>
      <c r="T868" s="43">
        <f>IF($A868=1,IF($R868=1,N($N868),0),"")</f>
        <v/>
      </c>
      <c r="U868" s="32">
        <f>IF($A868=1,YEAR($D868)*100+MONTH($D868),"")</f>
        <v/>
      </c>
      <c r="V868" s="32">
        <f>IF($A868=1,IF(COUNTIF(COA!$A:$A,$G868)=0,0,INDEX(COA!$H:$H,MATCH($G868,COA!$A:$A,0))),"")</f>
        <v/>
      </c>
      <c r="W868" s="32">
        <f>IF($A868=1,IF(Cash_Vouchers!$AI24="","",Cash_Vouchers!$AI24),"")</f>
        <v/>
      </c>
      <c r="X868" s="32">
        <f>IF($A868=1,IF($R868=1,"",IF($O868=ST_POST,IF($P868&lt;&gt;"",$P868,"حساب غير صالح أو غير نشط"),IF($O868=ST_REV,"معكوس: لا أثر على الدفاتر",IF($O868=ST_CANC,"ملغى",IF($O868=ST_APPR,"معتمد ولم يُرحَّل","مسودة"))))),"")</f>
        <v/>
      </c>
      <c r="Y868" s="32">
        <f>IF($A868=1,IF(AND($R868=1,OR(LG_Acct="",$G868=LG_Acct),OR(LG_Party="",$K868=LG_Party),OR(LG_Loc="ALL",$I868=LG_Loc),OR(LG_CC="ALL",$J868=LG_CC),$D868&gt;=LG_From,$D868&lt;=LG_To),$D868+ROW()/1000000,""),"")</f>
        <v/>
      </c>
      <c r="Z868" s="32">
        <f>IF($A868=1,IF(Cash_Vouchers!$O24="","",Cash_Vouchers!$O24),"")</f>
        <v/>
      </c>
      <c r="AA868" s="32">
        <f>IF($A868=1,IF(Cash_Vouchers!$P24="","",Cash_Vouchers!$P24),"")</f>
        <v/>
      </c>
      <c r="AB868" s="32">
        <f>IF($A868=1,IF(Cash_Vouchers!$Q24="","",Cash_Vouchers!$Q24),"")</f>
        <v/>
      </c>
      <c r="AC868" s="32">
        <f>IF($A868=1,IF(Cash_Vouchers!$R24="","",Cash_Vouchers!$R24),"")</f>
        <v/>
      </c>
      <c r="AD868" s="32">
        <f>IF($A868=1,IF(Cash_Vouchers!$S24="","",Cash_Vouchers!$S24),"")</f>
        <v/>
      </c>
      <c r="AE868" s="32">
        <f>IF($A868=1,0,"")</f>
        <v/>
      </c>
      <c r="AF868" s="32" t="inlineStr"/>
    </row>
    <row r="869">
      <c r="A869" s="32">
        <f>IF(AND(Cash_Vouchers!$AJ25=1,N(Cash_Vouchers!$I25)&gt;0),1,0)</f>
        <v/>
      </c>
      <c r="B869" s="32">
        <f>IF($A869=1,$E869&amp;"/1","")</f>
        <v/>
      </c>
      <c r="C869" s="32">
        <f>IF($A869=1,"J-"&amp;Cash_Vouchers!$A25,"")</f>
        <v/>
      </c>
      <c r="D869" s="33">
        <f>IF($A869=1,Cash_Vouchers!$B25,"")</f>
        <v/>
      </c>
      <c r="E869" s="32">
        <f>IF($A869=1,IF(Cash_Vouchers!$A25="","",Cash_Vouchers!$A25),"")</f>
        <v/>
      </c>
      <c r="F869" s="32">
        <f>IF($A869=1,"CV","")</f>
        <v/>
      </c>
      <c r="G869" s="32">
        <f>IF($A869=1,IF(Cash_Vouchers!$AA25="","",Cash_Vouchers!$AA25),"")</f>
        <v/>
      </c>
      <c r="H869" s="32">
        <f>IF($A869=1,IF(COUNTIF(COA!$A:$A,$G869)=0,"حساب غير معرف",INDEX(COA!$B:$B,MATCH($G869,COA!$A:$A,0))),"")</f>
        <v/>
      </c>
      <c r="I869" s="32">
        <f>IF($A869=1,IF(Cash_Vouchers!$AC25="","",Cash_Vouchers!$AC25),"")</f>
        <v/>
      </c>
      <c r="J869" s="32">
        <f>IF($A869=1,IF(Cash_Vouchers!$AE25="","",Cash_Vouchers!$AE25),"")</f>
        <v/>
      </c>
      <c r="K869" s="32">
        <f>IF($A869=1,IF(Cash_Vouchers!$AG25="","",Cash_Vouchers!$AG25),"")</f>
        <v/>
      </c>
      <c r="L869" s="32">
        <f>IF($A869=1,IF(Cash_Vouchers!$K25="",Cash_Vouchers!$C25&amp;" - "&amp;Cash_Vouchers!$H25,Cash_Vouchers!$K25),"")</f>
        <v/>
      </c>
      <c r="M869" s="43">
        <f>IF($A869=1,Cash_Vouchers!$I25,"")</f>
        <v/>
      </c>
      <c r="N869" s="43">
        <f>IF($A869=1,0,"")</f>
        <v/>
      </c>
      <c r="O869" s="32">
        <f>IF($A869=1,Cash_Vouchers!$N25,"")</f>
        <v/>
      </c>
      <c r="P869" s="32">
        <f>IF($A869=1,IF(Cash_Vouchers!$AK25="","",Cash_Vouchers!$AK25),"")</f>
        <v/>
      </c>
      <c r="Q869" s="32">
        <f>IF($A869=1,Cash_Vouchers!$AM25,"")</f>
        <v/>
      </c>
      <c r="R869" s="32">
        <f>IF($A869=1,IF(AND($Q869=1,COUNTIFS(COA!$A:$A,$G869,COA!$R:$R,1)=1),1,0),"")</f>
        <v/>
      </c>
      <c r="S869" s="43">
        <f>IF($A869=1,IF($R869=1,N($M869),0),"")</f>
        <v/>
      </c>
      <c r="T869" s="43">
        <f>IF($A869=1,IF($R869=1,N($N869),0),"")</f>
        <v/>
      </c>
      <c r="U869" s="32">
        <f>IF($A869=1,YEAR($D869)*100+MONTH($D869),"")</f>
        <v/>
      </c>
      <c r="V869" s="32">
        <f>IF($A869=1,IF(COUNTIF(COA!$A:$A,$G869)=0,0,INDEX(COA!$H:$H,MATCH($G869,COA!$A:$A,0))),"")</f>
        <v/>
      </c>
      <c r="W869" s="32">
        <f>IF($A869=1,IF(Cash_Vouchers!$AI25="","",Cash_Vouchers!$AI25),"")</f>
        <v/>
      </c>
      <c r="X869" s="32">
        <f>IF($A869=1,IF($R869=1,"",IF($O869=ST_POST,IF($P869&lt;&gt;"",$P869,"حساب غير صالح أو غير نشط"),IF($O869=ST_REV,"معكوس: لا أثر على الدفاتر",IF($O869=ST_CANC,"ملغى",IF($O869=ST_APPR,"معتمد ولم يُرحَّل","مسودة"))))),"")</f>
        <v/>
      </c>
      <c r="Y869" s="32">
        <f>IF($A869=1,IF(AND($R869=1,OR(LG_Acct="",$G869=LG_Acct),OR(LG_Party="",$K869=LG_Party),OR(LG_Loc="ALL",$I869=LG_Loc),OR(LG_CC="ALL",$J869=LG_CC),$D869&gt;=LG_From,$D869&lt;=LG_To),$D869+ROW()/1000000,""),"")</f>
        <v/>
      </c>
      <c r="Z869" s="32">
        <f>IF($A869=1,IF(Cash_Vouchers!$O25="","",Cash_Vouchers!$O25),"")</f>
        <v/>
      </c>
      <c r="AA869" s="32">
        <f>IF($A869=1,IF(Cash_Vouchers!$P25="","",Cash_Vouchers!$P25),"")</f>
        <v/>
      </c>
      <c r="AB869" s="32">
        <f>IF($A869=1,IF(Cash_Vouchers!$Q25="","",Cash_Vouchers!$Q25),"")</f>
        <v/>
      </c>
      <c r="AC869" s="32">
        <f>IF($A869=1,IF(Cash_Vouchers!$R25="","",Cash_Vouchers!$R25),"")</f>
        <v/>
      </c>
      <c r="AD869" s="32">
        <f>IF($A869=1,IF(Cash_Vouchers!$S25="","",Cash_Vouchers!$S25),"")</f>
        <v/>
      </c>
      <c r="AE869" s="32">
        <f>IF($A869=1,0,"")</f>
        <v/>
      </c>
      <c r="AF869" s="32" t="inlineStr"/>
    </row>
    <row r="870">
      <c r="A870" s="32">
        <f>IF(AND(Cash_Vouchers!$AJ25=1,N(Cash_Vouchers!$I25)&gt;0),1,0)</f>
        <v/>
      </c>
      <c r="B870" s="32">
        <f>IF($A870=1,$E870&amp;"/2","")</f>
        <v/>
      </c>
      <c r="C870" s="32">
        <f>IF($A870=1,"J-"&amp;Cash_Vouchers!$A25,"")</f>
        <v/>
      </c>
      <c r="D870" s="33">
        <f>IF($A870=1,Cash_Vouchers!$B25,"")</f>
        <v/>
      </c>
      <c r="E870" s="32">
        <f>IF($A870=1,IF(Cash_Vouchers!$A25="","",Cash_Vouchers!$A25),"")</f>
        <v/>
      </c>
      <c r="F870" s="32">
        <f>IF($A870=1,"CV","")</f>
        <v/>
      </c>
      <c r="G870" s="32">
        <f>IF($A870=1,IF(Cash_Vouchers!$AB25="","",Cash_Vouchers!$AB25),"")</f>
        <v/>
      </c>
      <c r="H870" s="32">
        <f>IF($A870=1,IF(COUNTIF(COA!$A:$A,$G870)=0,"حساب غير معرف",INDEX(COA!$B:$B,MATCH($G870,COA!$A:$A,0))),"")</f>
        <v/>
      </c>
      <c r="I870" s="32">
        <f>IF($A870=1,IF(Cash_Vouchers!$AD25="","",Cash_Vouchers!$AD25),"")</f>
        <v/>
      </c>
      <c r="J870" s="32">
        <f>IF($A870=1,IF(Cash_Vouchers!$AF25="","",Cash_Vouchers!$AF25),"")</f>
        <v/>
      </c>
      <c r="K870" s="32">
        <f>IF($A870=1,IF(Cash_Vouchers!$AH25="","",Cash_Vouchers!$AH25),"")</f>
        <v/>
      </c>
      <c r="L870" s="32">
        <f>IF($A870=1,IF(Cash_Vouchers!$K25="",Cash_Vouchers!$C25&amp;" - "&amp;Cash_Vouchers!$H25,Cash_Vouchers!$K25),"")</f>
        <v/>
      </c>
      <c r="M870" s="43">
        <f>IF($A870=1,0,"")</f>
        <v/>
      </c>
      <c r="N870" s="43">
        <f>IF($A870=1,Cash_Vouchers!$I25,"")</f>
        <v/>
      </c>
      <c r="O870" s="32">
        <f>IF($A870=1,Cash_Vouchers!$N25,"")</f>
        <v/>
      </c>
      <c r="P870" s="32">
        <f>IF($A870=1,IF(Cash_Vouchers!$AK25="","",Cash_Vouchers!$AK25),"")</f>
        <v/>
      </c>
      <c r="Q870" s="32">
        <f>IF($A870=1,Cash_Vouchers!$AM25,"")</f>
        <v/>
      </c>
      <c r="R870" s="32">
        <f>IF($A870=1,IF(AND($Q870=1,COUNTIFS(COA!$A:$A,$G870,COA!$R:$R,1)=1),1,0),"")</f>
        <v/>
      </c>
      <c r="S870" s="43">
        <f>IF($A870=1,IF($R870=1,N($M870),0),"")</f>
        <v/>
      </c>
      <c r="T870" s="43">
        <f>IF($A870=1,IF($R870=1,N($N870),0),"")</f>
        <v/>
      </c>
      <c r="U870" s="32">
        <f>IF($A870=1,YEAR($D870)*100+MONTH($D870),"")</f>
        <v/>
      </c>
      <c r="V870" s="32">
        <f>IF($A870=1,IF(COUNTIF(COA!$A:$A,$G870)=0,0,INDEX(COA!$H:$H,MATCH($G870,COA!$A:$A,0))),"")</f>
        <v/>
      </c>
      <c r="W870" s="32">
        <f>IF($A870=1,IF(Cash_Vouchers!$AI25="","",Cash_Vouchers!$AI25),"")</f>
        <v/>
      </c>
      <c r="X870" s="32">
        <f>IF($A870=1,IF($R870=1,"",IF($O870=ST_POST,IF($P870&lt;&gt;"",$P870,"حساب غير صالح أو غير نشط"),IF($O870=ST_REV,"معكوس: لا أثر على الدفاتر",IF($O870=ST_CANC,"ملغى",IF($O870=ST_APPR,"معتمد ولم يُرحَّل","مسودة"))))),"")</f>
        <v/>
      </c>
      <c r="Y870" s="32">
        <f>IF($A870=1,IF(AND($R870=1,OR(LG_Acct="",$G870=LG_Acct),OR(LG_Party="",$K870=LG_Party),OR(LG_Loc="ALL",$I870=LG_Loc),OR(LG_CC="ALL",$J870=LG_CC),$D870&gt;=LG_From,$D870&lt;=LG_To),$D870+ROW()/1000000,""),"")</f>
        <v/>
      </c>
      <c r="Z870" s="32">
        <f>IF($A870=1,IF(Cash_Vouchers!$O25="","",Cash_Vouchers!$O25),"")</f>
        <v/>
      </c>
      <c r="AA870" s="32">
        <f>IF($A870=1,IF(Cash_Vouchers!$P25="","",Cash_Vouchers!$P25),"")</f>
        <v/>
      </c>
      <c r="AB870" s="32">
        <f>IF($A870=1,IF(Cash_Vouchers!$Q25="","",Cash_Vouchers!$Q25),"")</f>
        <v/>
      </c>
      <c r="AC870" s="32">
        <f>IF($A870=1,IF(Cash_Vouchers!$R25="","",Cash_Vouchers!$R25),"")</f>
        <v/>
      </c>
      <c r="AD870" s="32">
        <f>IF($A870=1,IF(Cash_Vouchers!$S25="","",Cash_Vouchers!$S25),"")</f>
        <v/>
      </c>
      <c r="AE870" s="32">
        <f>IF($A870=1,0,"")</f>
        <v/>
      </c>
      <c r="AF870" s="32" t="inlineStr"/>
    </row>
    <row r="871">
      <c r="A871" s="32">
        <f>IF(AND(Cash_Vouchers!$AJ26=1,N(Cash_Vouchers!$I26)&gt;0),1,0)</f>
        <v/>
      </c>
      <c r="B871" s="32">
        <f>IF($A871=1,$E871&amp;"/1","")</f>
        <v/>
      </c>
      <c r="C871" s="32">
        <f>IF($A871=1,"J-"&amp;Cash_Vouchers!$A26,"")</f>
        <v/>
      </c>
      <c r="D871" s="33">
        <f>IF($A871=1,Cash_Vouchers!$B26,"")</f>
        <v/>
      </c>
      <c r="E871" s="32">
        <f>IF($A871=1,IF(Cash_Vouchers!$A26="","",Cash_Vouchers!$A26),"")</f>
        <v/>
      </c>
      <c r="F871" s="32">
        <f>IF($A871=1,"CV","")</f>
        <v/>
      </c>
      <c r="G871" s="32">
        <f>IF($A871=1,IF(Cash_Vouchers!$AA26="","",Cash_Vouchers!$AA26),"")</f>
        <v/>
      </c>
      <c r="H871" s="32">
        <f>IF($A871=1,IF(COUNTIF(COA!$A:$A,$G871)=0,"حساب غير معرف",INDEX(COA!$B:$B,MATCH($G871,COA!$A:$A,0))),"")</f>
        <v/>
      </c>
      <c r="I871" s="32">
        <f>IF($A871=1,IF(Cash_Vouchers!$AC26="","",Cash_Vouchers!$AC26),"")</f>
        <v/>
      </c>
      <c r="J871" s="32">
        <f>IF($A871=1,IF(Cash_Vouchers!$AE26="","",Cash_Vouchers!$AE26),"")</f>
        <v/>
      </c>
      <c r="K871" s="32">
        <f>IF($A871=1,IF(Cash_Vouchers!$AG26="","",Cash_Vouchers!$AG26),"")</f>
        <v/>
      </c>
      <c r="L871" s="32">
        <f>IF($A871=1,IF(Cash_Vouchers!$K26="",Cash_Vouchers!$C26&amp;" - "&amp;Cash_Vouchers!$H26,Cash_Vouchers!$K26),"")</f>
        <v/>
      </c>
      <c r="M871" s="43">
        <f>IF($A871=1,Cash_Vouchers!$I26,"")</f>
        <v/>
      </c>
      <c r="N871" s="43">
        <f>IF($A871=1,0,"")</f>
        <v/>
      </c>
      <c r="O871" s="32">
        <f>IF($A871=1,Cash_Vouchers!$N26,"")</f>
        <v/>
      </c>
      <c r="P871" s="32">
        <f>IF($A871=1,IF(Cash_Vouchers!$AK26="","",Cash_Vouchers!$AK26),"")</f>
        <v/>
      </c>
      <c r="Q871" s="32">
        <f>IF($A871=1,Cash_Vouchers!$AM26,"")</f>
        <v/>
      </c>
      <c r="R871" s="32">
        <f>IF($A871=1,IF(AND($Q871=1,COUNTIFS(COA!$A:$A,$G871,COA!$R:$R,1)=1),1,0),"")</f>
        <v/>
      </c>
      <c r="S871" s="43">
        <f>IF($A871=1,IF($R871=1,N($M871),0),"")</f>
        <v/>
      </c>
      <c r="T871" s="43">
        <f>IF($A871=1,IF($R871=1,N($N871),0),"")</f>
        <v/>
      </c>
      <c r="U871" s="32">
        <f>IF($A871=1,YEAR($D871)*100+MONTH($D871),"")</f>
        <v/>
      </c>
      <c r="V871" s="32">
        <f>IF($A871=1,IF(COUNTIF(COA!$A:$A,$G871)=0,0,INDEX(COA!$H:$H,MATCH($G871,COA!$A:$A,0))),"")</f>
        <v/>
      </c>
      <c r="W871" s="32">
        <f>IF($A871=1,IF(Cash_Vouchers!$AI26="","",Cash_Vouchers!$AI26),"")</f>
        <v/>
      </c>
      <c r="X871" s="32">
        <f>IF($A871=1,IF($R871=1,"",IF($O871=ST_POST,IF($P871&lt;&gt;"",$P871,"حساب غير صالح أو غير نشط"),IF($O871=ST_REV,"معكوس: لا أثر على الدفاتر",IF($O871=ST_CANC,"ملغى",IF($O871=ST_APPR,"معتمد ولم يُرحَّل","مسودة"))))),"")</f>
        <v/>
      </c>
      <c r="Y871" s="32">
        <f>IF($A871=1,IF(AND($R871=1,OR(LG_Acct="",$G871=LG_Acct),OR(LG_Party="",$K871=LG_Party),OR(LG_Loc="ALL",$I871=LG_Loc),OR(LG_CC="ALL",$J871=LG_CC),$D871&gt;=LG_From,$D871&lt;=LG_To),$D871+ROW()/1000000,""),"")</f>
        <v/>
      </c>
      <c r="Z871" s="32">
        <f>IF($A871=1,IF(Cash_Vouchers!$O26="","",Cash_Vouchers!$O26),"")</f>
        <v/>
      </c>
      <c r="AA871" s="32">
        <f>IF($A871=1,IF(Cash_Vouchers!$P26="","",Cash_Vouchers!$P26),"")</f>
        <v/>
      </c>
      <c r="AB871" s="32">
        <f>IF($A871=1,IF(Cash_Vouchers!$Q26="","",Cash_Vouchers!$Q26),"")</f>
        <v/>
      </c>
      <c r="AC871" s="32">
        <f>IF($A871=1,IF(Cash_Vouchers!$R26="","",Cash_Vouchers!$R26),"")</f>
        <v/>
      </c>
      <c r="AD871" s="32">
        <f>IF($A871=1,IF(Cash_Vouchers!$S26="","",Cash_Vouchers!$S26),"")</f>
        <v/>
      </c>
      <c r="AE871" s="32">
        <f>IF($A871=1,0,"")</f>
        <v/>
      </c>
      <c r="AF871" s="32" t="inlineStr"/>
    </row>
    <row r="872">
      <c r="A872" s="32">
        <f>IF(AND(Cash_Vouchers!$AJ26=1,N(Cash_Vouchers!$I26)&gt;0),1,0)</f>
        <v/>
      </c>
      <c r="B872" s="32">
        <f>IF($A872=1,$E872&amp;"/2","")</f>
        <v/>
      </c>
      <c r="C872" s="32">
        <f>IF($A872=1,"J-"&amp;Cash_Vouchers!$A26,"")</f>
        <v/>
      </c>
      <c r="D872" s="33">
        <f>IF($A872=1,Cash_Vouchers!$B26,"")</f>
        <v/>
      </c>
      <c r="E872" s="32">
        <f>IF($A872=1,IF(Cash_Vouchers!$A26="","",Cash_Vouchers!$A26),"")</f>
        <v/>
      </c>
      <c r="F872" s="32">
        <f>IF($A872=1,"CV","")</f>
        <v/>
      </c>
      <c r="G872" s="32">
        <f>IF($A872=1,IF(Cash_Vouchers!$AB26="","",Cash_Vouchers!$AB26),"")</f>
        <v/>
      </c>
      <c r="H872" s="32">
        <f>IF($A872=1,IF(COUNTIF(COA!$A:$A,$G872)=0,"حساب غير معرف",INDEX(COA!$B:$B,MATCH($G872,COA!$A:$A,0))),"")</f>
        <v/>
      </c>
      <c r="I872" s="32">
        <f>IF($A872=1,IF(Cash_Vouchers!$AD26="","",Cash_Vouchers!$AD26),"")</f>
        <v/>
      </c>
      <c r="J872" s="32">
        <f>IF($A872=1,IF(Cash_Vouchers!$AF26="","",Cash_Vouchers!$AF26),"")</f>
        <v/>
      </c>
      <c r="K872" s="32">
        <f>IF($A872=1,IF(Cash_Vouchers!$AH26="","",Cash_Vouchers!$AH26),"")</f>
        <v/>
      </c>
      <c r="L872" s="32">
        <f>IF($A872=1,IF(Cash_Vouchers!$K26="",Cash_Vouchers!$C26&amp;" - "&amp;Cash_Vouchers!$H26,Cash_Vouchers!$K26),"")</f>
        <v/>
      </c>
      <c r="M872" s="43">
        <f>IF($A872=1,0,"")</f>
        <v/>
      </c>
      <c r="N872" s="43">
        <f>IF($A872=1,Cash_Vouchers!$I26,"")</f>
        <v/>
      </c>
      <c r="O872" s="32">
        <f>IF($A872=1,Cash_Vouchers!$N26,"")</f>
        <v/>
      </c>
      <c r="P872" s="32">
        <f>IF($A872=1,IF(Cash_Vouchers!$AK26="","",Cash_Vouchers!$AK26),"")</f>
        <v/>
      </c>
      <c r="Q872" s="32">
        <f>IF($A872=1,Cash_Vouchers!$AM26,"")</f>
        <v/>
      </c>
      <c r="R872" s="32">
        <f>IF($A872=1,IF(AND($Q872=1,COUNTIFS(COA!$A:$A,$G872,COA!$R:$R,1)=1),1,0),"")</f>
        <v/>
      </c>
      <c r="S872" s="43">
        <f>IF($A872=1,IF($R872=1,N($M872),0),"")</f>
        <v/>
      </c>
      <c r="T872" s="43">
        <f>IF($A872=1,IF($R872=1,N($N872),0),"")</f>
        <v/>
      </c>
      <c r="U872" s="32">
        <f>IF($A872=1,YEAR($D872)*100+MONTH($D872),"")</f>
        <v/>
      </c>
      <c r="V872" s="32">
        <f>IF($A872=1,IF(COUNTIF(COA!$A:$A,$G872)=0,0,INDEX(COA!$H:$H,MATCH($G872,COA!$A:$A,0))),"")</f>
        <v/>
      </c>
      <c r="W872" s="32">
        <f>IF($A872=1,IF(Cash_Vouchers!$AI26="","",Cash_Vouchers!$AI26),"")</f>
        <v/>
      </c>
      <c r="X872" s="32">
        <f>IF($A872=1,IF($R872=1,"",IF($O872=ST_POST,IF($P872&lt;&gt;"",$P872,"حساب غير صالح أو غير نشط"),IF($O872=ST_REV,"معكوس: لا أثر على الدفاتر",IF($O872=ST_CANC,"ملغى",IF($O872=ST_APPR,"معتمد ولم يُرحَّل","مسودة"))))),"")</f>
        <v/>
      </c>
      <c r="Y872" s="32">
        <f>IF($A872=1,IF(AND($R872=1,OR(LG_Acct="",$G872=LG_Acct),OR(LG_Party="",$K872=LG_Party),OR(LG_Loc="ALL",$I872=LG_Loc),OR(LG_CC="ALL",$J872=LG_CC),$D872&gt;=LG_From,$D872&lt;=LG_To),$D872+ROW()/1000000,""),"")</f>
        <v/>
      </c>
      <c r="Z872" s="32">
        <f>IF($A872=1,IF(Cash_Vouchers!$O26="","",Cash_Vouchers!$O26),"")</f>
        <v/>
      </c>
      <c r="AA872" s="32">
        <f>IF($A872=1,IF(Cash_Vouchers!$P26="","",Cash_Vouchers!$P26),"")</f>
        <v/>
      </c>
      <c r="AB872" s="32">
        <f>IF($A872=1,IF(Cash_Vouchers!$Q26="","",Cash_Vouchers!$Q26),"")</f>
        <v/>
      </c>
      <c r="AC872" s="32">
        <f>IF($A872=1,IF(Cash_Vouchers!$R26="","",Cash_Vouchers!$R26),"")</f>
        <v/>
      </c>
      <c r="AD872" s="32">
        <f>IF($A872=1,IF(Cash_Vouchers!$S26="","",Cash_Vouchers!$S26),"")</f>
        <v/>
      </c>
      <c r="AE872" s="32">
        <f>IF($A872=1,0,"")</f>
        <v/>
      </c>
      <c r="AF872" s="32" t="inlineStr"/>
    </row>
    <row r="873">
      <c r="A873" s="32">
        <f>IF(AND(Cash_Vouchers!$AJ27=1,N(Cash_Vouchers!$I27)&gt;0),1,0)</f>
        <v/>
      </c>
      <c r="B873" s="32">
        <f>IF($A873=1,$E873&amp;"/1","")</f>
        <v/>
      </c>
      <c r="C873" s="32">
        <f>IF($A873=1,"J-"&amp;Cash_Vouchers!$A27,"")</f>
        <v/>
      </c>
      <c r="D873" s="33">
        <f>IF($A873=1,Cash_Vouchers!$B27,"")</f>
        <v/>
      </c>
      <c r="E873" s="32">
        <f>IF($A873=1,IF(Cash_Vouchers!$A27="","",Cash_Vouchers!$A27),"")</f>
        <v/>
      </c>
      <c r="F873" s="32">
        <f>IF($A873=1,"CV","")</f>
        <v/>
      </c>
      <c r="G873" s="32">
        <f>IF($A873=1,IF(Cash_Vouchers!$AA27="","",Cash_Vouchers!$AA27),"")</f>
        <v/>
      </c>
      <c r="H873" s="32">
        <f>IF($A873=1,IF(COUNTIF(COA!$A:$A,$G873)=0,"حساب غير معرف",INDEX(COA!$B:$B,MATCH($G873,COA!$A:$A,0))),"")</f>
        <v/>
      </c>
      <c r="I873" s="32">
        <f>IF($A873=1,IF(Cash_Vouchers!$AC27="","",Cash_Vouchers!$AC27),"")</f>
        <v/>
      </c>
      <c r="J873" s="32">
        <f>IF($A873=1,IF(Cash_Vouchers!$AE27="","",Cash_Vouchers!$AE27),"")</f>
        <v/>
      </c>
      <c r="K873" s="32">
        <f>IF($A873=1,IF(Cash_Vouchers!$AG27="","",Cash_Vouchers!$AG27),"")</f>
        <v/>
      </c>
      <c r="L873" s="32">
        <f>IF($A873=1,IF(Cash_Vouchers!$K27="",Cash_Vouchers!$C27&amp;" - "&amp;Cash_Vouchers!$H27,Cash_Vouchers!$K27),"")</f>
        <v/>
      </c>
      <c r="M873" s="43">
        <f>IF($A873=1,Cash_Vouchers!$I27,"")</f>
        <v/>
      </c>
      <c r="N873" s="43">
        <f>IF($A873=1,0,"")</f>
        <v/>
      </c>
      <c r="O873" s="32">
        <f>IF($A873=1,Cash_Vouchers!$N27,"")</f>
        <v/>
      </c>
      <c r="P873" s="32">
        <f>IF($A873=1,IF(Cash_Vouchers!$AK27="","",Cash_Vouchers!$AK27),"")</f>
        <v/>
      </c>
      <c r="Q873" s="32">
        <f>IF($A873=1,Cash_Vouchers!$AM27,"")</f>
        <v/>
      </c>
      <c r="R873" s="32">
        <f>IF($A873=1,IF(AND($Q873=1,COUNTIFS(COA!$A:$A,$G873,COA!$R:$R,1)=1),1,0),"")</f>
        <v/>
      </c>
      <c r="S873" s="43">
        <f>IF($A873=1,IF($R873=1,N($M873),0),"")</f>
        <v/>
      </c>
      <c r="T873" s="43">
        <f>IF($A873=1,IF($R873=1,N($N873),0),"")</f>
        <v/>
      </c>
      <c r="U873" s="32">
        <f>IF($A873=1,YEAR($D873)*100+MONTH($D873),"")</f>
        <v/>
      </c>
      <c r="V873" s="32">
        <f>IF($A873=1,IF(COUNTIF(COA!$A:$A,$G873)=0,0,INDEX(COA!$H:$H,MATCH($G873,COA!$A:$A,0))),"")</f>
        <v/>
      </c>
      <c r="W873" s="32">
        <f>IF($A873=1,IF(Cash_Vouchers!$AI27="","",Cash_Vouchers!$AI27),"")</f>
        <v/>
      </c>
      <c r="X873" s="32">
        <f>IF($A873=1,IF($R873=1,"",IF($O873=ST_POST,IF($P873&lt;&gt;"",$P873,"حساب غير صالح أو غير نشط"),IF($O873=ST_REV,"معكوس: لا أثر على الدفاتر",IF($O873=ST_CANC,"ملغى",IF($O873=ST_APPR,"معتمد ولم يُرحَّل","مسودة"))))),"")</f>
        <v/>
      </c>
      <c r="Y873" s="32">
        <f>IF($A873=1,IF(AND($R873=1,OR(LG_Acct="",$G873=LG_Acct),OR(LG_Party="",$K873=LG_Party),OR(LG_Loc="ALL",$I873=LG_Loc),OR(LG_CC="ALL",$J873=LG_CC),$D873&gt;=LG_From,$D873&lt;=LG_To),$D873+ROW()/1000000,""),"")</f>
        <v/>
      </c>
      <c r="Z873" s="32">
        <f>IF($A873=1,IF(Cash_Vouchers!$O27="","",Cash_Vouchers!$O27),"")</f>
        <v/>
      </c>
      <c r="AA873" s="32">
        <f>IF($A873=1,IF(Cash_Vouchers!$P27="","",Cash_Vouchers!$P27),"")</f>
        <v/>
      </c>
      <c r="AB873" s="32">
        <f>IF($A873=1,IF(Cash_Vouchers!$Q27="","",Cash_Vouchers!$Q27),"")</f>
        <v/>
      </c>
      <c r="AC873" s="32">
        <f>IF($A873=1,IF(Cash_Vouchers!$R27="","",Cash_Vouchers!$R27),"")</f>
        <v/>
      </c>
      <c r="AD873" s="32">
        <f>IF($A873=1,IF(Cash_Vouchers!$S27="","",Cash_Vouchers!$S27),"")</f>
        <v/>
      </c>
      <c r="AE873" s="32">
        <f>IF($A873=1,0,"")</f>
        <v/>
      </c>
      <c r="AF873" s="32" t="inlineStr"/>
    </row>
    <row r="874">
      <c r="A874" s="32">
        <f>IF(AND(Cash_Vouchers!$AJ27=1,N(Cash_Vouchers!$I27)&gt;0),1,0)</f>
        <v/>
      </c>
      <c r="B874" s="32">
        <f>IF($A874=1,$E874&amp;"/2","")</f>
        <v/>
      </c>
      <c r="C874" s="32">
        <f>IF($A874=1,"J-"&amp;Cash_Vouchers!$A27,"")</f>
        <v/>
      </c>
      <c r="D874" s="33">
        <f>IF($A874=1,Cash_Vouchers!$B27,"")</f>
        <v/>
      </c>
      <c r="E874" s="32">
        <f>IF($A874=1,IF(Cash_Vouchers!$A27="","",Cash_Vouchers!$A27),"")</f>
        <v/>
      </c>
      <c r="F874" s="32">
        <f>IF($A874=1,"CV","")</f>
        <v/>
      </c>
      <c r="G874" s="32">
        <f>IF($A874=1,IF(Cash_Vouchers!$AB27="","",Cash_Vouchers!$AB27),"")</f>
        <v/>
      </c>
      <c r="H874" s="32">
        <f>IF($A874=1,IF(COUNTIF(COA!$A:$A,$G874)=0,"حساب غير معرف",INDEX(COA!$B:$B,MATCH($G874,COA!$A:$A,0))),"")</f>
        <v/>
      </c>
      <c r="I874" s="32">
        <f>IF($A874=1,IF(Cash_Vouchers!$AD27="","",Cash_Vouchers!$AD27),"")</f>
        <v/>
      </c>
      <c r="J874" s="32">
        <f>IF($A874=1,IF(Cash_Vouchers!$AF27="","",Cash_Vouchers!$AF27),"")</f>
        <v/>
      </c>
      <c r="K874" s="32">
        <f>IF($A874=1,IF(Cash_Vouchers!$AH27="","",Cash_Vouchers!$AH27),"")</f>
        <v/>
      </c>
      <c r="L874" s="32">
        <f>IF($A874=1,IF(Cash_Vouchers!$K27="",Cash_Vouchers!$C27&amp;" - "&amp;Cash_Vouchers!$H27,Cash_Vouchers!$K27),"")</f>
        <v/>
      </c>
      <c r="M874" s="43">
        <f>IF($A874=1,0,"")</f>
        <v/>
      </c>
      <c r="N874" s="43">
        <f>IF($A874=1,Cash_Vouchers!$I27,"")</f>
        <v/>
      </c>
      <c r="O874" s="32">
        <f>IF($A874=1,Cash_Vouchers!$N27,"")</f>
        <v/>
      </c>
      <c r="P874" s="32">
        <f>IF($A874=1,IF(Cash_Vouchers!$AK27="","",Cash_Vouchers!$AK27),"")</f>
        <v/>
      </c>
      <c r="Q874" s="32">
        <f>IF($A874=1,Cash_Vouchers!$AM27,"")</f>
        <v/>
      </c>
      <c r="R874" s="32">
        <f>IF($A874=1,IF(AND($Q874=1,COUNTIFS(COA!$A:$A,$G874,COA!$R:$R,1)=1),1,0),"")</f>
        <v/>
      </c>
      <c r="S874" s="43">
        <f>IF($A874=1,IF($R874=1,N($M874),0),"")</f>
        <v/>
      </c>
      <c r="T874" s="43">
        <f>IF($A874=1,IF($R874=1,N($N874),0),"")</f>
        <v/>
      </c>
      <c r="U874" s="32">
        <f>IF($A874=1,YEAR($D874)*100+MONTH($D874),"")</f>
        <v/>
      </c>
      <c r="V874" s="32">
        <f>IF($A874=1,IF(COUNTIF(COA!$A:$A,$G874)=0,0,INDEX(COA!$H:$H,MATCH($G874,COA!$A:$A,0))),"")</f>
        <v/>
      </c>
      <c r="W874" s="32">
        <f>IF($A874=1,IF(Cash_Vouchers!$AI27="","",Cash_Vouchers!$AI27),"")</f>
        <v/>
      </c>
      <c r="X874" s="32">
        <f>IF($A874=1,IF($R874=1,"",IF($O874=ST_POST,IF($P874&lt;&gt;"",$P874,"حساب غير صالح أو غير نشط"),IF($O874=ST_REV,"معكوس: لا أثر على الدفاتر",IF($O874=ST_CANC,"ملغى",IF($O874=ST_APPR,"معتمد ولم يُرحَّل","مسودة"))))),"")</f>
        <v/>
      </c>
      <c r="Y874" s="32">
        <f>IF($A874=1,IF(AND($R874=1,OR(LG_Acct="",$G874=LG_Acct),OR(LG_Party="",$K874=LG_Party),OR(LG_Loc="ALL",$I874=LG_Loc),OR(LG_CC="ALL",$J874=LG_CC),$D874&gt;=LG_From,$D874&lt;=LG_To),$D874+ROW()/1000000,""),"")</f>
        <v/>
      </c>
      <c r="Z874" s="32">
        <f>IF($A874=1,IF(Cash_Vouchers!$O27="","",Cash_Vouchers!$O27),"")</f>
        <v/>
      </c>
      <c r="AA874" s="32">
        <f>IF($A874=1,IF(Cash_Vouchers!$P27="","",Cash_Vouchers!$P27),"")</f>
        <v/>
      </c>
      <c r="AB874" s="32">
        <f>IF($A874=1,IF(Cash_Vouchers!$Q27="","",Cash_Vouchers!$Q27),"")</f>
        <v/>
      </c>
      <c r="AC874" s="32">
        <f>IF($A874=1,IF(Cash_Vouchers!$R27="","",Cash_Vouchers!$R27),"")</f>
        <v/>
      </c>
      <c r="AD874" s="32">
        <f>IF($A874=1,IF(Cash_Vouchers!$S27="","",Cash_Vouchers!$S27),"")</f>
        <v/>
      </c>
      <c r="AE874" s="32">
        <f>IF($A874=1,0,"")</f>
        <v/>
      </c>
      <c r="AF874" s="32" t="inlineStr"/>
    </row>
    <row r="875">
      <c r="A875" s="32">
        <f>IF(AND(Cash_Vouchers!$AJ28=1,N(Cash_Vouchers!$I28)&gt;0),1,0)</f>
        <v/>
      </c>
      <c r="B875" s="32">
        <f>IF($A875=1,$E875&amp;"/1","")</f>
        <v/>
      </c>
      <c r="C875" s="32">
        <f>IF($A875=1,"J-"&amp;Cash_Vouchers!$A28,"")</f>
        <v/>
      </c>
      <c r="D875" s="33">
        <f>IF($A875=1,Cash_Vouchers!$B28,"")</f>
        <v/>
      </c>
      <c r="E875" s="32">
        <f>IF($A875=1,IF(Cash_Vouchers!$A28="","",Cash_Vouchers!$A28),"")</f>
        <v/>
      </c>
      <c r="F875" s="32">
        <f>IF($A875=1,"CV","")</f>
        <v/>
      </c>
      <c r="G875" s="32">
        <f>IF($A875=1,IF(Cash_Vouchers!$AA28="","",Cash_Vouchers!$AA28),"")</f>
        <v/>
      </c>
      <c r="H875" s="32">
        <f>IF($A875=1,IF(COUNTIF(COA!$A:$A,$G875)=0,"حساب غير معرف",INDEX(COA!$B:$B,MATCH($G875,COA!$A:$A,0))),"")</f>
        <v/>
      </c>
      <c r="I875" s="32">
        <f>IF($A875=1,IF(Cash_Vouchers!$AC28="","",Cash_Vouchers!$AC28),"")</f>
        <v/>
      </c>
      <c r="J875" s="32">
        <f>IF($A875=1,IF(Cash_Vouchers!$AE28="","",Cash_Vouchers!$AE28),"")</f>
        <v/>
      </c>
      <c r="K875" s="32">
        <f>IF($A875=1,IF(Cash_Vouchers!$AG28="","",Cash_Vouchers!$AG28),"")</f>
        <v/>
      </c>
      <c r="L875" s="32">
        <f>IF($A875=1,IF(Cash_Vouchers!$K28="",Cash_Vouchers!$C28&amp;" - "&amp;Cash_Vouchers!$H28,Cash_Vouchers!$K28),"")</f>
        <v/>
      </c>
      <c r="M875" s="43">
        <f>IF($A875=1,Cash_Vouchers!$I28,"")</f>
        <v/>
      </c>
      <c r="N875" s="43">
        <f>IF($A875=1,0,"")</f>
        <v/>
      </c>
      <c r="O875" s="32">
        <f>IF($A875=1,Cash_Vouchers!$N28,"")</f>
        <v/>
      </c>
      <c r="P875" s="32">
        <f>IF($A875=1,IF(Cash_Vouchers!$AK28="","",Cash_Vouchers!$AK28),"")</f>
        <v/>
      </c>
      <c r="Q875" s="32">
        <f>IF($A875=1,Cash_Vouchers!$AM28,"")</f>
        <v/>
      </c>
      <c r="R875" s="32">
        <f>IF($A875=1,IF(AND($Q875=1,COUNTIFS(COA!$A:$A,$G875,COA!$R:$R,1)=1),1,0),"")</f>
        <v/>
      </c>
      <c r="S875" s="43">
        <f>IF($A875=1,IF($R875=1,N($M875),0),"")</f>
        <v/>
      </c>
      <c r="T875" s="43">
        <f>IF($A875=1,IF($R875=1,N($N875),0),"")</f>
        <v/>
      </c>
      <c r="U875" s="32">
        <f>IF($A875=1,YEAR($D875)*100+MONTH($D875),"")</f>
        <v/>
      </c>
      <c r="V875" s="32">
        <f>IF($A875=1,IF(COUNTIF(COA!$A:$A,$G875)=0,0,INDEX(COA!$H:$H,MATCH($G875,COA!$A:$A,0))),"")</f>
        <v/>
      </c>
      <c r="W875" s="32">
        <f>IF($A875=1,IF(Cash_Vouchers!$AI28="","",Cash_Vouchers!$AI28),"")</f>
        <v/>
      </c>
      <c r="X875" s="32">
        <f>IF($A875=1,IF($R875=1,"",IF($O875=ST_POST,IF($P875&lt;&gt;"",$P875,"حساب غير صالح أو غير نشط"),IF($O875=ST_REV,"معكوس: لا أثر على الدفاتر",IF($O875=ST_CANC,"ملغى",IF($O875=ST_APPR,"معتمد ولم يُرحَّل","مسودة"))))),"")</f>
        <v/>
      </c>
      <c r="Y875" s="32">
        <f>IF($A875=1,IF(AND($R875=1,OR(LG_Acct="",$G875=LG_Acct),OR(LG_Party="",$K875=LG_Party),OR(LG_Loc="ALL",$I875=LG_Loc),OR(LG_CC="ALL",$J875=LG_CC),$D875&gt;=LG_From,$D875&lt;=LG_To),$D875+ROW()/1000000,""),"")</f>
        <v/>
      </c>
      <c r="Z875" s="32">
        <f>IF($A875=1,IF(Cash_Vouchers!$O28="","",Cash_Vouchers!$O28),"")</f>
        <v/>
      </c>
      <c r="AA875" s="32">
        <f>IF($A875=1,IF(Cash_Vouchers!$P28="","",Cash_Vouchers!$P28),"")</f>
        <v/>
      </c>
      <c r="AB875" s="32">
        <f>IF($A875=1,IF(Cash_Vouchers!$Q28="","",Cash_Vouchers!$Q28),"")</f>
        <v/>
      </c>
      <c r="AC875" s="32">
        <f>IF($A875=1,IF(Cash_Vouchers!$R28="","",Cash_Vouchers!$R28),"")</f>
        <v/>
      </c>
      <c r="AD875" s="32">
        <f>IF($A875=1,IF(Cash_Vouchers!$S28="","",Cash_Vouchers!$S28),"")</f>
        <v/>
      </c>
      <c r="AE875" s="32">
        <f>IF($A875=1,0,"")</f>
        <v/>
      </c>
      <c r="AF875" s="32" t="inlineStr"/>
    </row>
    <row r="876">
      <c r="A876" s="32">
        <f>IF(AND(Cash_Vouchers!$AJ28=1,N(Cash_Vouchers!$I28)&gt;0),1,0)</f>
        <v/>
      </c>
      <c r="B876" s="32">
        <f>IF($A876=1,$E876&amp;"/2","")</f>
        <v/>
      </c>
      <c r="C876" s="32">
        <f>IF($A876=1,"J-"&amp;Cash_Vouchers!$A28,"")</f>
        <v/>
      </c>
      <c r="D876" s="33">
        <f>IF($A876=1,Cash_Vouchers!$B28,"")</f>
        <v/>
      </c>
      <c r="E876" s="32">
        <f>IF($A876=1,IF(Cash_Vouchers!$A28="","",Cash_Vouchers!$A28),"")</f>
        <v/>
      </c>
      <c r="F876" s="32">
        <f>IF($A876=1,"CV","")</f>
        <v/>
      </c>
      <c r="G876" s="32">
        <f>IF($A876=1,IF(Cash_Vouchers!$AB28="","",Cash_Vouchers!$AB28),"")</f>
        <v/>
      </c>
      <c r="H876" s="32">
        <f>IF($A876=1,IF(COUNTIF(COA!$A:$A,$G876)=0,"حساب غير معرف",INDEX(COA!$B:$B,MATCH($G876,COA!$A:$A,0))),"")</f>
        <v/>
      </c>
      <c r="I876" s="32">
        <f>IF($A876=1,IF(Cash_Vouchers!$AD28="","",Cash_Vouchers!$AD28),"")</f>
        <v/>
      </c>
      <c r="J876" s="32">
        <f>IF($A876=1,IF(Cash_Vouchers!$AF28="","",Cash_Vouchers!$AF28),"")</f>
        <v/>
      </c>
      <c r="K876" s="32">
        <f>IF($A876=1,IF(Cash_Vouchers!$AH28="","",Cash_Vouchers!$AH28),"")</f>
        <v/>
      </c>
      <c r="L876" s="32">
        <f>IF($A876=1,IF(Cash_Vouchers!$K28="",Cash_Vouchers!$C28&amp;" - "&amp;Cash_Vouchers!$H28,Cash_Vouchers!$K28),"")</f>
        <v/>
      </c>
      <c r="M876" s="43">
        <f>IF($A876=1,0,"")</f>
        <v/>
      </c>
      <c r="N876" s="43">
        <f>IF($A876=1,Cash_Vouchers!$I28,"")</f>
        <v/>
      </c>
      <c r="O876" s="32">
        <f>IF($A876=1,Cash_Vouchers!$N28,"")</f>
        <v/>
      </c>
      <c r="P876" s="32">
        <f>IF($A876=1,IF(Cash_Vouchers!$AK28="","",Cash_Vouchers!$AK28),"")</f>
        <v/>
      </c>
      <c r="Q876" s="32">
        <f>IF($A876=1,Cash_Vouchers!$AM28,"")</f>
        <v/>
      </c>
      <c r="R876" s="32">
        <f>IF($A876=1,IF(AND($Q876=1,COUNTIFS(COA!$A:$A,$G876,COA!$R:$R,1)=1),1,0),"")</f>
        <v/>
      </c>
      <c r="S876" s="43">
        <f>IF($A876=1,IF($R876=1,N($M876),0),"")</f>
        <v/>
      </c>
      <c r="T876" s="43">
        <f>IF($A876=1,IF($R876=1,N($N876),0),"")</f>
        <v/>
      </c>
      <c r="U876" s="32">
        <f>IF($A876=1,YEAR($D876)*100+MONTH($D876),"")</f>
        <v/>
      </c>
      <c r="V876" s="32">
        <f>IF($A876=1,IF(COUNTIF(COA!$A:$A,$G876)=0,0,INDEX(COA!$H:$H,MATCH($G876,COA!$A:$A,0))),"")</f>
        <v/>
      </c>
      <c r="W876" s="32">
        <f>IF($A876=1,IF(Cash_Vouchers!$AI28="","",Cash_Vouchers!$AI28),"")</f>
        <v/>
      </c>
      <c r="X876" s="32">
        <f>IF($A876=1,IF($R876=1,"",IF($O876=ST_POST,IF($P876&lt;&gt;"",$P876,"حساب غير صالح أو غير نشط"),IF($O876=ST_REV,"معكوس: لا أثر على الدفاتر",IF($O876=ST_CANC,"ملغى",IF($O876=ST_APPR,"معتمد ولم يُرحَّل","مسودة"))))),"")</f>
        <v/>
      </c>
      <c r="Y876" s="32">
        <f>IF($A876=1,IF(AND($R876=1,OR(LG_Acct="",$G876=LG_Acct),OR(LG_Party="",$K876=LG_Party),OR(LG_Loc="ALL",$I876=LG_Loc),OR(LG_CC="ALL",$J876=LG_CC),$D876&gt;=LG_From,$D876&lt;=LG_To),$D876+ROW()/1000000,""),"")</f>
        <v/>
      </c>
      <c r="Z876" s="32">
        <f>IF($A876=1,IF(Cash_Vouchers!$O28="","",Cash_Vouchers!$O28),"")</f>
        <v/>
      </c>
      <c r="AA876" s="32">
        <f>IF($A876=1,IF(Cash_Vouchers!$P28="","",Cash_Vouchers!$P28),"")</f>
        <v/>
      </c>
      <c r="AB876" s="32">
        <f>IF($A876=1,IF(Cash_Vouchers!$Q28="","",Cash_Vouchers!$Q28),"")</f>
        <v/>
      </c>
      <c r="AC876" s="32">
        <f>IF($A876=1,IF(Cash_Vouchers!$R28="","",Cash_Vouchers!$R28),"")</f>
        <v/>
      </c>
      <c r="AD876" s="32">
        <f>IF($A876=1,IF(Cash_Vouchers!$S28="","",Cash_Vouchers!$S28),"")</f>
        <v/>
      </c>
      <c r="AE876" s="32">
        <f>IF($A876=1,0,"")</f>
        <v/>
      </c>
      <c r="AF876" s="32" t="inlineStr"/>
    </row>
    <row r="877">
      <c r="A877" s="32">
        <f>IF(AND(Cash_Vouchers!$AJ29=1,N(Cash_Vouchers!$I29)&gt;0),1,0)</f>
        <v/>
      </c>
      <c r="B877" s="32">
        <f>IF($A877=1,$E877&amp;"/1","")</f>
        <v/>
      </c>
      <c r="C877" s="32">
        <f>IF($A877=1,"J-"&amp;Cash_Vouchers!$A29,"")</f>
        <v/>
      </c>
      <c r="D877" s="33">
        <f>IF($A877=1,Cash_Vouchers!$B29,"")</f>
        <v/>
      </c>
      <c r="E877" s="32">
        <f>IF($A877=1,IF(Cash_Vouchers!$A29="","",Cash_Vouchers!$A29),"")</f>
        <v/>
      </c>
      <c r="F877" s="32">
        <f>IF($A877=1,"CV","")</f>
        <v/>
      </c>
      <c r="G877" s="32">
        <f>IF($A877=1,IF(Cash_Vouchers!$AA29="","",Cash_Vouchers!$AA29),"")</f>
        <v/>
      </c>
      <c r="H877" s="32">
        <f>IF($A877=1,IF(COUNTIF(COA!$A:$A,$G877)=0,"حساب غير معرف",INDEX(COA!$B:$B,MATCH($G877,COA!$A:$A,0))),"")</f>
        <v/>
      </c>
      <c r="I877" s="32">
        <f>IF($A877=1,IF(Cash_Vouchers!$AC29="","",Cash_Vouchers!$AC29),"")</f>
        <v/>
      </c>
      <c r="J877" s="32">
        <f>IF($A877=1,IF(Cash_Vouchers!$AE29="","",Cash_Vouchers!$AE29),"")</f>
        <v/>
      </c>
      <c r="K877" s="32">
        <f>IF($A877=1,IF(Cash_Vouchers!$AG29="","",Cash_Vouchers!$AG29),"")</f>
        <v/>
      </c>
      <c r="L877" s="32">
        <f>IF($A877=1,IF(Cash_Vouchers!$K29="",Cash_Vouchers!$C29&amp;" - "&amp;Cash_Vouchers!$H29,Cash_Vouchers!$K29),"")</f>
        <v/>
      </c>
      <c r="M877" s="43">
        <f>IF($A877=1,Cash_Vouchers!$I29,"")</f>
        <v/>
      </c>
      <c r="N877" s="43">
        <f>IF($A877=1,0,"")</f>
        <v/>
      </c>
      <c r="O877" s="32">
        <f>IF($A877=1,Cash_Vouchers!$N29,"")</f>
        <v/>
      </c>
      <c r="P877" s="32">
        <f>IF($A877=1,IF(Cash_Vouchers!$AK29="","",Cash_Vouchers!$AK29),"")</f>
        <v/>
      </c>
      <c r="Q877" s="32">
        <f>IF($A877=1,Cash_Vouchers!$AM29,"")</f>
        <v/>
      </c>
      <c r="R877" s="32">
        <f>IF($A877=1,IF(AND($Q877=1,COUNTIFS(COA!$A:$A,$G877,COA!$R:$R,1)=1),1,0),"")</f>
        <v/>
      </c>
      <c r="S877" s="43">
        <f>IF($A877=1,IF($R877=1,N($M877),0),"")</f>
        <v/>
      </c>
      <c r="T877" s="43">
        <f>IF($A877=1,IF($R877=1,N($N877),0),"")</f>
        <v/>
      </c>
      <c r="U877" s="32">
        <f>IF($A877=1,YEAR($D877)*100+MONTH($D877),"")</f>
        <v/>
      </c>
      <c r="V877" s="32">
        <f>IF($A877=1,IF(COUNTIF(COA!$A:$A,$G877)=0,0,INDEX(COA!$H:$H,MATCH($G877,COA!$A:$A,0))),"")</f>
        <v/>
      </c>
      <c r="W877" s="32">
        <f>IF($A877=1,IF(Cash_Vouchers!$AI29="","",Cash_Vouchers!$AI29),"")</f>
        <v/>
      </c>
      <c r="X877" s="32">
        <f>IF($A877=1,IF($R877=1,"",IF($O877=ST_POST,IF($P877&lt;&gt;"",$P877,"حساب غير صالح أو غير نشط"),IF($O877=ST_REV,"معكوس: لا أثر على الدفاتر",IF($O877=ST_CANC,"ملغى",IF($O877=ST_APPR,"معتمد ولم يُرحَّل","مسودة"))))),"")</f>
        <v/>
      </c>
      <c r="Y877" s="32">
        <f>IF($A877=1,IF(AND($R877=1,OR(LG_Acct="",$G877=LG_Acct),OR(LG_Party="",$K877=LG_Party),OR(LG_Loc="ALL",$I877=LG_Loc),OR(LG_CC="ALL",$J877=LG_CC),$D877&gt;=LG_From,$D877&lt;=LG_To),$D877+ROW()/1000000,""),"")</f>
        <v/>
      </c>
      <c r="Z877" s="32">
        <f>IF($A877=1,IF(Cash_Vouchers!$O29="","",Cash_Vouchers!$O29),"")</f>
        <v/>
      </c>
      <c r="AA877" s="32">
        <f>IF($A877=1,IF(Cash_Vouchers!$P29="","",Cash_Vouchers!$P29),"")</f>
        <v/>
      </c>
      <c r="AB877" s="32">
        <f>IF($A877=1,IF(Cash_Vouchers!$Q29="","",Cash_Vouchers!$Q29),"")</f>
        <v/>
      </c>
      <c r="AC877" s="32">
        <f>IF($A877=1,IF(Cash_Vouchers!$R29="","",Cash_Vouchers!$R29),"")</f>
        <v/>
      </c>
      <c r="AD877" s="32">
        <f>IF($A877=1,IF(Cash_Vouchers!$S29="","",Cash_Vouchers!$S29),"")</f>
        <v/>
      </c>
      <c r="AE877" s="32">
        <f>IF($A877=1,0,"")</f>
        <v/>
      </c>
      <c r="AF877" s="32" t="inlineStr"/>
    </row>
    <row r="878">
      <c r="A878" s="32">
        <f>IF(AND(Cash_Vouchers!$AJ29=1,N(Cash_Vouchers!$I29)&gt;0),1,0)</f>
        <v/>
      </c>
      <c r="B878" s="32">
        <f>IF($A878=1,$E878&amp;"/2","")</f>
        <v/>
      </c>
      <c r="C878" s="32">
        <f>IF($A878=1,"J-"&amp;Cash_Vouchers!$A29,"")</f>
        <v/>
      </c>
      <c r="D878" s="33">
        <f>IF($A878=1,Cash_Vouchers!$B29,"")</f>
        <v/>
      </c>
      <c r="E878" s="32">
        <f>IF($A878=1,IF(Cash_Vouchers!$A29="","",Cash_Vouchers!$A29),"")</f>
        <v/>
      </c>
      <c r="F878" s="32">
        <f>IF($A878=1,"CV","")</f>
        <v/>
      </c>
      <c r="G878" s="32">
        <f>IF($A878=1,IF(Cash_Vouchers!$AB29="","",Cash_Vouchers!$AB29),"")</f>
        <v/>
      </c>
      <c r="H878" s="32">
        <f>IF($A878=1,IF(COUNTIF(COA!$A:$A,$G878)=0,"حساب غير معرف",INDEX(COA!$B:$B,MATCH($G878,COA!$A:$A,0))),"")</f>
        <v/>
      </c>
      <c r="I878" s="32">
        <f>IF($A878=1,IF(Cash_Vouchers!$AD29="","",Cash_Vouchers!$AD29),"")</f>
        <v/>
      </c>
      <c r="J878" s="32">
        <f>IF($A878=1,IF(Cash_Vouchers!$AF29="","",Cash_Vouchers!$AF29),"")</f>
        <v/>
      </c>
      <c r="K878" s="32">
        <f>IF($A878=1,IF(Cash_Vouchers!$AH29="","",Cash_Vouchers!$AH29),"")</f>
        <v/>
      </c>
      <c r="L878" s="32">
        <f>IF($A878=1,IF(Cash_Vouchers!$K29="",Cash_Vouchers!$C29&amp;" - "&amp;Cash_Vouchers!$H29,Cash_Vouchers!$K29),"")</f>
        <v/>
      </c>
      <c r="M878" s="43">
        <f>IF($A878=1,0,"")</f>
        <v/>
      </c>
      <c r="N878" s="43">
        <f>IF($A878=1,Cash_Vouchers!$I29,"")</f>
        <v/>
      </c>
      <c r="O878" s="32">
        <f>IF($A878=1,Cash_Vouchers!$N29,"")</f>
        <v/>
      </c>
      <c r="P878" s="32">
        <f>IF($A878=1,IF(Cash_Vouchers!$AK29="","",Cash_Vouchers!$AK29),"")</f>
        <v/>
      </c>
      <c r="Q878" s="32">
        <f>IF($A878=1,Cash_Vouchers!$AM29,"")</f>
        <v/>
      </c>
      <c r="R878" s="32">
        <f>IF($A878=1,IF(AND($Q878=1,COUNTIFS(COA!$A:$A,$G878,COA!$R:$R,1)=1),1,0),"")</f>
        <v/>
      </c>
      <c r="S878" s="43">
        <f>IF($A878=1,IF($R878=1,N($M878),0),"")</f>
        <v/>
      </c>
      <c r="T878" s="43">
        <f>IF($A878=1,IF($R878=1,N($N878),0),"")</f>
        <v/>
      </c>
      <c r="U878" s="32">
        <f>IF($A878=1,YEAR($D878)*100+MONTH($D878),"")</f>
        <v/>
      </c>
      <c r="V878" s="32">
        <f>IF($A878=1,IF(COUNTIF(COA!$A:$A,$G878)=0,0,INDEX(COA!$H:$H,MATCH($G878,COA!$A:$A,0))),"")</f>
        <v/>
      </c>
      <c r="W878" s="32">
        <f>IF($A878=1,IF(Cash_Vouchers!$AI29="","",Cash_Vouchers!$AI29),"")</f>
        <v/>
      </c>
      <c r="X878" s="32">
        <f>IF($A878=1,IF($R878=1,"",IF($O878=ST_POST,IF($P878&lt;&gt;"",$P878,"حساب غير صالح أو غير نشط"),IF($O878=ST_REV,"معكوس: لا أثر على الدفاتر",IF($O878=ST_CANC,"ملغى",IF($O878=ST_APPR,"معتمد ولم يُرحَّل","مسودة"))))),"")</f>
        <v/>
      </c>
      <c r="Y878" s="32">
        <f>IF($A878=1,IF(AND($R878=1,OR(LG_Acct="",$G878=LG_Acct),OR(LG_Party="",$K878=LG_Party),OR(LG_Loc="ALL",$I878=LG_Loc),OR(LG_CC="ALL",$J878=LG_CC),$D878&gt;=LG_From,$D878&lt;=LG_To),$D878+ROW()/1000000,""),"")</f>
        <v/>
      </c>
      <c r="Z878" s="32">
        <f>IF($A878=1,IF(Cash_Vouchers!$O29="","",Cash_Vouchers!$O29),"")</f>
        <v/>
      </c>
      <c r="AA878" s="32">
        <f>IF($A878=1,IF(Cash_Vouchers!$P29="","",Cash_Vouchers!$P29),"")</f>
        <v/>
      </c>
      <c r="AB878" s="32">
        <f>IF($A878=1,IF(Cash_Vouchers!$Q29="","",Cash_Vouchers!$Q29),"")</f>
        <v/>
      </c>
      <c r="AC878" s="32">
        <f>IF($A878=1,IF(Cash_Vouchers!$R29="","",Cash_Vouchers!$R29),"")</f>
        <v/>
      </c>
      <c r="AD878" s="32">
        <f>IF($A878=1,IF(Cash_Vouchers!$S29="","",Cash_Vouchers!$S29),"")</f>
        <v/>
      </c>
      <c r="AE878" s="32">
        <f>IF($A878=1,0,"")</f>
        <v/>
      </c>
      <c r="AF878" s="32" t="inlineStr"/>
    </row>
    <row r="879">
      <c r="A879" s="32">
        <f>IF(AND(Cash_Vouchers!$AJ30=1,N(Cash_Vouchers!$I30)&gt;0),1,0)</f>
        <v/>
      </c>
      <c r="B879" s="32">
        <f>IF($A879=1,$E879&amp;"/1","")</f>
        <v/>
      </c>
      <c r="C879" s="32">
        <f>IF($A879=1,"J-"&amp;Cash_Vouchers!$A30,"")</f>
        <v/>
      </c>
      <c r="D879" s="33">
        <f>IF($A879=1,Cash_Vouchers!$B30,"")</f>
        <v/>
      </c>
      <c r="E879" s="32">
        <f>IF($A879=1,IF(Cash_Vouchers!$A30="","",Cash_Vouchers!$A30),"")</f>
        <v/>
      </c>
      <c r="F879" s="32">
        <f>IF($A879=1,"CV","")</f>
        <v/>
      </c>
      <c r="G879" s="32">
        <f>IF($A879=1,IF(Cash_Vouchers!$AA30="","",Cash_Vouchers!$AA30),"")</f>
        <v/>
      </c>
      <c r="H879" s="32">
        <f>IF($A879=1,IF(COUNTIF(COA!$A:$A,$G879)=0,"حساب غير معرف",INDEX(COA!$B:$B,MATCH($G879,COA!$A:$A,0))),"")</f>
        <v/>
      </c>
      <c r="I879" s="32">
        <f>IF($A879=1,IF(Cash_Vouchers!$AC30="","",Cash_Vouchers!$AC30),"")</f>
        <v/>
      </c>
      <c r="J879" s="32">
        <f>IF($A879=1,IF(Cash_Vouchers!$AE30="","",Cash_Vouchers!$AE30),"")</f>
        <v/>
      </c>
      <c r="K879" s="32">
        <f>IF($A879=1,IF(Cash_Vouchers!$AG30="","",Cash_Vouchers!$AG30),"")</f>
        <v/>
      </c>
      <c r="L879" s="32">
        <f>IF($A879=1,IF(Cash_Vouchers!$K30="",Cash_Vouchers!$C30&amp;" - "&amp;Cash_Vouchers!$H30,Cash_Vouchers!$K30),"")</f>
        <v/>
      </c>
      <c r="M879" s="43">
        <f>IF($A879=1,Cash_Vouchers!$I30,"")</f>
        <v/>
      </c>
      <c r="N879" s="43">
        <f>IF($A879=1,0,"")</f>
        <v/>
      </c>
      <c r="O879" s="32">
        <f>IF($A879=1,Cash_Vouchers!$N30,"")</f>
        <v/>
      </c>
      <c r="P879" s="32">
        <f>IF($A879=1,IF(Cash_Vouchers!$AK30="","",Cash_Vouchers!$AK30),"")</f>
        <v/>
      </c>
      <c r="Q879" s="32">
        <f>IF($A879=1,Cash_Vouchers!$AM30,"")</f>
        <v/>
      </c>
      <c r="R879" s="32">
        <f>IF($A879=1,IF(AND($Q879=1,COUNTIFS(COA!$A:$A,$G879,COA!$R:$R,1)=1),1,0),"")</f>
        <v/>
      </c>
      <c r="S879" s="43">
        <f>IF($A879=1,IF($R879=1,N($M879),0),"")</f>
        <v/>
      </c>
      <c r="T879" s="43">
        <f>IF($A879=1,IF($R879=1,N($N879),0),"")</f>
        <v/>
      </c>
      <c r="U879" s="32">
        <f>IF($A879=1,YEAR($D879)*100+MONTH($D879),"")</f>
        <v/>
      </c>
      <c r="V879" s="32">
        <f>IF($A879=1,IF(COUNTIF(COA!$A:$A,$G879)=0,0,INDEX(COA!$H:$H,MATCH($G879,COA!$A:$A,0))),"")</f>
        <v/>
      </c>
      <c r="W879" s="32">
        <f>IF($A879=1,IF(Cash_Vouchers!$AI30="","",Cash_Vouchers!$AI30),"")</f>
        <v/>
      </c>
      <c r="X879" s="32">
        <f>IF($A879=1,IF($R879=1,"",IF($O879=ST_POST,IF($P879&lt;&gt;"",$P879,"حساب غير صالح أو غير نشط"),IF($O879=ST_REV,"معكوس: لا أثر على الدفاتر",IF($O879=ST_CANC,"ملغى",IF($O879=ST_APPR,"معتمد ولم يُرحَّل","مسودة"))))),"")</f>
        <v/>
      </c>
      <c r="Y879" s="32">
        <f>IF($A879=1,IF(AND($R879=1,OR(LG_Acct="",$G879=LG_Acct),OR(LG_Party="",$K879=LG_Party),OR(LG_Loc="ALL",$I879=LG_Loc),OR(LG_CC="ALL",$J879=LG_CC),$D879&gt;=LG_From,$D879&lt;=LG_To),$D879+ROW()/1000000,""),"")</f>
        <v/>
      </c>
      <c r="Z879" s="32">
        <f>IF($A879=1,IF(Cash_Vouchers!$O30="","",Cash_Vouchers!$O30),"")</f>
        <v/>
      </c>
      <c r="AA879" s="32">
        <f>IF($A879=1,IF(Cash_Vouchers!$P30="","",Cash_Vouchers!$P30),"")</f>
        <v/>
      </c>
      <c r="AB879" s="32">
        <f>IF($A879=1,IF(Cash_Vouchers!$Q30="","",Cash_Vouchers!$Q30),"")</f>
        <v/>
      </c>
      <c r="AC879" s="32">
        <f>IF($A879=1,IF(Cash_Vouchers!$R30="","",Cash_Vouchers!$R30),"")</f>
        <v/>
      </c>
      <c r="AD879" s="32">
        <f>IF($A879=1,IF(Cash_Vouchers!$S30="","",Cash_Vouchers!$S30),"")</f>
        <v/>
      </c>
      <c r="AE879" s="32">
        <f>IF($A879=1,0,"")</f>
        <v/>
      </c>
      <c r="AF879" s="32" t="inlineStr"/>
    </row>
    <row r="880">
      <c r="A880" s="32">
        <f>IF(AND(Cash_Vouchers!$AJ30=1,N(Cash_Vouchers!$I30)&gt;0),1,0)</f>
        <v/>
      </c>
      <c r="B880" s="32">
        <f>IF($A880=1,$E880&amp;"/2","")</f>
        <v/>
      </c>
      <c r="C880" s="32">
        <f>IF($A880=1,"J-"&amp;Cash_Vouchers!$A30,"")</f>
        <v/>
      </c>
      <c r="D880" s="33">
        <f>IF($A880=1,Cash_Vouchers!$B30,"")</f>
        <v/>
      </c>
      <c r="E880" s="32">
        <f>IF($A880=1,IF(Cash_Vouchers!$A30="","",Cash_Vouchers!$A30),"")</f>
        <v/>
      </c>
      <c r="F880" s="32">
        <f>IF($A880=1,"CV","")</f>
        <v/>
      </c>
      <c r="G880" s="32">
        <f>IF($A880=1,IF(Cash_Vouchers!$AB30="","",Cash_Vouchers!$AB30),"")</f>
        <v/>
      </c>
      <c r="H880" s="32">
        <f>IF($A880=1,IF(COUNTIF(COA!$A:$A,$G880)=0,"حساب غير معرف",INDEX(COA!$B:$B,MATCH($G880,COA!$A:$A,0))),"")</f>
        <v/>
      </c>
      <c r="I880" s="32">
        <f>IF($A880=1,IF(Cash_Vouchers!$AD30="","",Cash_Vouchers!$AD30),"")</f>
        <v/>
      </c>
      <c r="J880" s="32">
        <f>IF($A880=1,IF(Cash_Vouchers!$AF30="","",Cash_Vouchers!$AF30),"")</f>
        <v/>
      </c>
      <c r="K880" s="32">
        <f>IF($A880=1,IF(Cash_Vouchers!$AH30="","",Cash_Vouchers!$AH30),"")</f>
        <v/>
      </c>
      <c r="L880" s="32">
        <f>IF($A880=1,IF(Cash_Vouchers!$K30="",Cash_Vouchers!$C30&amp;" - "&amp;Cash_Vouchers!$H30,Cash_Vouchers!$K30),"")</f>
        <v/>
      </c>
      <c r="M880" s="43">
        <f>IF($A880=1,0,"")</f>
        <v/>
      </c>
      <c r="N880" s="43">
        <f>IF($A880=1,Cash_Vouchers!$I30,"")</f>
        <v/>
      </c>
      <c r="O880" s="32">
        <f>IF($A880=1,Cash_Vouchers!$N30,"")</f>
        <v/>
      </c>
      <c r="P880" s="32">
        <f>IF($A880=1,IF(Cash_Vouchers!$AK30="","",Cash_Vouchers!$AK30),"")</f>
        <v/>
      </c>
      <c r="Q880" s="32">
        <f>IF($A880=1,Cash_Vouchers!$AM30,"")</f>
        <v/>
      </c>
      <c r="R880" s="32">
        <f>IF($A880=1,IF(AND($Q880=1,COUNTIFS(COA!$A:$A,$G880,COA!$R:$R,1)=1),1,0),"")</f>
        <v/>
      </c>
      <c r="S880" s="43">
        <f>IF($A880=1,IF($R880=1,N($M880),0),"")</f>
        <v/>
      </c>
      <c r="T880" s="43">
        <f>IF($A880=1,IF($R880=1,N($N880),0),"")</f>
        <v/>
      </c>
      <c r="U880" s="32">
        <f>IF($A880=1,YEAR($D880)*100+MONTH($D880),"")</f>
        <v/>
      </c>
      <c r="V880" s="32">
        <f>IF($A880=1,IF(COUNTIF(COA!$A:$A,$G880)=0,0,INDEX(COA!$H:$H,MATCH($G880,COA!$A:$A,0))),"")</f>
        <v/>
      </c>
      <c r="W880" s="32">
        <f>IF($A880=1,IF(Cash_Vouchers!$AI30="","",Cash_Vouchers!$AI30),"")</f>
        <v/>
      </c>
      <c r="X880" s="32">
        <f>IF($A880=1,IF($R880=1,"",IF($O880=ST_POST,IF($P880&lt;&gt;"",$P880,"حساب غير صالح أو غير نشط"),IF($O880=ST_REV,"معكوس: لا أثر على الدفاتر",IF($O880=ST_CANC,"ملغى",IF($O880=ST_APPR,"معتمد ولم يُرحَّل","مسودة"))))),"")</f>
        <v/>
      </c>
      <c r="Y880" s="32">
        <f>IF($A880=1,IF(AND($R880=1,OR(LG_Acct="",$G880=LG_Acct),OR(LG_Party="",$K880=LG_Party),OR(LG_Loc="ALL",$I880=LG_Loc),OR(LG_CC="ALL",$J880=LG_CC),$D880&gt;=LG_From,$D880&lt;=LG_To),$D880+ROW()/1000000,""),"")</f>
        <v/>
      </c>
      <c r="Z880" s="32">
        <f>IF($A880=1,IF(Cash_Vouchers!$O30="","",Cash_Vouchers!$O30),"")</f>
        <v/>
      </c>
      <c r="AA880" s="32">
        <f>IF($A880=1,IF(Cash_Vouchers!$P30="","",Cash_Vouchers!$P30),"")</f>
        <v/>
      </c>
      <c r="AB880" s="32">
        <f>IF($A880=1,IF(Cash_Vouchers!$Q30="","",Cash_Vouchers!$Q30),"")</f>
        <v/>
      </c>
      <c r="AC880" s="32">
        <f>IF($A880=1,IF(Cash_Vouchers!$R30="","",Cash_Vouchers!$R30),"")</f>
        <v/>
      </c>
      <c r="AD880" s="32">
        <f>IF($A880=1,IF(Cash_Vouchers!$S30="","",Cash_Vouchers!$S30),"")</f>
        <v/>
      </c>
      <c r="AE880" s="32">
        <f>IF($A880=1,0,"")</f>
        <v/>
      </c>
      <c r="AF880" s="32" t="inlineStr"/>
    </row>
    <row r="881">
      <c r="A881" s="32">
        <f>IF(AND(Cash_Vouchers!$AJ31=1,N(Cash_Vouchers!$I31)&gt;0),1,0)</f>
        <v/>
      </c>
      <c r="B881" s="32">
        <f>IF($A881=1,$E881&amp;"/1","")</f>
        <v/>
      </c>
      <c r="C881" s="32">
        <f>IF($A881=1,"J-"&amp;Cash_Vouchers!$A31,"")</f>
        <v/>
      </c>
      <c r="D881" s="33">
        <f>IF($A881=1,Cash_Vouchers!$B31,"")</f>
        <v/>
      </c>
      <c r="E881" s="32">
        <f>IF($A881=1,IF(Cash_Vouchers!$A31="","",Cash_Vouchers!$A31),"")</f>
        <v/>
      </c>
      <c r="F881" s="32">
        <f>IF($A881=1,"CV","")</f>
        <v/>
      </c>
      <c r="G881" s="32">
        <f>IF($A881=1,IF(Cash_Vouchers!$AA31="","",Cash_Vouchers!$AA31),"")</f>
        <v/>
      </c>
      <c r="H881" s="32">
        <f>IF($A881=1,IF(COUNTIF(COA!$A:$A,$G881)=0,"حساب غير معرف",INDEX(COA!$B:$B,MATCH($G881,COA!$A:$A,0))),"")</f>
        <v/>
      </c>
      <c r="I881" s="32">
        <f>IF($A881=1,IF(Cash_Vouchers!$AC31="","",Cash_Vouchers!$AC31),"")</f>
        <v/>
      </c>
      <c r="J881" s="32">
        <f>IF($A881=1,IF(Cash_Vouchers!$AE31="","",Cash_Vouchers!$AE31),"")</f>
        <v/>
      </c>
      <c r="K881" s="32">
        <f>IF($A881=1,IF(Cash_Vouchers!$AG31="","",Cash_Vouchers!$AG31),"")</f>
        <v/>
      </c>
      <c r="L881" s="32">
        <f>IF($A881=1,IF(Cash_Vouchers!$K31="",Cash_Vouchers!$C31&amp;" - "&amp;Cash_Vouchers!$H31,Cash_Vouchers!$K31),"")</f>
        <v/>
      </c>
      <c r="M881" s="43">
        <f>IF($A881=1,Cash_Vouchers!$I31,"")</f>
        <v/>
      </c>
      <c r="N881" s="43">
        <f>IF($A881=1,0,"")</f>
        <v/>
      </c>
      <c r="O881" s="32">
        <f>IF($A881=1,Cash_Vouchers!$N31,"")</f>
        <v/>
      </c>
      <c r="P881" s="32">
        <f>IF($A881=1,IF(Cash_Vouchers!$AK31="","",Cash_Vouchers!$AK31),"")</f>
        <v/>
      </c>
      <c r="Q881" s="32">
        <f>IF($A881=1,Cash_Vouchers!$AM31,"")</f>
        <v/>
      </c>
      <c r="R881" s="32">
        <f>IF($A881=1,IF(AND($Q881=1,COUNTIFS(COA!$A:$A,$G881,COA!$R:$R,1)=1),1,0),"")</f>
        <v/>
      </c>
      <c r="S881" s="43">
        <f>IF($A881=1,IF($R881=1,N($M881),0),"")</f>
        <v/>
      </c>
      <c r="T881" s="43">
        <f>IF($A881=1,IF($R881=1,N($N881),0),"")</f>
        <v/>
      </c>
      <c r="U881" s="32">
        <f>IF($A881=1,YEAR($D881)*100+MONTH($D881),"")</f>
        <v/>
      </c>
      <c r="V881" s="32">
        <f>IF($A881=1,IF(COUNTIF(COA!$A:$A,$G881)=0,0,INDEX(COA!$H:$H,MATCH($G881,COA!$A:$A,0))),"")</f>
        <v/>
      </c>
      <c r="W881" s="32">
        <f>IF($A881=1,IF(Cash_Vouchers!$AI31="","",Cash_Vouchers!$AI31),"")</f>
        <v/>
      </c>
      <c r="X881" s="32">
        <f>IF($A881=1,IF($R881=1,"",IF($O881=ST_POST,IF($P881&lt;&gt;"",$P881,"حساب غير صالح أو غير نشط"),IF($O881=ST_REV,"معكوس: لا أثر على الدفاتر",IF($O881=ST_CANC,"ملغى",IF($O881=ST_APPR,"معتمد ولم يُرحَّل","مسودة"))))),"")</f>
        <v/>
      </c>
      <c r="Y881" s="32">
        <f>IF($A881=1,IF(AND($R881=1,OR(LG_Acct="",$G881=LG_Acct),OR(LG_Party="",$K881=LG_Party),OR(LG_Loc="ALL",$I881=LG_Loc),OR(LG_CC="ALL",$J881=LG_CC),$D881&gt;=LG_From,$D881&lt;=LG_To),$D881+ROW()/1000000,""),"")</f>
        <v/>
      </c>
      <c r="Z881" s="32">
        <f>IF($A881=1,IF(Cash_Vouchers!$O31="","",Cash_Vouchers!$O31),"")</f>
        <v/>
      </c>
      <c r="AA881" s="32">
        <f>IF($A881=1,IF(Cash_Vouchers!$P31="","",Cash_Vouchers!$P31),"")</f>
        <v/>
      </c>
      <c r="AB881" s="32">
        <f>IF($A881=1,IF(Cash_Vouchers!$Q31="","",Cash_Vouchers!$Q31),"")</f>
        <v/>
      </c>
      <c r="AC881" s="32">
        <f>IF($A881=1,IF(Cash_Vouchers!$R31="","",Cash_Vouchers!$R31),"")</f>
        <v/>
      </c>
      <c r="AD881" s="32">
        <f>IF($A881=1,IF(Cash_Vouchers!$S31="","",Cash_Vouchers!$S31),"")</f>
        <v/>
      </c>
      <c r="AE881" s="32">
        <f>IF($A881=1,0,"")</f>
        <v/>
      </c>
      <c r="AF881" s="32" t="inlineStr"/>
    </row>
    <row r="882">
      <c r="A882" s="32">
        <f>IF(AND(Cash_Vouchers!$AJ31=1,N(Cash_Vouchers!$I31)&gt;0),1,0)</f>
        <v/>
      </c>
      <c r="B882" s="32">
        <f>IF($A882=1,$E882&amp;"/2","")</f>
        <v/>
      </c>
      <c r="C882" s="32">
        <f>IF($A882=1,"J-"&amp;Cash_Vouchers!$A31,"")</f>
        <v/>
      </c>
      <c r="D882" s="33">
        <f>IF($A882=1,Cash_Vouchers!$B31,"")</f>
        <v/>
      </c>
      <c r="E882" s="32">
        <f>IF($A882=1,IF(Cash_Vouchers!$A31="","",Cash_Vouchers!$A31),"")</f>
        <v/>
      </c>
      <c r="F882" s="32">
        <f>IF($A882=1,"CV","")</f>
        <v/>
      </c>
      <c r="G882" s="32">
        <f>IF($A882=1,IF(Cash_Vouchers!$AB31="","",Cash_Vouchers!$AB31),"")</f>
        <v/>
      </c>
      <c r="H882" s="32">
        <f>IF($A882=1,IF(COUNTIF(COA!$A:$A,$G882)=0,"حساب غير معرف",INDEX(COA!$B:$B,MATCH($G882,COA!$A:$A,0))),"")</f>
        <v/>
      </c>
      <c r="I882" s="32">
        <f>IF($A882=1,IF(Cash_Vouchers!$AD31="","",Cash_Vouchers!$AD31),"")</f>
        <v/>
      </c>
      <c r="J882" s="32">
        <f>IF($A882=1,IF(Cash_Vouchers!$AF31="","",Cash_Vouchers!$AF31),"")</f>
        <v/>
      </c>
      <c r="K882" s="32">
        <f>IF($A882=1,IF(Cash_Vouchers!$AH31="","",Cash_Vouchers!$AH31),"")</f>
        <v/>
      </c>
      <c r="L882" s="32">
        <f>IF($A882=1,IF(Cash_Vouchers!$K31="",Cash_Vouchers!$C31&amp;" - "&amp;Cash_Vouchers!$H31,Cash_Vouchers!$K31),"")</f>
        <v/>
      </c>
      <c r="M882" s="43">
        <f>IF($A882=1,0,"")</f>
        <v/>
      </c>
      <c r="N882" s="43">
        <f>IF($A882=1,Cash_Vouchers!$I31,"")</f>
        <v/>
      </c>
      <c r="O882" s="32">
        <f>IF($A882=1,Cash_Vouchers!$N31,"")</f>
        <v/>
      </c>
      <c r="P882" s="32">
        <f>IF($A882=1,IF(Cash_Vouchers!$AK31="","",Cash_Vouchers!$AK31),"")</f>
        <v/>
      </c>
      <c r="Q882" s="32">
        <f>IF($A882=1,Cash_Vouchers!$AM31,"")</f>
        <v/>
      </c>
      <c r="R882" s="32">
        <f>IF($A882=1,IF(AND($Q882=1,COUNTIFS(COA!$A:$A,$G882,COA!$R:$R,1)=1),1,0),"")</f>
        <v/>
      </c>
      <c r="S882" s="43">
        <f>IF($A882=1,IF($R882=1,N($M882),0),"")</f>
        <v/>
      </c>
      <c r="T882" s="43">
        <f>IF($A882=1,IF($R882=1,N($N882),0),"")</f>
        <v/>
      </c>
      <c r="U882" s="32">
        <f>IF($A882=1,YEAR($D882)*100+MONTH($D882),"")</f>
        <v/>
      </c>
      <c r="V882" s="32">
        <f>IF($A882=1,IF(COUNTIF(COA!$A:$A,$G882)=0,0,INDEX(COA!$H:$H,MATCH($G882,COA!$A:$A,0))),"")</f>
        <v/>
      </c>
      <c r="W882" s="32">
        <f>IF($A882=1,IF(Cash_Vouchers!$AI31="","",Cash_Vouchers!$AI31),"")</f>
        <v/>
      </c>
      <c r="X882" s="32">
        <f>IF($A882=1,IF($R882=1,"",IF($O882=ST_POST,IF($P882&lt;&gt;"",$P882,"حساب غير صالح أو غير نشط"),IF($O882=ST_REV,"معكوس: لا أثر على الدفاتر",IF($O882=ST_CANC,"ملغى",IF($O882=ST_APPR,"معتمد ولم يُرحَّل","مسودة"))))),"")</f>
        <v/>
      </c>
      <c r="Y882" s="32">
        <f>IF($A882=1,IF(AND($R882=1,OR(LG_Acct="",$G882=LG_Acct),OR(LG_Party="",$K882=LG_Party),OR(LG_Loc="ALL",$I882=LG_Loc),OR(LG_CC="ALL",$J882=LG_CC),$D882&gt;=LG_From,$D882&lt;=LG_To),$D882+ROW()/1000000,""),"")</f>
        <v/>
      </c>
      <c r="Z882" s="32">
        <f>IF($A882=1,IF(Cash_Vouchers!$O31="","",Cash_Vouchers!$O31),"")</f>
        <v/>
      </c>
      <c r="AA882" s="32">
        <f>IF($A882=1,IF(Cash_Vouchers!$P31="","",Cash_Vouchers!$P31),"")</f>
        <v/>
      </c>
      <c r="AB882" s="32">
        <f>IF($A882=1,IF(Cash_Vouchers!$Q31="","",Cash_Vouchers!$Q31),"")</f>
        <v/>
      </c>
      <c r="AC882" s="32">
        <f>IF($A882=1,IF(Cash_Vouchers!$R31="","",Cash_Vouchers!$R31),"")</f>
        <v/>
      </c>
      <c r="AD882" s="32">
        <f>IF($A882=1,IF(Cash_Vouchers!$S31="","",Cash_Vouchers!$S31),"")</f>
        <v/>
      </c>
      <c r="AE882" s="32">
        <f>IF($A882=1,0,"")</f>
        <v/>
      </c>
      <c r="AF882" s="32" t="inlineStr"/>
    </row>
    <row r="883">
      <c r="A883" s="32">
        <f>IF(AND(Cash_Vouchers!$AJ32=1,N(Cash_Vouchers!$I32)&gt;0),1,0)</f>
        <v/>
      </c>
      <c r="B883" s="32">
        <f>IF($A883=1,$E883&amp;"/1","")</f>
        <v/>
      </c>
      <c r="C883" s="32">
        <f>IF($A883=1,"J-"&amp;Cash_Vouchers!$A32,"")</f>
        <v/>
      </c>
      <c r="D883" s="33">
        <f>IF($A883=1,Cash_Vouchers!$B32,"")</f>
        <v/>
      </c>
      <c r="E883" s="32">
        <f>IF($A883=1,IF(Cash_Vouchers!$A32="","",Cash_Vouchers!$A32),"")</f>
        <v/>
      </c>
      <c r="F883" s="32">
        <f>IF($A883=1,"CV","")</f>
        <v/>
      </c>
      <c r="G883" s="32">
        <f>IF($A883=1,IF(Cash_Vouchers!$AA32="","",Cash_Vouchers!$AA32),"")</f>
        <v/>
      </c>
      <c r="H883" s="32">
        <f>IF($A883=1,IF(COUNTIF(COA!$A:$A,$G883)=0,"حساب غير معرف",INDEX(COA!$B:$B,MATCH($G883,COA!$A:$A,0))),"")</f>
        <v/>
      </c>
      <c r="I883" s="32">
        <f>IF($A883=1,IF(Cash_Vouchers!$AC32="","",Cash_Vouchers!$AC32),"")</f>
        <v/>
      </c>
      <c r="J883" s="32">
        <f>IF($A883=1,IF(Cash_Vouchers!$AE32="","",Cash_Vouchers!$AE32),"")</f>
        <v/>
      </c>
      <c r="K883" s="32">
        <f>IF($A883=1,IF(Cash_Vouchers!$AG32="","",Cash_Vouchers!$AG32),"")</f>
        <v/>
      </c>
      <c r="L883" s="32">
        <f>IF($A883=1,IF(Cash_Vouchers!$K32="",Cash_Vouchers!$C32&amp;" - "&amp;Cash_Vouchers!$H32,Cash_Vouchers!$K32),"")</f>
        <v/>
      </c>
      <c r="M883" s="43">
        <f>IF($A883=1,Cash_Vouchers!$I32,"")</f>
        <v/>
      </c>
      <c r="N883" s="43">
        <f>IF($A883=1,0,"")</f>
        <v/>
      </c>
      <c r="O883" s="32">
        <f>IF($A883=1,Cash_Vouchers!$N32,"")</f>
        <v/>
      </c>
      <c r="P883" s="32">
        <f>IF($A883=1,IF(Cash_Vouchers!$AK32="","",Cash_Vouchers!$AK32),"")</f>
        <v/>
      </c>
      <c r="Q883" s="32">
        <f>IF($A883=1,Cash_Vouchers!$AM32,"")</f>
        <v/>
      </c>
      <c r="R883" s="32">
        <f>IF($A883=1,IF(AND($Q883=1,COUNTIFS(COA!$A:$A,$G883,COA!$R:$R,1)=1),1,0),"")</f>
        <v/>
      </c>
      <c r="S883" s="43">
        <f>IF($A883=1,IF($R883=1,N($M883),0),"")</f>
        <v/>
      </c>
      <c r="T883" s="43">
        <f>IF($A883=1,IF($R883=1,N($N883),0),"")</f>
        <v/>
      </c>
      <c r="U883" s="32">
        <f>IF($A883=1,YEAR($D883)*100+MONTH($D883),"")</f>
        <v/>
      </c>
      <c r="V883" s="32">
        <f>IF($A883=1,IF(COUNTIF(COA!$A:$A,$G883)=0,0,INDEX(COA!$H:$H,MATCH($G883,COA!$A:$A,0))),"")</f>
        <v/>
      </c>
      <c r="W883" s="32">
        <f>IF($A883=1,IF(Cash_Vouchers!$AI32="","",Cash_Vouchers!$AI32),"")</f>
        <v/>
      </c>
      <c r="X883" s="32">
        <f>IF($A883=1,IF($R883=1,"",IF($O883=ST_POST,IF($P883&lt;&gt;"",$P883,"حساب غير صالح أو غير نشط"),IF($O883=ST_REV,"معكوس: لا أثر على الدفاتر",IF($O883=ST_CANC,"ملغى",IF($O883=ST_APPR,"معتمد ولم يُرحَّل","مسودة"))))),"")</f>
        <v/>
      </c>
      <c r="Y883" s="32">
        <f>IF($A883=1,IF(AND($R883=1,OR(LG_Acct="",$G883=LG_Acct),OR(LG_Party="",$K883=LG_Party),OR(LG_Loc="ALL",$I883=LG_Loc),OR(LG_CC="ALL",$J883=LG_CC),$D883&gt;=LG_From,$D883&lt;=LG_To),$D883+ROW()/1000000,""),"")</f>
        <v/>
      </c>
      <c r="Z883" s="32">
        <f>IF($A883=1,IF(Cash_Vouchers!$O32="","",Cash_Vouchers!$O32),"")</f>
        <v/>
      </c>
      <c r="AA883" s="32">
        <f>IF($A883=1,IF(Cash_Vouchers!$P32="","",Cash_Vouchers!$P32),"")</f>
        <v/>
      </c>
      <c r="AB883" s="32">
        <f>IF($A883=1,IF(Cash_Vouchers!$Q32="","",Cash_Vouchers!$Q32),"")</f>
        <v/>
      </c>
      <c r="AC883" s="32">
        <f>IF($A883=1,IF(Cash_Vouchers!$R32="","",Cash_Vouchers!$R32),"")</f>
        <v/>
      </c>
      <c r="AD883" s="32">
        <f>IF($A883=1,IF(Cash_Vouchers!$S32="","",Cash_Vouchers!$S32),"")</f>
        <v/>
      </c>
      <c r="AE883" s="32">
        <f>IF($A883=1,0,"")</f>
        <v/>
      </c>
      <c r="AF883" s="32" t="inlineStr"/>
    </row>
    <row r="884">
      <c r="A884" s="32">
        <f>IF(AND(Cash_Vouchers!$AJ32=1,N(Cash_Vouchers!$I32)&gt;0),1,0)</f>
        <v/>
      </c>
      <c r="B884" s="32">
        <f>IF($A884=1,$E884&amp;"/2","")</f>
        <v/>
      </c>
      <c r="C884" s="32">
        <f>IF($A884=1,"J-"&amp;Cash_Vouchers!$A32,"")</f>
        <v/>
      </c>
      <c r="D884" s="33">
        <f>IF($A884=1,Cash_Vouchers!$B32,"")</f>
        <v/>
      </c>
      <c r="E884" s="32">
        <f>IF($A884=1,IF(Cash_Vouchers!$A32="","",Cash_Vouchers!$A32),"")</f>
        <v/>
      </c>
      <c r="F884" s="32">
        <f>IF($A884=1,"CV","")</f>
        <v/>
      </c>
      <c r="G884" s="32">
        <f>IF($A884=1,IF(Cash_Vouchers!$AB32="","",Cash_Vouchers!$AB32),"")</f>
        <v/>
      </c>
      <c r="H884" s="32">
        <f>IF($A884=1,IF(COUNTIF(COA!$A:$A,$G884)=0,"حساب غير معرف",INDEX(COA!$B:$B,MATCH($G884,COA!$A:$A,0))),"")</f>
        <v/>
      </c>
      <c r="I884" s="32">
        <f>IF($A884=1,IF(Cash_Vouchers!$AD32="","",Cash_Vouchers!$AD32),"")</f>
        <v/>
      </c>
      <c r="J884" s="32">
        <f>IF($A884=1,IF(Cash_Vouchers!$AF32="","",Cash_Vouchers!$AF32),"")</f>
        <v/>
      </c>
      <c r="K884" s="32">
        <f>IF($A884=1,IF(Cash_Vouchers!$AH32="","",Cash_Vouchers!$AH32),"")</f>
        <v/>
      </c>
      <c r="L884" s="32">
        <f>IF($A884=1,IF(Cash_Vouchers!$K32="",Cash_Vouchers!$C32&amp;" - "&amp;Cash_Vouchers!$H32,Cash_Vouchers!$K32),"")</f>
        <v/>
      </c>
      <c r="M884" s="43">
        <f>IF($A884=1,0,"")</f>
        <v/>
      </c>
      <c r="N884" s="43">
        <f>IF($A884=1,Cash_Vouchers!$I32,"")</f>
        <v/>
      </c>
      <c r="O884" s="32">
        <f>IF($A884=1,Cash_Vouchers!$N32,"")</f>
        <v/>
      </c>
      <c r="P884" s="32">
        <f>IF($A884=1,IF(Cash_Vouchers!$AK32="","",Cash_Vouchers!$AK32),"")</f>
        <v/>
      </c>
      <c r="Q884" s="32">
        <f>IF($A884=1,Cash_Vouchers!$AM32,"")</f>
        <v/>
      </c>
      <c r="R884" s="32">
        <f>IF($A884=1,IF(AND($Q884=1,COUNTIFS(COA!$A:$A,$G884,COA!$R:$R,1)=1),1,0),"")</f>
        <v/>
      </c>
      <c r="S884" s="43">
        <f>IF($A884=1,IF($R884=1,N($M884),0),"")</f>
        <v/>
      </c>
      <c r="T884" s="43">
        <f>IF($A884=1,IF($R884=1,N($N884),0),"")</f>
        <v/>
      </c>
      <c r="U884" s="32">
        <f>IF($A884=1,YEAR($D884)*100+MONTH($D884),"")</f>
        <v/>
      </c>
      <c r="V884" s="32">
        <f>IF($A884=1,IF(COUNTIF(COA!$A:$A,$G884)=0,0,INDEX(COA!$H:$H,MATCH($G884,COA!$A:$A,0))),"")</f>
        <v/>
      </c>
      <c r="W884" s="32">
        <f>IF($A884=1,IF(Cash_Vouchers!$AI32="","",Cash_Vouchers!$AI32),"")</f>
        <v/>
      </c>
      <c r="X884" s="32">
        <f>IF($A884=1,IF($R884=1,"",IF($O884=ST_POST,IF($P884&lt;&gt;"",$P884,"حساب غير صالح أو غير نشط"),IF($O884=ST_REV,"معكوس: لا أثر على الدفاتر",IF($O884=ST_CANC,"ملغى",IF($O884=ST_APPR,"معتمد ولم يُرحَّل","مسودة"))))),"")</f>
        <v/>
      </c>
      <c r="Y884" s="32">
        <f>IF($A884=1,IF(AND($R884=1,OR(LG_Acct="",$G884=LG_Acct),OR(LG_Party="",$K884=LG_Party),OR(LG_Loc="ALL",$I884=LG_Loc),OR(LG_CC="ALL",$J884=LG_CC),$D884&gt;=LG_From,$D884&lt;=LG_To),$D884+ROW()/1000000,""),"")</f>
        <v/>
      </c>
      <c r="Z884" s="32">
        <f>IF($A884=1,IF(Cash_Vouchers!$O32="","",Cash_Vouchers!$O32),"")</f>
        <v/>
      </c>
      <c r="AA884" s="32">
        <f>IF($A884=1,IF(Cash_Vouchers!$P32="","",Cash_Vouchers!$P32),"")</f>
        <v/>
      </c>
      <c r="AB884" s="32">
        <f>IF($A884=1,IF(Cash_Vouchers!$Q32="","",Cash_Vouchers!$Q32),"")</f>
        <v/>
      </c>
      <c r="AC884" s="32">
        <f>IF($A884=1,IF(Cash_Vouchers!$R32="","",Cash_Vouchers!$R32),"")</f>
        <v/>
      </c>
      <c r="AD884" s="32">
        <f>IF($A884=1,IF(Cash_Vouchers!$S32="","",Cash_Vouchers!$S32),"")</f>
        <v/>
      </c>
      <c r="AE884" s="32">
        <f>IF($A884=1,0,"")</f>
        <v/>
      </c>
      <c r="AF884" s="32" t="inlineStr"/>
    </row>
    <row r="885">
      <c r="A885" s="32">
        <f>IF(AND(Cash_Vouchers!$AJ33=1,N(Cash_Vouchers!$I33)&gt;0),1,0)</f>
        <v/>
      </c>
      <c r="B885" s="32">
        <f>IF($A885=1,$E885&amp;"/1","")</f>
        <v/>
      </c>
      <c r="C885" s="32">
        <f>IF($A885=1,"J-"&amp;Cash_Vouchers!$A33,"")</f>
        <v/>
      </c>
      <c r="D885" s="33">
        <f>IF($A885=1,Cash_Vouchers!$B33,"")</f>
        <v/>
      </c>
      <c r="E885" s="32">
        <f>IF($A885=1,IF(Cash_Vouchers!$A33="","",Cash_Vouchers!$A33),"")</f>
        <v/>
      </c>
      <c r="F885" s="32">
        <f>IF($A885=1,"CV","")</f>
        <v/>
      </c>
      <c r="G885" s="32">
        <f>IF($A885=1,IF(Cash_Vouchers!$AA33="","",Cash_Vouchers!$AA33),"")</f>
        <v/>
      </c>
      <c r="H885" s="32">
        <f>IF($A885=1,IF(COUNTIF(COA!$A:$A,$G885)=0,"حساب غير معرف",INDEX(COA!$B:$B,MATCH($G885,COA!$A:$A,0))),"")</f>
        <v/>
      </c>
      <c r="I885" s="32">
        <f>IF($A885=1,IF(Cash_Vouchers!$AC33="","",Cash_Vouchers!$AC33),"")</f>
        <v/>
      </c>
      <c r="J885" s="32">
        <f>IF($A885=1,IF(Cash_Vouchers!$AE33="","",Cash_Vouchers!$AE33),"")</f>
        <v/>
      </c>
      <c r="K885" s="32">
        <f>IF($A885=1,IF(Cash_Vouchers!$AG33="","",Cash_Vouchers!$AG33),"")</f>
        <v/>
      </c>
      <c r="L885" s="32">
        <f>IF($A885=1,IF(Cash_Vouchers!$K33="",Cash_Vouchers!$C33&amp;" - "&amp;Cash_Vouchers!$H33,Cash_Vouchers!$K33),"")</f>
        <v/>
      </c>
      <c r="M885" s="43">
        <f>IF($A885=1,Cash_Vouchers!$I33,"")</f>
        <v/>
      </c>
      <c r="N885" s="43">
        <f>IF($A885=1,0,"")</f>
        <v/>
      </c>
      <c r="O885" s="32">
        <f>IF($A885=1,Cash_Vouchers!$N33,"")</f>
        <v/>
      </c>
      <c r="P885" s="32">
        <f>IF($A885=1,IF(Cash_Vouchers!$AK33="","",Cash_Vouchers!$AK33),"")</f>
        <v/>
      </c>
      <c r="Q885" s="32">
        <f>IF($A885=1,Cash_Vouchers!$AM33,"")</f>
        <v/>
      </c>
      <c r="R885" s="32">
        <f>IF($A885=1,IF(AND($Q885=1,COUNTIFS(COA!$A:$A,$G885,COA!$R:$R,1)=1),1,0),"")</f>
        <v/>
      </c>
      <c r="S885" s="43">
        <f>IF($A885=1,IF($R885=1,N($M885),0),"")</f>
        <v/>
      </c>
      <c r="T885" s="43">
        <f>IF($A885=1,IF($R885=1,N($N885),0),"")</f>
        <v/>
      </c>
      <c r="U885" s="32">
        <f>IF($A885=1,YEAR($D885)*100+MONTH($D885),"")</f>
        <v/>
      </c>
      <c r="V885" s="32">
        <f>IF($A885=1,IF(COUNTIF(COA!$A:$A,$G885)=0,0,INDEX(COA!$H:$H,MATCH($G885,COA!$A:$A,0))),"")</f>
        <v/>
      </c>
      <c r="W885" s="32">
        <f>IF($A885=1,IF(Cash_Vouchers!$AI33="","",Cash_Vouchers!$AI33),"")</f>
        <v/>
      </c>
      <c r="X885" s="32">
        <f>IF($A885=1,IF($R885=1,"",IF($O885=ST_POST,IF($P885&lt;&gt;"",$P885,"حساب غير صالح أو غير نشط"),IF($O885=ST_REV,"معكوس: لا أثر على الدفاتر",IF($O885=ST_CANC,"ملغى",IF($O885=ST_APPR,"معتمد ولم يُرحَّل","مسودة"))))),"")</f>
        <v/>
      </c>
      <c r="Y885" s="32">
        <f>IF($A885=1,IF(AND($R885=1,OR(LG_Acct="",$G885=LG_Acct),OR(LG_Party="",$K885=LG_Party),OR(LG_Loc="ALL",$I885=LG_Loc),OR(LG_CC="ALL",$J885=LG_CC),$D885&gt;=LG_From,$D885&lt;=LG_To),$D885+ROW()/1000000,""),"")</f>
        <v/>
      </c>
      <c r="Z885" s="32">
        <f>IF($A885=1,IF(Cash_Vouchers!$O33="","",Cash_Vouchers!$O33),"")</f>
        <v/>
      </c>
      <c r="AA885" s="32">
        <f>IF($A885=1,IF(Cash_Vouchers!$P33="","",Cash_Vouchers!$P33),"")</f>
        <v/>
      </c>
      <c r="AB885" s="32">
        <f>IF($A885=1,IF(Cash_Vouchers!$Q33="","",Cash_Vouchers!$Q33),"")</f>
        <v/>
      </c>
      <c r="AC885" s="32">
        <f>IF($A885=1,IF(Cash_Vouchers!$R33="","",Cash_Vouchers!$R33),"")</f>
        <v/>
      </c>
      <c r="AD885" s="32">
        <f>IF($A885=1,IF(Cash_Vouchers!$S33="","",Cash_Vouchers!$S33),"")</f>
        <v/>
      </c>
      <c r="AE885" s="32">
        <f>IF($A885=1,0,"")</f>
        <v/>
      </c>
      <c r="AF885" s="32" t="inlineStr"/>
    </row>
    <row r="886">
      <c r="A886" s="32">
        <f>IF(AND(Cash_Vouchers!$AJ33=1,N(Cash_Vouchers!$I33)&gt;0),1,0)</f>
        <v/>
      </c>
      <c r="B886" s="32">
        <f>IF($A886=1,$E886&amp;"/2","")</f>
        <v/>
      </c>
      <c r="C886" s="32">
        <f>IF($A886=1,"J-"&amp;Cash_Vouchers!$A33,"")</f>
        <v/>
      </c>
      <c r="D886" s="33">
        <f>IF($A886=1,Cash_Vouchers!$B33,"")</f>
        <v/>
      </c>
      <c r="E886" s="32">
        <f>IF($A886=1,IF(Cash_Vouchers!$A33="","",Cash_Vouchers!$A33),"")</f>
        <v/>
      </c>
      <c r="F886" s="32">
        <f>IF($A886=1,"CV","")</f>
        <v/>
      </c>
      <c r="G886" s="32">
        <f>IF($A886=1,IF(Cash_Vouchers!$AB33="","",Cash_Vouchers!$AB33),"")</f>
        <v/>
      </c>
      <c r="H886" s="32">
        <f>IF($A886=1,IF(COUNTIF(COA!$A:$A,$G886)=0,"حساب غير معرف",INDEX(COA!$B:$B,MATCH($G886,COA!$A:$A,0))),"")</f>
        <v/>
      </c>
      <c r="I886" s="32">
        <f>IF($A886=1,IF(Cash_Vouchers!$AD33="","",Cash_Vouchers!$AD33),"")</f>
        <v/>
      </c>
      <c r="J886" s="32">
        <f>IF($A886=1,IF(Cash_Vouchers!$AF33="","",Cash_Vouchers!$AF33),"")</f>
        <v/>
      </c>
      <c r="K886" s="32">
        <f>IF($A886=1,IF(Cash_Vouchers!$AH33="","",Cash_Vouchers!$AH33),"")</f>
        <v/>
      </c>
      <c r="L886" s="32">
        <f>IF($A886=1,IF(Cash_Vouchers!$K33="",Cash_Vouchers!$C33&amp;" - "&amp;Cash_Vouchers!$H33,Cash_Vouchers!$K33),"")</f>
        <v/>
      </c>
      <c r="M886" s="43">
        <f>IF($A886=1,0,"")</f>
        <v/>
      </c>
      <c r="N886" s="43">
        <f>IF($A886=1,Cash_Vouchers!$I33,"")</f>
        <v/>
      </c>
      <c r="O886" s="32">
        <f>IF($A886=1,Cash_Vouchers!$N33,"")</f>
        <v/>
      </c>
      <c r="P886" s="32">
        <f>IF($A886=1,IF(Cash_Vouchers!$AK33="","",Cash_Vouchers!$AK33),"")</f>
        <v/>
      </c>
      <c r="Q886" s="32">
        <f>IF($A886=1,Cash_Vouchers!$AM33,"")</f>
        <v/>
      </c>
      <c r="R886" s="32">
        <f>IF($A886=1,IF(AND($Q886=1,COUNTIFS(COA!$A:$A,$G886,COA!$R:$R,1)=1),1,0),"")</f>
        <v/>
      </c>
      <c r="S886" s="43">
        <f>IF($A886=1,IF($R886=1,N($M886),0),"")</f>
        <v/>
      </c>
      <c r="T886" s="43">
        <f>IF($A886=1,IF($R886=1,N($N886),0),"")</f>
        <v/>
      </c>
      <c r="U886" s="32">
        <f>IF($A886=1,YEAR($D886)*100+MONTH($D886),"")</f>
        <v/>
      </c>
      <c r="V886" s="32">
        <f>IF($A886=1,IF(COUNTIF(COA!$A:$A,$G886)=0,0,INDEX(COA!$H:$H,MATCH($G886,COA!$A:$A,0))),"")</f>
        <v/>
      </c>
      <c r="W886" s="32">
        <f>IF($A886=1,IF(Cash_Vouchers!$AI33="","",Cash_Vouchers!$AI33),"")</f>
        <v/>
      </c>
      <c r="X886" s="32">
        <f>IF($A886=1,IF($R886=1,"",IF($O886=ST_POST,IF($P886&lt;&gt;"",$P886,"حساب غير صالح أو غير نشط"),IF($O886=ST_REV,"معكوس: لا أثر على الدفاتر",IF($O886=ST_CANC,"ملغى",IF($O886=ST_APPR,"معتمد ولم يُرحَّل","مسودة"))))),"")</f>
        <v/>
      </c>
      <c r="Y886" s="32">
        <f>IF($A886=1,IF(AND($R886=1,OR(LG_Acct="",$G886=LG_Acct),OR(LG_Party="",$K886=LG_Party),OR(LG_Loc="ALL",$I886=LG_Loc),OR(LG_CC="ALL",$J886=LG_CC),$D886&gt;=LG_From,$D886&lt;=LG_To),$D886+ROW()/1000000,""),"")</f>
        <v/>
      </c>
      <c r="Z886" s="32">
        <f>IF($A886=1,IF(Cash_Vouchers!$O33="","",Cash_Vouchers!$O33),"")</f>
        <v/>
      </c>
      <c r="AA886" s="32">
        <f>IF($A886=1,IF(Cash_Vouchers!$P33="","",Cash_Vouchers!$P33),"")</f>
        <v/>
      </c>
      <c r="AB886" s="32">
        <f>IF($A886=1,IF(Cash_Vouchers!$Q33="","",Cash_Vouchers!$Q33),"")</f>
        <v/>
      </c>
      <c r="AC886" s="32">
        <f>IF($A886=1,IF(Cash_Vouchers!$R33="","",Cash_Vouchers!$R33),"")</f>
        <v/>
      </c>
      <c r="AD886" s="32">
        <f>IF($A886=1,IF(Cash_Vouchers!$S33="","",Cash_Vouchers!$S33),"")</f>
        <v/>
      </c>
      <c r="AE886" s="32">
        <f>IF($A886=1,0,"")</f>
        <v/>
      </c>
      <c r="AF886" s="32" t="inlineStr"/>
    </row>
    <row r="887">
      <c r="A887" s="32">
        <f>IF(AND(Cash_Vouchers!$AJ34=1,N(Cash_Vouchers!$I34)&gt;0),1,0)</f>
        <v/>
      </c>
      <c r="B887" s="32">
        <f>IF($A887=1,$E887&amp;"/1","")</f>
        <v/>
      </c>
      <c r="C887" s="32">
        <f>IF($A887=1,"J-"&amp;Cash_Vouchers!$A34,"")</f>
        <v/>
      </c>
      <c r="D887" s="33">
        <f>IF($A887=1,Cash_Vouchers!$B34,"")</f>
        <v/>
      </c>
      <c r="E887" s="32">
        <f>IF($A887=1,IF(Cash_Vouchers!$A34="","",Cash_Vouchers!$A34),"")</f>
        <v/>
      </c>
      <c r="F887" s="32">
        <f>IF($A887=1,"CV","")</f>
        <v/>
      </c>
      <c r="G887" s="32">
        <f>IF($A887=1,IF(Cash_Vouchers!$AA34="","",Cash_Vouchers!$AA34),"")</f>
        <v/>
      </c>
      <c r="H887" s="32">
        <f>IF($A887=1,IF(COUNTIF(COA!$A:$A,$G887)=0,"حساب غير معرف",INDEX(COA!$B:$B,MATCH($G887,COA!$A:$A,0))),"")</f>
        <v/>
      </c>
      <c r="I887" s="32">
        <f>IF($A887=1,IF(Cash_Vouchers!$AC34="","",Cash_Vouchers!$AC34),"")</f>
        <v/>
      </c>
      <c r="J887" s="32">
        <f>IF($A887=1,IF(Cash_Vouchers!$AE34="","",Cash_Vouchers!$AE34),"")</f>
        <v/>
      </c>
      <c r="K887" s="32">
        <f>IF($A887=1,IF(Cash_Vouchers!$AG34="","",Cash_Vouchers!$AG34),"")</f>
        <v/>
      </c>
      <c r="L887" s="32">
        <f>IF($A887=1,IF(Cash_Vouchers!$K34="",Cash_Vouchers!$C34&amp;" - "&amp;Cash_Vouchers!$H34,Cash_Vouchers!$K34),"")</f>
        <v/>
      </c>
      <c r="M887" s="43">
        <f>IF($A887=1,Cash_Vouchers!$I34,"")</f>
        <v/>
      </c>
      <c r="N887" s="43">
        <f>IF($A887=1,0,"")</f>
        <v/>
      </c>
      <c r="O887" s="32">
        <f>IF($A887=1,Cash_Vouchers!$N34,"")</f>
        <v/>
      </c>
      <c r="P887" s="32">
        <f>IF($A887=1,IF(Cash_Vouchers!$AK34="","",Cash_Vouchers!$AK34),"")</f>
        <v/>
      </c>
      <c r="Q887" s="32">
        <f>IF($A887=1,Cash_Vouchers!$AM34,"")</f>
        <v/>
      </c>
      <c r="R887" s="32">
        <f>IF($A887=1,IF(AND($Q887=1,COUNTIFS(COA!$A:$A,$G887,COA!$R:$R,1)=1),1,0),"")</f>
        <v/>
      </c>
      <c r="S887" s="43">
        <f>IF($A887=1,IF($R887=1,N($M887),0),"")</f>
        <v/>
      </c>
      <c r="T887" s="43">
        <f>IF($A887=1,IF($R887=1,N($N887),0),"")</f>
        <v/>
      </c>
      <c r="U887" s="32">
        <f>IF($A887=1,YEAR($D887)*100+MONTH($D887),"")</f>
        <v/>
      </c>
      <c r="V887" s="32">
        <f>IF($A887=1,IF(COUNTIF(COA!$A:$A,$G887)=0,0,INDEX(COA!$H:$H,MATCH($G887,COA!$A:$A,0))),"")</f>
        <v/>
      </c>
      <c r="W887" s="32">
        <f>IF($A887=1,IF(Cash_Vouchers!$AI34="","",Cash_Vouchers!$AI34),"")</f>
        <v/>
      </c>
      <c r="X887" s="32">
        <f>IF($A887=1,IF($R887=1,"",IF($O887=ST_POST,IF($P887&lt;&gt;"",$P887,"حساب غير صالح أو غير نشط"),IF($O887=ST_REV,"معكوس: لا أثر على الدفاتر",IF($O887=ST_CANC,"ملغى",IF($O887=ST_APPR,"معتمد ولم يُرحَّل","مسودة"))))),"")</f>
        <v/>
      </c>
      <c r="Y887" s="32">
        <f>IF($A887=1,IF(AND($R887=1,OR(LG_Acct="",$G887=LG_Acct),OR(LG_Party="",$K887=LG_Party),OR(LG_Loc="ALL",$I887=LG_Loc),OR(LG_CC="ALL",$J887=LG_CC),$D887&gt;=LG_From,$D887&lt;=LG_To),$D887+ROW()/1000000,""),"")</f>
        <v/>
      </c>
      <c r="Z887" s="32">
        <f>IF($A887=1,IF(Cash_Vouchers!$O34="","",Cash_Vouchers!$O34),"")</f>
        <v/>
      </c>
      <c r="AA887" s="32">
        <f>IF($A887=1,IF(Cash_Vouchers!$P34="","",Cash_Vouchers!$P34),"")</f>
        <v/>
      </c>
      <c r="AB887" s="32">
        <f>IF($A887=1,IF(Cash_Vouchers!$Q34="","",Cash_Vouchers!$Q34),"")</f>
        <v/>
      </c>
      <c r="AC887" s="32">
        <f>IF($A887=1,IF(Cash_Vouchers!$R34="","",Cash_Vouchers!$R34),"")</f>
        <v/>
      </c>
      <c r="AD887" s="32">
        <f>IF($A887=1,IF(Cash_Vouchers!$S34="","",Cash_Vouchers!$S34),"")</f>
        <v/>
      </c>
      <c r="AE887" s="32">
        <f>IF($A887=1,0,"")</f>
        <v/>
      </c>
      <c r="AF887" s="32" t="inlineStr"/>
    </row>
    <row r="888">
      <c r="A888" s="32">
        <f>IF(AND(Cash_Vouchers!$AJ34=1,N(Cash_Vouchers!$I34)&gt;0),1,0)</f>
        <v/>
      </c>
      <c r="B888" s="32">
        <f>IF($A888=1,$E888&amp;"/2","")</f>
        <v/>
      </c>
      <c r="C888" s="32">
        <f>IF($A888=1,"J-"&amp;Cash_Vouchers!$A34,"")</f>
        <v/>
      </c>
      <c r="D888" s="33">
        <f>IF($A888=1,Cash_Vouchers!$B34,"")</f>
        <v/>
      </c>
      <c r="E888" s="32">
        <f>IF($A888=1,IF(Cash_Vouchers!$A34="","",Cash_Vouchers!$A34),"")</f>
        <v/>
      </c>
      <c r="F888" s="32">
        <f>IF($A888=1,"CV","")</f>
        <v/>
      </c>
      <c r="G888" s="32">
        <f>IF($A888=1,IF(Cash_Vouchers!$AB34="","",Cash_Vouchers!$AB34),"")</f>
        <v/>
      </c>
      <c r="H888" s="32">
        <f>IF($A888=1,IF(COUNTIF(COA!$A:$A,$G888)=0,"حساب غير معرف",INDEX(COA!$B:$B,MATCH($G888,COA!$A:$A,0))),"")</f>
        <v/>
      </c>
      <c r="I888" s="32">
        <f>IF($A888=1,IF(Cash_Vouchers!$AD34="","",Cash_Vouchers!$AD34),"")</f>
        <v/>
      </c>
      <c r="J888" s="32">
        <f>IF($A888=1,IF(Cash_Vouchers!$AF34="","",Cash_Vouchers!$AF34),"")</f>
        <v/>
      </c>
      <c r="K888" s="32">
        <f>IF($A888=1,IF(Cash_Vouchers!$AH34="","",Cash_Vouchers!$AH34),"")</f>
        <v/>
      </c>
      <c r="L888" s="32">
        <f>IF($A888=1,IF(Cash_Vouchers!$K34="",Cash_Vouchers!$C34&amp;" - "&amp;Cash_Vouchers!$H34,Cash_Vouchers!$K34),"")</f>
        <v/>
      </c>
      <c r="M888" s="43">
        <f>IF($A888=1,0,"")</f>
        <v/>
      </c>
      <c r="N888" s="43">
        <f>IF($A888=1,Cash_Vouchers!$I34,"")</f>
        <v/>
      </c>
      <c r="O888" s="32">
        <f>IF($A888=1,Cash_Vouchers!$N34,"")</f>
        <v/>
      </c>
      <c r="P888" s="32">
        <f>IF($A888=1,IF(Cash_Vouchers!$AK34="","",Cash_Vouchers!$AK34),"")</f>
        <v/>
      </c>
      <c r="Q888" s="32">
        <f>IF($A888=1,Cash_Vouchers!$AM34,"")</f>
        <v/>
      </c>
      <c r="R888" s="32">
        <f>IF($A888=1,IF(AND($Q888=1,COUNTIFS(COA!$A:$A,$G888,COA!$R:$R,1)=1),1,0),"")</f>
        <v/>
      </c>
      <c r="S888" s="43">
        <f>IF($A888=1,IF($R888=1,N($M888),0),"")</f>
        <v/>
      </c>
      <c r="T888" s="43">
        <f>IF($A888=1,IF($R888=1,N($N888),0),"")</f>
        <v/>
      </c>
      <c r="U888" s="32">
        <f>IF($A888=1,YEAR($D888)*100+MONTH($D888),"")</f>
        <v/>
      </c>
      <c r="V888" s="32">
        <f>IF($A888=1,IF(COUNTIF(COA!$A:$A,$G888)=0,0,INDEX(COA!$H:$H,MATCH($G888,COA!$A:$A,0))),"")</f>
        <v/>
      </c>
      <c r="W888" s="32">
        <f>IF($A888=1,IF(Cash_Vouchers!$AI34="","",Cash_Vouchers!$AI34),"")</f>
        <v/>
      </c>
      <c r="X888" s="32">
        <f>IF($A888=1,IF($R888=1,"",IF($O888=ST_POST,IF($P888&lt;&gt;"",$P888,"حساب غير صالح أو غير نشط"),IF($O888=ST_REV,"معكوس: لا أثر على الدفاتر",IF($O888=ST_CANC,"ملغى",IF($O888=ST_APPR,"معتمد ولم يُرحَّل","مسودة"))))),"")</f>
        <v/>
      </c>
      <c r="Y888" s="32">
        <f>IF($A888=1,IF(AND($R888=1,OR(LG_Acct="",$G888=LG_Acct),OR(LG_Party="",$K888=LG_Party),OR(LG_Loc="ALL",$I888=LG_Loc),OR(LG_CC="ALL",$J888=LG_CC),$D888&gt;=LG_From,$D888&lt;=LG_To),$D888+ROW()/1000000,""),"")</f>
        <v/>
      </c>
      <c r="Z888" s="32">
        <f>IF($A888=1,IF(Cash_Vouchers!$O34="","",Cash_Vouchers!$O34),"")</f>
        <v/>
      </c>
      <c r="AA888" s="32">
        <f>IF($A888=1,IF(Cash_Vouchers!$P34="","",Cash_Vouchers!$P34),"")</f>
        <v/>
      </c>
      <c r="AB888" s="32">
        <f>IF($A888=1,IF(Cash_Vouchers!$Q34="","",Cash_Vouchers!$Q34),"")</f>
        <v/>
      </c>
      <c r="AC888" s="32">
        <f>IF($A888=1,IF(Cash_Vouchers!$R34="","",Cash_Vouchers!$R34),"")</f>
        <v/>
      </c>
      <c r="AD888" s="32">
        <f>IF($A888=1,IF(Cash_Vouchers!$S34="","",Cash_Vouchers!$S34),"")</f>
        <v/>
      </c>
      <c r="AE888" s="32">
        <f>IF($A888=1,0,"")</f>
        <v/>
      </c>
      <c r="AF888" s="32" t="inlineStr"/>
    </row>
    <row r="889">
      <c r="A889" s="32">
        <f>IF(AND(Cash_Vouchers!$AJ35=1,N(Cash_Vouchers!$I35)&gt;0),1,0)</f>
        <v/>
      </c>
      <c r="B889" s="32">
        <f>IF($A889=1,$E889&amp;"/1","")</f>
        <v/>
      </c>
      <c r="C889" s="32">
        <f>IF($A889=1,"J-"&amp;Cash_Vouchers!$A35,"")</f>
        <v/>
      </c>
      <c r="D889" s="33">
        <f>IF($A889=1,Cash_Vouchers!$B35,"")</f>
        <v/>
      </c>
      <c r="E889" s="32">
        <f>IF($A889=1,IF(Cash_Vouchers!$A35="","",Cash_Vouchers!$A35),"")</f>
        <v/>
      </c>
      <c r="F889" s="32">
        <f>IF($A889=1,"CV","")</f>
        <v/>
      </c>
      <c r="G889" s="32">
        <f>IF($A889=1,IF(Cash_Vouchers!$AA35="","",Cash_Vouchers!$AA35),"")</f>
        <v/>
      </c>
      <c r="H889" s="32">
        <f>IF($A889=1,IF(COUNTIF(COA!$A:$A,$G889)=0,"حساب غير معرف",INDEX(COA!$B:$B,MATCH($G889,COA!$A:$A,0))),"")</f>
        <v/>
      </c>
      <c r="I889" s="32">
        <f>IF($A889=1,IF(Cash_Vouchers!$AC35="","",Cash_Vouchers!$AC35),"")</f>
        <v/>
      </c>
      <c r="J889" s="32">
        <f>IF($A889=1,IF(Cash_Vouchers!$AE35="","",Cash_Vouchers!$AE35),"")</f>
        <v/>
      </c>
      <c r="K889" s="32">
        <f>IF($A889=1,IF(Cash_Vouchers!$AG35="","",Cash_Vouchers!$AG35),"")</f>
        <v/>
      </c>
      <c r="L889" s="32">
        <f>IF($A889=1,IF(Cash_Vouchers!$K35="",Cash_Vouchers!$C35&amp;" - "&amp;Cash_Vouchers!$H35,Cash_Vouchers!$K35),"")</f>
        <v/>
      </c>
      <c r="M889" s="43">
        <f>IF($A889=1,Cash_Vouchers!$I35,"")</f>
        <v/>
      </c>
      <c r="N889" s="43">
        <f>IF($A889=1,0,"")</f>
        <v/>
      </c>
      <c r="O889" s="32">
        <f>IF($A889=1,Cash_Vouchers!$N35,"")</f>
        <v/>
      </c>
      <c r="P889" s="32">
        <f>IF($A889=1,IF(Cash_Vouchers!$AK35="","",Cash_Vouchers!$AK35),"")</f>
        <v/>
      </c>
      <c r="Q889" s="32">
        <f>IF($A889=1,Cash_Vouchers!$AM35,"")</f>
        <v/>
      </c>
      <c r="R889" s="32">
        <f>IF($A889=1,IF(AND($Q889=1,COUNTIFS(COA!$A:$A,$G889,COA!$R:$R,1)=1),1,0),"")</f>
        <v/>
      </c>
      <c r="S889" s="43">
        <f>IF($A889=1,IF($R889=1,N($M889),0),"")</f>
        <v/>
      </c>
      <c r="T889" s="43">
        <f>IF($A889=1,IF($R889=1,N($N889),0),"")</f>
        <v/>
      </c>
      <c r="U889" s="32">
        <f>IF($A889=1,YEAR($D889)*100+MONTH($D889),"")</f>
        <v/>
      </c>
      <c r="V889" s="32">
        <f>IF($A889=1,IF(COUNTIF(COA!$A:$A,$G889)=0,0,INDEX(COA!$H:$H,MATCH($G889,COA!$A:$A,0))),"")</f>
        <v/>
      </c>
      <c r="W889" s="32">
        <f>IF($A889=1,IF(Cash_Vouchers!$AI35="","",Cash_Vouchers!$AI35),"")</f>
        <v/>
      </c>
      <c r="X889" s="32">
        <f>IF($A889=1,IF($R889=1,"",IF($O889=ST_POST,IF($P889&lt;&gt;"",$P889,"حساب غير صالح أو غير نشط"),IF($O889=ST_REV,"معكوس: لا أثر على الدفاتر",IF($O889=ST_CANC,"ملغى",IF($O889=ST_APPR,"معتمد ولم يُرحَّل","مسودة"))))),"")</f>
        <v/>
      </c>
      <c r="Y889" s="32">
        <f>IF($A889=1,IF(AND($R889=1,OR(LG_Acct="",$G889=LG_Acct),OR(LG_Party="",$K889=LG_Party),OR(LG_Loc="ALL",$I889=LG_Loc),OR(LG_CC="ALL",$J889=LG_CC),$D889&gt;=LG_From,$D889&lt;=LG_To),$D889+ROW()/1000000,""),"")</f>
        <v/>
      </c>
      <c r="Z889" s="32">
        <f>IF($A889=1,IF(Cash_Vouchers!$O35="","",Cash_Vouchers!$O35),"")</f>
        <v/>
      </c>
      <c r="AA889" s="32">
        <f>IF($A889=1,IF(Cash_Vouchers!$P35="","",Cash_Vouchers!$P35),"")</f>
        <v/>
      </c>
      <c r="AB889" s="32">
        <f>IF($A889=1,IF(Cash_Vouchers!$Q35="","",Cash_Vouchers!$Q35),"")</f>
        <v/>
      </c>
      <c r="AC889" s="32">
        <f>IF($A889=1,IF(Cash_Vouchers!$R35="","",Cash_Vouchers!$R35),"")</f>
        <v/>
      </c>
      <c r="AD889" s="32">
        <f>IF($A889=1,IF(Cash_Vouchers!$S35="","",Cash_Vouchers!$S35),"")</f>
        <v/>
      </c>
      <c r="AE889" s="32">
        <f>IF($A889=1,0,"")</f>
        <v/>
      </c>
      <c r="AF889" s="32" t="inlineStr"/>
    </row>
    <row r="890">
      <c r="A890" s="32">
        <f>IF(AND(Cash_Vouchers!$AJ35=1,N(Cash_Vouchers!$I35)&gt;0),1,0)</f>
        <v/>
      </c>
      <c r="B890" s="32">
        <f>IF($A890=1,$E890&amp;"/2","")</f>
        <v/>
      </c>
      <c r="C890" s="32">
        <f>IF($A890=1,"J-"&amp;Cash_Vouchers!$A35,"")</f>
        <v/>
      </c>
      <c r="D890" s="33">
        <f>IF($A890=1,Cash_Vouchers!$B35,"")</f>
        <v/>
      </c>
      <c r="E890" s="32">
        <f>IF($A890=1,IF(Cash_Vouchers!$A35="","",Cash_Vouchers!$A35),"")</f>
        <v/>
      </c>
      <c r="F890" s="32">
        <f>IF($A890=1,"CV","")</f>
        <v/>
      </c>
      <c r="G890" s="32">
        <f>IF($A890=1,IF(Cash_Vouchers!$AB35="","",Cash_Vouchers!$AB35),"")</f>
        <v/>
      </c>
      <c r="H890" s="32">
        <f>IF($A890=1,IF(COUNTIF(COA!$A:$A,$G890)=0,"حساب غير معرف",INDEX(COA!$B:$B,MATCH($G890,COA!$A:$A,0))),"")</f>
        <v/>
      </c>
      <c r="I890" s="32">
        <f>IF($A890=1,IF(Cash_Vouchers!$AD35="","",Cash_Vouchers!$AD35),"")</f>
        <v/>
      </c>
      <c r="J890" s="32">
        <f>IF($A890=1,IF(Cash_Vouchers!$AF35="","",Cash_Vouchers!$AF35),"")</f>
        <v/>
      </c>
      <c r="K890" s="32">
        <f>IF($A890=1,IF(Cash_Vouchers!$AH35="","",Cash_Vouchers!$AH35),"")</f>
        <v/>
      </c>
      <c r="L890" s="32">
        <f>IF($A890=1,IF(Cash_Vouchers!$K35="",Cash_Vouchers!$C35&amp;" - "&amp;Cash_Vouchers!$H35,Cash_Vouchers!$K35),"")</f>
        <v/>
      </c>
      <c r="M890" s="43">
        <f>IF($A890=1,0,"")</f>
        <v/>
      </c>
      <c r="N890" s="43">
        <f>IF($A890=1,Cash_Vouchers!$I35,"")</f>
        <v/>
      </c>
      <c r="O890" s="32">
        <f>IF($A890=1,Cash_Vouchers!$N35,"")</f>
        <v/>
      </c>
      <c r="P890" s="32">
        <f>IF($A890=1,IF(Cash_Vouchers!$AK35="","",Cash_Vouchers!$AK35),"")</f>
        <v/>
      </c>
      <c r="Q890" s="32">
        <f>IF($A890=1,Cash_Vouchers!$AM35,"")</f>
        <v/>
      </c>
      <c r="R890" s="32">
        <f>IF($A890=1,IF(AND($Q890=1,COUNTIFS(COA!$A:$A,$G890,COA!$R:$R,1)=1),1,0),"")</f>
        <v/>
      </c>
      <c r="S890" s="43">
        <f>IF($A890=1,IF($R890=1,N($M890),0),"")</f>
        <v/>
      </c>
      <c r="T890" s="43">
        <f>IF($A890=1,IF($R890=1,N($N890),0),"")</f>
        <v/>
      </c>
      <c r="U890" s="32">
        <f>IF($A890=1,YEAR($D890)*100+MONTH($D890),"")</f>
        <v/>
      </c>
      <c r="V890" s="32">
        <f>IF($A890=1,IF(COUNTIF(COA!$A:$A,$G890)=0,0,INDEX(COA!$H:$H,MATCH($G890,COA!$A:$A,0))),"")</f>
        <v/>
      </c>
      <c r="W890" s="32">
        <f>IF($A890=1,IF(Cash_Vouchers!$AI35="","",Cash_Vouchers!$AI35),"")</f>
        <v/>
      </c>
      <c r="X890" s="32">
        <f>IF($A890=1,IF($R890=1,"",IF($O890=ST_POST,IF($P890&lt;&gt;"",$P890,"حساب غير صالح أو غير نشط"),IF($O890=ST_REV,"معكوس: لا أثر على الدفاتر",IF($O890=ST_CANC,"ملغى",IF($O890=ST_APPR,"معتمد ولم يُرحَّل","مسودة"))))),"")</f>
        <v/>
      </c>
      <c r="Y890" s="32">
        <f>IF($A890=1,IF(AND($R890=1,OR(LG_Acct="",$G890=LG_Acct),OR(LG_Party="",$K890=LG_Party),OR(LG_Loc="ALL",$I890=LG_Loc),OR(LG_CC="ALL",$J890=LG_CC),$D890&gt;=LG_From,$D890&lt;=LG_To),$D890+ROW()/1000000,""),"")</f>
        <v/>
      </c>
      <c r="Z890" s="32">
        <f>IF($A890=1,IF(Cash_Vouchers!$O35="","",Cash_Vouchers!$O35),"")</f>
        <v/>
      </c>
      <c r="AA890" s="32">
        <f>IF($A890=1,IF(Cash_Vouchers!$P35="","",Cash_Vouchers!$P35),"")</f>
        <v/>
      </c>
      <c r="AB890" s="32">
        <f>IF($A890=1,IF(Cash_Vouchers!$Q35="","",Cash_Vouchers!$Q35),"")</f>
        <v/>
      </c>
      <c r="AC890" s="32">
        <f>IF($A890=1,IF(Cash_Vouchers!$R35="","",Cash_Vouchers!$R35),"")</f>
        <v/>
      </c>
      <c r="AD890" s="32">
        <f>IF($A890=1,IF(Cash_Vouchers!$S35="","",Cash_Vouchers!$S35),"")</f>
        <v/>
      </c>
      <c r="AE890" s="32">
        <f>IF($A890=1,0,"")</f>
        <v/>
      </c>
      <c r="AF890" s="32" t="inlineStr"/>
    </row>
    <row r="891">
      <c r="A891" s="32">
        <f>IF(AND(Cash_Vouchers!$AJ36=1,N(Cash_Vouchers!$I36)&gt;0),1,0)</f>
        <v/>
      </c>
      <c r="B891" s="32">
        <f>IF($A891=1,$E891&amp;"/1","")</f>
        <v/>
      </c>
      <c r="C891" s="32">
        <f>IF($A891=1,"J-"&amp;Cash_Vouchers!$A36,"")</f>
        <v/>
      </c>
      <c r="D891" s="33">
        <f>IF($A891=1,Cash_Vouchers!$B36,"")</f>
        <v/>
      </c>
      <c r="E891" s="32">
        <f>IF($A891=1,IF(Cash_Vouchers!$A36="","",Cash_Vouchers!$A36),"")</f>
        <v/>
      </c>
      <c r="F891" s="32">
        <f>IF($A891=1,"CV","")</f>
        <v/>
      </c>
      <c r="G891" s="32">
        <f>IF($A891=1,IF(Cash_Vouchers!$AA36="","",Cash_Vouchers!$AA36),"")</f>
        <v/>
      </c>
      <c r="H891" s="32">
        <f>IF($A891=1,IF(COUNTIF(COA!$A:$A,$G891)=0,"حساب غير معرف",INDEX(COA!$B:$B,MATCH($G891,COA!$A:$A,0))),"")</f>
        <v/>
      </c>
      <c r="I891" s="32">
        <f>IF($A891=1,IF(Cash_Vouchers!$AC36="","",Cash_Vouchers!$AC36),"")</f>
        <v/>
      </c>
      <c r="J891" s="32">
        <f>IF($A891=1,IF(Cash_Vouchers!$AE36="","",Cash_Vouchers!$AE36),"")</f>
        <v/>
      </c>
      <c r="K891" s="32">
        <f>IF($A891=1,IF(Cash_Vouchers!$AG36="","",Cash_Vouchers!$AG36),"")</f>
        <v/>
      </c>
      <c r="L891" s="32">
        <f>IF($A891=1,IF(Cash_Vouchers!$K36="",Cash_Vouchers!$C36&amp;" - "&amp;Cash_Vouchers!$H36,Cash_Vouchers!$K36),"")</f>
        <v/>
      </c>
      <c r="M891" s="43">
        <f>IF($A891=1,Cash_Vouchers!$I36,"")</f>
        <v/>
      </c>
      <c r="N891" s="43">
        <f>IF($A891=1,0,"")</f>
        <v/>
      </c>
      <c r="O891" s="32">
        <f>IF($A891=1,Cash_Vouchers!$N36,"")</f>
        <v/>
      </c>
      <c r="P891" s="32">
        <f>IF($A891=1,IF(Cash_Vouchers!$AK36="","",Cash_Vouchers!$AK36),"")</f>
        <v/>
      </c>
      <c r="Q891" s="32">
        <f>IF($A891=1,Cash_Vouchers!$AM36,"")</f>
        <v/>
      </c>
      <c r="R891" s="32">
        <f>IF($A891=1,IF(AND($Q891=1,COUNTIFS(COA!$A:$A,$G891,COA!$R:$R,1)=1),1,0),"")</f>
        <v/>
      </c>
      <c r="S891" s="43">
        <f>IF($A891=1,IF($R891=1,N($M891),0),"")</f>
        <v/>
      </c>
      <c r="T891" s="43">
        <f>IF($A891=1,IF($R891=1,N($N891),0),"")</f>
        <v/>
      </c>
      <c r="U891" s="32">
        <f>IF($A891=1,YEAR($D891)*100+MONTH($D891),"")</f>
        <v/>
      </c>
      <c r="V891" s="32">
        <f>IF($A891=1,IF(COUNTIF(COA!$A:$A,$G891)=0,0,INDEX(COA!$H:$H,MATCH($G891,COA!$A:$A,0))),"")</f>
        <v/>
      </c>
      <c r="W891" s="32">
        <f>IF($A891=1,IF(Cash_Vouchers!$AI36="","",Cash_Vouchers!$AI36),"")</f>
        <v/>
      </c>
      <c r="X891" s="32">
        <f>IF($A891=1,IF($R891=1,"",IF($O891=ST_POST,IF($P891&lt;&gt;"",$P891,"حساب غير صالح أو غير نشط"),IF($O891=ST_REV,"معكوس: لا أثر على الدفاتر",IF($O891=ST_CANC,"ملغى",IF($O891=ST_APPR,"معتمد ولم يُرحَّل","مسودة"))))),"")</f>
        <v/>
      </c>
      <c r="Y891" s="32">
        <f>IF($A891=1,IF(AND($R891=1,OR(LG_Acct="",$G891=LG_Acct),OR(LG_Party="",$K891=LG_Party),OR(LG_Loc="ALL",$I891=LG_Loc),OR(LG_CC="ALL",$J891=LG_CC),$D891&gt;=LG_From,$D891&lt;=LG_To),$D891+ROW()/1000000,""),"")</f>
        <v/>
      </c>
      <c r="Z891" s="32">
        <f>IF($A891=1,IF(Cash_Vouchers!$O36="","",Cash_Vouchers!$O36),"")</f>
        <v/>
      </c>
      <c r="AA891" s="32">
        <f>IF($A891=1,IF(Cash_Vouchers!$P36="","",Cash_Vouchers!$P36),"")</f>
        <v/>
      </c>
      <c r="AB891" s="32">
        <f>IF($A891=1,IF(Cash_Vouchers!$Q36="","",Cash_Vouchers!$Q36),"")</f>
        <v/>
      </c>
      <c r="AC891" s="32">
        <f>IF($A891=1,IF(Cash_Vouchers!$R36="","",Cash_Vouchers!$R36),"")</f>
        <v/>
      </c>
      <c r="AD891" s="32">
        <f>IF($A891=1,IF(Cash_Vouchers!$S36="","",Cash_Vouchers!$S36),"")</f>
        <v/>
      </c>
      <c r="AE891" s="32">
        <f>IF($A891=1,0,"")</f>
        <v/>
      </c>
      <c r="AF891" s="32" t="inlineStr"/>
    </row>
    <row r="892">
      <c r="A892" s="32">
        <f>IF(AND(Cash_Vouchers!$AJ36=1,N(Cash_Vouchers!$I36)&gt;0),1,0)</f>
        <v/>
      </c>
      <c r="B892" s="32">
        <f>IF($A892=1,$E892&amp;"/2","")</f>
        <v/>
      </c>
      <c r="C892" s="32">
        <f>IF($A892=1,"J-"&amp;Cash_Vouchers!$A36,"")</f>
        <v/>
      </c>
      <c r="D892" s="33">
        <f>IF($A892=1,Cash_Vouchers!$B36,"")</f>
        <v/>
      </c>
      <c r="E892" s="32">
        <f>IF($A892=1,IF(Cash_Vouchers!$A36="","",Cash_Vouchers!$A36),"")</f>
        <v/>
      </c>
      <c r="F892" s="32">
        <f>IF($A892=1,"CV","")</f>
        <v/>
      </c>
      <c r="G892" s="32">
        <f>IF($A892=1,IF(Cash_Vouchers!$AB36="","",Cash_Vouchers!$AB36),"")</f>
        <v/>
      </c>
      <c r="H892" s="32">
        <f>IF($A892=1,IF(COUNTIF(COA!$A:$A,$G892)=0,"حساب غير معرف",INDEX(COA!$B:$B,MATCH($G892,COA!$A:$A,0))),"")</f>
        <v/>
      </c>
      <c r="I892" s="32">
        <f>IF($A892=1,IF(Cash_Vouchers!$AD36="","",Cash_Vouchers!$AD36),"")</f>
        <v/>
      </c>
      <c r="J892" s="32">
        <f>IF($A892=1,IF(Cash_Vouchers!$AF36="","",Cash_Vouchers!$AF36),"")</f>
        <v/>
      </c>
      <c r="K892" s="32">
        <f>IF($A892=1,IF(Cash_Vouchers!$AH36="","",Cash_Vouchers!$AH36),"")</f>
        <v/>
      </c>
      <c r="L892" s="32">
        <f>IF($A892=1,IF(Cash_Vouchers!$K36="",Cash_Vouchers!$C36&amp;" - "&amp;Cash_Vouchers!$H36,Cash_Vouchers!$K36),"")</f>
        <v/>
      </c>
      <c r="M892" s="43">
        <f>IF($A892=1,0,"")</f>
        <v/>
      </c>
      <c r="N892" s="43">
        <f>IF($A892=1,Cash_Vouchers!$I36,"")</f>
        <v/>
      </c>
      <c r="O892" s="32">
        <f>IF($A892=1,Cash_Vouchers!$N36,"")</f>
        <v/>
      </c>
      <c r="P892" s="32">
        <f>IF($A892=1,IF(Cash_Vouchers!$AK36="","",Cash_Vouchers!$AK36),"")</f>
        <v/>
      </c>
      <c r="Q892" s="32">
        <f>IF($A892=1,Cash_Vouchers!$AM36,"")</f>
        <v/>
      </c>
      <c r="R892" s="32">
        <f>IF($A892=1,IF(AND($Q892=1,COUNTIFS(COA!$A:$A,$G892,COA!$R:$R,1)=1),1,0),"")</f>
        <v/>
      </c>
      <c r="S892" s="43">
        <f>IF($A892=1,IF($R892=1,N($M892),0),"")</f>
        <v/>
      </c>
      <c r="T892" s="43">
        <f>IF($A892=1,IF($R892=1,N($N892),0),"")</f>
        <v/>
      </c>
      <c r="U892" s="32">
        <f>IF($A892=1,YEAR($D892)*100+MONTH($D892),"")</f>
        <v/>
      </c>
      <c r="V892" s="32">
        <f>IF($A892=1,IF(COUNTIF(COA!$A:$A,$G892)=0,0,INDEX(COA!$H:$H,MATCH($G892,COA!$A:$A,0))),"")</f>
        <v/>
      </c>
      <c r="W892" s="32">
        <f>IF($A892=1,IF(Cash_Vouchers!$AI36="","",Cash_Vouchers!$AI36),"")</f>
        <v/>
      </c>
      <c r="X892" s="32">
        <f>IF($A892=1,IF($R892=1,"",IF($O892=ST_POST,IF($P892&lt;&gt;"",$P892,"حساب غير صالح أو غير نشط"),IF($O892=ST_REV,"معكوس: لا أثر على الدفاتر",IF($O892=ST_CANC,"ملغى",IF($O892=ST_APPR,"معتمد ولم يُرحَّل","مسودة"))))),"")</f>
        <v/>
      </c>
      <c r="Y892" s="32">
        <f>IF($A892=1,IF(AND($R892=1,OR(LG_Acct="",$G892=LG_Acct),OR(LG_Party="",$K892=LG_Party),OR(LG_Loc="ALL",$I892=LG_Loc),OR(LG_CC="ALL",$J892=LG_CC),$D892&gt;=LG_From,$D892&lt;=LG_To),$D892+ROW()/1000000,""),"")</f>
        <v/>
      </c>
      <c r="Z892" s="32">
        <f>IF($A892=1,IF(Cash_Vouchers!$O36="","",Cash_Vouchers!$O36),"")</f>
        <v/>
      </c>
      <c r="AA892" s="32">
        <f>IF($A892=1,IF(Cash_Vouchers!$P36="","",Cash_Vouchers!$P36),"")</f>
        <v/>
      </c>
      <c r="AB892" s="32">
        <f>IF($A892=1,IF(Cash_Vouchers!$Q36="","",Cash_Vouchers!$Q36),"")</f>
        <v/>
      </c>
      <c r="AC892" s="32">
        <f>IF($A892=1,IF(Cash_Vouchers!$R36="","",Cash_Vouchers!$R36),"")</f>
        <v/>
      </c>
      <c r="AD892" s="32">
        <f>IF($A892=1,IF(Cash_Vouchers!$S36="","",Cash_Vouchers!$S36),"")</f>
        <v/>
      </c>
      <c r="AE892" s="32">
        <f>IF($A892=1,0,"")</f>
        <v/>
      </c>
      <c r="AF892" s="32" t="inlineStr"/>
    </row>
    <row r="893">
      <c r="A893" s="32">
        <f>IF(AND(Cash_Vouchers!$AJ37=1,N(Cash_Vouchers!$I37)&gt;0),1,0)</f>
        <v/>
      </c>
      <c r="B893" s="32">
        <f>IF($A893=1,$E893&amp;"/1","")</f>
        <v/>
      </c>
      <c r="C893" s="32">
        <f>IF($A893=1,"J-"&amp;Cash_Vouchers!$A37,"")</f>
        <v/>
      </c>
      <c r="D893" s="33">
        <f>IF($A893=1,Cash_Vouchers!$B37,"")</f>
        <v/>
      </c>
      <c r="E893" s="32">
        <f>IF($A893=1,IF(Cash_Vouchers!$A37="","",Cash_Vouchers!$A37),"")</f>
        <v/>
      </c>
      <c r="F893" s="32">
        <f>IF($A893=1,"CV","")</f>
        <v/>
      </c>
      <c r="G893" s="32">
        <f>IF($A893=1,IF(Cash_Vouchers!$AA37="","",Cash_Vouchers!$AA37),"")</f>
        <v/>
      </c>
      <c r="H893" s="32">
        <f>IF($A893=1,IF(COUNTIF(COA!$A:$A,$G893)=0,"حساب غير معرف",INDEX(COA!$B:$B,MATCH($G893,COA!$A:$A,0))),"")</f>
        <v/>
      </c>
      <c r="I893" s="32">
        <f>IF($A893=1,IF(Cash_Vouchers!$AC37="","",Cash_Vouchers!$AC37),"")</f>
        <v/>
      </c>
      <c r="J893" s="32">
        <f>IF($A893=1,IF(Cash_Vouchers!$AE37="","",Cash_Vouchers!$AE37),"")</f>
        <v/>
      </c>
      <c r="K893" s="32">
        <f>IF($A893=1,IF(Cash_Vouchers!$AG37="","",Cash_Vouchers!$AG37),"")</f>
        <v/>
      </c>
      <c r="L893" s="32">
        <f>IF($A893=1,IF(Cash_Vouchers!$K37="",Cash_Vouchers!$C37&amp;" - "&amp;Cash_Vouchers!$H37,Cash_Vouchers!$K37),"")</f>
        <v/>
      </c>
      <c r="M893" s="43">
        <f>IF($A893=1,Cash_Vouchers!$I37,"")</f>
        <v/>
      </c>
      <c r="N893" s="43">
        <f>IF($A893=1,0,"")</f>
        <v/>
      </c>
      <c r="O893" s="32">
        <f>IF($A893=1,Cash_Vouchers!$N37,"")</f>
        <v/>
      </c>
      <c r="P893" s="32">
        <f>IF($A893=1,IF(Cash_Vouchers!$AK37="","",Cash_Vouchers!$AK37),"")</f>
        <v/>
      </c>
      <c r="Q893" s="32">
        <f>IF($A893=1,Cash_Vouchers!$AM37,"")</f>
        <v/>
      </c>
      <c r="R893" s="32">
        <f>IF($A893=1,IF(AND($Q893=1,COUNTIFS(COA!$A:$A,$G893,COA!$R:$R,1)=1),1,0),"")</f>
        <v/>
      </c>
      <c r="S893" s="43">
        <f>IF($A893=1,IF($R893=1,N($M893),0),"")</f>
        <v/>
      </c>
      <c r="T893" s="43">
        <f>IF($A893=1,IF($R893=1,N($N893),0),"")</f>
        <v/>
      </c>
      <c r="U893" s="32">
        <f>IF($A893=1,YEAR($D893)*100+MONTH($D893),"")</f>
        <v/>
      </c>
      <c r="V893" s="32">
        <f>IF($A893=1,IF(COUNTIF(COA!$A:$A,$G893)=0,0,INDEX(COA!$H:$H,MATCH($G893,COA!$A:$A,0))),"")</f>
        <v/>
      </c>
      <c r="W893" s="32">
        <f>IF($A893=1,IF(Cash_Vouchers!$AI37="","",Cash_Vouchers!$AI37),"")</f>
        <v/>
      </c>
      <c r="X893" s="32">
        <f>IF($A893=1,IF($R893=1,"",IF($O893=ST_POST,IF($P893&lt;&gt;"",$P893,"حساب غير صالح أو غير نشط"),IF($O893=ST_REV,"معكوس: لا أثر على الدفاتر",IF($O893=ST_CANC,"ملغى",IF($O893=ST_APPR,"معتمد ولم يُرحَّل","مسودة"))))),"")</f>
        <v/>
      </c>
      <c r="Y893" s="32">
        <f>IF($A893=1,IF(AND($R893=1,OR(LG_Acct="",$G893=LG_Acct),OR(LG_Party="",$K893=LG_Party),OR(LG_Loc="ALL",$I893=LG_Loc),OR(LG_CC="ALL",$J893=LG_CC),$D893&gt;=LG_From,$D893&lt;=LG_To),$D893+ROW()/1000000,""),"")</f>
        <v/>
      </c>
      <c r="Z893" s="32">
        <f>IF($A893=1,IF(Cash_Vouchers!$O37="","",Cash_Vouchers!$O37),"")</f>
        <v/>
      </c>
      <c r="AA893" s="32">
        <f>IF($A893=1,IF(Cash_Vouchers!$P37="","",Cash_Vouchers!$P37),"")</f>
        <v/>
      </c>
      <c r="AB893" s="32">
        <f>IF($A893=1,IF(Cash_Vouchers!$Q37="","",Cash_Vouchers!$Q37),"")</f>
        <v/>
      </c>
      <c r="AC893" s="32">
        <f>IF($A893=1,IF(Cash_Vouchers!$R37="","",Cash_Vouchers!$R37),"")</f>
        <v/>
      </c>
      <c r="AD893" s="32">
        <f>IF($A893=1,IF(Cash_Vouchers!$S37="","",Cash_Vouchers!$S37),"")</f>
        <v/>
      </c>
      <c r="AE893" s="32">
        <f>IF($A893=1,0,"")</f>
        <v/>
      </c>
      <c r="AF893" s="32" t="inlineStr"/>
    </row>
    <row r="894">
      <c r="A894" s="32">
        <f>IF(AND(Cash_Vouchers!$AJ37=1,N(Cash_Vouchers!$I37)&gt;0),1,0)</f>
        <v/>
      </c>
      <c r="B894" s="32">
        <f>IF($A894=1,$E894&amp;"/2","")</f>
        <v/>
      </c>
      <c r="C894" s="32">
        <f>IF($A894=1,"J-"&amp;Cash_Vouchers!$A37,"")</f>
        <v/>
      </c>
      <c r="D894" s="33">
        <f>IF($A894=1,Cash_Vouchers!$B37,"")</f>
        <v/>
      </c>
      <c r="E894" s="32">
        <f>IF($A894=1,IF(Cash_Vouchers!$A37="","",Cash_Vouchers!$A37),"")</f>
        <v/>
      </c>
      <c r="F894" s="32">
        <f>IF($A894=1,"CV","")</f>
        <v/>
      </c>
      <c r="G894" s="32">
        <f>IF($A894=1,IF(Cash_Vouchers!$AB37="","",Cash_Vouchers!$AB37),"")</f>
        <v/>
      </c>
      <c r="H894" s="32">
        <f>IF($A894=1,IF(COUNTIF(COA!$A:$A,$G894)=0,"حساب غير معرف",INDEX(COA!$B:$B,MATCH($G894,COA!$A:$A,0))),"")</f>
        <v/>
      </c>
      <c r="I894" s="32">
        <f>IF($A894=1,IF(Cash_Vouchers!$AD37="","",Cash_Vouchers!$AD37),"")</f>
        <v/>
      </c>
      <c r="J894" s="32">
        <f>IF($A894=1,IF(Cash_Vouchers!$AF37="","",Cash_Vouchers!$AF37),"")</f>
        <v/>
      </c>
      <c r="K894" s="32">
        <f>IF($A894=1,IF(Cash_Vouchers!$AH37="","",Cash_Vouchers!$AH37),"")</f>
        <v/>
      </c>
      <c r="L894" s="32">
        <f>IF($A894=1,IF(Cash_Vouchers!$K37="",Cash_Vouchers!$C37&amp;" - "&amp;Cash_Vouchers!$H37,Cash_Vouchers!$K37),"")</f>
        <v/>
      </c>
      <c r="M894" s="43">
        <f>IF($A894=1,0,"")</f>
        <v/>
      </c>
      <c r="N894" s="43">
        <f>IF($A894=1,Cash_Vouchers!$I37,"")</f>
        <v/>
      </c>
      <c r="O894" s="32">
        <f>IF($A894=1,Cash_Vouchers!$N37,"")</f>
        <v/>
      </c>
      <c r="P894" s="32">
        <f>IF($A894=1,IF(Cash_Vouchers!$AK37="","",Cash_Vouchers!$AK37),"")</f>
        <v/>
      </c>
      <c r="Q894" s="32">
        <f>IF($A894=1,Cash_Vouchers!$AM37,"")</f>
        <v/>
      </c>
      <c r="R894" s="32">
        <f>IF($A894=1,IF(AND($Q894=1,COUNTIFS(COA!$A:$A,$G894,COA!$R:$R,1)=1),1,0),"")</f>
        <v/>
      </c>
      <c r="S894" s="43">
        <f>IF($A894=1,IF($R894=1,N($M894),0),"")</f>
        <v/>
      </c>
      <c r="T894" s="43">
        <f>IF($A894=1,IF($R894=1,N($N894),0),"")</f>
        <v/>
      </c>
      <c r="U894" s="32">
        <f>IF($A894=1,YEAR($D894)*100+MONTH($D894),"")</f>
        <v/>
      </c>
      <c r="V894" s="32">
        <f>IF($A894=1,IF(COUNTIF(COA!$A:$A,$G894)=0,0,INDEX(COA!$H:$H,MATCH($G894,COA!$A:$A,0))),"")</f>
        <v/>
      </c>
      <c r="W894" s="32">
        <f>IF($A894=1,IF(Cash_Vouchers!$AI37="","",Cash_Vouchers!$AI37),"")</f>
        <v/>
      </c>
      <c r="X894" s="32">
        <f>IF($A894=1,IF($R894=1,"",IF($O894=ST_POST,IF($P894&lt;&gt;"",$P894,"حساب غير صالح أو غير نشط"),IF($O894=ST_REV,"معكوس: لا أثر على الدفاتر",IF($O894=ST_CANC,"ملغى",IF($O894=ST_APPR,"معتمد ولم يُرحَّل","مسودة"))))),"")</f>
        <v/>
      </c>
      <c r="Y894" s="32">
        <f>IF($A894=1,IF(AND($R894=1,OR(LG_Acct="",$G894=LG_Acct),OR(LG_Party="",$K894=LG_Party),OR(LG_Loc="ALL",$I894=LG_Loc),OR(LG_CC="ALL",$J894=LG_CC),$D894&gt;=LG_From,$D894&lt;=LG_To),$D894+ROW()/1000000,""),"")</f>
        <v/>
      </c>
      <c r="Z894" s="32">
        <f>IF($A894=1,IF(Cash_Vouchers!$O37="","",Cash_Vouchers!$O37),"")</f>
        <v/>
      </c>
      <c r="AA894" s="32">
        <f>IF($A894=1,IF(Cash_Vouchers!$P37="","",Cash_Vouchers!$P37),"")</f>
        <v/>
      </c>
      <c r="AB894" s="32">
        <f>IF($A894=1,IF(Cash_Vouchers!$Q37="","",Cash_Vouchers!$Q37),"")</f>
        <v/>
      </c>
      <c r="AC894" s="32">
        <f>IF($A894=1,IF(Cash_Vouchers!$R37="","",Cash_Vouchers!$R37),"")</f>
        <v/>
      </c>
      <c r="AD894" s="32">
        <f>IF($A894=1,IF(Cash_Vouchers!$S37="","",Cash_Vouchers!$S37),"")</f>
        <v/>
      </c>
      <c r="AE894" s="32">
        <f>IF($A894=1,0,"")</f>
        <v/>
      </c>
      <c r="AF894" s="32" t="inlineStr"/>
    </row>
    <row r="895">
      <c r="A895" s="32">
        <f>IF(AND(Cash_Vouchers!$AJ38=1,N(Cash_Vouchers!$I38)&gt;0),1,0)</f>
        <v/>
      </c>
      <c r="B895" s="32">
        <f>IF($A895=1,$E895&amp;"/1","")</f>
        <v/>
      </c>
      <c r="C895" s="32">
        <f>IF($A895=1,"J-"&amp;Cash_Vouchers!$A38,"")</f>
        <v/>
      </c>
      <c r="D895" s="33">
        <f>IF($A895=1,Cash_Vouchers!$B38,"")</f>
        <v/>
      </c>
      <c r="E895" s="32">
        <f>IF($A895=1,IF(Cash_Vouchers!$A38="","",Cash_Vouchers!$A38),"")</f>
        <v/>
      </c>
      <c r="F895" s="32">
        <f>IF($A895=1,"CV","")</f>
        <v/>
      </c>
      <c r="G895" s="32">
        <f>IF($A895=1,IF(Cash_Vouchers!$AA38="","",Cash_Vouchers!$AA38),"")</f>
        <v/>
      </c>
      <c r="H895" s="32">
        <f>IF($A895=1,IF(COUNTIF(COA!$A:$A,$G895)=0,"حساب غير معرف",INDEX(COA!$B:$B,MATCH($G895,COA!$A:$A,0))),"")</f>
        <v/>
      </c>
      <c r="I895" s="32">
        <f>IF($A895=1,IF(Cash_Vouchers!$AC38="","",Cash_Vouchers!$AC38),"")</f>
        <v/>
      </c>
      <c r="J895" s="32">
        <f>IF($A895=1,IF(Cash_Vouchers!$AE38="","",Cash_Vouchers!$AE38),"")</f>
        <v/>
      </c>
      <c r="K895" s="32">
        <f>IF($A895=1,IF(Cash_Vouchers!$AG38="","",Cash_Vouchers!$AG38),"")</f>
        <v/>
      </c>
      <c r="L895" s="32">
        <f>IF($A895=1,IF(Cash_Vouchers!$K38="",Cash_Vouchers!$C38&amp;" - "&amp;Cash_Vouchers!$H38,Cash_Vouchers!$K38),"")</f>
        <v/>
      </c>
      <c r="M895" s="43">
        <f>IF($A895=1,Cash_Vouchers!$I38,"")</f>
        <v/>
      </c>
      <c r="N895" s="43">
        <f>IF($A895=1,0,"")</f>
        <v/>
      </c>
      <c r="O895" s="32">
        <f>IF($A895=1,Cash_Vouchers!$N38,"")</f>
        <v/>
      </c>
      <c r="P895" s="32">
        <f>IF($A895=1,IF(Cash_Vouchers!$AK38="","",Cash_Vouchers!$AK38),"")</f>
        <v/>
      </c>
      <c r="Q895" s="32">
        <f>IF($A895=1,Cash_Vouchers!$AM38,"")</f>
        <v/>
      </c>
      <c r="R895" s="32">
        <f>IF($A895=1,IF(AND($Q895=1,COUNTIFS(COA!$A:$A,$G895,COA!$R:$R,1)=1),1,0),"")</f>
        <v/>
      </c>
      <c r="S895" s="43">
        <f>IF($A895=1,IF($R895=1,N($M895),0),"")</f>
        <v/>
      </c>
      <c r="T895" s="43">
        <f>IF($A895=1,IF($R895=1,N($N895),0),"")</f>
        <v/>
      </c>
      <c r="U895" s="32">
        <f>IF($A895=1,YEAR($D895)*100+MONTH($D895),"")</f>
        <v/>
      </c>
      <c r="V895" s="32">
        <f>IF($A895=1,IF(COUNTIF(COA!$A:$A,$G895)=0,0,INDEX(COA!$H:$H,MATCH($G895,COA!$A:$A,0))),"")</f>
        <v/>
      </c>
      <c r="W895" s="32">
        <f>IF($A895=1,IF(Cash_Vouchers!$AI38="","",Cash_Vouchers!$AI38),"")</f>
        <v/>
      </c>
      <c r="X895" s="32">
        <f>IF($A895=1,IF($R895=1,"",IF($O895=ST_POST,IF($P895&lt;&gt;"",$P895,"حساب غير صالح أو غير نشط"),IF($O895=ST_REV,"معكوس: لا أثر على الدفاتر",IF($O895=ST_CANC,"ملغى",IF($O895=ST_APPR,"معتمد ولم يُرحَّل","مسودة"))))),"")</f>
        <v/>
      </c>
      <c r="Y895" s="32">
        <f>IF($A895=1,IF(AND($R895=1,OR(LG_Acct="",$G895=LG_Acct),OR(LG_Party="",$K895=LG_Party),OR(LG_Loc="ALL",$I895=LG_Loc),OR(LG_CC="ALL",$J895=LG_CC),$D895&gt;=LG_From,$D895&lt;=LG_To),$D895+ROW()/1000000,""),"")</f>
        <v/>
      </c>
      <c r="Z895" s="32">
        <f>IF($A895=1,IF(Cash_Vouchers!$O38="","",Cash_Vouchers!$O38),"")</f>
        <v/>
      </c>
      <c r="AA895" s="32">
        <f>IF($A895=1,IF(Cash_Vouchers!$P38="","",Cash_Vouchers!$P38),"")</f>
        <v/>
      </c>
      <c r="AB895" s="32">
        <f>IF($A895=1,IF(Cash_Vouchers!$Q38="","",Cash_Vouchers!$Q38),"")</f>
        <v/>
      </c>
      <c r="AC895" s="32">
        <f>IF($A895=1,IF(Cash_Vouchers!$R38="","",Cash_Vouchers!$R38),"")</f>
        <v/>
      </c>
      <c r="AD895" s="32">
        <f>IF($A895=1,IF(Cash_Vouchers!$S38="","",Cash_Vouchers!$S38),"")</f>
        <v/>
      </c>
      <c r="AE895" s="32">
        <f>IF($A895=1,0,"")</f>
        <v/>
      </c>
      <c r="AF895" s="32" t="inlineStr"/>
    </row>
    <row r="896">
      <c r="A896" s="32">
        <f>IF(AND(Cash_Vouchers!$AJ38=1,N(Cash_Vouchers!$I38)&gt;0),1,0)</f>
        <v/>
      </c>
      <c r="B896" s="32">
        <f>IF($A896=1,$E896&amp;"/2","")</f>
        <v/>
      </c>
      <c r="C896" s="32">
        <f>IF($A896=1,"J-"&amp;Cash_Vouchers!$A38,"")</f>
        <v/>
      </c>
      <c r="D896" s="33">
        <f>IF($A896=1,Cash_Vouchers!$B38,"")</f>
        <v/>
      </c>
      <c r="E896" s="32">
        <f>IF($A896=1,IF(Cash_Vouchers!$A38="","",Cash_Vouchers!$A38),"")</f>
        <v/>
      </c>
      <c r="F896" s="32">
        <f>IF($A896=1,"CV","")</f>
        <v/>
      </c>
      <c r="G896" s="32">
        <f>IF($A896=1,IF(Cash_Vouchers!$AB38="","",Cash_Vouchers!$AB38),"")</f>
        <v/>
      </c>
      <c r="H896" s="32">
        <f>IF($A896=1,IF(COUNTIF(COA!$A:$A,$G896)=0,"حساب غير معرف",INDEX(COA!$B:$B,MATCH($G896,COA!$A:$A,0))),"")</f>
        <v/>
      </c>
      <c r="I896" s="32">
        <f>IF($A896=1,IF(Cash_Vouchers!$AD38="","",Cash_Vouchers!$AD38),"")</f>
        <v/>
      </c>
      <c r="J896" s="32">
        <f>IF($A896=1,IF(Cash_Vouchers!$AF38="","",Cash_Vouchers!$AF38),"")</f>
        <v/>
      </c>
      <c r="K896" s="32">
        <f>IF($A896=1,IF(Cash_Vouchers!$AH38="","",Cash_Vouchers!$AH38),"")</f>
        <v/>
      </c>
      <c r="L896" s="32">
        <f>IF($A896=1,IF(Cash_Vouchers!$K38="",Cash_Vouchers!$C38&amp;" - "&amp;Cash_Vouchers!$H38,Cash_Vouchers!$K38),"")</f>
        <v/>
      </c>
      <c r="M896" s="43">
        <f>IF($A896=1,0,"")</f>
        <v/>
      </c>
      <c r="N896" s="43">
        <f>IF($A896=1,Cash_Vouchers!$I38,"")</f>
        <v/>
      </c>
      <c r="O896" s="32">
        <f>IF($A896=1,Cash_Vouchers!$N38,"")</f>
        <v/>
      </c>
      <c r="P896" s="32">
        <f>IF($A896=1,IF(Cash_Vouchers!$AK38="","",Cash_Vouchers!$AK38),"")</f>
        <v/>
      </c>
      <c r="Q896" s="32">
        <f>IF($A896=1,Cash_Vouchers!$AM38,"")</f>
        <v/>
      </c>
      <c r="R896" s="32">
        <f>IF($A896=1,IF(AND($Q896=1,COUNTIFS(COA!$A:$A,$G896,COA!$R:$R,1)=1),1,0),"")</f>
        <v/>
      </c>
      <c r="S896" s="43">
        <f>IF($A896=1,IF($R896=1,N($M896),0),"")</f>
        <v/>
      </c>
      <c r="T896" s="43">
        <f>IF($A896=1,IF($R896=1,N($N896),0),"")</f>
        <v/>
      </c>
      <c r="U896" s="32">
        <f>IF($A896=1,YEAR($D896)*100+MONTH($D896),"")</f>
        <v/>
      </c>
      <c r="V896" s="32">
        <f>IF($A896=1,IF(COUNTIF(COA!$A:$A,$G896)=0,0,INDEX(COA!$H:$H,MATCH($G896,COA!$A:$A,0))),"")</f>
        <v/>
      </c>
      <c r="W896" s="32">
        <f>IF($A896=1,IF(Cash_Vouchers!$AI38="","",Cash_Vouchers!$AI38),"")</f>
        <v/>
      </c>
      <c r="X896" s="32">
        <f>IF($A896=1,IF($R896=1,"",IF($O896=ST_POST,IF($P896&lt;&gt;"",$P896,"حساب غير صالح أو غير نشط"),IF($O896=ST_REV,"معكوس: لا أثر على الدفاتر",IF($O896=ST_CANC,"ملغى",IF($O896=ST_APPR,"معتمد ولم يُرحَّل","مسودة"))))),"")</f>
        <v/>
      </c>
      <c r="Y896" s="32">
        <f>IF($A896=1,IF(AND($R896=1,OR(LG_Acct="",$G896=LG_Acct),OR(LG_Party="",$K896=LG_Party),OR(LG_Loc="ALL",$I896=LG_Loc),OR(LG_CC="ALL",$J896=LG_CC),$D896&gt;=LG_From,$D896&lt;=LG_To),$D896+ROW()/1000000,""),"")</f>
        <v/>
      </c>
      <c r="Z896" s="32">
        <f>IF($A896=1,IF(Cash_Vouchers!$O38="","",Cash_Vouchers!$O38),"")</f>
        <v/>
      </c>
      <c r="AA896" s="32">
        <f>IF($A896=1,IF(Cash_Vouchers!$P38="","",Cash_Vouchers!$P38),"")</f>
        <v/>
      </c>
      <c r="AB896" s="32">
        <f>IF($A896=1,IF(Cash_Vouchers!$Q38="","",Cash_Vouchers!$Q38),"")</f>
        <v/>
      </c>
      <c r="AC896" s="32">
        <f>IF($A896=1,IF(Cash_Vouchers!$R38="","",Cash_Vouchers!$R38),"")</f>
        <v/>
      </c>
      <c r="AD896" s="32">
        <f>IF($A896=1,IF(Cash_Vouchers!$S38="","",Cash_Vouchers!$S38),"")</f>
        <v/>
      </c>
      <c r="AE896" s="32">
        <f>IF($A896=1,0,"")</f>
        <v/>
      </c>
      <c r="AF896" s="32" t="inlineStr"/>
    </row>
    <row r="897">
      <c r="A897" s="32">
        <f>IF(AND(Cash_Vouchers!$AJ39=1,N(Cash_Vouchers!$I39)&gt;0),1,0)</f>
        <v/>
      </c>
      <c r="B897" s="32">
        <f>IF($A897=1,$E897&amp;"/1","")</f>
        <v/>
      </c>
      <c r="C897" s="32">
        <f>IF($A897=1,"J-"&amp;Cash_Vouchers!$A39,"")</f>
        <v/>
      </c>
      <c r="D897" s="33">
        <f>IF($A897=1,Cash_Vouchers!$B39,"")</f>
        <v/>
      </c>
      <c r="E897" s="32">
        <f>IF($A897=1,IF(Cash_Vouchers!$A39="","",Cash_Vouchers!$A39),"")</f>
        <v/>
      </c>
      <c r="F897" s="32">
        <f>IF($A897=1,"CV","")</f>
        <v/>
      </c>
      <c r="G897" s="32">
        <f>IF($A897=1,IF(Cash_Vouchers!$AA39="","",Cash_Vouchers!$AA39),"")</f>
        <v/>
      </c>
      <c r="H897" s="32">
        <f>IF($A897=1,IF(COUNTIF(COA!$A:$A,$G897)=0,"حساب غير معرف",INDEX(COA!$B:$B,MATCH($G897,COA!$A:$A,0))),"")</f>
        <v/>
      </c>
      <c r="I897" s="32">
        <f>IF($A897=1,IF(Cash_Vouchers!$AC39="","",Cash_Vouchers!$AC39),"")</f>
        <v/>
      </c>
      <c r="J897" s="32">
        <f>IF($A897=1,IF(Cash_Vouchers!$AE39="","",Cash_Vouchers!$AE39),"")</f>
        <v/>
      </c>
      <c r="K897" s="32">
        <f>IF($A897=1,IF(Cash_Vouchers!$AG39="","",Cash_Vouchers!$AG39),"")</f>
        <v/>
      </c>
      <c r="L897" s="32">
        <f>IF($A897=1,IF(Cash_Vouchers!$K39="",Cash_Vouchers!$C39&amp;" - "&amp;Cash_Vouchers!$H39,Cash_Vouchers!$K39),"")</f>
        <v/>
      </c>
      <c r="M897" s="43">
        <f>IF($A897=1,Cash_Vouchers!$I39,"")</f>
        <v/>
      </c>
      <c r="N897" s="43">
        <f>IF($A897=1,0,"")</f>
        <v/>
      </c>
      <c r="O897" s="32">
        <f>IF($A897=1,Cash_Vouchers!$N39,"")</f>
        <v/>
      </c>
      <c r="P897" s="32">
        <f>IF($A897=1,IF(Cash_Vouchers!$AK39="","",Cash_Vouchers!$AK39),"")</f>
        <v/>
      </c>
      <c r="Q897" s="32">
        <f>IF($A897=1,Cash_Vouchers!$AM39,"")</f>
        <v/>
      </c>
      <c r="R897" s="32">
        <f>IF($A897=1,IF(AND($Q897=1,COUNTIFS(COA!$A:$A,$G897,COA!$R:$R,1)=1),1,0),"")</f>
        <v/>
      </c>
      <c r="S897" s="43">
        <f>IF($A897=1,IF($R897=1,N($M897),0),"")</f>
        <v/>
      </c>
      <c r="T897" s="43">
        <f>IF($A897=1,IF($R897=1,N($N897),0),"")</f>
        <v/>
      </c>
      <c r="U897" s="32">
        <f>IF($A897=1,YEAR($D897)*100+MONTH($D897),"")</f>
        <v/>
      </c>
      <c r="V897" s="32">
        <f>IF($A897=1,IF(COUNTIF(COA!$A:$A,$G897)=0,0,INDEX(COA!$H:$H,MATCH($G897,COA!$A:$A,0))),"")</f>
        <v/>
      </c>
      <c r="W897" s="32">
        <f>IF($A897=1,IF(Cash_Vouchers!$AI39="","",Cash_Vouchers!$AI39),"")</f>
        <v/>
      </c>
      <c r="X897" s="32">
        <f>IF($A897=1,IF($R897=1,"",IF($O897=ST_POST,IF($P897&lt;&gt;"",$P897,"حساب غير صالح أو غير نشط"),IF($O897=ST_REV,"معكوس: لا أثر على الدفاتر",IF($O897=ST_CANC,"ملغى",IF($O897=ST_APPR,"معتمد ولم يُرحَّل","مسودة"))))),"")</f>
        <v/>
      </c>
      <c r="Y897" s="32">
        <f>IF($A897=1,IF(AND($R897=1,OR(LG_Acct="",$G897=LG_Acct),OR(LG_Party="",$K897=LG_Party),OR(LG_Loc="ALL",$I897=LG_Loc),OR(LG_CC="ALL",$J897=LG_CC),$D897&gt;=LG_From,$D897&lt;=LG_To),$D897+ROW()/1000000,""),"")</f>
        <v/>
      </c>
      <c r="Z897" s="32">
        <f>IF($A897=1,IF(Cash_Vouchers!$O39="","",Cash_Vouchers!$O39),"")</f>
        <v/>
      </c>
      <c r="AA897" s="32">
        <f>IF($A897=1,IF(Cash_Vouchers!$P39="","",Cash_Vouchers!$P39),"")</f>
        <v/>
      </c>
      <c r="AB897" s="32">
        <f>IF($A897=1,IF(Cash_Vouchers!$Q39="","",Cash_Vouchers!$Q39),"")</f>
        <v/>
      </c>
      <c r="AC897" s="32">
        <f>IF($A897=1,IF(Cash_Vouchers!$R39="","",Cash_Vouchers!$R39),"")</f>
        <v/>
      </c>
      <c r="AD897" s="32">
        <f>IF($A897=1,IF(Cash_Vouchers!$S39="","",Cash_Vouchers!$S39),"")</f>
        <v/>
      </c>
      <c r="AE897" s="32">
        <f>IF($A897=1,0,"")</f>
        <v/>
      </c>
      <c r="AF897" s="32" t="inlineStr"/>
    </row>
    <row r="898">
      <c r="A898" s="32">
        <f>IF(AND(Cash_Vouchers!$AJ39=1,N(Cash_Vouchers!$I39)&gt;0),1,0)</f>
        <v/>
      </c>
      <c r="B898" s="32">
        <f>IF($A898=1,$E898&amp;"/2","")</f>
        <v/>
      </c>
      <c r="C898" s="32">
        <f>IF($A898=1,"J-"&amp;Cash_Vouchers!$A39,"")</f>
        <v/>
      </c>
      <c r="D898" s="33">
        <f>IF($A898=1,Cash_Vouchers!$B39,"")</f>
        <v/>
      </c>
      <c r="E898" s="32">
        <f>IF($A898=1,IF(Cash_Vouchers!$A39="","",Cash_Vouchers!$A39),"")</f>
        <v/>
      </c>
      <c r="F898" s="32">
        <f>IF($A898=1,"CV","")</f>
        <v/>
      </c>
      <c r="G898" s="32">
        <f>IF($A898=1,IF(Cash_Vouchers!$AB39="","",Cash_Vouchers!$AB39),"")</f>
        <v/>
      </c>
      <c r="H898" s="32">
        <f>IF($A898=1,IF(COUNTIF(COA!$A:$A,$G898)=0,"حساب غير معرف",INDEX(COA!$B:$B,MATCH($G898,COA!$A:$A,0))),"")</f>
        <v/>
      </c>
      <c r="I898" s="32">
        <f>IF($A898=1,IF(Cash_Vouchers!$AD39="","",Cash_Vouchers!$AD39),"")</f>
        <v/>
      </c>
      <c r="J898" s="32">
        <f>IF($A898=1,IF(Cash_Vouchers!$AF39="","",Cash_Vouchers!$AF39),"")</f>
        <v/>
      </c>
      <c r="K898" s="32">
        <f>IF($A898=1,IF(Cash_Vouchers!$AH39="","",Cash_Vouchers!$AH39),"")</f>
        <v/>
      </c>
      <c r="L898" s="32">
        <f>IF($A898=1,IF(Cash_Vouchers!$K39="",Cash_Vouchers!$C39&amp;" - "&amp;Cash_Vouchers!$H39,Cash_Vouchers!$K39),"")</f>
        <v/>
      </c>
      <c r="M898" s="43">
        <f>IF($A898=1,0,"")</f>
        <v/>
      </c>
      <c r="N898" s="43">
        <f>IF($A898=1,Cash_Vouchers!$I39,"")</f>
        <v/>
      </c>
      <c r="O898" s="32">
        <f>IF($A898=1,Cash_Vouchers!$N39,"")</f>
        <v/>
      </c>
      <c r="P898" s="32">
        <f>IF($A898=1,IF(Cash_Vouchers!$AK39="","",Cash_Vouchers!$AK39),"")</f>
        <v/>
      </c>
      <c r="Q898" s="32">
        <f>IF($A898=1,Cash_Vouchers!$AM39,"")</f>
        <v/>
      </c>
      <c r="R898" s="32">
        <f>IF($A898=1,IF(AND($Q898=1,COUNTIFS(COA!$A:$A,$G898,COA!$R:$R,1)=1),1,0),"")</f>
        <v/>
      </c>
      <c r="S898" s="43">
        <f>IF($A898=1,IF($R898=1,N($M898),0),"")</f>
        <v/>
      </c>
      <c r="T898" s="43">
        <f>IF($A898=1,IF($R898=1,N($N898),0),"")</f>
        <v/>
      </c>
      <c r="U898" s="32">
        <f>IF($A898=1,YEAR($D898)*100+MONTH($D898),"")</f>
        <v/>
      </c>
      <c r="V898" s="32">
        <f>IF($A898=1,IF(COUNTIF(COA!$A:$A,$G898)=0,0,INDEX(COA!$H:$H,MATCH($G898,COA!$A:$A,0))),"")</f>
        <v/>
      </c>
      <c r="W898" s="32">
        <f>IF($A898=1,IF(Cash_Vouchers!$AI39="","",Cash_Vouchers!$AI39),"")</f>
        <v/>
      </c>
      <c r="X898" s="32">
        <f>IF($A898=1,IF($R898=1,"",IF($O898=ST_POST,IF($P898&lt;&gt;"",$P898,"حساب غير صالح أو غير نشط"),IF($O898=ST_REV,"معكوس: لا أثر على الدفاتر",IF($O898=ST_CANC,"ملغى",IF($O898=ST_APPR,"معتمد ولم يُرحَّل","مسودة"))))),"")</f>
        <v/>
      </c>
      <c r="Y898" s="32">
        <f>IF($A898=1,IF(AND($R898=1,OR(LG_Acct="",$G898=LG_Acct),OR(LG_Party="",$K898=LG_Party),OR(LG_Loc="ALL",$I898=LG_Loc),OR(LG_CC="ALL",$J898=LG_CC),$D898&gt;=LG_From,$D898&lt;=LG_To),$D898+ROW()/1000000,""),"")</f>
        <v/>
      </c>
      <c r="Z898" s="32">
        <f>IF($A898=1,IF(Cash_Vouchers!$O39="","",Cash_Vouchers!$O39),"")</f>
        <v/>
      </c>
      <c r="AA898" s="32">
        <f>IF($A898=1,IF(Cash_Vouchers!$P39="","",Cash_Vouchers!$P39),"")</f>
        <v/>
      </c>
      <c r="AB898" s="32">
        <f>IF($A898=1,IF(Cash_Vouchers!$Q39="","",Cash_Vouchers!$Q39),"")</f>
        <v/>
      </c>
      <c r="AC898" s="32">
        <f>IF($A898=1,IF(Cash_Vouchers!$R39="","",Cash_Vouchers!$R39),"")</f>
        <v/>
      </c>
      <c r="AD898" s="32">
        <f>IF($A898=1,IF(Cash_Vouchers!$S39="","",Cash_Vouchers!$S39),"")</f>
        <v/>
      </c>
      <c r="AE898" s="32">
        <f>IF($A898=1,0,"")</f>
        <v/>
      </c>
      <c r="AF898" s="32" t="inlineStr"/>
    </row>
    <row r="899">
      <c r="A899" s="32">
        <f>IF(AND(Cash_Vouchers!$AJ40=1,N(Cash_Vouchers!$I40)&gt;0),1,0)</f>
        <v/>
      </c>
      <c r="B899" s="32">
        <f>IF($A899=1,$E899&amp;"/1","")</f>
        <v/>
      </c>
      <c r="C899" s="32">
        <f>IF($A899=1,"J-"&amp;Cash_Vouchers!$A40,"")</f>
        <v/>
      </c>
      <c r="D899" s="33">
        <f>IF($A899=1,Cash_Vouchers!$B40,"")</f>
        <v/>
      </c>
      <c r="E899" s="32">
        <f>IF($A899=1,IF(Cash_Vouchers!$A40="","",Cash_Vouchers!$A40),"")</f>
        <v/>
      </c>
      <c r="F899" s="32">
        <f>IF($A899=1,"CV","")</f>
        <v/>
      </c>
      <c r="G899" s="32">
        <f>IF($A899=1,IF(Cash_Vouchers!$AA40="","",Cash_Vouchers!$AA40),"")</f>
        <v/>
      </c>
      <c r="H899" s="32">
        <f>IF($A899=1,IF(COUNTIF(COA!$A:$A,$G899)=0,"حساب غير معرف",INDEX(COA!$B:$B,MATCH($G899,COA!$A:$A,0))),"")</f>
        <v/>
      </c>
      <c r="I899" s="32">
        <f>IF($A899=1,IF(Cash_Vouchers!$AC40="","",Cash_Vouchers!$AC40),"")</f>
        <v/>
      </c>
      <c r="J899" s="32">
        <f>IF($A899=1,IF(Cash_Vouchers!$AE40="","",Cash_Vouchers!$AE40),"")</f>
        <v/>
      </c>
      <c r="K899" s="32">
        <f>IF($A899=1,IF(Cash_Vouchers!$AG40="","",Cash_Vouchers!$AG40),"")</f>
        <v/>
      </c>
      <c r="L899" s="32">
        <f>IF($A899=1,IF(Cash_Vouchers!$K40="",Cash_Vouchers!$C40&amp;" - "&amp;Cash_Vouchers!$H40,Cash_Vouchers!$K40),"")</f>
        <v/>
      </c>
      <c r="M899" s="43">
        <f>IF($A899=1,Cash_Vouchers!$I40,"")</f>
        <v/>
      </c>
      <c r="N899" s="43">
        <f>IF($A899=1,0,"")</f>
        <v/>
      </c>
      <c r="O899" s="32">
        <f>IF($A899=1,Cash_Vouchers!$N40,"")</f>
        <v/>
      </c>
      <c r="P899" s="32">
        <f>IF($A899=1,IF(Cash_Vouchers!$AK40="","",Cash_Vouchers!$AK40),"")</f>
        <v/>
      </c>
      <c r="Q899" s="32">
        <f>IF($A899=1,Cash_Vouchers!$AM40,"")</f>
        <v/>
      </c>
      <c r="R899" s="32">
        <f>IF($A899=1,IF(AND($Q899=1,COUNTIFS(COA!$A:$A,$G899,COA!$R:$R,1)=1),1,0),"")</f>
        <v/>
      </c>
      <c r="S899" s="43">
        <f>IF($A899=1,IF($R899=1,N($M899),0),"")</f>
        <v/>
      </c>
      <c r="T899" s="43">
        <f>IF($A899=1,IF($R899=1,N($N899),0),"")</f>
        <v/>
      </c>
      <c r="U899" s="32">
        <f>IF($A899=1,YEAR($D899)*100+MONTH($D899),"")</f>
        <v/>
      </c>
      <c r="V899" s="32">
        <f>IF($A899=1,IF(COUNTIF(COA!$A:$A,$G899)=0,0,INDEX(COA!$H:$H,MATCH($G899,COA!$A:$A,0))),"")</f>
        <v/>
      </c>
      <c r="W899" s="32">
        <f>IF($A899=1,IF(Cash_Vouchers!$AI40="","",Cash_Vouchers!$AI40),"")</f>
        <v/>
      </c>
      <c r="X899" s="32">
        <f>IF($A899=1,IF($R899=1,"",IF($O899=ST_POST,IF($P899&lt;&gt;"",$P899,"حساب غير صالح أو غير نشط"),IF($O899=ST_REV,"معكوس: لا أثر على الدفاتر",IF($O899=ST_CANC,"ملغى",IF($O899=ST_APPR,"معتمد ولم يُرحَّل","مسودة"))))),"")</f>
        <v/>
      </c>
      <c r="Y899" s="32">
        <f>IF($A899=1,IF(AND($R899=1,OR(LG_Acct="",$G899=LG_Acct),OR(LG_Party="",$K899=LG_Party),OR(LG_Loc="ALL",$I899=LG_Loc),OR(LG_CC="ALL",$J899=LG_CC),$D899&gt;=LG_From,$D899&lt;=LG_To),$D899+ROW()/1000000,""),"")</f>
        <v/>
      </c>
      <c r="Z899" s="32">
        <f>IF($A899=1,IF(Cash_Vouchers!$O40="","",Cash_Vouchers!$O40),"")</f>
        <v/>
      </c>
      <c r="AA899" s="32">
        <f>IF($A899=1,IF(Cash_Vouchers!$P40="","",Cash_Vouchers!$P40),"")</f>
        <v/>
      </c>
      <c r="AB899" s="32">
        <f>IF($A899=1,IF(Cash_Vouchers!$Q40="","",Cash_Vouchers!$Q40),"")</f>
        <v/>
      </c>
      <c r="AC899" s="32">
        <f>IF($A899=1,IF(Cash_Vouchers!$R40="","",Cash_Vouchers!$R40),"")</f>
        <v/>
      </c>
      <c r="AD899" s="32">
        <f>IF($A899=1,IF(Cash_Vouchers!$S40="","",Cash_Vouchers!$S40),"")</f>
        <v/>
      </c>
      <c r="AE899" s="32">
        <f>IF($A899=1,0,"")</f>
        <v/>
      </c>
      <c r="AF899" s="32" t="inlineStr"/>
    </row>
    <row r="900">
      <c r="A900" s="32">
        <f>IF(AND(Cash_Vouchers!$AJ40=1,N(Cash_Vouchers!$I40)&gt;0),1,0)</f>
        <v/>
      </c>
      <c r="B900" s="32">
        <f>IF($A900=1,$E900&amp;"/2","")</f>
        <v/>
      </c>
      <c r="C900" s="32">
        <f>IF($A900=1,"J-"&amp;Cash_Vouchers!$A40,"")</f>
        <v/>
      </c>
      <c r="D900" s="33">
        <f>IF($A900=1,Cash_Vouchers!$B40,"")</f>
        <v/>
      </c>
      <c r="E900" s="32">
        <f>IF($A900=1,IF(Cash_Vouchers!$A40="","",Cash_Vouchers!$A40),"")</f>
        <v/>
      </c>
      <c r="F900" s="32">
        <f>IF($A900=1,"CV","")</f>
        <v/>
      </c>
      <c r="G900" s="32">
        <f>IF($A900=1,IF(Cash_Vouchers!$AB40="","",Cash_Vouchers!$AB40),"")</f>
        <v/>
      </c>
      <c r="H900" s="32">
        <f>IF($A900=1,IF(COUNTIF(COA!$A:$A,$G900)=0,"حساب غير معرف",INDEX(COA!$B:$B,MATCH($G900,COA!$A:$A,0))),"")</f>
        <v/>
      </c>
      <c r="I900" s="32">
        <f>IF($A900=1,IF(Cash_Vouchers!$AD40="","",Cash_Vouchers!$AD40),"")</f>
        <v/>
      </c>
      <c r="J900" s="32">
        <f>IF($A900=1,IF(Cash_Vouchers!$AF40="","",Cash_Vouchers!$AF40),"")</f>
        <v/>
      </c>
      <c r="K900" s="32">
        <f>IF($A900=1,IF(Cash_Vouchers!$AH40="","",Cash_Vouchers!$AH40),"")</f>
        <v/>
      </c>
      <c r="L900" s="32">
        <f>IF($A900=1,IF(Cash_Vouchers!$K40="",Cash_Vouchers!$C40&amp;" - "&amp;Cash_Vouchers!$H40,Cash_Vouchers!$K40),"")</f>
        <v/>
      </c>
      <c r="M900" s="43">
        <f>IF($A900=1,0,"")</f>
        <v/>
      </c>
      <c r="N900" s="43">
        <f>IF($A900=1,Cash_Vouchers!$I40,"")</f>
        <v/>
      </c>
      <c r="O900" s="32">
        <f>IF($A900=1,Cash_Vouchers!$N40,"")</f>
        <v/>
      </c>
      <c r="P900" s="32">
        <f>IF($A900=1,IF(Cash_Vouchers!$AK40="","",Cash_Vouchers!$AK40),"")</f>
        <v/>
      </c>
      <c r="Q900" s="32">
        <f>IF($A900=1,Cash_Vouchers!$AM40,"")</f>
        <v/>
      </c>
      <c r="R900" s="32">
        <f>IF($A900=1,IF(AND($Q900=1,COUNTIFS(COA!$A:$A,$G900,COA!$R:$R,1)=1),1,0),"")</f>
        <v/>
      </c>
      <c r="S900" s="43">
        <f>IF($A900=1,IF($R900=1,N($M900),0),"")</f>
        <v/>
      </c>
      <c r="T900" s="43">
        <f>IF($A900=1,IF($R900=1,N($N900),0),"")</f>
        <v/>
      </c>
      <c r="U900" s="32">
        <f>IF($A900=1,YEAR($D900)*100+MONTH($D900),"")</f>
        <v/>
      </c>
      <c r="V900" s="32">
        <f>IF($A900=1,IF(COUNTIF(COA!$A:$A,$G900)=0,0,INDEX(COA!$H:$H,MATCH($G900,COA!$A:$A,0))),"")</f>
        <v/>
      </c>
      <c r="W900" s="32">
        <f>IF($A900=1,IF(Cash_Vouchers!$AI40="","",Cash_Vouchers!$AI40),"")</f>
        <v/>
      </c>
      <c r="X900" s="32">
        <f>IF($A900=1,IF($R900=1,"",IF($O900=ST_POST,IF($P900&lt;&gt;"",$P900,"حساب غير صالح أو غير نشط"),IF($O900=ST_REV,"معكوس: لا أثر على الدفاتر",IF($O900=ST_CANC,"ملغى",IF($O900=ST_APPR,"معتمد ولم يُرحَّل","مسودة"))))),"")</f>
        <v/>
      </c>
      <c r="Y900" s="32">
        <f>IF($A900=1,IF(AND($R900=1,OR(LG_Acct="",$G900=LG_Acct),OR(LG_Party="",$K900=LG_Party),OR(LG_Loc="ALL",$I900=LG_Loc),OR(LG_CC="ALL",$J900=LG_CC),$D900&gt;=LG_From,$D900&lt;=LG_To),$D900+ROW()/1000000,""),"")</f>
        <v/>
      </c>
      <c r="Z900" s="32">
        <f>IF($A900=1,IF(Cash_Vouchers!$O40="","",Cash_Vouchers!$O40),"")</f>
        <v/>
      </c>
      <c r="AA900" s="32">
        <f>IF($A900=1,IF(Cash_Vouchers!$P40="","",Cash_Vouchers!$P40),"")</f>
        <v/>
      </c>
      <c r="AB900" s="32">
        <f>IF($A900=1,IF(Cash_Vouchers!$Q40="","",Cash_Vouchers!$Q40),"")</f>
        <v/>
      </c>
      <c r="AC900" s="32">
        <f>IF($A900=1,IF(Cash_Vouchers!$R40="","",Cash_Vouchers!$R40),"")</f>
        <v/>
      </c>
      <c r="AD900" s="32">
        <f>IF($A900=1,IF(Cash_Vouchers!$S40="","",Cash_Vouchers!$S40),"")</f>
        <v/>
      </c>
      <c r="AE900" s="32">
        <f>IF($A900=1,0,"")</f>
        <v/>
      </c>
      <c r="AF900" s="32" t="inlineStr"/>
    </row>
    <row r="901">
      <c r="A901" s="32">
        <f>IF(AND(Cash_Vouchers!$AJ41=1,N(Cash_Vouchers!$I41)&gt;0),1,0)</f>
        <v/>
      </c>
      <c r="B901" s="32">
        <f>IF($A901=1,$E901&amp;"/1","")</f>
        <v/>
      </c>
      <c r="C901" s="32">
        <f>IF($A901=1,"J-"&amp;Cash_Vouchers!$A41,"")</f>
        <v/>
      </c>
      <c r="D901" s="33">
        <f>IF($A901=1,Cash_Vouchers!$B41,"")</f>
        <v/>
      </c>
      <c r="E901" s="32">
        <f>IF($A901=1,IF(Cash_Vouchers!$A41="","",Cash_Vouchers!$A41),"")</f>
        <v/>
      </c>
      <c r="F901" s="32">
        <f>IF($A901=1,"CV","")</f>
        <v/>
      </c>
      <c r="G901" s="32">
        <f>IF($A901=1,IF(Cash_Vouchers!$AA41="","",Cash_Vouchers!$AA41),"")</f>
        <v/>
      </c>
      <c r="H901" s="32">
        <f>IF($A901=1,IF(COUNTIF(COA!$A:$A,$G901)=0,"حساب غير معرف",INDEX(COA!$B:$B,MATCH($G901,COA!$A:$A,0))),"")</f>
        <v/>
      </c>
      <c r="I901" s="32">
        <f>IF($A901=1,IF(Cash_Vouchers!$AC41="","",Cash_Vouchers!$AC41),"")</f>
        <v/>
      </c>
      <c r="J901" s="32">
        <f>IF($A901=1,IF(Cash_Vouchers!$AE41="","",Cash_Vouchers!$AE41),"")</f>
        <v/>
      </c>
      <c r="K901" s="32">
        <f>IF($A901=1,IF(Cash_Vouchers!$AG41="","",Cash_Vouchers!$AG41),"")</f>
        <v/>
      </c>
      <c r="L901" s="32">
        <f>IF($A901=1,IF(Cash_Vouchers!$K41="",Cash_Vouchers!$C41&amp;" - "&amp;Cash_Vouchers!$H41,Cash_Vouchers!$K41),"")</f>
        <v/>
      </c>
      <c r="M901" s="43">
        <f>IF($A901=1,Cash_Vouchers!$I41,"")</f>
        <v/>
      </c>
      <c r="N901" s="43">
        <f>IF($A901=1,0,"")</f>
        <v/>
      </c>
      <c r="O901" s="32">
        <f>IF($A901=1,Cash_Vouchers!$N41,"")</f>
        <v/>
      </c>
      <c r="P901" s="32">
        <f>IF($A901=1,IF(Cash_Vouchers!$AK41="","",Cash_Vouchers!$AK41),"")</f>
        <v/>
      </c>
      <c r="Q901" s="32">
        <f>IF($A901=1,Cash_Vouchers!$AM41,"")</f>
        <v/>
      </c>
      <c r="R901" s="32">
        <f>IF($A901=1,IF(AND($Q901=1,COUNTIFS(COA!$A:$A,$G901,COA!$R:$R,1)=1),1,0),"")</f>
        <v/>
      </c>
      <c r="S901" s="43">
        <f>IF($A901=1,IF($R901=1,N($M901),0),"")</f>
        <v/>
      </c>
      <c r="T901" s="43">
        <f>IF($A901=1,IF($R901=1,N($N901),0),"")</f>
        <v/>
      </c>
      <c r="U901" s="32">
        <f>IF($A901=1,YEAR($D901)*100+MONTH($D901),"")</f>
        <v/>
      </c>
      <c r="V901" s="32">
        <f>IF($A901=1,IF(COUNTIF(COA!$A:$A,$G901)=0,0,INDEX(COA!$H:$H,MATCH($G901,COA!$A:$A,0))),"")</f>
        <v/>
      </c>
      <c r="W901" s="32">
        <f>IF($A901=1,IF(Cash_Vouchers!$AI41="","",Cash_Vouchers!$AI41),"")</f>
        <v/>
      </c>
      <c r="X901" s="32">
        <f>IF($A901=1,IF($R901=1,"",IF($O901=ST_POST,IF($P901&lt;&gt;"",$P901,"حساب غير صالح أو غير نشط"),IF($O901=ST_REV,"معكوس: لا أثر على الدفاتر",IF($O901=ST_CANC,"ملغى",IF($O901=ST_APPR,"معتمد ولم يُرحَّل","مسودة"))))),"")</f>
        <v/>
      </c>
      <c r="Y901" s="32">
        <f>IF($A901=1,IF(AND($R901=1,OR(LG_Acct="",$G901=LG_Acct),OR(LG_Party="",$K901=LG_Party),OR(LG_Loc="ALL",$I901=LG_Loc),OR(LG_CC="ALL",$J901=LG_CC),$D901&gt;=LG_From,$D901&lt;=LG_To),$D901+ROW()/1000000,""),"")</f>
        <v/>
      </c>
      <c r="Z901" s="32">
        <f>IF($A901=1,IF(Cash_Vouchers!$O41="","",Cash_Vouchers!$O41),"")</f>
        <v/>
      </c>
      <c r="AA901" s="32">
        <f>IF($A901=1,IF(Cash_Vouchers!$P41="","",Cash_Vouchers!$P41),"")</f>
        <v/>
      </c>
      <c r="AB901" s="32">
        <f>IF($A901=1,IF(Cash_Vouchers!$Q41="","",Cash_Vouchers!$Q41),"")</f>
        <v/>
      </c>
      <c r="AC901" s="32">
        <f>IF($A901=1,IF(Cash_Vouchers!$R41="","",Cash_Vouchers!$R41),"")</f>
        <v/>
      </c>
      <c r="AD901" s="32">
        <f>IF($A901=1,IF(Cash_Vouchers!$S41="","",Cash_Vouchers!$S41),"")</f>
        <v/>
      </c>
      <c r="AE901" s="32">
        <f>IF($A901=1,0,"")</f>
        <v/>
      </c>
      <c r="AF901" s="32" t="inlineStr"/>
    </row>
    <row r="902">
      <c r="A902" s="32">
        <f>IF(AND(Cash_Vouchers!$AJ41=1,N(Cash_Vouchers!$I41)&gt;0),1,0)</f>
        <v/>
      </c>
      <c r="B902" s="32">
        <f>IF($A902=1,$E902&amp;"/2","")</f>
        <v/>
      </c>
      <c r="C902" s="32">
        <f>IF($A902=1,"J-"&amp;Cash_Vouchers!$A41,"")</f>
        <v/>
      </c>
      <c r="D902" s="33">
        <f>IF($A902=1,Cash_Vouchers!$B41,"")</f>
        <v/>
      </c>
      <c r="E902" s="32">
        <f>IF($A902=1,IF(Cash_Vouchers!$A41="","",Cash_Vouchers!$A41),"")</f>
        <v/>
      </c>
      <c r="F902" s="32">
        <f>IF($A902=1,"CV","")</f>
        <v/>
      </c>
      <c r="G902" s="32">
        <f>IF($A902=1,IF(Cash_Vouchers!$AB41="","",Cash_Vouchers!$AB41),"")</f>
        <v/>
      </c>
      <c r="H902" s="32">
        <f>IF($A902=1,IF(COUNTIF(COA!$A:$A,$G902)=0,"حساب غير معرف",INDEX(COA!$B:$B,MATCH($G902,COA!$A:$A,0))),"")</f>
        <v/>
      </c>
      <c r="I902" s="32">
        <f>IF($A902=1,IF(Cash_Vouchers!$AD41="","",Cash_Vouchers!$AD41),"")</f>
        <v/>
      </c>
      <c r="J902" s="32">
        <f>IF($A902=1,IF(Cash_Vouchers!$AF41="","",Cash_Vouchers!$AF41),"")</f>
        <v/>
      </c>
      <c r="K902" s="32">
        <f>IF($A902=1,IF(Cash_Vouchers!$AH41="","",Cash_Vouchers!$AH41),"")</f>
        <v/>
      </c>
      <c r="L902" s="32">
        <f>IF($A902=1,IF(Cash_Vouchers!$K41="",Cash_Vouchers!$C41&amp;" - "&amp;Cash_Vouchers!$H41,Cash_Vouchers!$K41),"")</f>
        <v/>
      </c>
      <c r="M902" s="43">
        <f>IF($A902=1,0,"")</f>
        <v/>
      </c>
      <c r="N902" s="43">
        <f>IF($A902=1,Cash_Vouchers!$I41,"")</f>
        <v/>
      </c>
      <c r="O902" s="32">
        <f>IF($A902=1,Cash_Vouchers!$N41,"")</f>
        <v/>
      </c>
      <c r="P902" s="32">
        <f>IF($A902=1,IF(Cash_Vouchers!$AK41="","",Cash_Vouchers!$AK41),"")</f>
        <v/>
      </c>
      <c r="Q902" s="32">
        <f>IF($A902=1,Cash_Vouchers!$AM41,"")</f>
        <v/>
      </c>
      <c r="R902" s="32">
        <f>IF($A902=1,IF(AND($Q902=1,COUNTIFS(COA!$A:$A,$G902,COA!$R:$R,1)=1),1,0),"")</f>
        <v/>
      </c>
      <c r="S902" s="43">
        <f>IF($A902=1,IF($R902=1,N($M902),0),"")</f>
        <v/>
      </c>
      <c r="T902" s="43">
        <f>IF($A902=1,IF($R902=1,N($N902),0),"")</f>
        <v/>
      </c>
      <c r="U902" s="32">
        <f>IF($A902=1,YEAR($D902)*100+MONTH($D902),"")</f>
        <v/>
      </c>
      <c r="V902" s="32">
        <f>IF($A902=1,IF(COUNTIF(COA!$A:$A,$G902)=0,0,INDEX(COA!$H:$H,MATCH($G902,COA!$A:$A,0))),"")</f>
        <v/>
      </c>
      <c r="W902" s="32">
        <f>IF($A902=1,IF(Cash_Vouchers!$AI41="","",Cash_Vouchers!$AI41),"")</f>
        <v/>
      </c>
      <c r="X902" s="32">
        <f>IF($A902=1,IF($R902=1,"",IF($O902=ST_POST,IF($P902&lt;&gt;"",$P902,"حساب غير صالح أو غير نشط"),IF($O902=ST_REV,"معكوس: لا أثر على الدفاتر",IF($O902=ST_CANC,"ملغى",IF($O902=ST_APPR,"معتمد ولم يُرحَّل","مسودة"))))),"")</f>
        <v/>
      </c>
      <c r="Y902" s="32">
        <f>IF($A902=1,IF(AND($R902=1,OR(LG_Acct="",$G902=LG_Acct),OR(LG_Party="",$K902=LG_Party),OR(LG_Loc="ALL",$I902=LG_Loc),OR(LG_CC="ALL",$J902=LG_CC),$D902&gt;=LG_From,$D902&lt;=LG_To),$D902+ROW()/1000000,""),"")</f>
        <v/>
      </c>
      <c r="Z902" s="32">
        <f>IF($A902=1,IF(Cash_Vouchers!$O41="","",Cash_Vouchers!$O41),"")</f>
        <v/>
      </c>
      <c r="AA902" s="32">
        <f>IF($A902=1,IF(Cash_Vouchers!$P41="","",Cash_Vouchers!$P41),"")</f>
        <v/>
      </c>
      <c r="AB902" s="32">
        <f>IF($A902=1,IF(Cash_Vouchers!$Q41="","",Cash_Vouchers!$Q41),"")</f>
        <v/>
      </c>
      <c r="AC902" s="32">
        <f>IF($A902=1,IF(Cash_Vouchers!$R41="","",Cash_Vouchers!$R41),"")</f>
        <v/>
      </c>
      <c r="AD902" s="32">
        <f>IF($A902=1,IF(Cash_Vouchers!$S41="","",Cash_Vouchers!$S41),"")</f>
        <v/>
      </c>
      <c r="AE902" s="32">
        <f>IF($A902=1,0,"")</f>
        <v/>
      </c>
      <c r="AF902" s="32" t="inlineStr"/>
    </row>
    <row r="903">
      <c r="A903" s="32">
        <f>IF(AND(Cash_Vouchers!$AJ42=1,N(Cash_Vouchers!$I42)&gt;0),1,0)</f>
        <v/>
      </c>
      <c r="B903" s="32">
        <f>IF($A903=1,$E903&amp;"/1","")</f>
        <v/>
      </c>
      <c r="C903" s="32">
        <f>IF($A903=1,"J-"&amp;Cash_Vouchers!$A42,"")</f>
        <v/>
      </c>
      <c r="D903" s="33">
        <f>IF($A903=1,Cash_Vouchers!$B42,"")</f>
        <v/>
      </c>
      <c r="E903" s="32">
        <f>IF($A903=1,IF(Cash_Vouchers!$A42="","",Cash_Vouchers!$A42),"")</f>
        <v/>
      </c>
      <c r="F903" s="32">
        <f>IF($A903=1,"CV","")</f>
        <v/>
      </c>
      <c r="G903" s="32">
        <f>IF($A903=1,IF(Cash_Vouchers!$AA42="","",Cash_Vouchers!$AA42),"")</f>
        <v/>
      </c>
      <c r="H903" s="32">
        <f>IF($A903=1,IF(COUNTIF(COA!$A:$A,$G903)=0,"حساب غير معرف",INDEX(COA!$B:$B,MATCH($G903,COA!$A:$A,0))),"")</f>
        <v/>
      </c>
      <c r="I903" s="32">
        <f>IF($A903=1,IF(Cash_Vouchers!$AC42="","",Cash_Vouchers!$AC42),"")</f>
        <v/>
      </c>
      <c r="J903" s="32">
        <f>IF($A903=1,IF(Cash_Vouchers!$AE42="","",Cash_Vouchers!$AE42),"")</f>
        <v/>
      </c>
      <c r="K903" s="32">
        <f>IF($A903=1,IF(Cash_Vouchers!$AG42="","",Cash_Vouchers!$AG42),"")</f>
        <v/>
      </c>
      <c r="L903" s="32">
        <f>IF($A903=1,IF(Cash_Vouchers!$K42="",Cash_Vouchers!$C42&amp;" - "&amp;Cash_Vouchers!$H42,Cash_Vouchers!$K42),"")</f>
        <v/>
      </c>
      <c r="M903" s="43">
        <f>IF($A903=1,Cash_Vouchers!$I42,"")</f>
        <v/>
      </c>
      <c r="N903" s="43">
        <f>IF($A903=1,0,"")</f>
        <v/>
      </c>
      <c r="O903" s="32">
        <f>IF($A903=1,Cash_Vouchers!$N42,"")</f>
        <v/>
      </c>
      <c r="P903" s="32">
        <f>IF($A903=1,IF(Cash_Vouchers!$AK42="","",Cash_Vouchers!$AK42),"")</f>
        <v/>
      </c>
      <c r="Q903" s="32">
        <f>IF($A903=1,Cash_Vouchers!$AM42,"")</f>
        <v/>
      </c>
      <c r="R903" s="32">
        <f>IF($A903=1,IF(AND($Q903=1,COUNTIFS(COA!$A:$A,$G903,COA!$R:$R,1)=1),1,0),"")</f>
        <v/>
      </c>
      <c r="S903" s="43">
        <f>IF($A903=1,IF($R903=1,N($M903),0),"")</f>
        <v/>
      </c>
      <c r="T903" s="43">
        <f>IF($A903=1,IF($R903=1,N($N903),0),"")</f>
        <v/>
      </c>
      <c r="U903" s="32">
        <f>IF($A903=1,YEAR($D903)*100+MONTH($D903),"")</f>
        <v/>
      </c>
      <c r="V903" s="32">
        <f>IF($A903=1,IF(COUNTIF(COA!$A:$A,$G903)=0,0,INDEX(COA!$H:$H,MATCH($G903,COA!$A:$A,0))),"")</f>
        <v/>
      </c>
      <c r="W903" s="32">
        <f>IF($A903=1,IF(Cash_Vouchers!$AI42="","",Cash_Vouchers!$AI42),"")</f>
        <v/>
      </c>
      <c r="X903" s="32">
        <f>IF($A903=1,IF($R903=1,"",IF($O903=ST_POST,IF($P903&lt;&gt;"",$P903,"حساب غير صالح أو غير نشط"),IF($O903=ST_REV,"معكوس: لا أثر على الدفاتر",IF($O903=ST_CANC,"ملغى",IF($O903=ST_APPR,"معتمد ولم يُرحَّل","مسودة"))))),"")</f>
        <v/>
      </c>
      <c r="Y903" s="32">
        <f>IF($A903=1,IF(AND($R903=1,OR(LG_Acct="",$G903=LG_Acct),OR(LG_Party="",$K903=LG_Party),OR(LG_Loc="ALL",$I903=LG_Loc),OR(LG_CC="ALL",$J903=LG_CC),$D903&gt;=LG_From,$D903&lt;=LG_To),$D903+ROW()/1000000,""),"")</f>
        <v/>
      </c>
      <c r="Z903" s="32">
        <f>IF($A903=1,IF(Cash_Vouchers!$O42="","",Cash_Vouchers!$O42),"")</f>
        <v/>
      </c>
      <c r="AA903" s="32">
        <f>IF($A903=1,IF(Cash_Vouchers!$P42="","",Cash_Vouchers!$P42),"")</f>
        <v/>
      </c>
      <c r="AB903" s="32">
        <f>IF($A903=1,IF(Cash_Vouchers!$Q42="","",Cash_Vouchers!$Q42),"")</f>
        <v/>
      </c>
      <c r="AC903" s="32">
        <f>IF($A903=1,IF(Cash_Vouchers!$R42="","",Cash_Vouchers!$R42),"")</f>
        <v/>
      </c>
      <c r="AD903" s="32">
        <f>IF($A903=1,IF(Cash_Vouchers!$S42="","",Cash_Vouchers!$S42),"")</f>
        <v/>
      </c>
      <c r="AE903" s="32">
        <f>IF($A903=1,0,"")</f>
        <v/>
      </c>
      <c r="AF903" s="32" t="inlineStr"/>
    </row>
    <row r="904">
      <c r="A904" s="32">
        <f>IF(AND(Cash_Vouchers!$AJ42=1,N(Cash_Vouchers!$I42)&gt;0),1,0)</f>
        <v/>
      </c>
      <c r="B904" s="32">
        <f>IF($A904=1,$E904&amp;"/2","")</f>
        <v/>
      </c>
      <c r="C904" s="32">
        <f>IF($A904=1,"J-"&amp;Cash_Vouchers!$A42,"")</f>
        <v/>
      </c>
      <c r="D904" s="33">
        <f>IF($A904=1,Cash_Vouchers!$B42,"")</f>
        <v/>
      </c>
      <c r="E904" s="32">
        <f>IF($A904=1,IF(Cash_Vouchers!$A42="","",Cash_Vouchers!$A42),"")</f>
        <v/>
      </c>
      <c r="F904" s="32">
        <f>IF($A904=1,"CV","")</f>
        <v/>
      </c>
      <c r="G904" s="32">
        <f>IF($A904=1,IF(Cash_Vouchers!$AB42="","",Cash_Vouchers!$AB42),"")</f>
        <v/>
      </c>
      <c r="H904" s="32">
        <f>IF($A904=1,IF(COUNTIF(COA!$A:$A,$G904)=0,"حساب غير معرف",INDEX(COA!$B:$B,MATCH($G904,COA!$A:$A,0))),"")</f>
        <v/>
      </c>
      <c r="I904" s="32">
        <f>IF($A904=1,IF(Cash_Vouchers!$AD42="","",Cash_Vouchers!$AD42),"")</f>
        <v/>
      </c>
      <c r="J904" s="32">
        <f>IF($A904=1,IF(Cash_Vouchers!$AF42="","",Cash_Vouchers!$AF42),"")</f>
        <v/>
      </c>
      <c r="K904" s="32">
        <f>IF($A904=1,IF(Cash_Vouchers!$AH42="","",Cash_Vouchers!$AH42),"")</f>
        <v/>
      </c>
      <c r="L904" s="32">
        <f>IF($A904=1,IF(Cash_Vouchers!$K42="",Cash_Vouchers!$C42&amp;" - "&amp;Cash_Vouchers!$H42,Cash_Vouchers!$K42),"")</f>
        <v/>
      </c>
      <c r="M904" s="43">
        <f>IF($A904=1,0,"")</f>
        <v/>
      </c>
      <c r="N904" s="43">
        <f>IF($A904=1,Cash_Vouchers!$I42,"")</f>
        <v/>
      </c>
      <c r="O904" s="32">
        <f>IF($A904=1,Cash_Vouchers!$N42,"")</f>
        <v/>
      </c>
      <c r="P904" s="32">
        <f>IF($A904=1,IF(Cash_Vouchers!$AK42="","",Cash_Vouchers!$AK42),"")</f>
        <v/>
      </c>
      <c r="Q904" s="32">
        <f>IF($A904=1,Cash_Vouchers!$AM42,"")</f>
        <v/>
      </c>
      <c r="R904" s="32">
        <f>IF($A904=1,IF(AND($Q904=1,COUNTIFS(COA!$A:$A,$G904,COA!$R:$R,1)=1),1,0),"")</f>
        <v/>
      </c>
      <c r="S904" s="43">
        <f>IF($A904=1,IF($R904=1,N($M904),0),"")</f>
        <v/>
      </c>
      <c r="T904" s="43">
        <f>IF($A904=1,IF($R904=1,N($N904),0),"")</f>
        <v/>
      </c>
      <c r="U904" s="32">
        <f>IF($A904=1,YEAR($D904)*100+MONTH($D904),"")</f>
        <v/>
      </c>
      <c r="V904" s="32">
        <f>IF($A904=1,IF(COUNTIF(COA!$A:$A,$G904)=0,0,INDEX(COA!$H:$H,MATCH($G904,COA!$A:$A,0))),"")</f>
        <v/>
      </c>
      <c r="W904" s="32">
        <f>IF($A904=1,IF(Cash_Vouchers!$AI42="","",Cash_Vouchers!$AI42),"")</f>
        <v/>
      </c>
      <c r="X904" s="32">
        <f>IF($A904=1,IF($R904=1,"",IF($O904=ST_POST,IF($P904&lt;&gt;"",$P904,"حساب غير صالح أو غير نشط"),IF($O904=ST_REV,"معكوس: لا أثر على الدفاتر",IF($O904=ST_CANC,"ملغى",IF($O904=ST_APPR,"معتمد ولم يُرحَّل","مسودة"))))),"")</f>
        <v/>
      </c>
      <c r="Y904" s="32">
        <f>IF($A904=1,IF(AND($R904=1,OR(LG_Acct="",$G904=LG_Acct),OR(LG_Party="",$K904=LG_Party),OR(LG_Loc="ALL",$I904=LG_Loc),OR(LG_CC="ALL",$J904=LG_CC),$D904&gt;=LG_From,$D904&lt;=LG_To),$D904+ROW()/1000000,""),"")</f>
        <v/>
      </c>
      <c r="Z904" s="32">
        <f>IF($A904=1,IF(Cash_Vouchers!$O42="","",Cash_Vouchers!$O42),"")</f>
        <v/>
      </c>
      <c r="AA904" s="32">
        <f>IF($A904=1,IF(Cash_Vouchers!$P42="","",Cash_Vouchers!$P42),"")</f>
        <v/>
      </c>
      <c r="AB904" s="32">
        <f>IF($A904=1,IF(Cash_Vouchers!$Q42="","",Cash_Vouchers!$Q42),"")</f>
        <v/>
      </c>
      <c r="AC904" s="32">
        <f>IF($A904=1,IF(Cash_Vouchers!$R42="","",Cash_Vouchers!$R42),"")</f>
        <v/>
      </c>
      <c r="AD904" s="32">
        <f>IF($A904=1,IF(Cash_Vouchers!$S42="","",Cash_Vouchers!$S42),"")</f>
        <v/>
      </c>
      <c r="AE904" s="32">
        <f>IF($A904=1,0,"")</f>
        <v/>
      </c>
      <c r="AF904" s="32" t="inlineStr"/>
    </row>
    <row r="905">
      <c r="A905" s="32">
        <f>IF(AND(Cash_Vouchers!$AJ43=1,N(Cash_Vouchers!$I43)&gt;0),1,0)</f>
        <v/>
      </c>
      <c r="B905" s="32">
        <f>IF($A905=1,$E905&amp;"/1","")</f>
        <v/>
      </c>
      <c r="C905" s="32">
        <f>IF($A905=1,"J-"&amp;Cash_Vouchers!$A43,"")</f>
        <v/>
      </c>
      <c r="D905" s="33">
        <f>IF($A905=1,Cash_Vouchers!$B43,"")</f>
        <v/>
      </c>
      <c r="E905" s="32">
        <f>IF($A905=1,IF(Cash_Vouchers!$A43="","",Cash_Vouchers!$A43),"")</f>
        <v/>
      </c>
      <c r="F905" s="32">
        <f>IF($A905=1,"CV","")</f>
        <v/>
      </c>
      <c r="G905" s="32">
        <f>IF($A905=1,IF(Cash_Vouchers!$AA43="","",Cash_Vouchers!$AA43),"")</f>
        <v/>
      </c>
      <c r="H905" s="32">
        <f>IF($A905=1,IF(COUNTIF(COA!$A:$A,$G905)=0,"حساب غير معرف",INDEX(COA!$B:$B,MATCH($G905,COA!$A:$A,0))),"")</f>
        <v/>
      </c>
      <c r="I905" s="32">
        <f>IF($A905=1,IF(Cash_Vouchers!$AC43="","",Cash_Vouchers!$AC43),"")</f>
        <v/>
      </c>
      <c r="J905" s="32">
        <f>IF($A905=1,IF(Cash_Vouchers!$AE43="","",Cash_Vouchers!$AE43),"")</f>
        <v/>
      </c>
      <c r="K905" s="32">
        <f>IF($A905=1,IF(Cash_Vouchers!$AG43="","",Cash_Vouchers!$AG43),"")</f>
        <v/>
      </c>
      <c r="L905" s="32">
        <f>IF($A905=1,IF(Cash_Vouchers!$K43="",Cash_Vouchers!$C43&amp;" - "&amp;Cash_Vouchers!$H43,Cash_Vouchers!$K43),"")</f>
        <v/>
      </c>
      <c r="M905" s="43">
        <f>IF($A905=1,Cash_Vouchers!$I43,"")</f>
        <v/>
      </c>
      <c r="N905" s="43">
        <f>IF($A905=1,0,"")</f>
        <v/>
      </c>
      <c r="O905" s="32">
        <f>IF($A905=1,Cash_Vouchers!$N43,"")</f>
        <v/>
      </c>
      <c r="P905" s="32">
        <f>IF($A905=1,IF(Cash_Vouchers!$AK43="","",Cash_Vouchers!$AK43),"")</f>
        <v/>
      </c>
      <c r="Q905" s="32">
        <f>IF($A905=1,Cash_Vouchers!$AM43,"")</f>
        <v/>
      </c>
      <c r="R905" s="32">
        <f>IF($A905=1,IF(AND($Q905=1,COUNTIFS(COA!$A:$A,$G905,COA!$R:$R,1)=1),1,0),"")</f>
        <v/>
      </c>
      <c r="S905" s="43">
        <f>IF($A905=1,IF($R905=1,N($M905),0),"")</f>
        <v/>
      </c>
      <c r="T905" s="43">
        <f>IF($A905=1,IF($R905=1,N($N905),0),"")</f>
        <v/>
      </c>
      <c r="U905" s="32">
        <f>IF($A905=1,YEAR($D905)*100+MONTH($D905),"")</f>
        <v/>
      </c>
      <c r="V905" s="32">
        <f>IF($A905=1,IF(COUNTIF(COA!$A:$A,$G905)=0,0,INDEX(COA!$H:$H,MATCH($G905,COA!$A:$A,0))),"")</f>
        <v/>
      </c>
      <c r="W905" s="32">
        <f>IF($A905=1,IF(Cash_Vouchers!$AI43="","",Cash_Vouchers!$AI43),"")</f>
        <v/>
      </c>
      <c r="X905" s="32">
        <f>IF($A905=1,IF($R905=1,"",IF($O905=ST_POST,IF($P905&lt;&gt;"",$P905,"حساب غير صالح أو غير نشط"),IF($O905=ST_REV,"معكوس: لا أثر على الدفاتر",IF($O905=ST_CANC,"ملغى",IF($O905=ST_APPR,"معتمد ولم يُرحَّل","مسودة"))))),"")</f>
        <v/>
      </c>
      <c r="Y905" s="32">
        <f>IF($A905=1,IF(AND($R905=1,OR(LG_Acct="",$G905=LG_Acct),OR(LG_Party="",$K905=LG_Party),OR(LG_Loc="ALL",$I905=LG_Loc),OR(LG_CC="ALL",$J905=LG_CC),$D905&gt;=LG_From,$D905&lt;=LG_To),$D905+ROW()/1000000,""),"")</f>
        <v/>
      </c>
      <c r="Z905" s="32">
        <f>IF($A905=1,IF(Cash_Vouchers!$O43="","",Cash_Vouchers!$O43),"")</f>
        <v/>
      </c>
      <c r="AA905" s="32">
        <f>IF($A905=1,IF(Cash_Vouchers!$P43="","",Cash_Vouchers!$P43),"")</f>
        <v/>
      </c>
      <c r="AB905" s="32">
        <f>IF($A905=1,IF(Cash_Vouchers!$Q43="","",Cash_Vouchers!$Q43),"")</f>
        <v/>
      </c>
      <c r="AC905" s="32">
        <f>IF($A905=1,IF(Cash_Vouchers!$R43="","",Cash_Vouchers!$R43),"")</f>
        <v/>
      </c>
      <c r="AD905" s="32">
        <f>IF($A905=1,IF(Cash_Vouchers!$S43="","",Cash_Vouchers!$S43),"")</f>
        <v/>
      </c>
      <c r="AE905" s="32">
        <f>IF($A905=1,0,"")</f>
        <v/>
      </c>
      <c r="AF905" s="32" t="inlineStr"/>
    </row>
    <row r="906">
      <c r="A906" s="32">
        <f>IF(AND(Cash_Vouchers!$AJ43=1,N(Cash_Vouchers!$I43)&gt;0),1,0)</f>
        <v/>
      </c>
      <c r="B906" s="32">
        <f>IF($A906=1,$E906&amp;"/2","")</f>
        <v/>
      </c>
      <c r="C906" s="32">
        <f>IF($A906=1,"J-"&amp;Cash_Vouchers!$A43,"")</f>
        <v/>
      </c>
      <c r="D906" s="33">
        <f>IF($A906=1,Cash_Vouchers!$B43,"")</f>
        <v/>
      </c>
      <c r="E906" s="32">
        <f>IF($A906=1,IF(Cash_Vouchers!$A43="","",Cash_Vouchers!$A43),"")</f>
        <v/>
      </c>
      <c r="F906" s="32">
        <f>IF($A906=1,"CV","")</f>
        <v/>
      </c>
      <c r="G906" s="32">
        <f>IF($A906=1,IF(Cash_Vouchers!$AB43="","",Cash_Vouchers!$AB43),"")</f>
        <v/>
      </c>
      <c r="H906" s="32">
        <f>IF($A906=1,IF(COUNTIF(COA!$A:$A,$G906)=0,"حساب غير معرف",INDEX(COA!$B:$B,MATCH($G906,COA!$A:$A,0))),"")</f>
        <v/>
      </c>
      <c r="I906" s="32">
        <f>IF($A906=1,IF(Cash_Vouchers!$AD43="","",Cash_Vouchers!$AD43),"")</f>
        <v/>
      </c>
      <c r="J906" s="32">
        <f>IF($A906=1,IF(Cash_Vouchers!$AF43="","",Cash_Vouchers!$AF43),"")</f>
        <v/>
      </c>
      <c r="K906" s="32">
        <f>IF($A906=1,IF(Cash_Vouchers!$AH43="","",Cash_Vouchers!$AH43),"")</f>
        <v/>
      </c>
      <c r="L906" s="32">
        <f>IF($A906=1,IF(Cash_Vouchers!$K43="",Cash_Vouchers!$C43&amp;" - "&amp;Cash_Vouchers!$H43,Cash_Vouchers!$K43),"")</f>
        <v/>
      </c>
      <c r="M906" s="43">
        <f>IF($A906=1,0,"")</f>
        <v/>
      </c>
      <c r="N906" s="43">
        <f>IF($A906=1,Cash_Vouchers!$I43,"")</f>
        <v/>
      </c>
      <c r="O906" s="32">
        <f>IF($A906=1,Cash_Vouchers!$N43,"")</f>
        <v/>
      </c>
      <c r="P906" s="32">
        <f>IF($A906=1,IF(Cash_Vouchers!$AK43="","",Cash_Vouchers!$AK43),"")</f>
        <v/>
      </c>
      <c r="Q906" s="32">
        <f>IF($A906=1,Cash_Vouchers!$AM43,"")</f>
        <v/>
      </c>
      <c r="R906" s="32">
        <f>IF($A906=1,IF(AND($Q906=1,COUNTIFS(COA!$A:$A,$G906,COA!$R:$R,1)=1),1,0),"")</f>
        <v/>
      </c>
      <c r="S906" s="43">
        <f>IF($A906=1,IF($R906=1,N($M906),0),"")</f>
        <v/>
      </c>
      <c r="T906" s="43">
        <f>IF($A906=1,IF($R906=1,N($N906),0),"")</f>
        <v/>
      </c>
      <c r="U906" s="32">
        <f>IF($A906=1,YEAR($D906)*100+MONTH($D906),"")</f>
        <v/>
      </c>
      <c r="V906" s="32">
        <f>IF($A906=1,IF(COUNTIF(COA!$A:$A,$G906)=0,0,INDEX(COA!$H:$H,MATCH($G906,COA!$A:$A,0))),"")</f>
        <v/>
      </c>
      <c r="W906" s="32">
        <f>IF($A906=1,IF(Cash_Vouchers!$AI43="","",Cash_Vouchers!$AI43),"")</f>
        <v/>
      </c>
      <c r="X906" s="32">
        <f>IF($A906=1,IF($R906=1,"",IF($O906=ST_POST,IF($P906&lt;&gt;"",$P906,"حساب غير صالح أو غير نشط"),IF($O906=ST_REV,"معكوس: لا أثر على الدفاتر",IF($O906=ST_CANC,"ملغى",IF($O906=ST_APPR,"معتمد ولم يُرحَّل","مسودة"))))),"")</f>
        <v/>
      </c>
      <c r="Y906" s="32">
        <f>IF($A906=1,IF(AND($R906=1,OR(LG_Acct="",$G906=LG_Acct),OR(LG_Party="",$K906=LG_Party),OR(LG_Loc="ALL",$I906=LG_Loc),OR(LG_CC="ALL",$J906=LG_CC),$D906&gt;=LG_From,$D906&lt;=LG_To),$D906+ROW()/1000000,""),"")</f>
        <v/>
      </c>
      <c r="Z906" s="32">
        <f>IF($A906=1,IF(Cash_Vouchers!$O43="","",Cash_Vouchers!$O43),"")</f>
        <v/>
      </c>
      <c r="AA906" s="32">
        <f>IF($A906=1,IF(Cash_Vouchers!$P43="","",Cash_Vouchers!$P43),"")</f>
        <v/>
      </c>
      <c r="AB906" s="32">
        <f>IF($A906=1,IF(Cash_Vouchers!$Q43="","",Cash_Vouchers!$Q43),"")</f>
        <v/>
      </c>
      <c r="AC906" s="32">
        <f>IF($A906=1,IF(Cash_Vouchers!$R43="","",Cash_Vouchers!$R43),"")</f>
        <v/>
      </c>
      <c r="AD906" s="32">
        <f>IF($A906=1,IF(Cash_Vouchers!$S43="","",Cash_Vouchers!$S43),"")</f>
        <v/>
      </c>
      <c r="AE906" s="32">
        <f>IF($A906=1,0,"")</f>
        <v/>
      </c>
      <c r="AF906" s="32" t="inlineStr"/>
    </row>
    <row r="907">
      <c r="A907" s="32">
        <f>IF(AND(Cash_Vouchers!$AJ44=1,N(Cash_Vouchers!$I44)&gt;0),1,0)</f>
        <v/>
      </c>
      <c r="B907" s="32">
        <f>IF($A907=1,$E907&amp;"/1","")</f>
        <v/>
      </c>
      <c r="C907" s="32">
        <f>IF($A907=1,"J-"&amp;Cash_Vouchers!$A44,"")</f>
        <v/>
      </c>
      <c r="D907" s="33">
        <f>IF($A907=1,Cash_Vouchers!$B44,"")</f>
        <v/>
      </c>
      <c r="E907" s="32">
        <f>IF($A907=1,IF(Cash_Vouchers!$A44="","",Cash_Vouchers!$A44),"")</f>
        <v/>
      </c>
      <c r="F907" s="32">
        <f>IF($A907=1,"CV","")</f>
        <v/>
      </c>
      <c r="G907" s="32">
        <f>IF($A907=1,IF(Cash_Vouchers!$AA44="","",Cash_Vouchers!$AA44),"")</f>
        <v/>
      </c>
      <c r="H907" s="32">
        <f>IF($A907=1,IF(COUNTIF(COA!$A:$A,$G907)=0,"حساب غير معرف",INDEX(COA!$B:$B,MATCH($G907,COA!$A:$A,0))),"")</f>
        <v/>
      </c>
      <c r="I907" s="32">
        <f>IF($A907=1,IF(Cash_Vouchers!$AC44="","",Cash_Vouchers!$AC44),"")</f>
        <v/>
      </c>
      <c r="J907" s="32">
        <f>IF($A907=1,IF(Cash_Vouchers!$AE44="","",Cash_Vouchers!$AE44),"")</f>
        <v/>
      </c>
      <c r="K907" s="32">
        <f>IF($A907=1,IF(Cash_Vouchers!$AG44="","",Cash_Vouchers!$AG44),"")</f>
        <v/>
      </c>
      <c r="L907" s="32">
        <f>IF($A907=1,IF(Cash_Vouchers!$K44="",Cash_Vouchers!$C44&amp;" - "&amp;Cash_Vouchers!$H44,Cash_Vouchers!$K44),"")</f>
        <v/>
      </c>
      <c r="M907" s="43">
        <f>IF($A907=1,Cash_Vouchers!$I44,"")</f>
        <v/>
      </c>
      <c r="N907" s="43">
        <f>IF($A907=1,0,"")</f>
        <v/>
      </c>
      <c r="O907" s="32">
        <f>IF($A907=1,Cash_Vouchers!$N44,"")</f>
        <v/>
      </c>
      <c r="P907" s="32">
        <f>IF($A907=1,IF(Cash_Vouchers!$AK44="","",Cash_Vouchers!$AK44),"")</f>
        <v/>
      </c>
      <c r="Q907" s="32">
        <f>IF($A907=1,Cash_Vouchers!$AM44,"")</f>
        <v/>
      </c>
      <c r="R907" s="32">
        <f>IF($A907=1,IF(AND($Q907=1,COUNTIFS(COA!$A:$A,$G907,COA!$R:$R,1)=1),1,0),"")</f>
        <v/>
      </c>
      <c r="S907" s="43">
        <f>IF($A907=1,IF($R907=1,N($M907),0),"")</f>
        <v/>
      </c>
      <c r="T907" s="43">
        <f>IF($A907=1,IF($R907=1,N($N907),0),"")</f>
        <v/>
      </c>
      <c r="U907" s="32">
        <f>IF($A907=1,YEAR($D907)*100+MONTH($D907),"")</f>
        <v/>
      </c>
      <c r="V907" s="32">
        <f>IF($A907=1,IF(COUNTIF(COA!$A:$A,$G907)=0,0,INDEX(COA!$H:$H,MATCH($G907,COA!$A:$A,0))),"")</f>
        <v/>
      </c>
      <c r="W907" s="32">
        <f>IF($A907=1,IF(Cash_Vouchers!$AI44="","",Cash_Vouchers!$AI44),"")</f>
        <v/>
      </c>
      <c r="X907" s="32">
        <f>IF($A907=1,IF($R907=1,"",IF($O907=ST_POST,IF($P907&lt;&gt;"",$P907,"حساب غير صالح أو غير نشط"),IF($O907=ST_REV,"معكوس: لا أثر على الدفاتر",IF($O907=ST_CANC,"ملغى",IF($O907=ST_APPR,"معتمد ولم يُرحَّل","مسودة"))))),"")</f>
        <v/>
      </c>
      <c r="Y907" s="32">
        <f>IF($A907=1,IF(AND($R907=1,OR(LG_Acct="",$G907=LG_Acct),OR(LG_Party="",$K907=LG_Party),OR(LG_Loc="ALL",$I907=LG_Loc),OR(LG_CC="ALL",$J907=LG_CC),$D907&gt;=LG_From,$D907&lt;=LG_To),$D907+ROW()/1000000,""),"")</f>
        <v/>
      </c>
      <c r="Z907" s="32">
        <f>IF($A907=1,IF(Cash_Vouchers!$O44="","",Cash_Vouchers!$O44),"")</f>
        <v/>
      </c>
      <c r="AA907" s="32">
        <f>IF($A907=1,IF(Cash_Vouchers!$P44="","",Cash_Vouchers!$P44),"")</f>
        <v/>
      </c>
      <c r="AB907" s="32">
        <f>IF($A907=1,IF(Cash_Vouchers!$Q44="","",Cash_Vouchers!$Q44),"")</f>
        <v/>
      </c>
      <c r="AC907" s="32">
        <f>IF($A907=1,IF(Cash_Vouchers!$R44="","",Cash_Vouchers!$R44),"")</f>
        <v/>
      </c>
      <c r="AD907" s="32">
        <f>IF($A907=1,IF(Cash_Vouchers!$S44="","",Cash_Vouchers!$S44),"")</f>
        <v/>
      </c>
      <c r="AE907" s="32">
        <f>IF($A907=1,0,"")</f>
        <v/>
      </c>
      <c r="AF907" s="32" t="inlineStr"/>
    </row>
    <row r="908">
      <c r="A908" s="32">
        <f>IF(AND(Cash_Vouchers!$AJ44=1,N(Cash_Vouchers!$I44)&gt;0),1,0)</f>
        <v/>
      </c>
      <c r="B908" s="32">
        <f>IF($A908=1,$E908&amp;"/2","")</f>
        <v/>
      </c>
      <c r="C908" s="32">
        <f>IF($A908=1,"J-"&amp;Cash_Vouchers!$A44,"")</f>
        <v/>
      </c>
      <c r="D908" s="33">
        <f>IF($A908=1,Cash_Vouchers!$B44,"")</f>
        <v/>
      </c>
      <c r="E908" s="32">
        <f>IF($A908=1,IF(Cash_Vouchers!$A44="","",Cash_Vouchers!$A44),"")</f>
        <v/>
      </c>
      <c r="F908" s="32">
        <f>IF($A908=1,"CV","")</f>
        <v/>
      </c>
      <c r="G908" s="32">
        <f>IF($A908=1,IF(Cash_Vouchers!$AB44="","",Cash_Vouchers!$AB44),"")</f>
        <v/>
      </c>
      <c r="H908" s="32">
        <f>IF($A908=1,IF(COUNTIF(COA!$A:$A,$G908)=0,"حساب غير معرف",INDEX(COA!$B:$B,MATCH($G908,COA!$A:$A,0))),"")</f>
        <v/>
      </c>
      <c r="I908" s="32">
        <f>IF($A908=1,IF(Cash_Vouchers!$AD44="","",Cash_Vouchers!$AD44),"")</f>
        <v/>
      </c>
      <c r="J908" s="32">
        <f>IF($A908=1,IF(Cash_Vouchers!$AF44="","",Cash_Vouchers!$AF44),"")</f>
        <v/>
      </c>
      <c r="K908" s="32">
        <f>IF($A908=1,IF(Cash_Vouchers!$AH44="","",Cash_Vouchers!$AH44),"")</f>
        <v/>
      </c>
      <c r="L908" s="32">
        <f>IF($A908=1,IF(Cash_Vouchers!$K44="",Cash_Vouchers!$C44&amp;" - "&amp;Cash_Vouchers!$H44,Cash_Vouchers!$K44),"")</f>
        <v/>
      </c>
      <c r="M908" s="43">
        <f>IF($A908=1,0,"")</f>
        <v/>
      </c>
      <c r="N908" s="43">
        <f>IF($A908=1,Cash_Vouchers!$I44,"")</f>
        <v/>
      </c>
      <c r="O908" s="32">
        <f>IF($A908=1,Cash_Vouchers!$N44,"")</f>
        <v/>
      </c>
      <c r="P908" s="32">
        <f>IF($A908=1,IF(Cash_Vouchers!$AK44="","",Cash_Vouchers!$AK44),"")</f>
        <v/>
      </c>
      <c r="Q908" s="32">
        <f>IF($A908=1,Cash_Vouchers!$AM44,"")</f>
        <v/>
      </c>
      <c r="R908" s="32">
        <f>IF($A908=1,IF(AND($Q908=1,COUNTIFS(COA!$A:$A,$G908,COA!$R:$R,1)=1),1,0),"")</f>
        <v/>
      </c>
      <c r="S908" s="43">
        <f>IF($A908=1,IF($R908=1,N($M908),0),"")</f>
        <v/>
      </c>
      <c r="T908" s="43">
        <f>IF($A908=1,IF($R908=1,N($N908),0),"")</f>
        <v/>
      </c>
      <c r="U908" s="32">
        <f>IF($A908=1,YEAR($D908)*100+MONTH($D908),"")</f>
        <v/>
      </c>
      <c r="V908" s="32">
        <f>IF($A908=1,IF(COUNTIF(COA!$A:$A,$G908)=0,0,INDEX(COA!$H:$H,MATCH($G908,COA!$A:$A,0))),"")</f>
        <v/>
      </c>
      <c r="W908" s="32">
        <f>IF($A908=1,IF(Cash_Vouchers!$AI44="","",Cash_Vouchers!$AI44),"")</f>
        <v/>
      </c>
      <c r="X908" s="32">
        <f>IF($A908=1,IF($R908=1,"",IF($O908=ST_POST,IF($P908&lt;&gt;"",$P908,"حساب غير صالح أو غير نشط"),IF($O908=ST_REV,"معكوس: لا أثر على الدفاتر",IF($O908=ST_CANC,"ملغى",IF($O908=ST_APPR,"معتمد ولم يُرحَّل","مسودة"))))),"")</f>
        <v/>
      </c>
      <c r="Y908" s="32">
        <f>IF($A908=1,IF(AND($R908=1,OR(LG_Acct="",$G908=LG_Acct),OR(LG_Party="",$K908=LG_Party),OR(LG_Loc="ALL",$I908=LG_Loc),OR(LG_CC="ALL",$J908=LG_CC),$D908&gt;=LG_From,$D908&lt;=LG_To),$D908+ROW()/1000000,""),"")</f>
        <v/>
      </c>
      <c r="Z908" s="32">
        <f>IF($A908=1,IF(Cash_Vouchers!$O44="","",Cash_Vouchers!$O44),"")</f>
        <v/>
      </c>
      <c r="AA908" s="32">
        <f>IF($A908=1,IF(Cash_Vouchers!$P44="","",Cash_Vouchers!$P44),"")</f>
        <v/>
      </c>
      <c r="AB908" s="32">
        <f>IF($A908=1,IF(Cash_Vouchers!$Q44="","",Cash_Vouchers!$Q44),"")</f>
        <v/>
      </c>
      <c r="AC908" s="32">
        <f>IF($A908=1,IF(Cash_Vouchers!$R44="","",Cash_Vouchers!$R44),"")</f>
        <v/>
      </c>
      <c r="AD908" s="32">
        <f>IF($A908=1,IF(Cash_Vouchers!$S44="","",Cash_Vouchers!$S44),"")</f>
        <v/>
      </c>
      <c r="AE908" s="32">
        <f>IF($A908=1,0,"")</f>
        <v/>
      </c>
      <c r="AF908" s="32" t="inlineStr"/>
    </row>
    <row r="909">
      <c r="A909" s="32">
        <f>IF(AND(Cash_Vouchers!$AJ45=1,N(Cash_Vouchers!$I45)&gt;0),1,0)</f>
        <v/>
      </c>
      <c r="B909" s="32">
        <f>IF($A909=1,$E909&amp;"/1","")</f>
        <v/>
      </c>
      <c r="C909" s="32">
        <f>IF($A909=1,"J-"&amp;Cash_Vouchers!$A45,"")</f>
        <v/>
      </c>
      <c r="D909" s="33">
        <f>IF($A909=1,Cash_Vouchers!$B45,"")</f>
        <v/>
      </c>
      <c r="E909" s="32">
        <f>IF($A909=1,IF(Cash_Vouchers!$A45="","",Cash_Vouchers!$A45),"")</f>
        <v/>
      </c>
      <c r="F909" s="32">
        <f>IF($A909=1,"CV","")</f>
        <v/>
      </c>
      <c r="G909" s="32">
        <f>IF($A909=1,IF(Cash_Vouchers!$AA45="","",Cash_Vouchers!$AA45),"")</f>
        <v/>
      </c>
      <c r="H909" s="32">
        <f>IF($A909=1,IF(COUNTIF(COA!$A:$A,$G909)=0,"حساب غير معرف",INDEX(COA!$B:$B,MATCH($G909,COA!$A:$A,0))),"")</f>
        <v/>
      </c>
      <c r="I909" s="32">
        <f>IF($A909=1,IF(Cash_Vouchers!$AC45="","",Cash_Vouchers!$AC45),"")</f>
        <v/>
      </c>
      <c r="J909" s="32">
        <f>IF($A909=1,IF(Cash_Vouchers!$AE45="","",Cash_Vouchers!$AE45),"")</f>
        <v/>
      </c>
      <c r="K909" s="32">
        <f>IF($A909=1,IF(Cash_Vouchers!$AG45="","",Cash_Vouchers!$AG45),"")</f>
        <v/>
      </c>
      <c r="L909" s="32">
        <f>IF($A909=1,IF(Cash_Vouchers!$K45="",Cash_Vouchers!$C45&amp;" - "&amp;Cash_Vouchers!$H45,Cash_Vouchers!$K45),"")</f>
        <v/>
      </c>
      <c r="M909" s="43">
        <f>IF($A909=1,Cash_Vouchers!$I45,"")</f>
        <v/>
      </c>
      <c r="N909" s="43">
        <f>IF($A909=1,0,"")</f>
        <v/>
      </c>
      <c r="O909" s="32">
        <f>IF($A909=1,Cash_Vouchers!$N45,"")</f>
        <v/>
      </c>
      <c r="P909" s="32">
        <f>IF($A909=1,IF(Cash_Vouchers!$AK45="","",Cash_Vouchers!$AK45),"")</f>
        <v/>
      </c>
      <c r="Q909" s="32">
        <f>IF($A909=1,Cash_Vouchers!$AM45,"")</f>
        <v/>
      </c>
      <c r="R909" s="32">
        <f>IF($A909=1,IF(AND($Q909=1,COUNTIFS(COA!$A:$A,$G909,COA!$R:$R,1)=1),1,0),"")</f>
        <v/>
      </c>
      <c r="S909" s="43">
        <f>IF($A909=1,IF($R909=1,N($M909),0),"")</f>
        <v/>
      </c>
      <c r="T909" s="43">
        <f>IF($A909=1,IF($R909=1,N($N909),0),"")</f>
        <v/>
      </c>
      <c r="U909" s="32">
        <f>IF($A909=1,YEAR($D909)*100+MONTH($D909),"")</f>
        <v/>
      </c>
      <c r="V909" s="32">
        <f>IF($A909=1,IF(COUNTIF(COA!$A:$A,$G909)=0,0,INDEX(COA!$H:$H,MATCH($G909,COA!$A:$A,0))),"")</f>
        <v/>
      </c>
      <c r="W909" s="32">
        <f>IF($A909=1,IF(Cash_Vouchers!$AI45="","",Cash_Vouchers!$AI45),"")</f>
        <v/>
      </c>
      <c r="X909" s="32">
        <f>IF($A909=1,IF($R909=1,"",IF($O909=ST_POST,IF($P909&lt;&gt;"",$P909,"حساب غير صالح أو غير نشط"),IF($O909=ST_REV,"معكوس: لا أثر على الدفاتر",IF($O909=ST_CANC,"ملغى",IF($O909=ST_APPR,"معتمد ولم يُرحَّل","مسودة"))))),"")</f>
        <v/>
      </c>
      <c r="Y909" s="32">
        <f>IF($A909=1,IF(AND($R909=1,OR(LG_Acct="",$G909=LG_Acct),OR(LG_Party="",$K909=LG_Party),OR(LG_Loc="ALL",$I909=LG_Loc),OR(LG_CC="ALL",$J909=LG_CC),$D909&gt;=LG_From,$D909&lt;=LG_To),$D909+ROW()/1000000,""),"")</f>
        <v/>
      </c>
      <c r="Z909" s="32">
        <f>IF($A909=1,IF(Cash_Vouchers!$O45="","",Cash_Vouchers!$O45),"")</f>
        <v/>
      </c>
      <c r="AA909" s="32">
        <f>IF($A909=1,IF(Cash_Vouchers!$P45="","",Cash_Vouchers!$P45),"")</f>
        <v/>
      </c>
      <c r="AB909" s="32">
        <f>IF($A909=1,IF(Cash_Vouchers!$Q45="","",Cash_Vouchers!$Q45),"")</f>
        <v/>
      </c>
      <c r="AC909" s="32">
        <f>IF($A909=1,IF(Cash_Vouchers!$R45="","",Cash_Vouchers!$R45),"")</f>
        <v/>
      </c>
      <c r="AD909" s="32">
        <f>IF($A909=1,IF(Cash_Vouchers!$S45="","",Cash_Vouchers!$S45),"")</f>
        <v/>
      </c>
      <c r="AE909" s="32">
        <f>IF($A909=1,0,"")</f>
        <v/>
      </c>
      <c r="AF909" s="32" t="inlineStr"/>
    </row>
    <row r="910">
      <c r="A910" s="32">
        <f>IF(AND(Cash_Vouchers!$AJ45=1,N(Cash_Vouchers!$I45)&gt;0),1,0)</f>
        <v/>
      </c>
      <c r="B910" s="32">
        <f>IF($A910=1,$E910&amp;"/2","")</f>
        <v/>
      </c>
      <c r="C910" s="32">
        <f>IF($A910=1,"J-"&amp;Cash_Vouchers!$A45,"")</f>
        <v/>
      </c>
      <c r="D910" s="33">
        <f>IF($A910=1,Cash_Vouchers!$B45,"")</f>
        <v/>
      </c>
      <c r="E910" s="32">
        <f>IF($A910=1,IF(Cash_Vouchers!$A45="","",Cash_Vouchers!$A45),"")</f>
        <v/>
      </c>
      <c r="F910" s="32">
        <f>IF($A910=1,"CV","")</f>
        <v/>
      </c>
      <c r="G910" s="32">
        <f>IF($A910=1,IF(Cash_Vouchers!$AB45="","",Cash_Vouchers!$AB45),"")</f>
        <v/>
      </c>
      <c r="H910" s="32">
        <f>IF($A910=1,IF(COUNTIF(COA!$A:$A,$G910)=0,"حساب غير معرف",INDEX(COA!$B:$B,MATCH($G910,COA!$A:$A,0))),"")</f>
        <v/>
      </c>
      <c r="I910" s="32">
        <f>IF($A910=1,IF(Cash_Vouchers!$AD45="","",Cash_Vouchers!$AD45),"")</f>
        <v/>
      </c>
      <c r="J910" s="32">
        <f>IF($A910=1,IF(Cash_Vouchers!$AF45="","",Cash_Vouchers!$AF45),"")</f>
        <v/>
      </c>
      <c r="K910" s="32">
        <f>IF($A910=1,IF(Cash_Vouchers!$AH45="","",Cash_Vouchers!$AH45),"")</f>
        <v/>
      </c>
      <c r="L910" s="32">
        <f>IF($A910=1,IF(Cash_Vouchers!$K45="",Cash_Vouchers!$C45&amp;" - "&amp;Cash_Vouchers!$H45,Cash_Vouchers!$K45),"")</f>
        <v/>
      </c>
      <c r="M910" s="43">
        <f>IF($A910=1,0,"")</f>
        <v/>
      </c>
      <c r="N910" s="43">
        <f>IF($A910=1,Cash_Vouchers!$I45,"")</f>
        <v/>
      </c>
      <c r="O910" s="32">
        <f>IF($A910=1,Cash_Vouchers!$N45,"")</f>
        <v/>
      </c>
      <c r="P910" s="32">
        <f>IF($A910=1,IF(Cash_Vouchers!$AK45="","",Cash_Vouchers!$AK45),"")</f>
        <v/>
      </c>
      <c r="Q910" s="32">
        <f>IF($A910=1,Cash_Vouchers!$AM45,"")</f>
        <v/>
      </c>
      <c r="R910" s="32">
        <f>IF($A910=1,IF(AND($Q910=1,COUNTIFS(COA!$A:$A,$G910,COA!$R:$R,1)=1),1,0),"")</f>
        <v/>
      </c>
      <c r="S910" s="43">
        <f>IF($A910=1,IF($R910=1,N($M910),0),"")</f>
        <v/>
      </c>
      <c r="T910" s="43">
        <f>IF($A910=1,IF($R910=1,N($N910),0),"")</f>
        <v/>
      </c>
      <c r="U910" s="32">
        <f>IF($A910=1,YEAR($D910)*100+MONTH($D910),"")</f>
        <v/>
      </c>
      <c r="V910" s="32">
        <f>IF($A910=1,IF(COUNTIF(COA!$A:$A,$G910)=0,0,INDEX(COA!$H:$H,MATCH($G910,COA!$A:$A,0))),"")</f>
        <v/>
      </c>
      <c r="W910" s="32">
        <f>IF($A910=1,IF(Cash_Vouchers!$AI45="","",Cash_Vouchers!$AI45),"")</f>
        <v/>
      </c>
      <c r="X910" s="32">
        <f>IF($A910=1,IF($R910=1,"",IF($O910=ST_POST,IF($P910&lt;&gt;"",$P910,"حساب غير صالح أو غير نشط"),IF($O910=ST_REV,"معكوس: لا أثر على الدفاتر",IF($O910=ST_CANC,"ملغى",IF($O910=ST_APPR,"معتمد ولم يُرحَّل","مسودة"))))),"")</f>
        <v/>
      </c>
      <c r="Y910" s="32">
        <f>IF($A910=1,IF(AND($R910=1,OR(LG_Acct="",$G910=LG_Acct),OR(LG_Party="",$K910=LG_Party),OR(LG_Loc="ALL",$I910=LG_Loc),OR(LG_CC="ALL",$J910=LG_CC),$D910&gt;=LG_From,$D910&lt;=LG_To),$D910+ROW()/1000000,""),"")</f>
        <v/>
      </c>
      <c r="Z910" s="32">
        <f>IF($A910=1,IF(Cash_Vouchers!$O45="","",Cash_Vouchers!$O45),"")</f>
        <v/>
      </c>
      <c r="AA910" s="32">
        <f>IF($A910=1,IF(Cash_Vouchers!$P45="","",Cash_Vouchers!$P45),"")</f>
        <v/>
      </c>
      <c r="AB910" s="32">
        <f>IF($A910=1,IF(Cash_Vouchers!$Q45="","",Cash_Vouchers!$Q45),"")</f>
        <v/>
      </c>
      <c r="AC910" s="32">
        <f>IF($A910=1,IF(Cash_Vouchers!$R45="","",Cash_Vouchers!$R45),"")</f>
        <v/>
      </c>
      <c r="AD910" s="32">
        <f>IF($A910=1,IF(Cash_Vouchers!$S45="","",Cash_Vouchers!$S45),"")</f>
        <v/>
      </c>
      <c r="AE910" s="32">
        <f>IF($A910=1,0,"")</f>
        <v/>
      </c>
      <c r="AF910" s="32" t="inlineStr"/>
    </row>
    <row r="911">
      <c r="A911" s="32">
        <f>IF(AND(Cash_Vouchers!$AJ46=1,N(Cash_Vouchers!$I46)&gt;0),1,0)</f>
        <v/>
      </c>
      <c r="B911" s="32">
        <f>IF($A911=1,$E911&amp;"/1","")</f>
        <v/>
      </c>
      <c r="C911" s="32">
        <f>IF($A911=1,"J-"&amp;Cash_Vouchers!$A46,"")</f>
        <v/>
      </c>
      <c r="D911" s="33">
        <f>IF($A911=1,Cash_Vouchers!$B46,"")</f>
        <v/>
      </c>
      <c r="E911" s="32">
        <f>IF($A911=1,IF(Cash_Vouchers!$A46="","",Cash_Vouchers!$A46),"")</f>
        <v/>
      </c>
      <c r="F911" s="32">
        <f>IF($A911=1,"CV","")</f>
        <v/>
      </c>
      <c r="G911" s="32">
        <f>IF($A911=1,IF(Cash_Vouchers!$AA46="","",Cash_Vouchers!$AA46),"")</f>
        <v/>
      </c>
      <c r="H911" s="32">
        <f>IF($A911=1,IF(COUNTIF(COA!$A:$A,$G911)=0,"حساب غير معرف",INDEX(COA!$B:$B,MATCH($G911,COA!$A:$A,0))),"")</f>
        <v/>
      </c>
      <c r="I911" s="32">
        <f>IF($A911=1,IF(Cash_Vouchers!$AC46="","",Cash_Vouchers!$AC46),"")</f>
        <v/>
      </c>
      <c r="J911" s="32">
        <f>IF($A911=1,IF(Cash_Vouchers!$AE46="","",Cash_Vouchers!$AE46),"")</f>
        <v/>
      </c>
      <c r="K911" s="32">
        <f>IF($A911=1,IF(Cash_Vouchers!$AG46="","",Cash_Vouchers!$AG46),"")</f>
        <v/>
      </c>
      <c r="L911" s="32">
        <f>IF($A911=1,IF(Cash_Vouchers!$K46="",Cash_Vouchers!$C46&amp;" - "&amp;Cash_Vouchers!$H46,Cash_Vouchers!$K46),"")</f>
        <v/>
      </c>
      <c r="M911" s="43">
        <f>IF($A911=1,Cash_Vouchers!$I46,"")</f>
        <v/>
      </c>
      <c r="N911" s="43">
        <f>IF($A911=1,0,"")</f>
        <v/>
      </c>
      <c r="O911" s="32">
        <f>IF($A911=1,Cash_Vouchers!$N46,"")</f>
        <v/>
      </c>
      <c r="P911" s="32">
        <f>IF($A911=1,IF(Cash_Vouchers!$AK46="","",Cash_Vouchers!$AK46),"")</f>
        <v/>
      </c>
      <c r="Q911" s="32">
        <f>IF($A911=1,Cash_Vouchers!$AM46,"")</f>
        <v/>
      </c>
      <c r="R911" s="32">
        <f>IF($A911=1,IF(AND($Q911=1,COUNTIFS(COA!$A:$A,$G911,COA!$R:$R,1)=1),1,0),"")</f>
        <v/>
      </c>
      <c r="S911" s="43">
        <f>IF($A911=1,IF($R911=1,N($M911),0),"")</f>
        <v/>
      </c>
      <c r="T911" s="43">
        <f>IF($A911=1,IF($R911=1,N($N911),0),"")</f>
        <v/>
      </c>
      <c r="U911" s="32">
        <f>IF($A911=1,YEAR($D911)*100+MONTH($D911),"")</f>
        <v/>
      </c>
      <c r="V911" s="32">
        <f>IF($A911=1,IF(COUNTIF(COA!$A:$A,$G911)=0,0,INDEX(COA!$H:$H,MATCH($G911,COA!$A:$A,0))),"")</f>
        <v/>
      </c>
      <c r="W911" s="32">
        <f>IF($A911=1,IF(Cash_Vouchers!$AI46="","",Cash_Vouchers!$AI46),"")</f>
        <v/>
      </c>
      <c r="X911" s="32">
        <f>IF($A911=1,IF($R911=1,"",IF($O911=ST_POST,IF($P911&lt;&gt;"",$P911,"حساب غير صالح أو غير نشط"),IF($O911=ST_REV,"معكوس: لا أثر على الدفاتر",IF($O911=ST_CANC,"ملغى",IF($O911=ST_APPR,"معتمد ولم يُرحَّل","مسودة"))))),"")</f>
        <v/>
      </c>
      <c r="Y911" s="32">
        <f>IF($A911=1,IF(AND($R911=1,OR(LG_Acct="",$G911=LG_Acct),OR(LG_Party="",$K911=LG_Party),OR(LG_Loc="ALL",$I911=LG_Loc),OR(LG_CC="ALL",$J911=LG_CC),$D911&gt;=LG_From,$D911&lt;=LG_To),$D911+ROW()/1000000,""),"")</f>
        <v/>
      </c>
      <c r="Z911" s="32">
        <f>IF($A911=1,IF(Cash_Vouchers!$O46="","",Cash_Vouchers!$O46),"")</f>
        <v/>
      </c>
      <c r="AA911" s="32">
        <f>IF($A911=1,IF(Cash_Vouchers!$P46="","",Cash_Vouchers!$P46),"")</f>
        <v/>
      </c>
      <c r="AB911" s="32">
        <f>IF($A911=1,IF(Cash_Vouchers!$Q46="","",Cash_Vouchers!$Q46),"")</f>
        <v/>
      </c>
      <c r="AC911" s="32">
        <f>IF($A911=1,IF(Cash_Vouchers!$R46="","",Cash_Vouchers!$R46),"")</f>
        <v/>
      </c>
      <c r="AD911" s="32">
        <f>IF($A911=1,IF(Cash_Vouchers!$S46="","",Cash_Vouchers!$S46),"")</f>
        <v/>
      </c>
      <c r="AE911" s="32">
        <f>IF($A911=1,0,"")</f>
        <v/>
      </c>
      <c r="AF911" s="32" t="inlineStr"/>
    </row>
    <row r="912">
      <c r="A912" s="32">
        <f>IF(AND(Cash_Vouchers!$AJ46=1,N(Cash_Vouchers!$I46)&gt;0),1,0)</f>
        <v/>
      </c>
      <c r="B912" s="32">
        <f>IF($A912=1,$E912&amp;"/2","")</f>
        <v/>
      </c>
      <c r="C912" s="32">
        <f>IF($A912=1,"J-"&amp;Cash_Vouchers!$A46,"")</f>
        <v/>
      </c>
      <c r="D912" s="33">
        <f>IF($A912=1,Cash_Vouchers!$B46,"")</f>
        <v/>
      </c>
      <c r="E912" s="32">
        <f>IF($A912=1,IF(Cash_Vouchers!$A46="","",Cash_Vouchers!$A46),"")</f>
        <v/>
      </c>
      <c r="F912" s="32">
        <f>IF($A912=1,"CV","")</f>
        <v/>
      </c>
      <c r="G912" s="32">
        <f>IF($A912=1,IF(Cash_Vouchers!$AB46="","",Cash_Vouchers!$AB46),"")</f>
        <v/>
      </c>
      <c r="H912" s="32">
        <f>IF($A912=1,IF(COUNTIF(COA!$A:$A,$G912)=0,"حساب غير معرف",INDEX(COA!$B:$B,MATCH($G912,COA!$A:$A,0))),"")</f>
        <v/>
      </c>
      <c r="I912" s="32">
        <f>IF($A912=1,IF(Cash_Vouchers!$AD46="","",Cash_Vouchers!$AD46),"")</f>
        <v/>
      </c>
      <c r="J912" s="32">
        <f>IF($A912=1,IF(Cash_Vouchers!$AF46="","",Cash_Vouchers!$AF46),"")</f>
        <v/>
      </c>
      <c r="K912" s="32">
        <f>IF($A912=1,IF(Cash_Vouchers!$AH46="","",Cash_Vouchers!$AH46),"")</f>
        <v/>
      </c>
      <c r="L912" s="32">
        <f>IF($A912=1,IF(Cash_Vouchers!$K46="",Cash_Vouchers!$C46&amp;" - "&amp;Cash_Vouchers!$H46,Cash_Vouchers!$K46),"")</f>
        <v/>
      </c>
      <c r="M912" s="43">
        <f>IF($A912=1,0,"")</f>
        <v/>
      </c>
      <c r="N912" s="43">
        <f>IF($A912=1,Cash_Vouchers!$I46,"")</f>
        <v/>
      </c>
      <c r="O912" s="32">
        <f>IF($A912=1,Cash_Vouchers!$N46,"")</f>
        <v/>
      </c>
      <c r="P912" s="32">
        <f>IF($A912=1,IF(Cash_Vouchers!$AK46="","",Cash_Vouchers!$AK46),"")</f>
        <v/>
      </c>
      <c r="Q912" s="32">
        <f>IF($A912=1,Cash_Vouchers!$AM46,"")</f>
        <v/>
      </c>
      <c r="R912" s="32">
        <f>IF($A912=1,IF(AND($Q912=1,COUNTIFS(COA!$A:$A,$G912,COA!$R:$R,1)=1),1,0),"")</f>
        <v/>
      </c>
      <c r="S912" s="43">
        <f>IF($A912=1,IF($R912=1,N($M912),0),"")</f>
        <v/>
      </c>
      <c r="T912" s="43">
        <f>IF($A912=1,IF($R912=1,N($N912),0),"")</f>
        <v/>
      </c>
      <c r="U912" s="32">
        <f>IF($A912=1,YEAR($D912)*100+MONTH($D912),"")</f>
        <v/>
      </c>
      <c r="V912" s="32">
        <f>IF($A912=1,IF(COUNTIF(COA!$A:$A,$G912)=0,0,INDEX(COA!$H:$H,MATCH($G912,COA!$A:$A,0))),"")</f>
        <v/>
      </c>
      <c r="W912" s="32">
        <f>IF($A912=1,IF(Cash_Vouchers!$AI46="","",Cash_Vouchers!$AI46),"")</f>
        <v/>
      </c>
      <c r="X912" s="32">
        <f>IF($A912=1,IF($R912=1,"",IF($O912=ST_POST,IF($P912&lt;&gt;"",$P912,"حساب غير صالح أو غير نشط"),IF($O912=ST_REV,"معكوس: لا أثر على الدفاتر",IF($O912=ST_CANC,"ملغى",IF($O912=ST_APPR,"معتمد ولم يُرحَّل","مسودة"))))),"")</f>
        <v/>
      </c>
      <c r="Y912" s="32">
        <f>IF($A912=1,IF(AND($R912=1,OR(LG_Acct="",$G912=LG_Acct),OR(LG_Party="",$K912=LG_Party),OR(LG_Loc="ALL",$I912=LG_Loc),OR(LG_CC="ALL",$J912=LG_CC),$D912&gt;=LG_From,$D912&lt;=LG_To),$D912+ROW()/1000000,""),"")</f>
        <v/>
      </c>
      <c r="Z912" s="32">
        <f>IF($A912=1,IF(Cash_Vouchers!$O46="","",Cash_Vouchers!$O46),"")</f>
        <v/>
      </c>
      <c r="AA912" s="32">
        <f>IF($A912=1,IF(Cash_Vouchers!$P46="","",Cash_Vouchers!$P46),"")</f>
        <v/>
      </c>
      <c r="AB912" s="32">
        <f>IF($A912=1,IF(Cash_Vouchers!$Q46="","",Cash_Vouchers!$Q46),"")</f>
        <v/>
      </c>
      <c r="AC912" s="32">
        <f>IF($A912=1,IF(Cash_Vouchers!$R46="","",Cash_Vouchers!$R46),"")</f>
        <v/>
      </c>
      <c r="AD912" s="32">
        <f>IF($A912=1,IF(Cash_Vouchers!$S46="","",Cash_Vouchers!$S46),"")</f>
        <v/>
      </c>
      <c r="AE912" s="32">
        <f>IF($A912=1,0,"")</f>
        <v/>
      </c>
      <c r="AF912" s="32" t="inlineStr"/>
    </row>
    <row r="913">
      <c r="A913" s="32">
        <f>IF(AND(Cash_Vouchers!$AJ47=1,N(Cash_Vouchers!$I47)&gt;0),1,0)</f>
        <v/>
      </c>
      <c r="B913" s="32">
        <f>IF($A913=1,$E913&amp;"/1","")</f>
        <v/>
      </c>
      <c r="C913" s="32">
        <f>IF($A913=1,"J-"&amp;Cash_Vouchers!$A47,"")</f>
        <v/>
      </c>
      <c r="D913" s="33">
        <f>IF($A913=1,Cash_Vouchers!$B47,"")</f>
        <v/>
      </c>
      <c r="E913" s="32">
        <f>IF($A913=1,IF(Cash_Vouchers!$A47="","",Cash_Vouchers!$A47),"")</f>
        <v/>
      </c>
      <c r="F913" s="32">
        <f>IF($A913=1,"CV","")</f>
        <v/>
      </c>
      <c r="G913" s="32">
        <f>IF($A913=1,IF(Cash_Vouchers!$AA47="","",Cash_Vouchers!$AA47),"")</f>
        <v/>
      </c>
      <c r="H913" s="32">
        <f>IF($A913=1,IF(COUNTIF(COA!$A:$A,$G913)=0,"حساب غير معرف",INDEX(COA!$B:$B,MATCH($G913,COA!$A:$A,0))),"")</f>
        <v/>
      </c>
      <c r="I913" s="32">
        <f>IF($A913=1,IF(Cash_Vouchers!$AC47="","",Cash_Vouchers!$AC47),"")</f>
        <v/>
      </c>
      <c r="J913" s="32">
        <f>IF($A913=1,IF(Cash_Vouchers!$AE47="","",Cash_Vouchers!$AE47),"")</f>
        <v/>
      </c>
      <c r="K913" s="32">
        <f>IF($A913=1,IF(Cash_Vouchers!$AG47="","",Cash_Vouchers!$AG47),"")</f>
        <v/>
      </c>
      <c r="L913" s="32">
        <f>IF($A913=1,IF(Cash_Vouchers!$K47="",Cash_Vouchers!$C47&amp;" - "&amp;Cash_Vouchers!$H47,Cash_Vouchers!$K47),"")</f>
        <v/>
      </c>
      <c r="M913" s="43">
        <f>IF($A913=1,Cash_Vouchers!$I47,"")</f>
        <v/>
      </c>
      <c r="N913" s="43">
        <f>IF($A913=1,0,"")</f>
        <v/>
      </c>
      <c r="O913" s="32">
        <f>IF($A913=1,Cash_Vouchers!$N47,"")</f>
        <v/>
      </c>
      <c r="P913" s="32">
        <f>IF($A913=1,IF(Cash_Vouchers!$AK47="","",Cash_Vouchers!$AK47),"")</f>
        <v/>
      </c>
      <c r="Q913" s="32">
        <f>IF($A913=1,Cash_Vouchers!$AM47,"")</f>
        <v/>
      </c>
      <c r="R913" s="32">
        <f>IF($A913=1,IF(AND($Q913=1,COUNTIFS(COA!$A:$A,$G913,COA!$R:$R,1)=1),1,0),"")</f>
        <v/>
      </c>
      <c r="S913" s="43">
        <f>IF($A913=1,IF($R913=1,N($M913),0),"")</f>
        <v/>
      </c>
      <c r="T913" s="43">
        <f>IF($A913=1,IF($R913=1,N($N913),0),"")</f>
        <v/>
      </c>
      <c r="U913" s="32">
        <f>IF($A913=1,YEAR($D913)*100+MONTH($D913),"")</f>
        <v/>
      </c>
      <c r="V913" s="32">
        <f>IF($A913=1,IF(COUNTIF(COA!$A:$A,$G913)=0,0,INDEX(COA!$H:$H,MATCH($G913,COA!$A:$A,0))),"")</f>
        <v/>
      </c>
      <c r="W913" s="32">
        <f>IF($A913=1,IF(Cash_Vouchers!$AI47="","",Cash_Vouchers!$AI47),"")</f>
        <v/>
      </c>
      <c r="X913" s="32">
        <f>IF($A913=1,IF($R913=1,"",IF($O913=ST_POST,IF($P913&lt;&gt;"",$P913,"حساب غير صالح أو غير نشط"),IF($O913=ST_REV,"معكوس: لا أثر على الدفاتر",IF($O913=ST_CANC,"ملغى",IF($O913=ST_APPR,"معتمد ولم يُرحَّل","مسودة"))))),"")</f>
        <v/>
      </c>
      <c r="Y913" s="32">
        <f>IF($A913=1,IF(AND($R913=1,OR(LG_Acct="",$G913=LG_Acct),OR(LG_Party="",$K913=LG_Party),OR(LG_Loc="ALL",$I913=LG_Loc),OR(LG_CC="ALL",$J913=LG_CC),$D913&gt;=LG_From,$D913&lt;=LG_To),$D913+ROW()/1000000,""),"")</f>
        <v/>
      </c>
      <c r="Z913" s="32">
        <f>IF($A913=1,IF(Cash_Vouchers!$O47="","",Cash_Vouchers!$O47),"")</f>
        <v/>
      </c>
      <c r="AA913" s="32">
        <f>IF($A913=1,IF(Cash_Vouchers!$P47="","",Cash_Vouchers!$P47),"")</f>
        <v/>
      </c>
      <c r="AB913" s="32">
        <f>IF($A913=1,IF(Cash_Vouchers!$Q47="","",Cash_Vouchers!$Q47),"")</f>
        <v/>
      </c>
      <c r="AC913" s="32">
        <f>IF($A913=1,IF(Cash_Vouchers!$R47="","",Cash_Vouchers!$R47),"")</f>
        <v/>
      </c>
      <c r="AD913" s="32">
        <f>IF($A913=1,IF(Cash_Vouchers!$S47="","",Cash_Vouchers!$S47),"")</f>
        <v/>
      </c>
      <c r="AE913" s="32">
        <f>IF($A913=1,0,"")</f>
        <v/>
      </c>
      <c r="AF913" s="32" t="inlineStr"/>
    </row>
    <row r="914">
      <c r="A914" s="32">
        <f>IF(AND(Cash_Vouchers!$AJ47=1,N(Cash_Vouchers!$I47)&gt;0),1,0)</f>
        <v/>
      </c>
      <c r="B914" s="32">
        <f>IF($A914=1,$E914&amp;"/2","")</f>
        <v/>
      </c>
      <c r="C914" s="32">
        <f>IF($A914=1,"J-"&amp;Cash_Vouchers!$A47,"")</f>
        <v/>
      </c>
      <c r="D914" s="33">
        <f>IF($A914=1,Cash_Vouchers!$B47,"")</f>
        <v/>
      </c>
      <c r="E914" s="32">
        <f>IF($A914=1,IF(Cash_Vouchers!$A47="","",Cash_Vouchers!$A47),"")</f>
        <v/>
      </c>
      <c r="F914" s="32">
        <f>IF($A914=1,"CV","")</f>
        <v/>
      </c>
      <c r="G914" s="32">
        <f>IF($A914=1,IF(Cash_Vouchers!$AB47="","",Cash_Vouchers!$AB47),"")</f>
        <v/>
      </c>
      <c r="H914" s="32">
        <f>IF($A914=1,IF(COUNTIF(COA!$A:$A,$G914)=0,"حساب غير معرف",INDEX(COA!$B:$B,MATCH($G914,COA!$A:$A,0))),"")</f>
        <v/>
      </c>
      <c r="I914" s="32">
        <f>IF($A914=1,IF(Cash_Vouchers!$AD47="","",Cash_Vouchers!$AD47),"")</f>
        <v/>
      </c>
      <c r="J914" s="32">
        <f>IF($A914=1,IF(Cash_Vouchers!$AF47="","",Cash_Vouchers!$AF47),"")</f>
        <v/>
      </c>
      <c r="K914" s="32">
        <f>IF($A914=1,IF(Cash_Vouchers!$AH47="","",Cash_Vouchers!$AH47),"")</f>
        <v/>
      </c>
      <c r="L914" s="32">
        <f>IF($A914=1,IF(Cash_Vouchers!$K47="",Cash_Vouchers!$C47&amp;" - "&amp;Cash_Vouchers!$H47,Cash_Vouchers!$K47),"")</f>
        <v/>
      </c>
      <c r="M914" s="43">
        <f>IF($A914=1,0,"")</f>
        <v/>
      </c>
      <c r="N914" s="43">
        <f>IF($A914=1,Cash_Vouchers!$I47,"")</f>
        <v/>
      </c>
      <c r="O914" s="32">
        <f>IF($A914=1,Cash_Vouchers!$N47,"")</f>
        <v/>
      </c>
      <c r="P914" s="32">
        <f>IF($A914=1,IF(Cash_Vouchers!$AK47="","",Cash_Vouchers!$AK47),"")</f>
        <v/>
      </c>
      <c r="Q914" s="32">
        <f>IF($A914=1,Cash_Vouchers!$AM47,"")</f>
        <v/>
      </c>
      <c r="R914" s="32">
        <f>IF($A914=1,IF(AND($Q914=1,COUNTIFS(COA!$A:$A,$G914,COA!$R:$R,1)=1),1,0),"")</f>
        <v/>
      </c>
      <c r="S914" s="43">
        <f>IF($A914=1,IF($R914=1,N($M914),0),"")</f>
        <v/>
      </c>
      <c r="T914" s="43">
        <f>IF($A914=1,IF($R914=1,N($N914),0),"")</f>
        <v/>
      </c>
      <c r="U914" s="32">
        <f>IF($A914=1,YEAR($D914)*100+MONTH($D914),"")</f>
        <v/>
      </c>
      <c r="V914" s="32">
        <f>IF($A914=1,IF(COUNTIF(COA!$A:$A,$G914)=0,0,INDEX(COA!$H:$H,MATCH($G914,COA!$A:$A,0))),"")</f>
        <v/>
      </c>
      <c r="W914" s="32">
        <f>IF($A914=1,IF(Cash_Vouchers!$AI47="","",Cash_Vouchers!$AI47),"")</f>
        <v/>
      </c>
      <c r="X914" s="32">
        <f>IF($A914=1,IF($R914=1,"",IF($O914=ST_POST,IF($P914&lt;&gt;"",$P914,"حساب غير صالح أو غير نشط"),IF($O914=ST_REV,"معكوس: لا أثر على الدفاتر",IF($O914=ST_CANC,"ملغى",IF($O914=ST_APPR,"معتمد ولم يُرحَّل","مسودة"))))),"")</f>
        <v/>
      </c>
      <c r="Y914" s="32">
        <f>IF($A914=1,IF(AND($R914=1,OR(LG_Acct="",$G914=LG_Acct),OR(LG_Party="",$K914=LG_Party),OR(LG_Loc="ALL",$I914=LG_Loc),OR(LG_CC="ALL",$J914=LG_CC),$D914&gt;=LG_From,$D914&lt;=LG_To),$D914+ROW()/1000000,""),"")</f>
        <v/>
      </c>
      <c r="Z914" s="32">
        <f>IF($A914=1,IF(Cash_Vouchers!$O47="","",Cash_Vouchers!$O47),"")</f>
        <v/>
      </c>
      <c r="AA914" s="32">
        <f>IF($A914=1,IF(Cash_Vouchers!$P47="","",Cash_Vouchers!$P47),"")</f>
        <v/>
      </c>
      <c r="AB914" s="32">
        <f>IF($A914=1,IF(Cash_Vouchers!$Q47="","",Cash_Vouchers!$Q47),"")</f>
        <v/>
      </c>
      <c r="AC914" s="32">
        <f>IF($A914=1,IF(Cash_Vouchers!$R47="","",Cash_Vouchers!$R47),"")</f>
        <v/>
      </c>
      <c r="AD914" s="32">
        <f>IF($A914=1,IF(Cash_Vouchers!$S47="","",Cash_Vouchers!$S47),"")</f>
        <v/>
      </c>
      <c r="AE914" s="32">
        <f>IF($A914=1,0,"")</f>
        <v/>
      </c>
      <c r="AF914" s="32" t="inlineStr"/>
    </row>
    <row r="915">
      <c r="A915" s="32">
        <f>IF(AND(Cash_Vouchers!$AJ48=1,N(Cash_Vouchers!$I48)&gt;0),1,0)</f>
        <v/>
      </c>
      <c r="B915" s="32">
        <f>IF($A915=1,$E915&amp;"/1","")</f>
        <v/>
      </c>
      <c r="C915" s="32">
        <f>IF($A915=1,"J-"&amp;Cash_Vouchers!$A48,"")</f>
        <v/>
      </c>
      <c r="D915" s="33">
        <f>IF($A915=1,Cash_Vouchers!$B48,"")</f>
        <v/>
      </c>
      <c r="E915" s="32">
        <f>IF($A915=1,IF(Cash_Vouchers!$A48="","",Cash_Vouchers!$A48),"")</f>
        <v/>
      </c>
      <c r="F915" s="32">
        <f>IF($A915=1,"CV","")</f>
        <v/>
      </c>
      <c r="G915" s="32">
        <f>IF($A915=1,IF(Cash_Vouchers!$AA48="","",Cash_Vouchers!$AA48),"")</f>
        <v/>
      </c>
      <c r="H915" s="32">
        <f>IF($A915=1,IF(COUNTIF(COA!$A:$A,$G915)=0,"حساب غير معرف",INDEX(COA!$B:$B,MATCH($G915,COA!$A:$A,0))),"")</f>
        <v/>
      </c>
      <c r="I915" s="32">
        <f>IF($A915=1,IF(Cash_Vouchers!$AC48="","",Cash_Vouchers!$AC48),"")</f>
        <v/>
      </c>
      <c r="J915" s="32">
        <f>IF($A915=1,IF(Cash_Vouchers!$AE48="","",Cash_Vouchers!$AE48),"")</f>
        <v/>
      </c>
      <c r="K915" s="32">
        <f>IF($A915=1,IF(Cash_Vouchers!$AG48="","",Cash_Vouchers!$AG48),"")</f>
        <v/>
      </c>
      <c r="L915" s="32">
        <f>IF($A915=1,IF(Cash_Vouchers!$K48="",Cash_Vouchers!$C48&amp;" - "&amp;Cash_Vouchers!$H48,Cash_Vouchers!$K48),"")</f>
        <v/>
      </c>
      <c r="M915" s="43">
        <f>IF($A915=1,Cash_Vouchers!$I48,"")</f>
        <v/>
      </c>
      <c r="N915" s="43">
        <f>IF($A915=1,0,"")</f>
        <v/>
      </c>
      <c r="O915" s="32">
        <f>IF($A915=1,Cash_Vouchers!$N48,"")</f>
        <v/>
      </c>
      <c r="P915" s="32">
        <f>IF($A915=1,IF(Cash_Vouchers!$AK48="","",Cash_Vouchers!$AK48),"")</f>
        <v/>
      </c>
      <c r="Q915" s="32">
        <f>IF($A915=1,Cash_Vouchers!$AM48,"")</f>
        <v/>
      </c>
      <c r="R915" s="32">
        <f>IF($A915=1,IF(AND($Q915=1,COUNTIFS(COA!$A:$A,$G915,COA!$R:$R,1)=1),1,0),"")</f>
        <v/>
      </c>
      <c r="S915" s="43">
        <f>IF($A915=1,IF($R915=1,N($M915),0),"")</f>
        <v/>
      </c>
      <c r="T915" s="43">
        <f>IF($A915=1,IF($R915=1,N($N915),0),"")</f>
        <v/>
      </c>
      <c r="U915" s="32">
        <f>IF($A915=1,YEAR($D915)*100+MONTH($D915),"")</f>
        <v/>
      </c>
      <c r="V915" s="32">
        <f>IF($A915=1,IF(COUNTIF(COA!$A:$A,$G915)=0,0,INDEX(COA!$H:$H,MATCH($G915,COA!$A:$A,0))),"")</f>
        <v/>
      </c>
      <c r="W915" s="32">
        <f>IF($A915=1,IF(Cash_Vouchers!$AI48="","",Cash_Vouchers!$AI48),"")</f>
        <v/>
      </c>
      <c r="X915" s="32">
        <f>IF($A915=1,IF($R915=1,"",IF($O915=ST_POST,IF($P915&lt;&gt;"",$P915,"حساب غير صالح أو غير نشط"),IF($O915=ST_REV,"معكوس: لا أثر على الدفاتر",IF($O915=ST_CANC,"ملغى",IF($O915=ST_APPR,"معتمد ولم يُرحَّل","مسودة"))))),"")</f>
        <v/>
      </c>
      <c r="Y915" s="32">
        <f>IF($A915=1,IF(AND($R915=1,OR(LG_Acct="",$G915=LG_Acct),OR(LG_Party="",$K915=LG_Party),OR(LG_Loc="ALL",$I915=LG_Loc),OR(LG_CC="ALL",$J915=LG_CC),$D915&gt;=LG_From,$D915&lt;=LG_To),$D915+ROW()/1000000,""),"")</f>
        <v/>
      </c>
      <c r="Z915" s="32">
        <f>IF($A915=1,IF(Cash_Vouchers!$O48="","",Cash_Vouchers!$O48),"")</f>
        <v/>
      </c>
      <c r="AA915" s="32">
        <f>IF($A915=1,IF(Cash_Vouchers!$P48="","",Cash_Vouchers!$P48),"")</f>
        <v/>
      </c>
      <c r="AB915" s="32">
        <f>IF($A915=1,IF(Cash_Vouchers!$Q48="","",Cash_Vouchers!$Q48),"")</f>
        <v/>
      </c>
      <c r="AC915" s="32">
        <f>IF($A915=1,IF(Cash_Vouchers!$R48="","",Cash_Vouchers!$R48),"")</f>
        <v/>
      </c>
      <c r="AD915" s="32">
        <f>IF($A915=1,IF(Cash_Vouchers!$S48="","",Cash_Vouchers!$S48),"")</f>
        <v/>
      </c>
      <c r="AE915" s="32">
        <f>IF($A915=1,0,"")</f>
        <v/>
      </c>
      <c r="AF915" s="32" t="inlineStr"/>
    </row>
    <row r="916">
      <c r="A916" s="32">
        <f>IF(AND(Cash_Vouchers!$AJ48=1,N(Cash_Vouchers!$I48)&gt;0),1,0)</f>
        <v/>
      </c>
      <c r="B916" s="32">
        <f>IF($A916=1,$E916&amp;"/2","")</f>
        <v/>
      </c>
      <c r="C916" s="32">
        <f>IF($A916=1,"J-"&amp;Cash_Vouchers!$A48,"")</f>
        <v/>
      </c>
      <c r="D916" s="33">
        <f>IF($A916=1,Cash_Vouchers!$B48,"")</f>
        <v/>
      </c>
      <c r="E916" s="32">
        <f>IF($A916=1,IF(Cash_Vouchers!$A48="","",Cash_Vouchers!$A48),"")</f>
        <v/>
      </c>
      <c r="F916" s="32">
        <f>IF($A916=1,"CV","")</f>
        <v/>
      </c>
      <c r="G916" s="32">
        <f>IF($A916=1,IF(Cash_Vouchers!$AB48="","",Cash_Vouchers!$AB48),"")</f>
        <v/>
      </c>
      <c r="H916" s="32">
        <f>IF($A916=1,IF(COUNTIF(COA!$A:$A,$G916)=0,"حساب غير معرف",INDEX(COA!$B:$B,MATCH($G916,COA!$A:$A,0))),"")</f>
        <v/>
      </c>
      <c r="I916" s="32">
        <f>IF($A916=1,IF(Cash_Vouchers!$AD48="","",Cash_Vouchers!$AD48),"")</f>
        <v/>
      </c>
      <c r="J916" s="32">
        <f>IF($A916=1,IF(Cash_Vouchers!$AF48="","",Cash_Vouchers!$AF48),"")</f>
        <v/>
      </c>
      <c r="K916" s="32">
        <f>IF($A916=1,IF(Cash_Vouchers!$AH48="","",Cash_Vouchers!$AH48),"")</f>
        <v/>
      </c>
      <c r="L916" s="32">
        <f>IF($A916=1,IF(Cash_Vouchers!$K48="",Cash_Vouchers!$C48&amp;" - "&amp;Cash_Vouchers!$H48,Cash_Vouchers!$K48),"")</f>
        <v/>
      </c>
      <c r="M916" s="43">
        <f>IF($A916=1,0,"")</f>
        <v/>
      </c>
      <c r="N916" s="43">
        <f>IF($A916=1,Cash_Vouchers!$I48,"")</f>
        <v/>
      </c>
      <c r="O916" s="32">
        <f>IF($A916=1,Cash_Vouchers!$N48,"")</f>
        <v/>
      </c>
      <c r="P916" s="32">
        <f>IF($A916=1,IF(Cash_Vouchers!$AK48="","",Cash_Vouchers!$AK48),"")</f>
        <v/>
      </c>
      <c r="Q916" s="32">
        <f>IF($A916=1,Cash_Vouchers!$AM48,"")</f>
        <v/>
      </c>
      <c r="R916" s="32">
        <f>IF($A916=1,IF(AND($Q916=1,COUNTIFS(COA!$A:$A,$G916,COA!$R:$R,1)=1),1,0),"")</f>
        <v/>
      </c>
      <c r="S916" s="43">
        <f>IF($A916=1,IF($R916=1,N($M916),0),"")</f>
        <v/>
      </c>
      <c r="T916" s="43">
        <f>IF($A916=1,IF($R916=1,N($N916),0),"")</f>
        <v/>
      </c>
      <c r="U916" s="32">
        <f>IF($A916=1,YEAR($D916)*100+MONTH($D916),"")</f>
        <v/>
      </c>
      <c r="V916" s="32">
        <f>IF($A916=1,IF(COUNTIF(COA!$A:$A,$G916)=0,0,INDEX(COA!$H:$H,MATCH($G916,COA!$A:$A,0))),"")</f>
        <v/>
      </c>
      <c r="W916" s="32">
        <f>IF($A916=1,IF(Cash_Vouchers!$AI48="","",Cash_Vouchers!$AI48),"")</f>
        <v/>
      </c>
      <c r="X916" s="32">
        <f>IF($A916=1,IF($R916=1,"",IF($O916=ST_POST,IF($P916&lt;&gt;"",$P916,"حساب غير صالح أو غير نشط"),IF($O916=ST_REV,"معكوس: لا أثر على الدفاتر",IF($O916=ST_CANC,"ملغى",IF($O916=ST_APPR,"معتمد ولم يُرحَّل","مسودة"))))),"")</f>
        <v/>
      </c>
      <c r="Y916" s="32">
        <f>IF($A916=1,IF(AND($R916=1,OR(LG_Acct="",$G916=LG_Acct),OR(LG_Party="",$K916=LG_Party),OR(LG_Loc="ALL",$I916=LG_Loc),OR(LG_CC="ALL",$J916=LG_CC),$D916&gt;=LG_From,$D916&lt;=LG_To),$D916+ROW()/1000000,""),"")</f>
        <v/>
      </c>
      <c r="Z916" s="32">
        <f>IF($A916=1,IF(Cash_Vouchers!$O48="","",Cash_Vouchers!$O48),"")</f>
        <v/>
      </c>
      <c r="AA916" s="32">
        <f>IF($A916=1,IF(Cash_Vouchers!$P48="","",Cash_Vouchers!$P48),"")</f>
        <v/>
      </c>
      <c r="AB916" s="32">
        <f>IF($A916=1,IF(Cash_Vouchers!$Q48="","",Cash_Vouchers!$Q48),"")</f>
        <v/>
      </c>
      <c r="AC916" s="32">
        <f>IF($A916=1,IF(Cash_Vouchers!$R48="","",Cash_Vouchers!$R48),"")</f>
        <v/>
      </c>
      <c r="AD916" s="32">
        <f>IF($A916=1,IF(Cash_Vouchers!$S48="","",Cash_Vouchers!$S48),"")</f>
        <v/>
      </c>
      <c r="AE916" s="32">
        <f>IF($A916=1,0,"")</f>
        <v/>
      </c>
      <c r="AF916" s="32" t="inlineStr"/>
    </row>
    <row r="917">
      <c r="A917" s="32">
        <f>IF(AND(Cash_Vouchers!$AJ49=1,N(Cash_Vouchers!$I49)&gt;0),1,0)</f>
        <v/>
      </c>
      <c r="B917" s="32">
        <f>IF($A917=1,$E917&amp;"/1","")</f>
        <v/>
      </c>
      <c r="C917" s="32">
        <f>IF($A917=1,"J-"&amp;Cash_Vouchers!$A49,"")</f>
        <v/>
      </c>
      <c r="D917" s="33">
        <f>IF($A917=1,Cash_Vouchers!$B49,"")</f>
        <v/>
      </c>
      <c r="E917" s="32">
        <f>IF($A917=1,IF(Cash_Vouchers!$A49="","",Cash_Vouchers!$A49),"")</f>
        <v/>
      </c>
      <c r="F917" s="32">
        <f>IF($A917=1,"CV","")</f>
        <v/>
      </c>
      <c r="G917" s="32">
        <f>IF($A917=1,IF(Cash_Vouchers!$AA49="","",Cash_Vouchers!$AA49),"")</f>
        <v/>
      </c>
      <c r="H917" s="32">
        <f>IF($A917=1,IF(COUNTIF(COA!$A:$A,$G917)=0,"حساب غير معرف",INDEX(COA!$B:$B,MATCH($G917,COA!$A:$A,0))),"")</f>
        <v/>
      </c>
      <c r="I917" s="32">
        <f>IF($A917=1,IF(Cash_Vouchers!$AC49="","",Cash_Vouchers!$AC49),"")</f>
        <v/>
      </c>
      <c r="J917" s="32">
        <f>IF($A917=1,IF(Cash_Vouchers!$AE49="","",Cash_Vouchers!$AE49),"")</f>
        <v/>
      </c>
      <c r="K917" s="32">
        <f>IF($A917=1,IF(Cash_Vouchers!$AG49="","",Cash_Vouchers!$AG49),"")</f>
        <v/>
      </c>
      <c r="L917" s="32">
        <f>IF($A917=1,IF(Cash_Vouchers!$K49="",Cash_Vouchers!$C49&amp;" - "&amp;Cash_Vouchers!$H49,Cash_Vouchers!$K49),"")</f>
        <v/>
      </c>
      <c r="M917" s="43">
        <f>IF($A917=1,Cash_Vouchers!$I49,"")</f>
        <v/>
      </c>
      <c r="N917" s="43">
        <f>IF($A917=1,0,"")</f>
        <v/>
      </c>
      <c r="O917" s="32">
        <f>IF($A917=1,Cash_Vouchers!$N49,"")</f>
        <v/>
      </c>
      <c r="P917" s="32">
        <f>IF($A917=1,IF(Cash_Vouchers!$AK49="","",Cash_Vouchers!$AK49),"")</f>
        <v/>
      </c>
      <c r="Q917" s="32">
        <f>IF($A917=1,Cash_Vouchers!$AM49,"")</f>
        <v/>
      </c>
      <c r="R917" s="32">
        <f>IF($A917=1,IF(AND($Q917=1,COUNTIFS(COA!$A:$A,$G917,COA!$R:$R,1)=1),1,0),"")</f>
        <v/>
      </c>
      <c r="S917" s="43">
        <f>IF($A917=1,IF($R917=1,N($M917),0),"")</f>
        <v/>
      </c>
      <c r="T917" s="43">
        <f>IF($A917=1,IF($R917=1,N($N917),0),"")</f>
        <v/>
      </c>
      <c r="U917" s="32">
        <f>IF($A917=1,YEAR($D917)*100+MONTH($D917),"")</f>
        <v/>
      </c>
      <c r="V917" s="32">
        <f>IF($A917=1,IF(COUNTIF(COA!$A:$A,$G917)=0,0,INDEX(COA!$H:$H,MATCH($G917,COA!$A:$A,0))),"")</f>
        <v/>
      </c>
      <c r="W917" s="32">
        <f>IF($A917=1,IF(Cash_Vouchers!$AI49="","",Cash_Vouchers!$AI49),"")</f>
        <v/>
      </c>
      <c r="X917" s="32">
        <f>IF($A917=1,IF($R917=1,"",IF($O917=ST_POST,IF($P917&lt;&gt;"",$P917,"حساب غير صالح أو غير نشط"),IF($O917=ST_REV,"معكوس: لا أثر على الدفاتر",IF($O917=ST_CANC,"ملغى",IF($O917=ST_APPR,"معتمد ولم يُرحَّل","مسودة"))))),"")</f>
        <v/>
      </c>
      <c r="Y917" s="32">
        <f>IF($A917=1,IF(AND($R917=1,OR(LG_Acct="",$G917=LG_Acct),OR(LG_Party="",$K917=LG_Party),OR(LG_Loc="ALL",$I917=LG_Loc),OR(LG_CC="ALL",$J917=LG_CC),$D917&gt;=LG_From,$D917&lt;=LG_To),$D917+ROW()/1000000,""),"")</f>
        <v/>
      </c>
      <c r="Z917" s="32">
        <f>IF($A917=1,IF(Cash_Vouchers!$O49="","",Cash_Vouchers!$O49),"")</f>
        <v/>
      </c>
      <c r="AA917" s="32">
        <f>IF($A917=1,IF(Cash_Vouchers!$P49="","",Cash_Vouchers!$P49),"")</f>
        <v/>
      </c>
      <c r="AB917" s="32">
        <f>IF($A917=1,IF(Cash_Vouchers!$Q49="","",Cash_Vouchers!$Q49),"")</f>
        <v/>
      </c>
      <c r="AC917" s="32">
        <f>IF($A917=1,IF(Cash_Vouchers!$R49="","",Cash_Vouchers!$R49),"")</f>
        <v/>
      </c>
      <c r="AD917" s="32">
        <f>IF($A917=1,IF(Cash_Vouchers!$S49="","",Cash_Vouchers!$S49),"")</f>
        <v/>
      </c>
      <c r="AE917" s="32">
        <f>IF($A917=1,0,"")</f>
        <v/>
      </c>
      <c r="AF917" s="32" t="inlineStr"/>
    </row>
    <row r="918">
      <c r="A918" s="32">
        <f>IF(AND(Cash_Vouchers!$AJ49=1,N(Cash_Vouchers!$I49)&gt;0),1,0)</f>
        <v/>
      </c>
      <c r="B918" s="32">
        <f>IF($A918=1,$E918&amp;"/2","")</f>
        <v/>
      </c>
      <c r="C918" s="32">
        <f>IF($A918=1,"J-"&amp;Cash_Vouchers!$A49,"")</f>
        <v/>
      </c>
      <c r="D918" s="33">
        <f>IF($A918=1,Cash_Vouchers!$B49,"")</f>
        <v/>
      </c>
      <c r="E918" s="32">
        <f>IF($A918=1,IF(Cash_Vouchers!$A49="","",Cash_Vouchers!$A49),"")</f>
        <v/>
      </c>
      <c r="F918" s="32">
        <f>IF($A918=1,"CV","")</f>
        <v/>
      </c>
      <c r="G918" s="32">
        <f>IF($A918=1,IF(Cash_Vouchers!$AB49="","",Cash_Vouchers!$AB49),"")</f>
        <v/>
      </c>
      <c r="H918" s="32">
        <f>IF($A918=1,IF(COUNTIF(COA!$A:$A,$G918)=0,"حساب غير معرف",INDEX(COA!$B:$B,MATCH($G918,COA!$A:$A,0))),"")</f>
        <v/>
      </c>
      <c r="I918" s="32">
        <f>IF($A918=1,IF(Cash_Vouchers!$AD49="","",Cash_Vouchers!$AD49),"")</f>
        <v/>
      </c>
      <c r="J918" s="32">
        <f>IF($A918=1,IF(Cash_Vouchers!$AF49="","",Cash_Vouchers!$AF49),"")</f>
        <v/>
      </c>
      <c r="K918" s="32">
        <f>IF($A918=1,IF(Cash_Vouchers!$AH49="","",Cash_Vouchers!$AH49),"")</f>
        <v/>
      </c>
      <c r="L918" s="32">
        <f>IF($A918=1,IF(Cash_Vouchers!$K49="",Cash_Vouchers!$C49&amp;" - "&amp;Cash_Vouchers!$H49,Cash_Vouchers!$K49),"")</f>
        <v/>
      </c>
      <c r="M918" s="43">
        <f>IF($A918=1,0,"")</f>
        <v/>
      </c>
      <c r="N918" s="43">
        <f>IF($A918=1,Cash_Vouchers!$I49,"")</f>
        <v/>
      </c>
      <c r="O918" s="32">
        <f>IF($A918=1,Cash_Vouchers!$N49,"")</f>
        <v/>
      </c>
      <c r="P918" s="32">
        <f>IF($A918=1,IF(Cash_Vouchers!$AK49="","",Cash_Vouchers!$AK49),"")</f>
        <v/>
      </c>
      <c r="Q918" s="32">
        <f>IF($A918=1,Cash_Vouchers!$AM49,"")</f>
        <v/>
      </c>
      <c r="R918" s="32">
        <f>IF($A918=1,IF(AND($Q918=1,COUNTIFS(COA!$A:$A,$G918,COA!$R:$R,1)=1),1,0),"")</f>
        <v/>
      </c>
      <c r="S918" s="43">
        <f>IF($A918=1,IF($R918=1,N($M918),0),"")</f>
        <v/>
      </c>
      <c r="T918" s="43">
        <f>IF($A918=1,IF($R918=1,N($N918),0),"")</f>
        <v/>
      </c>
      <c r="U918" s="32">
        <f>IF($A918=1,YEAR($D918)*100+MONTH($D918),"")</f>
        <v/>
      </c>
      <c r="V918" s="32">
        <f>IF($A918=1,IF(COUNTIF(COA!$A:$A,$G918)=0,0,INDEX(COA!$H:$H,MATCH($G918,COA!$A:$A,0))),"")</f>
        <v/>
      </c>
      <c r="W918" s="32">
        <f>IF($A918=1,IF(Cash_Vouchers!$AI49="","",Cash_Vouchers!$AI49),"")</f>
        <v/>
      </c>
      <c r="X918" s="32">
        <f>IF($A918=1,IF($R918=1,"",IF($O918=ST_POST,IF($P918&lt;&gt;"",$P918,"حساب غير صالح أو غير نشط"),IF($O918=ST_REV,"معكوس: لا أثر على الدفاتر",IF($O918=ST_CANC,"ملغى",IF($O918=ST_APPR,"معتمد ولم يُرحَّل","مسودة"))))),"")</f>
        <v/>
      </c>
      <c r="Y918" s="32">
        <f>IF($A918=1,IF(AND($R918=1,OR(LG_Acct="",$G918=LG_Acct),OR(LG_Party="",$K918=LG_Party),OR(LG_Loc="ALL",$I918=LG_Loc),OR(LG_CC="ALL",$J918=LG_CC),$D918&gt;=LG_From,$D918&lt;=LG_To),$D918+ROW()/1000000,""),"")</f>
        <v/>
      </c>
      <c r="Z918" s="32">
        <f>IF($A918=1,IF(Cash_Vouchers!$O49="","",Cash_Vouchers!$O49),"")</f>
        <v/>
      </c>
      <c r="AA918" s="32">
        <f>IF($A918=1,IF(Cash_Vouchers!$P49="","",Cash_Vouchers!$P49),"")</f>
        <v/>
      </c>
      <c r="AB918" s="32">
        <f>IF($A918=1,IF(Cash_Vouchers!$Q49="","",Cash_Vouchers!$Q49),"")</f>
        <v/>
      </c>
      <c r="AC918" s="32">
        <f>IF($A918=1,IF(Cash_Vouchers!$R49="","",Cash_Vouchers!$R49),"")</f>
        <v/>
      </c>
      <c r="AD918" s="32">
        <f>IF($A918=1,IF(Cash_Vouchers!$S49="","",Cash_Vouchers!$S49),"")</f>
        <v/>
      </c>
      <c r="AE918" s="32">
        <f>IF($A918=1,0,"")</f>
        <v/>
      </c>
      <c r="AF918" s="32" t="inlineStr"/>
    </row>
    <row r="919">
      <c r="A919" s="32">
        <f>IF(AND(Cash_Vouchers!$AJ50=1,N(Cash_Vouchers!$I50)&gt;0),1,0)</f>
        <v/>
      </c>
      <c r="B919" s="32">
        <f>IF($A919=1,$E919&amp;"/1","")</f>
        <v/>
      </c>
      <c r="C919" s="32">
        <f>IF($A919=1,"J-"&amp;Cash_Vouchers!$A50,"")</f>
        <v/>
      </c>
      <c r="D919" s="33">
        <f>IF($A919=1,Cash_Vouchers!$B50,"")</f>
        <v/>
      </c>
      <c r="E919" s="32">
        <f>IF($A919=1,IF(Cash_Vouchers!$A50="","",Cash_Vouchers!$A50),"")</f>
        <v/>
      </c>
      <c r="F919" s="32">
        <f>IF($A919=1,"CV","")</f>
        <v/>
      </c>
      <c r="G919" s="32">
        <f>IF($A919=1,IF(Cash_Vouchers!$AA50="","",Cash_Vouchers!$AA50),"")</f>
        <v/>
      </c>
      <c r="H919" s="32">
        <f>IF($A919=1,IF(COUNTIF(COA!$A:$A,$G919)=0,"حساب غير معرف",INDEX(COA!$B:$B,MATCH($G919,COA!$A:$A,0))),"")</f>
        <v/>
      </c>
      <c r="I919" s="32">
        <f>IF($A919=1,IF(Cash_Vouchers!$AC50="","",Cash_Vouchers!$AC50),"")</f>
        <v/>
      </c>
      <c r="J919" s="32">
        <f>IF($A919=1,IF(Cash_Vouchers!$AE50="","",Cash_Vouchers!$AE50),"")</f>
        <v/>
      </c>
      <c r="K919" s="32">
        <f>IF($A919=1,IF(Cash_Vouchers!$AG50="","",Cash_Vouchers!$AG50),"")</f>
        <v/>
      </c>
      <c r="L919" s="32">
        <f>IF($A919=1,IF(Cash_Vouchers!$K50="",Cash_Vouchers!$C50&amp;" - "&amp;Cash_Vouchers!$H50,Cash_Vouchers!$K50),"")</f>
        <v/>
      </c>
      <c r="M919" s="43">
        <f>IF($A919=1,Cash_Vouchers!$I50,"")</f>
        <v/>
      </c>
      <c r="N919" s="43">
        <f>IF($A919=1,0,"")</f>
        <v/>
      </c>
      <c r="O919" s="32">
        <f>IF($A919=1,Cash_Vouchers!$N50,"")</f>
        <v/>
      </c>
      <c r="P919" s="32">
        <f>IF($A919=1,IF(Cash_Vouchers!$AK50="","",Cash_Vouchers!$AK50),"")</f>
        <v/>
      </c>
      <c r="Q919" s="32">
        <f>IF($A919=1,Cash_Vouchers!$AM50,"")</f>
        <v/>
      </c>
      <c r="R919" s="32">
        <f>IF($A919=1,IF(AND($Q919=1,COUNTIFS(COA!$A:$A,$G919,COA!$R:$R,1)=1),1,0),"")</f>
        <v/>
      </c>
      <c r="S919" s="43">
        <f>IF($A919=1,IF($R919=1,N($M919),0),"")</f>
        <v/>
      </c>
      <c r="T919" s="43">
        <f>IF($A919=1,IF($R919=1,N($N919),0),"")</f>
        <v/>
      </c>
      <c r="U919" s="32">
        <f>IF($A919=1,YEAR($D919)*100+MONTH($D919),"")</f>
        <v/>
      </c>
      <c r="V919" s="32">
        <f>IF($A919=1,IF(COUNTIF(COA!$A:$A,$G919)=0,0,INDEX(COA!$H:$H,MATCH($G919,COA!$A:$A,0))),"")</f>
        <v/>
      </c>
      <c r="W919" s="32">
        <f>IF($A919=1,IF(Cash_Vouchers!$AI50="","",Cash_Vouchers!$AI50),"")</f>
        <v/>
      </c>
      <c r="X919" s="32">
        <f>IF($A919=1,IF($R919=1,"",IF($O919=ST_POST,IF($P919&lt;&gt;"",$P919,"حساب غير صالح أو غير نشط"),IF($O919=ST_REV,"معكوس: لا أثر على الدفاتر",IF($O919=ST_CANC,"ملغى",IF($O919=ST_APPR,"معتمد ولم يُرحَّل","مسودة"))))),"")</f>
        <v/>
      </c>
      <c r="Y919" s="32">
        <f>IF($A919=1,IF(AND($R919=1,OR(LG_Acct="",$G919=LG_Acct),OR(LG_Party="",$K919=LG_Party),OR(LG_Loc="ALL",$I919=LG_Loc),OR(LG_CC="ALL",$J919=LG_CC),$D919&gt;=LG_From,$D919&lt;=LG_To),$D919+ROW()/1000000,""),"")</f>
        <v/>
      </c>
      <c r="Z919" s="32">
        <f>IF($A919=1,IF(Cash_Vouchers!$O50="","",Cash_Vouchers!$O50),"")</f>
        <v/>
      </c>
      <c r="AA919" s="32">
        <f>IF($A919=1,IF(Cash_Vouchers!$P50="","",Cash_Vouchers!$P50),"")</f>
        <v/>
      </c>
      <c r="AB919" s="32">
        <f>IF($A919=1,IF(Cash_Vouchers!$Q50="","",Cash_Vouchers!$Q50),"")</f>
        <v/>
      </c>
      <c r="AC919" s="32">
        <f>IF($A919=1,IF(Cash_Vouchers!$R50="","",Cash_Vouchers!$R50),"")</f>
        <v/>
      </c>
      <c r="AD919" s="32">
        <f>IF($A919=1,IF(Cash_Vouchers!$S50="","",Cash_Vouchers!$S50),"")</f>
        <v/>
      </c>
      <c r="AE919" s="32">
        <f>IF($A919=1,0,"")</f>
        <v/>
      </c>
      <c r="AF919" s="32" t="inlineStr"/>
    </row>
    <row r="920">
      <c r="A920" s="32">
        <f>IF(AND(Cash_Vouchers!$AJ50=1,N(Cash_Vouchers!$I50)&gt;0),1,0)</f>
        <v/>
      </c>
      <c r="B920" s="32">
        <f>IF($A920=1,$E920&amp;"/2","")</f>
        <v/>
      </c>
      <c r="C920" s="32">
        <f>IF($A920=1,"J-"&amp;Cash_Vouchers!$A50,"")</f>
        <v/>
      </c>
      <c r="D920" s="33">
        <f>IF($A920=1,Cash_Vouchers!$B50,"")</f>
        <v/>
      </c>
      <c r="E920" s="32">
        <f>IF($A920=1,IF(Cash_Vouchers!$A50="","",Cash_Vouchers!$A50),"")</f>
        <v/>
      </c>
      <c r="F920" s="32">
        <f>IF($A920=1,"CV","")</f>
        <v/>
      </c>
      <c r="G920" s="32">
        <f>IF($A920=1,IF(Cash_Vouchers!$AB50="","",Cash_Vouchers!$AB50),"")</f>
        <v/>
      </c>
      <c r="H920" s="32">
        <f>IF($A920=1,IF(COUNTIF(COA!$A:$A,$G920)=0,"حساب غير معرف",INDEX(COA!$B:$B,MATCH($G920,COA!$A:$A,0))),"")</f>
        <v/>
      </c>
      <c r="I920" s="32">
        <f>IF($A920=1,IF(Cash_Vouchers!$AD50="","",Cash_Vouchers!$AD50),"")</f>
        <v/>
      </c>
      <c r="J920" s="32">
        <f>IF($A920=1,IF(Cash_Vouchers!$AF50="","",Cash_Vouchers!$AF50),"")</f>
        <v/>
      </c>
      <c r="K920" s="32">
        <f>IF($A920=1,IF(Cash_Vouchers!$AH50="","",Cash_Vouchers!$AH50),"")</f>
        <v/>
      </c>
      <c r="L920" s="32">
        <f>IF($A920=1,IF(Cash_Vouchers!$K50="",Cash_Vouchers!$C50&amp;" - "&amp;Cash_Vouchers!$H50,Cash_Vouchers!$K50),"")</f>
        <v/>
      </c>
      <c r="M920" s="43">
        <f>IF($A920=1,0,"")</f>
        <v/>
      </c>
      <c r="N920" s="43">
        <f>IF($A920=1,Cash_Vouchers!$I50,"")</f>
        <v/>
      </c>
      <c r="O920" s="32">
        <f>IF($A920=1,Cash_Vouchers!$N50,"")</f>
        <v/>
      </c>
      <c r="P920" s="32">
        <f>IF($A920=1,IF(Cash_Vouchers!$AK50="","",Cash_Vouchers!$AK50),"")</f>
        <v/>
      </c>
      <c r="Q920" s="32">
        <f>IF($A920=1,Cash_Vouchers!$AM50,"")</f>
        <v/>
      </c>
      <c r="R920" s="32">
        <f>IF($A920=1,IF(AND($Q920=1,COUNTIFS(COA!$A:$A,$G920,COA!$R:$R,1)=1),1,0),"")</f>
        <v/>
      </c>
      <c r="S920" s="43">
        <f>IF($A920=1,IF($R920=1,N($M920),0),"")</f>
        <v/>
      </c>
      <c r="T920" s="43">
        <f>IF($A920=1,IF($R920=1,N($N920),0),"")</f>
        <v/>
      </c>
      <c r="U920" s="32">
        <f>IF($A920=1,YEAR($D920)*100+MONTH($D920),"")</f>
        <v/>
      </c>
      <c r="V920" s="32">
        <f>IF($A920=1,IF(COUNTIF(COA!$A:$A,$G920)=0,0,INDEX(COA!$H:$H,MATCH($G920,COA!$A:$A,0))),"")</f>
        <v/>
      </c>
      <c r="W920" s="32">
        <f>IF($A920=1,IF(Cash_Vouchers!$AI50="","",Cash_Vouchers!$AI50),"")</f>
        <v/>
      </c>
      <c r="X920" s="32">
        <f>IF($A920=1,IF($R920=1,"",IF($O920=ST_POST,IF($P920&lt;&gt;"",$P920,"حساب غير صالح أو غير نشط"),IF($O920=ST_REV,"معكوس: لا أثر على الدفاتر",IF($O920=ST_CANC,"ملغى",IF($O920=ST_APPR,"معتمد ولم يُرحَّل","مسودة"))))),"")</f>
        <v/>
      </c>
      <c r="Y920" s="32">
        <f>IF($A920=1,IF(AND($R920=1,OR(LG_Acct="",$G920=LG_Acct),OR(LG_Party="",$K920=LG_Party),OR(LG_Loc="ALL",$I920=LG_Loc),OR(LG_CC="ALL",$J920=LG_CC),$D920&gt;=LG_From,$D920&lt;=LG_To),$D920+ROW()/1000000,""),"")</f>
        <v/>
      </c>
      <c r="Z920" s="32">
        <f>IF($A920=1,IF(Cash_Vouchers!$O50="","",Cash_Vouchers!$O50),"")</f>
        <v/>
      </c>
      <c r="AA920" s="32">
        <f>IF($A920=1,IF(Cash_Vouchers!$P50="","",Cash_Vouchers!$P50),"")</f>
        <v/>
      </c>
      <c r="AB920" s="32">
        <f>IF($A920=1,IF(Cash_Vouchers!$Q50="","",Cash_Vouchers!$Q50),"")</f>
        <v/>
      </c>
      <c r="AC920" s="32">
        <f>IF($A920=1,IF(Cash_Vouchers!$R50="","",Cash_Vouchers!$R50),"")</f>
        <v/>
      </c>
      <c r="AD920" s="32">
        <f>IF($A920=1,IF(Cash_Vouchers!$S50="","",Cash_Vouchers!$S50),"")</f>
        <v/>
      </c>
      <c r="AE920" s="32">
        <f>IF($A920=1,0,"")</f>
        <v/>
      </c>
      <c r="AF920" s="32" t="inlineStr"/>
    </row>
    <row r="921">
      <c r="A921" s="32">
        <f>IF(AND(Cash_Vouchers!$AJ51=1,N(Cash_Vouchers!$I51)&gt;0),1,0)</f>
        <v/>
      </c>
      <c r="B921" s="32">
        <f>IF($A921=1,$E921&amp;"/1","")</f>
        <v/>
      </c>
      <c r="C921" s="32">
        <f>IF($A921=1,"J-"&amp;Cash_Vouchers!$A51,"")</f>
        <v/>
      </c>
      <c r="D921" s="33">
        <f>IF($A921=1,Cash_Vouchers!$B51,"")</f>
        <v/>
      </c>
      <c r="E921" s="32">
        <f>IF($A921=1,IF(Cash_Vouchers!$A51="","",Cash_Vouchers!$A51),"")</f>
        <v/>
      </c>
      <c r="F921" s="32">
        <f>IF($A921=1,"CV","")</f>
        <v/>
      </c>
      <c r="G921" s="32">
        <f>IF($A921=1,IF(Cash_Vouchers!$AA51="","",Cash_Vouchers!$AA51),"")</f>
        <v/>
      </c>
      <c r="H921" s="32">
        <f>IF($A921=1,IF(COUNTIF(COA!$A:$A,$G921)=0,"حساب غير معرف",INDEX(COA!$B:$B,MATCH($G921,COA!$A:$A,0))),"")</f>
        <v/>
      </c>
      <c r="I921" s="32">
        <f>IF($A921=1,IF(Cash_Vouchers!$AC51="","",Cash_Vouchers!$AC51),"")</f>
        <v/>
      </c>
      <c r="J921" s="32">
        <f>IF($A921=1,IF(Cash_Vouchers!$AE51="","",Cash_Vouchers!$AE51),"")</f>
        <v/>
      </c>
      <c r="K921" s="32">
        <f>IF($A921=1,IF(Cash_Vouchers!$AG51="","",Cash_Vouchers!$AG51),"")</f>
        <v/>
      </c>
      <c r="L921" s="32">
        <f>IF($A921=1,IF(Cash_Vouchers!$K51="",Cash_Vouchers!$C51&amp;" - "&amp;Cash_Vouchers!$H51,Cash_Vouchers!$K51),"")</f>
        <v/>
      </c>
      <c r="M921" s="43">
        <f>IF($A921=1,Cash_Vouchers!$I51,"")</f>
        <v/>
      </c>
      <c r="N921" s="43">
        <f>IF($A921=1,0,"")</f>
        <v/>
      </c>
      <c r="O921" s="32">
        <f>IF($A921=1,Cash_Vouchers!$N51,"")</f>
        <v/>
      </c>
      <c r="P921" s="32">
        <f>IF($A921=1,IF(Cash_Vouchers!$AK51="","",Cash_Vouchers!$AK51),"")</f>
        <v/>
      </c>
      <c r="Q921" s="32">
        <f>IF($A921=1,Cash_Vouchers!$AM51,"")</f>
        <v/>
      </c>
      <c r="R921" s="32">
        <f>IF($A921=1,IF(AND($Q921=1,COUNTIFS(COA!$A:$A,$G921,COA!$R:$R,1)=1),1,0),"")</f>
        <v/>
      </c>
      <c r="S921" s="43">
        <f>IF($A921=1,IF($R921=1,N($M921),0),"")</f>
        <v/>
      </c>
      <c r="T921" s="43">
        <f>IF($A921=1,IF($R921=1,N($N921),0),"")</f>
        <v/>
      </c>
      <c r="U921" s="32">
        <f>IF($A921=1,YEAR($D921)*100+MONTH($D921),"")</f>
        <v/>
      </c>
      <c r="V921" s="32">
        <f>IF($A921=1,IF(COUNTIF(COA!$A:$A,$G921)=0,0,INDEX(COA!$H:$H,MATCH($G921,COA!$A:$A,0))),"")</f>
        <v/>
      </c>
      <c r="W921" s="32">
        <f>IF($A921=1,IF(Cash_Vouchers!$AI51="","",Cash_Vouchers!$AI51),"")</f>
        <v/>
      </c>
      <c r="X921" s="32">
        <f>IF($A921=1,IF($R921=1,"",IF($O921=ST_POST,IF($P921&lt;&gt;"",$P921,"حساب غير صالح أو غير نشط"),IF($O921=ST_REV,"معكوس: لا أثر على الدفاتر",IF($O921=ST_CANC,"ملغى",IF($O921=ST_APPR,"معتمد ولم يُرحَّل","مسودة"))))),"")</f>
        <v/>
      </c>
      <c r="Y921" s="32">
        <f>IF($A921=1,IF(AND($R921=1,OR(LG_Acct="",$G921=LG_Acct),OR(LG_Party="",$K921=LG_Party),OR(LG_Loc="ALL",$I921=LG_Loc),OR(LG_CC="ALL",$J921=LG_CC),$D921&gt;=LG_From,$D921&lt;=LG_To),$D921+ROW()/1000000,""),"")</f>
        <v/>
      </c>
      <c r="Z921" s="32">
        <f>IF($A921=1,IF(Cash_Vouchers!$O51="","",Cash_Vouchers!$O51),"")</f>
        <v/>
      </c>
      <c r="AA921" s="32">
        <f>IF($A921=1,IF(Cash_Vouchers!$P51="","",Cash_Vouchers!$P51),"")</f>
        <v/>
      </c>
      <c r="AB921" s="32">
        <f>IF($A921=1,IF(Cash_Vouchers!$Q51="","",Cash_Vouchers!$Q51),"")</f>
        <v/>
      </c>
      <c r="AC921" s="32">
        <f>IF($A921=1,IF(Cash_Vouchers!$R51="","",Cash_Vouchers!$R51),"")</f>
        <v/>
      </c>
      <c r="AD921" s="32">
        <f>IF($A921=1,IF(Cash_Vouchers!$S51="","",Cash_Vouchers!$S51),"")</f>
        <v/>
      </c>
      <c r="AE921" s="32">
        <f>IF($A921=1,0,"")</f>
        <v/>
      </c>
      <c r="AF921" s="32" t="inlineStr"/>
    </row>
    <row r="922">
      <c r="A922" s="32">
        <f>IF(AND(Cash_Vouchers!$AJ51=1,N(Cash_Vouchers!$I51)&gt;0),1,0)</f>
        <v/>
      </c>
      <c r="B922" s="32">
        <f>IF($A922=1,$E922&amp;"/2","")</f>
        <v/>
      </c>
      <c r="C922" s="32">
        <f>IF($A922=1,"J-"&amp;Cash_Vouchers!$A51,"")</f>
        <v/>
      </c>
      <c r="D922" s="33">
        <f>IF($A922=1,Cash_Vouchers!$B51,"")</f>
        <v/>
      </c>
      <c r="E922" s="32">
        <f>IF($A922=1,IF(Cash_Vouchers!$A51="","",Cash_Vouchers!$A51),"")</f>
        <v/>
      </c>
      <c r="F922" s="32">
        <f>IF($A922=1,"CV","")</f>
        <v/>
      </c>
      <c r="G922" s="32">
        <f>IF($A922=1,IF(Cash_Vouchers!$AB51="","",Cash_Vouchers!$AB51),"")</f>
        <v/>
      </c>
      <c r="H922" s="32">
        <f>IF($A922=1,IF(COUNTIF(COA!$A:$A,$G922)=0,"حساب غير معرف",INDEX(COA!$B:$B,MATCH($G922,COA!$A:$A,0))),"")</f>
        <v/>
      </c>
      <c r="I922" s="32">
        <f>IF($A922=1,IF(Cash_Vouchers!$AD51="","",Cash_Vouchers!$AD51),"")</f>
        <v/>
      </c>
      <c r="J922" s="32">
        <f>IF($A922=1,IF(Cash_Vouchers!$AF51="","",Cash_Vouchers!$AF51),"")</f>
        <v/>
      </c>
      <c r="K922" s="32">
        <f>IF($A922=1,IF(Cash_Vouchers!$AH51="","",Cash_Vouchers!$AH51),"")</f>
        <v/>
      </c>
      <c r="L922" s="32">
        <f>IF($A922=1,IF(Cash_Vouchers!$K51="",Cash_Vouchers!$C51&amp;" - "&amp;Cash_Vouchers!$H51,Cash_Vouchers!$K51),"")</f>
        <v/>
      </c>
      <c r="M922" s="43">
        <f>IF($A922=1,0,"")</f>
        <v/>
      </c>
      <c r="N922" s="43">
        <f>IF($A922=1,Cash_Vouchers!$I51,"")</f>
        <v/>
      </c>
      <c r="O922" s="32">
        <f>IF($A922=1,Cash_Vouchers!$N51,"")</f>
        <v/>
      </c>
      <c r="P922" s="32">
        <f>IF($A922=1,IF(Cash_Vouchers!$AK51="","",Cash_Vouchers!$AK51),"")</f>
        <v/>
      </c>
      <c r="Q922" s="32">
        <f>IF($A922=1,Cash_Vouchers!$AM51,"")</f>
        <v/>
      </c>
      <c r="R922" s="32">
        <f>IF($A922=1,IF(AND($Q922=1,COUNTIFS(COA!$A:$A,$G922,COA!$R:$R,1)=1),1,0),"")</f>
        <v/>
      </c>
      <c r="S922" s="43">
        <f>IF($A922=1,IF($R922=1,N($M922),0),"")</f>
        <v/>
      </c>
      <c r="T922" s="43">
        <f>IF($A922=1,IF($R922=1,N($N922),0),"")</f>
        <v/>
      </c>
      <c r="U922" s="32">
        <f>IF($A922=1,YEAR($D922)*100+MONTH($D922),"")</f>
        <v/>
      </c>
      <c r="V922" s="32">
        <f>IF($A922=1,IF(COUNTIF(COA!$A:$A,$G922)=0,0,INDEX(COA!$H:$H,MATCH($G922,COA!$A:$A,0))),"")</f>
        <v/>
      </c>
      <c r="W922" s="32">
        <f>IF($A922=1,IF(Cash_Vouchers!$AI51="","",Cash_Vouchers!$AI51),"")</f>
        <v/>
      </c>
      <c r="X922" s="32">
        <f>IF($A922=1,IF($R922=1,"",IF($O922=ST_POST,IF($P922&lt;&gt;"",$P922,"حساب غير صالح أو غير نشط"),IF($O922=ST_REV,"معكوس: لا أثر على الدفاتر",IF($O922=ST_CANC,"ملغى",IF($O922=ST_APPR,"معتمد ولم يُرحَّل","مسودة"))))),"")</f>
        <v/>
      </c>
      <c r="Y922" s="32">
        <f>IF($A922=1,IF(AND($R922=1,OR(LG_Acct="",$G922=LG_Acct),OR(LG_Party="",$K922=LG_Party),OR(LG_Loc="ALL",$I922=LG_Loc),OR(LG_CC="ALL",$J922=LG_CC),$D922&gt;=LG_From,$D922&lt;=LG_To),$D922+ROW()/1000000,""),"")</f>
        <v/>
      </c>
      <c r="Z922" s="32">
        <f>IF($A922=1,IF(Cash_Vouchers!$O51="","",Cash_Vouchers!$O51),"")</f>
        <v/>
      </c>
      <c r="AA922" s="32">
        <f>IF($A922=1,IF(Cash_Vouchers!$P51="","",Cash_Vouchers!$P51),"")</f>
        <v/>
      </c>
      <c r="AB922" s="32">
        <f>IF($A922=1,IF(Cash_Vouchers!$Q51="","",Cash_Vouchers!$Q51),"")</f>
        <v/>
      </c>
      <c r="AC922" s="32">
        <f>IF($A922=1,IF(Cash_Vouchers!$R51="","",Cash_Vouchers!$R51),"")</f>
        <v/>
      </c>
      <c r="AD922" s="32">
        <f>IF($A922=1,IF(Cash_Vouchers!$S51="","",Cash_Vouchers!$S51),"")</f>
        <v/>
      </c>
      <c r="AE922" s="32">
        <f>IF($A922=1,0,"")</f>
        <v/>
      </c>
      <c r="AF922" s="32" t="inlineStr"/>
    </row>
    <row r="923">
      <c r="A923" s="32">
        <f>IF(AND(Cash_Vouchers!$AJ52=1,N(Cash_Vouchers!$I52)&gt;0),1,0)</f>
        <v/>
      </c>
      <c r="B923" s="32">
        <f>IF($A923=1,$E923&amp;"/1","")</f>
        <v/>
      </c>
      <c r="C923" s="32">
        <f>IF($A923=1,"J-"&amp;Cash_Vouchers!$A52,"")</f>
        <v/>
      </c>
      <c r="D923" s="33">
        <f>IF($A923=1,Cash_Vouchers!$B52,"")</f>
        <v/>
      </c>
      <c r="E923" s="32">
        <f>IF($A923=1,IF(Cash_Vouchers!$A52="","",Cash_Vouchers!$A52),"")</f>
        <v/>
      </c>
      <c r="F923" s="32">
        <f>IF($A923=1,"CV","")</f>
        <v/>
      </c>
      <c r="G923" s="32">
        <f>IF($A923=1,IF(Cash_Vouchers!$AA52="","",Cash_Vouchers!$AA52),"")</f>
        <v/>
      </c>
      <c r="H923" s="32">
        <f>IF($A923=1,IF(COUNTIF(COA!$A:$A,$G923)=0,"حساب غير معرف",INDEX(COA!$B:$B,MATCH($G923,COA!$A:$A,0))),"")</f>
        <v/>
      </c>
      <c r="I923" s="32">
        <f>IF($A923=1,IF(Cash_Vouchers!$AC52="","",Cash_Vouchers!$AC52),"")</f>
        <v/>
      </c>
      <c r="J923" s="32">
        <f>IF($A923=1,IF(Cash_Vouchers!$AE52="","",Cash_Vouchers!$AE52),"")</f>
        <v/>
      </c>
      <c r="K923" s="32">
        <f>IF($A923=1,IF(Cash_Vouchers!$AG52="","",Cash_Vouchers!$AG52),"")</f>
        <v/>
      </c>
      <c r="L923" s="32">
        <f>IF($A923=1,IF(Cash_Vouchers!$K52="",Cash_Vouchers!$C52&amp;" - "&amp;Cash_Vouchers!$H52,Cash_Vouchers!$K52),"")</f>
        <v/>
      </c>
      <c r="M923" s="43">
        <f>IF($A923=1,Cash_Vouchers!$I52,"")</f>
        <v/>
      </c>
      <c r="N923" s="43">
        <f>IF($A923=1,0,"")</f>
        <v/>
      </c>
      <c r="O923" s="32">
        <f>IF($A923=1,Cash_Vouchers!$N52,"")</f>
        <v/>
      </c>
      <c r="P923" s="32">
        <f>IF($A923=1,IF(Cash_Vouchers!$AK52="","",Cash_Vouchers!$AK52),"")</f>
        <v/>
      </c>
      <c r="Q923" s="32">
        <f>IF($A923=1,Cash_Vouchers!$AM52,"")</f>
        <v/>
      </c>
      <c r="R923" s="32">
        <f>IF($A923=1,IF(AND($Q923=1,COUNTIFS(COA!$A:$A,$G923,COA!$R:$R,1)=1),1,0),"")</f>
        <v/>
      </c>
      <c r="S923" s="43">
        <f>IF($A923=1,IF($R923=1,N($M923),0),"")</f>
        <v/>
      </c>
      <c r="T923" s="43">
        <f>IF($A923=1,IF($R923=1,N($N923),0),"")</f>
        <v/>
      </c>
      <c r="U923" s="32">
        <f>IF($A923=1,YEAR($D923)*100+MONTH($D923),"")</f>
        <v/>
      </c>
      <c r="V923" s="32">
        <f>IF($A923=1,IF(COUNTIF(COA!$A:$A,$G923)=0,0,INDEX(COA!$H:$H,MATCH($G923,COA!$A:$A,0))),"")</f>
        <v/>
      </c>
      <c r="W923" s="32">
        <f>IF($A923=1,IF(Cash_Vouchers!$AI52="","",Cash_Vouchers!$AI52),"")</f>
        <v/>
      </c>
      <c r="X923" s="32">
        <f>IF($A923=1,IF($R923=1,"",IF($O923=ST_POST,IF($P923&lt;&gt;"",$P923,"حساب غير صالح أو غير نشط"),IF($O923=ST_REV,"معكوس: لا أثر على الدفاتر",IF($O923=ST_CANC,"ملغى",IF($O923=ST_APPR,"معتمد ولم يُرحَّل","مسودة"))))),"")</f>
        <v/>
      </c>
      <c r="Y923" s="32">
        <f>IF($A923=1,IF(AND($R923=1,OR(LG_Acct="",$G923=LG_Acct),OR(LG_Party="",$K923=LG_Party),OR(LG_Loc="ALL",$I923=LG_Loc),OR(LG_CC="ALL",$J923=LG_CC),$D923&gt;=LG_From,$D923&lt;=LG_To),$D923+ROW()/1000000,""),"")</f>
        <v/>
      </c>
      <c r="Z923" s="32">
        <f>IF($A923=1,IF(Cash_Vouchers!$O52="","",Cash_Vouchers!$O52),"")</f>
        <v/>
      </c>
      <c r="AA923" s="32">
        <f>IF($A923=1,IF(Cash_Vouchers!$P52="","",Cash_Vouchers!$P52),"")</f>
        <v/>
      </c>
      <c r="AB923" s="32">
        <f>IF($A923=1,IF(Cash_Vouchers!$Q52="","",Cash_Vouchers!$Q52),"")</f>
        <v/>
      </c>
      <c r="AC923" s="32">
        <f>IF($A923=1,IF(Cash_Vouchers!$R52="","",Cash_Vouchers!$R52),"")</f>
        <v/>
      </c>
      <c r="AD923" s="32">
        <f>IF($A923=1,IF(Cash_Vouchers!$S52="","",Cash_Vouchers!$S52),"")</f>
        <v/>
      </c>
      <c r="AE923" s="32">
        <f>IF($A923=1,0,"")</f>
        <v/>
      </c>
      <c r="AF923" s="32" t="inlineStr"/>
    </row>
    <row r="924">
      <c r="A924" s="32">
        <f>IF(AND(Cash_Vouchers!$AJ52=1,N(Cash_Vouchers!$I52)&gt;0),1,0)</f>
        <v/>
      </c>
      <c r="B924" s="32">
        <f>IF($A924=1,$E924&amp;"/2","")</f>
        <v/>
      </c>
      <c r="C924" s="32">
        <f>IF($A924=1,"J-"&amp;Cash_Vouchers!$A52,"")</f>
        <v/>
      </c>
      <c r="D924" s="33">
        <f>IF($A924=1,Cash_Vouchers!$B52,"")</f>
        <v/>
      </c>
      <c r="E924" s="32">
        <f>IF($A924=1,IF(Cash_Vouchers!$A52="","",Cash_Vouchers!$A52),"")</f>
        <v/>
      </c>
      <c r="F924" s="32">
        <f>IF($A924=1,"CV","")</f>
        <v/>
      </c>
      <c r="G924" s="32">
        <f>IF($A924=1,IF(Cash_Vouchers!$AB52="","",Cash_Vouchers!$AB52),"")</f>
        <v/>
      </c>
      <c r="H924" s="32">
        <f>IF($A924=1,IF(COUNTIF(COA!$A:$A,$G924)=0,"حساب غير معرف",INDEX(COA!$B:$B,MATCH($G924,COA!$A:$A,0))),"")</f>
        <v/>
      </c>
      <c r="I924" s="32">
        <f>IF($A924=1,IF(Cash_Vouchers!$AD52="","",Cash_Vouchers!$AD52),"")</f>
        <v/>
      </c>
      <c r="J924" s="32">
        <f>IF($A924=1,IF(Cash_Vouchers!$AF52="","",Cash_Vouchers!$AF52),"")</f>
        <v/>
      </c>
      <c r="K924" s="32">
        <f>IF($A924=1,IF(Cash_Vouchers!$AH52="","",Cash_Vouchers!$AH52),"")</f>
        <v/>
      </c>
      <c r="L924" s="32">
        <f>IF($A924=1,IF(Cash_Vouchers!$K52="",Cash_Vouchers!$C52&amp;" - "&amp;Cash_Vouchers!$H52,Cash_Vouchers!$K52),"")</f>
        <v/>
      </c>
      <c r="M924" s="43">
        <f>IF($A924=1,0,"")</f>
        <v/>
      </c>
      <c r="N924" s="43">
        <f>IF($A924=1,Cash_Vouchers!$I52,"")</f>
        <v/>
      </c>
      <c r="O924" s="32">
        <f>IF($A924=1,Cash_Vouchers!$N52,"")</f>
        <v/>
      </c>
      <c r="P924" s="32">
        <f>IF($A924=1,IF(Cash_Vouchers!$AK52="","",Cash_Vouchers!$AK52),"")</f>
        <v/>
      </c>
      <c r="Q924" s="32">
        <f>IF($A924=1,Cash_Vouchers!$AM52,"")</f>
        <v/>
      </c>
      <c r="R924" s="32">
        <f>IF($A924=1,IF(AND($Q924=1,COUNTIFS(COA!$A:$A,$G924,COA!$R:$R,1)=1),1,0),"")</f>
        <v/>
      </c>
      <c r="S924" s="43">
        <f>IF($A924=1,IF($R924=1,N($M924),0),"")</f>
        <v/>
      </c>
      <c r="T924" s="43">
        <f>IF($A924=1,IF($R924=1,N($N924),0),"")</f>
        <v/>
      </c>
      <c r="U924" s="32">
        <f>IF($A924=1,YEAR($D924)*100+MONTH($D924),"")</f>
        <v/>
      </c>
      <c r="V924" s="32">
        <f>IF($A924=1,IF(COUNTIF(COA!$A:$A,$G924)=0,0,INDEX(COA!$H:$H,MATCH($G924,COA!$A:$A,0))),"")</f>
        <v/>
      </c>
      <c r="W924" s="32">
        <f>IF($A924=1,IF(Cash_Vouchers!$AI52="","",Cash_Vouchers!$AI52),"")</f>
        <v/>
      </c>
      <c r="X924" s="32">
        <f>IF($A924=1,IF($R924=1,"",IF($O924=ST_POST,IF($P924&lt;&gt;"",$P924,"حساب غير صالح أو غير نشط"),IF($O924=ST_REV,"معكوس: لا أثر على الدفاتر",IF($O924=ST_CANC,"ملغى",IF($O924=ST_APPR,"معتمد ولم يُرحَّل","مسودة"))))),"")</f>
        <v/>
      </c>
      <c r="Y924" s="32">
        <f>IF($A924=1,IF(AND($R924=1,OR(LG_Acct="",$G924=LG_Acct),OR(LG_Party="",$K924=LG_Party),OR(LG_Loc="ALL",$I924=LG_Loc),OR(LG_CC="ALL",$J924=LG_CC),$D924&gt;=LG_From,$D924&lt;=LG_To),$D924+ROW()/1000000,""),"")</f>
        <v/>
      </c>
      <c r="Z924" s="32">
        <f>IF($A924=1,IF(Cash_Vouchers!$O52="","",Cash_Vouchers!$O52),"")</f>
        <v/>
      </c>
      <c r="AA924" s="32">
        <f>IF($A924=1,IF(Cash_Vouchers!$P52="","",Cash_Vouchers!$P52),"")</f>
        <v/>
      </c>
      <c r="AB924" s="32">
        <f>IF($A924=1,IF(Cash_Vouchers!$Q52="","",Cash_Vouchers!$Q52),"")</f>
        <v/>
      </c>
      <c r="AC924" s="32">
        <f>IF($A924=1,IF(Cash_Vouchers!$R52="","",Cash_Vouchers!$R52),"")</f>
        <v/>
      </c>
      <c r="AD924" s="32">
        <f>IF($A924=1,IF(Cash_Vouchers!$S52="","",Cash_Vouchers!$S52),"")</f>
        <v/>
      </c>
      <c r="AE924" s="32">
        <f>IF($A924=1,0,"")</f>
        <v/>
      </c>
      <c r="AF924" s="32" t="inlineStr"/>
    </row>
    <row r="925">
      <c r="A925" s="32">
        <f>IF(AND(Cash_Vouchers!$AJ53=1,N(Cash_Vouchers!$I53)&gt;0),1,0)</f>
        <v/>
      </c>
      <c r="B925" s="32">
        <f>IF($A925=1,$E925&amp;"/1","")</f>
        <v/>
      </c>
      <c r="C925" s="32">
        <f>IF($A925=1,"J-"&amp;Cash_Vouchers!$A53,"")</f>
        <v/>
      </c>
      <c r="D925" s="33">
        <f>IF($A925=1,Cash_Vouchers!$B53,"")</f>
        <v/>
      </c>
      <c r="E925" s="32">
        <f>IF($A925=1,IF(Cash_Vouchers!$A53="","",Cash_Vouchers!$A53),"")</f>
        <v/>
      </c>
      <c r="F925" s="32">
        <f>IF($A925=1,"CV","")</f>
        <v/>
      </c>
      <c r="G925" s="32">
        <f>IF($A925=1,IF(Cash_Vouchers!$AA53="","",Cash_Vouchers!$AA53),"")</f>
        <v/>
      </c>
      <c r="H925" s="32">
        <f>IF($A925=1,IF(COUNTIF(COA!$A:$A,$G925)=0,"حساب غير معرف",INDEX(COA!$B:$B,MATCH($G925,COA!$A:$A,0))),"")</f>
        <v/>
      </c>
      <c r="I925" s="32">
        <f>IF($A925=1,IF(Cash_Vouchers!$AC53="","",Cash_Vouchers!$AC53),"")</f>
        <v/>
      </c>
      <c r="J925" s="32">
        <f>IF($A925=1,IF(Cash_Vouchers!$AE53="","",Cash_Vouchers!$AE53),"")</f>
        <v/>
      </c>
      <c r="K925" s="32">
        <f>IF($A925=1,IF(Cash_Vouchers!$AG53="","",Cash_Vouchers!$AG53),"")</f>
        <v/>
      </c>
      <c r="L925" s="32">
        <f>IF($A925=1,IF(Cash_Vouchers!$K53="",Cash_Vouchers!$C53&amp;" - "&amp;Cash_Vouchers!$H53,Cash_Vouchers!$K53),"")</f>
        <v/>
      </c>
      <c r="M925" s="43">
        <f>IF($A925=1,Cash_Vouchers!$I53,"")</f>
        <v/>
      </c>
      <c r="N925" s="43">
        <f>IF($A925=1,0,"")</f>
        <v/>
      </c>
      <c r="O925" s="32">
        <f>IF($A925=1,Cash_Vouchers!$N53,"")</f>
        <v/>
      </c>
      <c r="P925" s="32">
        <f>IF($A925=1,IF(Cash_Vouchers!$AK53="","",Cash_Vouchers!$AK53),"")</f>
        <v/>
      </c>
      <c r="Q925" s="32">
        <f>IF($A925=1,Cash_Vouchers!$AM53,"")</f>
        <v/>
      </c>
      <c r="R925" s="32">
        <f>IF($A925=1,IF(AND($Q925=1,COUNTIFS(COA!$A:$A,$G925,COA!$R:$R,1)=1),1,0),"")</f>
        <v/>
      </c>
      <c r="S925" s="43">
        <f>IF($A925=1,IF($R925=1,N($M925),0),"")</f>
        <v/>
      </c>
      <c r="T925" s="43">
        <f>IF($A925=1,IF($R925=1,N($N925),0),"")</f>
        <v/>
      </c>
      <c r="U925" s="32">
        <f>IF($A925=1,YEAR($D925)*100+MONTH($D925),"")</f>
        <v/>
      </c>
      <c r="V925" s="32">
        <f>IF($A925=1,IF(COUNTIF(COA!$A:$A,$G925)=0,0,INDEX(COA!$H:$H,MATCH($G925,COA!$A:$A,0))),"")</f>
        <v/>
      </c>
      <c r="W925" s="32">
        <f>IF($A925=1,IF(Cash_Vouchers!$AI53="","",Cash_Vouchers!$AI53),"")</f>
        <v/>
      </c>
      <c r="X925" s="32">
        <f>IF($A925=1,IF($R925=1,"",IF($O925=ST_POST,IF($P925&lt;&gt;"",$P925,"حساب غير صالح أو غير نشط"),IF($O925=ST_REV,"معكوس: لا أثر على الدفاتر",IF($O925=ST_CANC,"ملغى",IF($O925=ST_APPR,"معتمد ولم يُرحَّل","مسودة"))))),"")</f>
        <v/>
      </c>
      <c r="Y925" s="32">
        <f>IF($A925=1,IF(AND($R925=1,OR(LG_Acct="",$G925=LG_Acct),OR(LG_Party="",$K925=LG_Party),OR(LG_Loc="ALL",$I925=LG_Loc),OR(LG_CC="ALL",$J925=LG_CC),$D925&gt;=LG_From,$D925&lt;=LG_To),$D925+ROW()/1000000,""),"")</f>
        <v/>
      </c>
      <c r="Z925" s="32">
        <f>IF($A925=1,IF(Cash_Vouchers!$O53="","",Cash_Vouchers!$O53),"")</f>
        <v/>
      </c>
      <c r="AA925" s="32">
        <f>IF($A925=1,IF(Cash_Vouchers!$P53="","",Cash_Vouchers!$P53),"")</f>
        <v/>
      </c>
      <c r="AB925" s="32">
        <f>IF($A925=1,IF(Cash_Vouchers!$Q53="","",Cash_Vouchers!$Q53),"")</f>
        <v/>
      </c>
      <c r="AC925" s="32">
        <f>IF($A925=1,IF(Cash_Vouchers!$R53="","",Cash_Vouchers!$R53),"")</f>
        <v/>
      </c>
      <c r="AD925" s="32">
        <f>IF($A925=1,IF(Cash_Vouchers!$S53="","",Cash_Vouchers!$S53),"")</f>
        <v/>
      </c>
      <c r="AE925" s="32">
        <f>IF($A925=1,0,"")</f>
        <v/>
      </c>
      <c r="AF925" s="32" t="inlineStr"/>
    </row>
    <row r="926">
      <c r="A926" s="32">
        <f>IF(AND(Cash_Vouchers!$AJ53=1,N(Cash_Vouchers!$I53)&gt;0),1,0)</f>
        <v/>
      </c>
      <c r="B926" s="32">
        <f>IF($A926=1,$E926&amp;"/2","")</f>
        <v/>
      </c>
      <c r="C926" s="32">
        <f>IF($A926=1,"J-"&amp;Cash_Vouchers!$A53,"")</f>
        <v/>
      </c>
      <c r="D926" s="33">
        <f>IF($A926=1,Cash_Vouchers!$B53,"")</f>
        <v/>
      </c>
      <c r="E926" s="32">
        <f>IF($A926=1,IF(Cash_Vouchers!$A53="","",Cash_Vouchers!$A53),"")</f>
        <v/>
      </c>
      <c r="F926" s="32">
        <f>IF($A926=1,"CV","")</f>
        <v/>
      </c>
      <c r="G926" s="32">
        <f>IF($A926=1,IF(Cash_Vouchers!$AB53="","",Cash_Vouchers!$AB53),"")</f>
        <v/>
      </c>
      <c r="H926" s="32">
        <f>IF($A926=1,IF(COUNTIF(COA!$A:$A,$G926)=0,"حساب غير معرف",INDEX(COA!$B:$B,MATCH($G926,COA!$A:$A,0))),"")</f>
        <v/>
      </c>
      <c r="I926" s="32">
        <f>IF($A926=1,IF(Cash_Vouchers!$AD53="","",Cash_Vouchers!$AD53),"")</f>
        <v/>
      </c>
      <c r="J926" s="32">
        <f>IF($A926=1,IF(Cash_Vouchers!$AF53="","",Cash_Vouchers!$AF53),"")</f>
        <v/>
      </c>
      <c r="K926" s="32">
        <f>IF($A926=1,IF(Cash_Vouchers!$AH53="","",Cash_Vouchers!$AH53),"")</f>
        <v/>
      </c>
      <c r="L926" s="32">
        <f>IF($A926=1,IF(Cash_Vouchers!$K53="",Cash_Vouchers!$C53&amp;" - "&amp;Cash_Vouchers!$H53,Cash_Vouchers!$K53),"")</f>
        <v/>
      </c>
      <c r="M926" s="43">
        <f>IF($A926=1,0,"")</f>
        <v/>
      </c>
      <c r="N926" s="43">
        <f>IF($A926=1,Cash_Vouchers!$I53,"")</f>
        <v/>
      </c>
      <c r="O926" s="32">
        <f>IF($A926=1,Cash_Vouchers!$N53,"")</f>
        <v/>
      </c>
      <c r="P926" s="32">
        <f>IF($A926=1,IF(Cash_Vouchers!$AK53="","",Cash_Vouchers!$AK53),"")</f>
        <v/>
      </c>
      <c r="Q926" s="32">
        <f>IF($A926=1,Cash_Vouchers!$AM53,"")</f>
        <v/>
      </c>
      <c r="R926" s="32">
        <f>IF($A926=1,IF(AND($Q926=1,COUNTIFS(COA!$A:$A,$G926,COA!$R:$R,1)=1),1,0),"")</f>
        <v/>
      </c>
      <c r="S926" s="43">
        <f>IF($A926=1,IF($R926=1,N($M926),0),"")</f>
        <v/>
      </c>
      <c r="T926" s="43">
        <f>IF($A926=1,IF($R926=1,N($N926),0),"")</f>
        <v/>
      </c>
      <c r="U926" s="32">
        <f>IF($A926=1,YEAR($D926)*100+MONTH($D926),"")</f>
        <v/>
      </c>
      <c r="V926" s="32">
        <f>IF($A926=1,IF(COUNTIF(COA!$A:$A,$G926)=0,0,INDEX(COA!$H:$H,MATCH($G926,COA!$A:$A,0))),"")</f>
        <v/>
      </c>
      <c r="W926" s="32">
        <f>IF($A926=1,IF(Cash_Vouchers!$AI53="","",Cash_Vouchers!$AI53),"")</f>
        <v/>
      </c>
      <c r="X926" s="32">
        <f>IF($A926=1,IF($R926=1,"",IF($O926=ST_POST,IF($P926&lt;&gt;"",$P926,"حساب غير صالح أو غير نشط"),IF($O926=ST_REV,"معكوس: لا أثر على الدفاتر",IF($O926=ST_CANC,"ملغى",IF($O926=ST_APPR,"معتمد ولم يُرحَّل","مسودة"))))),"")</f>
        <v/>
      </c>
      <c r="Y926" s="32">
        <f>IF($A926=1,IF(AND($R926=1,OR(LG_Acct="",$G926=LG_Acct),OR(LG_Party="",$K926=LG_Party),OR(LG_Loc="ALL",$I926=LG_Loc),OR(LG_CC="ALL",$J926=LG_CC),$D926&gt;=LG_From,$D926&lt;=LG_To),$D926+ROW()/1000000,""),"")</f>
        <v/>
      </c>
      <c r="Z926" s="32">
        <f>IF($A926=1,IF(Cash_Vouchers!$O53="","",Cash_Vouchers!$O53),"")</f>
        <v/>
      </c>
      <c r="AA926" s="32">
        <f>IF($A926=1,IF(Cash_Vouchers!$P53="","",Cash_Vouchers!$P53),"")</f>
        <v/>
      </c>
      <c r="AB926" s="32">
        <f>IF($A926=1,IF(Cash_Vouchers!$Q53="","",Cash_Vouchers!$Q53),"")</f>
        <v/>
      </c>
      <c r="AC926" s="32">
        <f>IF($A926=1,IF(Cash_Vouchers!$R53="","",Cash_Vouchers!$R53),"")</f>
        <v/>
      </c>
      <c r="AD926" s="32">
        <f>IF($A926=1,IF(Cash_Vouchers!$S53="","",Cash_Vouchers!$S53),"")</f>
        <v/>
      </c>
      <c r="AE926" s="32">
        <f>IF($A926=1,0,"")</f>
        <v/>
      </c>
      <c r="AF926" s="32" t="inlineStr"/>
    </row>
    <row r="927">
      <c r="A927" s="32">
        <f>IF(AND(Cash_Vouchers!$AJ54=1,N(Cash_Vouchers!$I54)&gt;0),1,0)</f>
        <v/>
      </c>
      <c r="B927" s="32">
        <f>IF($A927=1,$E927&amp;"/1","")</f>
        <v/>
      </c>
      <c r="C927" s="32">
        <f>IF($A927=1,"J-"&amp;Cash_Vouchers!$A54,"")</f>
        <v/>
      </c>
      <c r="D927" s="33">
        <f>IF($A927=1,Cash_Vouchers!$B54,"")</f>
        <v/>
      </c>
      <c r="E927" s="32">
        <f>IF($A927=1,IF(Cash_Vouchers!$A54="","",Cash_Vouchers!$A54),"")</f>
        <v/>
      </c>
      <c r="F927" s="32">
        <f>IF($A927=1,"CV","")</f>
        <v/>
      </c>
      <c r="G927" s="32">
        <f>IF($A927=1,IF(Cash_Vouchers!$AA54="","",Cash_Vouchers!$AA54),"")</f>
        <v/>
      </c>
      <c r="H927" s="32">
        <f>IF($A927=1,IF(COUNTIF(COA!$A:$A,$G927)=0,"حساب غير معرف",INDEX(COA!$B:$B,MATCH($G927,COA!$A:$A,0))),"")</f>
        <v/>
      </c>
      <c r="I927" s="32">
        <f>IF($A927=1,IF(Cash_Vouchers!$AC54="","",Cash_Vouchers!$AC54),"")</f>
        <v/>
      </c>
      <c r="J927" s="32">
        <f>IF($A927=1,IF(Cash_Vouchers!$AE54="","",Cash_Vouchers!$AE54),"")</f>
        <v/>
      </c>
      <c r="K927" s="32">
        <f>IF($A927=1,IF(Cash_Vouchers!$AG54="","",Cash_Vouchers!$AG54),"")</f>
        <v/>
      </c>
      <c r="L927" s="32">
        <f>IF($A927=1,IF(Cash_Vouchers!$K54="",Cash_Vouchers!$C54&amp;" - "&amp;Cash_Vouchers!$H54,Cash_Vouchers!$K54),"")</f>
        <v/>
      </c>
      <c r="M927" s="43">
        <f>IF($A927=1,Cash_Vouchers!$I54,"")</f>
        <v/>
      </c>
      <c r="N927" s="43">
        <f>IF($A927=1,0,"")</f>
        <v/>
      </c>
      <c r="O927" s="32">
        <f>IF($A927=1,Cash_Vouchers!$N54,"")</f>
        <v/>
      </c>
      <c r="P927" s="32">
        <f>IF($A927=1,IF(Cash_Vouchers!$AK54="","",Cash_Vouchers!$AK54),"")</f>
        <v/>
      </c>
      <c r="Q927" s="32">
        <f>IF($A927=1,Cash_Vouchers!$AM54,"")</f>
        <v/>
      </c>
      <c r="R927" s="32">
        <f>IF($A927=1,IF(AND($Q927=1,COUNTIFS(COA!$A:$A,$G927,COA!$R:$R,1)=1),1,0),"")</f>
        <v/>
      </c>
      <c r="S927" s="43">
        <f>IF($A927=1,IF($R927=1,N($M927),0),"")</f>
        <v/>
      </c>
      <c r="T927" s="43">
        <f>IF($A927=1,IF($R927=1,N($N927),0),"")</f>
        <v/>
      </c>
      <c r="U927" s="32">
        <f>IF($A927=1,YEAR($D927)*100+MONTH($D927),"")</f>
        <v/>
      </c>
      <c r="V927" s="32">
        <f>IF($A927=1,IF(COUNTIF(COA!$A:$A,$G927)=0,0,INDEX(COA!$H:$H,MATCH($G927,COA!$A:$A,0))),"")</f>
        <v/>
      </c>
      <c r="W927" s="32">
        <f>IF($A927=1,IF(Cash_Vouchers!$AI54="","",Cash_Vouchers!$AI54),"")</f>
        <v/>
      </c>
      <c r="X927" s="32">
        <f>IF($A927=1,IF($R927=1,"",IF($O927=ST_POST,IF($P927&lt;&gt;"",$P927,"حساب غير صالح أو غير نشط"),IF($O927=ST_REV,"معكوس: لا أثر على الدفاتر",IF($O927=ST_CANC,"ملغى",IF($O927=ST_APPR,"معتمد ولم يُرحَّل","مسودة"))))),"")</f>
        <v/>
      </c>
      <c r="Y927" s="32">
        <f>IF($A927=1,IF(AND($R927=1,OR(LG_Acct="",$G927=LG_Acct),OR(LG_Party="",$K927=LG_Party),OR(LG_Loc="ALL",$I927=LG_Loc),OR(LG_CC="ALL",$J927=LG_CC),$D927&gt;=LG_From,$D927&lt;=LG_To),$D927+ROW()/1000000,""),"")</f>
        <v/>
      </c>
      <c r="Z927" s="32">
        <f>IF($A927=1,IF(Cash_Vouchers!$O54="","",Cash_Vouchers!$O54),"")</f>
        <v/>
      </c>
      <c r="AA927" s="32">
        <f>IF($A927=1,IF(Cash_Vouchers!$P54="","",Cash_Vouchers!$P54),"")</f>
        <v/>
      </c>
      <c r="AB927" s="32">
        <f>IF($A927=1,IF(Cash_Vouchers!$Q54="","",Cash_Vouchers!$Q54),"")</f>
        <v/>
      </c>
      <c r="AC927" s="32">
        <f>IF($A927=1,IF(Cash_Vouchers!$R54="","",Cash_Vouchers!$R54),"")</f>
        <v/>
      </c>
      <c r="AD927" s="32">
        <f>IF($A927=1,IF(Cash_Vouchers!$S54="","",Cash_Vouchers!$S54),"")</f>
        <v/>
      </c>
      <c r="AE927" s="32">
        <f>IF($A927=1,0,"")</f>
        <v/>
      </c>
      <c r="AF927" s="32" t="inlineStr"/>
    </row>
    <row r="928">
      <c r="A928" s="32">
        <f>IF(AND(Cash_Vouchers!$AJ54=1,N(Cash_Vouchers!$I54)&gt;0),1,0)</f>
        <v/>
      </c>
      <c r="B928" s="32">
        <f>IF($A928=1,$E928&amp;"/2","")</f>
        <v/>
      </c>
      <c r="C928" s="32">
        <f>IF($A928=1,"J-"&amp;Cash_Vouchers!$A54,"")</f>
        <v/>
      </c>
      <c r="D928" s="33">
        <f>IF($A928=1,Cash_Vouchers!$B54,"")</f>
        <v/>
      </c>
      <c r="E928" s="32">
        <f>IF($A928=1,IF(Cash_Vouchers!$A54="","",Cash_Vouchers!$A54),"")</f>
        <v/>
      </c>
      <c r="F928" s="32">
        <f>IF($A928=1,"CV","")</f>
        <v/>
      </c>
      <c r="G928" s="32">
        <f>IF($A928=1,IF(Cash_Vouchers!$AB54="","",Cash_Vouchers!$AB54),"")</f>
        <v/>
      </c>
      <c r="H928" s="32">
        <f>IF($A928=1,IF(COUNTIF(COA!$A:$A,$G928)=0,"حساب غير معرف",INDEX(COA!$B:$B,MATCH($G928,COA!$A:$A,0))),"")</f>
        <v/>
      </c>
      <c r="I928" s="32">
        <f>IF($A928=1,IF(Cash_Vouchers!$AD54="","",Cash_Vouchers!$AD54),"")</f>
        <v/>
      </c>
      <c r="J928" s="32">
        <f>IF($A928=1,IF(Cash_Vouchers!$AF54="","",Cash_Vouchers!$AF54),"")</f>
        <v/>
      </c>
      <c r="K928" s="32">
        <f>IF($A928=1,IF(Cash_Vouchers!$AH54="","",Cash_Vouchers!$AH54),"")</f>
        <v/>
      </c>
      <c r="L928" s="32">
        <f>IF($A928=1,IF(Cash_Vouchers!$K54="",Cash_Vouchers!$C54&amp;" - "&amp;Cash_Vouchers!$H54,Cash_Vouchers!$K54),"")</f>
        <v/>
      </c>
      <c r="M928" s="43">
        <f>IF($A928=1,0,"")</f>
        <v/>
      </c>
      <c r="N928" s="43">
        <f>IF($A928=1,Cash_Vouchers!$I54,"")</f>
        <v/>
      </c>
      <c r="O928" s="32">
        <f>IF($A928=1,Cash_Vouchers!$N54,"")</f>
        <v/>
      </c>
      <c r="P928" s="32">
        <f>IF($A928=1,IF(Cash_Vouchers!$AK54="","",Cash_Vouchers!$AK54),"")</f>
        <v/>
      </c>
      <c r="Q928" s="32">
        <f>IF($A928=1,Cash_Vouchers!$AM54,"")</f>
        <v/>
      </c>
      <c r="R928" s="32">
        <f>IF($A928=1,IF(AND($Q928=1,COUNTIFS(COA!$A:$A,$G928,COA!$R:$R,1)=1),1,0),"")</f>
        <v/>
      </c>
      <c r="S928" s="43">
        <f>IF($A928=1,IF($R928=1,N($M928),0),"")</f>
        <v/>
      </c>
      <c r="T928" s="43">
        <f>IF($A928=1,IF($R928=1,N($N928),0),"")</f>
        <v/>
      </c>
      <c r="U928" s="32">
        <f>IF($A928=1,YEAR($D928)*100+MONTH($D928),"")</f>
        <v/>
      </c>
      <c r="V928" s="32">
        <f>IF($A928=1,IF(COUNTIF(COA!$A:$A,$G928)=0,0,INDEX(COA!$H:$H,MATCH($G928,COA!$A:$A,0))),"")</f>
        <v/>
      </c>
      <c r="W928" s="32">
        <f>IF($A928=1,IF(Cash_Vouchers!$AI54="","",Cash_Vouchers!$AI54),"")</f>
        <v/>
      </c>
      <c r="X928" s="32">
        <f>IF($A928=1,IF($R928=1,"",IF($O928=ST_POST,IF($P928&lt;&gt;"",$P928,"حساب غير صالح أو غير نشط"),IF($O928=ST_REV,"معكوس: لا أثر على الدفاتر",IF($O928=ST_CANC,"ملغى",IF($O928=ST_APPR,"معتمد ولم يُرحَّل","مسودة"))))),"")</f>
        <v/>
      </c>
      <c r="Y928" s="32">
        <f>IF($A928=1,IF(AND($R928=1,OR(LG_Acct="",$G928=LG_Acct),OR(LG_Party="",$K928=LG_Party),OR(LG_Loc="ALL",$I928=LG_Loc),OR(LG_CC="ALL",$J928=LG_CC),$D928&gt;=LG_From,$D928&lt;=LG_To),$D928+ROW()/1000000,""),"")</f>
        <v/>
      </c>
      <c r="Z928" s="32">
        <f>IF($A928=1,IF(Cash_Vouchers!$O54="","",Cash_Vouchers!$O54),"")</f>
        <v/>
      </c>
      <c r="AA928" s="32">
        <f>IF($A928=1,IF(Cash_Vouchers!$P54="","",Cash_Vouchers!$P54),"")</f>
        <v/>
      </c>
      <c r="AB928" s="32">
        <f>IF($A928=1,IF(Cash_Vouchers!$Q54="","",Cash_Vouchers!$Q54),"")</f>
        <v/>
      </c>
      <c r="AC928" s="32">
        <f>IF($A928=1,IF(Cash_Vouchers!$R54="","",Cash_Vouchers!$R54),"")</f>
        <v/>
      </c>
      <c r="AD928" s="32">
        <f>IF($A928=1,IF(Cash_Vouchers!$S54="","",Cash_Vouchers!$S54),"")</f>
        <v/>
      </c>
      <c r="AE928" s="32">
        <f>IF($A928=1,0,"")</f>
        <v/>
      </c>
      <c r="AF928" s="32" t="inlineStr"/>
    </row>
    <row r="929">
      <c r="A929" s="32">
        <f>IF(AND(Cash_Vouchers!$AJ55=1,N(Cash_Vouchers!$I55)&gt;0),1,0)</f>
        <v/>
      </c>
      <c r="B929" s="32">
        <f>IF($A929=1,$E929&amp;"/1","")</f>
        <v/>
      </c>
      <c r="C929" s="32">
        <f>IF($A929=1,"J-"&amp;Cash_Vouchers!$A55,"")</f>
        <v/>
      </c>
      <c r="D929" s="33">
        <f>IF($A929=1,Cash_Vouchers!$B55,"")</f>
        <v/>
      </c>
      <c r="E929" s="32">
        <f>IF($A929=1,IF(Cash_Vouchers!$A55="","",Cash_Vouchers!$A55),"")</f>
        <v/>
      </c>
      <c r="F929" s="32">
        <f>IF($A929=1,"CV","")</f>
        <v/>
      </c>
      <c r="G929" s="32">
        <f>IF($A929=1,IF(Cash_Vouchers!$AA55="","",Cash_Vouchers!$AA55),"")</f>
        <v/>
      </c>
      <c r="H929" s="32">
        <f>IF($A929=1,IF(COUNTIF(COA!$A:$A,$G929)=0,"حساب غير معرف",INDEX(COA!$B:$B,MATCH($G929,COA!$A:$A,0))),"")</f>
        <v/>
      </c>
      <c r="I929" s="32">
        <f>IF($A929=1,IF(Cash_Vouchers!$AC55="","",Cash_Vouchers!$AC55),"")</f>
        <v/>
      </c>
      <c r="J929" s="32">
        <f>IF($A929=1,IF(Cash_Vouchers!$AE55="","",Cash_Vouchers!$AE55),"")</f>
        <v/>
      </c>
      <c r="K929" s="32">
        <f>IF($A929=1,IF(Cash_Vouchers!$AG55="","",Cash_Vouchers!$AG55),"")</f>
        <v/>
      </c>
      <c r="L929" s="32">
        <f>IF($A929=1,IF(Cash_Vouchers!$K55="",Cash_Vouchers!$C55&amp;" - "&amp;Cash_Vouchers!$H55,Cash_Vouchers!$K55),"")</f>
        <v/>
      </c>
      <c r="M929" s="43">
        <f>IF($A929=1,Cash_Vouchers!$I55,"")</f>
        <v/>
      </c>
      <c r="N929" s="43">
        <f>IF($A929=1,0,"")</f>
        <v/>
      </c>
      <c r="O929" s="32">
        <f>IF($A929=1,Cash_Vouchers!$N55,"")</f>
        <v/>
      </c>
      <c r="P929" s="32">
        <f>IF($A929=1,IF(Cash_Vouchers!$AK55="","",Cash_Vouchers!$AK55),"")</f>
        <v/>
      </c>
      <c r="Q929" s="32">
        <f>IF($A929=1,Cash_Vouchers!$AM55,"")</f>
        <v/>
      </c>
      <c r="R929" s="32">
        <f>IF($A929=1,IF(AND($Q929=1,COUNTIFS(COA!$A:$A,$G929,COA!$R:$R,1)=1),1,0),"")</f>
        <v/>
      </c>
      <c r="S929" s="43">
        <f>IF($A929=1,IF($R929=1,N($M929),0),"")</f>
        <v/>
      </c>
      <c r="T929" s="43">
        <f>IF($A929=1,IF($R929=1,N($N929),0),"")</f>
        <v/>
      </c>
      <c r="U929" s="32">
        <f>IF($A929=1,YEAR($D929)*100+MONTH($D929),"")</f>
        <v/>
      </c>
      <c r="V929" s="32">
        <f>IF($A929=1,IF(COUNTIF(COA!$A:$A,$G929)=0,0,INDEX(COA!$H:$H,MATCH($G929,COA!$A:$A,0))),"")</f>
        <v/>
      </c>
      <c r="W929" s="32">
        <f>IF($A929=1,IF(Cash_Vouchers!$AI55="","",Cash_Vouchers!$AI55),"")</f>
        <v/>
      </c>
      <c r="X929" s="32">
        <f>IF($A929=1,IF($R929=1,"",IF($O929=ST_POST,IF($P929&lt;&gt;"",$P929,"حساب غير صالح أو غير نشط"),IF($O929=ST_REV,"معكوس: لا أثر على الدفاتر",IF($O929=ST_CANC,"ملغى",IF($O929=ST_APPR,"معتمد ولم يُرحَّل","مسودة"))))),"")</f>
        <v/>
      </c>
      <c r="Y929" s="32">
        <f>IF($A929=1,IF(AND($R929=1,OR(LG_Acct="",$G929=LG_Acct),OR(LG_Party="",$K929=LG_Party),OR(LG_Loc="ALL",$I929=LG_Loc),OR(LG_CC="ALL",$J929=LG_CC),$D929&gt;=LG_From,$D929&lt;=LG_To),$D929+ROW()/1000000,""),"")</f>
        <v/>
      </c>
      <c r="Z929" s="32">
        <f>IF($A929=1,IF(Cash_Vouchers!$O55="","",Cash_Vouchers!$O55),"")</f>
        <v/>
      </c>
      <c r="AA929" s="32">
        <f>IF($A929=1,IF(Cash_Vouchers!$P55="","",Cash_Vouchers!$P55),"")</f>
        <v/>
      </c>
      <c r="AB929" s="32">
        <f>IF($A929=1,IF(Cash_Vouchers!$Q55="","",Cash_Vouchers!$Q55),"")</f>
        <v/>
      </c>
      <c r="AC929" s="32">
        <f>IF($A929=1,IF(Cash_Vouchers!$R55="","",Cash_Vouchers!$R55),"")</f>
        <v/>
      </c>
      <c r="AD929" s="32">
        <f>IF($A929=1,IF(Cash_Vouchers!$S55="","",Cash_Vouchers!$S55),"")</f>
        <v/>
      </c>
      <c r="AE929" s="32">
        <f>IF($A929=1,0,"")</f>
        <v/>
      </c>
      <c r="AF929" s="32" t="inlineStr"/>
    </row>
    <row r="930">
      <c r="A930" s="32">
        <f>IF(AND(Cash_Vouchers!$AJ55=1,N(Cash_Vouchers!$I55)&gt;0),1,0)</f>
        <v/>
      </c>
      <c r="B930" s="32">
        <f>IF($A930=1,$E930&amp;"/2","")</f>
        <v/>
      </c>
      <c r="C930" s="32">
        <f>IF($A930=1,"J-"&amp;Cash_Vouchers!$A55,"")</f>
        <v/>
      </c>
      <c r="D930" s="33">
        <f>IF($A930=1,Cash_Vouchers!$B55,"")</f>
        <v/>
      </c>
      <c r="E930" s="32">
        <f>IF($A930=1,IF(Cash_Vouchers!$A55="","",Cash_Vouchers!$A55),"")</f>
        <v/>
      </c>
      <c r="F930" s="32">
        <f>IF($A930=1,"CV","")</f>
        <v/>
      </c>
      <c r="G930" s="32">
        <f>IF($A930=1,IF(Cash_Vouchers!$AB55="","",Cash_Vouchers!$AB55),"")</f>
        <v/>
      </c>
      <c r="H930" s="32">
        <f>IF($A930=1,IF(COUNTIF(COA!$A:$A,$G930)=0,"حساب غير معرف",INDEX(COA!$B:$B,MATCH($G930,COA!$A:$A,0))),"")</f>
        <v/>
      </c>
      <c r="I930" s="32">
        <f>IF($A930=1,IF(Cash_Vouchers!$AD55="","",Cash_Vouchers!$AD55),"")</f>
        <v/>
      </c>
      <c r="J930" s="32">
        <f>IF($A930=1,IF(Cash_Vouchers!$AF55="","",Cash_Vouchers!$AF55),"")</f>
        <v/>
      </c>
      <c r="K930" s="32">
        <f>IF($A930=1,IF(Cash_Vouchers!$AH55="","",Cash_Vouchers!$AH55),"")</f>
        <v/>
      </c>
      <c r="L930" s="32">
        <f>IF($A930=1,IF(Cash_Vouchers!$K55="",Cash_Vouchers!$C55&amp;" - "&amp;Cash_Vouchers!$H55,Cash_Vouchers!$K55),"")</f>
        <v/>
      </c>
      <c r="M930" s="43">
        <f>IF($A930=1,0,"")</f>
        <v/>
      </c>
      <c r="N930" s="43">
        <f>IF($A930=1,Cash_Vouchers!$I55,"")</f>
        <v/>
      </c>
      <c r="O930" s="32">
        <f>IF($A930=1,Cash_Vouchers!$N55,"")</f>
        <v/>
      </c>
      <c r="P930" s="32">
        <f>IF($A930=1,IF(Cash_Vouchers!$AK55="","",Cash_Vouchers!$AK55),"")</f>
        <v/>
      </c>
      <c r="Q930" s="32">
        <f>IF($A930=1,Cash_Vouchers!$AM55,"")</f>
        <v/>
      </c>
      <c r="R930" s="32">
        <f>IF($A930=1,IF(AND($Q930=1,COUNTIFS(COA!$A:$A,$G930,COA!$R:$R,1)=1),1,0),"")</f>
        <v/>
      </c>
      <c r="S930" s="43">
        <f>IF($A930=1,IF($R930=1,N($M930),0),"")</f>
        <v/>
      </c>
      <c r="T930" s="43">
        <f>IF($A930=1,IF($R930=1,N($N930),0),"")</f>
        <v/>
      </c>
      <c r="U930" s="32">
        <f>IF($A930=1,YEAR($D930)*100+MONTH($D930),"")</f>
        <v/>
      </c>
      <c r="V930" s="32">
        <f>IF($A930=1,IF(COUNTIF(COA!$A:$A,$G930)=0,0,INDEX(COA!$H:$H,MATCH($G930,COA!$A:$A,0))),"")</f>
        <v/>
      </c>
      <c r="W930" s="32">
        <f>IF($A930=1,IF(Cash_Vouchers!$AI55="","",Cash_Vouchers!$AI55),"")</f>
        <v/>
      </c>
      <c r="X930" s="32">
        <f>IF($A930=1,IF($R930=1,"",IF($O930=ST_POST,IF($P930&lt;&gt;"",$P930,"حساب غير صالح أو غير نشط"),IF($O930=ST_REV,"معكوس: لا أثر على الدفاتر",IF($O930=ST_CANC,"ملغى",IF($O930=ST_APPR,"معتمد ولم يُرحَّل","مسودة"))))),"")</f>
        <v/>
      </c>
      <c r="Y930" s="32">
        <f>IF($A930=1,IF(AND($R930=1,OR(LG_Acct="",$G930=LG_Acct),OR(LG_Party="",$K930=LG_Party),OR(LG_Loc="ALL",$I930=LG_Loc),OR(LG_CC="ALL",$J930=LG_CC),$D930&gt;=LG_From,$D930&lt;=LG_To),$D930+ROW()/1000000,""),"")</f>
        <v/>
      </c>
      <c r="Z930" s="32">
        <f>IF($A930=1,IF(Cash_Vouchers!$O55="","",Cash_Vouchers!$O55),"")</f>
        <v/>
      </c>
      <c r="AA930" s="32">
        <f>IF($A930=1,IF(Cash_Vouchers!$P55="","",Cash_Vouchers!$P55),"")</f>
        <v/>
      </c>
      <c r="AB930" s="32">
        <f>IF($A930=1,IF(Cash_Vouchers!$Q55="","",Cash_Vouchers!$Q55),"")</f>
        <v/>
      </c>
      <c r="AC930" s="32">
        <f>IF($A930=1,IF(Cash_Vouchers!$R55="","",Cash_Vouchers!$R55),"")</f>
        <v/>
      </c>
      <c r="AD930" s="32">
        <f>IF($A930=1,IF(Cash_Vouchers!$S55="","",Cash_Vouchers!$S55),"")</f>
        <v/>
      </c>
      <c r="AE930" s="32">
        <f>IF($A930=1,0,"")</f>
        <v/>
      </c>
      <c r="AF930" s="32" t="inlineStr"/>
    </row>
    <row r="931">
      <c r="A931" s="32">
        <f>IF(AND(Cash_Vouchers!$AJ56=1,N(Cash_Vouchers!$I56)&gt;0),1,0)</f>
        <v/>
      </c>
      <c r="B931" s="32">
        <f>IF($A931=1,$E931&amp;"/1","")</f>
        <v/>
      </c>
      <c r="C931" s="32">
        <f>IF($A931=1,"J-"&amp;Cash_Vouchers!$A56,"")</f>
        <v/>
      </c>
      <c r="D931" s="33">
        <f>IF($A931=1,Cash_Vouchers!$B56,"")</f>
        <v/>
      </c>
      <c r="E931" s="32">
        <f>IF($A931=1,IF(Cash_Vouchers!$A56="","",Cash_Vouchers!$A56),"")</f>
        <v/>
      </c>
      <c r="F931" s="32">
        <f>IF($A931=1,"CV","")</f>
        <v/>
      </c>
      <c r="G931" s="32">
        <f>IF($A931=1,IF(Cash_Vouchers!$AA56="","",Cash_Vouchers!$AA56),"")</f>
        <v/>
      </c>
      <c r="H931" s="32">
        <f>IF($A931=1,IF(COUNTIF(COA!$A:$A,$G931)=0,"حساب غير معرف",INDEX(COA!$B:$B,MATCH($G931,COA!$A:$A,0))),"")</f>
        <v/>
      </c>
      <c r="I931" s="32">
        <f>IF($A931=1,IF(Cash_Vouchers!$AC56="","",Cash_Vouchers!$AC56),"")</f>
        <v/>
      </c>
      <c r="J931" s="32">
        <f>IF($A931=1,IF(Cash_Vouchers!$AE56="","",Cash_Vouchers!$AE56),"")</f>
        <v/>
      </c>
      <c r="K931" s="32">
        <f>IF($A931=1,IF(Cash_Vouchers!$AG56="","",Cash_Vouchers!$AG56),"")</f>
        <v/>
      </c>
      <c r="L931" s="32">
        <f>IF($A931=1,IF(Cash_Vouchers!$K56="",Cash_Vouchers!$C56&amp;" - "&amp;Cash_Vouchers!$H56,Cash_Vouchers!$K56),"")</f>
        <v/>
      </c>
      <c r="M931" s="43">
        <f>IF($A931=1,Cash_Vouchers!$I56,"")</f>
        <v/>
      </c>
      <c r="N931" s="43">
        <f>IF($A931=1,0,"")</f>
        <v/>
      </c>
      <c r="O931" s="32">
        <f>IF($A931=1,Cash_Vouchers!$N56,"")</f>
        <v/>
      </c>
      <c r="P931" s="32">
        <f>IF($A931=1,IF(Cash_Vouchers!$AK56="","",Cash_Vouchers!$AK56),"")</f>
        <v/>
      </c>
      <c r="Q931" s="32">
        <f>IF($A931=1,Cash_Vouchers!$AM56,"")</f>
        <v/>
      </c>
      <c r="R931" s="32">
        <f>IF($A931=1,IF(AND($Q931=1,COUNTIFS(COA!$A:$A,$G931,COA!$R:$R,1)=1),1,0),"")</f>
        <v/>
      </c>
      <c r="S931" s="43">
        <f>IF($A931=1,IF($R931=1,N($M931),0),"")</f>
        <v/>
      </c>
      <c r="T931" s="43">
        <f>IF($A931=1,IF($R931=1,N($N931),0),"")</f>
        <v/>
      </c>
      <c r="U931" s="32">
        <f>IF($A931=1,YEAR($D931)*100+MONTH($D931),"")</f>
        <v/>
      </c>
      <c r="V931" s="32">
        <f>IF($A931=1,IF(COUNTIF(COA!$A:$A,$G931)=0,0,INDEX(COA!$H:$H,MATCH($G931,COA!$A:$A,0))),"")</f>
        <v/>
      </c>
      <c r="W931" s="32">
        <f>IF($A931=1,IF(Cash_Vouchers!$AI56="","",Cash_Vouchers!$AI56),"")</f>
        <v/>
      </c>
      <c r="X931" s="32">
        <f>IF($A931=1,IF($R931=1,"",IF($O931=ST_POST,IF($P931&lt;&gt;"",$P931,"حساب غير صالح أو غير نشط"),IF($O931=ST_REV,"معكوس: لا أثر على الدفاتر",IF($O931=ST_CANC,"ملغى",IF($O931=ST_APPR,"معتمد ولم يُرحَّل","مسودة"))))),"")</f>
        <v/>
      </c>
      <c r="Y931" s="32">
        <f>IF($A931=1,IF(AND($R931=1,OR(LG_Acct="",$G931=LG_Acct),OR(LG_Party="",$K931=LG_Party),OR(LG_Loc="ALL",$I931=LG_Loc),OR(LG_CC="ALL",$J931=LG_CC),$D931&gt;=LG_From,$D931&lt;=LG_To),$D931+ROW()/1000000,""),"")</f>
        <v/>
      </c>
      <c r="Z931" s="32">
        <f>IF($A931=1,IF(Cash_Vouchers!$O56="","",Cash_Vouchers!$O56),"")</f>
        <v/>
      </c>
      <c r="AA931" s="32">
        <f>IF($A931=1,IF(Cash_Vouchers!$P56="","",Cash_Vouchers!$P56),"")</f>
        <v/>
      </c>
      <c r="AB931" s="32">
        <f>IF($A931=1,IF(Cash_Vouchers!$Q56="","",Cash_Vouchers!$Q56),"")</f>
        <v/>
      </c>
      <c r="AC931" s="32">
        <f>IF($A931=1,IF(Cash_Vouchers!$R56="","",Cash_Vouchers!$R56),"")</f>
        <v/>
      </c>
      <c r="AD931" s="32">
        <f>IF($A931=1,IF(Cash_Vouchers!$S56="","",Cash_Vouchers!$S56),"")</f>
        <v/>
      </c>
      <c r="AE931" s="32">
        <f>IF($A931=1,0,"")</f>
        <v/>
      </c>
      <c r="AF931" s="32" t="inlineStr"/>
    </row>
    <row r="932">
      <c r="A932" s="32">
        <f>IF(AND(Cash_Vouchers!$AJ56=1,N(Cash_Vouchers!$I56)&gt;0),1,0)</f>
        <v/>
      </c>
      <c r="B932" s="32">
        <f>IF($A932=1,$E932&amp;"/2","")</f>
        <v/>
      </c>
      <c r="C932" s="32">
        <f>IF($A932=1,"J-"&amp;Cash_Vouchers!$A56,"")</f>
        <v/>
      </c>
      <c r="D932" s="33">
        <f>IF($A932=1,Cash_Vouchers!$B56,"")</f>
        <v/>
      </c>
      <c r="E932" s="32">
        <f>IF($A932=1,IF(Cash_Vouchers!$A56="","",Cash_Vouchers!$A56),"")</f>
        <v/>
      </c>
      <c r="F932" s="32">
        <f>IF($A932=1,"CV","")</f>
        <v/>
      </c>
      <c r="G932" s="32">
        <f>IF($A932=1,IF(Cash_Vouchers!$AB56="","",Cash_Vouchers!$AB56),"")</f>
        <v/>
      </c>
      <c r="H932" s="32">
        <f>IF($A932=1,IF(COUNTIF(COA!$A:$A,$G932)=0,"حساب غير معرف",INDEX(COA!$B:$B,MATCH($G932,COA!$A:$A,0))),"")</f>
        <v/>
      </c>
      <c r="I932" s="32">
        <f>IF($A932=1,IF(Cash_Vouchers!$AD56="","",Cash_Vouchers!$AD56),"")</f>
        <v/>
      </c>
      <c r="J932" s="32">
        <f>IF($A932=1,IF(Cash_Vouchers!$AF56="","",Cash_Vouchers!$AF56),"")</f>
        <v/>
      </c>
      <c r="K932" s="32">
        <f>IF($A932=1,IF(Cash_Vouchers!$AH56="","",Cash_Vouchers!$AH56),"")</f>
        <v/>
      </c>
      <c r="L932" s="32">
        <f>IF($A932=1,IF(Cash_Vouchers!$K56="",Cash_Vouchers!$C56&amp;" - "&amp;Cash_Vouchers!$H56,Cash_Vouchers!$K56),"")</f>
        <v/>
      </c>
      <c r="M932" s="43">
        <f>IF($A932=1,0,"")</f>
        <v/>
      </c>
      <c r="N932" s="43">
        <f>IF($A932=1,Cash_Vouchers!$I56,"")</f>
        <v/>
      </c>
      <c r="O932" s="32">
        <f>IF($A932=1,Cash_Vouchers!$N56,"")</f>
        <v/>
      </c>
      <c r="P932" s="32">
        <f>IF($A932=1,IF(Cash_Vouchers!$AK56="","",Cash_Vouchers!$AK56),"")</f>
        <v/>
      </c>
      <c r="Q932" s="32">
        <f>IF($A932=1,Cash_Vouchers!$AM56,"")</f>
        <v/>
      </c>
      <c r="R932" s="32">
        <f>IF($A932=1,IF(AND($Q932=1,COUNTIFS(COA!$A:$A,$G932,COA!$R:$R,1)=1),1,0),"")</f>
        <v/>
      </c>
      <c r="S932" s="43">
        <f>IF($A932=1,IF($R932=1,N($M932),0),"")</f>
        <v/>
      </c>
      <c r="T932" s="43">
        <f>IF($A932=1,IF($R932=1,N($N932),0),"")</f>
        <v/>
      </c>
      <c r="U932" s="32">
        <f>IF($A932=1,YEAR($D932)*100+MONTH($D932),"")</f>
        <v/>
      </c>
      <c r="V932" s="32">
        <f>IF($A932=1,IF(COUNTIF(COA!$A:$A,$G932)=0,0,INDEX(COA!$H:$H,MATCH($G932,COA!$A:$A,0))),"")</f>
        <v/>
      </c>
      <c r="W932" s="32">
        <f>IF($A932=1,IF(Cash_Vouchers!$AI56="","",Cash_Vouchers!$AI56),"")</f>
        <v/>
      </c>
      <c r="X932" s="32">
        <f>IF($A932=1,IF($R932=1,"",IF($O932=ST_POST,IF($P932&lt;&gt;"",$P932,"حساب غير صالح أو غير نشط"),IF($O932=ST_REV,"معكوس: لا أثر على الدفاتر",IF($O932=ST_CANC,"ملغى",IF($O932=ST_APPR,"معتمد ولم يُرحَّل","مسودة"))))),"")</f>
        <v/>
      </c>
      <c r="Y932" s="32">
        <f>IF($A932=1,IF(AND($R932=1,OR(LG_Acct="",$G932=LG_Acct),OR(LG_Party="",$K932=LG_Party),OR(LG_Loc="ALL",$I932=LG_Loc),OR(LG_CC="ALL",$J932=LG_CC),$D932&gt;=LG_From,$D932&lt;=LG_To),$D932+ROW()/1000000,""),"")</f>
        <v/>
      </c>
      <c r="Z932" s="32">
        <f>IF($A932=1,IF(Cash_Vouchers!$O56="","",Cash_Vouchers!$O56),"")</f>
        <v/>
      </c>
      <c r="AA932" s="32">
        <f>IF($A932=1,IF(Cash_Vouchers!$P56="","",Cash_Vouchers!$P56),"")</f>
        <v/>
      </c>
      <c r="AB932" s="32">
        <f>IF($A932=1,IF(Cash_Vouchers!$Q56="","",Cash_Vouchers!$Q56),"")</f>
        <v/>
      </c>
      <c r="AC932" s="32">
        <f>IF($A932=1,IF(Cash_Vouchers!$R56="","",Cash_Vouchers!$R56),"")</f>
        <v/>
      </c>
      <c r="AD932" s="32">
        <f>IF($A932=1,IF(Cash_Vouchers!$S56="","",Cash_Vouchers!$S56),"")</f>
        <v/>
      </c>
      <c r="AE932" s="32">
        <f>IF($A932=1,0,"")</f>
        <v/>
      </c>
      <c r="AF932" s="32" t="inlineStr"/>
    </row>
    <row r="933">
      <c r="A933" s="32">
        <f>IF(AND(Cash_Vouchers!$AJ57=1,N(Cash_Vouchers!$I57)&gt;0),1,0)</f>
        <v/>
      </c>
      <c r="B933" s="32">
        <f>IF($A933=1,$E933&amp;"/1","")</f>
        <v/>
      </c>
      <c r="C933" s="32">
        <f>IF($A933=1,"J-"&amp;Cash_Vouchers!$A57,"")</f>
        <v/>
      </c>
      <c r="D933" s="33">
        <f>IF($A933=1,Cash_Vouchers!$B57,"")</f>
        <v/>
      </c>
      <c r="E933" s="32">
        <f>IF($A933=1,IF(Cash_Vouchers!$A57="","",Cash_Vouchers!$A57),"")</f>
        <v/>
      </c>
      <c r="F933" s="32">
        <f>IF($A933=1,"CV","")</f>
        <v/>
      </c>
      <c r="G933" s="32">
        <f>IF($A933=1,IF(Cash_Vouchers!$AA57="","",Cash_Vouchers!$AA57),"")</f>
        <v/>
      </c>
      <c r="H933" s="32">
        <f>IF($A933=1,IF(COUNTIF(COA!$A:$A,$G933)=0,"حساب غير معرف",INDEX(COA!$B:$B,MATCH($G933,COA!$A:$A,0))),"")</f>
        <v/>
      </c>
      <c r="I933" s="32">
        <f>IF($A933=1,IF(Cash_Vouchers!$AC57="","",Cash_Vouchers!$AC57),"")</f>
        <v/>
      </c>
      <c r="J933" s="32">
        <f>IF($A933=1,IF(Cash_Vouchers!$AE57="","",Cash_Vouchers!$AE57),"")</f>
        <v/>
      </c>
      <c r="K933" s="32">
        <f>IF($A933=1,IF(Cash_Vouchers!$AG57="","",Cash_Vouchers!$AG57),"")</f>
        <v/>
      </c>
      <c r="L933" s="32">
        <f>IF($A933=1,IF(Cash_Vouchers!$K57="",Cash_Vouchers!$C57&amp;" - "&amp;Cash_Vouchers!$H57,Cash_Vouchers!$K57),"")</f>
        <v/>
      </c>
      <c r="M933" s="43">
        <f>IF($A933=1,Cash_Vouchers!$I57,"")</f>
        <v/>
      </c>
      <c r="N933" s="43">
        <f>IF($A933=1,0,"")</f>
        <v/>
      </c>
      <c r="O933" s="32">
        <f>IF($A933=1,Cash_Vouchers!$N57,"")</f>
        <v/>
      </c>
      <c r="P933" s="32">
        <f>IF($A933=1,IF(Cash_Vouchers!$AK57="","",Cash_Vouchers!$AK57),"")</f>
        <v/>
      </c>
      <c r="Q933" s="32">
        <f>IF($A933=1,Cash_Vouchers!$AM57,"")</f>
        <v/>
      </c>
      <c r="R933" s="32">
        <f>IF($A933=1,IF(AND($Q933=1,COUNTIFS(COA!$A:$A,$G933,COA!$R:$R,1)=1),1,0),"")</f>
        <v/>
      </c>
      <c r="S933" s="43">
        <f>IF($A933=1,IF($R933=1,N($M933),0),"")</f>
        <v/>
      </c>
      <c r="T933" s="43">
        <f>IF($A933=1,IF($R933=1,N($N933),0),"")</f>
        <v/>
      </c>
      <c r="U933" s="32">
        <f>IF($A933=1,YEAR($D933)*100+MONTH($D933),"")</f>
        <v/>
      </c>
      <c r="V933" s="32">
        <f>IF($A933=1,IF(COUNTIF(COA!$A:$A,$G933)=0,0,INDEX(COA!$H:$H,MATCH($G933,COA!$A:$A,0))),"")</f>
        <v/>
      </c>
      <c r="W933" s="32">
        <f>IF($A933=1,IF(Cash_Vouchers!$AI57="","",Cash_Vouchers!$AI57),"")</f>
        <v/>
      </c>
      <c r="X933" s="32">
        <f>IF($A933=1,IF($R933=1,"",IF($O933=ST_POST,IF($P933&lt;&gt;"",$P933,"حساب غير صالح أو غير نشط"),IF($O933=ST_REV,"معكوس: لا أثر على الدفاتر",IF($O933=ST_CANC,"ملغى",IF($O933=ST_APPR,"معتمد ولم يُرحَّل","مسودة"))))),"")</f>
        <v/>
      </c>
      <c r="Y933" s="32">
        <f>IF($A933=1,IF(AND($R933=1,OR(LG_Acct="",$G933=LG_Acct),OR(LG_Party="",$K933=LG_Party),OR(LG_Loc="ALL",$I933=LG_Loc),OR(LG_CC="ALL",$J933=LG_CC),$D933&gt;=LG_From,$D933&lt;=LG_To),$D933+ROW()/1000000,""),"")</f>
        <v/>
      </c>
      <c r="Z933" s="32">
        <f>IF($A933=1,IF(Cash_Vouchers!$O57="","",Cash_Vouchers!$O57),"")</f>
        <v/>
      </c>
      <c r="AA933" s="32">
        <f>IF($A933=1,IF(Cash_Vouchers!$P57="","",Cash_Vouchers!$P57),"")</f>
        <v/>
      </c>
      <c r="AB933" s="32">
        <f>IF($A933=1,IF(Cash_Vouchers!$Q57="","",Cash_Vouchers!$Q57),"")</f>
        <v/>
      </c>
      <c r="AC933" s="32">
        <f>IF($A933=1,IF(Cash_Vouchers!$R57="","",Cash_Vouchers!$R57),"")</f>
        <v/>
      </c>
      <c r="AD933" s="32">
        <f>IF($A933=1,IF(Cash_Vouchers!$S57="","",Cash_Vouchers!$S57),"")</f>
        <v/>
      </c>
      <c r="AE933" s="32">
        <f>IF($A933=1,0,"")</f>
        <v/>
      </c>
      <c r="AF933" s="32" t="inlineStr"/>
    </row>
    <row r="934">
      <c r="A934" s="32">
        <f>IF(AND(Cash_Vouchers!$AJ57=1,N(Cash_Vouchers!$I57)&gt;0),1,0)</f>
        <v/>
      </c>
      <c r="B934" s="32">
        <f>IF($A934=1,$E934&amp;"/2","")</f>
        <v/>
      </c>
      <c r="C934" s="32">
        <f>IF($A934=1,"J-"&amp;Cash_Vouchers!$A57,"")</f>
        <v/>
      </c>
      <c r="D934" s="33">
        <f>IF($A934=1,Cash_Vouchers!$B57,"")</f>
        <v/>
      </c>
      <c r="E934" s="32">
        <f>IF($A934=1,IF(Cash_Vouchers!$A57="","",Cash_Vouchers!$A57),"")</f>
        <v/>
      </c>
      <c r="F934" s="32">
        <f>IF($A934=1,"CV","")</f>
        <v/>
      </c>
      <c r="G934" s="32">
        <f>IF($A934=1,IF(Cash_Vouchers!$AB57="","",Cash_Vouchers!$AB57),"")</f>
        <v/>
      </c>
      <c r="H934" s="32">
        <f>IF($A934=1,IF(COUNTIF(COA!$A:$A,$G934)=0,"حساب غير معرف",INDEX(COA!$B:$B,MATCH($G934,COA!$A:$A,0))),"")</f>
        <v/>
      </c>
      <c r="I934" s="32">
        <f>IF($A934=1,IF(Cash_Vouchers!$AD57="","",Cash_Vouchers!$AD57),"")</f>
        <v/>
      </c>
      <c r="J934" s="32">
        <f>IF($A934=1,IF(Cash_Vouchers!$AF57="","",Cash_Vouchers!$AF57),"")</f>
        <v/>
      </c>
      <c r="K934" s="32">
        <f>IF($A934=1,IF(Cash_Vouchers!$AH57="","",Cash_Vouchers!$AH57),"")</f>
        <v/>
      </c>
      <c r="L934" s="32">
        <f>IF($A934=1,IF(Cash_Vouchers!$K57="",Cash_Vouchers!$C57&amp;" - "&amp;Cash_Vouchers!$H57,Cash_Vouchers!$K57),"")</f>
        <v/>
      </c>
      <c r="M934" s="43">
        <f>IF($A934=1,0,"")</f>
        <v/>
      </c>
      <c r="N934" s="43">
        <f>IF($A934=1,Cash_Vouchers!$I57,"")</f>
        <v/>
      </c>
      <c r="O934" s="32">
        <f>IF($A934=1,Cash_Vouchers!$N57,"")</f>
        <v/>
      </c>
      <c r="P934" s="32">
        <f>IF($A934=1,IF(Cash_Vouchers!$AK57="","",Cash_Vouchers!$AK57),"")</f>
        <v/>
      </c>
      <c r="Q934" s="32">
        <f>IF($A934=1,Cash_Vouchers!$AM57,"")</f>
        <v/>
      </c>
      <c r="R934" s="32">
        <f>IF($A934=1,IF(AND($Q934=1,COUNTIFS(COA!$A:$A,$G934,COA!$R:$R,1)=1),1,0),"")</f>
        <v/>
      </c>
      <c r="S934" s="43">
        <f>IF($A934=1,IF($R934=1,N($M934),0),"")</f>
        <v/>
      </c>
      <c r="T934" s="43">
        <f>IF($A934=1,IF($R934=1,N($N934),0),"")</f>
        <v/>
      </c>
      <c r="U934" s="32">
        <f>IF($A934=1,YEAR($D934)*100+MONTH($D934),"")</f>
        <v/>
      </c>
      <c r="V934" s="32">
        <f>IF($A934=1,IF(COUNTIF(COA!$A:$A,$G934)=0,0,INDEX(COA!$H:$H,MATCH($G934,COA!$A:$A,0))),"")</f>
        <v/>
      </c>
      <c r="W934" s="32">
        <f>IF($A934=1,IF(Cash_Vouchers!$AI57="","",Cash_Vouchers!$AI57),"")</f>
        <v/>
      </c>
      <c r="X934" s="32">
        <f>IF($A934=1,IF($R934=1,"",IF($O934=ST_POST,IF($P934&lt;&gt;"",$P934,"حساب غير صالح أو غير نشط"),IF($O934=ST_REV,"معكوس: لا أثر على الدفاتر",IF($O934=ST_CANC,"ملغى",IF($O934=ST_APPR,"معتمد ولم يُرحَّل","مسودة"))))),"")</f>
        <v/>
      </c>
      <c r="Y934" s="32">
        <f>IF($A934=1,IF(AND($R934=1,OR(LG_Acct="",$G934=LG_Acct),OR(LG_Party="",$K934=LG_Party),OR(LG_Loc="ALL",$I934=LG_Loc),OR(LG_CC="ALL",$J934=LG_CC),$D934&gt;=LG_From,$D934&lt;=LG_To),$D934+ROW()/1000000,""),"")</f>
        <v/>
      </c>
      <c r="Z934" s="32">
        <f>IF($A934=1,IF(Cash_Vouchers!$O57="","",Cash_Vouchers!$O57),"")</f>
        <v/>
      </c>
      <c r="AA934" s="32">
        <f>IF($A934=1,IF(Cash_Vouchers!$P57="","",Cash_Vouchers!$P57),"")</f>
        <v/>
      </c>
      <c r="AB934" s="32">
        <f>IF($A934=1,IF(Cash_Vouchers!$Q57="","",Cash_Vouchers!$Q57),"")</f>
        <v/>
      </c>
      <c r="AC934" s="32">
        <f>IF($A934=1,IF(Cash_Vouchers!$R57="","",Cash_Vouchers!$R57),"")</f>
        <v/>
      </c>
      <c r="AD934" s="32">
        <f>IF($A934=1,IF(Cash_Vouchers!$S57="","",Cash_Vouchers!$S57),"")</f>
        <v/>
      </c>
      <c r="AE934" s="32">
        <f>IF($A934=1,0,"")</f>
        <v/>
      </c>
      <c r="AF934" s="32" t="inlineStr"/>
    </row>
    <row r="935">
      <c r="A935" s="32">
        <f>IF(AND(Cash_Vouchers!$AJ58=1,N(Cash_Vouchers!$I58)&gt;0),1,0)</f>
        <v/>
      </c>
      <c r="B935" s="32">
        <f>IF($A935=1,$E935&amp;"/1","")</f>
        <v/>
      </c>
      <c r="C935" s="32">
        <f>IF($A935=1,"J-"&amp;Cash_Vouchers!$A58,"")</f>
        <v/>
      </c>
      <c r="D935" s="33">
        <f>IF($A935=1,Cash_Vouchers!$B58,"")</f>
        <v/>
      </c>
      <c r="E935" s="32">
        <f>IF($A935=1,IF(Cash_Vouchers!$A58="","",Cash_Vouchers!$A58),"")</f>
        <v/>
      </c>
      <c r="F935" s="32">
        <f>IF($A935=1,"CV","")</f>
        <v/>
      </c>
      <c r="G935" s="32">
        <f>IF($A935=1,IF(Cash_Vouchers!$AA58="","",Cash_Vouchers!$AA58),"")</f>
        <v/>
      </c>
      <c r="H935" s="32">
        <f>IF($A935=1,IF(COUNTIF(COA!$A:$A,$G935)=0,"حساب غير معرف",INDEX(COA!$B:$B,MATCH($G935,COA!$A:$A,0))),"")</f>
        <v/>
      </c>
      <c r="I935" s="32">
        <f>IF($A935=1,IF(Cash_Vouchers!$AC58="","",Cash_Vouchers!$AC58),"")</f>
        <v/>
      </c>
      <c r="J935" s="32">
        <f>IF($A935=1,IF(Cash_Vouchers!$AE58="","",Cash_Vouchers!$AE58),"")</f>
        <v/>
      </c>
      <c r="K935" s="32">
        <f>IF($A935=1,IF(Cash_Vouchers!$AG58="","",Cash_Vouchers!$AG58),"")</f>
        <v/>
      </c>
      <c r="L935" s="32">
        <f>IF($A935=1,IF(Cash_Vouchers!$K58="",Cash_Vouchers!$C58&amp;" - "&amp;Cash_Vouchers!$H58,Cash_Vouchers!$K58),"")</f>
        <v/>
      </c>
      <c r="M935" s="43">
        <f>IF($A935=1,Cash_Vouchers!$I58,"")</f>
        <v/>
      </c>
      <c r="N935" s="43">
        <f>IF($A935=1,0,"")</f>
        <v/>
      </c>
      <c r="O935" s="32">
        <f>IF($A935=1,Cash_Vouchers!$N58,"")</f>
        <v/>
      </c>
      <c r="P935" s="32">
        <f>IF($A935=1,IF(Cash_Vouchers!$AK58="","",Cash_Vouchers!$AK58),"")</f>
        <v/>
      </c>
      <c r="Q935" s="32">
        <f>IF($A935=1,Cash_Vouchers!$AM58,"")</f>
        <v/>
      </c>
      <c r="R935" s="32">
        <f>IF($A935=1,IF(AND($Q935=1,COUNTIFS(COA!$A:$A,$G935,COA!$R:$R,1)=1),1,0),"")</f>
        <v/>
      </c>
      <c r="S935" s="43">
        <f>IF($A935=1,IF($R935=1,N($M935),0),"")</f>
        <v/>
      </c>
      <c r="T935" s="43">
        <f>IF($A935=1,IF($R935=1,N($N935),0),"")</f>
        <v/>
      </c>
      <c r="U935" s="32">
        <f>IF($A935=1,YEAR($D935)*100+MONTH($D935),"")</f>
        <v/>
      </c>
      <c r="V935" s="32">
        <f>IF($A935=1,IF(COUNTIF(COA!$A:$A,$G935)=0,0,INDEX(COA!$H:$H,MATCH($G935,COA!$A:$A,0))),"")</f>
        <v/>
      </c>
      <c r="W935" s="32">
        <f>IF($A935=1,IF(Cash_Vouchers!$AI58="","",Cash_Vouchers!$AI58),"")</f>
        <v/>
      </c>
      <c r="X935" s="32">
        <f>IF($A935=1,IF($R935=1,"",IF($O935=ST_POST,IF($P935&lt;&gt;"",$P935,"حساب غير صالح أو غير نشط"),IF($O935=ST_REV,"معكوس: لا أثر على الدفاتر",IF($O935=ST_CANC,"ملغى",IF($O935=ST_APPR,"معتمد ولم يُرحَّل","مسودة"))))),"")</f>
        <v/>
      </c>
      <c r="Y935" s="32">
        <f>IF($A935=1,IF(AND($R935=1,OR(LG_Acct="",$G935=LG_Acct),OR(LG_Party="",$K935=LG_Party),OR(LG_Loc="ALL",$I935=LG_Loc),OR(LG_CC="ALL",$J935=LG_CC),$D935&gt;=LG_From,$D935&lt;=LG_To),$D935+ROW()/1000000,""),"")</f>
        <v/>
      </c>
      <c r="Z935" s="32">
        <f>IF($A935=1,IF(Cash_Vouchers!$O58="","",Cash_Vouchers!$O58),"")</f>
        <v/>
      </c>
      <c r="AA935" s="32">
        <f>IF($A935=1,IF(Cash_Vouchers!$P58="","",Cash_Vouchers!$P58),"")</f>
        <v/>
      </c>
      <c r="AB935" s="32">
        <f>IF($A935=1,IF(Cash_Vouchers!$Q58="","",Cash_Vouchers!$Q58),"")</f>
        <v/>
      </c>
      <c r="AC935" s="32">
        <f>IF($A935=1,IF(Cash_Vouchers!$R58="","",Cash_Vouchers!$R58),"")</f>
        <v/>
      </c>
      <c r="AD935" s="32">
        <f>IF($A935=1,IF(Cash_Vouchers!$S58="","",Cash_Vouchers!$S58),"")</f>
        <v/>
      </c>
      <c r="AE935" s="32">
        <f>IF($A935=1,0,"")</f>
        <v/>
      </c>
      <c r="AF935" s="32" t="inlineStr"/>
    </row>
    <row r="936">
      <c r="A936" s="32">
        <f>IF(AND(Cash_Vouchers!$AJ58=1,N(Cash_Vouchers!$I58)&gt;0),1,0)</f>
        <v/>
      </c>
      <c r="B936" s="32">
        <f>IF($A936=1,$E936&amp;"/2","")</f>
        <v/>
      </c>
      <c r="C936" s="32">
        <f>IF($A936=1,"J-"&amp;Cash_Vouchers!$A58,"")</f>
        <v/>
      </c>
      <c r="D936" s="33">
        <f>IF($A936=1,Cash_Vouchers!$B58,"")</f>
        <v/>
      </c>
      <c r="E936" s="32">
        <f>IF($A936=1,IF(Cash_Vouchers!$A58="","",Cash_Vouchers!$A58),"")</f>
        <v/>
      </c>
      <c r="F936" s="32">
        <f>IF($A936=1,"CV","")</f>
        <v/>
      </c>
      <c r="G936" s="32">
        <f>IF($A936=1,IF(Cash_Vouchers!$AB58="","",Cash_Vouchers!$AB58),"")</f>
        <v/>
      </c>
      <c r="H936" s="32">
        <f>IF($A936=1,IF(COUNTIF(COA!$A:$A,$G936)=0,"حساب غير معرف",INDEX(COA!$B:$B,MATCH($G936,COA!$A:$A,0))),"")</f>
        <v/>
      </c>
      <c r="I936" s="32">
        <f>IF($A936=1,IF(Cash_Vouchers!$AD58="","",Cash_Vouchers!$AD58),"")</f>
        <v/>
      </c>
      <c r="J936" s="32">
        <f>IF($A936=1,IF(Cash_Vouchers!$AF58="","",Cash_Vouchers!$AF58),"")</f>
        <v/>
      </c>
      <c r="K936" s="32">
        <f>IF($A936=1,IF(Cash_Vouchers!$AH58="","",Cash_Vouchers!$AH58),"")</f>
        <v/>
      </c>
      <c r="L936" s="32">
        <f>IF($A936=1,IF(Cash_Vouchers!$K58="",Cash_Vouchers!$C58&amp;" - "&amp;Cash_Vouchers!$H58,Cash_Vouchers!$K58),"")</f>
        <v/>
      </c>
      <c r="M936" s="43">
        <f>IF($A936=1,0,"")</f>
        <v/>
      </c>
      <c r="N936" s="43">
        <f>IF($A936=1,Cash_Vouchers!$I58,"")</f>
        <v/>
      </c>
      <c r="O936" s="32">
        <f>IF($A936=1,Cash_Vouchers!$N58,"")</f>
        <v/>
      </c>
      <c r="P936" s="32">
        <f>IF($A936=1,IF(Cash_Vouchers!$AK58="","",Cash_Vouchers!$AK58),"")</f>
        <v/>
      </c>
      <c r="Q936" s="32">
        <f>IF($A936=1,Cash_Vouchers!$AM58,"")</f>
        <v/>
      </c>
      <c r="R936" s="32">
        <f>IF($A936=1,IF(AND($Q936=1,COUNTIFS(COA!$A:$A,$G936,COA!$R:$R,1)=1),1,0),"")</f>
        <v/>
      </c>
      <c r="S936" s="43">
        <f>IF($A936=1,IF($R936=1,N($M936),0),"")</f>
        <v/>
      </c>
      <c r="T936" s="43">
        <f>IF($A936=1,IF($R936=1,N($N936),0),"")</f>
        <v/>
      </c>
      <c r="U936" s="32">
        <f>IF($A936=1,YEAR($D936)*100+MONTH($D936),"")</f>
        <v/>
      </c>
      <c r="V936" s="32">
        <f>IF($A936=1,IF(COUNTIF(COA!$A:$A,$G936)=0,0,INDEX(COA!$H:$H,MATCH($G936,COA!$A:$A,0))),"")</f>
        <v/>
      </c>
      <c r="W936" s="32">
        <f>IF($A936=1,IF(Cash_Vouchers!$AI58="","",Cash_Vouchers!$AI58),"")</f>
        <v/>
      </c>
      <c r="X936" s="32">
        <f>IF($A936=1,IF($R936=1,"",IF($O936=ST_POST,IF($P936&lt;&gt;"",$P936,"حساب غير صالح أو غير نشط"),IF($O936=ST_REV,"معكوس: لا أثر على الدفاتر",IF($O936=ST_CANC,"ملغى",IF($O936=ST_APPR,"معتمد ولم يُرحَّل","مسودة"))))),"")</f>
        <v/>
      </c>
      <c r="Y936" s="32">
        <f>IF($A936=1,IF(AND($R936=1,OR(LG_Acct="",$G936=LG_Acct),OR(LG_Party="",$K936=LG_Party),OR(LG_Loc="ALL",$I936=LG_Loc),OR(LG_CC="ALL",$J936=LG_CC),$D936&gt;=LG_From,$D936&lt;=LG_To),$D936+ROW()/1000000,""),"")</f>
        <v/>
      </c>
      <c r="Z936" s="32">
        <f>IF($A936=1,IF(Cash_Vouchers!$O58="","",Cash_Vouchers!$O58),"")</f>
        <v/>
      </c>
      <c r="AA936" s="32">
        <f>IF($A936=1,IF(Cash_Vouchers!$P58="","",Cash_Vouchers!$P58),"")</f>
        <v/>
      </c>
      <c r="AB936" s="32">
        <f>IF($A936=1,IF(Cash_Vouchers!$Q58="","",Cash_Vouchers!$Q58),"")</f>
        <v/>
      </c>
      <c r="AC936" s="32">
        <f>IF($A936=1,IF(Cash_Vouchers!$R58="","",Cash_Vouchers!$R58),"")</f>
        <v/>
      </c>
      <c r="AD936" s="32">
        <f>IF($A936=1,IF(Cash_Vouchers!$S58="","",Cash_Vouchers!$S58),"")</f>
        <v/>
      </c>
      <c r="AE936" s="32">
        <f>IF($A936=1,0,"")</f>
        <v/>
      </c>
      <c r="AF936" s="32" t="inlineStr"/>
    </row>
    <row r="937">
      <c r="A937" s="32">
        <f>IF(AND(Cash_Vouchers!$AJ59=1,N(Cash_Vouchers!$I59)&gt;0),1,0)</f>
        <v/>
      </c>
      <c r="B937" s="32">
        <f>IF($A937=1,$E937&amp;"/1","")</f>
        <v/>
      </c>
      <c r="C937" s="32">
        <f>IF($A937=1,"J-"&amp;Cash_Vouchers!$A59,"")</f>
        <v/>
      </c>
      <c r="D937" s="33">
        <f>IF($A937=1,Cash_Vouchers!$B59,"")</f>
        <v/>
      </c>
      <c r="E937" s="32">
        <f>IF($A937=1,IF(Cash_Vouchers!$A59="","",Cash_Vouchers!$A59),"")</f>
        <v/>
      </c>
      <c r="F937" s="32">
        <f>IF($A937=1,"CV","")</f>
        <v/>
      </c>
      <c r="G937" s="32">
        <f>IF($A937=1,IF(Cash_Vouchers!$AA59="","",Cash_Vouchers!$AA59),"")</f>
        <v/>
      </c>
      <c r="H937" s="32">
        <f>IF($A937=1,IF(COUNTIF(COA!$A:$A,$G937)=0,"حساب غير معرف",INDEX(COA!$B:$B,MATCH($G937,COA!$A:$A,0))),"")</f>
        <v/>
      </c>
      <c r="I937" s="32">
        <f>IF($A937=1,IF(Cash_Vouchers!$AC59="","",Cash_Vouchers!$AC59),"")</f>
        <v/>
      </c>
      <c r="J937" s="32">
        <f>IF($A937=1,IF(Cash_Vouchers!$AE59="","",Cash_Vouchers!$AE59),"")</f>
        <v/>
      </c>
      <c r="K937" s="32">
        <f>IF($A937=1,IF(Cash_Vouchers!$AG59="","",Cash_Vouchers!$AG59),"")</f>
        <v/>
      </c>
      <c r="L937" s="32">
        <f>IF($A937=1,IF(Cash_Vouchers!$K59="",Cash_Vouchers!$C59&amp;" - "&amp;Cash_Vouchers!$H59,Cash_Vouchers!$K59),"")</f>
        <v/>
      </c>
      <c r="M937" s="43">
        <f>IF($A937=1,Cash_Vouchers!$I59,"")</f>
        <v/>
      </c>
      <c r="N937" s="43">
        <f>IF($A937=1,0,"")</f>
        <v/>
      </c>
      <c r="O937" s="32">
        <f>IF($A937=1,Cash_Vouchers!$N59,"")</f>
        <v/>
      </c>
      <c r="P937" s="32">
        <f>IF($A937=1,IF(Cash_Vouchers!$AK59="","",Cash_Vouchers!$AK59),"")</f>
        <v/>
      </c>
      <c r="Q937" s="32">
        <f>IF($A937=1,Cash_Vouchers!$AM59,"")</f>
        <v/>
      </c>
      <c r="R937" s="32">
        <f>IF($A937=1,IF(AND($Q937=1,COUNTIFS(COA!$A:$A,$G937,COA!$R:$R,1)=1),1,0),"")</f>
        <v/>
      </c>
      <c r="S937" s="43">
        <f>IF($A937=1,IF($R937=1,N($M937),0),"")</f>
        <v/>
      </c>
      <c r="T937" s="43">
        <f>IF($A937=1,IF($R937=1,N($N937),0),"")</f>
        <v/>
      </c>
      <c r="U937" s="32">
        <f>IF($A937=1,YEAR($D937)*100+MONTH($D937),"")</f>
        <v/>
      </c>
      <c r="V937" s="32">
        <f>IF($A937=1,IF(COUNTIF(COA!$A:$A,$G937)=0,0,INDEX(COA!$H:$H,MATCH($G937,COA!$A:$A,0))),"")</f>
        <v/>
      </c>
      <c r="W937" s="32">
        <f>IF($A937=1,IF(Cash_Vouchers!$AI59="","",Cash_Vouchers!$AI59),"")</f>
        <v/>
      </c>
      <c r="X937" s="32">
        <f>IF($A937=1,IF($R937=1,"",IF($O937=ST_POST,IF($P937&lt;&gt;"",$P937,"حساب غير صالح أو غير نشط"),IF($O937=ST_REV,"معكوس: لا أثر على الدفاتر",IF($O937=ST_CANC,"ملغى",IF($O937=ST_APPR,"معتمد ولم يُرحَّل","مسودة"))))),"")</f>
        <v/>
      </c>
      <c r="Y937" s="32">
        <f>IF($A937=1,IF(AND($R937=1,OR(LG_Acct="",$G937=LG_Acct),OR(LG_Party="",$K937=LG_Party),OR(LG_Loc="ALL",$I937=LG_Loc),OR(LG_CC="ALL",$J937=LG_CC),$D937&gt;=LG_From,$D937&lt;=LG_To),$D937+ROW()/1000000,""),"")</f>
        <v/>
      </c>
      <c r="Z937" s="32">
        <f>IF($A937=1,IF(Cash_Vouchers!$O59="","",Cash_Vouchers!$O59),"")</f>
        <v/>
      </c>
      <c r="AA937" s="32">
        <f>IF($A937=1,IF(Cash_Vouchers!$P59="","",Cash_Vouchers!$P59),"")</f>
        <v/>
      </c>
      <c r="AB937" s="32">
        <f>IF($A937=1,IF(Cash_Vouchers!$Q59="","",Cash_Vouchers!$Q59),"")</f>
        <v/>
      </c>
      <c r="AC937" s="32">
        <f>IF($A937=1,IF(Cash_Vouchers!$R59="","",Cash_Vouchers!$R59),"")</f>
        <v/>
      </c>
      <c r="AD937" s="32">
        <f>IF($A937=1,IF(Cash_Vouchers!$S59="","",Cash_Vouchers!$S59),"")</f>
        <v/>
      </c>
      <c r="AE937" s="32">
        <f>IF($A937=1,0,"")</f>
        <v/>
      </c>
      <c r="AF937" s="32" t="inlineStr"/>
    </row>
    <row r="938">
      <c r="A938" s="32">
        <f>IF(AND(Cash_Vouchers!$AJ59=1,N(Cash_Vouchers!$I59)&gt;0),1,0)</f>
        <v/>
      </c>
      <c r="B938" s="32">
        <f>IF($A938=1,$E938&amp;"/2","")</f>
        <v/>
      </c>
      <c r="C938" s="32">
        <f>IF($A938=1,"J-"&amp;Cash_Vouchers!$A59,"")</f>
        <v/>
      </c>
      <c r="D938" s="33">
        <f>IF($A938=1,Cash_Vouchers!$B59,"")</f>
        <v/>
      </c>
      <c r="E938" s="32">
        <f>IF($A938=1,IF(Cash_Vouchers!$A59="","",Cash_Vouchers!$A59),"")</f>
        <v/>
      </c>
      <c r="F938" s="32">
        <f>IF($A938=1,"CV","")</f>
        <v/>
      </c>
      <c r="G938" s="32">
        <f>IF($A938=1,IF(Cash_Vouchers!$AB59="","",Cash_Vouchers!$AB59),"")</f>
        <v/>
      </c>
      <c r="H938" s="32">
        <f>IF($A938=1,IF(COUNTIF(COA!$A:$A,$G938)=0,"حساب غير معرف",INDEX(COA!$B:$B,MATCH($G938,COA!$A:$A,0))),"")</f>
        <v/>
      </c>
      <c r="I938" s="32">
        <f>IF($A938=1,IF(Cash_Vouchers!$AD59="","",Cash_Vouchers!$AD59),"")</f>
        <v/>
      </c>
      <c r="J938" s="32">
        <f>IF($A938=1,IF(Cash_Vouchers!$AF59="","",Cash_Vouchers!$AF59),"")</f>
        <v/>
      </c>
      <c r="K938" s="32">
        <f>IF($A938=1,IF(Cash_Vouchers!$AH59="","",Cash_Vouchers!$AH59),"")</f>
        <v/>
      </c>
      <c r="L938" s="32">
        <f>IF($A938=1,IF(Cash_Vouchers!$K59="",Cash_Vouchers!$C59&amp;" - "&amp;Cash_Vouchers!$H59,Cash_Vouchers!$K59),"")</f>
        <v/>
      </c>
      <c r="M938" s="43">
        <f>IF($A938=1,0,"")</f>
        <v/>
      </c>
      <c r="N938" s="43">
        <f>IF($A938=1,Cash_Vouchers!$I59,"")</f>
        <v/>
      </c>
      <c r="O938" s="32">
        <f>IF($A938=1,Cash_Vouchers!$N59,"")</f>
        <v/>
      </c>
      <c r="P938" s="32">
        <f>IF($A938=1,IF(Cash_Vouchers!$AK59="","",Cash_Vouchers!$AK59),"")</f>
        <v/>
      </c>
      <c r="Q938" s="32">
        <f>IF($A938=1,Cash_Vouchers!$AM59,"")</f>
        <v/>
      </c>
      <c r="R938" s="32">
        <f>IF($A938=1,IF(AND($Q938=1,COUNTIFS(COA!$A:$A,$G938,COA!$R:$R,1)=1),1,0),"")</f>
        <v/>
      </c>
      <c r="S938" s="43">
        <f>IF($A938=1,IF($R938=1,N($M938),0),"")</f>
        <v/>
      </c>
      <c r="T938" s="43">
        <f>IF($A938=1,IF($R938=1,N($N938),0),"")</f>
        <v/>
      </c>
      <c r="U938" s="32">
        <f>IF($A938=1,YEAR($D938)*100+MONTH($D938),"")</f>
        <v/>
      </c>
      <c r="V938" s="32">
        <f>IF($A938=1,IF(COUNTIF(COA!$A:$A,$G938)=0,0,INDEX(COA!$H:$H,MATCH($G938,COA!$A:$A,0))),"")</f>
        <v/>
      </c>
      <c r="W938" s="32">
        <f>IF($A938=1,IF(Cash_Vouchers!$AI59="","",Cash_Vouchers!$AI59),"")</f>
        <v/>
      </c>
      <c r="X938" s="32">
        <f>IF($A938=1,IF($R938=1,"",IF($O938=ST_POST,IF($P938&lt;&gt;"",$P938,"حساب غير صالح أو غير نشط"),IF($O938=ST_REV,"معكوس: لا أثر على الدفاتر",IF($O938=ST_CANC,"ملغى",IF($O938=ST_APPR,"معتمد ولم يُرحَّل","مسودة"))))),"")</f>
        <v/>
      </c>
      <c r="Y938" s="32">
        <f>IF($A938=1,IF(AND($R938=1,OR(LG_Acct="",$G938=LG_Acct),OR(LG_Party="",$K938=LG_Party),OR(LG_Loc="ALL",$I938=LG_Loc),OR(LG_CC="ALL",$J938=LG_CC),$D938&gt;=LG_From,$D938&lt;=LG_To),$D938+ROW()/1000000,""),"")</f>
        <v/>
      </c>
      <c r="Z938" s="32">
        <f>IF($A938=1,IF(Cash_Vouchers!$O59="","",Cash_Vouchers!$O59),"")</f>
        <v/>
      </c>
      <c r="AA938" s="32">
        <f>IF($A938=1,IF(Cash_Vouchers!$P59="","",Cash_Vouchers!$P59),"")</f>
        <v/>
      </c>
      <c r="AB938" s="32">
        <f>IF($A938=1,IF(Cash_Vouchers!$Q59="","",Cash_Vouchers!$Q59),"")</f>
        <v/>
      </c>
      <c r="AC938" s="32">
        <f>IF($A938=1,IF(Cash_Vouchers!$R59="","",Cash_Vouchers!$R59),"")</f>
        <v/>
      </c>
      <c r="AD938" s="32">
        <f>IF($A938=1,IF(Cash_Vouchers!$S59="","",Cash_Vouchers!$S59),"")</f>
        <v/>
      </c>
      <c r="AE938" s="32">
        <f>IF($A938=1,0,"")</f>
        <v/>
      </c>
      <c r="AF938" s="32" t="inlineStr"/>
    </row>
    <row r="939">
      <c r="A939" s="32">
        <f>IF(AND(Cash_Vouchers!$AJ60=1,N(Cash_Vouchers!$I60)&gt;0),1,0)</f>
        <v/>
      </c>
      <c r="B939" s="32">
        <f>IF($A939=1,$E939&amp;"/1","")</f>
        <v/>
      </c>
      <c r="C939" s="32">
        <f>IF($A939=1,"J-"&amp;Cash_Vouchers!$A60,"")</f>
        <v/>
      </c>
      <c r="D939" s="33">
        <f>IF($A939=1,Cash_Vouchers!$B60,"")</f>
        <v/>
      </c>
      <c r="E939" s="32">
        <f>IF($A939=1,IF(Cash_Vouchers!$A60="","",Cash_Vouchers!$A60),"")</f>
        <v/>
      </c>
      <c r="F939" s="32">
        <f>IF($A939=1,"CV","")</f>
        <v/>
      </c>
      <c r="G939" s="32">
        <f>IF($A939=1,IF(Cash_Vouchers!$AA60="","",Cash_Vouchers!$AA60),"")</f>
        <v/>
      </c>
      <c r="H939" s="32">
        <f>IF($A939=1,IF(COUNTIF(COA!$A:$A,$G939)=0,"حساب غير معرف",INDEX(COA!$B:$B,MATCH($G939,COA!$A:$A,0))),"")</f>
        <v/>
      </c>
      <c r="I939" s="32">
        <f>IF($A939=1,IF(Cash_Vouchers!$AC60="","",Cash_Vouchers!$AC60),"")</f>
        <v/>
      </c>
      <c r="J939" s="32">
        <f>IF($A939=1,IF(Cash_Vouchers!$AE60="","",Cash_Vouchers!$AE60),"")</f>
        <v/>
      </c>
      <c r="K939" s="32">
        <f>IF($A939=1,IF(Cash_Vouchers!$AG60="","",Cash_Vouchers!$AG60),"")</f>
        <v/>
      </c>
      <c r="L939" s="32">
        <f>IF($A939=1,IF(Cash_Vouchers!$K60="",Cash_Vouchers!$C60&amp;" - "&amp;Cash_Vouchers!$H60,Cash_Vouchers!$K60),"")</f>
        <v/>
      </c>
      <c r="M939" s="43">
        <f>IF($A939=1,Cash_Vouchers!$I60,"")</f>
        <v/>
      </c>
      <c r="N939" s="43">
        <f>IF($A939=1,0,"")</f>
        <v/>
      </c>
      <c r="O939" s="32">
        <f>IF($A939=1,Cash_Vouchers!$N60,"")</f>
        <v/>
      </c>
      <c r="P939" s="32">
        <f>IF($A939=1,IF(Cash_Vouchers!$AK60="","",Cash_Vouchers!$AK60),"")</f>
        <v/>
      </c>
      <c r="Q939" s="32">
        <f>IF($A939=1,Cash_Vouchers!$AM60,"")</f>
        <v/>
      </c>
      <c r="R939" s="32">
        <f>IF($A939=1,IF(AND($Q939=1,COUNTIFS(COA!$A:$A,$G939,COA!$R:$R,1)=1),1,0),"")</f>
        <v/>
      </c>
      <c r="S939" s="43">
        <f>IF($A939=1,IF($R939=1,N($M939),0),"")</f>
        <v/>
      </c>
      <c r="T939" s="43">
        <f>IF($A939=1,IF($R939=1,N($N939),0),"")</f>
        <v/>
      </c>
      <c r="U939" s="32">
        <f>IF($A939=1,YEAR($D939)*100+MONTH($D939),"")</f>
        <v/>
      </c>
      <c r="V939" s="32">
        <f>IF($A939=1,IF(COUNTIF(COA!$A:$A,$G939)=0,0,INDEX(COA!$H:$H,MATCH($G939,COA!$A:$A,0))),"")</f>
        <v/>
      </c>
      <c r="W939" s="32">
        <f>IF($A939=1,IF(Cash_Vouchers!$AI60="","",Cash_Vouchers!$AI60),"")</f>
        <v/>
      </c>
      <c r="X939" s="32">
        <f>IF($A939=1,IF($R939=1,"",IF($O939=ST_POST,IF($P939&lt;&gt;"",$P939,"حساب غير صالح أو غير نشط"),IF($O939=ST_REV,"معكوس: لا أثر على الدفاتر",IF($O939=ST_CANC,"ملغى",IF($O939=ST_APPR,"معتمد ولم يُرحَّل","مسودة"))))),"")</f>
        <v/>
      </c>
      <c r="Y939" s="32">
        <f>IF($A939=1,IF(AND($R939=1,OR(LG_Acct="",$G939=LG_Acct),OR(LG_Party="",$K939=LG_Party),OR(LG_Loc="ALL",$I939=LG_Loc),OR(LG_CC="ALL",$J939=LG_CC),$D939&gt;=LG_From,$D939&lt;=LG_To),$D939+ROW()/1000000,""),"")</f>
        <v/>
      </c>
      <c r="Z939" s="32">
        <f>IF($A939=1,IF(Cash_Vouchers!$O60="","",Cash_Vouchers!$O60),"")</f>
        <v/>
      </c>
      <c r="AA939" s="32">
        <f>IF($A939=1,IF(Cash_Vouchers!$P60="","",Cash_Vouchers!$P60),"")</f>
        <v/>
      </c>
      <c r="AB939" s="32">
        <f>IF($A939=1,IF(Cash_Vouchers!$Q60="","",Cash_Vouchers!$Q60),"")</f>
        <v/>
      </c>
      <c r="AC939" s="32">
        <f>IF($A939=1,IF(Cash_Vouchers!$R60="","",Cash_Vouchers!$R60),"")</f>
        <v/>
      </c>
      <c r="AD939" s="32">
        <f>IF($A939=1,IF(Cash_Vouchers!$S60="","",Cash_Vouchers!$S60),"")</f>
        <v/>
      </c>
      <c r="AE939" s="32">
        <f>IF($A939=1,0,"")</f>
        <v/>
      </c>
      <c r="AF939" s="32" t="inlineStr"/>
    </row>
    <row r="940">
      <c r="A940" s="32">
        <f>IF(AND(Cash_Vouchers!$AJ60=1,N(Cash_Vouchers!$I60)&gt;0),1,0)</f>
        <v/>
      </c>
      <c r="B940" s="32">
        <f>IF($A940=1,$E940&amp;"/2","")</f>
        <v/>
      </c>
      <c r="C940" s="32">
        <f>IF($A940=1,"J-"&amp;Cash_Vouchers!$A60,"")</f>
        <v/>
      </c>
      <c r="D940" s="33">
        <f>IF($A940=1,Cash_Vouchers!$B60,"")</f>
        <v/>
      </c>
      <c r="E940" s="32">
        <f>IF($A940=1,IF(Cash_Vouchers!$A60="","",Cash_Vouchers!$A60),"")</f>
        <v/>
      </c>
      <c r="F940" s="32">
        <f>IF($A940=1,"CV","")</f>
        <v/>
      </c>
      <c r="G940" s="32">
        <f>IF($A940=1,IF(Cash_Vouchers!$AB60="","",Cash_Vouchers!$AB60),"")</f>
        <v/>
      </c>
      <c r="H940" s="32">
        <f>IF($A940=1,IF(COUNTIF(COA!$A:$A,$G940)=0,"حساب غير معرف",INDEX(COA!$B:$B,MATCH($G940,COA!$A:$A,0))),"")</f>
        <v/>
      </c>
      <c r="I940" s="32">
        <f>IF($A940=1,IF(Cash_Vouchers!$AD60="","",Cash_Vouchers!$AD60),"")</f>
        <v/>
      </c>
      <c r="J940" s="32">
        <f>IF($A940=1,IF(Cash_Vouchers!$AF60="","",Cash_Vouchers!$AF60),"")</f>
        <v/>
      </c>
      <c r="K940" s="32">
        <f>IF($A940=1,IF(Cash_Vouchers!$AH60="","",Cash_Vouchers!$AH60),"")</f>
        <v/>
      </c>
      <c r="L940" s="32">
        <f>IF($A940=1,IF(Cash_Vouchers!$K60="",Cash_Vouchers!$C60&amp;" - "&amp;Cash_Vouchers!$H60,Cash_Vouchers!$K60),"")</f>
        <v/>
      </c>
      <c r="M940" s="43">
        <f>IF($A940=1,0,"")</f>
        <v/>
      </c>
      <c r="N940" s="43">
        <f>IF($A940=1,Cash_Vouchers!$I60,"")</f>
        <v/>
      </c>
      <c r="O940" s="32">
        <f>IF($A940=1,Cash_Vouchers!$N60,"")</f>
        <v/>
      </c>
      <c r="P940" s="32">
        <f>IF($A940=1,IF(Cash_Vouchers!$AK60="","",Cash_Vouchers!$AK60),"")</f>
        <v/>
      </c>
      <c r="Q940" s="32">
        <f>IF($A940=1,Cash_Vouchers!$AM60,"")</f>
        <v/>
      </c>
      <c r="R940" s="32">
        <f>IF($A940=1,IF(AND($Q940=1,COUNTIFS(COA!$A:$A,$G940,COA!$R:$R,1)=1),1,0),"")</f>
        <v/>
      </c>
      <c r="S940" s="43">
        <f>IF($A940=1,IF($R940=1,N($M940),0),"")</f>
        <v/>
      </c>
      <c r="T940" s="43">
        <f>IF($A940=1,IF($R940=1,N($N940),0),"")</f>
        <v/>
      </c>
      <c r="U940" s="32">
        <f>IF($A940=1,YEAR($D940)*100+MONTH($D940),"")</f>
        <v/>
      </c>
      <c r="V940" s="32">
        <f>IF($A940=1,IF(COUNTIF(COA!$A:$A,$G940)=0,0,INDEX(COA!$H:$H,MATCH($G940,COA!$A:$A,0))),"")</f>
        <v/>
      </c>
      <c r="W940" s="32">
        <f>IF($A940=1,IF(Cash_Vouchers!$AI60="","",Cash_Vouchers!$AI60),"")</f>
        <v/>
      </c>
      <c r="X940" s="32">
        <f>IF($A940=1,IF($R940=1,"",IF($O940=ST_POST,IF($P940&lt;&gt;"",$P940,"حساب غير صالح أو غير نشط"),IF($O940=ST_REV,"معكوس: لا أثر على الدفاتر",IF($O940=ST_CANC,"ملغى",IF($O940=ST_APPR,"معتمد ولم يُرحَّل","مسودة"))))),"")</f>
        <v/>
      </c>
      <c r="Y940" s="32">
        <f>IF($A940=1,IF(AND($R940=1,OR(LG_Acct="",$G940=LG_Acct),OR(LG_Party="",$K940=LG_Party),OR(LG_Loc="ALL",$I940=LG_Loc),OR(LG_CC="ALL",$J940=LG_CC),$D940&gt;=LG_From,$D940&lt;=LG_To),$D940+ROW()/1000000,""),"")</f>
        <v/>
      </c>
      <c r="Z940" s="32">
        <f>IF($A940=1,IF(Cash_Vouchers!$O60="","",Cash_Vouchers!$O60),"")</f>
        <v/>
      </c>
      <c r="AA940" s="32">
        <f>IF($A940=1,IF(Cash_Vouchers!$P60="","",Cash_Vouchers!$P60),"")</f>
        <v/>
      </c>
      <c r="AB940" s="32">
        <f>IF($A940=1,IF(Cash_Vouchers!$Q60="","",Cash_Vouchers!$Q60),"")</f>
        <v/>
      </c>
      <c r="AC940" s="32">
        <f>IF($A940=1,IF(Cash_Vouchers!$R60="","",Cash_Vouchers!$R60),"")</f>
        <v/>
      </c>
      <c r="AD940" s="32">
        <f>IF($A940=1,IF(Cash_Vouchers!$S60="","",Cash_Vouchers!$S60),"")</f>
        <v/>
      </c>
      <c r="AE940" s="32">
        <f>IF($A940=1,0,"")</f>
        <v/>
      </c>
      <c r="AF940" s="32" t="inlineStr"/>
    </row>
    <row r="941">
      <c r="A941" s="32">
        <f>IF(AND(Cash_Vouchers!$AJ61=1,N(Cash_Vouchers!$I61)&gt;0),1,0)</f>
        <v/>
      </c>
      <c r="B941" s="32">
        <f>IF($A941=1,$E941&amp;"/1","")</f>
        <v/>
      </c>
      <c r="C941" s="32">
        <f>IF($A941=1,"J-"&amp;Cash_Vouchers!$A61,"")</f>
        <v/>
      </c>
      <c r="D941" s="33">
        <f>IF($A941=1,Cash_Vouchers!$B61,"")</f>
        <v/>
      </c>
      <c r="E941" s="32">
        <f>IF($A941=1,IF(Cash_Vouchers!$A61="","",Cash_Vouchers!$A61),"")</f>
        <v/>
      </c>
      <c r="F941" s="32">
        <f>IF($A941=1,"CV","")</f>
        <v/>
      </c>
      <c r="G941" s="32">
        <f>IF($A941=1,IF(Cash_Vouchers!$AA61="","",Cash_Vouchers!$AA61),"")</f>
        <v/>
      </c>
      <c r="H941" s="32">
        <f>IF($A941=1,IF(COUNTIF(COA!$A:$A,$G941)=0,"حساب غير معرف",INDEX(COA!$B:$B,MATCH($G941,COA!$A:$A,0))),"")</f>
        <v/>
      </c>
      <c r="I941" s="32">
        <f>IF($A941=1,IF(Cash_Vouchers!$AC61="","",Cash_Vouchers!$AC61),"")</f>
        <v/>
      </c>
      <c r="J941" s="32">
        <f>IF($A941=1,IF(Cash_Vouchers!$AE61="","",Cash_Vouchers!$AE61),"")</f>
        <v/>
      </c>
      <c r="K941" s="32">
        <f>IF($A941=1,IF(Cash_Vouchers!$AG61="","",Cash_Vouchers!$AG61),"")</f>
        <v/>
      </c>
      <c r="L941" s="32">
        <f>IF($A941=1,IF(Cash_Vouchers!$K61="",Cash_Vouchers!$C61&amp;" - "&amp;Cash_Vouchers!$H61,Cash_Vouchers!$K61),"")</f>
        <v/>
      </c>
      <c r="M941" s="43">
        <f>IF($A941=1,Cash_Vouchers!$I61,"")</f>
        <v/>
      </c>
      <c r="N941" s="43">
        <f>IF($A941=1,0,"")</f>
        <v/>
      </c>
      <c r="O941" s="32">
        <f>IF($A941=1,Cash_Vouchers!$N61,"")</f>
        <v/>
      </c>
      <c r="P941" s="32">
        <f>IF($A941=1,IF(Cash_Vouchers!$AK61="","",Cash_Vouchers!$AK61),"")</f>
        <v/>
      </c>
      <c r="Q941" s="32">
        <f>IF($A941=1,Cash_Vouchers!$AM61,"")</f>
        <v/>
      </c>
      <c r="R941" s="32">
        <f>IF($A941=1,IF(AND($Q941=1,COUNTIFS(COA!$A:$A,$G941,COA!$R:$R,1)=1),1,0),"")</f>
        <v/>
      </c>
      <c r="S941" s="43">
        <f>IF($A941=1,IF($R941=1,N($M941),0),"")</f>
        <v/>
      </c>
      <c r="T941" s="43">
        <f>IF($A941=1,IF($R941=1,N($N941),0),"")</f>
        <v/>
      </c>
      <c r="U941" s="32">
        <f>IF($A941=1,YEAR($D941)*100+MONTH($D941),"")</f>
        <v/>
      </c>
      <c r="V941" s="32">
        <f>IF($A941=1,IF(COUNTIF(COA!$A:$A,$G941)=0,0,INDEX(COA!$H:$H,MATCH($G941,COA!$A:$A,0))),"")</f>
        <v/>
      </c>
      <c r="W941" s="32">
        <f>IF($A941=1,IF(Cash_Vouchers!$AI61="","",Cash_Vouchers!$AI61),"")</f>
        <v/>
      </c>
      <c r="X941" s="32">
        <f>IF($A941=1,IF($R941=1,"",IF($O941=ST_POST,IF($P941&lt;&gt;"",$P941,"حساب غير صالح أو غير نشط"),IF($O941=ST_REV,"معكوس: لا أثر على الدفاتر",IF($O941=ST_CANC,"ملغى",IF($O941=ST_APPR,"معتمد ولم يُرحَّل","مسودة"))))),"")</f>
        <v/>
      </c>
      <c r="Y941" s="32">
        <f>IF($A941=1,IF(AND($R941=1,OR(LG_Acct="",$G941=LG_Acct),OR(LG_Party="",$K941=LG_Party),OR(LG_Loc="ALL",$I941=LG_Loc),OR(LG_CC="ALL",$J941=LG_CC),$D941&gt;=LG_From,$D941&lt;=LG_To),$D941+ROW()/1000000,""),"")</f>
        <v/>
      </c>
      <c r="Z941" s="32">
        <f>IF($A941=1,IF(Cash_Vouchers!$O61="","",Cash_Vouchers!$O61),"")</f>
        <v/>
      </c>
      <c r="AA941" s="32">
        <f>IF($A941=1,IF(Cash_Vouchers!$P61="","",Cash_Vouchers!$P61),"")</f>
        <v/>
      </c>
      <c r="AB941" s="32">
        <f>IF($A941=1,IF(Cash_Vouchers!$Q61="","",Cash_Vouchers!$Q61),"")</f>
        <v/>
      </c>
      <c r="AC941" s="32">
        <f>IF($A941=1,IF(Cash_Vouchers!$R61="","",Cash_Vouchers!$R61),"")</f>
        <v/>
      </c>
      <c r="AD941" s="32">
        <f>IF($A941=1,IF(Cash_Vouchers!$S61="","",Cash_Vouchers!$S61),"")</f>
        <v/>
      </c>
      <c r="AE941" s="32">
        <f>IF($A941=1,0,"")</f>
        <v/>
      </c>
      <c r="AF941" s="32" t="inlineStr"/>
    </row>
    <row r="942">
      <c r="A942" s="32">
        <f>IF(AND(Cash_Vouchers!$AJ61=1,N(Cash_Vouchers!$I61)&gt;0),1,0)</f>
        <v/>
      </c>
      <c r="B942" s="32">
        <f>IF($A942=1,$E942&amp;"/2","")</f>
        <v/>
      </c>
      <c r="C942" s="32">
        <f>IF($A942=1,"J-"&amp;Cash_Vouchers!$A61,"")</f>
        <v/>
      </c>
      <c r="D942" s="33">
        <f>IF($A942=1,Cash_Vouchers!$B61,"")</f>
        <v/>
      </c>
      <c r="E942" s="32">
        <f>IF($A942=1,IF(Cash_Vouchers!$A61="","",Cash_Vouchers!$A61),"")</f>
        <v/>
      </c>
      <c r="F942" s="32">
        <f>IF($A942=1,"CV","")</f>
        <v/>
      </c>
      <c r="G942" s="32">
        <f>IF($A942=1,IF(Cash_Vouchers!$AB61="","",Cash_Vouchers!$AB61),"")</f>
        <v/>
      </c>
      <c r="H942" s="32">
        <f>IF($A942=1,IF(COUNTIF(COA!$A:$A,$G942)=0,"حساب غير معرف",INDEX(COA!$B:$B,MATCH($G942,COA!$A:$A,0))),"")</f>
        <v/>
      </c>
      <c r="I942" s="32">
        <f>IF($A942=1,IF(Cash_Vouchers!$AD61="","",Cash_Vouchers!$AD61),"")</f>
        <v/>
      </c>
      <c r="J942" s="32">
        <f>IF($A942=1,IF(Cash_Vouchers!$AF61="","",Cash_Vouchers!$AF61),"")</f>
        <v/>
      </c>
      <c r="K942" s="32">
        <f>IF($A942=1,IF(Cash_Vouchers!$AH61="","",Cash_Vouchers!$AH61),"")</f>
        <v/>
      </c>
      <c r="L942" s="32">
        <f>IF($A942=1,IF(Cash_Vouchers!$K61="",Cash_Vouchers!$C61&amp;" - "&amp;Cash_Vouchers!$H61,Cash_Vouchers!$K61),"")</f>
        <v/>
      </c>
      <c r="M942" s="43">
        <f>IF($A942=1,0,"")</f>
        <v/>
      </c>
      <c r="N942" s="43">
        <f>IF($A942=1,Cash_Vouchers!$I61,"")</f>
        <v/>
      </c>
      <c r="O942" s="32">
        <f>IF($A942=1,Cash_Vouchers!$N61,"")</f>
        <v/>
      </c>
      <c r="P942" s="32">
        <f>IF($A942=1,IF(Cash_Vouchers!$AK61="","",Cash_Vouchers!$AK61),"")</f>
        <v/>
      </c>
      <c r="Q942" s="32">
        <f>IF($A942=1,Cash_Vouchers!$AM61,"")</f>
        <v/>
      </c>
      <c r="R942" s="32">
        <f>IF($A942=1,IF(AND($Q942=1,COUNTIFS(COA!$A:$A,$G942,COA!$R:$R,1)=1),1,0),"")</f>
        <v/>
      </c>
      <c r="S942" s="43">
        <f>IF($A942=1,IF($R942=1,N($M942),0),"")</f>
        <v/>
      </c>
      <c r="T942" s="43">
        <f>IF($A942=1,IF($R942=1,N($N942),0),"")</f>
        <v/>
      </c>
      <c r="U942" s="32">
        <f>IF($A942=1,YEAR($D942)*100+MONTH($D942),"")</f>
        <v/>
      </c>
      <c r="V942" s="32">
        <f>IF($A942=1,IF(COUNTIF(COA!$A:$A,$G942)=0,0,INDEX(COA!$H:$H,MATCH($G942,COA!$A:$A,0))),"")</f>
        <v/>
      </c>
      <c r="W942" s="32">
        <f>IF($A942=1,IF(Cash_Vouchers!$AI61="","",Cash_Vouchers!$AI61),"")</f>
        <v/>
      </c>
      <c r="X942" s="32">
        <f>IF($A942=1,IF($R942=1,"",IF($O942=ST_POST,IF($P942&lt;&gt;"",$P942,"حساب غير صالح أو غير نشط"),IF($O942=ST_REV,"معكوس: لا أثر على الدفاتر",IF($O942=ST_CANC,"ملغى",IF($O942=ST_APPR,"معتمد ولم يُرحَّل","مسودة"))))),"")</f>
        <v/>
      </c>
      <c r="Y942" s="32">
        <f>IF($A942=1,IF(AND($R942=1,OR(LG_Acct="",$G942=LG_Acct),OR(LG_Party="",$K942=LG_Party),OR(LG_Loc="ALL",$I942=LG_Loc),OR(LG_CC="ALL",$J942=LG_CC),$D942&gt;=LG_From,$D942&lt;=LG_To),$D942+ROW()/1000000,""),"")</f>
        <v/>
      </c>
      <c r="Z942" s="32">
        <f>IF($A942=1,IF(Cash_Vouchers!$O61="","",Cash_Vouchers!$O61),"")</f>
        <v/>
      </c>
      <c r="AA942" s="32">
        <f>IF($A942=1,IF(Cash_Vouchers!$P61="","",Cash_Vouchers!$P61),"")</f>
        <v/>
      </c>
      <c r="AB942" s="32">
        <f>IF($A942=1,IF(Cash_Vouchers!$Q61="","",Cash_Vouchers!$Q61),"")</f>
        <v/>
      </c>
      <c r="AC942" s="32">
        <f>IF($A942=1,IF(Cash_Vouchers!$R61="","",Cash_Vouchers!$R61),"")</f>
        <v/>
      </c>
      <c r="AD942" s="32">
        <f>IF($A942=1,IF(Cash_Vouchers!$S61="","",Cash_Vouchers!$S61),"")</f>
        <v/>
      </c>
      <c r="AE942" s="32">
        <f>IF($A942=1,0,"")</f>
        <v/>
      </c>
      <c r="AF942" s="32" t="inlineStr"/>
    </row>
    <row r="943">
      <c r="A943" s="32">
        <f>IF(AND(Cash_Vouchers!$AJ62=1,N(Cash_Vouchers!$I62)&gt;0),1,0)</f>
        <v/>
      </c>
      <c r="B943" s="32">
        <f>IF($A943=1,$E943&amp;"/1","")</f>
        <v/>
      </c>
      <c r="C943" s="32">
        <f>IF($A943=1,"J-"&amp;Cash_Vouchers!$A62,"")</f>
        <v/>
      </c>
      <c r="D943" s="33">
        <f>IF($A943=1,Cash_Vouchers!$B62,"")</f>
        <v/>
      </c>
      <c r="E943" s="32">
        <f>IF($A943=1,IF(Cash_Vouchers!$A62="","",Cash_Vouchers!$A62),"")</f>
        <v/>
      </c>
      <c r="F943" s="32">
        <f>IF($A943=1,"CV","")</f>
        <v/>
      </c>
      <c r="G943" s="32">
        <f>IF($A943=1,IF(Cash_Vouchers!$AA62="","",Cash_Vouchers!$AA62),"")</f>
        <v/>
      </c>
      <c r="H943" s="32">
        <f>IF($A943=1,IF(COUNTIF(COA!$A:$A,$G943)=0,"حساب غير معرف",INDEX(COA!$B:$B,MATCH($G943,COA!$A:$A,0))),"")</f>
        <v/>
      </c>
      <c r="I943" s="32">
        <f>IF($A943=1,IF(Cash_Vouchers!$AC62="","",Cash_Vouchers!$AC62),"")</f>
        <v/>
      </c>
      <c r="J943" s="32">
        <f>IF($A943=1,IF(Cash_Vouchers!$AE62="","",Cash_Vouchers!$AE62),"")</f>
        <v/>
      </c>
      <c r="K943" s="32">
        <f>IF($A943=1,IF(Cash_Vouchers!$AG62="","",Cash_Vouchers!$AG62),"")</f>
        <v/>
      </c>
      <c r="L943" s="32">
        <f>IF($A943=1,IF(Cash_Vouchers!$K62="",Cash_Vouchers!$C62&amp;" - "&amp;Cash_Vouchers!$H62,Cash_Vouchers!$K62),"")</f>
        <v/>
      </c>
      <c r="M943" s="43">
        <f>IF($A943=1,Cash_Vouchers!$I62,"")</f>
        <v/>
      </c>
      <c r="N943" s="43">
        <f>IF($A943=1,0,"")</f>
        <v/>
      </c>
      <c r="O943" s="32">
        <f>IF($A943=1,Cash_Vouchers!$N62,"")</f>
        <v/>
      </c>
      <c r="P943" s="32">
        <f>IF($A943=1,IF(Cash_Vouchers!$AK62="","",Cash_Vouchers!$AK62),"")</f>
        <v/>
      </c>
      <c r="Q943" s="32">
        <f>IF($A943=1,Cash_Vouchers!$AM62,"")</f>
        <v/>
      </c>
      <c r="R943" s="32">
        <f>IF($A943=1,IF(AND($Q943=1,COUNTIFS(COA!$A:$A,$G943,COA!$R:$R,1)=1),1,0),"")</f>
        <v/>
      </c>
      <c r="S943" s="43">
        <f>IF($A943=1,IF($R943=1,N($M943),0),"")</f>
        <v/>
      </c>
      <c r="T943" s="43">
        <f>IF($A943=1,IF($R943=1,N($N943),0),"")</f>
        <v/>
      </c>
      <c r="U943" s="32">
        <f>IF($A943=1,YEAR($D943)*100+MONTH($D943),"")</f>
        <v/>
      </c>
      <c r="V943" s="32">
        <f>IF($A943=1,IF(COUNTIF(COA!$A:$A,$G943)=0,0,INDEX(COA!$H:$H,MATCH($G943,COA!$A:$A,0))),"")</f>
        <v/>
      </c>
      <c r="W943" s="32">
        <f>IF($A943=1,IF(Cash_Vouchers!$AI62="","",Cash_Vouchers!$AI62),"")</f>
        <v/>
      </c>
      <c r="X943" s="32">
        <f>IF($A943=1,IF($R943=1,"",IF($O943=ST_POST,IF($P943&lt;&gt;"",$P943,"حساب غير صالح أو غير نشط"),IF($O943=ST_REV,"معكوس: لا أثر على الدفاتر",IF($O943=ST_CANC,"ملغى",IF($O943=ST_APPR,"معتمد ولم يُرحَّل","مسودة"))))),"")</f>
        <v/>
      </c>
      <c r="Y943" s="32">
        <f>IF($A943=1,IF(AND($R943=1,OR(LG_Acct="",$G943=LG_Acct),OR(LG_Party="",$K943=LG_Party),OR(LG_Loc="ALL",$I943=LG_Loc),OR(LG_CC="ALL",$J943=LG_CC),$D943&gt;=LG_From,$D943&lt;=LG_To),$D943+ROW()/1000000,""),"")</f>
        <v/>
      </c>
      <c r="Z943" s="32">
        <f>IF($A943=1,IF(Cash_Vouchers!$O62="","",Cash_Vouchers!$O62),"")</f>
        <v/>
      </c>
      <c r="AA943" s="32">
        <f>IF($A943=1,IF(Cash_Vouchers!$P62="","",Cash_Vouchers!$P62),"")</f>
        <v/>
      </c>
      <c r="AB943" s="32">
        <f>IF($A943=1,IF(Cash_Vouchers!$Q62="","",Cash_Vouchers!$Q62),"")</f>
        <v/>
      </c>
      <c r="AC943" s="32">
        <f>IF($A943=1,IF(Cash_Vouchers!$R62="","",Cash_Vouchers!$R62),"")</f>
        <v/>
      </c>
      <c r="AD943" s="32">
        <f>IF($A943=1,IF(Cash_Vouchers!$S62="","",Cash_Vouchers!$S62),"")</f>
        <v/>
      </c>
      <c r="AE943" s="32">
        <f>IF($A943=1,0,"")</f>
        <v/>
      </c>
      <c r="AF943" s="32" t="inlineStr"/>
    </row>
    <row r="944">
      <c r="A944" s="32">
        <f>IF(AND(Cash_Vouchers!$AJ62=1,N(Cash_Vouchers!$I62)&gt;0),1,0)</f>
        <v/>
      </c>
      <c r="B944" s="32">
        <f>IF($A944=1,$E944&amp;"/2","")</f>
        <v/>
      </c>
      <c r="C944" s="32">
        <f>IF($A944=1,"J-"&amp;Cash_Vouchers!$A62,"")</f>
        <v/>
      </c>
      <c r="D944" s="33">
        <f>IF($A944=1,Cash_Vouchers!$B62,"")</f>
        <v/>
      </c>
      <c r="E944" s="32">
        <f>IF($A944=1,IF(Cash_Vouchers!$A62="","",Cash_Vouchers!$A62),"")</f>
        <v/>
      </c>
      <c r="F944" s="32">
        <f>IF($A944=1,"CV","")</f>
        <v/>
      </c>
      <c r="G944" s="32">
        <f>IF($A944=1,IF(Cash_Vouchers!$AB62="","",Cash_Vouchers!$AB62),"")</f>
        <v/>
      </c>
      <c r="H944" s="32">
        <f>IF($A944=1,IF(COUNTIF(COA!$A:$A,$G944)=0,"حساب غير معرف",INDEX(COA!$B:$B,MATCH($G944,COA!$A:$A,0))),"")</f>
        <v/>
      </c>
      <c r="I944" s="32">
        <f>IF($A944=1,IF(Cash_Vouchers!$AD62="","",Cash_Vouchers!$AD62),"")</f>
        <v/>
      </c>
      <c r="J944" s="32">
        <f>IF($A944=1,IF(Cash_Vouchers!$AF62="","",Cash_Vouchers!$AF62),"")</f>
        <v/>
      </c>
      <c r="K944" s="32">
        <f>IF($A944=1,IF(Cash_Vouchers!$AH62="","",Cash_Vouchers!$AH62),"")</f>
        <v/>
      </c>
      <c r="L944" s="32">
        <f>IF($A944=1,IF(Cash_Vouchers!$K62="",Cash_Vouchers!$C62&amp;" - "&amp;Cash_Vouchers!$H62,Cash_Vouchers!$K62),"")</f>
        <v/>
      </c>
      <c r="M944" s="43">
        <f>IF($A944=1,0,"")</f>
        <v/>
      </c>
      <c r="N944" s="43">
        <f>IF($A944=1,Cash_Vouchers!$I62,"")</f>
        <v/>
      </c>
      <c r="O944" s="32">
        <f>IF($A944=1,Cash_Vouchers!$N62,"")</f>
        <v/>
      </c>
      <c r="P944" s="32">
        <f>IF($A944=1,IF(Cash_Vouchers!$AK62="","",Cash_Vouchers!$AK62),"")</f>
        <v/>
      </c>
      <c r="Q944" s="32">
        <f>IF($A944=1,Cash_Vouchers!$AM62,"")</f>
        <v/>
      </c>
      <c r="R944" s="32">
        <f>IF($A944=1,IF(AND($Q944=1,COUNTIFS(COA!$A:$A,$G944,COA!$R:$R,1)=1),1,0),"")</f>
        <v/>
      </c>
      <c r="S944" s="43">
        <f>IF($A944=1,IF($R944=1,N($M944),0),"")</f>
        <v/>
      </c>
      <c r="T944" s="43">
        <f>IF($A944=1,IF($R944=1,N($N944),0),"")</f>
        <v/>
      </c>
      <c r="U944" s="32">
        <f>IF($A944=1,YEAR($D944)*100+MONTH($D944),"")</f>
        <v/>
      </c>
      <c r="V944" s="32">
        <f>IF($A944=1,IF(COUNTIF(COA!$A:$A,$G944)=0,0,INDEX(COA!$H:$H,MATCH($G944,COA!$A:$A,0))),"")</f>
        <v/>
      </c>
      <c r="W944" s="32">
        <f>IF($A944=1,IF(Cash_Vouchers!$AI62="","",Cash_Vouchers!$AI62),"")</f>
        <v/>
      </c>
      <c r="X944" s="32">
        <f>IF($A944=1,IF($R944=1,"",IF($O944=ST_POST,IF($P944&lt;&gt;"",$P944,"حساب غير صالح أو غير نشط"),IF($O944=ST_REV,"معكوس: لا أثر على الدفاتر",IF($O944=ST_CANC,"ملغى",IF($O944=ST_APPR,"معتمد ولم يُرحَّل","مسودة"))))),"")</f>
        <v/>
      </c>
      <c r="Y944" s="32">
        <f>IF($A944=1,IF(AND($R944=1,OR(LG_Acct="",$G944=LG_Acct),OR(LG_Party="",$K944=LG_Party),OR(LG_Loc="ALL",$I944=LG_Loc),OR(LG_CC="ALL",$J944=LG_CC),$D944&gt;=LG_From,$D944&lt;=LG_To),$D944+ROW()/1000000,""),"")</f>
        <v/>
      </c>
      <c r="Z944" s="32">
        <f>IF($A944=1,IF(Cash_Vouchers!$O62="","",Cash_Vouchers!$O62),"")</f>
        <v/>
      </c>
      <c r="AA944" s="32">
        <f>IF($A944=1,IF(Cash_Vouchers!$P62="","",Cash_Vouchers!$P62),"")</f>
        <v/>
      </c>
      <c r="AB944" s="32">
        <f>IF($A944=1,IF(Cash_Vouchers!$Q62="","",Cash_Vouchers!$Q62),"")</f>
        <v/>
      </c>
      <c r="AC944" s="32">
        <f>IF($A944=1,IF(Cash_Vouchers!$R62="","",Cash_Vouchers!$R62),"")</f>
        <v/>
      </c>
      <c r="AD944" s="32">
        <f>IF($A944=1,IF(Cash_Vouchers!$S62="","",Cash_Vouchers!$S62),"")</f>
        <v/>
      </c>
      <c r="AE944" s="32">
        <f>IF($A944=1,0,"")</f>
        <v/>
      </c>
      <c r="AF944" s="32" t="inlineStr"/>
    </row>
    <row r="945">
      <c r="A945" s="32">
        <f>IF(AND(Cash_Vouchers!$AJ63=1,N(Cash_Vouchers!$I63)&gt;0),1,0)</f>
        <v/>
      </c>
      <c r="B945" s="32">
        <f>IF($A945=1,$E945&amp;"/1","")</f>
        <v/>
      </c>
      <c r="C945" s="32">
        <f>IF($A945=1,"J-"&amp;Cash_Vouchers!$A63,"")</f>
        <v/>
      </c>
      <c r="D945" s="33">
        <f>IF($A945=1,Cash_Vouchers!$B63,"")</f>
        <v/>
      </c>
      <c r="E945" s="32">
        <f>IF($A945=1,IF(Cash_Vouchers!$A63="","",Cash_Vouchers!$A63),"")</f>
        <v/>
      </c>
      <c r="F945" s="32">
        <f>IF($A945=1,"CV","")</f>
        <v/>
      </c>
      <c r="G945" s="32">
        <f>IF($A945=1,IF(Cash_Vouchers!$AA63="","",Cash_Vouchers!$AA63),"")</f>
        <v/>
      </c>
      <c r="H945" s="32">
        <f>IF($A945=1,IF(COUNTIF(COA!$A:$A,$G945)=0,"حساب غير معرف",INDEX(COA!$B:$B,MATCH($G945,COA!$A:$A,0))),"")</f>
        <v/>
      </c>
      <c r="I945" s="32">
        <f>IF($A945=1,IF(Cash_Vouchers!$AC63="","",Cash_Vouchers!$AC63),"")</f>
        <v/>
      </c>
      <c r="J945" s="32">
        <f>IF($A945=1,IF(Cash_Vouchers!$AE63="","",Cash_Vouchers!$AE63),"")</f>
        <v/>
      </c>
      <c r="K945" s="32">
        <f>IF($A945=1,IF(Cash_Vouchers!$AG63="","",Cash_Vouchers!$AG63),"")</f>
        <v/>
      </c>
      <c r="L945" s="32">
        <f>IF($A945=1,IF(Cash_Vouchers!$K63="",Cash_Vouchers!$C63&amp;" - "&amp;Cash_Vouchers!$H63,Cash_Vouchers!$K63),"")</f>
        <v/>
      </c>
      <c r="M945" s="43">
        <f>IF($A945=1,Cash_Vouchers!$I63,"")</f>
        <v/>
      </c>
      <c r="N945" s="43">
        <f>IF($A945=1,0,"")</f>
        <v/>
      </c>
      <c r="O945" s="32">
        <f>IF($A945=1,Cash_Vouchers!$N63,"")</f>
        <v/>
      </c>
      <c r="P945" s="32">
        <f>IF($A945=1,IF(Cash_Vouchers!$AK63="","",Cash_Vouchers!$AK63),"")</f>
        <v/>
      </c>
      <c r="Q945" s="32">
        <f>IF($A945=1,Cash_Vouchers!$AM63,"")</f>
        <v/>
      </c>
      <c r="R945" s="32">
        <f>IF($A945=1,IF(AND($Q945=1,COUNTIFS(COA!$A:$A,$G945,COA!$R:$R,1)=1),1,0),"")</f>
        <v/>
      </c>
      <c r="S945" s="43">
        <f>IF($A945=1,IF($R945=1,N($M945),0),"")</f>
        <v/>
      </c>
      <c r="T945" s="43">
        <f>IF($A945=1,IF($R945=1,N($N945),0),"")</f>
        <v/>
      </c>
      <c r="U945" s="32">
        <f>IF($A945=1,YEAR($D945)*100+MONTH($D945),"")</f>
        <v/>
      </c>
      <c r="V945" s="32">
        <f>IF($A945=1,IF(COUNTIF(COA!$A:$A,$G945)=0,0,INDEX(COA!$H:$H,MATCH($G945,COA!$A:$A,0))),"")</f>
        <v/>
      </c>
      <c r="W945" s="32">
        <f>IF($A945=1,IF(Cash_Vouchers!$AI63="","",Cash_Vouchers!$AI63),"")</f>
        <v/>
      </c>
      <c r="X945" s="32">
        <f>IF($A945=1,IF($R945=1,"",IF($O945=ST_POST,IF($P945&lt;&gt;"",$P945,"حساب غير صالح أو غير نشط"),IF($O945=ST_REV,"معكوس: لا أثر على الدفاتر",IF($O945=ST_CANC,"ملغى",IF($O945=ST_APPR,"معتمد ولم يُرحَّل","مسودة"))))),"")</f>
        <v/>
      </c>
      <c r="Y945" s="32">
        <f>IF($A945=1,IF(AND($R945=1,OR(LG_Acct="",$G945=LG_Acct),OR(LG_Party="",$K945=LG_Party),OR(LG_Loc="ALL",$I945=LG_Loc),OR(LG_CC="ALL",$J945=LG_CC),$D945&gt;=LG_From,$D945&lt;=LG_To),$D945+ROW()/1000000,""),"")</f>
        <v/>
      </c>
      <c r="Z945" s="32">
        <f>IF($A945=1,IF(Cash_Vouchers!$O63="","",Cash_Vouchers!$O63),"")</f>
        <v/>
      </c>
      <c r="AA945" s="32">
        <f>IF($A945=1,IF(Cash_Vouchers!$P63="","",Cash_Vouchers!$P63),"")</f>
        <v/>
      </c>
      <c r="AB945" s="32">
        <f>IF($A945=1,IF(Cash_Vouchers!$Q63="","",Cash_Vouchers!$Q63),"")</f>
        <v/>
      </c>
      <c r="AC945" s="32">
        <f>IF($A945=1,IF(Cash_Vouchers!$R63="","",Cash_Vouchers!$R63),"")</f>
        <v/>
      </c>
      <c r="AD945" s="32">
        <f>IF($A945=1,IF(Cash_Vouchers!$S63="","",Cash_Vouchers!$S63),"")</f>
        <v/>
      </c>
      <c r="AE945" s="32">
        <f>IF($A945=1,0,"")</f>
        <v/>
      </c>
      <c r="AF945" s="32" t="inlineStr"/>
    </row>
    <row r="946">
      <c r="A946" s="32">
        <f>IF(AND(Cash_Vouchers!$AJ63=1,N(Cash_Vouchers!$I63)&gt;0),1,0)</f>
        <v/>
      </c>
      <c r="B946" s="32">
        <f>IF($A946=1,$E946&amp;"/2","")</f>
        <v/>
      </c>
      <c r="C946" s="32">
        <f>IF($A946=1,"J-"&amp;Cash_Vouchers!$A63,"")</f>
        <v/>
      </c>
      <c r="D946" s="33">
        <f>IF($A946=1,Cash_Vouchers!$B63,"")</f>
        <v/>
      </c>
      <c r="E946" s="32">
        <f>IF($A946=1,IF(Cash_Vouchers!$A63="","",Cash_Vouchers!$A63),"")</f>
        <v/>
      </c>
      <c r="F946" s="32">
        <f>IF($A946=1,"CV","")</f>
        <v/>
      </c>
      <c r="G946" s="32">
        <f>IF($A946=1,IF(Cash_Vouchers!$AB63="","",Cash_Vouchers!$AB63),"")</f>
        <v/>
      </c>
      <c r="H946" s="32">
        <f>IF($A946=1,IF(COUNTIF(COA!$A:$A,$G946)=0,"حساب غير معرف",INDEX(COA!$B:$B,MATCH($G946,COA!$A:$A,0))),"")</f>
        <v/>
      </c>
      <c r="I946" s="32">
        <f>IF($A946=1,IF(Cash_Vouchers!$AD63="","",Cash_Vouchers!$AD63),"")</f>
        <v/>
      </c>
      <c r="J946" s="32">
        <f>IF($A946=1,IF(Cash_Vouchers!$AF63="","",Cash_Vouchers!$AF63),"")</f>
        <v/>
      </c>
      <c r="K946" s="32">
        <f>IF($A946=1,IF(Cash_Vouchers!$AH63="","",Cash_Vouchers!$AH63),"")</f>
        <v/>
      </c>
      <c r="L946" s="32">
        <f>IF($A946=1,IF(Cash_Vouchers!$K63="",Cash_Vouchers!$C63&amp;" - "&amp;Cash_Vouchers!$H63,Cash_Vouchers!$K63),"")</f>
        <v/>
      </c>
      <c r="M946" s="43">
        <f>IF($A946=1,0,"")</f>
        <v/>
      </c>
      <c r="N946" s="43">
        <f>IF($A946=1,Cash_Vouchers!$I63,"")</f>
        <v/>
      </c>
      <c r="O946" s="32">
        <f>IF($A946=1,Cash_Vouchers!$N63,"")</f>
        <v/>
      </c>
      <c r="P946" s="32">
        <f>IF($A946=1,IF(Cash_Vouchers!$AK63="","",Cash_Vouchers!$AK63),"")</f>
        <v/>
      </c>
      <c r="Q946" s="32">
        <f>IF($A946=1,Cash_Vouchers!$AM63,"")</f>
        <v/>
      </c>
      <c r="R946" s="32">
        <f>IF($A946=1,IF(AND($Q946=1,COUNTIFS(COA!$A:$A,$G946,COA!$R:$R,1)=1),1,0),"")</f>
        <v/>
      </c>
      <c r="S946" s="43">
        <f>IF($A946=1,IF($R946=1,N($M946),0),"")</f>
        <v/>
      </c>
      <c r="T946" s="43">
        <f>IF($A946=1,IF($R946=1,N($N946),0),"")</f>
        <v/>
      </c>
      <c r="U946" s="32">
        <f>IF($A946=1,YEAR($D946)*100+MONTH($D946),"")</f>
        <v/>
      </c>
      <c r="V946" s="32">
        <f>IF($A946=1,IF(COUNTIF(COA!$A:$A,$G946)=0,0,INDEX(COA!$H:$H,MATCH($G946,COA!$A:$A,0))),"")</f>
        <v/>
      </c>
      <c r="W946" s="32">
        <f>IF($A946=1,IF(Cash_Vouchers!$AI63="","",Cash_Vouchers!$AI63),"")</f>
        <v/>
      </c>
      <c r="X946" s="32">
        <f>IF($A946=1,IF($R946=1,"",IF($O946=ST_POST,IF($P946&lt;&gt;"",$P946,"حساب غير صالح أو غير نشط"),IF($O946=ST_REV,"معكوس: لا أثر على الدفاتر",IF($O946=ST_CANC,"ملغى",IF($O946=ST_APPR,"معتمد ولم يُرحَّل","مسودة"))))),"")</f>
        <v/>
      </c>
      <c r="Y946" s="32">
        <f>IF($A946=1,IF(AND($R946=1,OR(LG_Acct="",$G946=LG_Acct),OR(LG_Party="",$K946=LG_Party),OR(LG_Loc="ALL",$I946=LG_Loc),OR(LG_CC="ALL",$J946=LG_CC),$D946&gt;=LG_From,$D946&lt;=LG_To),$D946+ROW()/1000000,""),"")</f>
        <v/>
      </c>
      <c r="Z946" s="32">
        <f>IF($A946=1,IF(Cash_Vouchers!$O63="","",Cash_Vouchers!$O63),"")</f>
        <v/>
      </c>
      <c r="AA946" s="32">
        <f>IF($A946=1,IF(Cash_Vouchers!$P63="","",Cash_Vouchers!$P63),"")</f>
        <v/>
      </c>
      <c r="AB946" s="32">
        <f>IF($A946=1,IF(Cash_Vouchers!$Q63="","",Cash_Vouchers!$Q63),"")</f>
        <v/>
      </c>
      <c r="AC946" s="32">
        <f>IF($A946=1,IF(Cash_Vouchers!$R63="","",Cash_Vouchers!$R63),"")</f>
        <v/>
      </c>
      <c r="AD946" s="32">
        <f>IF($A946=1,IF(Cash_Vouchers!$S63="","",Cash_Vouchers!$S63),"")</f>
        <v/>
      </c>
      <c r="AE946" s="32">
        <f>IF($A946=1,0,"")</f>
        <v/>
      </c>
      <c r="AF946" s="32" t="inlineStr"/>
    </row>
    <row r="947">
      <c r="A947" s="32">
        <f>IF(AND(Cash_Vouchers!$AJ64=1,N(Cash_Vouchers!$I64)&gt;0),1,0)</f>
        <v/>
      </c>
      <c r="B947" s="32">
        <f>IF($A947=1,$E947&amp;"/1","")</f>
        <v/>
      </c>
      <c r="C947" s="32">
        <f>IF($A947=1,"J-"&amp;Cash_Vouchers!$A64,"")</f>
        <v/>
      </c>
      <c r="D947" s="33">
        <f>IF($A947=1,Cash_Vouchers!$B64,"")</f>
        <v/>
      </c>
      <c r="E947" s="32">
        <f>IF($A947=1,IF(Cash_Vouchers!$A64="","",Cash_Vouchers!$A64),"")</f>
        <v/>
      </c>
      <c r="F947" s="32">
        <f>IF($A947=1,"CV","")</f>
        <v/>
      </c>
      <c r="G947" s="32">
        <f>IF($A947=1,IF(Cash_Vouchers!$AA64="","",Cash_Vouchers!$AA64),"")</f>
        <v/>
      </c>
      <c r="H947" s="32">
        <f>IF($A947=1,IF(COUNTIF(COA!$A:$A,$G947)=0,"حساب غير معرف",INDEX(COA!$B:$B,MATCH($G947,COA!$A:$A,0))),"")</f>
        <v/>
      </c>
      <c r="I947" s="32">
        <f>IF($A947=1,IF(Cash_Vouchers!$AC64="","",Cash_Vouchers!$AC64),"")</f>
        <v/>
      </c>
      <c r="J947" s="32">
        <f>IF($A947=1,IF(Cash_Vouchers!$AE64="","",Cash_Vouchers!$AE64),"")</f>
        <v/>
      </c>
      <c r="K947" s="32">
        <f>IF($A947=1,IF(Cash_Vouchers!$AG64="","",Cash_Vouchers!$AG64),"")</f>
        <v/>
      </c>
      <c r="L947" s="32">
        <f>IF($A947=1,IF(Cash_Vouchers!$K64="",Cash_Vouchers!$C64&amp;" - "&amp;Cash_Vouchers!$H64,Cash_Vouchers!$K64),"")</f>
        <v/>
      </c>
      <c r="M947" s="43">
        <f>IF($A947=1,Cash_Vouchers!$I64,"")</f>
        <v/>
      </c>
      <c r="N947" s="43">
        <f>IF($A947=1,0,"")</f>
        <v/>
      </c>
      <c r="O947" s="32">
        <f>IF($A947=1,Cash_Vouchers!$N64,"")</f>
        <v/>
      </c>
      <c r="P947" s="32">
        <f>IF($A947=1,IF(Cash_Vouchers!$AK64="","",Cash_Vouchers!$AK64),"")</f>
        <v/>
      </c>
      <c r="Q947" s="32">
        <f>IF($A947=1,Cash_Vouchers!$AM64,"")</f>
        <v/>
      </c>
      <c r="R947" s="32">
        <f>IF($A947=1,IF(AND($Q947=1,COUNTIFS(COA!$A:$A,$G947,COA!$R:$R,1)=1),1,0),"")</f>
        <v/>
      </c>
      <c r="S947" s="43">
        <f>IF($A947=1,IF($R947=1,N($M947),0),"")</f>
        <v/>
      </c>
      <c r="T947" s="43">
        <f>IF($A947=1,IF($R947=1,N($N947),0),"")</f>
        <v/>
      </c>
      <c r="U947" s="32">
        <f>IF($A947=1,YEAR($D947)*100+MONTH($D947),"")</f>
        <v/>
      </c>
      <c r="V947" s="32">
        <f>IF($A947=1,IF(COUNTIF(COA!$A:$A,$G947)=0,0,INDEX(COA!$H:$H,MATCH($G947,COA!$A:$A,0))),"")</f>
        <v/>
      </c>
      <c r="W947" s="32">
        <f>IF($A947=1,IF(Cash_Vouchers!$AI64="","",Cash_Vouchers!$AI64),"")</f>
        <v/>
      </c>
      <c r="X947" s="32">
        <f>IF($A947=1,IF($R947=1,"",IF($O947=ST_POST,IF($P947&lt;&gt;"",$P947,"حساب غير صالح أو غير نشط"),IF($O947=ST_REV,"معكوس: لا أثر على الدفاتر",IF($O947=ST_CANC,"ملغى",IF($O947=ST_APPR,"معتمد ولم يُرحَّل","مسودة"))))),"")</f>
        <v/>
      </c>
      <c r="Y947" s="32">
        <f>IF($A947=1,IF(AND($R947=1,OR(LG_Acct="",$G947=LG_Acct),OR(LG_Party="",$K947=LG_Party),OR(LG_Loc="ALL",$I947=LG_Loc),OR(LG_CC="ALL",$J947=LG_CC),$D947&gt;=LG_From,$D947&lt;=LG_To),$D947+ROW()/1000000,""),"")</f>
        <v/>
      </c>
      <c r="Z947" s="32">
        <f>IF($A947=1,IF(Cash_Vouchers!$O64="","",Cash_Vouchers!$O64),"")</f>
        <v/>
      </c>
      <c r="AA947" s="32">
        <f>IF($A947=1,IF(Cash_Vouchers!$P64="","",Cash_Vouchers!$P64),"")</f>
        <v/>
      </c>
      <c r="AB947" s="32">
        <f>IF($A947=1,IF(Cash_Vouchers!$Q64="","",Cash_Vouchers!$Q64),"")</f>
        <v/>
      </c>
      <c r="AC947" s="32">
        <f>IF($A947=1,IF(Cash_Vouchers!$R64="","",Cash_Vouchers!$R64),"")</f>
        <v/>
      </c>
      <c r="AD947" s="32">
        <f>IF($A947=1,IF(Cash_Vouchers!$S64="","",Cash_Vouchers!$S64),"")</f>
        <v/>
      </c>
      <c r="AE947" s="32">
        <f>IF($A947=1,0,"")</f>
        <v/>
      </c>
      <c r="AF947" s="32" t="inlineStr"/>
    </row>
    <row r="948">
      <c r="A948" s="32">
        <f>IF(AND(Cash_Vouchers!$AJ64=1,N(Cash_Vouchers!$I64)&gt;0),1,0)</f>
        <v/>
      </c>
      <c r="B948" s="32">
        <f>IF($A948=1,$E948&amp;"/2","")</f>
        <v/>
      </c>
      <c r="C948" s="32">
        <f>IF($A948=1,"J-"&amp;Cash_Vouchers!$A64,"")</f>
        <v/>
      </c>
      <c r="D948" s="33">
        <f>IF($A948=1,Cash_Vouchers!$B64,"")</f>
        <v/>
      </c>
      <c r="E948" s="32">
        <f>IF($A948=1,IF(Cash_Vouchers!$A64="","",Cash_Vouchers!$A64),"")</f>
        <v/>
      </c>
      <c r="F948" s="32">
        <f>IF($A948=1,"CV","")</f>
        <v/>
      </c>
      <c r="G948" s="32">
        <f>IF($A948=1,IF(Cash_Vouchers!$AB64="","",Cash_Vouchers!$AB64),"")</f>
        <v/>
      </c>
      <c r="H948" s="32">
        <f>IF($A948=1,IF(COUNTIF(COA!$A:$A,$G948)=0,"حساب غير معرف",INDEX(COA!$B:$B,MATCH($G948,COA!$A:$A,0))),"")</f>
        <v/>
      </c>
      <c r="I948" s="32">
        <f>IF($A948=1,IF(Cash_Vouchers!$AD64="","",Cash_Vouchers!$AD64),"")</f>
        <v/>
      </c>
      <c r="J948" s="32">
        <f>IF($A948=1,IF(Cash_Vouchers!$AF64="","",Cash_Vouchers!$AF64),"")</f>
        <v/>
      </c>
      <c r="K948" s="32">
        <f>IF($A948=1,IF(Cash_Vouchers!$AH64="","",Cash_Vouchers!$AH64),"")</f>
        <v/>
      </c>
      <c r="L948" s="32">
        <f>IF($A948=1,IF(Cash_Vouchers!$K64="",Cash_Vouchers!$C64&amp;" - "&amp;Cash_Vouchers!$H64,Cash_Vouchers!$K64),"")</f>
        <v/>
      </c>
      <c r="M948" s="43">
        <f>IF($A948=1,0,"")</f>
        <v/>
      </c>
      <c r="N948" s="43">
        <f>IF($A948=1,Cash_Vouchers!$I64,"")</f>
        <v/>
      </c>
      <c r="O948" s="32">
        <f>IF($A948=1,Cash_Vouchers!$N64,"")</f>
        <v/>
      </c>
      <c r="P948" s="32">
        <f>IF($A948=1,IF(Cash_Vouchers!$AK64="","",Cash_Vouchers!$AK64),"")</f>
        <v/>
      </c>
      <c r="Q948" s="32">
        <f>IF($A948=1,Cash_Vouchers!$AM64,"")</f>
        <v/>
      </c>
      <c r="R948" s="32">
        <f>IF($A948=1,IF(AND($Q948=1,COUNTIFS(COA!$A:$A,$G948,COA!$R:$R,1)=1),1,0),"")</f>
        <v/>
      </c>
      <c r="S948" s="43">
        <f>IF($A948=1,IF($R948=1,N($M948),0),"")</f>
        <v/>
      </c>
      <c r="T948" s="43">
        <f>IF($A948=1,IF($R948=1,N($N948),0),"")</f>
        <v/>
      </c>
      <c r="U948" s="32">
        <f>IF($A948=1,YEAR($D948)*100+MONTH($D948),"")</f>
        <v/>
      </c>
      <c r="V948" s="32">
        <f>IF($A948=1,IF(COUNTIF(COA!$A:$A,$G948)=0,0,INDEX(COA!$H:$H,MATCH($G948,COA!$A:$A,0))),"")</f>
        <v/>
      </c>
      <c r="W948" s="32">
        <f>IF($A948=1,IF(Cash_Vouchers!$AI64="","",Cash_Vouchers!$AI64),"")</f>
        <v/>
      </c>
      <c r="X948" s="32">
        <f>IF($A948=1,IF($R948=1,"",IF($O948=ST_POST,IF($P948&lt;&gt;"",$P948,"حساب غير صالح أو غير نشط"),IF($O948=ST_REV,"معكوس: لا أثر على الدفاتر",IF($O948=ST_CANC,"ملغى",IF($O948=ST_APPR,"معتمد ولم يُرحَّل","مسودة"))))),"")</f>
        <v/>
      </c>
      <c r="Y948" s="32">
        <f>IF($A948=1,IF(AND($R948=1,OR(LG_Acct="",$G948=LG_Acct),OR(LG_Party="",$K948=LG_Party),OR(LG_Loc="ALL",$I948=LG_Loc),OR(LG_CC="ALL",$J948=LG_CC),$D948&gt;=LG_From,$D948&lt;=LG_To),$D948+ROW()/1000000,""),"")</f>
        <v/>
      </c>
      <c r="Z948" s="32">
        <f>IF($A948=1,IF(Cash_Vouchers!$O64="","",Cash_Vouchers!$O64),"")</f>
        <v/>
      </c>
      <c r="AA948" s="32">
        <f>IF($A948=1,IF(Cash_Vouchers!$P64="","",Cash_Vouchers!$P64),"")</f>
        <v/>
      </c>
      <c r="AB948" s="32">
        <f>IF($A948=1,IF(Cash_Vouchers!$Q64="","",Cash_Vouchers!$Q64),"")</f>
        <v/>
      </c>
      <c r="AC948" s="32">
        <f>IF($A948=1,IF(Cash_Vouchers!$R64="","",Cash_Vouchers!$R64),"")</f>
        <v/>
      </c>
      <c r="AD948" s="32">
        <f>IF($A948=1,IF(Cash_Vouchers!$S64="","",Cash_Vouchers!$S64),"")</f>
        <v/>
      </c>
      <c r="AE948" s="32">
        <f>IF($A948=1,0,"")</f>
        <v/>
      </c>
      <c r="AF948" s="32" t="inlineStr"/>
    </row>
    <row r="949">
      <c r="A949" s="32">
        <f>IF(AND(Cash_Vouchers!$AJ65=1,N(Cash_Vouchers!$I65)&gt;0),1,0)</f>
        <v/>
      </c>
      <c r="B949" s="32">
        <f>IF($A949=1,$E949&amp;"/1","")</f>
        <v/>
      </c>
      <c r="C949" s="32">
        <f>IF($A949=1,"J-"&amp;Cash_Vouchers!$A65,"")</f>
        <v/>
      </c>
      <c r="D949" s="33">
        <f>IF($A949=1,Cash_Vouchers!$B65,"")</f>
        <v/>
      </c>
      <c r="E949" s="32">
        <f>IF($A949=1,IF(Cash_Vouchers!$A65="","",Cash_Vouchers!$A65),"")</f>
        <v/>
      </c>
      <c r="F949" s="32">
        <f>IF($A949=1,"CV","")</f>
        <v/>
      </c>
      <c r="G949" s="32">
        <f>IF($A949=1,IF(Cash_Vouchers!$AA65="","",Cash_Vouchers!$AA65),"")</f>
        <v/>
      </c>
      <c r="H949" s="32">
        <f>IF($A949=1,IF(COUNTIF(COA!$A:$A,$G949)=0,"حساب غير معرف",INDEX(COA!$B:$B,MATCH($G949,COA!$A:$A,0))),"")</f>
        <v/>
      </c>
      <c r="I949" s="32">
        <f>IF($A949=1,IF(Cash_Vouchers!$AC65="","",Cash_Vouchers!$AC65),"")</f>
        <v/>
      </c>
      <c r="J949" s="32">
        <f>IF($A949=1,IF(Cash_Vouchers!$AE65="","",Cash_Vouchers!$AE65),"")</f>
        <v/>
      </c>
      <c r="K949" s="32">
        <f>IF($A949=1,IF(Cash_Vouchers!$AG65="","",Cash_Vouchers!$AG65),"")</f>
        <v/>
      </c>
      <c r="L949" s="32">
        <f>IF($A949=1,IF(Cash_Vouchers!$K65="",Cash_Vouchers!$C65&amp;" - "&amp;Cash_Vouchers!$H65,Cash_Vouchers!$K65),"")</f>
        <v/>
      </c>
      <c r="M949" s="43">
        <f>IF($A949=1,Cash_Vouchers!$I65,"")</f>
        <v/>
      </c>
      <c r="N949" s="43">
        <f>IF($A949=1,0,"")</f>
        <v/>
      </c>
      <c r="O949" s="32">
        <f>IF($A949=1,Cash_Vouchers!$N65,"")</f>
        <v/>
      </c>
      <c r="P949" s="32">
        <f>IF($A949=1,IF(Cash_Vouchers!$AK65="","",Cash_Vouchers!$AK65),"")</f>
        <v/>
      </c>
      <c r="Q949" s="32">
        <f>IF($A949=1,Cash_Vouchers!$AM65,"")</f>
        <v/>
      </c>
      <c r="R949" s="32">
        <f>IF($A949=1,IF(AND($Q949=1,COUNTIFS(COA!$A:$A,$G949,COA!$R:$R,1)=1),1,0),"")</f>
        <v/>
      </c>
      <c r="S949" s="43">
        <f>IF($A949=1,IF($R949=1,N($M949),0),"")</f>
        <v/>
      </c>
      <c r="T949" s="43">
        <f>IF($A949=1,IF($R949=1,N($N949),0),"")</f>
        <v/>
      </c>
      <c r="U949" s="32">
        <f>IF($A949=1,YEAR($D949)*100+MONTH($D949),"")</f>
        <v/>
      </c>
      <c r="V949" s="32">
        <f>IF($A949=1,IF(COUNTIF(COA!$A:$A,$G949)=0,0,INDEX(COA!$H:$H,MATCH($G949,COA!$A:$A,0))),"")</f>
        <v/>
      </c>
      <c r="W949" s="32">
        <f>IF($A949=1,IF(Cash_Vouchers!$AI65="","",Cash_Vouchers!$AI65),"")</f>
        <v/>
      </c>
      <c r="X949" s="32">
        <f>IF($A949=1,IF($R949=1,"",IF($O949=ST_POST,IF($P949&lt;&gt;"",$P949,"حساب غير صالح أو غير نشط"),IF($O949=ST_REV,"معكوس: لا أثر على الدفاتر",IF($O949=ST_CANC,"ملغى",IF($O949=ST_APPR,"معتمد ولم يُرحَّل","مسودة"))))),"")</f>
        <v/>
      </c>
      <c r="Y949" s="32">
        <f>IF($A949=1,IF(AND($R949=1,OR(LG_Acct="",$G949=LG_Acct),OR(LG_Party="",$K949=LG_Party),OR(LG_Loc="ALL",$I949=LG_Loc),OR(LG_CC="ALL",$J949=LG_CC),$D949&gt;=LG_From,$D949&lt;=LG_To),$D949+ROW()/1000000,""),"")</f>
        <v/>
      </c>
      <c r="Z949" s="32">
        <f>IF($A949=1,IF(Cash_Vouchers!$O65="","",Cash_Vouchers!$O65),"")</f>
        <v/>
      </c>
      <c r="AA949" s="32">
        <f>IF($A949=1,IF(Cash_Vouchers!$P65="","",Cash_Vouchers!$P65),"")</f>
        <v/>
      </c>
      <c r="AB949" s="32">
        <f>IF($A949=1,IF(Cash_Vouchers!$Q65="","",Cash_Vouchers!$Q65),"")</f>
        <v/>
      </c>
      <c r="AC949" s="32">
        <f>IF($A949=1,IF(Cash_Vouchers!$R65="","",Cash_Vouchers!$R65),"")</f>
        <v/>
      </c>
      <c r="AD949" s="32">
        <f>IF($A949=1,IF(Cash_Vouchers!$S65="","",Cash_Vouchers!$S65),"")</f>
        <v/>
      </c>
      <c r="AE949" s="32">
        <f>IF($A949=1,0,"")</f>
        <v/>
      </c>
      <c r="AF949" s="32" t="inlineStr"/>
    </row>
    <row r="950">
      <c r="A950" s="32">
        <f>IF(AND(Cash_Vouchers!$AJ65=1,N(Cash_Vouchers!$I65)&gt;0),1,0)</f>
        <v/>
      </c>
      <c r="B950" s="32">
        <f>IF($A950=1,$E950&amp;"/2","")</f>
        <v/>
      </c>
      <c r="C950" s="32">
        <f>IF($A950=1,"J-"&amp;Cash_Vouchers!$A65,"")</f>
        <v/>
      </c>
      <c r="D950" s="33">
        <f>IF($A950=1,Cash_Vouchers!$B65,"")</f>
        <v/>
      </c>
      <c r="E950" s="32">
        <f>IF($A950=1,IF(Cash_Vouchers!$A65="","",Cash_Vouchers!$A65),"")</f>
        <v/>
      </c>
      <c r="F950" s="32">
        <f>IF($A950=1,"CV","")</f>
        <v/>
      </c>
      <c r="G950" s="32">
        <f>IF($A950=1,IF(Cash_Vouchers!$AB65="","",Cash_Vouchers!$AB65),"")</f>
        <v/>
      </c>
      <c r="H950" s="32">
        <f>IF($A950=1,IF(COUNTIF(COA!$A:$A,$G950)=0,"حساب غير معرف",INDEX(COA!$B:$B,MATCH($G950,COA!$A:$A,0))),"")</f>
        <v/>
      </c>
      <c r="I950" s="32">
        <f>IF($A950=1,IF(Cash_Vouchers!$AD65="","",Cash_Vouchers!$AD65),"")</f>
        <v/>
      </c>
      <c r="J950" s="32">
        <f>IF($A950=1,IF(Cash_Vouchers!$AF65="","",Cash_Vouchers!$AF65),"")</f>
        <v/>
      </c>
      <c r="K950" s="32">
        <f>IF($A950=1,IF(Cash_Vouchers!$AH65="","",Cash_Vouchers!$AH65),"")</f>
        <v/>
      </c>
      <c r="L950" s="32">
        <f>IF($A950=1,IF(Cash_Vouchers!$K65="",Cash_Vouchers!$C65&amp;" - "&amp;Cash_Vouchers!$H65,Cash_Vouchers!$K65),"")</f>
        <v/>
      </c>
      <c r="M950" s="43">
        <f>IF($A950=1,0,"")</f>
        <v/>
      </c>
      <c r="N950" s="43">
        <f>IF($A950=1,Cash_Vouchers!$I65,"")</f>
        <v/>
      </c>
      <c r="O950" s="32">
        <f>IF($A950=1,Cash_Vouchers!$N65,"")</f>
        <v/>
      </c>
      <c r="P950" s="32">
        <f>IF($A950=1,IF(Cash_Vouchers!$AK65="","",Cash_Vouchers!$AK65),"")</f>
        <v/>
      </c>
      <c r="Q950" s="32">
        <f>IF($A950=1,Cash_Vouchers!$AM65,"")</f>
        <v/>
      </c>
      <c r="R950" s="32">
        <f>IF($A950=1,IF(AND($Q950=1,COUNTIFS(COA!$A:$A,$G950,COA!$R:$R,1)=1),1,0),"")</f>
        <v/>
      </c>
      <c r="S950" s="43">
        <f>IF($A950=1,IF($R950=1,N($M950),0),"")</f>
        <v/>
      </c>
      <c r="T950" s="43">
        <f>IF($A950=1,IF($R950=1,N($N950),0),"")</f>
        <v/>
      </c>
      <c r="U950" s="32">
        <f>IF($A950=1,YEAR($D950)*100+MONTH($D950),"")</f>
        <v/>
      </c>
      <c r="V950" s="32">
        <f>IF($A950=1,IF(COUNTIF(COA!$A:$A,$G950)=0,0,INDEX(COA!$H:$H,MATCH($G950,COA!$A:$A,0))),"")</f>
        <v/>
      </c>
      <c r="W950" s="32">
        <f>IF($A950=1,IF(Cash_Vouchers!$AI65="","",Cash_Vouchers!$AI65),"")</f>
        <v/>
      </c>
      <c r="X950" s="32">
        <f>IF($A950=1,IF($R950=1,"",IF($O950=ST_POST,IF($P950&lt;&gt;"",$P950,"حساب غير صالح أو غير نشط"),IF($O950=ST_REV,"معكوس: لا أثر على الدفاتر",IF($O950=ST_CANC,"ملغى",IF($O950=ST_APPR,"معتمد ولم يُرحَّل","مسودة"))))),"")</f>
        <v/>
      </c>
      <c r="Y950" s="32">
        <f>IF($A950=1,IF(AND($R950=1,OR(LG_Acct="",$G950=LG_Acct),OR(LG_Party="",$K950=LG_Party),OR(LG_Loc="ALL",$I950=LG_Loc),OR(LG_CC="ALL",$J950=LG_CC),$D950&gt;=LG_From,$D950&lt;=LG_To),$D950+ROW()/1000000,""),"")</f>
        <v/>
      </c>
      <c r="Z950" s="32">
        <f>IF($A950=1,IF(Cash_Vouchers!$O65="","",Cash_Vouchers!$O65),"")</f>
        <v/>
      </c>
      <c r="AA950" s="32">
        <f>IF($A950=1,IF(Cash_Vouchers!$P65="","",Cash_Vouchers!$P65),"")</f>
        <v/>
      </c>
      <c r="AB950" s="32">
        <f>IF($A950=1,IF(Cash_Vouchers!$Q65="","",Cash_Vouchers!$Q65),"")</f>
        <v/>
      </c>
      <c r="AC950" s="32">
        <f>IF($A950=1,IF(Cash_Vouchers!$R65="","",Cash_Vouchers!$R65),"")</f>
        <v/>
      </c>
      <c r="AD950" s="32">
        <f>IF($A950=1,IF(Cash_Vouchers!$S65="","",Cash_Vouchers!$S65),"")</f>
        <v/>
      </c>
      <c r="AE950" s="32">
        <f>IF($A950=1,0,"")</f>
        <v/>
      </c>
      <c r="AF950" s="32" t="inlineStr"/>
    </row>
    <row r="951">
      <c r="A951" s="32">
        <f>IF(AND(Cash_Vouchers!$AJ66=1,N(Cash_Vouchers!$I66)&gt;0),1,0)</f>
        <v/>
      </c>
      <c r="B951" s="32">
        <f>IF($A951=1,$E951&amp;"/1","")</f>
        <v/>
      </c>
      <c r="C951" s="32">
        <f>IF($A951=1,"J-"&amp;Cash_Vouchers!$A66,"")</f>
        <v/>
      </c>
      <c r="D951" s="33">
        <f>IF($A951=1,Cash_Vouchers!$B66,"")</f>
        <v/>
      </c>
      <c r="E951" s="32">
        <f>IF($A951=1,IF(Cash_Vouchers!$A66="","",Cash_Vouchers!$A66),"")</f>
        <v/>
      </c>
      <c r="F951" s="32">
        <f>IF($A951=1,"CV","")</f>
        <v/>
      </c>
      <c r="G951" s="32">
        <f>IF($A951=1,IF(Cash_Vouchers!$AA66="","",Cash_Vouchers!$AA66),"")</f>
        <v/>
      </c>
      <c r="H951" s="32">
        <f>IF($A951=1,IF(COUNTIF(COA!$A:$A,$G951)=0,"حساب غير معرف",INDEX(COA!$B:$B,MATCH($G951,COA!$A:$A,0))),"")</f>
        <v/>
      </c>
      <c r="I951" s="32">
        <f>IF($A951=1,IF(Cash_Vouchers!$AC66="","",Cash_Vouchers!$AC66),"")</f>
        <v/>
      </c>
      <c r="J951" s="32">
        <f>IF($A951=1,IF(Cash_Vouchers!$AE66="","",Cash_Vouchers!$AE66),"")</f>
        <v/>
      </c>
      <c r="K951" s="32">
        <f>IF($A951=1,IF(Cash_Vouchers!$AG66="","",Cash_Vouchers!$AG66),"")</f>
        <v/>
      </c>
      <c r="L951" s="32">
        <f>IF($A951=1,IF(Cash_Vouchers!$K66="",Cash_Vouchers!$C66&amp;" - "&amp;Cash_Vouchers!$H66,Cash_Vouchers!$K66),"")</f>
        <v/>
      </c>
      <c r="M951" s="43">
        <f>IF($A951=1,Cash_Vouchers!$I66,"")</f>
        <v/>
      </c>
      <c r="N951" s="43">
        <f>IF($A951=1,0,"")</f>
        <v/>
      </c>
      <c r="O951" s="32">
        <f>IF($A951=1,Cash_Vouchers!$N66,"")</f>
        <v/>
      </c>
      <c r="P951" s="32">
        <f>IF($A951=1,IF(Cash_Vouchers!$AK66="","",Cash_Vouchers!$AK66),"")</f>
        <v/>
      </c>
      <c r="Q951" s="32">
        <f>IF($A951=1,Cash_Vouchers!$AM66,"")</f>
        <v/>
      </c>
      <c r="R951" s="32">
        <f>IF($A951=1,IF(AND($Q951=1,COUNTIFS(COA!$A:$A,$G951,COA!$R:$R,1)=1),1,0),"")</f>
        <v/>
      </c>
      <c r="S951" s="43">
        <f>IF($A951=1,IF($R951=1,N($M951),0),"")</f>
        <v/>
      </c>
      <c r="T951" s="43">
        <f>IF($A951=1,IF($R951=1,N($N951),0),"")</f>
        <v/>
      </c>
      <c r="U951" s="32">
        <f>IF($A951=1,YEAR($D951)*100+MONTH($D951),"")</f>
        <v/>
      </c>
      <c r="V951" s="32">
        <f>IF($A951=1,IF(COUNTIF(COA!$A:$A,$G951)=0,0,INDEX(COA!$H:$H,MATCH($G951,COA!$A:$A,0))),"")</f>
        <v/>
      </c>
      <c r="W951" s="32">
        <f>IF($A951=1,IF(Cash_Vouchers!$AI66="","",Cash_Vouchers!$AI66),"")</f>
        <v/>
      </c>
      <c r="X951" s="32">
        <f>IF($A951=1,IF($R951=1,"",IF($O951=ST_POST,IF($P951&lt;&gt;"",$P951,"حساب غير صالح أو غير نشط"),IF($O951=ST_REV,"معكوس: لا أثر على الدفاتر",IF($O951=ST_CANC,"ملغى",IF($O951=ST_APPR,"معتمد ولم يُرحَّل","مسودة"))))),"")</f>
        <v/>
      </c>
      <c r="Y951" s="32">
        <f>IF($A951=1,IF(AND($R951=1,OR(LG_Acct="",$G951=LG_Acct),OR(LG_Party="",$K951=LG_Party),OR(LG_Loc="ALL",$I951=LG_Loc),OR(LG_CC="ALL",$J951=LG_CC),$D951&gt;=LG_From,$D951&lt;=LG_To),$D951+ROW()/1000000,""),"")</f>
        <v/>
      </c>
      <c r="Z951" s="32">
        <f>IF($A951=1,IF(Cash_Vouchers!$O66="","",Cash_Vouchers!$O66),"")</f>
        <v/>
      </c>
      <c r="AA951" s="32">
        <f>IF($A951=1,IF(Cash_Vouchers!$P66="","",Cash_Vouchers!$P66),"")</f>
        <v/>
      </c>
      <c r="AB951" s="32">
        <f>IF($A951=1,IF(Cash_Vouchers!$Q66="","",Cash_Vouchers!$Q66),"")</f>
        <v/>
      </c>
      <c r="AC951" s="32">
        <f>IF($A951=1,IF(Cash_Vouchers!$R66="","",Cash_Vouchers!$R66),"")</f>
        <v/>
      </c>
      <c r="AD951" s="32">
        <f>IF($A951=1,IF(Cash_Vouchers!$S66="","",Cash_Vouchers!$S66),"")</f>
        <v/>
      </c>
      <c r="AE951" s="32">
        <f>IF($A951=1,0,"")</f>
        <v/>
      </c>
      <c r="AF951" s="32" t="inlineStr"/>
    </row>
    <row r="952">
      <c r="A952" s="32">
        <f>IF(AND(Cash_Vouchers!$AJ66=1,N(Cash_Vouchers!$I66)&gt;0),1,0)</f>
        <v/>
      </c>
      <c r="B952" s="32">
        <f>IF($A952=1,$E952&amp;"/2","")</f>
        <v/>
      </c>
      <c r="C952" s="32">
        <f>IF($A952=1,"J-"&amp;Cash_Vouchers!$A66,"")</f>
        <v/>
      </c>
      <c r="D952" s="33">
        <f>IF($A952=1,Cash_Vouchers!$B66,"")</f>
        <v/>
      </c>
      <c r="E952" s="32">
        <f>IF($A952=1,IF(Cash_Vouchers!$A66="","",Cash_Vouchers!$A66),"")</f>
        <v/>
      </c>
      <c r="F952" s="32">
        <f>IF($A952=1,"CV","")</f>
        <v/>
      </c>
      <c r="G952" s="32">
        <f>IF($A952=1,IF(Cash_Vouchers!$AB66="","",Cash_Vouchers!$AB66),"")</f>
        <v/>
      </c>
      <c r="H952" s="32">
        <f>IF($A952=1,IF(COUNTIF(COA!$A:$A,$G952)=0,"حساب غير معرف",INDEX(COA!$B:$B,MATCH($G952,COA!$A:$A,0))),"")</f>
        <v/>
      </c>
      <c r="I952" s="32">
        <f>IF($A952=1,IF(Cash_Vouchers!$AD66="","",Cash_Vouchers!$AD66),"")</f>
        <v/>
      </c>
      <c r="J952" s="32">
        <f>IF($A952=1,IF(Cash_Vouchers!$AF66="","",Cash_Vouchers!$AF66),"")</f>
        <v/>
      </c>
      <c r="K952" s="32">
        <f>IF($A952=1,IF(Cash_Vouchers!$AH66="","",Cash_Vouchers!$AH66),"")</f>
        <v/>
      </c>
      <c r="L952" s="32">
        <f>IF($A952=1,IF(Cash_Vouchers!$K66="",Cash_Vouchers!$C66&amp;" - "&amp;Cash_Vouchers!$H66,Cash_Vouchers!$K66),"")</f>
        <v/>
      </c>
      <c r="M952" s="43">
        <f>IF($A952=1,0,"")</f>
        <v/>
      </c>
      <c r="N952" s="43">
        <f>IF($A952=1,Cash_Vouchers!$I66,"")</f>
        <v/>
      </c>
      <c r="O952" s="32">
        <f>IF($A952=1,Cash_Vouchers!$N66,"")</f>
        <v/>
      </c>
      <c r="P952" s="32">
        <f>IF($A952=1,IF(Cash_Vouchers!$AK66="","",Cash_Vouchers!$AK66),"")</f>
        <v/>
      </c>
      <c r="Q952" s="32">
        <f>IF($A952=1,Cash_Vouchers!$AM66,"")</f>
        <v/>
      </c>
      <c r="R952" s="32">
        <f>IF($A952=1,IF(AND($Q952=1,COUNTIFS(COA!$A:$A,$G952,COA!$R:$R,1)=1),1,0),"")</f>
        <v/>
      </c>
      <c r="S952" s="43">
        <f>IF($A952=1,IF($R952=1,N($M952),0),"")</f>
        <v/>
      </c>
      <c r="T952" s="43">
        <f>IF($A952=1,IF($R952=1,N($N952),0),"")</f>
        <v/>
      </c>
      <c r="U952" s="32">
        <f>IF($A952=1,YEAR($D952)*100+MONTH($D952),"")</f>
        <v/>
      </c>
      <c r="V952" s="32">
        <f>IF($A952=1,IF(COUNTIF(COA!$A:$A,$G952)=0,0,INDEX(COA!$H:$H,MATCH($G952,COA!$A:$A,0))),"")</f>
        <v/>
      </c>
      <c r="W952" s="32">
        <f>IF($A952=1,IF(Cash_Vouchers!$AI66="","",Cash_Vouchers!$AI66),"")</f>
        <v/>
      </c>
      <c r="X952" s="32">
        <f>IF($A952=1,IF($R952=1,"",IF($O952=ST_POST,IF($P952&lt;&gt;"",$P952,"حساب غير صالح أو غير نشط"),IF($O952=ST_REV,"معكوس: لا أثر على الدفاتر",IF($O952=ST_CANC,"ملغى",IF($O952=ST_APPR,"معتمد ولم يُرحَّل","مسودة"))))),"")</f>
        <v/>
      </c>
      <c r="Y952" s="32">
        <f>IF($A952=1,IF(AND($R952=1,OR(LG_Acct="",$G952=LG_Acct),OR(LG_Party="",$K952=LG_Party),OR(LG_Loc="ALL",$I952=LG_Loc),OR(LG_CC="ALL",$J952=LG_CC),$D952&gt;=LG_From,$D952&lt;=LG_To),$D952+ROW()/1000000,""),"")</f>
        <v/>
      </c>
      <c r="Z952" s="32">
        <f>IF($A952=1,IF(Cash_Vouchers!$O66="","",Cash_Vouchers!$O66),"")</f>
        <v/>
      </c>
      <c r="AA952" s="32">
        <f>IF($A952=1,IF(Cash_Vouchers!$P66="","",Cash_Vouchers!$P66),"")</f>
        <v/>
      </c>
      <c r="AB952" s="32">
        <f>IF($A952=1,IF(Cash_Vouchers!$Q66="","",Cash_Vouchers!$Q66),"")</f>
        <v/>
      </c>
      <c r="AC952" s="32">
        <f>IF($A952=1,IF(Cash_Vouchers!$R66="","",Cash_Vouchers!$R66),"")</f>
        <v/>
      </c>
      <c r="AD952" s="32">
        <f>IF($A952=1,IF(Cash_Vouchers!$S66="","",Cash_Vouchers!$S66),"")</f>
        <v/>
      </c>
      <c r="AE952" s="32">
        <f>IF($A952=1,0,"")</f>
        <v/>
      </c>
      <c r="AF952" s="32" t="inlineStr"/>
    </row>
    <row r="953">
      <c r="A953" s="32">
        <f>IF(AND(Cash_Vouchers!$AJ67=1,N(Cash_Vouchers!$I67)&gt;0),1,0)</f>
        <v/>
      </c>
      <c r="B953" s="32">
        <f>IF($A953=1,$E953&amp;"/1","")</f>
        <v/>
      </c>
      <c r="C953" s="32">
        <f>IF($A953=1,"J-"&amp;Cash_Vouchers!$A67,"")</f>
        <v/>
      </c>
      <c r="D953" s="33">
        <f>IF($A953=1,Cash_Vouchers!$B67,"")</f>
        <v/>
      </c>
      <c r="E953" s="32">
        <f>IF($A953=1,IF(Cash_Vouchers!$A67="","",Cash_Vouchers!$A67),"")</f>
        <v/>
      </c>
      <c r="F953" s="32">
        <f>IF($A953=1,"CV","")</f>
        <v/>
      </c>
      <c r="G953" s="32">
        <f>IF($A953=1,IF(Cash_Vouchers!$AA67="","",Cash_Vouchers!$AA67),"")</f>
        <v/>
      </c>
      <c r="H953" s="32">
        <f>IF($A953=1,IF(COUNTIF(COA!$A:$A,$G953)=0,"حساب غير معرف",INDEX(COA!$B:$B,MATCH($G953,COA!$A:$A,0))),"")</f>
        <v/>
      </c>
      <c r="I953" s="32">
        <f>IF($A953=1,IF(Cash_Vouchers!$AC67="","",Cash_Vouchers!$AC67),"")</f>
        <v/>
      </c>
      <c r="J953" s="32">
        <f>IF($A953=1,IF(Cash_Vouchers!$AE67="","",Cash_Vouchers!$AE67),"")</f>
        <v/>
      </c>
      <c r="K953" s="32">
        <f>IF($A953=1,IF(Cash_Vouchers!$AG67="","",Cash_Vouchers!$AG67),"")</f>
        <v/>
      </c>
      <c r="L953" s="32">
        <f>IF($A953=1,IF(Cash_Vouchers!$K67="",Cash_Vouchers!$C67&amp;" - "&amp;Cash_Vouchers!$H67,Cash_Vouchers!$K67),"")</f>
        <v/>
      </c>
      <c r="M953" s="43">
        <f>IF($A953=1,Cash_Vouchers!$I67,"")</f>
        <v/>
      </c>
      <c r="N953" s="43">
        <f>IF($A953=1,0,"")</f>
        <v/>
      </c>
      <c r="O953" s="32">
        <f>IF($A953=1,Cash_Vouchers!$N67,"")</f>
        <v/>
      </c>
      <c r="P953" s="32">
        <f>IF($A953=1,IF(Cash_Vouchers!$AK67="","",Cash_Vouchers!$AK67),"")</f>
        <v/>
      </c>
      <c r="Q953" s="32">
        <f>IF($A953=1,Cash_Vouchers!$AM67,"")</f>
        <v/>
      </c>
      <c r="R953" s="32">
        <f>IF($A953=1,IF(AND($Q953=1,COUNTIFS(COA!$A:$A,$G953,COA!$R:$R,1)=1),1,0),"")</f>
        <v/>
      </c>
      <c r="S953" s="43">
        <f>IF($A953=1,IF($R953=1,N($M953),0),"")</f>
        <v/>
      </c>
      <c r="T953" s="43">
        <f>IF($A953=1,IF($R953=1,N($N953),0),"")</f>
        <v/>
      </c>
      <c r="U953" s="32">
        <f>IF($A953=1,YEAR($D953)*100+MONTH($D953),"")</f>
        <v/>
      </c>
      <c r="V953" s="32">
        <f>IF($A953=1,IF(COUNTIF(COA!$A:$A,$G953)=0,0,INDEX(COA!$H:$H,MATCH($G953,COA!$A:$A,0))),"")</f>
        <v/>
      </c>
      <c r="W953" s="32">
        <f>IF($A953=1,IF(Cash_Vouchers!$AI67="","",Cash_Vouchers!$AI67),"")</f>
        <v/>
      </c>
      <c r="X953" s="32">
        <f>IF($A953=1,IF($R953=1,"",IF($O953=ST_POST,IF($P953&lt;&gt;"",$P953,"حساب غير صالح أو غير نشط"),IF($O953=ST_REV,"معكوس: لا أثر على الدفاتر",IF($O953=ST_CANC,"ملغى",IF($O953=ST_APPR,"معتمد ولم يُرحَّل","مسودة"))))),"")</f>
        <v/>
      </c>
      <c r="Y953" s="32">
        <f>IF($A953=1,IF(AND($R953=1,OR(LG_Acct="",$G953=LG_Acct),OR(LG_Party="",$K953=LG_Party),OR(LG_Loc="ALL",$I953=LG_Loc),OR(LG_CC="ALL",$J953=LG_CC),$D953&gt;=LG_From,$D953&lt;=LG_To),$D953+ROW()/1000000,""),"")</f>
        <v/>
      </c>
      <c r="Z953" s="32">
        <f>IF($A953=1,IF(Cash_Vouchers!$O67="","",Cash_Vouchers!$O67),"")</f>
        <v/>
      </c>
      <c r="AA953" s="32">
        <f>IF($A953=1,IF(Cash_Vouchers!$P67="","",Cash_Vouchers!$P67),"")</f>
        <v/>
      </c>
      <c r="AB953" s="32">
        <f>IF($A953=1,IF(Cash_Vouchers!$Q67="","",Cash_Vouchers!$Q67),"")</f>
        <v/>
      </c>
      <c r="AC953" s="32">
        <f>IF($A953=1,IF(Cash_Vouchers!$R67="","",Cash_Vouchers!$R67),"")</f>
        <v/>
      </c>
      <c r="AD953" s="32">
        <f>IF($A953=1,IF(Cash_Vouchers!$S67="","",Cash_Vouchers!$S67),"")</f>
        <v/>
      </c>
      <c r="AE953" s="32">
        <f>IF($A953=1,0,"")</f>
        <v/>
      </c>
      <c r="AF953" s="32" t="inlineStr"/>
    </row>
    <row r="954">
      <c r="A954" s="32">
        <f>IF(AND(Cash_Vouchers!$AJ67=1,N(Cash_Vouchers!$I67)&gt;0),1,0)</f>
        <v/>
      </c>
      <c r="B954" s="32">
        <f>IF($A954=1,$E954&amp;"/2","")</f>
        <v/>
      </c>
      <c r="C954" s="32">
        <f>IF($A954=1,"J-"&amp;Cash_Vouchers!$A67,"")</f>
        <v/>
      </c>
      <c r="D954" s="33">
        <f>IF($A954=1,Cash_Vouchers!$B67,"")</f>
        <v/>
      </c>
      <c r="E954" s="32">
        <f>IF($A954=1,IF(Cash_Vouchers!$A67="","",Cash_Vouchers!$A67),"")</f>
        <v/>
      </c>
      <c r="F954" s="32">
        <f>IF($A954=1,"CV","")</f>
        <v/>
      </c>
      <c r="G954" s="32">
        <f>IF($A954=1,IF(Cash_Vouchers!$AB67="","",Cash_Vouchers!$AB67),"")</f>
        <v/>
      </c>
      <c r="H954" s="32">
        <f>IF($A954=1,IF(COUNTIF(COA!$A:$A,$G954)=0,"حساب غير معرف",INDEX(COA!$B:$B,MATCH($G954,COA!$A:$A,0))),"")</f>
        <v/>
      </c>
      <c r="I954" s="32">
        <f>IF($A954=1,IF(Cash_Vouchers!$AD67="","",Cash_Vouchers!$AD67),"")</f>
        <v/>
      </c>
      <c r="J954" s="32">
        <f>IF($A954=1,IF(Cash_Vouchers!$AF67="","",Cash_Vouchers!$AF67),"")</f>
        <v/>
      </c>
      <c r="K954" s="32">
        <f>IF($A954=1,IF(Cash_Vouchers!$AH67="","",Cash_Vouchers!$AH67),"")</f>
        <v/>
      </c>
      <c r="L954" s="32">
        <f>IF($A954=1,IF(Cash_Vouchers!$K67="",Cash_Vouchers!$C67&amp;" - "&amp;Cash_Vouchers!$H67,Cash_Vouchers!$K67),"")</f>
        <v/>
      </c>
      <c r="M954" s="43">
        <f>IF($A954=1,0,"")</f>
        <v/>
      </c>
      <c r="N954" s="43">
        <f>IF($A954=1,Cash_Vouchers!$I67,"")</f>
        <v/>
      </c>
      <c r="O954" s="32">
        <f>IF($A954=1,Cash_Vouchers!$N67,"")</f>
        <v/>
      </c>
      <c r="P954" s="32">
        <f>IF($A954=1,IF(Cash_Vouchers!$AK67="","",Cash_Vouchers!$AK67),"")</f>
        <v/>
      </c>
      <c r="Q954" s="32">
        <f>IF($A954=1,Cash_Vouchers!$AM67,"")</f>
        <v/>
      </c>
      <c r="R954" s="32">
        <f>IF($A954=1,IF(AND($Q954=1,COUNTIFS(COA!$A:$A,$G954,COA!$R:$R,1)=1),1,0),"")</f>
        <v/>
      </c>
      <c r="S954" s="43">
        <f>IF($A954=1,IF($R954=1,N($M954),0),"")</f>
        <v/>
      </c>
      <c r="T954" s="43">
        <f>IF($A954=1,IF($R954=1,N($N954),0),"")</f>
        <v/>
      </c>
      <c r="U954" s="32">
        <f>IF($A954=1,YEAR($D954)*100+MONTH($D954),"")</f>
        <v/>
      </c>
      <c r="V954" s="32">
        <f>IF($A954=1,IF(COUNTIF(COA!$A:$A,$G954)=0,0,INDEX(COA!$H:$H,MATCH($G954,COA!$A:$A,0))),"")</f>
        <v/>
      </c>
      <c r="W954" s="32">
        <f>IF($A954=1,IF(Cash_Vouchers!$AI67="","",Cash_Vouchers!$AI67),"")</f>
        <v/>
      </c>
      <c r="X954" s="32">
        <f>IF($A954=1,IF($R954=1,"",IF($O954=ST_POST,IF($P954&lt;&gt;"",$P954,"حساب غير صالح أو غير نشط"),IF($O954=ST_REV,"معكوس: لا أثر على الدفاتر",IF($O954=ST_CANC,"ملغى",IF($O954=ST_APPR,"معتمد ولم يُرحَّل","مسودة"))))),"")</f>
        <v/>
      </c>
      <c r="Y954" s="32">
        <f>IF($A954=1,IF(AND($R954=1,OR(LG_Acct="",$G954=LG_Acct),OR(LG_Party="",$K954=LG_Party),OR(LG_Loc="ALL",$I954=LG_Loc),OR(LG_CC="ALL",$J954=LG_CC),$D954&gt;=LG_From,$D954&lt;=LG_To),$D954+ROW()/1000000,""),"")</f>
        <v/>
      </c>
      <c r="Z954" s="32">
        <f>IF($A954=1,IF(Cash_Vouchers!$O67="","",Cash_Vouchers!$O67),"")</f>
        <v/>
      </c>
      <c r="AA954" s="32">
        <f>IF($A954=1,IF(Cash_Vouchers!$P67="","",Cash_Vouchers!$P67),"")</f>
        <v/>
      </c>
      <c r="AB954" s="32">
        <f>IF($A954=1,IF(Cash_Vouchers!$Q67="","",Cash_Vouchers!$Q67),"")</f>
        <v/>
      </c>
      <c r="AC954" s="32">
        <f>IF($A954=1,IF(Cash_Vouchers!$R67="","",Cash_Vouchers!$R67),"")</f>
        <v/>
      </c>
      <c r="AD954" s="32">
        <f>IF($A954=1,IF(Cash_Vouchers!$S67="","",Cash_Vouchers!$S67),"")</f>
        <v/>
      </c>
      <c r="AE954" s="32">
        <f>IF($A954=1,0,"")</f>
        <v/>
      </c>
      <c r="AF954" s="32" t="inlineStr"/>
    </row>
    <row r="955">
      <c r="A955" s="32">
        <f>IF(AND(Cash_Vouchers!$AJ68=1,N(Cash_Vouchers!$I68)&gt;0),1,0)</f>
        <v/>
      </c>
      <c r="B955" s="32">
        <f>IF($A955=1,$E955&amp;"/1","")</f>
        <v/>
      </c>
      <c r="C955" s="32">
        <f>IF($A955=1,"J-"&amp;Cash_Vouchers!$A68,"")</f>
        <v/>
      </c>
      <c r="D955" s="33">
        <f>IF($A955=1,Cash_Vouchers!$B68,"")</f>
        <v/>
      </c>
      <c r="E955" s="32">
        <f>IF($A955=1,IF(Cash_Vouchers!$A68="","",Cash_Vouchers!$A68),"")</f>
        <v/>
      </c>
      <c r="F955" s="32">
        <f>IF($A955=1,"CV","")</f>
        <v/>
      </c>
      <c r="G955" s="32">
        <f>IF($A955=1,IF(Cash_Vouchers!$AA68="","",Cash_Vouchers!$AA68),"")</f>
        <v/>
      </c>
      <c r="H955" s="32">
        <f>IF($A955=1,IF(COUNTIF(COA!$A:$A,$G955)=0,"حساب غير معرف",INDEX(COA!$B:$B,MATCH($G955,COA!$A:$A,0))),"")</f>
        <v/>
      </c>
      <c r="I955" s="32">
        <f>IF($A955=1,IF(Cash_Vouchers!$AC68="","",Cash_Vouchers!$AC68),"")</f>
        <v/>
      </c>
      <c r="J955" s="32">
        <f>IF($A955=1,IF(Cash_Vouchers!$AE68="","",Cash_Vouchers!$AE68),"")</f>
        <v/>
      </c>
      <c r="K955" s="32">
        <f>IF($A955=1,IF(Cash_Vouchers!$AG68="","",Cash_Vouchers!$AG68),"")</f>
        <v/>
      </c>
      <c r="L955" s="32">
        <f>IF($A955=1,IF(Cash_Vouchers!$K68="",Cash_Vouchers!$C68&amp;" - "&amp;Cash_Vouchers!$H68,Cash_Vouchers!$K68),"")</f>
        <v/>
      </c>
      <c r="M955" s="43">
        <f>IF($A955=1,Cash_Vouchers!$I68,"")</f>
        <v/>
      </c>
      <c r="N955" s="43">
        <f>IF($A955=1,0,"")</f>
        <v/>
      </c>
      <c r="O955" s="32">
        <f>IF($A955=1,Cash_Vouchers!$N68,"")</f>
        <v/>
      </c>
      <c r="P955" s="32">
        <f>IF($A955=1,IF(Cash_Vouchers!$AK68="","",Cash_Vouchers!$AK68),"")</f>
        <v/>
      </c>
      <c r="Q955" s="32">
        <f>IF($A955=1,Cash_Vouchers!$AM68,"")</f>
        <v/>
      </c>
      <c r="R955" s="32">
        <f>IF($A955=1,IF(AND($Q955=1,COUNTIFS(COA!$A:$A,$G955,COA!$R:$R,1)=1),1,0),"")</f>
        <v/>
      </c>
      <c r="S955" s="43">
        <f>IF($A955=1,IF($R955=1,N($M955),0),"")</f>
        <v/>
      </c>
      <c r="T955" s="43">
        <f>IF($A955=1,IF($R955=1,N($N955),0),"")</f>
        <v/>
      </c>
      <c r="U955" s="32">
        <f>IF($A955=1,YEAR($D955)*100+MONTH($D955),"")</f>
        <v/>
      </c>
      <c r="V955" s="32">
        <f>IF($A955=1,IF(COUNTIF(COA!$A:$A,$G955)=0,0,INDEX(COA!$H:$H,MATCH($G955,COA!$A:$A,0))),"")</f>
        <v/>
      </c>
      <c r="W955" s="32">
        <f>IF($A955=1,IF(Cash_Vouchers!$AI68="","",Cash_Vouchers!$AI68),"")</f>
        <v/>
      </c>
      <c r="X955" s="32">
        <f>IF($A955=1,IF($R955=1,"",IF($O955=ST_POST,IF($P955&lt;&gt;"",$P955,"حساب غير صالح أو غير نشط"),IF($O955=ST_REV,"معكوس: لا أثر على الدفاتر",IF($O955=ST_CANC,"ملغى",IF($O955=ST_APPR,"معتمد ولم يُرحَّل","مسودة"))))),"")</f>
        <v/>
      </c>
      <c r="Y955" s="32">
        <f>IF($A955=1,IF(AND($R955=1,OR(LG_Acct="",$G955=LG_Acct),OR(LG_Party="",$K955=LG_Party),OR(LG_Loc="ALL",$I955=LG_Loc),OR(LG_CC="ALL",$J955=LG_CC),$D955&gt;=LG_From,$D955&lt;=LG_To),$D955+ROW()/1000000,""),"")</f>
        <v/>
      </c>
      <c r="Z955" s="32">
        <f>IF($A955=1,IF(Cash_Vouchers!$O68="","",Cash_Vouchers!$O68),"")</f>
        <v/>
      </c>
      <c r="AA955" s="32">
        <f>IF($A955=1,IF(Cash_Vouchers!$P68="","",Cash_Vouchers!$P68),"")</f>
        <v/>
      </c>
      <c r="AB955" s="32">
        <f>IF($A955=1,IF(Cash_Vouchers!$Q68="","",Cash_Vouchers!$Q68),"")</f>
        <v/>
      </c>
      <c r="AC955" s="32">
        <f>IF($A955=1,IF(Cash_Vouchers!$R68="","",Cash_Vouchers!$R68),"")</f>
        <v/>
      </c>
      <c r="AD955" s="32">
        <f>IF($A955=1,IF(Cash_Vouchers!$S68="","",Cash_Vouchers!$S68),"")</f>
        <v/>
      </c>
      <c r="AE955" s="32">
        <f>IF($A955=1,0,"")</f>
        <v/>
      </c>
      <c r="AF955" s="32" t="inlineStr"/>
    </row>
    <row r="956">
      <c r="A956" s="32">
        <f>IF(AND(Cash_Vouchers!$AJ68=1,N(Cash_Vouchers!$I68)&gt;0),1,0)</f>
        <v/>
      </c>
      <c r="B956" s="32">
        <f>IF($A956=1,$E956&amp;"/2","")</f>
        <v/>
      </c>
      <c r="C956" s="32">
        <f>IF($A956=1,"J-"&amp;Cash_Vouchers!$A68,"")</f>
        <v/>
      </c>
      <c r="D956" s="33">
        <f>IF($A956=1,Cash_Vouchers!$B68,"")</f>
        <v/>
      </c>
      <c r="E956" s="32">
        <f>IF($A956=1,IF(Cash_Vouchers!$A68="","",Cash_Vouchers!$A68),"")</f>
        <v/>
      </c>
      <c r="F956" s="32">
        <f>IF($A956=1,"CV","")</f>
        <v/>
      </c>
      <c r="G956" s="32">
        <f>IF($A956=1,IF(Cash_Vouchers!$AB68="","",Cash_Vouchers!$AB68),"")</f>
        <v/>
      </c>
      <c r="H956" s="32">
        <f>IF($A956=1,IF(COUNTIF(COA!$A:$A,$G956)=0,"حساب غير معرف",INDEX(COA!$B:$B,MATCH($G956,COA!$A:$A,0))),"")</f>
        <v/>
      </c>
      <c r="I956" s="32">
        <f>IF($A956=1,IF(Cash_Vouchers!$AD68="","",Cash_Vouchers!$AD68),"")</f>
        <v/>
      </c>
      <c r="J956" s="32">
        <f>IF($A956=1,IF(Cash_Vouchers!$AF68="","",Cash_Vouchers!$AF68),"")</f>
        <v/>
      </c>
      <c r="K956" s="32">
        <f>IF($A956=1,IF(Cash_Vouchers!$AH68="","",Cash_Vouchers!$AH68),"")</f>
        <v/>
      </c>
      <c r="L956" s="32">
        <f>IF($A956=1,IF(Cash_Vouchers!$K68="",Cash_Vouchers!$C68&amp;" - "&amp;Cash_Vouchers!$H68,Cash_Vouchers!$K68),"")</f>
        <v/>
      </c>
      <c r="M956" s="43">
        <f>IF($A956=1,0,"")</f>
        <v/>
      </c>
      <c r="N956" s="43">
        <f>IF($A956=1,Cash_Vouchers!$I68,"")</f>
        <v/>
      </c>
      <c r="O956" s="32">
        <f>IF($A956=1,Cash_Vouchers!$N68,"")</f>
        <v/>
      </c>
      <c r="P956" s="32">
        <f>IF($A956=1,IF(Cash_Vouchers!$AK68="","",Cash_Vouchers!$AK68),"")</f>
        <v/>
      </c>
      <c r="Q956" s="32">
        <f>IF($A956=1,Cash_Vouchers!$AM68,"")</f>
        <v/>
      </c>
      <c r="R956" s="32">
        <f>IF($A956=1,IF(AND($Q956=1,COUNTIFS(COA!$A:$A,$G956,COA!$R:$R,1)=1),1,0),"")</f>
        <v/>
      </c>
      <c r="S956" s="43">
        <f>IF($A956=1,IF($R956=1,N($M956),0),"")</f>
        <v/>
      </c>
      <c r="T956" s="43">
        <f>IF($A956=1,IF($R956=1,N($N956),0),"")</f>
        <v/>
      </c>
      <c r="U956" s="32">
        <f>IF($A956=1,YEAR($D956)*100+MONTH($D956),"")</f>
        <v/>
      </c>
      <c r="V956" s="32">
        <f>IF($A956=1,IF(COUNTIF(COA!$A:$A,$G956)=0,0,INDEX(COA!$H:$H,MATCH($G956,COA!$A:$A,0))),"")</f>
        <v/>
      </c>
      <c r="W956" s="32">
        <f>IF($A956=1,IF(Cash_Vouchers!$AI68="","",Cash_Vouchers!$AI68),"")</f>
        <v/>
      </c>
      <c r="X956" s="32">
        <f>IF($A956=1,IF($R956=1,"",IF($O956=ST_POST,IF($P956&lt;&gt;"",$P956,"حساب غير صالح أو غير نشط"),IF($O956=ST_REV,"معكوس: لا أثر على الدفاتر",IF($O956=ST_CANC,"ملغى",IF($O956=ST_APPR,"معتمد ولم يُرحَّل","مسودة"))))),"")</f>
        <v/>
      </c>
      <c r="Y956" s="32">
        <f>IF($A956=1,IF(AND($R956=1,OR(LG_Acct="",$G956=LG_Acct),OR(LG_Party="",$K956=LG_Party),OR(LG_Loc="ALL",$I956=LG_Loc),OR(LG_CC="ALL",$J956=LG_CC),$D956&gt;=LG_From,$D956&lt;=LG_To),$D956+ROW()/1000000,""),"")</f>
        <v/>
      </c>
      <c r="Z956" s="32">
        <f>IF($A956=1,IF(Cash_Vouchers!$O68="","",Cash_Vouchers!$O68),"")</f>
        <v/>
      </c>
      <c r="AA956" s="32">
        <f>IF($A956=1,IF(Cash_Vouchers!$P68="","",Cash_Vouchers!$P68),"")</f>
        <v/>
      </c>
      <c r="AB956" s="32">
        <f>IF($A956=1,IF(Cash_Vouchers!$Q68="","",Cash_Vouchers!$Q68),"")</f>
        <v/>
      </c>
      <c r="AC956" s="32">
        <f>IF($A956=1,IF(Cash_Vouchers!$R68="","",Cash_Vouchers!$R68),"")</f>
        <v/>
      </c>
      <c r="AD956" s="32">
        <f>IF($A956=1,IF(Cash_Vouchers!$S68="","",Cash_Vouchers!$S68),"")</f>
        <v/>
      </c>
      <c r="AE956" s="32">
        <f>IF($A956=1,0,"")</f>
        <v/>
      </c>
      <c r="AF956" s="32" t="inlineStr"/>
    </row>
    <row r="957">
      <c r="A957" s="32">
        <f>IF(AND(Cash_Vouchers!$AJ69=1,N(Cash_Vouchers!$I69)&gt;0),1,0)</f>
        <v/>
      </c>
      <c r="B957" s="32">
        <f>IF($A957=1,$E957&amp;"/1","")</f>
        <v/>
      </c>
      <c r="C957" s="32">
        <f>IF($A957=1,"J-"&amp;Cash_Vouchers!$A69,"")</f>
        <v/>
      </c>
      <c r="D957" s="33">
        <f>IF($A957=1,Cash_Vouchers!$B69,"")</f>
        <v/>
      </c>
      <c r="E957" s="32">
        <f>IF($A957=1,IF(Cash_Vouchers!$A69="","",Cash_Vouchers!$A69),"")</f>
        <v/>
      </c>
      <c r="F957" s="32">
        <f>IF($A957=1,"CV","")</f>
        <v/>
      </c>
      <c r="G957" s="32">
        <f>IF($A957=1,IF(Cash_Vouchers!$AA69="","",Cash_Vouchers!$AA69),"")</f>
        <v/>
      </c>
      <c r="H957" s="32">
        <f>IF($A957=1,IF(COUNTIF(COA!$A:$A,$G957)=0,"حساب غير معرف",INDEX(COA!$B:$B,MATCH($G957,COA!$A:$A,0))),"")</f>
        <v/>
      </c>
      <c r="I957" s="32">
        <f>IF($A957=1,IF(Cash_Vouchers!$AC69="","",Cash_Vouchers!$AC69),"")</f>
        <v/>
      </c>
      <c r="J957" s="32">
        <f>IF($A957=1,IF(Cash_Vouchers!$AE69="","",Cash_Vouchers!$AE69),"")</f>
        <v/>
      </c>
      <c r="K957" s="32">
        <f>IF($A957=1,IF(Cash_Vouchers!$AG69="","",Cash_Vouchers!$AG69),"")</f>
        <v/>
      </c>
      <c r="L957" s="32">
        <f>IF($A957=1,IF(Cash_Vouchers!$K69="",Cash_Vouchers!$C69&amp;" - "&amp;Cash_Vouchers!$H69,Cash_Vouchers!$K69),"")</f>
        <v/>
      </c>
      <c r="M957" s="43">
        <f>IF($A957=1,Cash_Vouchers!$I69,"")</f>
        <v/>
      </c>
      <c r="N957" s="43">
        <f>IF($A957=1,0,"")</f>
        <v/>
      </c>
      <c r="O957" s="32">
        <f>IF($A957=1,Cash_Vouchers!$N69,"")</f>
        <v/>
      </c>
      <c r="P957" s="32">
        <f>IF($A957=1,IF(Cash_Vouchers!$AK69="","",Cash_Vouchers!$AK69),"")</f>
        <v/>
      </c>
      <c r="Q957" s="32">
        <f>IF($A957=1,Cash_Vouchers!$AM69,"")</f>
        <v/>
      </c>
      <c r="R957" s="32">
        <f>IF($A957=1,IF(AND($Q957=1,COUNTIFS(COA!$A:$A,$G957,COA!$R:$R,1)=1),1,0),"")</f>
        <v/>
      </c>
      <c r="S957" s="43">
        <f>IF($A957=1,IF($R957=1,N($M957),0),"")</f>
        <v/>
      </c>
      <c r="T957" s="43">
        <f>IF($A957=1,IF($R957=1,N($N957),0),"")</f>
        <v/>
      </c>
      <c r="U957" s="32">
        <f>IF($A957=1,YEAR($D957)*100+MONTH($D957),"")</f>
        <v/>
      </c>
      <c r="V957" s="32">
        <f>IF($A957=1,IF(COUNTIF(COA!$A:$A,$G957)=0,0,INDEX(COA!$H:$H,MATCH($G957,COA!$A:$A,0))),"")</f>
        <v/>
      </c>
      <c r="W957" s="32">
        <f>IF($A957=1,IF(Cash_Vouchers!$AI69="","",Cash_Vouchers!$AI69),"")</f>
        <v/>
      </c>
      <c r="X957" s="32">
        <f>IF($A957=1,IF($R957=1,"",IF($O957=ST_POST,IF($P957&lt;&gt;"",$P957,"حساب غير صالح أو غير نشط"),IF($O957=ST_REV,"معكوس: لا أثر على الدفاتر",IF($O957=ST_CANC,"ملغى",IF($O957=ST_APPR,"معتمد ولم يُرحَّل","مسودة"))))),"")</f>
        <v/>
      </c>
      <c r="Y957" s="32">
        <f>IF($A957=1,IF(AND($R957=1,OR(LG_Acct="",$G957=LG_Acct),OR(LG_Party="",$K957=LG_Party),OR(LG_Loc="ALL",$I957=LG_Loc),OR(LG_CC="ALL",$J957=LG_CC),$D957&gt;=LG_From,$D957&lt;=LG_To),$D957+ROW()/1000000,""),"")</f>
        <v/>
      </c>
      <c r="Z957" s="32">
        <f>IF($A957=1,IF(Cash_Vouchers!$O69="","",Cash_Vouchers!$O69),"")</f>
        <v/>
      </c>
      <c r="AA957" s="32">
        <f>IF($A957=1,IF(Cash_Vouchers!$P69="","",Cash_Vouchers!$P69),"")</f>
        <v/>
      </c>
      <c r="AB957" s="32">
        <f>IF($A957=1,IF(Cash_Vouchers!$Q69="","",Cash_Vouchers!$Q69),"")</f>
        <v/>
      </c>
      <c r="AC957" s="32">
        <f>IF($A957=1,IF(Cash_Vouchers!$R69="","",Cash_Vouchers!$R69),"")</f>
        <v/>
      </c>
      <c r="AD957" s="32">
        <f>IF($A957=1,IF(Cash_Vouchers!$S69="","",Cash_Vouchers!$S69),"")</f>
        <v/>
      </c>
      <c r="AE957" s="32">
        <f>IF($A957=1,0,"")</f>
        <v/>
      </c>
      <c r="AF957" s="32" t="inlineStr"/>
    </row>
    <row r="958">
      <c r="A958" s="32">
        <f>IF(AND(Cash_Vouchers!$AJ69=1,N(Cash_Vouchers!$I69)&gt;0),1,0)</f>
        <v/>
      </c>
      <c r="B958" s="32">
        <f>IF($A958=1,$E958&amp;"/2","")</f>
        <v/>
      </c>
      <c r="C958" s="32">
        <f>IF($A958=1,"J-"&amp;Cash_Vouchers!$A69,"")</f>
        <v/>
      </c>
      <c r="D958" s="33">
        <f>IF($A958=1,Cash_Vouchers!$B69,"")</f>
        <v/>
      </c>
      <c r="E958" s="32">
        <f>IF($A958=1,IF(Cash_Vouchers!$A69="","",Cash_Vouchers!$A69),"")</f>
        <v/>
      </c>
      <c r="F958" s="32">
        <f>IF($A958=1,"CV","")</f>
        <v/>
      </c>
      <c r="G958" s="32">
        <f>IF($A958=1,IF(Cash_Vouchers!$AB69="","",Cash_Vouchers!$AB69),"")</f>
        <v/>
      </c>
      <c r="H958" s="32">
        <f>IF($A958=1,IF(COUNTIF(COA!$A:$A,$G958)=0,"حساب غير معرف",INDEX(COA!$B:$B,MATCH($G958,COA!$A:$A,0))),"")</f>
        <v/>
      </c>
      <c r="I958" s="32">
        <f>IF($A958=1,IF(Cash_Vouchers!$AD69="","",Cash_Vouchers!$AD69),"")</f>
        <v/>
      </c>
      <c r="J958" s="32">
        <f>IF($A958=1,IF(Cash_Vouchers!$AF69="","",Cash_Vouchers!$AF69),"")</f>
        <v/>
      </c>
      <c r="K958" s="32">
        <f>IF($A958=1,IF(Cash_Vouchers!$AH69="","",Cash_Vouchers!$AH69),"")</f>
        <v/>
      </c>
      <c r="L958" s="32">
        <f>IF($A958=1,IF(Cash_Vouchers!$K69="",Cash_Vouchers!$C69&amp;" - "&amp;Cash_Vouchers!$H69,Cash_Vouchers!$K69),"")</f>
        <v/>
      </c>
      <c r="M958" s="43">
        <f>IF($A958=1,0,"")</f>
        <v/>
      </c>
      <c r="N958" s="43">
        <f>IF($A958=1,Cash_Vouchers!$I69,"")</f>
        <v/>
      </c>
      <c r="O958" s="32">
        <f>IF($A958=1,Cash_Vouchers!$N69,"")</f>
        <v/>
      </c>
      <c r="P958" s="32">
        <f>IF($A958=1,IF(Cash_Vouchers!$AK69="","",Cash_Vouchers!$AK69),"")</f>
        <v/>
      </c>
      <c r="Q958" s="32">
        <f>IF($A958=1,Cash_Vouchers!$AM69,"")</f>
        <v/>
      </c>
      <c r="R958" s="32">
        <f>IF($A958=1,IF(AND($Q958=1,COUNTIFS(COA!$A:$A,$G958,COA!$R:$R,1)=1),1,0),"")</f>
        <v/>
      </c>
      <c r="S958" s="43">
        <f>IF($A958=1,IF($R958=1,N($M958),0),"")</f>
        <v/>
      </c>
      <c r="T958" s="43">
        <f>IF($A958=1,IF($R958=1,N($N958),0),"")</f>
        <v/>
      </c>
      <c r="U958" s="32">
        <f>IF($A958=1,YEAR($D958)*100+MONTH($D958),"")</f>
        <v/>
      </c>
      <c r="V958" s="32">
        <f>IF($A958=1,IF(COUNTIF(COA!$A:$A,$G958)=0,0,INDEX(COA!$H:$H,MATCH($G958,COA!$A:$A,0))),"")</f>
        <v/>
      </c>
      <c r="W958" s="32">
        <f>IF($A958=1,IF(Cash_Vouchers!$AI69="","",Cash_Vouchers!$AI69),"")</f>
        <v/>
      </c>
      <c r="X958" s="32">
        <f>IF($A958=1,IF($R958=1,"",IF($O958=ST_POST,IF($P958&lt;&gt;"",$P958,"حساب غير صالح أو غير نشط"),IF($O958=ST_REV,"معكوس: لا أثر على الدفاتر",IF($O958=ST_CANC,"ملغى",IF($O958=ST_APPR,"معتمد ولم يُرحَّل","مسودة"))))),"")</f>
        <v/>
      </c>
      <c r="Y958" s="32">
        <f>IF($A958=1,IF(AND($R958=1,OR(LG_Acct="",$G958=LG_Acct),OR(LG_Party="",$K958=LG_Party),OR(LG_Loc="ALL",$I958=LG_Loc),OR(LG_CC="ALL",$J958=LG_CC),$D958&gt;=LG_From,$D958&lt;=LG_To),$D958+ROW()/1000000,""),"")</f>
        <v/>
      </c>
      <c r="Z958" s="32">
        <f>IF($A958=1,IF(Cash_Vouchers!$O69="","",Cash_Vouchers!$O69),"")</f>
        <v/>
      </c>
      <c r="AA958" s="32">
        <f>IF($A958=1,IF(Cash_Vouchers!$P69="","",Cash_Vouchers!$P69),"")</f>
        <v/>
      </c>
      <c r="AB958" s="32">
        <f>IF($A958=1,IF(Cash_Vouchers!$Q69="","",Cash_Vouchers!$Q69),"")</f>
        <v/>
      </c>
      <c r="AC958" s="32">
        <f>IF($A958=1,IF(Cash_Vouchers!$R69="","",Cash_Vouchers!$R69),"")</f>
        <v/>
      </c>
      <c r="AD958" s="32">
        <f>IF($A958=1,IF(Cash_Vouchers!$S69="","",Cash_Vouchers!$S69),"")</f>
        <v/>
      </c>
      <c r="AE958" s="32">
        <f>IF($A958=1,0,"")</f>
        <v/>
      </c>
      <c r="AF958" s="32" t="inlineStr"/>
    </row>
    <row r="959">
      <c r="A959" s="32">
        <f>IF(AND(Cash_Vouchers!$AJ70=1,N(Cash_Vouchers!$I70)&gt;0),1,0)</f>
        <v/>
      </c>
      <c r="B959" s="32">
        <f>IF($A959=1,$E959&amp;"/1","")</f>
        <v/>
      </c>
      <c r="C959" s="32">
        <f>IF($A959=1,"J-"&amp;Cash_Vouchers!$A70,"")</f>
        <v/>
      </c>
      <c r="D959" s="33">
        <f>IF($A959=1,Cash_Vouchers!$B70,"")</f>
        <v/>
      </c>
      <c r="E959" s="32">
        <f>IF($A959=1,IF(Cash_Vouchers!$A70="","",Cash_Vouchers!$A70),"")</f>
        <v/>
      </c>
      <c r="F959" s="32">
        <f>IF($A959=1,"CV","")</f>
        <v/>
      </c>
      <c r="G959" s="32">
        <f>IF($A959=1,IF(Cash_Vouchers!$AA70="","",Cash_Vouchers!$AA70),"")</f>
        <v/>
      </c>
      <c r="H959" s="32">
        <f>IF($A959=1,IF(COUNTIF(COA!$A:$A,$G959)=0,"حساب غير معرف",INDEX(COA!$B:$B,MATCH($G959,COA!$A:$A,0))),"")</f>
        <v/>
      </c>
      <c r="I959" s="32">
        <f>IF($A959=1,IF(Cash_Vouchers!$AC70="","",Cash_Vouchers!$AC70),"")</f>
        <v/>
      </c>
      <c r="J959" s="32">
        <f>IF($A959=1,IF(Cash_Vouchers!$AE70="","",Cash_Vouchers!$AE70),"")</f>
        <v/>
      </c>
      <c r="K959" s="32">
        <f>IF($A959=1,IF(Cash_Vouchers!$AG70="","",Cash_Vouchers!$AG70),"")</f>
        <v/>
      </c>
      <c r="L959" s="32">
        <f>IF($A959=1,IF(Cash_Vouchers!$K70="",Cash_Vouchers!$C70&amp;" - "&amp;Cash_Vouchers!$H70,Cash_Vouchers!$K70),"")</f>
        <v/>
      </c>
      <c r="M959" s="43">
        <f>IF($A959=1,Cash_Vouchers!$I70,"")</f>
        <v/>
      </c>
      <c r="N959" s="43">
        <f>IF($A959=1,0,"")</f>
        <v/>
      </c>
      <c r="O959" s="32">
        <f>IF($A959=1,Cash_Vouchers!$N70,"")</f>
        <v/>
      </c>
      <c r="P959" s="32">
        <f>IF($A959=1,IF(Cash_Vouchers!$AK70="","",Cash_Vouchers!$AK70),"")</f>
        <v/>
      </c>
      <c r="Q959" s="32">
        <f>IF($A959=1,Cash_Vouchers!$AM70,"")</f>
        <v/>
      </c>
      <c r="R959" s="32">
        <f>IF($A959=1,IF(AND($Q959=1,COUNTIFS(COA!$A:$A,$G959,COA!$R:$R,1)=1),1,0),"")</f>
        <v/>
      </c>
      <c r="S959" s="43">
        <f>IF($A959=1,IF($R959=1,N($M959),0),"")</f>
        <v/>
      </c>
      <c r="T959" s="43">
        <f>IF($A959=1,IF($R959=1,N($N959),0),"")</f>
        <v/>
      </c>
      <c r="U959" s="32">
        <f>IF($A959=1,YEAR($D959)*100+MONTH($D959),"")</f>
        <v/>
      </c>
      <c r="V959" s="32">
        <f>IF($A959=1,IF(COUNTIF(COA!$A:$A,$G959)=0,0,INDEX(COA!$H:$H,MATCH($G959,COA!$A:$A,0))),"")</f>
        <v/>
      </c>
      <c r="W959" s="32">
        <f>IF($A959=1,IF(Cash_Vouchers!$AI70="","",Cash_Vouchers!$AI70),"")</f>
        <v/>
      </c>
      <c r="X959" s="32">
        <f>IF($A959=1,IF($R959=1,"",IF($O959=ST_POST,IF($P959&lt;&gt;"",$P959,"حساب غير صالح أو غير نشط"),IF($O959=ST_REV,"معكوس: لا أثر على الدفاتر",IF($O959=ST_CANC,"ملغى",IF($O959=ST_APPR,"معتمد ولم يُرحَّل","مسودة"))))),"")</f>
        <v/>
      </c>
      <c r="Y959" s="32">
        <f>IF($A959=1,IF(AND($R959=1,OR(LG_Acct="",$G959=LG_Acct),OR(LG_Party="",$K959=LG_Party),OR(LG_Loc="ALL",$I959=LG_Loc),OR(LG_CC="ALL",$J959=LG_CC),$D959&gt;=LG_From,$D959&lt;=LG_To),$D959+ROW()/1000000,""),"")</f>
        <v/>
      </c>
      <c r="Z959" s="32">
        <f>IF($A959=1,IF(Cash_Vouchers!$O70="","",Cash_Vouchers!$O70),"")</f>
        <v/>
      </c>
      <c r="AA959" s="32">
        <f>IF($A959=1,IF(Cash_Vouchers!$P70="","",Cash_Vouchers!$P70),"")</f>
        <v/>
      </c>
      <c r="AB959" s="32">
        <f>IF($A959=1,IF(Cash_Vouchers!$Q70="","",Cash_Vouchers!$Q70),"")</f>
        <v/>
      </c>
      <c r="AC959" s="32">
        <f>IF($A959=1,IF(Cash_Vouchers!$R70="","",Cash_Vouchers!$R70),"")</f>
        <v/>
      </c>
      <c r="AD959" s="32">
        <f>IF($A959=1,IF(Cash_Vouchers!$S70="","",Cash_Vouchers!$S70),"")</f>
        <v/>
      </c>
      <c r="AE959" s="32">
        <f>IF($A959=1,0,"")</f>
        <v/>
      </c>
      <c r="AF959" s="32" t="inlineStr"/>
    </row>
    <row r="960">
      <c r="A960" s="32">
        <f>IF(AND(Cash_Vouchers!$AJ70=1,N(Cash_Vouchers!$I70)&gt;0),1,0)</f>
        <v/>
      </c>
      <c r="B960" s="32">
        <f>IF($A960=1,$E960&amp;"/2","")</f>
        <v/>
      </c>
      <c r="C960" s="32">
        <f>IF($A960=1,"J-"&amp;Cash_Vouchers!$A70,"")</f>
        <v/>
      </c>
      <c r="D960" s="33">
        <f>IF($A960=1,Cash_Vouchers!$B70,"")</f>
        <v/>
      </c>
      <c r="E960" s="32">
        <f>IF($A960=1,IF(Cash_Vouchers!$A70="","",Cash_Vouchers!$A70),"")</f>
        <v/>
      </c>
      <c r="F960" s="32">
        <f>IF($A960=1,"CV","")</f>
        <v/>
      </c>
      <c r="G960" s="32">
        <f>IF($A960=1,IF(Cash_Vouchers!$AB70="","",Cash_Vouchers!$AB70),"")</f>
        <v/>
      </c>
      <c r="H960" s="32">
        <f>IF($A960=1,IF(COUNTIF(COA!$A:$A,$G960)=0,"حساب غير معرف",INDEX(COA!$B:$B,MATCH($G960,COA!$A:$A,0))),"")</f>
        <v/>
      </c>
      <c r="I960" s="32">
        <f>IF($A960=1,IF(Cash_Vouchers!$AD70="","",Cash_Vouchers!$AD70),"")</f>
        <v/>
      </c>
      <c r="J960" s="32">
        <f>IF($A960=1,IF(Cash_Vouchers!$AF70="","",Cash_Vouchers!$AF70),"")</f>
        <v/>
      </c>
      <c r="K960" s="32">
        <f>IF($A960=1,IF(Cash_Vouchers!$AH70="","",Cash_Vouchers!$AH70),"")</f>
        <v/>
      </c>
      <c r="L960" s="32">
        <f>IF($A960=1,IF(Cash_Vouchers!$K70="",Cash_Vouchers!$C70&amp;" - "&amp;Cash_Vouchers!$H70,Cash_Vouchers!$K70),"")</f>
        <v/>
      </c>
      <c r="M960" s="43">
        <f>IF($A960=1,0,"")</f>
        <v/>
      </c>
      <c r="N960" s="43">
        <f>IF($A960=1,Cash_Vouchers!$I70,"")</f>
        <v/>
      </c>
      <c r="O960" s="32">
        <f>IF($A960=1,Cash_Vouchers!$N70,"")</f>
        <v/>
      </c>
      <c r="P960" s="32">
        <f>IF($A960=1,IF(Cash_Vouchers!$AK70="","",Cash_Vouchers!$AK70),"")</f>
        <v/>
      </c>
      <c r="Q960" s="32">
        <f>IF($A960=1,Cash_Vouchers!$AM70,"")</f>
        <v/>
      </c>
      <c r="R960" s="32">
        <f>IF($A960=1,IF(AND($Q960=1,COUNTIFS(COA!$A:$A,$G960,COA!$R:$R,1)=1),1,0),"")</f>
        <v/>
      </c>
      <c r="S960" s="43">
        <f>IF($A960=1,IF($R960=1,N($M960),0),"")</f>
        <v/>
      </c>
      <c r="T960" s="43">
        <f>IF($A960=1,IF($R960=1,N($N960),0),"")</f>
        <v/>
      </c>
      <c r="U960" s="32">
        <f>IF($A960=1,YEAR($D960)*100+MONTH($D960),"")</f>
        <v/>
      </c>
      <c r="V960" s="32">
        <f>IF($A960=1,IF(COUNTIF(COA!$A:$A,$G960)=0,0,INDEX(COA!$H:$H,MATCH($G960,COA!$A:$A,0))),"")</f>
        <v/>
      </c>
      <c r="W960" s="32">
        <f>IF($A960=1,IF(Cash_Vouchers!$AI70="","",Cash_Vouchers!$AI70),"")</f>
        <v/>
      </c>
      <c r="X960" s="32">
        <f>IF($A960=1,IF($R960=1,"",IF($O960=ST_POST,IF($P960&lt;&gt;"",$P960,"حساب غير صالح أو غير نشط"),IF($O960=ST_REV,"معكوس: لا أثر على الدفاتر",IF($O960=ST_CANC,"ملغى",IF($O960=ST_APPR,"معتمد ولم يُرحَّل","مسودة"))))),"")</f>
        <v/>
      </c>
      <c r="Y960" s="32">
        <f>IF($A960=1,IF(AND($R960=1,OR(LG_Acct="",$G960=LG_Acct),OR(LG_Party="",$K960=LG_Party),OR(LG_Loc="ALL",$I960=LG_Loc),OR(LG_CC="ALL",$J960=LG_CC),$D960&gt;=LG_From,$D960&lt;=LG_To),$D960+ROW()/1000000,""),"")</f>
        <v/>
      </c>
      <c r="Z960" s="32">
        <f>IF($A960=1,IF(Cash_Vouchers!$O70="","",Cash_Vouchers!$O70),"")</f>
        <v/>
      </c>
      <c r="AA960" s="32">
        <f>IF($A960=1,IF(Cash_Vouchers!$P70="","",Cash_Vouchers!$P70),"")</f>
        <v/>
      </c>
      <c r="AB960" s="32">
        <f>IF($A960=1,IF(Cash_Vouchers!$Q70="","",Cash_Vouchers!$Q70),"")</f>
        <v/>
      </c>
      <c r="AC960" s="32">
        <f>IF($A960=1,IF(Cash_Vouchers!$R70="","",Cash_Vouchers!$R70),"")</f>
        <v/>
      </c>
      <c r="AD960" s="32">
        <f>IF($A960=1,IF(Cash_Vouchers!$S70="","",Cash_Vouchers!$S70),"")</f>
        <v/>
      </c>
      <c r="AE960" s="32">
        <f>IF($A960=1,0,"")</f>
        <v/>
      </c>
      <c r="AF960" s="32" t="inlineStr"/>
    </row>
    <row r="961">
      <c r="A961" s="32">
        <f>IF(AND(Cash_Vouchers!$AJ71=1,N(Cash_Vouchers!$I71)&gt;0),1,0)</f>
        <v/>
      </c>
      <c r="B961" s="32">
        <f>IF($A961=1,$E961&amp;"/1","")</f>
        <v/>
      </c>
      <c r="C961" s="32">
        <f>IF($A961=1,"J-"&amp;Cash_Vouchers!$A71,"")</f>
        <v/>
      </c>
      <c r="D961" s="33">
        <f>IF($A961=1,Cash_Vouchers!$B71,"")</f>
        <v/>
      </c>
      <c r="E961" s="32">
        <f>IF($A961=1,IF(Cash_Vouchers!$A71="","",Cash_Vouchers!$A71),"")</f>
        <v/>
      </c>
      <c r="F961" s="32">
        <f>IF($A961=1,"CV","")</f>
        <v/>
      </c>
      <c r="G961" s="32">
        <f>IF($A961=1,IF(Cash_Vouchers!$AA71="","",Cash_Vouchers!$AA71),"")</f>
        <v/>
      </c>
      <c r="H961" s="32">
        <f>IF($A961=1,IF(COUNTIF(COA!$A:$A,$G961)=0,"حساب غير معرف",INDEX(COA!$B:$B,MATCH($G961,COA!$A:$A,0))),"")</f>
        <v/>
      </c>
      <c r="I961" s="32">
        <f>IF($A961=1,IF(Cash_Vouchers!$AC71="","",Cash_Vouchers!$AC71),"")</f>
        <v/>
      </c>
      <c r="J961" s="32">
        <f>IF($A961=1,IF(Cash_Vouchers!$AE71="","",Cash_Vouchers!$AE71),"")</f>
        <v/>
      </c>
      <c r="K961" s="32">
        <f>IF($A961=1,IF(Cash_Vouchers!$AG71="","",Cash_Vouchers!$AG71),"")</f>
        <v/>
      </c>
      <c r="L961" s="32">
        <f>IF($A961=1,IF(Cash_Vouchers!$K71="",Cash_Vouchers!$C71&amp;" - "&amp;Cash_Vouchers!$H71,Cash_Vouchers!$K71),"")</f>
        <v/>
      </c>
      <c r="M961" s="43">
        <f>IF($A961=1,Cash_Vouchers!$I71,"")</f>
        <v/>
      </c>
      <c r="N961" s="43">
        <f>IF($A961=1,0,"")</f>
        <v/>
      </c>
      <c r="O961" s="32">
        <f>IF($A961=1,Cash_Vouchers!$N71,"")</f>
        <v/>
      </c>
      <c r="P961" s="32">
        <f>IF($A961=1,IF(Cash_Vouchers!$AK71="","",Cash_Vouchers!$AK71),"")</f>
        <v/>
      </c>
      <c r="Q961" s="32">
        <f>IF($A961=1,Cash_Vouchers!$AM71,"")</f>
        <v/>
      </c>
      <c r="R961" s="32">
        <f>IF($A961=1,IF(AND($Q961=1,COUNTIFS(COA!$A:$A,$G961,COA!$R:$R,1)=1),1,0),"")</f>
        <v/>
      </c>
      <c r="S961" s="43">
        <f>IF($A961=1,IF($R961=1,N($M961),0),"")</f>
        <v/>
      </c>
      <c r="T961" s="43">
        <f>IF($A961=1,IF($R961=1,N($N961),0),"")</f>
        <v/>
      </c>
      <c r="U961" s="32">
        <f>IF($A961=1,YEAR($D961)*100+MONTH($D961),"")</f>
        <v/>
      </c>
      <c r="V961" s="32">
        <f>IF($A961=1,IF(COUNTIF(COA!$A:$A,$G961)=0,0,INDEX(COA!$H:$H,MATCH($G961,COA!$A:$A,0))),"")</f>
        <v/>
      </c>
      <c r="W961" s="32">
        <f>IF($A961=1,IF(Cash_Vouchers!$AI71="","",Cash_Vouchers!$AI71),"")</f>
        <v/>
      </c>
      <c r="X961" s="32">
        <f>IF($A961=1,IF($R961=1,"",IF($O961=ST_POST,IF($P961&lt;&gt;"",$P961,"حساب غير صالح أو غير نشط"),IF($O961=ST_REV,"معكوس: لا أثر على الدفاتر",IF($O961=ST_CANC,"ملغى",IF($O961=ST_APPR,"معتمد ولم يُرحَّل","مسودة"))))),"")</f>
        <v/>
      </c>
      <c r="Y961" s="32">
        <f>IF($A961=1,IF(AND($R961=1,OR(LG_Acct="",$G961=LG_Acct),OR(LG_Party="",$K961=LG_Party),OR(LG_Loc="ALL",$I961=LG_Loc),OR(LG_CC="ALL",$J961=LG_CC),$D961&gt;=LG_From,$D961&lt;=LG_To),$D961+ROW()/1000000,""),"")</f>
        <v/>
      </c>
      <c r="Z961" s="32">
        <f>IF($A961=1,IF(Cash_Vouchers!$O71="","",Cash_Vouchers!$O71),"")</f>
        <v/>
      </c>
      <c r="AA961" s="32">
        <f>IF($A961=1,IF(Cash_Vouchers!$P71="","",Cash_Vouchers!$P71),"")</f>
        <v/>
      </c>
      <c r="AB961" s="32">
        <f>IF($A961=1,IF(Cash_Vouchers!$Q71="","",Cash_Vouchers!$Q71),"")</f>
        <v/>
      </c>
      <c r="AC961" s="32">
        <f>IF($A961=1,IF(Cash_Vouchers!$R71="","",Cash_Vouchers!$R71),"")</f>
        <v/>
      </c>
      <c r="AD961" s="32">
        <f>IF($A961=1,IF(Cash_Vouchers!$S71="","",Cash_Vouchers!$S71),"")</f>
        <v/>
      </c>
      <c r="AE961" s="32">
        <f>IF($A961=1,0,"")</f>
        <v/>
      </c>
      <c r="AF961" s="32" t="inlineStr"/>
    </row>
    <row r="962">
      <c r="A962" s="32">
        <f>IF(AND(Cash_Vouchers!$AJ71=1,N(Cash_Vouchers!$I71)&gt;0),1,0)</f>
        <v/>
      </c>
      <c r="B962" s="32">
        <f>IF($A962=1,$E962&amp;"/2","")</f>
        <v/>
      </c>
      <c r="C962" s="32">
        <f>IF($A962=1,"J-"&amp;Cash_Vouchers!$A71,"")</f>
        <v/>
      </c>
      <c r="D962" s="33">
        <f>IF($A962=1,Cash_Vouchers!$B71,"")</f>
        <v/>
      </c>
      <c r="E962" s="32">
        <f>IF($A962=1,IF(Cash_Vouchers!$A71="","",Cash_Vouchers!$A71),"")</f>
        <v/>
      </c>
      <c r="F962" s="32">
        <f>IF($A962=1,"CV","")</f>
        <v/>
      </c>
      <c r="G962" s="32">
        <f>IF($A962=1,IF(Cash_Vouchers!$AB71="","",Cash_Vouchers!$AB71),"")</f>
        <v/>
      </c>
      <c r="H962" s="32">
        <f>IF($A962=1,IF(COUNTIF(COA!$A:$A,$G962)=0,"حساب غير معرف",INDEX(COA!$B:$B,MATCH($G962,COA!$A:$A,0))),"")</f>
        <v/>
      </c>
      <c r="I962" s="32">
        <f>IF($A962=1,IF(Cash_Vouchers!$AD71="","",Cash_Vouchers!$AD71),"")</f>
        <v/>
      </c>
      <c r="J962" s="32">
        <f>IF($A962=1,IF(Cash_Vouchers!$AF71="","",Cash_Vouchers!$AF71),"")</f>
        <v/>
      </c>
      <c r="K962" s="32">
        <f>IF($A962=1,IF(Cash_Vouchers!$AH71="","",Cash_Vouchers!$AH71),"")</f>
        <v/>
      </c>
      <c r="L962" s="32">
        <f>IF($A962=1,IF(Cash_Vouchers!$K71="",Cash_Vouchers!$C71&amp;" - "&amp;Cash_Vouchers!$H71,Cash_Vouchers!$K71),"")</f>
        <v/>
      </c>
      <c r="M962" s="43">
        <f>IF($A962=1,0,"")</f>
        <v/>
      </c>
      <c r="N962" s="43">
        <f>IF($A962=1,Cash_Vouchers!$I71,"")</f>
        <v/>
      </c>
      <c r="O962" s="32">
        <f>IF($A962=1,Cash_Vouchers!$N71,"")</f>
        <v/>
      </c>
      <c r="P962" s="32">
        <f>IF($A962=1,IF(Cash_Vouchers!$AK71="","",Cash_Vouchers!$AK71),"")</f>
        <v/>
      </c>
      <c r="Q962" s="32">
        <f>IF($A962=1,Cash_Vouchers!$AM71,"")</f>
        <v/>
      </c>
      <c r="R962" s="32">
        <f>IF($A962=1,IF(AND($Q962=1,COUNTIFS(COA!$A:$A,$G962,COA!$R:$R,1)=1),1,0),"")</f>
        <v/>
      </c>
      <c r="S962" s="43">
        <f>IF($A962=1,IF($R962=1,N($M962),0),"")</f>
        <v/>
      </c>
      <c r="T962" s="43">
        <f>IF($A962=1,IF($R962=1,N($N962),0),"")</f>
        <v/>
      </c>
      <c r="U962" s="32">
        <f>IF($A962=1,YEAR($D962)*100+MONTH($D962),"")</f>
        <v/>
      </c>
      <c r="V962" s="32">
        <f>IF($A962=1,IF(COUNTIF(COA!$A:$A,$G962)=0,0,INDEX(COA!$H:$H,MATCH($G962,COA!$A:$A,0))),"")</f>
        <v/>
      </c>
      <c r="W962" s="32">
        <f>IF($A962=1,IF(Cash_Vouchers!$AI71="","",Cash_Vouchers!$AI71),"")</f>
        <v/>
      </c>
      <c r="X962" s="32">
        <f>IF($A962=1,IF($R962=1,"",IF($O962=ST_POST,IF($P962&lt;&gt;"",$P962,"حساب غير صالح أو غير نشط"),IF($O962=ST_REV,"معكوس: لا أثر على الدفاتر",IF($O962=ST_CANC,"ملغى",IF($O962=ST_APPR,"معتمد ولم يُرحَّل","مسودة"))))),"")</f>
        <v/>
      </c>
      <c r="Y962" s="32">
        <f>IF($A962=1,IF(AND($R962=1,OR(LG_Acct="",$G962=LG_Acct),OR(LG_Party="",$K962=LG_Party),OR(LG_Loc="ALL",$I962=LG_Loc),OR(LG_CC="ALL",$J962=LG_CC),$D962&gt;=LG_From,$D962&lt;=LG_To),$D962+ROW()/1000000,""),"")</f>
        <v/>
      </c>
      <c r="Z962" s="32">
        <f>IF($A962=1,IF(Cash_Vouchers!$O71="","",Cash_Vouchers!$O71),"")</f>
        <v/>
      </c>
      <c r="AA962" s="32">
        <f>IF($A962=1,IF(Cash_Vouchers!$P71="","",Cash_Vouchers!$P71),"")</f>
        <v/>
      </c>
      <c r="AB962" s="32">
        <f>IF($A962=1,IF(Cash_Vouchers!$Q71="","",Cash_Vouchers!$Q71),"")</f>
        <v/>
      </c>
      <c r="AC962" s="32">
        <f>IF($A962=1,IF(Cash_Vouchers!$R71="","",Cash_Vouchers!$R71),"")</f>
        <v/>
      </c>
      <c r="AD962" s="32">
        <f>IF($A962=1,IF(Cash_Vouchers!$S71="","",Cash_Vouchers!$S71),"")</f>
        <v/>
      </c>
      <c r="AE962" s="32">
        <f>IF($A962=1,0,"")</f>
        <v/>
      </c>
      <c r="AF962" s="32" t="inlineStr"/>
    </row>
    <row r="963">
      <c r="A963" s="32">
        <f>IF(AND(Cash_Vouchers!$AJ72=1,N(Cash_Vouchers!$I72)&gt;0),1,0)</f>
        <v/>
      </c>
      <c r="B963" s="32">
        <f>IF($A963=1,$E963&amp;"/1","")</f>
        <v/>
      </c>
      <c r="C963" s="32">
        <f>IF($A963=1,"J-"&amp;Cash_Vouchers!$A72,"")</f>
        <v/>
      </c>
      <c r="D963" s="33">
        <f>IF($A963=1,Cash_Vouchers!$B72,"")</f>
        <v/>
      </c>
      <c r="E963" s="32">
        <f>IF($A963=1,IF(Cash_Vouchers!$A72="","",Cash_Vouchers!$A72),"")</f>
        <v/>
      </c>
      <c r="F963" s="32">
        <f>IF($A963=1,"CV","")</f>
        <v/>
      </c>
      <c r="G963" s="32">
        <f>IF($A963=1,IF(Cash_Vouchers!$AA72="","",Cash_Vouchers!$AA72),"")</f>
        <v/>
      </c>
      <c r="H963" s="32">
        <f>IF($A963=1,IF(COUNTIF(COA!$A:$A,$G963)=0,"حساب غير معرف",INDEX(COA!$B:$B,MATCH($G963,COA!$A:$A,0))),"")</f>
        <v/>
      </c>
      <c r="I963" s="32">
        <f>IF($A963=1,IF(Cash_Vouchers!$AC72="","",Cash_Vouchers!$AC72),"")</f>
        <v/>
      </c>
      <c r="J963" s="32">
        <f>IF($A963=1,IF(Cash_Vouchers!$AE72="","",Cash_Vouchers!$AE72),"")</f>
        <v/>
      </c>
      <c r="K963" s="32">
        <f>IF($A963=1,IF(Cash_Vouchers!$AG72="","",Cash_Vouchers!$AG72),"")</f>
        <v/>
      </c>
      <c r="L963" s="32">
        <f>IF($A963=1,IF(Cash_Vouchers!$K72="",Cash_Vouchers!$C72&amp;" - "&amp;Cash_Vouchers!$H72,Cash_Vouchers!$K72),"")</f>
        <v/>
      </c>
      <c r="M963" s="43">
        <f>IF($A963=1,Cash_Vouchers!$I72,"")</f>
        <v/>
      </c>
      <c r="N963" s="43">
        <f>IF($A963=1,0,"")</f>
        <v/>
      </c>
      <c r="O963" s="32">
        <f>IF($A963=1,Cash_Vouchers!$N72,"")</f>
        <v/>
      </c>
      <c r="P963" s="32">
        <f>IF($A963=1,IF(Cash_Vouchers!$AK72="","",Cash_Vouchers!$AK72),"")</f>
        <v/>
      </c>
      <c r="Q963" s="32">
        <f>IF($A963=1,Cash_Vouchers!$AM72,"")</f>
        <v/>
      </c>
      <c r="R963" s="32">
        <f>IF($A963=1,IF(AND($Q963=1,COUNTIFS(COA!$A:$A,$G963,COA!$R:$R,1)=1),1,0),"")</f>
        <v/>
      </c>
      <c r="S963" s="43">
        <f>IF($A963=1,IF($R963=1,N($M963),0),"")</f>
        <v/>
      </c>
      <c r="T963" s="43">
        <f>IF($A963=1,IF($R963=1,N($N963),0),"")</f>
        <v/>
      </c>
      <c r="U963" s="32">
        <f>IF($A963=1,YEAR($D963)*100+MONTH($D963),"")</f>
        <v/>
      </c>
      <c r="V963" s="32">
        <f>IF($A963=1,IF(COUNTIF(COA!$A:$A,$G963)=0,0,INDEX(COA!$H:$H,MATCH($G963,COA!$A:$A,0))),"")</f>
        <v/>
      </c>
      <c r="W963" s="32">
        <f>IF($A963=1,IF(Cash_Vouchers!$AI72="","",Cash_Vouchers!$AI72),"")</f>
        <v/>
      </c>
      <c r="X963" s="32">
        <f>IF($A963=1,IF($R963=1,"",IF($O963=ST_POST,IF($P963&lt;&gt;"",$P963,"حساب غير صالح أو غير نشط"),IF($O963=ST_REV,"معكوس: لا أثر على الدفاتر",IF($O963=ST_CANC,"ملغى",IF($O963=ST_APPR,"معتمد ولم يُرحَّل","مسودة"))))),"")</f>
        <v/>
      </c>
      <c r="Y963" s="32">
        <f>IF($A963=1,IF(AND($R963=1,OR(LG_Acct="",$G963=LG_Acct),OR(LG_Party="",$K963=LG_Party),OR(LG_Loc="ALL",$I963=LG_Loc),OR(LG_CC="ALL",$J963=LG_CC),$D963&gt;=LG_From,$D963&lt;=LG_To),$D963+ROW()/1000000,""),"")</f>
        <v/>
      </c>
      <c r="Z963" s="32">
        <f>IF($A963=1,IF(Cash_Vouchers!$O72="","",Cash_Vouchers!$O72),"")</f>
        <v/>
      </c>
      <c r="AA963" s="32">
        <f>IF($A963=1,IF(Cash_Vouchers!$P72="","",Cash_Vouchers!$P72),"")</f>
        <v/>
      </c>
      <c r="AB963" s="32">
        <f>IF($A963=1,IF(Cash_Vouchers!$Q72="","",Cash_Vouchers!$Q72),"")</f>
        <v/>
      </c>
      <c r="AC963" s="32">
        <f>IF($A963=1,IF(Cash_Vouchers!$R72="","",Cash_Vouchers!$R72),"")</f>
        <v/>
      </c>
      <c r="AD963" s="32">
        <f>IF($A963=1,IF(Cash_Vouchers!$S72="","",Cash_Vouchers!$S72),"")</f>
        <v/>
      </c>
      <c r="AE963" s="32">
        <f>IF($A963=1,0,"")</f>
        <v/>
      </c>
      <c r="AF963" s="32" t="inlineStr"/>
    </row>
    <row r="964">
      <c r="A964" s="32">
        <f>IF(AND(Cash_Vouchers!$AJ72=1,N(Cash_Vouchers!$I72)&gt;0),1,0)</f>
        <v/>
      </c>
      <c r="B964" s="32">
        <f>IF($A964=1,$E964&amp;"/2","")</f>
        <v/>
      </c>
      <c r="C964" s="32">
        <f>IF($A964=1,"J-"&amp;Cash_Vouchers!$A72,"")</f>
        <v/>
      </c>
      <c r="D964" s="33">
        <f>IF($A964=1,Cash_Vouchers!$B72,"")</f>
        <v/>
      </c>
      <c r="E964" s="32">
        <f>IF($A964=1,IF(Cash_Vouchers!$A72="","",Cash_Vouchers!$A72),"")</f>
        <v/>
      </c>
      <c r="F964" s="32">
        <f>IF($A964=1,"CV","")</f>
        <v/>
      </c>
      <c r="G964" s="32">
        <f>IF($A964=1,IF(Cash_Vouchers!$AB72="","",Cash_Vouchers!$AB72),"")</f>
        <v/>
      </c>
      <c r="H964" s="32">
        <f>IF($A964=1,IF(COUNTIF(COA!$A:$A,$G964)=0,"حساب غير معرف",INDEX(COA!$B:$B,MATCH($G964,COA!$A:$A,0))),"")</f>
        <v/>
      </c>
      <c r="I964" s="32">
        <f>IF($A964=1,IF(Cash_Vouchers!$AD72="","",Cash_Vouchers!$AD72),"")</f>
        <v/>
      </c>
      <c r="J964" s="32">
        <f>IF($A964=1,IF(Cash_Vouchers!$AF72="","",Cash_Vouchers!$AF72),"")</f>
        <v/>
      </c>
      <c r="K964" s="32">
        <f>IF($A964=1,IF(Cash_Vouchers!$AH72="","",Cash_Vouchers!$AH72),"")</f>
        <v/>
      </c>
      <c r="L964" s="32">
        <f>IF($A964=1,IF(Cash_Vouchers!$K72="",Cash_Vouchers!$C72&amp;" - "&amp;Cash_Vouchers!$H72,Cash_Vouchers!$K72),"")</f>
        <v/>
      </c>
      <c r="M964" s="43">
        <f>IF($A964=1,0,"")</f>
        <v/>
      </c>
      <c r="N964" s="43">
        <f>IF($A964=1,Cash_Vouchers!$I72,"")</f>
        <v/>
      </c>
      <c r="O964" s="32">
        <f>IF($A964=1,Cash_Vouchers!$N72,"")</f>
        <v/>
      </c>
      <c r="P964" s="32">
        <f>IF($A964=1,IF(Cash_Vouchers!$AK72="","",Cash_Vouchers!$AK72),"")</f>
        <v/>
      </c>
      <c r="Q964" s="32">
        <f>IF($A964=1,Cash_Vouchers!$AM72,"")</f>
        <v/>
      </c>
      <c r="R964" s="32">
        <f>IF($A964=1,IF(AND($Q964=1,COUNTIFS(COA!$A:$A,$G964,COA!$R:$R,1)=1),1,0),"")</f>
        <v/>
      </c>
      <c r="S964" s="43">
        <f>IF($A964=1,IF($R964=1,N($M964),0),"")</f>
        <v/>
      </c>
      <c r="T964" s="43">
        <f>IF($A964=1,IF($R964=1,N($N964),0),"")</f>
        <v/>
      </c>
      <c r="U964" s="32">
        <f>IF($A964=1,YEAR($D964)*100+MONTH($D964),"")</f>
        <v/>
      </c>
      <c r="V964" s="32">
        <f>IF($A964=1,IF(COUNTIF(COA!$A:$A,$G964)=0,0,INDEX(COA!$H:$H,MATCH($G964,COA!$A:$A,0))),"")</f>
        <v/>
      </c>
      <c r="W964" s="32">
        <f>IF($A964=1,IF(Cash_Vouchers!$AI72="","",Cash_Vouchers!$AI72),"")</f>
        <v/>
      </c>
      <c r="X964" s="32">
        <f>IF($A964=1,IF($R964=1,"",IF($O964=ST_POST,IF($P964&lt;&gt;"",$P964,"حساب غير صالح أو غير نشط"),IF($O964=ST_REV,"معكوس: لا أثر على الدفاتر",IF($O964=ST_CANC,"ملغى",IF($O964=ST_APPR,"معتمد ولم يُرحَّل","مسودة"))))),"")</f>
        <v/>
      </c>
      <c r="Y964" s="32">
        <f>IF($A964=1,IF(AND($R964=1,OR(LG_Acct="",$G964=LG_Acct),OR(LG_Party="",$K964=LG_Party),OR(LG_Loc="ALL",$I964=LG_Loc),OR(LG_CC="ALL",$J964=LG_CC),$D964&gt;=LG_From,$D964&lt;=LG_To),$D964+ROW()/1000000,""),"")</f>
        <v/>
      </c>
      <c r="Z964" s="32">
        <f>IF($A964=1,IF(Cash_Vouchers!$O72="","",Cash_Vouchers!$O72),"")</f>
        <v/>
      </c>
      <c r="AA964" s="32">
        <f>IF($A964=1,IF(Cash_Vouchers!$P72="","",Cash_Vouchers!$P72),"")</f>
        <v/>
      </c>
      <c r="AB964" s="32">
        <f>IF($A964=1,IF(Cash_Vouchers!$Q72="","",Cash_Vouchers!$Q72),"")</f>
        <v/>
      </c>
      <c r="AC964" s="32">
        <f>IF($A964=1,IF(Cash_Vouchers!$R72="","",Cash_Vouchers!$R72),"")</f>
        <v/>
      </c>
      <c r="AD964" s="32">
        <f>IF($A964=1,IF(Cash_Vouchers!$S72="","",Cash_Vouchers!$S72),"")</f>
        <v/>
      </c>
      <c r="AE964" s="32">
        <f>IF($A964=1,0,"")</f>
        <v/>
      </c>
      <c r="AF964" s="32" t="inlineStr"/>
    </row>
    <row r="965">
      <c r="A965" s="32">
        <f>IF(AND(Cash_Vouchers!$AJ73=1,N(Cash_Vouchers!$I73)&gt;0),1,0)</f>
        <v/>
      </c>
      <c r="B965" s="32">
        <f>IF($A965=1,$E965&amp;"/1","")</f>
        <v/>
      </c>
      <c r="C965" s="32">
        <f>IF($A965=1,"J-"&amp;Cash_Vouchers!$A73,"")</f>
        <v/>
      </c>
      <c r="D965" s="33">
        <f>IF($A965=1,Cash_Vouchers!$B73,"")</f>
        <v/>
      </c>
      <c r="E965" s="32">
        <f>IF($A965=1,IF(Cash_Vouchers!$A73="","",Cash_Vouchers!$A73),"")</f>
        <v/>
      </c>
      <c r="F965" s="32">
        <f>IF($A965=1,"CV","")</f>
        <v/>
      </c>
      <c r="G965" s="32">
        <f>IF($A965=1,IF(Cash_Vouchers!$AA73="","",Cash_Vouchers!$AA73),"")</f>
        <v/>
      </c>
      <c r="H965" s="32">
        <f>IF($A965=1,IF(COUNTIF(COA!$A:$A,$G965)=0,"حساب غير معرف",INDEX(COA!$B:$B,MATCH($G965,COA!$A:$A,0))),"")</f>
        <v/>
      </c>
      <c r="I965" s="32">
        <f>IF($A965=1,IF(Cash_Vouchers!$AC73="","",Cash_Vouchers!$AC73),"")</f>
        <v/>
      </c>
      <c r="J965" s="32">
        <f>IF($A965=1,IF(Cash_Vouchers!$AE73="","",Cash_Vouchers!$AE73),"")</f>
        <v/>
      </c>
      <c r="K965" s="32">
        <f>IF($A965=1,IF(Cash_Vouchers!$AG73="","",Cash_Vouchers!$AG73),"")</f>
        <v/>
      </c>
      <c r="L965" s="32">
        <f>IF($A965=1,IF(Cash_Vouchers!$K73="",Cash_Vouchers!$C73&amp;" - "&amp;Cash_Vouchers!$H73,Cash_Vouchers!$K73),"")</f>
        <v/>
      </c>
      <c r="M965" s="43">
        <f>IF($A965=1,Cash_Vouchers!$I73,"")</f>
        <v/>
      </c>
      <c r="N965" s="43">
        <f>IF($A965=1,0,"")</f>
        <v/>
      </c>
      <c r="O965" s="32">
        <f>IF($A965=1,Cash_Vouchers!$N73,"")</f>
        <v/>
      </c>
      <c r="P965" s="32">
        <f>IF($A965=1,IF(Cash_Vouchers!$AK73="","",Cash_Vouchers!$AK73),"")</f>
        <v/>
      </c>
      <c r="Q965" s="32">
        <f>IF($A965=1,Cash_Vouchers!$AM73,"")</f>
        <v/>
      </c>
      <c r="R965" s="32">
        <f>IF($A965=1,IF(AND($Q965=1,COUNTIFS(COA!$A:$A,$G965,COA!$R:$R,1)=1),1,0),"")</f>
        <v/>
      </c>
      <c r="S965" s="43">
        <f>IF($A965=1,IF($R965=1,N($M965),0),"")</f>
        <v/>
      </c>
      <c r="T965" s="43">
        <f>IF($A965=1,IF($R965=1,N($N965),0),"")</f>
        <v/>
      </c>
      <c r="U965" s="32">
        <f>IF($A965=1,YEAR($D965)*100+MONTH($D965),"")</f>
        <v/>
      </c>
      <c r="V965" s="32">
        <f>IF($A965=1,IF(COUNTIF(COA!$A:$A,$G965)=0,0,INDEX(COA!$H:$H,MATCH($G965,COA!$A:$A,0))),"")</f>
        <v/>
      </c>
      <c r="W965" s="32">
        <f>IF($A965=1,IF(Cash_Vouchers!$AI73="","",Cash_Vouchers!$AI73),"")</f>
        <v/>
      </c>
      <c r="X965" s="32">
        <f>IF($A965=1,IF($R965=1,"",IF($O965=ST_POST,IF($P965&lt;&gt;"",$P965,"حساب غير صالح أو غير نشط"),IF($O965=ST_REV,"معكوس: لا أثر على الدفاتر",IF($O965=ST_CANC,"ملغى",IF($O965=ST_APPR,"معتمد ولم يُرحَّل","مسودة"))))),"")</f>
        <v/>
      </c>
      <c r="Y965" s="32">
        <f>IF($A965=1,IF(AND($R965=1,OR(LG_Acct="",$G965=LG_Acct),OR(LG_Party="",$K965=LG_Party),OR(LG_Loc="ALL",$I965=LG_Loc),OR(LG_CC="ALL",$J965=LG_CC),$D965&gt;=LG_From,$D965&lt;=LG_To),$D965+ROW()/1000000,""),"")</f>
        <v/>
      </c>
      <c r="Z965" s="32">
        <f>IF($A965=1,IF(Cash_Vouchers!$O73="","",Cash_Vouchers!$O73),"")</f>
        <v/>
      </c>
      <c r="AA965" s="32">
        <f>IF($A965=1,IF(Cash_Vouchers!$P73="","",Cash_Vouchers!$P73),"")</f>
        <v/>
      </c>
      <c r="AB965" s="32">
        <f>IF($A965=1,IF(Cash_Vouchers!$Q73="","",Cash_Vouchers!$Q73),"")</f>
        <v/>
      </c>
      <c r="AC965" s="32">
        <f>IF($A965=1,IF(Cash_Vouchers!$R73="","",Cash_Vouchers!$R73),"")</f>
        <v/>
      </c>
      <c r="AD965" s="32">
        <f>IF($A965=1,IF(Cash_Vouchers!$S73="","",Cash_Vouchers!$S73),"")</f>
        <v/>
      </c>
      <c r="AE965" s="32">
        <f>IF($A965=1,0,"")</f>
        <v/>
      </c>
      <c r="AF965" s="32" t="inlineStr"/>
    </row>
    <row r="966">
      <c r="A966" s="32">
        <f>IF(AND(Cash_Vouchers!$AJ73=1,N(Cash_Vouchers!$I73)&gt;0),1,0)</f>
        <v/>
      </c>
      <c r="B966" s="32">
        <f>IF($A966=1,$E966&amp;"/2","")</f>
        <v/>
      </c>
      <c r="C966" s="32">
        <f>IF($A966=1,"J-"&amp;Cash_Vouchers!$A73,"")</f>
        <v/>
      </c>
      <c r="D966" s="33">
        <f>IF($A966=1,Cash_Vouchers!$B73,"")</f>
        <v/>
      </c>
      <c r="E966" s="32">
        <f>IF($A966=1,IF(Cash_Vouchers!$A73="","",Cash_Vouchers!$A73),"")</f>
        <v/>
      </c>
      <c r="F966" s="32">
        <f>IF($A966=1,"CV","")</f>
        <v/>
      </c>
      <c r="G966" s="32">
        <f>IF($A966=1,IF(Cash_Vouchers!$AB73="","",Cash_Vouchers!$AB73),"")</f>
        <v/>
      </c>
      <c r="H966" s="32">
        <f>IF($A966=1,IF(COUNTIF(COA!$A:$A,$G966)=0,"حساب غير معرف",INDEX(COA!$B:$B,MATCH($G966,COA!$A:$A,0))),"")</f>
        <v/>
      </c>
      <c r="I966" s="32">
        <f>IF($A966=1,IF(Cash_Vouchers!$AD73="","",Cash_Vouchers!$AD73),"")</f>
        <v/>
      </c>
      <c r="J966" s="32">
        <f>IF($A966=1,IF(Cash_Vouchers!$AF73="","",Cash_Vouchers!$AF73),"")</f>
        <v/>
      </c>
      <c r="K966" s="32">
        <f>IF($A966=1,IF(Cash_Vouchers!$AH73="","",Cash_Vouchers!$AH73),"")</f>
        <v/>
      </c>
      <c r="L966" s="32">
        <f>IF($A966=1,IF(Cash_Vouchers!$K73="",Cash_Vouchers!$C73&amp;" - "&amp;Cash_Vouchers!$H73,Cash_Vouchers!$K73),"")</f>
        <v/>
      </c>
      <c r="M966" s="43">
        <f>IF($A966=1,0,"")</f>
        <v/>
      </c>
      <c r="N966" s="43">
        <f>IF($A966=1,Cash_Vouchers!$I73,"")</f>
        <v/>
      </c>
      <c r="O966" s="32">
        <f>IF($A966=1,Cash_Vouchers!$N73,"")</f>
        <v/>
      </c>
      <c r="P966" s="32">
        <f>IF($A966=1,IF(Cash_Vouchers!$AK73="","",Cash_Vouchers!$AK73),"")</f>
        <v/>
      </c>
      <c r="Q966" s="32">
        <f>IF($A966=1,Cash_Vouchers!$AM73,"")</f>
        <v/>
      </c>
      <c r="R966" s="32">
        <f>IF($A966=1,IF(AND($Q966=1,COUNTIFS(COA!$A:$A,$G966,COA!$R:$R,1)=1),1,0),"")</f>
        <v/>
      </c>
      <c r="S966" s="43">
        <f>IF($A966=1,IF($R966=1,N($M966),0),"")</f>
        <v/>
      </c>
      <c r="T966" s="43">
        <f>IF($A966=1,IF($R966=1,N($N966),0),"")</f>
        <v/>
      </c>
      <c r="U966" s="32">
        <f>IF($A966=1,YEAR($D966)*100+MONTH($D966),"")</f>
        <v/>
      </c>
      <c r="V966" s="32">
        <f>IF($A966=1,IF(COUNTIF(COA!$A:$A,$G966)=0,0,INDEX(COA!$H:$H,MATCH($G966,COA!$A:$A,0))),"")</f>
        <v/>
      </c>
      <c r="W966" s="32">
        <f>IF($A966=1,IF(Cash_Vouchers!$AI73="","",Cash_Vouchers!$AI73),"")</f>
        <v/>
      </c>
      <c r="X966" s="32">
        <f>IF($A966=1,IF($R966=1,"",IF($O966=ST_POST,IF($P966&lt;&gt;"",$P966,"حساب غير صالح أو غير نشط"),IF($O966=ST_REV,"معكوس: لا أثر على الدفاتر",IF($O966=ST_CANC,"ملغى",IF($O966=ST_APPR,"معتمد ولم يُرحَّل","مسودة"))))),"")</f>
        <v/>
      </c>
      <c r="Y966" s="32">
        <f>IF($A966=1,IF(AND($R966=1,OR(LG_Acct="",$G966=LG_Acct),OR(LG_Party="",$K966=LG_Party),OR(LG_Loc="ALL",$I966=LG_Loc),OR(LG_CC="ALL",$J966=LG_CC),$D966&gt;=LG_From,$D966&lt;=LG_To),$D966+ROW()/1000000,""),"")</f>
        <v/>
      </c>
      <c r="Z966" s="32">
        <f>IF($A966=1,IF(Cash_Vouchers!$O73="","",Cash_Vouchers!$O73),"")</f>
        <v/>
      </c>
      <c r="AA966" s="32">
        <f>IF($A966=1,IF(Cash_Vouchers!$P73="","",Cash_Vouchers!$P73),"")</f>
        <v/>
      </c>
      <c r="AB966" s="32">
        <f>IF($A966=1,IF(Cash_Vouchers!$Q73="","",Cash_Vouchers!$Q73),"")</f>
        <v/>
      </c>
      <c r="AC966" s="32">
        <f>IF($A966=1,IF(Cash_Vouchers!$R73="","",Cash_Vouchers!$R73),"")</f>
        <v/>
      </c>
      <c r="AD966" s="32">
        <f>IF($A966=1,IF(Cash_Vouchers!$S73="","",Cash_Vouchers!$S73),"")</f>
        <v/>
      </c>
      <c r="AE966" s="32">
        <f>IF($A966=1,0,"")</f>
        <v/>
      </c>
      <c r="AF966" s="32" t="inlineStr"/>
    </row>
    <row r="967">
      <c r="A967" s="32">
        <f>IF(AND(Cash_Vouchers!$AJ74=1,N(Cash_Vouchers!$I74)&gt;0),1,0)</f>
        <v/>
      </c>
      <c r="B967" s="32">
        <f>IF($A967=1,$E967&amp;"/1","")</f>
        <v/>
      </c>
      <c r="C967" s="32">
        <f>IF($A967=1,"J-"&amp;Cash_Vouchers!$A74,"")</f>
        <v/>
      </c>
      <c r="D967" s="33">
        <f>IF($A967=1,Cash_Vouchers!$B74,"")</f>
        <v/>
      </c>
      <c r="E967" s="32">
        <f>IF($A967=1,IF(Cash_Vouchers!$A74="","",Cash_Vouchers!$A74),"")</f>
        <v/>
      </c>
      <c r="F967" s="32">
        <f>IF($A967=1,"CV","")</f>
        <v/>
      </c>
      <c r="G967" s="32">
        <f>IF($A967=1,IF(Cash_Vouchers!$AA74="","",Cash_Vouchers!$AA74),"")</f>
        <v/>
      </c>
      <c r="H967" s="32">
        <f>IF($A967=1,IF(COUNTIF(COA!$A:$A,$G967)=0,"حساب غير معرف",INDEX(COA!$B:$B,MATCH($G967,COA!$A:$A,0))),"")</f>
        <v/>
      </c>
      <c r="I967" s="32">
        <f>IF($A967=1,IF(Cash_Vouchers!$AC74="","",Cash_Vouchers!$AC74),"")</f>
        <v/>
      </c>
      <c r="J967" s="32">
        <f>IF($A967=1,IF(Cash_Vouchers!$AE74="","",Cash_Vouchers!$AE74),"")</f>
        <v/>
      </c>
      <c r="K967" s="32">
        <f>IF($A967=1,IF(Cash_Vouchers!$AG74="","",Cash_Vouchers!$AG74),"")</f>
        <v/>
      </c>
      <c r="L967" s="32">
        <f>IF($A967=1,IF(Cash_Vouchers!$K74="",Cash_Vouchers!$C74&amp;" - "&amp;Cash_Vouchers!$H74,Cash_Vouchers!$K74),"")</f>
        <v/>
      </c>
      <c r="M967" s="43">
        <f>IF($A967=1,Cash_Vouchers!$I74,"")</f>
        <v/>
      </c>
      <c r="N967" s="43">
        <f>IF($A967=1,0,"")</f>
        <v/>
      </c>
      <c r="O967" s="32">
        <f>IF($A967=1,Cash_Vouchers!$N74,"")</f>
        <v/>
      </c>
      <c r="P967" s="32">
        <f>IF($A967=1,IF(Cash_Vouchers!$AK74="","",Cash_Vouchers!$AK74),"")</f>
        <v/>
      </c>
      <c r="Q967" s="32">
        <f>IF($A967=1,Cash_Vouchers!$AM74,"")</f>
        <v/>
      </c>
      <c r="R967" s="32">
        <f>IF($A967=1,IF(AND($Q967=1,COUNTIFS(COA!$A:$A,$G967,COA!$R:$R,1)=1),1,0),"")</f>
        <v/>
      </c>
      <c r="S967" s="43">
        <f>IF($A967=1,IF($R967=1,N($M967),0),"")</f>
        <v/>
      </c>
      <c r="T967" s="43">
        <f>IF($A967=1,IF($R967=1,N($N967),0),"")</f>
        <v/>
      </c>
      <c r="U967" s="32">
        <f>IF($A967=1,YEAR($D967)*100+MONTH($D967),"")</f>
        <v/>
      </c>
      <c r="V967" s="32">
        <f>IF($A967=1,IF(COUNTIF(COA!$A:$A,$G967)=0,0,INDEX(COA!$H:$H,MATCH($G967,COA!$A:$A,0))),"")</f>
        <v/>
      </c>
      <c r="W967" s="32">
        <f>IF($A967=1,IF(Cash_Vouchers!$AI74="","",Cash_Vouchers!$AI74),"")</f>
        <v/>
      </c>
      <c r="X967" s="32">
        <f>IF($A967=1,IF($R967=1,"",IF($O967=ST_POST,IF($P967&lt;&gt;"",$P967,"حساب غير صالح أو غير نشط"),IF($O967=ST_REV,"معكوس: لا أثر على الدفاتر",IF($O967=ST_CANC,"ملغى",IF($O967=ST_APPR,"معتمد ولم يُرحَّل","مسودة"))))),"")</f>
        <v/>
      </c>
      <c r="Y967" s="32">
        <f>IF($A967=1,IF(AND($R967=1,OR(LG_Acct="",$G967=LG_Acct),OR(LG_Party="",$K967=LG_Party),OR(LG_Loc="ALL",$I967=LG_Loc),OR(LG_CC="ALL",$J967=LG_CC),$D967&gt;=LG_From,$D967&lt;=LG_To),$D967+ROW()/1000000,""),"")</f>
        <v/>
      </c>
      <c r="Z967" s="32">
        <f>IF($A967=1,IF(Cash_Vouchers!$O74="","",Cash_Vouchers!$O74),"")</f>
        <v/>
      </c>
      <c r="AA967" s="32">
        <f>IF($A967=1,IF(Cash_Vouchers!$P74="","",Cash_Vouchers!$P74),"")</f>
        <v/>
      </c>
      <c r="AB967" s="32">
        <f>IF($A967=1,IF(Cash_Vouchers!$Q74="","",Cash_Vouchers!$Q74),"")</f>
        <v/>
      </c>
      <c r="AC967" s="32">
        <f>IF($A967=1,IF(Cash_Vouchers!$R74="","",Cash_Vouchers!$R74),"")</f>
        <v/>
      </c>
      <c r="AD967" s="32">
        <f>IF($A967=1,IF(Cash_Vouchers!$S74="","",Cash_Vouchers!$S74),"")</f>
        <v/>
      </c>
      <c r="AE967" s="32">
        <f>IF($A967=1,0,"")</f>
        <v/>
      </c>
      <c r="AF967" s="32" t="inlineStr"/>
    </row>
    <row r="968">
      <c r="A968" s="32">
        <f>IF(AND(Cash_Vouchers!$AJ74=1,N(Cash_Vouchers!$I74)&gt;0),1,0)</f>
        <v/>
      </c>
      <c r="B968" s="32">
        <f>IF($A968=1,$E968&amp;"/2","")</f>
        <v/>
      </c>
      <c r="C968" s="32">
        <f>IF($A968=1,"J-"&amp;Cash_Vouchers!$A74,"")</f>
        <v/>
      </c>
      <c r="D968" s="33">
        <f>IF($A968=1,Cash_Vouchers!$B74,"")</f>
        <v/>
      </c>
      <c r="E968" s="32">
        <f>IF($A968=1,IF(Cash_Vouchers!$A74="","",Cash_Vouchers!$A74),"")</f>
        <v/>
      </c>
      <c r="F968" s="32">
        <f>IF($A968=1,"CV","")</f>
        <v/>
      </c>
      <c r="G968" s="32">
        <f>IF($A968=1,IF(Cash_Vouchers!$AB74="","",Cash_Vouchers!$AB74),"")</f>
        <v/>
      </c>
      <c r="H968" s="32">
        <f>IF($A968=1,IF(COUNTIF(COA!$A:$A,$G968)=0,"حساب غير معرف",INDEX(COA!$B:$B,MATCH($G968,COA!$A:$A,0))),"")</f>
        <v/>
      </c>
      <c r="I968" s="32">
        <f>IF($A968=1,IF(Cash_Vouchers!$AD74="","",Cash_Vouchers!$AD74),"")</f>
        <v/>
      </c>
      <c r="J968" s="32">
        <f>IF($A968=1,IF(Cash_Vouchers!$AF74="","",Cash_Vouchers!$AF74),"")</f>
        <v/>
      </c>
      <c r="K968" s="32">
        <f>IF($A968=1,IF(Cash_Vouchers!$AH74="","",Cash_Vouchers!$AH74),"")</f>
        <v/>
      </c>
      <c r="L968" s="32">
        <f>IF($A968=1,IF(Cash_Vouchers!$K74="",Cash_Vouchers!$C74&amp;" - "&amp;Cash_Vouchers!$H74,Cash_Vouchers!$K74),"")</f>
        <v/>
      </c>
      <c r="M968" s="43">
        <f>IF($A968=1,0,"")</f>
        <v/>
      </c>
      <c r="N968" s="43">
        <f>IF($A968=1,Cash_Vouchers!$I74,"")</f>
        <v/>
      </c>
      <c r="O968" s="32">
        <f>IF($A968=1,Cash_Vouchers!$N74,"")</f>
        <v/>
      </c>
      <c r="P968" s="32">
        <f>IF($A968=1,IF(Cash_Vouchers!$AK74="","",Cash_Vouchers!$AK74),"")</f>
        <v/>
      </c>
      <c r="Q968" s="32">
        <f>IF($A968=1,Cash_Vouchers!$AM74,"")</f>
        <v/>
      </c>
      <c r="R968" s="32">
        <f>IF($A968=1,IF(AND($Q968=1,COUNTIFS(COA!$A:$A,$G968,COA!$R:$R,1)=1),1,0),"")</f>
        <v/>
      </c>
      <c r="S968" s="43">
        <f>IF($A968=1,IF($R968=1,N($M968),0),"")</f>
        <v/>
      </c>
      <c r="T968" s="43">
        <f>IF($A968=1,IF($R968=1,N($N968),0),"")</f>
        <v/>
      </c>
      <c r="U968" s="32">
        <f>IF($A968=1,YEAR($D968)*100+MONTH($D968),"")</f>
        <v/>
      </c>
      <c r="V968" s="32">
        <f>IF($A968=1,IF(COUNTIF(COA!$A:$A,$G968)=0,0,INDEX(COA!$H:$H,MATCH($G968,COA!$A:$A,0))),"")</f>
        <v/>
      </c>
      <c r="W968" s="32">
        <f>IF($A968=1,IF(Cash_Vouchers!$AI74="","",Cash_Vouchers!$AI74),"")</f>
        <v/>
      </c>
      <c r="X968" s="32">
        <f>IF($A968=1,IF($R968=1,"",IF($O968=ST_POST,IF($P968&lt;&gt;"",$P968,"حساب غير صالح أو غير نشط"),IF($O968=ST_REV,"معكوس: لا أثر على الدفاتر",IF($O968=ST_CANC,"ملغى",IF($O968=ST_APPR,"معتمد ولم يُرحَّل","مسودة"))))),"")</f>
        <v/>
      </c>
      <c r="Y968" s="32">
        <f>IF($A968=1,IF(AND($R968=1,OR(LG_Acct="",$G968=LG_Acct),OR(LG_Party="",$K968=LG_Party),OR(LG_Loc="ALL",$I968=LG_Loc),OR(LG_CC="ALL",$J968=LG_CC),$D968&gt;=LG_From,$D968&lt;=LG_To),$D968+ROW()/1000000,""),"")</f>
        <v/>
      </c>
      <c r="Z968" s="32">
        <f>IF($A968=1,IF(Cash_Vouchers!$O74="","",Cash_Vouchers!$O74),"")</f>
        <v/>
      </c>
      <c r="AA968" s="32">
        <f>IF($A968=1,IF(Cash_Vouchers!$P74="","",Cash_Vouchers!$P74),"")</f>
        <v/>
      </c>
      <c r="AB968" s="32">
        <f>IF($A968=1,IF(Cash_Vouchers!$Q74="","",Cash_Vouchers!$Q74),"")</f>
        <v/>
      </c>
      <c r="AC968" s="32">
        <f>IF($A968=1,IF(Cash_Vouchers!$R74="","",Cash_Vouchers!$R74),"")</f>
        <v/>
      </c>
      <c r="AD968" s="32">
        <f>IF($A968=1,IF(Cash_Vouchers!$S74="","",Cash_Vouchers!$S74),"")</f>
        <v/>
      </c>
      <c r="AE968" s="32">
        <f>IF($A968=1,0,"")</f>
        <v/>
      </c>
      <c r="AF968" s="32" t="inlineStr"/>
    </row>
    <row r="969">
      <c r="A969" s="32">
        <f>IF(AND(Cash_Vouchers!$AJ75=1,N(Cash_Vouchers!$I75)&gt;0),1,0)</f>
        <v/>
      </c>
      <c r="B969" s="32">
        <f>IF($A969=1,$E969&amp;"/1","")</f>
        <v/>
      </c>
      <c r="C969" s="32">
        <f>IF($A969=1,"J-"&amp;Cash_Vouchers!$A75,"")</f>
        <v/>
      </c>
      <c r="D969" s="33">
        <f>IF($A969=1,Cash_Vouchers!$B75,"")</f>
        <v/>
      </c>
      <c r="E969" s="32">
        <f>IF($A969=1,IF(Cash_Vouchers!$A75="","",Cash_Vouchers!$A75),"")</f>
        <v/>
      </c>
      <c r="F969" s="32">
        <f>IF($A969=1,"CV","")</f>
        <v/>
      </c>
      <c r="G969" s="32">
        <f>IF($A969=1,IF(Cash_Vouchers!$AA75="","",Cash_Vouchers!$AA75),"")</f>
        <v/>
      </c>
      <c r="H969" s="32">
        <f>IF($A969=1,IF(COUNTIF(COA!$A:$A,$G969)=0,"حساب غير معرف",INDEX(COA!$B:$B,MATCH($G969,COA!$A:$A,0))),"")</f>
        <v/>
      </c>
      <c r="I969" s="32">
        <f>IF($A969=1,IF(Cash_Vouchers!$AC75="","",Cash_Vouchers!$AC75),"")</f>
        <v/>
      </c>
      <c r="J969" s="32">
        <f>IF($A969=1,IF(Cash_Vouchers!$AE75="","",Cash_Vouchers!$AE75),"")</f>
        <v/>
      </c>
      <c r="K969" s="32">
        <f>IF($A969=1,IF(Cash_Vouchers!$AG75="","",Cash_Vouchers!$AG75),"")</f>
        <v/>
      </c>
      <c r="L969" s="32">
        <f>IF($A969=1,IF(Cash_Vouchers!$K75="",Cash_Vouchers!$C75&amp;" - "&amp;Cash_Vouchers!$H75,Cash_Vouchers!$K75),"")</f>
        <v/>
      </c>
      <c r="M969" s="43">
        <f>IF($A969=1,Cash_Vouchers!$I75,"")</f>
        <v/>
      </c>
      <c r="N969" s="43">
        <f>IF($A969=1,0,"")</f>
        <v/>
      </c>
      <c r="O969" s="32">
        <f>IF($A969=1,Cash_Vouchers!$N75,"")</f>
        <v/>
      </c>
      <c r="P969" s="32">
        <f>IF($A969=1,IF(Cash_Vouchers!$AK75="","",Cash_Vouchers!$AK75),"")</f>
        <v/>
      </c>
      <c r="Q969" s="32">
        <f>IF($A969=1,Cash_Vouchers!$AM75,"")</f>
        <v/>
      </c>
      <c r="R969" s="32">
        <f>IF($A969=1,IF(AND($Q969=1,COUNTIFS(COA!$A:$A,$G969,COA!$R:$R,1)=1),1,0),"")</f>
        <v/>
      </c>
      <c r="S969" s="43">
        <f>IF($A969=1,IF($R969=1,N($M969),0),"")</f>
        <v/>
      </c>
      <c r="T969" s="43">
        <f>IF($A969=1,IF($R969=1,N($N969),0),"")</f>
        <v/>
      </c>
      <c r="U969" s="32">
        <f>IF($A969=1,YEAR($D969)*100+MONTH($D969),"")</f>
        <v/>
      </c>
      <c r="V969" s="32">
        <f>IF($A969=1,IF(COUNTIF(COA!$A:$A,$G969)=0,0,INDEX(COA!$H:$H,MATCH($G969,COA!$A:$A,0))),"")</f>
        <v/>
      </c>
      <c r="W969" s="32">
        <f>IF($A969=1,IF(Cash_Vouchers!$AI75="","",Cash_Vouchers!$AI75),"")</f>
        <v/>
      </c>
      <c r="X969" s="32">
        <f>IF($A969=1,IF($R969=1,"",IF($O969=ST_POST,IF($P969&lt;&gt;"",$P969,"حساب غير صالح أو غير نشط"),IF($O969=ST_REV,"معكوس: لا أثر على الدفاتر",IF($O969=ST_CANC,"ملغى",IF($O969=ST_APPR,"معتمد ولم يُرحَّل","مسودة"))))),"")</f>
        <v/>
      </c>
      <c r="Y969" s="32">
        <f>IF($A969=1,IF(AND($R969=1,OR(LG_Acct="",$G969=LG_Acct),OR(LG_Party="",$K969=LG_Party),OR(LG_Loc="ALL",$I969=LG_Loc),OR(LG_CC="ALL",$J969=LG_CC),$D969&gt;=LG_From,$D969&lt;=LG_To),$D969+ROW()/1000000,""),"")</f>
        <v/>
      </c>
      <c r="Z969" s="32">
        <f>IF($A969=1,IF(Cash_Vouchers!$O75="","",Cash_Vouchers!$O75),"")</f>
        <v/>
      </c>
      <c r="AA969" s="32">
        <f>IF($A969=1,IF(Cash_Vouchers!$P75="","",Cash_Vouchers!$P75),"")</f>
        <v/>
      </c>
      <c r="AB969" s="32">
        <f>IF($A969=1,IF(Cash_Vouchers!$Q75="","",Cash_Vouchers!$Q75),"")</f>
        <v/>
      </c>
      <c r="AC969" s="32">
        <f>IF($A969=1,IF(Cash_Vouchers!$R75="","",Cash_Vouchers!$R75),"")</f>
        <v/>
      </c>
      <c r="AD969" s="32">
        <f>IF($A969=1,IF(Cash_Vouchers!$S75="","",Cash_Vouchers!$S75),"")</f>
        <v/>
      </c>
      <c r="AE969" s="32">
        <f>IF($A969=1,0,"")</f>
        <v/>
      </c>
      <c r="AF969" s="32" t="inlineStr"/>
    </row>
    <row r="970">
      <c r="A970" s="32">
        <f>IF(AND(Cash_Vouchers!$AJ75=1,N(Cash_Vouchers!$I75)&gt;0),1,0)</f>
        <v/>
      </c>
      <c r="B970" s="32">
        <f>IF($A970=1,$E970&amp;"/2","")</f>
        <v/>
      </c>
      <c r="C970" s="32">
        <f>IF($A970=1,"J-"&amp;Cash_Vouchers!$A75,"")</f>
        <v/>
      </c>
      <c r="D970" s="33">
        <f>IF($A970=1,Cash_Vouchers!$B75,"")</f>
        <v/>
      </c>
      <c r="E970" s="32">
        <f>IF($A970=1,IF(Cash_Vouchers!$A75="","",Cash_Vouchers!$A75),"")</f>
        <v/>
      </c>
      <c r="F970" s="32">
        <f>IF($A970=1,"CV","")</f>
        <v/>
      </c>
      <c r="G970" s="32">
        <f>IF($A970=1,IF(Cash_Vouchers!$AB75="","",Cash_Vouchers!$AB75),"")</f>
        <v/>
      </c>
      <c r="H970" s="32">
        <f>IF($A970=1,IF(COUNTIF(COA!$A:$A,$G970)=0,"حساب غير معرف",INDEX(COA!$B:$B,MATCH($G970,COA!$A:$A,0))),"")</f>
        <v/>
      </c>
      <c r="I970" s="32">
        <f>IF($A970=1,IF(Cash_Vouchers!$AD75="","",Cash_Vouchers!$AD75),"")</f>
        <v/>
      </c>
      <c r="J970" s="32">
        <f>IF($A970=1,IF(Cash_Vouchers!$AF75="","",Cash_Vouchers!$AF75),"")</f>
        <v/>
      </c>
      <c r="K970" s="32">
        <f>IF($A970=1,IF(Cash_Vouchers!$AH75="","",Cash_Vouchers!$AH75),"")</f>
        <v/>
      </c>
      <c r="L970" s="32">
        <f>IF($A970=1,IF(Cash_Vouchers!$K75="",Cash_Vouchers!$C75&amp;" - "&amp;Cash_Vouchers!$H75,Cash_Vouchers!$K75),"")</f>
        <v/>
      </c>
      <c r="M970" s="43">
        <f>IF($A970=1,0,"")</f>
        <v/>
      </c>
      <c r="N970" s="43">
        <f>IF($A970=1,Cash_Vouchers!$I75,"")</f>
        <v/>
      </c>
      <c r="O970" s="32">
        <f>IF($A970=1,Cash_Vouchers!$N75,"")</f>
        <v/>
      </c>
      <c r="P970" s="32">
        <f>IF($A970=1,IF(Cash_Vouchers!$AK75="","",Cash_Vouchers!$AK75),"")</f>
        <v/>
      </c>
      <c r="Q970" s="32">
        <f>IF($A970=1,Cash_Vouchers!$AM75,"")</f>
        <v/>
      </c>
      <c r="R970" s="32">
        <f>IF($A970=1,IF(AND($Q970=1,COUNTIFS(COA!$A:$A,$G970,COA!$R:$R,1)=1),1,0),"")</f>
        <v/>
      </c>
      <c r="S970" s="43">
        <f>IF($A970=1,IF($R970=1,N($M970),0),"")</f>
        <v/>
      </c>
      <c r="T970" s="43">
        <f>IF($A970=1,IF($R970=1,N($N970),0),"")</f>
        <v/>
      </c>
      <c r="U970" s="32">
        <f>IF($A970=1,YEAR($D970)*100+MONTH($D970),"")</f>
        <v/>
      </c>
      <c r="V970" s="32">
        <f>IF($A970=1,IF(COUNTIF(COA!$A:$A,$G970)=0,0,INDEX(COA!$H:$H,MATCH($G970,COA!$A:$A,0))),"")</f>
        <v/>
      </c>
      <c r="W970" s="32">
        <f>IF($A970=1,IF(Cash_Vouchers!$AI75="","",Cash_Vouchers!$AI75),"")</f>
        <v/>
      </c>
      <c r="X970" s="32">
        <f>IF($A970=1,IF($R970=1,"",IF($O970=ST_POST,IF($P970&lt;&gt;"",$P970,"حساب غير صالح أو غير نشط"),IF($O970=ST_REV,"معكوس: لا أثر على الدفاتر",IF($O970=ST_CANC,"ملغى",IF($O970=ST_APPR,"معتمد ولم يُرحَّل","مسودة"))))),"")</f>
        <v/>
      </c>
      <c r="Y970" s="32">
        <f>IF($A970=1,IF(AND($R970=1,OR(LG_Acct="",$G970=LG_Acct),OR(LG_Party="",$K970=LG_Party),OR(LG_Loc="ALL",$I970=LG_Loc),OR(LG_CC="ALL",$J970=LG_CC),$D970&gt;=LG_From,$D970&lt;=LG_To),$D970+ROW()/1000000,""),"")</f>
        <v/>
      </c>
      <c r="Z970" s="32">
        <f>IF($A970=1,IF(Cash_Vouchers!$O75="","",Cash_Vouchers!$O75),"")</f>
        <v/>
      </c>
      <c r="AA970" s="32">
        <f>IF($A970=1,IF(Cash_Vouchers!$P75="","",Cash_Vouchers!$P75),"")</f>
        <v/>
      </c>
      <c r="AB970" s="32">
        <f>IF($A970=1,IF(Cash_Vouchers!$Q75="","",Cash_Vouchers!$Q75),"")</f>
        <v/>
      </c>
      <c r="AC970" s="32">
        <f>IF($A970=1,IF(Cash_Vouchers!$R75="","",Cash_Vouchers!$R75),"")</f>
        <v/>
      </c>
      <c r="AD970" s="32">
        <f>IF($A970=1,IF(Cash_Vouchers!$S75="","",Cash_Vouchers!$S75),"")</f>
        <v/>
      </c>
      <c r="AE970" s="32">
        <f>IF($A970=1,0,"")</f>
        <v/>
      </c>
      <c r="AF970" s="32" t="inlineStr"/>
    </row>
    <row r="971">
      <c r="A971" s="32">
        <f>IF(AND(Cash_Vouchers!$AJ76=1,N(Cash_Vouchers!$I76)&gt;0),1,0)</f>
        <v/>
      </c>
      <c r="B971" s="32">
        <f>IF($A971=1,$E971&amp;"/1","")</f>
        <v/>
      </c>
      <c r="C971" s="32">
        <f>IF($A971=1,"J-"&amp;Cash_Vouchers!$A76,"")</f>
        <v/>
      </c>
      <c r="D971" s="33">
        <f>IF($A971=1,Cash_Vouchers!$B76,"")</f>
        <v/>
      </c>
      <c r="E971" s="32">
        <f>IF($A971=1,IF(Cash_Vouchers!$A76="","",Cash_Vouchers!$A76),"")</f>
        <v/>
      </c>
      <c r="F971" s="32">
        <f>IF($A971=1,"CV","")</f>
        <v/>
      </c>
      <c r="G971" s="32">
        <f>IF($A971=1,IF(Cash_Vouchers!$AA76="","",Cash_Vouchers!$AA76),"")</f>
        <v/>
      </c>
      <c r="H971" s="32">
        <f>IF($A971=1,IF(COUNTIF(COA!$A:$A,$G971)=0,"حساب غير معرف",INDEX(COA!$B:$B,MATCH($G971,COA!$A:$A,0))),"")</f>
        <v/>
      </c>
      <c r="I971" s="32">
        <f>IF($A971=1,IF(Cash_Vouchers!$AC76="","",Cash_Vouchers!$AC76),"")</f>
        <v/>
      </c>
      <c r="J971" s="32">
        <f>IF($A971=1,IF(Cash_Vouchers!$AE76="","",Cash_Vouchers!$AE76),"")</f>
        <v/>
      </c>
      <c r="K971" s="32">
        <f>IF($A971=1,IF(Cash_Vouchers!$AG76="","",Cash_Vouchers!$AG76),"")</f>
        <v/>
      </c>
      <c r="L971" s="32">
        <f>IF($A971=1,IF(Cash_Vouchers!$K76="",Cash_Vouchers!$C76&amp;" - "&amp;Cash_Vouchers!$H76,Cash_Vouchers!$K76),"")</f>
        <v/>
      </c>
      <c r="M971" s="43">
        <f>IF($A971=1,Cash_Vouchers!$I76,"")</f>
        <v/>
      </c>
      <c r="N971" s="43">
        <f>IF($A971=1,0,"")</f>
        <v/>
      </c>
      <c r="O971" s="32">
        <f>IF($A971=1,Cash_Vouchers!$N76,"")</f>
        <v/>
      </c>
      <c r="P971" s="32">
        <f>IF($A971=1,IF(Cash_Vouchers!$AK76="","",Cash_Vouchers!$AK76),"")</f>
        <v/>
      </c>
      <c r="Q971" s="32">
        <f>IF($A971=1,Cash_Vouchers!$AM76,"")</f>
        <v/>
      </c>
      <c r="R971" s="32">
        <f>IF($A971=1,IF(AND($Q971=1,COUNTIFS(COA!$A:$A,$G971,COA!$R:$R,1)=1),1,0),"")</f>
        <v/>
      </c>
      <c r="S971" s="43">
        <f>IF($A971=1,IF($R971=1,N($M971),0),"")</f>
        <v/>
      </c>
      <c r="T971" s="43">
        <f>IF($A971=1,IF($R971=1,N($N971),0),"")</f>
        <v/>
      </c>
      <c r="U971" s="32">
        <f>IF($A971=1,YEAR($D971)*100+MONTH($D971),"")</f>
        <v/>
      </c>
      <c r="V971" s="32">
        <f>IF($A971=1,IF(COUNTIF(COA!$A:$A,$G971)=0,0,INDEX(COA!$H:$H,MATCH($G971,COA!$A:$A,0))),"")</f>
        <v/>
      </c>
      <c r="W971" s="32">
        <f>IF($A971=1,IF(Cash_Vouchers!$AI76="","",Cash_Vouchers!$AI76),"")</f>
        <v/>
      </c>
      <c r="X971" s="32">
        <f>IF($A971=1,IF($R971=1,"",IF($O971=ST_POST,IF($P971&lt;&gt;"",$P971,"حساب غير صالح أو غير نشط"),IF($O971=ST_REV,"معكوس: لا أثر على الدفاتر",IF($O971=ST_CANC,"ملغى",IF($O971=ST_APPR,"معتمد ولم يُرحَّل","مسودة"))))),"")</f>
        <v/>
      </c>
      <c r="Y971" s="32">
        <f>IF($A971=1,IF(AND($R971=1,OR(LG_Acct="",$G971=LG_Acct),OR(LG_Party="",$K971=LG_Party),OR(LG_Loc="ALL",$I971=LG_Loc),OR(LG_CC="ALL",$J971=LG_CC),$D971&gt;=LG_From,$D971&lt;=LG_To),$D971+ROW()/1000000,""),"")</f>
        <v/>
      </c>
      <c r="Z971" s="32">
        <f>IF($A971=1,IF(Cash_Vouchers!$O76="","",Cash_Vouchers!$O76),"")</f>
        <v/>
      </c>
      <c r="AA971" s="32">
        <f>IF($A971=1,IF(Cash_Vouchers!$P76="","",Cash_Vouchers!$P76),"")</f>
        <v/>
      </c>
      <c r="AB971" s="32">
        <f>IF($A971=1,IF(Cash_Vouchers!$Q76="","",Cash_Vouchers!$Q76),"")</f>
        <v/>
      </c>
      <c r="AC971" s="32">
        <f>IF($A971=1,IF(Cash_Vouchers!$R76="","",Cash_Vouchers!$R76),"")</f>
        <v/>
      </c>
      <c r="AD971" s="32">
        <f>IF($A971=1,IF(Cash_Vouchers!$S76="","",Cash_Vouchers!$S76),"")</f>
        <v/>
      </c>
      <c r="AE971" s="32">
        <f>IF($A971=1,0,"")</f>
        <v/>
      </c>
      <c r="AF971" s="32" t="inlineStr"/>
    </row>
    <row r="972">
      <c r="A972" s="32">
        <f>IF(AND(Cash_Vouchers!$AJ76=1,N(Cash_Vouchers!$I76)&gt;0),1,0)</f>
        <v/>
      </c>
      <c r="B972" s="32">
        <f>IF($A972=1,$E972&amp;"/2","")</f>
        <v/>
      </c>
      <c r="C972" s="32">
        <f>IF($A972=1,"J-"&amp;Cash_Vouchers!$A76,"")</f>
        <v/>
      </c>
      <c r="D972" s="33">
        <f>IF($A972=1,Cash_Vouchers!$B76,"")</f>
        <v/>
      </c>
      <c r="E972" s="32">
        <f>IF($A972=1,IF(Cash_Vouchers!$A76="","",Cash_Vouchers!$A76),"")</f>
        <v/>
      </c>
      <c r="F972" s="32">
        <f>IF($A972=1,"CV","")</f>
        <v/>
      </c>
      <c r="G972" s="32">
        <f>IF($A972=1,IF(Cash_Vouchers!$AB76="","",Cash_Vouchers!$AB76),"")</f>
        <v/>
      </c>
      <c r="H972" s="32">
        <f>IF($A972=1,IF(COUNTIF(COA!$A:$A,$G972)=0,"حساب غير معرف",INDEX(COA!$B:$B,MATCH($G972,COA!$A:$A,0))),"")</f>
        <v/>
      </c>
      <c r="I972" s="32">
        <f>IF($A972=1,IF(Cash_Vouchers!$AD76="","",Cash_Vouchers!$AD76),"")</f>
        <v/>
      </c>
      <c r="J972" s="32">
        <f>IF($A972=1,IF(Cash_Vouchers!$AF76="","",Cash_Vouchers!$AF76),"")</f>
        <v/>
      </c>
      <c r="K972" s="32">
        <f>IF($A972=1,IF(Cash_Vouchers!$AH76="","",Cash_Vouchers!$AH76),"")</f>
        <v/>
      </c>
      <c r="L972" s="32">
        <f>IF($A972=1,IF(Cash_Vouchers!$K76="",Cash_Vouchers!$C76&amp;" - "&amp;Cash_Vouchers!$H76,Cash_Vouchers!$K76),"")</f>
        <v/>
      </c>
      <c r="M972" s="43">
        <f>IF($A972=1,0,"")</f>
        <v/>
      </c>
      <c r="N972" s="43">
        <f>IF($A972=1,Cash_Vouchers!$I76,"")</f>
        <v/>
      </c>
      <c r="O972" s="32">
        <f>IF($A972=1,Cash_Vouchers!$N76,"")</f>
        <v/>
      </c>
      <c r="P972" s="32">
        <f>IF($A972=1,IF(Cash_Vouchers!$AK76="","",Cash_Vouchers!$AK76),"")</f>
        <v/>
      </c>
      <c r="Q972" s="32">
        <f>IF($A972=1,Cash_Vouchers!$AM76,"")</f>
        <v/>
      </c>
      <c r="R972" s="32">
        <f>IF($A972=1,IF(AND($Q972=1,COUNTIFS(COA!$A:$A,$G972,COA!$R:$R,1)=1),1,0),"")</f>
        <v/>
      </c>
      <c r="S972" s="43">
        <f>IF($A972=1,IF($R972=1,N($M972),0),"")</f>
        <v/>
      </c>
      <c r="T972" s="43">
        <f>IF($A972=1,IF($R972=1,N($N972),0),"")</f>
        <v/>
      </c>
      <c r="U972" s="32">
        <f>IF($A972=1,YEAR($D972)*100+MONTH($D972),"")</f>
        <v/>
      </c>
      <c r="V972" s="32">
        <f>IF($A972=1,IF(COUNTIF(COA!$A:$A,$G972)=0,0,INDEX(COA!$H:$H,MATCH($G972,COA!$A:$A,0))),"")</f>
        <v/>
      </c>
      <c r="W972" s="32">
        <f>IF($A972=1,IF(Cash_Vouchers!$AI76="","",Cash_Vouchers!$AI76),"")</f>
        <v/>
      </c>
      <c r="X972" s="32">
        <f>IF($A972=1,IF($R972=1,"",IF($O972=ST_POST,IF($P972&lt;&gt;"",$P972,"حساب غير صالح أو غير نشط"),IF($O972=ST_REV,"معكوس: لا أثر على الدفاتر",IF($O972=ST_CANC,"ملغى",IF($O972=ST_APPR,"معتمد ولم يُرحَّل","مسودة"))))),"")</f>
        <v/>
      </c>
      <c r="Y972" s="32">
        <f>IF($A972=1,IF(AND($R972=1,OR(LG_Acct="",$G972=LG_Acct),OR(LG_Party="",$K972=LG_Party),OR(LG_Loc="ALL",$I972=LG_Loc),OR(LG_CC="ALL",$J972=LG_CC),$D972&gt;=LG_From,$D972&lt;=LG_To),$D972+ROW()/1000000,""),"")</f>
        <v/>
      </c>
      <c r="Z972" s="32">
        <f>IF($A972=1,IF(Cash_Vouchers!$O76="","",Cash_Vouchers!$O76),"")</f>
        <v/>
      </c>
      <c r="AA972" s="32">
        <f>IF($A972=1,IF(Cash_Vouchers!$P76="","",Cash_Vouchers!$P76),"")</f>
        <v/>
      </c>
      <c r="AB972" s="32">
        <f>IF($A972=1,IF(Cash_Vouchers!$Q76="","",Cash_Vouchers!$Q76),"")</f>
        <v/>
      </c>
      <c r="AC972" s="32">
        <f>IF($A972=1,IF(Cash_Vouchers!$R76="","",Cash_Vouchers!$R76),"")</f>
        <v/>
      </c>
      <c r="AD972" s="32">
        <f>IF($A972=1,IF(Cash_Vouchers!$S76="","",Cash_Vouchers!$S76),"")</f>
        <v/>
      </c>
      <c r="AE972" s="32">
        <f>IF($A972=1,0,"")</f>
        <v/>
      </c>
      <c r="AF972" s="32" t="inlineStr"/>
    </row>
    <row r="973">
      <c r="A973" s="32">
        <f>IF(AND(Cash_Vouchers!$AJ77=1,N(Cash_Vouchers!$I77)&gt;0),1,0)</f>
        <v/>
      </c>
      <c r="B973" s="32">
        <f>IF($A973=1,$E973&amp;"/1","")</f>
        <v/>
      </c>
      <c r="C973" s="32">
        <f>IF($A973=1,"J-"&amp;Cash_Vouchers!$A77,"")</f>
        <v/>
      </c>
      <c r="D973" s="33">
        <f>IF($A973=1,Cash_Vouchers!$B77,"")</f>
        <v/>
      </c>
      <c r="E973" s="32">
        <f>IF($A973=1,IF(Cash_Vouchers!$A77="","",Cash_Vouchers!$A77),"")</f>
        <v/>
      </c>
      <c r="F973" s="32">
        <f>IF($A973=1,"CV","")</f>
        <v/>
      </c>
      <c r="G973" s="32">
        <f>IF($A973=1,IF(Cash_Vouchers!$AA77="","",Cash_Vouchers!$AA77),"")</f>
        <v/>
      </c>
      <c r="H973" s="32">
        <f>IF($A973=1,IF(COUNTIF(COA!$A:$A,$G973)=0,"حساب غير معرف",INDEX(COA!$B:$B,MATCH($G973,COA!$A:$A,0))),"")</f>
        <v/>
      </c>
      <c r="I973" s="32">
        <f>IF($A973=1,IF(Cash_Vouchers!$AC77="","",Cash_Vouchers!$AC77),"")</f>
        <v/>
      </c>
      <c r="J973" s="32">
        <f>IF($A973=1,IF(Cash_Vouchers!$AE77="","",Cash_Vouchers!$AE77),"")</f>
        <v/>
      </c>
      <c r="K973" s="32">
        <f>IF($A973=1,IF(Cash_Vouchers!$AG77="","",Cash_Vouchers!$AG77),"")</f>
        <v/>
      </c>
      <c r="L973" s="32">
        <f>IF($A973=1,IF(Cash_Vouchers!$K77="",Cash_Vouchers!$C77&amp;" - "&amp;Cash_Vouchers!$H77,Cash_Vouchers!$K77),"")</f>
        <v/>
      </c>
      <c r="M973" s="43">
        <f>IF($A973=1,Cash_Vouchers!$I77,"")</f>
        <v/>
      </c>
      <c r="N973" s="43">
        <f>IF($A973=1,0,"")</f>
        <v/>
      </c>
      <c r="O973" s="32">
        <f>IF($A973=1,Cash_Vouchers!$N77,"")</f>
        <v/>
      </c>
      <c r="P973" s="32">
        <f>IF($A973=1,IF(Cash_Vouchers!$AK77="","",Cash_Vouchers!$AK77),"")</f>
        <v/>
      </c>
      <c r="Q973" s="32">
        <f>IF($A973=1,Cash_Vouchers!$AM77,"")</f>
        <v/>
      </c>
      <c r="R973" s="32">
        <f>IF($A973=1,IF(AND($Q973=1,COUNTIFS(COA!$A:$A,$G973,COA!$R:$R,1)=1),1,0),"")</f>
        <v/>
      </c>
      <c r="S973" s="43">
        <f>IF($A973=1,IF($R973=1,N($M973),0),"")</f>
        <v/>
      </c>
      <c r="T973" s="43">
        <f>IF($A973=1,IF($R973=1,N($N973),0),"")</f>
        <v/>
      </c>
      <c r="U973" s="32">
        <f>IF($A973=1,YEAR($D973)*100+MONTH($D973),"")</f>
        <v/>
      </c>
      <c r="V973" s="32">
        <f>IF($A973=1,IF(COUNTIF(COA!$A:$A,$G973)=0,0,INDEX(COA!$H:$H,MATCH($G973,COA!$A:$A,0))),"")</f>
        <v/>
      </c>
      <c r="W973" s="32">
        <f>IF($A973=1,IF(Cash_Vouchers!$AI77="","",Cash_Vouchers!$AI77),"")</f>
        <v/>
      </c>
      <c r="X973" s="32">
        <f>IF($A973=1,IF($R973=1,"",IF($O973=ST_POST,IF($P973&lt;&gt;"",$P973,"حساب غير صالح أو غير نشط"),IF($O973=ST_REV,"معكوس: لا أثر على الدفاتر",IF($O973=ST_CANC,"ملغى",IF($O973=ST_APPR,"معتمد ولم يُرحَّل","مسودة"))))),"")</f>
        <v/>
      </c>
      <c r="Y973" s="32">
        <f>IF($A973=1,IF(AND($R973=1,OR(LG_Acct="",$G973=LG_Acct),OR(LG_Party="",$K973=LG_Party),OR(LG_Loc="ALL",$I973=LG_Loc),OR(LG_CC="ALL",$J973=LG_CC),$D973&gt;=LG_From,$D973&lt;=LG_To),$D973+ROW()/1000000,""),"")</f>
        <v/>
      </c>
      <c r="Z973" s="32">
        <f>IF($A973=1,IF(Cash_Vouchers!$O77="","",Cash_Vouchers!$O77),"")</f>
        <v/>
      </c>
      <c r="AA973" s="32">
        <f>IF($A973=1,IF(Cash_Vouchers!$P77="","",Cash_Vouchers!$P77),"")</f>
        <v/>
      </c>
      <c r="AB973" s="32">
        <f>IF($A973=1,IF(Cash_Vouchers!$Q77="","",Cash_Vouchers!$Q77),"")</f>
        <v/>
      </c>
      <c r="AC973" s="32">
        <f>IF($A973=1,IF(Cash_Vouchers!$R77="","",Cash_Vouchers!$R77),"")</f>
        <v/>
      </c>
      <c r="AD973" s="32">
        <f>IF($A973=1,IF(Cash_Vouchers!$S77="","",Cash_Vouchers!$S77),"")</f>
        <v/>
      </c>
      <c r="AE973" s="32">
        <f>IF($A973=1,0,"")</f>
        <v/>
      </c>
      <c r="AF973" s="32" t="inlineStr"/>
    </row>
    <row r="974">
      <c r="A974" s="32">
        <f>IF(AND(Cash_Vouchers!$AJ77=1,N(Cash_Vouchers!$I77)&gt;0),1,0)</f>
        <v/>
      </c>
      <c r="B974" s="32">
        <f>IF($A974=1,$E974&amp;"/2","")</f>
        <v/>
      </c>
      <c r="C974" s="32">
        <f>IF($A974=1,"J-"&amp;Cash_Vouchers!$A77,"")</f>
        <v/>
      </c>
      <c r="D974" s="33">
        <f>IF($A974=1,Cash_Vouchers!$B77,"")</f>
        <v/>
      </c>
      <c r="E974" s="32">
        <f>IF($A974=1,IF(Cash_Vouchers!$A77="","",Cash_Vouchers!$A77),"")</f>
        <v/>
      </c>
      <c r="F974" s="32">
        <f>IF($A974=1,"CV","")</f>
        <v/>
      </c>
      <c r="G974" s="32">
        <f>IF($A974=1,IF(Cash_Vouchers!$AB77="","",Cash_Vouchers!$AB77),"")</f>
        <v/>
      </c>
      <c r="H974" s="32">
        <f>IF($A974=1,IF(COUNTIF(COA!$A:$A,$G974)=0,"حساب غير معرف",INDEX(COA!$B:$B,MATCH($G974,COA!$A:$A,0))),"")</f>
        <v/>
      </c>
      <c r="I974" s="32">
        <f>IF($A974=1,IF(Cash_Vouchers!$AD77="","",Cash_Vouchers!$AD77),"")</f>
        <v/>
      </c>
      <c r="J974" s="32">
        <f>IF($A974=1,IF(Cash_Vouchers!$AF77="","",Cash_Vouchers!$AF77),"")</f>
        <v/>
      </c>
      <c r="K974" s="32">
        <f>IF($A974=1,IF(Cash_Vouchers!$AH77="","",Cash_Vouchers!$AH77),"")</f>
        <v/>
      </c>
      <c r="L974" s="32">
        <f>IF($A974=1,IF(Cash_Vouchers!$K77="",Cash_Vouchers!$C77&amp;" - "&amp;Cash_Vouchers!$H77,Cash_Vouchers!$K77),"")</f>
        <v/>
      </c>
      <c r="M974" s="43">
        <f>IF($A974=1,0,"")</f>
        <v/>
      </c>
      <c r="N974" s="43">
        <f>IF($A974=1,Cash_Vouchers!$I77,"")</f>
        <v/>
      </c>
      <c r="O974" s="32">
        <f>IF($A974=1,Cash_Vouchers!$N77,"")</f>
        <v/>
      </c>
      <c r="P974" s="32">
        <f>IF($A974=1,IF(Cash_Vouchers!$AK77="","",Cash_Vouchers!$AK77),"")</f>
        <v/>
      </c>
      <c r="Q974" s="32">
        <f>IF($A974=1,Cash_Vouchers!$AM77,"")</f>
        <v/>
      </c>
      <c r="R974" s="32">
        <f>IF($A974=1,IF(AND($Q974=1,COUNTIFS(COA!$A:$A,$G974,COA!$R:$R,1)=1),1,0),"")</f>
        <v/>
      </c>
      <c r="S974" s="43">
        <f>IF($A974=1,IF($R974=1,N($M974),0),"")</f>
        <v/>
      </c>
      <c r="T974" s="43">
        <f>IF($A974=1,IF($R974=1,N($N974),0),"")</f>
        <v/>
      </c>
      <c r="U974" s="32">
        <f>IF($A974=1,YEAR($D974)*100+MONTH($D974),"")</f>
        <v/>
      </c>
      <c r="V974" s="32">
        <f>IF($A974=1,IF(COUNTIF(COA!$A:$A,$G974)=0,0,INDEX(COA!$H:$H,MATCH($G974,COA!$A:$A,0))),"")</f>
        <v/>
      </c>
      <c r="W974" s="32">
        <f>IF($A974=1,IF(Cash_Vouchers!$AI77="","",Cash_Vouchers!$AI77),"")</f>
        <v/>
      </c>
      <c r="X974" s="32">
        <f>IF($A974=1,IF($R974=1,"",IF($O974=ST_POST,IF($P974&lt;&gt;"",$P974,"حساب غير صالح أو غير نشط"),IF($O974=ST_REV,"معكوس: لا أثر على الدفاتر",IF($O974=ST_CANC,"ملغى",IF($O974=ST_APPR,"معتمد ولم يُرحَّل","مسودة"))))),"")</f>
        <v/>
      </c>
      <c r="Y974" s="32">
        <f>IF($A974=1,IF(AND($R974=1,OR(LG_Acct="",$G974=LG_Acct),OR(LG_Party="",$K974=LG_Party),OR(LG_Loc="ALL",$I974=LG_Loc),OR(LG_CC="ALL",$J974=LG_CC),$D974&gt;=LG_From,$D974&lt;=LG_To),$D974+ROW()/1000000,""),"")</f>
        <v/>
      </c>
      <c r="Z974" s="32">
        <f>IF($A974=1,IF(Cash_Vouchers!$O77="","",Cash_Vouchers!$O77),"")</f>
        <v/>
      </c>
      <c r="AA974" s="32">
        <f>IF($A974=1,IF(Cash_Vouchers!$P77="","",Cash_Vouchers!$P77),"")</f>
        <v/>
      </c>
      <c r="AB974" s="32">
        <f>IF($A974=1,IF(Cash_Vouchers!$Q77="","",Cash_Vouchers!$Q77),"")</f>
        <v/>
      </c>
      <c r="AC974" s="32">
        <f>IF($A974=1,IF(Cash_Vouchers!$R77="","",Cash_Vouchers!$R77),"")</f>
        <v/>
      </c>
      <c r="AD974" s="32">
        <f>IF($A974=1,IF(Cash_Vouchers!$S77="","",Cash_Vouchers!$S77),"")</f>
        <v/>
      </c>
      <c r="AE974" s="32">
        <f>IF($A974=1,0,"")</f>
        <v/>
      </c>
      <c r="AF974" s="32" t="inlineStr"/>
    </row>
    <row r="975">
      <c r="A975" s="32">
        <f>IF(AND(Cash_Vouchers!$AJ78=1,N(Cash_Vouchers!$I78)&gt;0),1,0)</f>
        <v/>
      </c>
      <c r="B975" s="32">
        <f>IF($A975=1,$E975&amp;"/1","")</f>
        <v/>
      </c>
      <c r="C975" s="32">
        <f>IF($A975=1,"J-"&amp;Cash_Vouchers!$A78,"")</f>
        <v/>
      </c>
      <c r="D975" s="33">
        <f>IF($A975=1,Cash_Vouchers!$B78,"")</f>
        <v/>
      </c>
      <c r="E975" s="32">
        <f>IF($A975=1,IF(Cash_Vouchers!$A78="","",Cash_Vouchers!$A78),"")</f>
        <v/>
      </c>
      <c r="F975" s="32">
        <f>IF($A975=1,"CV","")</f>
        <v/>
      </c>
      <c r="G975" s="32">
        <f>IF($A975=1,IF(Cash_Vouchers!$AA78="","",Cash_Vouchers!$AA78),"")</f>
        <v/>
      </c>
      <c r="H975" s="32">
        <f>IF($A975=1,IF(COUNTIF(COA!$A:$A,$G975)=0,"حساب غير معرف",INDEX(COA!$B:$B,MATCH($G975,COA!$A:$A,0))),"")</f>
        <v/>
      </c>
      <c r="I975" s="32">
        <f>IF($A975=1,IF(Cash_Vouchers!$AC78="","",Cash_Vouchers!$AC78),"")</f>
        <v/>
      </c>
      <c r="J975" s="32">
        <f>IF($A975=1,IF(Cash_Vouchers!$AE78="","",Cash_Vouchers!$AE78),"")</f>
        <v/>
      </c>
      <c r="K975" s="32">
        <f>IF($A975=1,IF(Cash_Vouchers!$AG78="","",Cash_Vouchers!$AG78),"")</f>
        <v/>
      </c>
      <c r="L975" s="32">
        <f>IF($A975=1,IF(Cash_Vouchers!$K78="",Cash_Vouchers!$C78&amp;" - "&amp;Cash_Vouchers!$H78,Cash_Vouchers!$K78),"")</f>
        <v/>
      </c>
      <c r="M975" s="43">
        <f>IF($A975=1,Cash_Vouchers!$I78,"")</f>
        <v/>
      </c>
      <c r="N975" s="43">
        <f>IF($A975=1,0,"")</f>
        <v/>
      </c>
      <c r="O975" s="32">
        <f>IF($A975=1,Cash_Vouchers!$N78,"")</f>
        <v/>
      </c>
      <c r="P975" s="32">
        <f>IF($A975=1,IF(Cash_Vouchers!$AK78="","",Cash_Vouchers!$AK78),"")</f>
        <v/>
      </c>
      <c r="Q975" s="32">
        <f>IF($A975=1,Cash_Vouchers!$AM78,"")</f>
        <v/>
      </c>
      <c r="R975" s="32">
        <f>IF($A975=1,IF(AND($Q975=1,COUNTIFS(COA!$A:$A,$G975,COA!$R:$R,1)=1),1,0),"")</f>
        <v/>
      </c>
      <c r="S975" s="43">
        <f>IF($A975=1,IF($R975=1,N($M975),0),"")</f>
        <v/>
      </c>
      <c r="T975" s="43">
        <f>IF($A975=1,IF($R975=1,N($N975),0),"")</f>
        <v/>
      </c>
      <c r="U975" s="32">
        <f>IF($A975=1,YEAR($D975)*100+MONTH($D975),"")</f>
        <v/>
      </c>
      <c r="V975" s="32">
        <f>IF($A975=1,IF(COUNTIF(COA!$A:$A,$G975)=0,0,INDEX(COA!$H:$H,MATCH($G975,COA!$A:$A,0))),"")</f>
        <v/>
      </c>
      <c r="W975" s="32">
        <f>IF($A975=1,IF(Cash_Vouchers!$AI78="","",Cash_Vouchers!$AI78),"")</f>
        <v/>
      </c>
      <c r="X975" s="32">
        <f>IF($A975=1,IF($R975=1,"",IF($O975=ST_POST,IF($P975&lt;&gt;"",$P975,"حساب غير صالح أو غير نشط"),IF($O975=ST_REV,"معكوس: لا أثر على الدفاتر",IF($O975=ST_CANC,"ملغى",IF($O975=ST_APPR,"معتمد ولم يُرحَّل","مسودة"))))),"")</f>
        <v/>
      </c>
      <c r="Y975" s="32">
        <f>IF($A975=1,IF(AND($R975=1,OR(LG_Acct="",$G975=LG_Acct),OR(LG_Party="",$K975=LG_Party),OR(LG_Loc="ALL",$I975=LG_Loc),OR(LG_CC="ALL",$J975=LG_CC),$D975&gt;=LG_From,$D975&lt;=LG_To),$D975+ROW()/1000000,""),"")</f>
        <v/>
      </c>
      <c r="Z975" s="32">
        <f>IF($A975=1,IF(Cash_Vouchers!$O78="","",Cash_Vouchers!$O78),"")</f>
        <v/>
      </c>
      <c r="AA975" s="32">
        <f>IF($A975=1,IF(Cash_Vouchers!$P78="","",Cash_Vouchers!$P78),"")</f>
        <v/>
      </c>
      <c r="AB975" s="32">
        <f>IF($A975=1,IF(Cash_Vouchers!$Q78="","",Cash_Vouchers!$Q78),"")</f>
        <v/>
      </c>
      <c r="AC975" s="32">
        <f>IF($A975=1,IF(Cash_Vouchers!$R78="","",Cash_Vouchers!$R78),"")</f>
        <v/>
      </c>
      <c r="AD975" s="32">
        <f>IF($A975=1,IF(Cash_Vouchers!$S78="","",Cash_Vouchers!$S78),"")</f>
        <v/>
      </c>
      <c r="AE975" s="32">
        <f>IF($A975=1,0,"")</f>
        <v/>
      </c>
      <c r="AF975" s="32" t="inlineStr"/>
    </row>
    <row r="976">
      <c r="A976" s="32">
        <f>IF(AND(Cash_Vouchers!$AJ78=1,N(Cash_Vouchers!$I78)&gt;0),1,0)</f>
        <v/>
      </c>
      <c r="B976" s="32">
        <f>IF($A976=1,$E976&amp;"/2","")</f>
        <v/>
      </c>
      <c r="C976" s="32">
        <f>IF($A976=1,"J-"&amp;Cash_Vouchers!$A78,"")</f>
        <v/>
      </c>
      <c r="D976" s="33">
        <f>IF($A976=1,Cash_Vouchers!$B78,"")</f>
        <v/>
      </c>
      <c r="E976" s="32">
        <f>IF($A976=1,IF(Cash_Vouchers!$A78="","",Cash_Vouchers!$A78),"")</f>
        <v/>
      </c>
      <c r="F976" s="32">
        <f>IF($A976=1,"CV","")</f>
        <v/>
      </c>
      <c r="G976" s="32">
        <f>IF($A976=1,IF(Cash_Vouchers!$AB78="","",Cash_Vouchers!$AB78),"")</f>
        <v/>
      </c>
      <c r="H976" s="32">
        <f>IF($A976=1,IF(COUNTIF(COA!$A:$A,$G976)=0,"حساب غير معرف",INDEX(COA!$B:$B,MATCH($G976,COA!$A:$A,0))),"")</f>
        <v/>
      </c>
      <c r="I976" s="32">
        <f>IF($A976=1,IF(Cash_Vouchers!$AD78="","",Cash_Vouchers!$AD78),"")</f>
        <v/>
      </c>
      <c r="J976" s="32">
        <f>IF($A976=1,IF(Cash_Vouchers!$AF78="","",Cash_Vouchers!$AF78),"")</f>
        <v/>
      </c>
      <c r="K976" s="32">
        <f>IF($A976=1,IF(Cash_Vouchers!$AH78="","",Cash_Vouchers!$AH78),"")</f>
        <v/>
      </c>
      <c r="L976" s="32">
        <f>IF($A976=1,IF(Cash_Vouchers!$K78="",Cash_Vouchers!$C78&amp;" - "&amp;Cash_Vouchers!$H78,Cash_Vouchers!$K78),"")</f>
        <v/>
      </c>
      <c r="M976" s="43">
        <f>IF($A976=1,0,"")</f>
        <v/>
      </c>
      <c r="N976" s="43">
        <f>IF($A976=1,Cash_Vouchers!$I78,"")</f>
        <v/>
      </c>
      <c r="O976" s="32">
        <f>IF($A976=1,Cash_Vouchers!$N78,"")</f>
        <v/>
      </c>
      <c r="P976" s="32">
        <f>IF($A976=1,IF(Cash_Vouchers!$AK78="","",Cash_Vouchers!$AK78),"")</f>
        <v/>
      </c>
      <c r="Q976" s="32">
        <f>IF($A976=1,Cash_Vouchers!$AM78,"")</f>
        <v/>
      </c>
      <c r="R976" s="32">
        <f>IF($A976=1,IF(AND($Q976=1,COUNTIFS(COA!$A:$A,$G976,COA!$R:$R,1)=1),1,0),"")</f>
        <v/>
      </c>
      <c r="S976" s="43">
        <f>IF($A976=1,IF($R976=1,N($M976),0),"")</f>
        <v/>
      </c>
      <c r="T976" s="43">
        <f>IF($A976=1,IF($R976=1,N($N976),0),"")</f>
        <v/>
      </c>
      <c r="U976" s="32">
        <f>IF($A976=1,YEAR($D976)*100+MONTH($D976),"")</f>
        <v/>
      </c>
      <c r="V976" s="32">
        <f>IF($A976=1,IF(COUNTIF(COA!$A:$A,$G976)=0,0,INDEX(COA!$H:$H,MATCH($G976,COA!$A:$A,0))),"")</f>
        <v/>
      </c>
      <c r="W976" s="32">
        <f>IF($A976=1,IF(Cash_Vouchers!$AI78="","",Cash_Vouchers!$AI78),"")</f>
        <v/>
      </c>
      <c r="X976" s="32">
        <f>IF($A976=1,IF($R976=1,"",IF($O976=ST_POST,IF($P976&lt;&gt;"",$P976,"حساب غير صالح أو غير نشط"),IF($O976=ST_REV,"معكوس: لا أثر على الدفاتر",IF($O976=ST_CANC,"ملغى",IF($O976=ST_APPR,"معتمد ولم يُرحَّل","مسودة"))))),"")</f>
        <v/>
      </c>
      <c r="Y976" s="32">
        <f>IF($A976=1,IF(AND($R976=1,OR(LG_Acct="",$G976=LG_Acct),OR(LG_Party="",$K976=LG_Party),OR(LG_Loc="ALL",$I976=LG_Loc),OR(LG_CC="ALL",$J976=LG_CC),$D976&gt;=LG_From,$D976&lt;=LG_To),$D976+ROW()/1000000,""),"")</f>
        <v/>
      </c>
      <c r="Z976" s="32">
        <f>IF($A976=1,IF(Cash_Vouchers!$O78="","",Cash_Vouchers!$O78),"")</f>
        <v/>
      </c>
      <c r="AA976" s="32">
        <f>IF($A976=1,IF(Cash_Vouchers!$P78="","",Cash_Vouchers!$P78),"")</f>
        <v/>
      </c>
      <c r="AB976" s="32">
        <f>IF($A976=1,IF(Cash_Vouchers!$Q78="","",Cash_Vouchers!$Q78),"")</f>
        <v/>
      </c>
      <c r="AC976" s="32">
        <f>IF($A976=1,IF(Cash_Vouchers!$R78="","",Cash_Vouchers!$R78),"")</f>
        <v/>
      </c>
      <c r="AD976" s="32">
        <f>IF($A976=1,IF(Cash_Vouchers!$S78="","",Cash_Vouchers!$S78),"")</f>
        <v/>
      </c>
      <c r="AE976" s="32">
        <f>IF($A976=1,0,"")</f>
        <v/>
      </c>
      <c r="AF976" s="32" t="inlineStr"/>
    </row>
    <row r="977">
      <c r="A977" s="32">
        <f>IF(AND(Cash_Vouchers!$AJ79=1,N(Cash_Vouchers!$I79)&gt;0),1,0)</f>
        <v/>
      </c>
      <c r="B977" s="32">
        <f>IF($A977=1,$E977&amp;"/1","")</f>
        <v/>
      </c>
      <c r="C977" s="32">
        <f>IF($A977=1,"J-"&amp;Cash_Vouchers!$A79,"")</f>
        <v/>
      </c>
      <c r="D977" s="33">
        <f>IF($A977=1,Cash_Vouchers!$B79,"")</f>
        <v/>
      </c>
      <c r="E977" s="32">
        <f>IF($A977=1,IF(Cash_Vouchers!$A79="","",Cash_Vouchers!$A79),"")</f>
        <v/>
      </c>
      <c r="F977" s="32">
        <f>IF($A977=1,"CV","")</f>
        <v/>
      </c>
      <c r="G977" s="32">
        <f>IF($A977=1,IF(Cash_Vouchers!$AA79="","",Cash_Vouchers!$AA79),"")</f>
        <v/>
      </c>
      <c r="H977" s="32">
        <f>IF($A977=1,IF(COUNTIF(COA!$A:$A,$G977)=0,"حساب غير معرف",INDEX(COA!$B:$B,MATCH($G977,COA!$A:$A,0))),"")</f>
        <v/>
      </c>
      <c r="I977" s="32">
        <f>IF($A977=1,IF(Cash_Vouchers!$AC79="","",Cash_Vouchers!$AC79),"")</f>
        <v/>
      </c>
      <c r="J977" s="32">
        <f>IF($A977=1,IF(Cash_Vouchers!$AE79="","",Cash_Vouchers!$AE79),"")</f>
        <v/>
      </c>
      <c r="K977" s="32">
        <f>IF($A977=1,IF(Cash_Vouchers!$AG79="","",Cash_Vouchers!$AG79),"")</f>
        <v/>
      </c>
      <c r="L977" s="32">
        <f>IF($A977=1,IF(Cash_Vouchers!$K79="",Cash_Vouchers!$C79&amp;" - "&amp;Cash_Vouchers!$H79,Cash_Vouchers!$K79),"")</f>
        <v/>
      </c>
      <c r="M977" s="43">
        <f>IF($A977=1,Cash_Vouchers!$I79,"")</f>
        <v/>
      </c>
      <c r="N977" s="43">
        <f>IF($A977=1,0,"")</f>
        <v/>
      </c>
      <c r="O977" s="32">
        <f>IF($A977=1,Cash_Vouchers!$N79,"")</f>
        <v/>
      </c>
      <c r="P977" s="32">
        <f>IF($A977=1,IF(Cash_Vouchers!$AK79="","",Cash_Vouchers!$AK79),"")</f>
        <v/>
      </c>
      <c r="Q977" s="32">
        <f>IF($A977=1,Cash_Vouchers!$AM79,"")</f>
        <v/>
      </c>
      <c r="R977" s="32">
        <f>IF($A977=1,IF(AND($Q977=1,COUNTIFS(COA!$A:$A,$G977,COA!$R:$R,1)=1),1,0),"")</f>
        <v/>
      </c>
      <c r="S977" s="43">
        <f>IF($A977=1,IF($R977=1,N($M977),0),"")</f>
        <v/>
      </c>
      <c r="T977" s="43">
        <f>IF($A977=1,IF($R977=1,N($N977),0),"")</f>
        <v/>
      </c>
      <c r="U977" s="32">
        <f>IF($A977=1,YEAR($D977)*100+MONTH($D977),"")</f>
        <v/>
      </c>
      <c r="V977" s="32">
        <f>IF($A977=1,IF(COUNTIF(COA!$A:$A,$G977)=0,0,INDEX(COA!$H:$H,MATCH($G977,COA!$A:$A,0))),"")</f>
        <v/>
      </c>
      <c r="W977" s="32">
        <f>IF($A977=1,IF(Cash_Vouchers!$AI79="","",Cash_Vouchers!$AI79),"")</f>
        <v/>
      </c>
      <c r="X977" s="32">
        <f>IF($A977=1,IF($R977=1,"",IF($O977=ST_POST,IF($P977&lt;&gt;"",$P977,"حساب غير صالح أو غير نشط"),IF($O977=ST_REV,"معكوس: لا أثر على الدفاتر",IF($O977=ST_CANC,"ملغى",IF($O977=ST_APPR,"معتمد ولم يُرحَّل","مسودة"))))),"")</f>
        <v/>
      </c>
      <c r="Y977" s="32">
        <f>IF($A977=1,IF(AND($R977=1,OR(LG_Acct="",$G977=LG_Acct),OR(LG_Party="",$K977=LG_Party),OR(LG_Loc="ALL",$I977=LG_Loc),OR(LG_CC="ALL",$J977=LG_CC),$D977&gt;=LG_From,$D977&lt;=LG_To),$D977+ROW()/1000000,""),"")</f>
        <v/>
      </c>
      <c r="Z977" s="32">
        <f>IF($A977=1,IF(Cash_Vouchers!$O79="","",Cash_Vouchers!$O79),"")</f>
        <v/>
      </c>
      <c r="AA977" s="32">
        <f>IF($A977=1,IF(Cash_Vouchers!$P79="","",Cash_Vouchers!$P79),"")</f>
        <v/>
      </c>
      <c r="AB977" s="32">
        <f>IF($A977=1,IF(Cash_Vouchers!$Q79="","",Cash_Vouchers!$Q79),"")</f>
        <v/>
      </c>
      <c r="AC977" s="32">
        <f>IF($A977=1,IF(Cash_Vouchers!$R79="","",Cash_Vouchers!$R79),"")</f>
        <v/>
      </c>
      <c r="AD977" s="32">
        <f>IF($A977=1,IF(Cash_Vouchers!$S79="","",Cash_Vouchers!$S79),"")</f>
        <v/>
      </c>
      <c r="AE977" s="32">
        <f>IF($A977=1,0,"")</f>
        <v/>
      </c>
      <c r="AF977" s="32" t="inlineStr"/>
    </row>
    <row r="978">
      <c r="A978" s="32">
        <f>IF(AND(Cash_Vouchers!$AJ79=1,N(Cash_Vouchers!$I79)&gt;0),1,0)</f>
        <v/>
      </c>
      <c r="B978" s="32">
        <f>IF($A978=1,$E978&amp;"/2","")</f>
        <v/>
      </c>
      <c r="C978" s="32">
        <f>IF($A978=1,"J-"&amp;Cash_Vouchers!$A79,"")</f>
        <v/>
      </c>
      <c r="D978" s="33">
        <f>IF($A978=1,Cash_Vouchers!$B79,"")</f>
        <v/>
      </c>
      <c r="E978" s="32">
        <f>IF($A978=1,IF(Cash_Vouchers!$A79="","",Cash_Vouchers!$A79),"")</f>
        <v/>
      </c>
      <c r="F978" s="32">
        <f>IF($A978=1,"CV","")</f>
        <v/>
      </c>
      <c r="G978" s="32">
        <f>IF($A978=1,IF(Cash_Vouchers!$AB79="","",Cash_Vouchers!$AB79),"")</f>
        <v/>
      </c>
      <c r="H978" s="32">
        <f>IF($A978=1,IF(COUNTIF(COA!$A:$A,$G978)=0,"حساب غير معرف",INDEX(COA!$B:$B,MATCH($G978,COA!$A:$A,0))),"")</f>
        <v/>
      </c>
      <c r="I978" s="32">
        <f>IF($A978=1,IF(Cash_Vouchers!$AD79="","",Cash_Vouchers!$AD79),"")</f>
        <v/>
      </c>
      <c r="J978" s="32">
        <f>IF($A978=1,IF(Cash_Vouchers!$AF79="","",Cash_Vouchers!$AF79),"")</f>
        <v/>
      </c>
      <c r="K978" s="32">
        <f>IF($A978=1,IF(Cash_Vouchers!$AH79="","",Cash_Vouchers!$AH79),"")</f>
        <v/>
      </c>
      <c r="L978" s="32">
        <f>IF($A978=1,IF(Cash_Vouchers!$K79="",Cash_Vouchers!$C79&amp;" - "&amp;Cash_Vouchers!$H79,Cash_Vouchers!$K79),"")</f>
        <v/>
      </c>
      <c r="M978" s="43">
        <f>IF($A978=1,0,"")</f>
        <v/>
      </c>
      <c r="N978" s="43">
        <f>IF($A978=1,Cash_Vouchers!$I79,"")</f>
        <v/>
      </c>
      <c r="O978" s="32">
        <f>IF($A978=1,Cash_Vouchers!$N79,"")</f>
        <v/>
      </c>
      <c r="P978" s="32">
        <f>IF($A978=1,IF(Cash_Vouchers!$AK79="","",Cash_Vouchers!$AK79),"")</f>
        <v/>
      </c>
      <c r="Q978" s="32">
        <f>IF($A978=1,Cash_Vouchers!$AM79,"")</f>
        <v/>
      </c>
      <c r="R978" s="32">
        <f>IF($A978=1,IF(AND($Q978=1,COUNTIFS(COA!$A:$A,$G978,COA!$R:$R,1)=1),1,0),"")</f>
        <v/>
      </c>
      <c r="S978" s="43">
        <f>IF($A978=1,IF($R978=1,N($M978),0),"")</f>
        <v/>
      </c>
      <c r="T978" s="43">
        <f>IF($A978=1,IF($R978=1,N($N978),0),"")</f>
        <v/>
      </c>
      <c r="U978" s="32">
        <f>IF($A978=1,YEAR($D978)*100+MONTH($D978),"")</f>
        <v/>
      </c>
      <c r="V978" s="32">
        <f>IF($A978=1,IF(COUNTIF(COA!$A:$A,$G978)=0,0,INDEX(COA!$H:$H,MATCH($G978,COA!$A:$A,0))),"")</f>
        <v/>
      </c>
      <c r="W978" s="32">
        <f>IF($A978=1,IF(Cash_Vouchers!$AI79="","",Cash_Vouchers!$AI79),"")</f>
        <v/>
      </c>
      <c r="X978" s="32">
        <f>IF($A978=1,IF($R978=1,"",IF($O978=ST_POST,IF($P978&lt;&gt;"",$P978,"حساب غير صالح أو غير نشط"),IF($O978=ST_REV,"معكوس: لا أثر على الدفاتر",IF($O978=ST_CANC,"ملغى",IF($O978=ST_APPR,"معتمد ولم يُرحَّل","مسودة"))))),"")</f>
        <v/>
      </c>
      <c r="Y978" s="32">
        <f>IF($A978=1,IF(AND($R978=1,OR(LG_Acct="",$G978=LG_Acct),OR(LG_Party="",$K978=LG_Party),OR(LG_Loc="ALL",$I978=LG_Loc),OR(LG_CC="ALL",$J978=LG_CC),$D978&gt;=LG_From,$D978&lt;=LG_To),$D978+ROW()/1000000,""),"")</f>
        <v/>
      </c>
      <c r="Z978" s="32">
        <f>IF($A978=1,IF(Cash_Vouchers!$O79="","",Cash_Vouchers!$O79),"")</f>
        <v/>
      </c>
      <c r="AA978" s="32">
        <f>IF($A978=1,IF(Cash_Vouchers!$P79="","",Cash_Vouchers!$P79),"")</f>
        <v/>
      </c>
      <c r="AB978" s="32">
        <f>IF($A978=1,IF(Cash_Vouchers!$Q79="","",Cash_Vouchers!$Q79),"")</f>
        <v/>
      </c>
      <c r="AC978" s="32">
        <f>IF($A978=1,IF(Cash_Vouchers!$R79="","",Cash_Vouchers!$R79),"")</f>
        <v/>
      </c>
      <c r="AD978" s="32">
        <f>IF($A978=1,IF(Cash_Vouchers!$S79="","",Cash_Vouchers!$S79),"")</f>
        <v/>
      </c>
      <c r="AE978" s="32">
        <f>IF($A978=1,0,"")</f>
        <v/>
      </c>
      <c r="AF978" s="32" t="inlineStr"/>
    </row>
    <row r="979">
      <c r="A979" s="32">
        <f>IF(AND(Cash_Vouchers!$AJ80=1,N(Cash_Vouchers!$I80)&gt;0),1,0)</f>
        <v/>
      </c>
      <c r="B979" s="32">
        <f>IF($A979=1,$E979&amp;"/1","")</f>
        <v/>
      </c>
      <c r="C979" s="32">
        <f>IF($A979=1,"J-"&amp;Cash_Vouchers!$A80,"")</f>
        <v/>
      </c>
      <c r="D979" s="33">
        <f>IF($A979=1,Cash_Vouchers!$B80,"")</f>
        <v/>
      </c>
      <c r="E979" s="32">
        <f>IF($A979=1,IF(Cash_Vouchers!$A80="","",Cash_Vouchers!$A80),"")</f>
        <v/>
      </c>
      <c r="F979" s="32">
        <f>IF($A979=1,"CV","")</f>
        <v/>
      </c>
      <c r="G979" s="32">
        <f>IF($A979=1,IF(Cash_Vouchers!$AA80="","",Cash_Vouchers!$AA80),"")</f>
        <v/>
      </c>
      <c r="H979" s="32">
        <f>IF($A979=1,IF(COUNTIF(COA!$A:$A,$G979)=0,"حساب غير معرف",INDEX(COA!$B:$B,MATCH($G979,COA!$A:$A,0))),"")</f>
        <v/>
      </c>
      <c r="I979" s="32">
        <f>IF($A979=1,IF(Cash_Vouchers!$AC80="","",Cash_Vouchers!$AC80),"")</f>
        <v/>
      </c>
      <c r="J979" s="32">
        <f>IF($A979=1,IF(Cash_Vouchers!$AE80="","",Cash_Vouchers!$AE80),"")</f>
        <v/>
      </c>
      <c r="K979" s="32">
        <f>IF($A979=1,IF(Cash_Vouchers!$AG80="","",Cash_Vouchers!$AG80),"")</f>
        <v/>
      </c>
      <c r="L979" s="32">
        <f>IF($A979=1,IF(Cash_Vouchers!$K80="",Cash_Vouchers!$C80&amp;" - "&amp;Cash_Vouchers!$H80,Cash_Vouchers!$K80),"")</f>
        <v/>
      </c>
      <c r="M979" s="43">
        <f>IF($A979=1,Cash_Vouchers!$I80,"")</f>
        <v/>
      </c>
      <c r="N979" s="43">
        <f>IF($A979=1,0,"")</f>
        <v/>
      </c>
      <c r="O979" s="32">
        <f>IF($A979=1,Cash_Vouchers!$N80,"")</f>
        <v/>
      </c>
      <c r="P979" s="32">
        <f>IF($A979=1,IF(Cash_Vouchers!$AK80="","",Cash_Vouchers!$AK80),"")</f>
        <v/>
      </c>
      <c r="Q979" s="32">
        <f>IF($A979=1,Cash_Vouchers!$AM80,"")</f>
        <v/>
      </c>
      <c r="R979" s="32">
        <f>IF($A979=1,IF(AND($Q979=1,COUNTIFS(COA!$A:$A,$G979,COA!$R:$R,1)=1),1,0),"")</f>
        <v/>
      </c>
      <c r="S979" s="43">
        <f>IF($A979=1,IF($R979=1,N($M979),0),"")</f>
        <v/>
      </c>
      <c r="T979" s="43">
        <f>IF($A979=1,IF($R979=1,N($N979),0),"")</f>
        <v/>
      </c>
      <c r="U979" s="32">
        <f>IF($A979=1,YEAR($D979)*100+MONTH($D979),"")</f>
        <v/>
      </c>
      <c r="V979" s="32">
        <f>IF($A979=1,IF(COUNTIF(COA!$A:$A,$G979)=0,0,INDEX(COA!$H:$H,MATCH($G979,COA!$A:$A,0))),"")</f>
        <v/>
      </c>
      <c r="W979" s="32">
        <f>IF($A979=1,IF(Cash_Vouchers!$AI80="","",Cash_Vouchers!$AI80),"")</f>
        <v/>
      </c>
      <c r="X979" s="32">
        <f>IF($A979=1,IF($R979=1,"",IF($O979=ST_POST,IF($P979&lt;&gt;"",$P979,"حساب غير صالح أو غير نشط"),IF($O979=ST_REV,"معكوس: لا أثر على الدفاتر",IF($O979=ST_CANC,"ملغى",IF($O979=ST_APPR,"معتمد ولم يُرحَّل","مسودة"))))),"")</f>
        <v/>
      </c>
      <c r="Y979" s="32">
        <f>IF($A979=1,IF(AND($R979=1,OR(LG_Acct="",$G979=LG_Acct),OR(LG_Party="",$K979=LG_Party),OR(LG_Loc="ALL",$I979=LG_Loc),OR(LG_CC="ALL",$J979=LG_CC),$D979&gt;=LG_From,$D979&lt;=LG_To),$D979+ROW()/1000000,""),"")</f>
        <v/>
      </c>
      <c r="Z979" s="32">
        <f>IF($A979=1,IF(Cash_Vouchers!$O80="","",Cash_Vouchers!$O80),"")</f>
        <v/>
      </c>
      <c r="AA979" s="32">
        <f>IF($A979=1,IF(Cash_Vouchers!$P80="","",Cash_Vouchers!$P80),"")</f>
        <v/>
      </c>
      <c r="AB979" s="32">
        <f>IF($A979=1,IF(Cash_Vouchers!$Q80="","",Cash_Vouchers!$Q80),"")</f>
        <v/>
      </c>
      <c r="AC979" s="32">
        <f>IF($A979=1,IF(Cash_Vouchers!$R80="","",Cash_Vouchers!$R80),"")</f>
        <v/>
      </c>
      <c r="AD979" s="32">
        <f>IF($A979=1,IF(Cash_Vouchers!$S80="","",Cash_Vouchers!$S80),"")</f>
        <v/>
      </c>
      <c r="AE979" s="32">
        <f>IF($A979=1,0,"")</f>
        <v/>
      </c>
      <c r="AF979" s="32" t="inlineStr"/>
    </row>
    <row r="980">
      <c r="A980" s="32">
        <f>IF(AND(Cash_Vouchers!$AJ80=1,N(Cash_Vouchers!$I80)&gt;0),1,0)</f>
        <v/>
      </c>
      <c r="B980" s="32">
        <f>IF($A980=1,$E980&amp;"/2","")</f>
        <v/>
      </c>
      <c r="C980" s="32">
        <f>IF($A980=1,"J-"&amp;Cash_Vouchers!$A80,"")</f>
        <v/>
      </c>
      <c r="D980" s="33">
        <f>IF($A980=1,Cash_Vouchers!$B80,"")</f>
        <v/>
      </c>
      <c r="E980" s="32">
        <f>IF($A980=1,IF(Cash_Vouchers!$A80="","",Cash_Vouchers!$A80),"")</f>
        <v/>
      </c>
      <c r="F980" s="32">
        <f>IF($A980=1,"CV","")</f>
        <v/>
      </c>
      <c r="G980" s="32">
        <f>IF($A980=1,IF(Cash_Vouchers!$AB80="","",Cash_Vouchers!$AB80),"")</f>
        <v/>
      </c>
      <c r="H980" s="32">
        <f>IF($A980=1,IF(COUNTIF(COA!$A:$A,$G980)=0,"حساب غير معرف",INDEX(COA!$B:$B,MATCH($G980,COA!$A:$A,0))),"")</f>
        <v/>
      </c>
      <c r="I980" s="32">
        <f>IF($A980=1,IF(Cash_Vouchers!$AD80="","",Cash_Vouchers!$AD80),"")</f>
        <v/>
      </c>
      <c r="J980" s="32">
        <f>IF($A980=1,IF(Cash_Vouchers!$AF80="","",Cash_Vouchers!$AF80),"")</f>
        <v/>
      </c>
      <c r="K980" s="32">
        <f>IF($A980=1,IF(Cash_Vouchers!$AH80="","",Cash_Vouchers!$AH80),"")</f>
        <v/>
      </c>
      <c r="L980" s="32">
        <f>IF($A980=1,IF(Cash_Vouchers!$K80="",Cash_Vouchers!$C80&amp;" - "&amp;Cash_Vouchers!$H80,Cash_Vouchers!$K80),"")</f>
        <v/>
      </c>
      <c r="M980" s="43">
        <f>IF($A980=1,0,"")</f>
        <v/>
      </c>
      <c r="N980" s="43">
        <f>IF($A980=1,Cash_Vouchers!$I80,"")</f>
        <v/>
      </c>
      <c r="O980" s="32">
        <f>IF($A980=1,Cash_Vouchers!$N80,"")</f>
        <v/>
      </c>
      <c r="P980" s="32">
        <f>IF($A980=1,IF(Cash_Vouchers!$AK80="","",Cash_Vouchers!$AK80),"")</f>
        <v/>
      </c>
      <c r="Q980" s="32">
        <f>IF($A980=1,Cash_Vouchers!$AM80,"")</f>
        <v/>
      </c>
      <c r="R980" s="32">
        <f>IF($A980=1,IF(AND($Q980=1,COUNTIFS(COA!$A:$A,$G980,COA!$R:$R,1)=1),1,0),"")</f>
        <v/>
      </c>
      <c r="S980" s="43">
        <f>IF($A980=1,IF($R980=1,N($M980),0),"")</f>
        <v/>
      </c>
      <c r="T980" s="43">
        <f>IF($A980=1,IF($R980=1,N($N980),0),"")</f>
        <v/>
      </c>
      <c r="U980" s="32">
        <f>IF($A980=1,YEAR($D980)*100+MONTH($D980),"")</f>
        <v/>
      </c>
      <c r="V980" s="32">
        <f>IF($A980=1,IF(COUNTIF(COA!$A:$A,$G980)=0,0,INDEX(COA!$H:$H,MATCH($G980,COA!$A:$A,0))),"")</f>
        <v/>
      </c>
      <c r="W980" s="32">
        <f>IF($A980=1,IF(Cash_Vouchers!$AI80="","",Cash_Vouchers!$AI80),"")</f>
        <v/>
      </c>
      <c r="X980" s="32">
        <f>IF($A980=1,IF($R980=1,"",IF($O980=ST_POST,IF($P980&lt;&gt;"",$P980,"حساب غير صالح أو غير نشط"),IF($O980=ST_REV,"معكوس: لا أثر على الدفاتر",IF($O980=ST_CANC,"ملغى",IF($O980=ST_APPR,"معتمد ولم يُرحَّل","مسودة"))))),"")</f>
        <v/>
      </c>
      <c r="Y980" s="32">
        <f>IF($A980=1,IF(AND($R980=1,OR(LG_Acct="",$G980=LG_Acct),OR(LG_Party="",$K980=LG_Party),OR(LG_Loc="ALL",$I980=LG_Loc),OR(LG_CC="ALL",$J980=LG_CC),$D980&gt;=LG_From,$D980&lt;=LG_To),$D980+ROW()/1000000,""),"")</f>
        <v/>
      </c>
      <c r="Z980" s="32">
        <f>IF($A980=1,IF(Cash_Vouchers!$O80="","",Cash_Vouchers!$O80),"")</f>
        <v/>
      </c>
      <c r="AA980" s="32">
        <f>IF($A980=1,IF(Cash_Vouchers!$P80="","",Cash_Vouchers!$P80),"")</f>
        <v/>
      </c>
      <c r="AB980" s="32">
        <f>IF($A980=1,IF(Cash_Vouchers!$Q80="","",Cash_Vouchers!$Q80),"")</f>
        <v/>
      </c>
      <c r="AC980" s="32">
        <f>IF($A980=1,IF(Cash_Vouchers!$R80="","",Cash_Vouchers!$R80),"")</f>
        <v/>
      </c>
      <c r="AD980" s="32">
        <f>IF($A980=1,IF(Cash_Vouchers!$S80="","",Cash_Vouchers!$S80),"")</f>
        <v/>
      </c>
      <c r="AE980" s="32">
        <f>IF($A980=1,0,"")</f>
        <v/>
      </c>
      <c r="AF980" s="32" t="inlineStr"/>
    </row>
    <row r="981">
      <c r="A981" s="32">
        <f>IF(AND(Cash_Vouchers!$AJ81=1,N(Cash_Vouchers!$I81)&gt;0),1,0)</f>
        <v/>
      </c>
      <c r="B981" s="32">
        <f>IF($A981=1,$E981&amp;"/1","")</f>
        <v/>
      </c>
      <c r="C981" s="32">
        <f>IF($A981=1,"J-"&amp;Cash_Vouchers!$A81,"")</f>
        <v/>
      </c>
      <c r="D981" s="33">
        <f>IF($A981=1,Cash_Vouchers!$B81,"")</f>
        <v/>
      </c>
      <c r="E981" s="32">
        <f>IF($A981=1,IF(Cash_Vouchers!$A81="","",Cash_Vouchers!$A81),"")</f>
        <v/>
      </c>
      <c r="F981" s="32">
        <f>IF($A981=1,"CV","")</f>
        <v/>
      </c>
      <c r="G981" s="32">
        <f>IF($A981=1,IF(Cash_Vouchers!$AA81="","",Cash_Vouchers!$AA81),"")</f>
        <v/>
      </c>
      <c r="H981" s="32">
        <f>IF($A981=1,IF(COUNTIF(COA!$A:$A,$G981)=0,"حساب غير معرف",INDEX(COA!$B:$B,MATCH($G981,COA!$A:$A,0))),"")</f>
        <v/>
      </c>
      <c r="I981" s="32">
        <f>IF($A981=1,IF(Cash_Vouchers!$AC81="","",Cash_Vouchers!$AC81),"")</f>
        <v/>
      </c>
      <c r="J981" s="32">
        <f>IF($A981=1,IF(Cash_Vouchers!$AE81="","",Cash_Vouchers!$AE81),"")</f>
        <v/>
      </c>
      <c r="K981" s="32">
        <f>IF($A981=1,IF(Cash_Vouchers!$AG81="","",Cash_Vouchers!$AG81),"")</f>
        <v/>
      </c>
      <c r="L981" s="32">
        <f>IF($A981=1,IF(Cash_Vouchers!$K81="",Cash_Vouchers!$C81&amp;" - "&amp;Cash_Vouchers!$H81,Cash_Vouchers!$K81),"")</f>
        <v/>
      </c>
      <c r="M981" s="43">
        <f>IF($A981=1,Cash_Vouchers!$I81,"")</f>
        <v/>
      </c>
      <c r="N981" s="43">
        <f>IF($A981=1,0,"")</f>
        <v/>
      </c>
      <c r="O981" s="32">
        <f>IF($A981=1,Cash_Vouchers!$N81,"")</f>
        <v/>
      </c>
      <c r="P981" s="32">
        <f>IF($A981=1,IF(Cash_Vouchers!$AK81="","",Cash_Vouchers!$AK81),"")</f>
        <v/>
      </c>
      <c r="Q981" s="32">
        <f>IF($A981=1,Cash_Vouchers!$AM81,"")</f>
        <v/>
      </c>
      <c r="R981" s="32">
        <f>IF($A981=1,IF(AND($Q981=1,COUNTIFS(COA!$A:$A,$G981,COA!$R:$R,1)=1),1,0),"")</f>
        <v/>
      </c>
      <c r="S981" s="43">
        <f>IF($A981=1,IF($R981=1,N($M981),0),"")</f>
        <v/>
      </c>
      <c r="T981" s="43">
        <f>IF($A981=1,IF($R981=1,N($N981),0),"")</f>
        <v/>
      </c>
      <c r="U981" s="32">
        <f>IF($A981=1,YEAR($D981)*100+MONTH($D981),"")</f>
        <v/>
      </c>
      <c r="V981" s="32">
        <f>IF($A981=1,IF(COUNTIF(COA!$A:$A,$G981)=0,0,INDEX(COA!$H:$H,MATCH($G981,COA!$A:$A,0))),"")</f>
        <v/>
      </c>
      <c r="W981" s="32">
        <f>IF($A981=1,IF(Cash_Vouchers!$AI81="","",Cash_Vouchers!$AI81),"")</f>
        <v/>
      </c>
      <c r="X981" s="32">
        <f>IF($A981=1,IF($R981=1,"",IF($O981=ST_POST,IF($P981&lt;&gt;"",$P981,"حساب غير صالح أو غير نشط"),IF($O981=ST_REV,"معكوس: لا أثر على الدفاتر",IF($O981=ST_CANC,"ملغى",IF($O981=ST_APPR,"معتمد ولم يُرحَّل","مسودة"))))),"")</f>
        <v/>
      </c>
      <c r="Y981" s="32">
        <f>IF($A981=1,IF(AND($R981=1,OR(LG_Acct="",$G981=LG_Acct),OR(LG_Party="",$K981=LG_Party),OR(LG_Loc="ALL",$I981=LG_Loc),OR(LG_CC="ALL",$J981=LG_CC),$D981&gt;=LG_From,$D981&lt;=LG_To),$D981+ROW()/1000000,""),"")</f>
        <v/>
      </c>
      <c r="Z981" s="32">
        <f>IF($A981=1,IF(Cash_Vouchers!$O81="","",Cash_Vouchers!$O81),"")</f>
        <v/>
      </c>
      <c r="AA981" s="32">
        <f>IF($A981=1,IF(Cash_Vouchers!$P81="","",Cash_Vouchers!$P81),"")</f>
        <v/>
      </c>
      <c r="AB981" s="32">
        <f>IF($A981=1,IF(Cash_Vouchers!$Q81="","",Cash_Vouchers!$Q81),"")</f>
        <v/>
      </c>
      <c r="AC981" s="32">
        <f>IF($A981=1,IF(Cash_Vouchers!$R81="","",Cash_Vouchers!$R81),"")</f>
        <v/>
      </c>
      <c r="AD981" s="32">
        <f>IF($A981=1,IF(Cash_Vouchers!$S81="","",Cash_Vouchers!$S81),"")</f>
        <v/>
      </c>
      <c r="AE981" s="32">
        <f>IF($A981=1,0,"")</f>
        <v/>
      </c>
      <c r="AF981" s="32" t="inlineStr"/>
    </row>
    <row r="982">
      <c r="A982" s="32">
        <f>IF(AND(Cash_Vouchers!$AJ81=1,N(Cash_Vouchers!$I81)&gt;0),1,0)</f>
        <v/>
      </c>
      <c r="B982" s="32">
        <f>IF($A982=1,$E982&amp;"/2","")</f>
        <v/>
      </c>
      <c r="C982" s="32">
        <f>IF($A982=1,"J-"&amp;Cash_Vouchers!$A81,"")</f>
        <v/>
      </c>
      <c r="D982" s="33">
        <f>IF($A982=1,Cash_Vouchers!$B81,"")</f>
        <v/>
      </c>
      <c r="E982" s="32">
        <f>IF($A982=1,IF(Cash_Vouchers!$A81="","",Cash_Vouchers!$A81),"")</f>
        <v/>
      </c>
      <c r="F982" s="32">
        <f>IF($A982=1,"CV","")</f>
        <v/>
      </c>
      <c r="G982" s="32">
        <f>IF($A982=1,IF(Cash_Vouchers!$AB81="","",Cash_Vouchers!$AB81),"")</f>
        <v/>
      </c>
      <c r="H982" s="32">
        <f>IF($A982=1,IF(COUNTIF(COA!$A:$A,$G982)=0,"حساب غير معرف",INDEX(COA!$B:$B,MATCH($G982,COA!$A:$A,0))),"")</f>
        <v/>
      </c>
      <c r="I982" s="32">
        <f>IF($A982=1,IF(Cash_Vouchers!$AD81="","",Cash_Vouchers!$AD81),"")</f>
        <v/>
      </c>
      <c r="J982" s="32">
        <f>IF($A982=1,IF(Cash_Vouchers!$AF81="","",Cash_Vouchers!$AF81),"")</f>
        <v/>
      </c>
      <c r="K982" s="32">
        <f>IF($A982=1,IF(Cash_Vouchers!$AH81="","",Cash_Vouchers!$AH81),"")</f>
        <v/>
      </c>
      <c r="L982" s="32">
        <f>IF($A982=1,IF(Cash_Vouchers!$K81="",Cash_Vouchers!$C81&amp;" - "&amp;Cash_Vouchers!$H81,Cash_Vouchers!$K81),"")</f>
        <v/>
      </c>
      <c r="M982" s="43">
        <f>IF($A982=1,0,"")</f>
        <v/>
      </c>
      <c r="N982" s="43">
        <f>IF($A982=1,Cash_Vouchers!$I81,"")</f>
        <v/>
      </c>
      <c r="O982" s="32">
        <f>IF($A982=1,Cash_Vouchers!$N81,"")</f>
        <v/>
      </c>
      <c r="P982" s="32">
        <f>IF($A982=1,IF(Cash_Vouchers!$AK81="","",Cash_Vouchers!$AK81),"")</f>
        <v/>
      </c>
      <c r="Q982" s="32">
        <f>IF($A982=1,Cash_Vouchers!$AM81,"")</f>
        <v/>
      </c>
      <c r="R982" s="32">
        <f>IF($A982=1,IF(AND($Q982=1,COUNTIFS(COA!$A:$A,$G982,COA!$R:$R,1)=1),1,0),"")</f>
        <v/>
      </c>
      <c r="S982" s="43">
        <f>IF($A982=1,IF($R982=1,N($M982),0),"")</f>
        <v/>
      </c>
      <c r="T982" s="43">
        <f>IF($A982=1,IF($R982=1,N($N982),0),"")</f>
        <v/>
      </c>
      <c r="U982" s="32">
        <f>IF($A982=1,YEAR($D982)*100+MONTH($D982),"")</f>
        <v/>
      </c>
      <c r="V982" s="32">
        <f>IF($A982=1,IF(COUNTIF(COA!$A:$A,$G982)=0,0,INDEX(COA!$H:$H,MATCH($G982,COA!$A:$A,0))),"")</f>
        <v/>
      </c>
      <c r="W982" s="32">
        <f>IF($A982=1,IF(Cash_Vouchers!$AI81="","",Cash_Vouchers!$AI81),"")</f>
        <v/>
      </c>
      <c r="X982" s="32">
        <f>IF($A982=1,IF($R982=1,"",IF($O982=ST_POST,IF($P982&lt;&gt;"",$P982,"حساب غير صالح أو غير نشط"),IF($O982=ST_REV,"معكوس: لا أثر على الدفاتر",IF($O982=ST_CANC,"ملغى",IF($O982=ST_APPR,"معتمد ولم يُرحَّل","مسودة"))))),"")</f>
        <v/>
      </c>
      <c r="Y982" s="32">
        <f>IF($A982=1,IF(AND($R982=1,OR(LG_Acct="",$G982=LG_Acct),OR(LG_Party="",$K982=LG_Party),OR(LG_Loc="ALL",$I982=LG_Loc),OR(LG_CC="ALL",$J982=LG_CC),$D982&gt;=LG_From,$D982&lt;=LG_To),$D982+ROW()/1000000,""),"")</f>
        <v/>
      </c>
      <c r="Z982" s="32">
        <f>IF($A982=1,IF(Cash_Vouchers!$O81="","",Cash_Vouchers!$O81),"")</f>
        <v/>
      </c>
      <c r="AA982" s="32">
        <f>IF($A982=1,IF(Cash_Vouchers!$P81="","",Cash_Vouchers!$P81),"")</f>
        <v/>
      </c>
      <c r="AB982" s="32">
        <f>IF($A982=1,IF(Cash_Vouchers!$Q81="","",Cash_Vouchers!$Q81),"")</f>
        <v/>
      </c>
      <c r="AC982" s="32">
        <f>IF($A982=1,IF(Cash_Vouchers!$R81="","",Cash_Vouchers!$R81),"")</f>
        <v/>
      </c>
      <c r="AD982" s="32">
        <f>IF($A982=1,IF(Cash_Vouchers!$S81="","",Cash_Vouchers!$S81),"")</f>
        <v/>
      </c>
      <c r="AE982" s="32">
        <f>IF($A982=1,0,"")</f>
        <v/>
      </c>
      <c r="AF982" s="32" t="inlineStr"/>
    </row>
    <row r="983">
      <c r="A983" s="32">
        <f>IF(AND(Cash_Vouchers!$AJ82=1,N(Cash_Vouchers!$I82)&gt;0),1,0)</f>
        <v/>
      </c>
      <c r="B983" s="32">
        <f>IF($A983=1,$E983&amp;"/1","")</f>
        <v/>
      </c>
      <c r="C983" s="32">
        <f>IF($A983=1,"J-"&amp;Cash_Vouchers!$A82,"")</f>
        <v/>
      </c>
      <c r="D983" s="33">
        <f>IF($A983=1,Cash_Vouchers!$B82,"")</f>
        <v/>
      </c>
      <c r="E983" s="32">
        <f>IF($A983=1,IF(Cash_Vouchers!$A82="","",Cash_Vouchers!$A82),"")</f>
        <v/>
      </c>
      <c r="F983" s="32">
        <f>IF($A983=1,"CV","")</f>
        <v/>
      </c>
      <c r="G983" s="32">
        <f>IF($A983=1,IF(Cash_Vouchers!$AA82="","",Cash_Vouchers!$AA82),"")</f>
        <v/>
      </c>
      <c r="H983" s="32">
        <f>IF($A983=1,IF(COUNTIF(COA!$A:$A,$G983)=0,"حساب غير معرف",INDEX(COA!$B:$B,MATCH($G983,COA!$A:$A,0))),"")</f>
        <v/>
      </c>
      <c r="I983" s="32">
        <f>IF($A983=1,IF(Cash_Vouchers!$AC82="","",Cash_Vouchers!$AC82),"")</f>
        <v/>
      </c>
      <c r="J983" s="32">
        <f>IF($A983=1,IF(Cash_Vouchers!$AE82="","",Cash_Vouchers!$AE82),"")</f>
        <v/>
      </c>
      <c r="K983" s="32">
        <f>IF($A983=1,IF(Cash_Vouchers!$AG82="","",Cash_Vouchers!$AG82),"")</f>
        <v/>
      </c>
      <c r="L983" s="32">
        <f>IF($A983=1,IF(Cash_Vouchers!$K82="",Cash_Vouchers!$C82&amp;" - "&amp;Cash_Vouchers!$H82,Cash_Vouchers!$K82),"")</f>
        <v/>
      </c>
      <c r="M983" s="43">
        <f>IF($A983=1,Cash_Vouchers!$I82,"")</f>
        <v/>
      </c>
      <c r="N983" s="43">
        <f>IF($A983=1,0,"")</f>
        <v/>
      </c>
      <c r="O983" s="32">
        <f>IF($A983=1,Cash_Vouchers!$N82,"")</f>
        <v/>
      </c>
      <c r="P983" s="32">
        <f>IF($A983=1,IF(Cash_Vouchers!$AK82="","",Cash_Vouchers!$AK82),"")</f>
        <v/>
      </c>
      <c r="Q983" s="32">
        <f>IF($A983=1,Cash_Vouchers!$AM82,"")</f>
        <v/>
      </c>
      <c r="R983" s="32">
        <f>IF($A983=1,IF(AND($Q983=1,COUNTIFS(COA!$A:$A,$G983,COA!$R:$R,1)=1),1,0),"")</f>
        <v/>
      </c>
      <c r="S983" s="43">
        <f>IF($A983=1,IF($R983=1,N($M983),0),"")</f>
        <v/>
      </c>
      <c r="T983" s="43">
        <f>IF($A983=1,IF($R983=1,N($N983),0),"")</f>
        <v/>
      </c>
      <c r="U983" s="32">
        <f>IF($A983=1,YEAR($D983)*100+MONTH($D983),"")</f>
        <v/>
      </c>
      <c r="V983" s="32">
        <f>IF($A983=1,IF(COUNTIF(COA!$A:$A,$G983)=0,0,INDEX(COA!$H:$H,MATCH($G983,COA!$A:$A,0))),"")</f>
        <v/>
      </c>
      <c r="W983" s="32">
        <f>IF($A983=1,IF(Cash_Vouchers!$AI82="","",Cash_Vouchers!$AI82),"")</f>
        <v/>
      </c>
      <c r="X983" s="32">
        <f>IF($A983=1,IF($R983=1,"",IF($O983=ST_POST,IF($P983&lt;&gt;"",$P983,"حساب غير صالح أو غير نشط"),IF($O983=ST_REV,"معكوس: لا أثر على الدفاتر",IF($O983=ST_CANC,"ملغى",IF($O983=ST_APPR,"معتمد ولم يُرحَّل","مسودة"))))),"")</f>
        <v/>
      </c>
      <c r="Y983" s="32">
        <f>IF($A983=1,IF(AND($R983=1,OR(LG_Acct="",$G983=LG_Acct),OR(LG_Party="",$K983=LG_Party),OR(LG_Loc="ALL",$I983=LG_Loc),OR(LG_CC="ALL",$J983=LG_CC),$D983&gt;=LG_From,$D983&lt;=LG_To),$D983+ROW()/1000000,""),"")</f>
        <v/>
      </c>
      <c r="Z983" s="32">
        <f>IF($A983=1,IF(Cash_Vouchers!$O82="","",Cash_Vouchers!$O82),"")</f>
        <v/>
      </c>
      <c r="AA983" s="32">
        <f>IF($A983=1,IF(Cash_Vouchers!$P82="","",Cash_Vouchers!$P82),"")</f>
        <v/>
      </c>
      <c r="AB983" s="32">
        <f>IF($A983=1,IF(Cash_Vouchers!$Q82="","",Cash_Vouchers!$Q82),"")</f>
        <v/>
      </c>
      <c r="AC983" s="32">
        <f>IF($A983=1,IF(Cash_Vouchers!$R82="","",Cash_Vouchers!$R82),"")</f>
        <v/>
      </c>
      <c r="AD983" s="32">
        <f>IF($A983=1,IF(Cash_Vouchers!$S82="","",Cash_Vouchers!$S82),"")</f>
        <v/>
      </c>
      <c r="AE983" s="32">
        <f>IF($A983=1,0,"")</f>
        <v/>
      </c>
      <c r="AF983" s="32" t="inlineStr"/>
    </row>
    <row r="984">
      <c r="A984" s="32">
        <f>IF(AND(Cash_Vouchers!$AJ82=1,N(Cash_Vouchers!$I82)&gt;0),1,0)</f>
        <v/>
      </c>
      <c r="B984" s="32">
        <f>IF($A984=1,$E984&amp;"/2","")</f>
        <v/>
      </c>
      <c r="C984" s="32">
        <f>IF($A984=1,"J-"&amp;Cash_Vouchers!$A82,"")</f>
        <v/>
      </c>
      <c r="D984" s="33">
        <f>IF($A984=1,Cash_Vouchers!$B82,"")</f>
        <v/>
      </c>
      <c r="E984" s="32">
        <f>IF($A984=1,IF(Cash_Vouchers!$A82="","",Cash_Vouchers!$A82),"")</f>
        <v/>
      </c>
      <c r="F984" s="32">
        <f>IF($A984=1,"CV","")</f>
        <v/>
      </c>
      <c r="G984" s="32">
        <f>IF($A984=1,IF(Cash_Vouchers!$AB82="","",Cash_Vouchers!$AB82),"")</f>
        <v/>
      </c>
      <c r="H984" s="32">
        <f>IF($A984=1,IF(COUNTIF(COA!$A:$A,$G984)=0,"حساب غير معرف",INDEX(COA!$B:$B,MATCH($G984,COA!$A:$A,0))),"")</f>
        <v/>
      </c>
      <c r="I984" s="32">
        <f>IF($A984=1,IF(Cash_Vouchers!$AD82="","",Cash_Vouchers!$AD82),"")</f>
        <v/>
      </c>
      <c r="J984" s="32">
        <f>IF($A984=1,IF(Cash_Vouchers!$AF82="","",Cash_Vouchers!$AF82),"")</f>
        <v/>
      </c>
      <c r="K984" s="32">
        <f>IF($A984=1,IF(Cash_Vouchers!$AH82="","",Cash_Vouchers!$AH82),"")</f>
        <v/>
      </c>
      <c r="L984" s="32">
        <f>IF($A984=1,IF(Cash_Vouchers!$K82="",Cash_Vouchers!$C82&amp;" - "&amp;Cash_Vouchers!$H82,Cash_Vouchers!$K82),"")</f>
        <v/>
      </c>
      <c r="M984" s="43">
        <f>IF($A984=1,0,"")</f>
        <v/>
      </c>
      <c r="N984" s="43">
        <f>IF($A984=1,Cash_Vouchers!$I82,"")</f>
        <v/>
      </c>
      <c r="O984" s="32">
        <f>IF($A984=1,Cash_Vouchers!$N82,"")</f>
        <v/>
      </c>
      <c r="P984" s="32">
        <f>IF($A984=1,IF(Cash_Vouchers!$AK82="","",Cash_Vouchers!$AK82),"")</f>
        <v/>
      </c>
      <c r="Q984" s="32">
        <f>IF($A984=1,Cash_Vouchers!$AM82,"")</f>
        <v/>
      </c>
      <c r="R984" s="32">
        <f>IF($A984=1,IF(AND($Q984=1,COUNTIFS(COA!$A:$A,$G984,COA!$R:$R,1)=1),1,0),"")</f>
        <v/>
      </c>
      <c r="S984" s="43">
        <f>IF($A984=1,IF($R984=1,N($M984),0),"")</f>
        <v/>
      </c>
      <c r="T984" s="43">
        <f>IF($A984=1,IF($R984=1,N($N984),0),"")</f>
        <v/>
      </c>
      <c r="U984" s="32">
        <f>IF($A984=1,YEAR($D984)*100+MONTH($D984),"")</f>
        <v/>
      </c>
      <c r="V984" s="32">
        <f>IF($A984=1,IF(COUNTIF(COA!$A:$A,$G984)=0,0,INDEX(COA!$H:$H,MATCH($G984,COA!$A:$A,0))),"")</f>
        <v/>
      </c>
      <c r="W984" s="32">
        <f>IF($A984=1,IF(Cash_Vouchers!$AI82="","",Cash_Vouchers!$AI82),"")</f>
        <v/>
      </c>
      <c r="X984" s="32">
        <f>IF($A984=1,IF($R984=1,"",IF($O984=ST_POST,IF($P984&lt;&gt;"",$P984,"حساب غير صالح أو غير نشط"),IF($O984=ST_REV,"معكوس: لا أثر على الدفاتر",IF($O984=ST_CANC,"ملغى",IF($O984=ST_APPR,"معتمد ولم يُرحَّل","مسودة"))))),"")</f>
        <v/>
      </c>
      <c r="Y984" s="32">
        <f>IF($A984=1,IF(AND($R984=1,OR(LG_Acct="",$G984=LG_Acct),OR(LG_Party="",$K984=LG_Party),OR(LG_Loc="ALL",$I984=LG_Loc),OR(LG_CC="ALL",$J984=LG_CC),$D984&gt;=LG_From,$D984&lt;=LG_To),$D984+ROW()/1000000,""),"")</f>
        <v/>
      </c>
      <c r="Z984" s="32">
        <f>IF($A984=1,IF(Cash_Vouchers!$O82="","",Cash_Vouchers!$O82),"")</f>
        <v/>
      </c>
      <c r="AA984" s="32">
        <f>IF($A984=1,IF(Cash_Vouchers!$P82="","",Cash_Vouchers!$P82),"")</f>
        <v/>
      </c>
      <c r="AB984" s="32">
        <f>IF($A984=1,IF(Cash_Vouchers!$Q82="","",Cash_Vouchers!$Q82),"")</f>
        <v/>
      </c>
      <c r="AC984" s="32">
        <f>IF($A984=1,IF(Cash_Vouchers!$R82="","",Cash_Vouchers!$R82),"")</f>
        <v/>
      </c>
      <c r="AD984" s="32">
        <f>IF($A984=1,IF(Cash_Vouchers!$S82="","",Cash_Vouchers!$S82),"")</f>
        <v/>
      </c>
      <c r="AE984" s="32">
        <f>IF($A984=1,0,"")</f>
        <v/>
      </c>
      <c r="AF984" s="32" t="inlineStr"/>
    </row>
    <row r="985">
      <c r="A985" s="32">
        <f>IF(AND(Cash_Vouchers!$AJ83=1,N(Cash_Vouchers!$I83)&gt;0),1,0)</f>
        <v/>
      </c>
      <c r="B985" s="32">
        <f>IF($A985=1,$E985&amp;"/1","")</f>
        <v/>
      </c>
      <c r="C985" s="32">
        <f>IF($A985=1,"J-"&amp;Cash_Vouchers!$A83,"")</f>
        <v/>
      </c>
      <c r="D985" s="33">
        <f>IF($A985=1,Cash_Vouchers!$B83,"")</f>
        <v/>
      </c>
      <c r="E985" s="32">
        <f>IF($A985=1,IF(Cash_Vouchers!$A83="","",Cash_Vouchers!$A83),"")</f>
        <v/>
      </c>
      <c r="F985" s="32">
        <f>IF($A985=1,"CV","")</f>
        <v/>
      </c>
      <c r="G985" s="32">
        <f>IF($A985=1,IF(Cash_Vouchers!$AA83="","",Cash_Vouchers!$AA83),"")</f>
        <v/>
      </c>
      <c r="H985" s="32">
        <f>IF($A985=1,IF(COUNTIF(COA!$A:$A,$G985)=0,"حساب غير معرف",INDEX(COA!$B:$B,MATCH($G985,COA!$A:$A,0))),"")</f>
        <v/>
      </c>
      <c r="I985" s="32">
        <f>IF($A985=1,IF(Cash_Vouchers!$AC83="","",Cash_Vouchers!$AC83),"")</f>
        <v/>
      </c>
      <c r="J985" s="32">
        <f>IF($A985=1,IF(Cash_Vouchers!$AE83="","",Cash_Vouchers!$AE83),"")</f>
        <v/>
      </c>
      <c r="K985" s="32">
        <f>IF($A985=1,IF(Cash_Vouchers!$AG83="","",Cash_Vouchers!$AG83),"")</f>
        <v/>
      </c>
      <c r="L985" s="32">
        <f>IF($A985=1,IF(Cash_Vouchers!$K83="",Cash_Vouchers!$C83&amp;" - "&amp;Cash_Vouchers!$H83,Cash_Vouchers!$K83),"")</f>
        <v/>
      </c>
      <c r="M985" s="43">
        <f>IF($A985=1,Cash_Vouchers!$I83,"")</f>
        <v/>
      </c>
      <c r="N985" s="43">
        <f>IF($A985=1,0,"")</f>
        <v/>
      </c>
      <c r="O985" s="32">
        <f>IF($A985=1,Cash_Vouchers!$N83,"")</f>
        <v/>
      </c>
      <c r="P985" s="32">
        <f>IF($A985=1,IF(Cash_Vouchers!$AK83="","",Cash_Vouchers!$AK83),"")</f>
        <v/>
      </c>
      <c r="Q985" s="32">
        <f>IF($A985=1,Cash_Vouchers!$AM83,"")</f>
        <v/>
      </c>
      <c r="R985" s="32">
        <f>IF($A985=1,IF(AND($Q985=1,COUNTIFS(COA!$A:$A,$G985,COA!$R:$R,1)=1),1,0),"")</f>
        <v/>
      </c>
      <c r="S985" s="43">
        <f>IF($A985=1,IF($R985=1,N($M985),0),"")</f>
        <v/>
      </c>
      <c r="T985" s="43">
        <f>IF($A985=1,IF($R985=1,N($N985),0),"")</f>
        <v/>
      </c>
      <c r="U985" s="32">
        <f>IF($A985=1,YEAR($D985)*100+MONTH($D985),"")</f>
        <v/>
      </c>
      <c r="V985" s="32">
        <f>IF($A985=1,IF(COUNTIF(COA!$A:$A,$G985)=0,0,INDEX(COA!$H:$H,MATCH($G985,COA!$A:$A,0))),"")</f>
        <v/>
      </c>
      <c r="W985" s="32">
        <f>IF($A985=1,IF(Cash_Vouchers!$AI83="","",Cash_Vouchers!$AI83),"")</f>
        <v/>
      </c>
      <c r="X985" s="32">
        <f>IF($A985=1,IF($R985=1,"",IF($O985=ST_POST,IF($P985&lt;&gt;"",$P985,"حساب غير صالح أو غير نشط"),IF($O985=ST_REV,"معكوس: لا أثر على الدفاتر",IF($O985=ST_CANC,"ملغى",IF($O985=ST_APPR,"معتمد ولم يُرحَّل","مسودة"))))),"")</f>
        <v/>
      </c>
      <c r="Y985" s="32">
        <f>IF($A985=1,IF(AND($R985=1,OR(LG_Acct="",$G985=LG_Acct),OR(LG_Party="",$K985=LG_Party),OR(LG_Loc="ALL",$I985=LG_Loc),OR(LG_CC="ALL",$J985=LG_CC),$D985&gt;=LG_From,$D985&lt;=LG_To),$D985+ROW()/1000000,""),"")</f>
        <v/>
      </c>
      <c r="Z985" s="32">
        <f>IF($A985=1,IF(Cash_Vouchers!$O83="","",Cash_Vouchers!$O83),"")</f>
        <v/>
      </c>
      <c r="AA985" s="32">
        <f>IF($A985=1,IF(Cash_Vouchers!$P83="","",Cash_Vouchers!$P83),"")</f>
        <v/>
      </c>
      <c r="AB985" s="32">
        <f>IF($A985=1,IF(Cash_Vouchers!$Q83="","",Cash_Vouchers!$Q83),"")</f>
        <v/>
      </c>
      <c r="AC985" s="32">
        <f>IF($A985=1,IF(Cash_Vouchers!$R83="","",Cash_Vouchers!$R83),"")</f>
        <v/>
      </c>
      <c r="AD985" s="32">
        <f>IF($A985=1,IF(Cash_Vouchers!$S83="","",Cash_Vouchers!$S83),"")</f>
        <v/>
      </c>
      <c r="AE985" s="32">
        <f>IF($A985=1,0,"")</f>
        <v/>
      </c>
      <c r="AF985" s="32" t="inlineStr"/>
    </row>
    <row r="986">
      <c r="A986" s="32">
        <f>IF(AND(Cash_Vouchers!$AJ83=1,N(Cash_Vouchers!$I83)&gt;0),1,0)</f>
        <v/>
      </c>
      <c r="B986" s="32">
        <f>IF($A986=1,$E986&amp;"/2","")</f>
        <v/>
      </c>
      <c r="C986" s="32">
        <f>IF($A986=1,"J-"&amp;Cash_Vouchers!$A83,"")</f>
        <v/>
      </c>
      <c r="D986" s="33">
        <f>IF($A986=1,Cash_Vouchers!$B83,"")</f>
        <v/>
      </c>
      <c r="E986" s="32">
        <f>IF($A986=1,IF(Cash_Vouchers!$A83="","",Cash_Vouchers!$A83),"")</f>
        <v/>
      </c>
      <c r="F986" s="32">
        <f>IF($A986=1,"CV","")</f>
        <v/>
      </c>
      <c r="G986" s="32">
        <f>IF($A986=1,IF(Cash_Vouchers!$AB83="","",Cash_Vouchers!$AB83),"")</f>
        <v/>
      </c>
      <c r="H986" s="32">
        <f>IF($A986=1,IF(COUNTIF(COA!$A:$A,$G986)=0,"حساب غير معرف",INDEX(COA!$B:$B,MATCH($G986,COA!$A:$A,0))),"")</f>
        <v/>
      </c>
      <c r="I986" s="32">
        <f>IF($A986=1,IF(Cash_Vouchers!$AD83="","",Cash_Vouchers!$AD83),"")</f>
        <v/>
      </c>
      <c r="J986" s="32">
        <f>IF($A986=1,IF(Cash_Vouchers!$AF83="","",Cash_Vouchers!$AF83),"")</f>
        <v/>
      </c>
      <c r="K986" s="32">
        <f>IF($A986=1,IF(Cash_Vouchers!$AH83="","",Cash_Vouchers!$AH83),"")</f>
        <v/>
      </c>
      <c r="L986" s="32">
        <f>IF($A986=1,IF(Cash_Vouchers!$K83="",Cash_Vouchers!$C83&amp;" - "&amp;Cash_Vouchers!$H83,Cash_Vouchers!$K83),"")</f>
        <v/>
      </c>
      <c r="M986" s="43">
        <f>IF($A986=1,0,"")</f>
        <v/>
      </c>
      <c r="N986" s="43">
        <f>IF($A986=1,Cash_Vouchers!$I83,"")</f>
        <v/>
      </c>
      <c r="O986" s="32">
        <f>IF($A986=1,Cash_Vouchers!$N83,"")</f>
        <v/>
      </c>
      <c r="P986" s="32">
        <f>IF($A986=1,IF(Cash_Vouchers!$AK83="","",Cash_Vouchers!$AK83),"")</f>
        <v/>
      </c>
      <c r="Q986" s="32">
        <f>IF($A986=1,Cash_Vouchers!$AM83,"")</f>
        <v/>
      </c>
      <c r="R986" s="32">
        <f>IF($A986=1,IF(AND($Q986=1,COUNTIFS(COA!$A:$A,$G986,COA!$R:$R,1)=1),1,0),"")</f>
        <v/>
      </c>
      <c r="S986" s="43">
        <f>IF($A986=1,IF($R986=1,N($M986),0),"")</f>
        <v/>
      </c>
      <c r="T986" s="43">
        <f>IF($A986=1,IF($R986=1,N($N986),0),"")</f>
        <v/>
      </c>
      <c r="U986" s="32">
        <f>IF($A986=1,YEAR($D986)*100+MONTH($D986),"")</f>
        <v/>
      </c>
      <c r="V986" s="32">
        <f>IF($A986=1,IF(COUNTIF(COA!$A:$A,$G986)=0,0,INDEX(COA!$H:$H,MATCH($G986,COA!$A:$A,0))),"")</f>
        <v/>
      </c>
      <c r="W986" s="32">
        <f>IF($A986=1,IF(Cash_Vouchers!$AI83="","",Cash_Vouchers!$AI83),"")</f>
        <v/>
      </c>
      <c r="X986" s="32">
        <f>IF($A986=1,IF($R986=1,"",IF($O986=ST_POST,IF($P986&lt;&gt;"",$P986,"حساب غير صالح أو غير نشط"),IF($O986=ST_REV,"معكوس: لا أثر على الدفاتر",IF($O986=ST_CANC,"ملغى",IF($O986=ST_APPR,"معتمد ولم يُرحَّل","مسودة"))))),"")</f>
        <v/>
      </c>
      <c r="Y986" s="32">
        <f>IF($A986=1,IF(AND($R986=1,OR(LG_Acct="",$G986=LG_Acct),OR(LG_Party="",$K986=LG_Party),OR(LG_Loc="ALL",$I986=LG_Loc),OR(LG_CC="ALL",$J986=LG_CC),$D986&gt;=LG_From,$D986&lt;=LG_To),$D986+ROW()/1000000,""),"")</f>
        <v/>
      </c>
      <c r="Z986" s="32">
        <f>IF($A986=1,IF(Cash_Vouchers!$O83="","",Cash_Vouchers!$O83),"")</f>
        <v/>
      </c>
      <c r="AA986" s="32">
        <f>IF($A986=1,IF(Cash_Vouchers!$P83="","",Cash_Vouchers!$P83),"")</f>
        <v/>
      </c>
      <c r="AB986" s="32">
        <f>IF($A986=1,IF(Cash_Vouchers!$Q83="","",Cash_Vouchers!$Q83),"")</f>
        <v/>
      </c>
      <c r="AC986" s="32">
        <f>IF($A986=1,IF(Cash_Vouchers!$R83="","",Cash_Vouchers!$R83),"")</f>
        <v/>
      </c>
      <c r="AD986" s="32">
        <f>IF($A986=1,IF(Cash_Vouchers!$S83="","",Cash_Vouchers!$S83),"")</f>
        <v/>
      </c>
      <c r="AE986" s="32">
        <f>IF($A986=1,0,"")</f>
        <v/>
      </c>
      <c r="AF986" s="32" t="inlineStr"/>
    </row>
    <row r="987">
      <c r="A987" s="32">
        <f>IF(AND(Cash_Vouchers!$AJ84=1,N(Cash_Vouchers!$I84)&gt;0),1,0)</f>
        <v/>
      </c>
      <c r="B987" s="32">
        <f>IF($A987=1,$E987&amp;"/1","")</f>
        <v/>
      </c>
      <c r="C987" s="32">
        <f>IF($A987=1,"J-"&amp;Cash_Vouchers!$A84,"")</f>
        <v/>
      </c>
      <c r="D987" s="33">
        <f>IF($A987=1,Cash_Vouchers!$B84,"")</f>
        <v/>
      </c>
      <c r="E987" s="32">
        <f>IF($A987=1,IF(Cash_Vouchers!$A84="","",Cash_Vouchers!$A84),"")</f>
        <v/>
      </c>
      <c r="F987" s="32">
        <f>IF($A987=1,"CV","")</f>
        <v/>
      </c>
      <c r="G987" s="32">
        <f>IF($A987=1,IF(Cash_Vouchers!$AA84="","",Cash_Vouchers!$AA84),"")</f>
        <v/>
      </c>
      <c r="H987" s="32">
        <f>IF($A987=1,IF(COUNTIF(COA!$A:$A,$G987)=0,"حساب غير معرف",INDEX(COA!$B:$B,MATCH($G987,COA!$A:$A,0))),"")</f>
        <v/>
      </c>
      <c r="I987" s="32">
        <f>IF($A987=1,IF(Cash_Vouchers!$AC84="","",Cash_Vouchers!$AC84),"")</f>
        <v/>
      </c>
      <c r="J987" s="32">
        <f>IF($A987=1,IF(Cash_Vouchers!$AE84="","",Cash_Vouchers!$AE84),"")</f>
        <v/>
      </c>
      <c r="K987" s="32">
        <f>IF($A987=1,IF(Cash_Vouchers!$AG84="","",Cash_Vouchers!$AG84),"")</f>
        <v/>
      </c>
      <c r="L987" s="32">
        <f>IF($A987=1,IF(Cash_Vouchers!$K84="",Cash_Vouchers!$C84&amp;" - "&amp;Cash_Vouchers!$H84,Cash_Vouchers!$K84),"")</f>
        <v/>
      </c>
      <c r="M987" s="43">
        <f>IF($A987=1,Cash_Vouchers!$I84,"")</f>
        <v/>
      </c>
      <c r="N987" s="43">
        <f>IF($A987=1,0,"")</f>
        <v/>
      </c>
      <c r="O987" s="32">
        <f>IF($A987=1,Cash_Vouchers!$N84,"")</f>
        <v/>
      </c>
      <c r="P987" s="32">
        <f>IF($A987=1,IF(Cash_Vouchers!$AK84="","",Cash_Vouchers!$AK84),"")</f>
        <v/>
      </c>
      <c r="Q987" s="32">
        <f>IF($A987=1,Cash_Vouchers!$AM84,"")</f>
        <v/>
      </c>
      <c r="R987" s="32">
        <f>IF($A987=1,IF(AND($Q987=1,COUNTIFS(COA!$A:$A,$G987,COA!$R:$R,1)=1),1,0),"")</f>
        <v/>
      </c>
      <c r="S987" s="43">
        <f>IF($A987=1,IF($R987=1,N($M987),0),"")</f>
        <v/>
      </c>
      <c r="T987" s="43">
        <f>IF($A987=1,IF($R987=1,N($N987),0),"")</f>
        <v/>
      </c>
      <c r="U987" s="32">
        <f>IF($A987=1,YEAR($D987)*100+MONTH($D987),"")</f>
        <v/>
      </c>
      <c r="V987" s="32">
        <f>IF($A987=1,IF(COUNTIF(COA!$A:$A,$G987)=0,0,INDEX(COA!$H:$H,MATCH($G987,COA!$A:$A,0))),"")</f>
        <v/>
      </c>
      <c r="W987" s="32">
        <f>IF($A987=1,IF(Cash_Vouchers!$AI84="","",Cash_Vouchers!$AI84),"")</f>
        <v/>
      </c>
      <c r="X987" s="32">
        <f>IF($A987=1,IF($R987=1,"",IF($O987=ST_POST,IF($P987&lt;&gt;"",$P987,"حساب غير صالح أو غير نشط"),IF($O987=ST_REV,"معكوس: لا أثر على الدفاتر",IF($O987=ST_CANC,"ملغى",IF($O987=ST_APPR,"معتمد ولم يُرحَّل","مسودة"))))),"")</f>
        <v/>
      </c>
      <c r="Y987" s="32">
        <f>IF($A987=1,IF(AND($R987=1,OR(LG_Acct="",$G987=LG_Acct),OR(LG_Party="",$K987=LG_Party),OR(LG_Loc="ALL",$I987=LG_Loc),OR(LG_CC="ALL",$J987=LG_CC),$D987&gt;=LG_From,$D987&lt;=LG_To),$D987+ROW()/1000000,""),"")</f>
        <v/>
      </c>
      <c r="Z987" s="32">
        <f>IF($A987=1,IF(Cash_Vouchers!$O84="","",Cash_Vouchers!$O84),"")</f>
        <v/>
      </c>
      <c r="AA987" s="32">
        <f>IF($A987=1,IF(Cash_Vouchers!$P84="","",Cash_Vouchers!$P84),"")</f>
        <v/>
      </c>
      <c r="AB987" s="32">
        <f>IF($A987=1,IF(Cash_Vouchers!$Q84="","",Cash_Vouchers!$Q84),"")</f>
        <v/>
      </c>
      <c r="AC987" s="32">
        <f>IF($A987=1,IF(Cash_Vouchers!$R84="","",Cash_Vouchers!$R84),"")</f>
        <v/>
      </c>
      <c r="AD987" s="32">
        <f>IF($A987=1,IF(Cash_Vouchers!$S84="","",Cash_Vouchers!$S84),"")</f>
        <v/>
      </c>
      <c r="AE987" s="32">
        <f>IF($A987=1,0,"")</f>
        <v/>
      </c>
      <c r="AF987" s="32" t="inlineStr"/>
    </row>
    <row r="988">
      <c r="A988" s="32">
        <f>IF(AND(Cash_Vouchers!$AJ84=1,N(Cash_Vouchers!$I84)&gt;0),1,0)</f>
        <v/>
      </c>
      <c r="B988" s="32">
        <f>IF($A988=1,$E988&amp;"/2","")</f>
        <v/>
      </c>
      <c r="C988" s="32">
        <f>IF($A988=1,"J-"&amp;Cash_Vouchers!$A84,"")</f>
        <v/>
      </c>
      <c r="D988" s="33">
        <f>IF($A988=1,Cash_Vouchers!$B84,"")</f>
        <v/>
      </c>
      <c r="E988" s="32">
        <f>IF($A988=1,IF(Cash_Vouchers!$A84="","",Cash_Vouchers!$A84),"")</f>
        <v/>
      </c>
      <c r="F988" s="32">
        <f>IF($A988=1,"CV","")</f>
        <v/>
      </c>
      <c r="G988" s="32">
        <f>IF($A988=1,IF(Cash_Vouchers!$AB84="","",Cash_Vouchers!$AB84),"")</f>
        <v/>
      </c>
      <c r="H988" s="32">
        <f>IF($A988=1,IF(COUNTIF(COA!$A:$A,$G988)=0,"حساب غير معرف",INDEX(COA!$B:$B,MATCH($G988,COA!$A:$A,0))),"")</f>
        <v/>
      </c>
      <c r="I988" s="32">
        <f>IF($A988=1,IF(Cash_Vouchers!$AD84="","",Cash_Vouchers!$AD84),"")</f>
        <v/>
      </c>
      <c r="J988" s="32">
        <f>IF($A988=1,IF(Cash_Vouchers!$AF84="","",Cash_Vouchers!$AF84),"")</f>
        <v/>
      </c>
      <c r="K988" s="32">
        <f>IF($A988=1,IF(Cash_Vouchers!$AH84="","",Cash_Vouchers!$AH84),"")</f>
        <v/>
      </c>
      <c r="L988" s="32">
        <f>IF($A988=1,IF(Cash_Vouchers!$K84="",Cash_Vouchers!$C84&amp;" - "&amp;Cash_Vouchers!$H84,Cash_Vouchers!$K84),"")</f>
        <v/>
      </c>
      <c r="M988" s="43">
        <f>IF($A988=1,0,"")</f>
        <v/>
      </c>
      <c r="N988" s="43">
        <f>IF($A988=1,Cash_Vouchers!$I84,"")</f>
        <v/>
      </c>
      <c r="O988" s="32">
        <f>IF($A988=1,Cash_Vouchers!$N84,"")</f>
        <v/>
      </c>
      <c r="P988" s="32">
        <f>IF($A988=1,IF(Cash_Vouchers!$AK84="","",Cash_Vouchers!$AK84),"")</f>
        <v/>
      </c>
      <c r="Q988" s="32">
        <f>IF($A988=1,Cash_Vouchers!$AM84,"")</f>
        <v/>
      </c>
      <c r="R988" s="32">
        <f>IF($A988=1,IF(AND($Q988=1,COUNTIFS(COA!$A:$A,$G988,COA!$R:$R,1)=1),1,0),"")</f>
        <v/>
      </c>
      <c r="S988" s="43">
        <f>IF($A988=1,IF($R988=1,N($M988),0),"")</f>
        <v/>
      </c>
      <c r="T988" s="43">
        <f>IF($A988=1,IF($R988=1,N($N988),0),"")</f>
        <v/>
      </c>
      <c r="U988" s="32">
        <f>IF($A988=1,YEAR($D988)*100+MONTH($D988),"")</f>
        <v/>
      </c>
      <c r="V988" s="32">
        <f>IF($A988=1,IF(COUNTIF(COA!$A:$A,$G988)=0,0,INDEX(COA!$H:$H,MATCH($G988,COA!$A:$A,0))),"")</f>
        <v/>
      </c>
      <c r="W988" s="32">
        <f>IF($A988=1,IF(Cash_Vouchers!$AI84="","",Cash_Vouchers!$AI84),"")</f>
        <v/>
      </c>
      <c r="X988" s="32">
        <f>IF($A988=1,IF($R988=1,"",IF($O988=ST_POST,IF($P988&lt;&gt;"",$P988,"حساب غير صالح أو غير نشط"),IF($O988=ST_REV,"معكوس: لا أثر على الدفاتر",IF($O988=ST_CANC,"ملغى",IF($O988=ST_APPR,"معتمد ولم يُرحَّل","مسودة"))))),"")</f>
        <v/>
      </c>
      <c r="Y988" s="32">
        <f>IF($A988=1,IF(AND($R988=1,OR(LG_Acct="",$G988=LG_Acct),OR(LG_Party="",$K988=LG_Party),OR(LG_Loc="ALL",$I988=LG_Loc),OR(LG_CC="ALL",$J988=LG_CC),$D988&gt;=LG_From,$D988&lt;=LG_To),$D988+ROW()/1000000,""),"")</f>
        <v/>
      </c>
      <c r="Z988" s="32">
        <f>IF($A988=1,IF(Cash_Vouchers!$O84="","",Cash_Vouchers!$O84),"")</f>
        <v/>
      </c>
      <c r="AA988" s="32">
        <f>IF($A988=1,IF(Cash_Vouchers!$P84="","",Cash_Vouchers!$P84),"")</f>
        <v/>
      </c>
      <c r="AB988" s="32">
        <f>IF($A988=1,IF(Cash_Vouchers!$Q84="","",Cash_Vouchers!$Q84),"")</f>
        <v/>
      </c>
      <c r="AC988" s="32">
        <f>IF($A988=1,IF(Cash_Vouchers!$R84="","",Cash_Vouchers!$R84),"")</f>
        <v/>
      </c>
      <c r="AD988" s="32">
        <f>IF($A988=1,IF(Cash_Vouchers!$S84="","",Cash_Vouchers!$S84),"")</f>
        <v/>
      </c>
      <c r="AE988" s="32">
        <f>IF($A988=1,0,"")</f>
        <v/>
      </c>
      <c r="AF988" s="32" t="inlineStr"/>
    </row>
    <row r="989">
      <c r="A989" s="32">
        <f>IF(AND(Expenses!$AB5=1,N(Expenses!$F5)&gt;0),1,0)</f>
        <v/>
      </c>
      <c r="B989" s="32">
        <f>IF($A989=1,$E989&amp;"/1","")</f>
        <v/>
      </c>
      <c r="C989" s="32">
        <f>IF($A989=1,"J-"&amp;Expenses!$A5,"")</f>
        <v/>
      </c>
      <c r="D989" s="33">
        <f>IF($A989=1,Expenses!$B5,"")</f>
        <v/>
      </c>
      <c r="E989" s="32">
        <f>IF($A989=1,IF(Expenses!$A5="","",Expenses!$A5),"")</f>
        <v/>
      </c>
      <c r="F989" s="32">
        <f>IF($A989=1,"EXP","")</f>
        <v/>
      </c>
      <c r="G989" s="32">
        <f>IF($A989=1,IF(Expenses!$E5="","",Expenses!$E5),"")</f>
        <v/>
      </c>
      <c r="H989" s="32">
        <f>IF($A989=1,IF(COUNTIF(COA!$A:$A,$G989)=0,"حساب غير معرف",INDEX(COA!$B:$B,MATCH($G989,COA!$A:$A,0))),"")</f>
        <v/>
      </c>
      <c r="I989" s="32">
        <f>IF($A989=1,IF(Expenses!$C5="","",Expenses!$C5),"")</f>
        <v/>
      </c>
      <c r="J989" s="32">
        <f>IF($A989=1,IF(Expenses!$D5="","",Expenses!$D5),"")</f>
        <v/>
      </c>
      <c r="K989" s="32">
        <f>IF($A989=1,"-","")</f>
        <v/>
      </c>
      <c r="L989" s="32">
        <f>IF($A989=1,IF(Expenses!$L5="","مصروف - "&amp;Expenses!$J5,Expenses!$L5),"")</f>
        <v/>
      </c>
      <c r="M989" s="43">
        <f>IF($A989=1,Expenses!$F5,"")</f>
        <v/>
      </c>
      <c r="N989" s="43">
        <f>IF($A989=1,0,"")</f>
        <v/>
      </c>
      <c r="O989" s="32">
        <f>IF($A989=1,Expenses!$M5,"")</f>
        <v/>
      </c>
      <c r="P989" s="32">
        <f>IF($A989=1,IF(Expenses!$AC5="","",Expenses!$AC5),"")</f>
        <v/>
      </c>
      <c r="Q989" s="32">
        <f>IF($A989=1,Expenses!$AE5,"")</f>
        <v/>
      </c>
      <c r="R989" s="32">
        <f>IF($A989=1,IF(AND($Q989=1,COUNTIFS(COA!$A:$A,$G989,COA!$R:$R,1)=1),1,0),"")</f>
        <v/>
      </c>
      <c r="S989" s="43">
        <f>IF($A989=1,IF($R989=1,N($M989),0),"")</f>
        <v/>
      </c>
      <c r="T989" s="43">
        <f>IF($A989=1,IF($R989=1,N($N989),0),"")</f>
        <v/>
      </c>
      <c r="U989" s="32">
        <f>IF($A989=1,YEAR($D989)*100+MONTH($D989),"")</f>
        <v/>
      </c>
      <c r="V989" s="32">
        <f>IF($A989=1,IF(COUNTIF(COA!$A:$A,$G989)=0,0,INDEX(COA!$H:$H,MATCH($G989,COA!$A:$A,0))),"")</f>
        <v/>
      </c>
      <c r="W989" s="32">
        <f>IF($A989=1,"","")</f>
        <v/>
      </c>
      <c r="X989" s="32">
        <f>IF($A989=1,IF($R989=1,"",IF($O989=ST_POST,IF($P989&lt;&gt;"",$P989,"حساب غير صالح أو غير نشط"),IF($O989=ST_REV,"معكوس: لا أثر على الدفاتر",IF($O989=ST_CANC,"ملغى",IF($O989=ST_APPR,"معتمد ولم يُرحَّل","مسودة"))))),"")</f>
        <v/>
      </c>
      <c r="Y989" s="32">
        <f>IF($A989=1,IF(AND($R989=1,OR(LG_Acct="",$G989=LG_Acct),OR(LG_Party="",$K989=LG_Party),OR(LG_Loc="ALL",$I989=LG_Loc),OR(LG_CC="ALL",$J989=LG_CC),$D989&gt;=LG_From,$D989&lt;=LG_To),$D989+ROW()/1000000,""),"")</f>
        <v/>
      </c>
      <c r="Z989" s="32">
        <f>IF($A989=1,IF(Expenses!$N5="","",Expenses!$N5),"")</f>
        <v/>
      </c>
      <c r="AA989" s="32">
        <f>IF($A989=1,IF(Expenses!$O5="","",Expenses!$O5),"")</f>
        <v/>
      </c>
      <c r="AB989" s="32">
        <f>IF($A989=1,IF(Expenses!$P5="","",Expenses!$P5),"")</f>
        <v/>
      </c>
      <c r="AC989" s="32">
        <f>IF($A989=1,IF(Expenses!$Q5="","",Expenses!$Q5),"")</f>
        <v/>
      </c>
      <c r="AD989" s="32">
        <f>IF($A989=1,IF(Expenses!$R5="","",Expenses!$R5),"")</f>
        <v/>
      </c>
      <c r="AE989" s="32">
        <f>IF($A989=1,0,"")</f>
        <v/>
      </c>
      <c r="AF989" s="32" t="inlineStr"/>
    </row>
    <row r="990">
      <c r="A990" s="32">
        <f>IF(AND(Expenses!$AB5=1,N(Expenses!$G5)&gt;0),1,0)</f>
        <v/>
      </c>
      <c r="B990" s="32">
        <f>IF($A990=1,$E990&amp;"/2","")</f>
        <v/>
      </c>
      <c r="C990" s="32">
        <f>IF($A990=1,"J-"&amp;Expenses!$A5,"")</f>
        <v/>
      </c>
      <c r="D990" s="33">
        <f>IF($A990=1,Expenses!$B5,"")</f>
        <v/>
      </c>
      <c r="E990" s="32">
        <f>IF($A990=1,IF(Expenses!$A5="","",Expenses!$A5),"")</f>
        <v/>
      </c>
      <c r="F990" s="32">
        <f>IF($A990=1,"EXP","")</f>
        <v/>
      </c>
      <c r="G990" s="32">
        <f>IF($A990=1,ACC_VAT_IN,"")</f>
        <v/>
      </c>
      <c r="H990" s="32">
        <f>IF($A990=1,IF(COUNTIF(COA!$A:$A,$G990)=0,"حساب غير معرف",INDEX(COA!$B:$B,MATCH($G990,COA!$A:$A,0))),"")</f>
        <v/>
      </c>
      <c r="I990" s="32">
        <f>IF($A990=1,IF(Expenses!$C5="","",Expenses!$C5),"")</f>
        <v/>
      </c>
      <c r="J990" s="32">
        <f>IF($A990=1,IF(Expenses!$D5="","",Expenses!$D5),"")</f>
        <v/>
      </c>
      <c r="K990" s="32">
        <f>IF($A990=1,"-","")</f>
        <v/>
      </c>
      <c r="L990" s="32">
        <f>IF($A990=1,"ضريبة قيمة مضافة - مدخلات","")</f>
        <v/>
      </c>
      <c r="M990" s="43">
        <f>IF($A990=1,Expenses!$G5,"")</f>
        <v/>
      </c>
      <c r="N990" s="43">
        <f>IF($A990=1,0,"")</f>
        <v/>
      </c>
      <c r="O990" s="32">
        <f>IF($A990=1,Expenses!$M5,"")</f>
        <v/>
      </c>
      <c r="P990" s="32">
        <f>IF($A990=1,IF(Expenses!$AC5="","",Expenses!$AC5),"")</f>
        <v/>
      </c>
      <c r="Q990" s="32">
        <f>IF($A990=1,Expenses!$AE5,"")</f>
        <v/>
      </c>
      <c r="R990" s="32">
        <f>IF($A990=1,IF(AND($Q990=1,COUNTIFS(COA!$A:$A,$G990,COA!$R:$R,1)=1),1,0),"")</f>
        <v/>
      </c>
      <c r="S990" s="43">
        <f>IF($A990=1,IF($R990=1,N($M990),0),"")</f>
        <v/>
      </c>
      <c r="T990" s="43">
        <f>IF($A990=1,IF($R990=1,N($N990),0),"")</f>
        <v/>
      </c>
      <c r="U990" s="32">
        <f>IF($A990=1,YEAR($D990)*100+MONTH($D990),"")</f>
        <v/>
      </c>
      <c r="V990" s="32">
        <f>IF($A990=1,IF(COUNTIF(COA!$A:$A,$G990)=0,0,INDEX(COA!$H:$H,MATCH($G990,COA!$A:$A,0))),"")</f>
        <v/>
      </c>
      <c r="W990" s="32">
        <f>IF($A990=1,"","")</f>
        <v/>
      </c>
      <c r="X990" s="32">
        <f>IF($A990=1,IF($R990=1,"",IF($O990=ST_POST,IF($P990&lt;&gt;"",$P990,"حساب غير صالح أو غير نشط"),IF($O990=ST_REV,"معكوس: لا أثر على الدفاتر",IF($O990=ST_CANC,"ملغى",IF($O990=ST_APPR,"معتمد ولم يُرحَّل","مسودة"))))),"")</f>
        <v/>
      </c>
      <c r="Y990" s="32">
        <f>IF($A990=1,IF(AND($R990=1,OR(LG_Acct="",$G990=LG_Acct),OR(LG_Party="",$K990=LG_Party),OR(LG_Loc="ALL",$I990=LG_Loc),OR(LG_CC="ALL",$J990=LG_CC),$D990&gt;=LG_From,$D990&lt;=LG_To),$D990+ROW()/1000000,""),"")</f>
        <v/>
      </c>
      <c r="Z990" s="32">
        <f>IF($A990=1,IF(Expenses!$N5="","",Expenses!$N5),"")</f>
        <v/>
      </c>
      <c r="AA990" s="32">
        <f>IF($A990=1,IF(Expenses!$O5="","",Expenses!$O5),"")</f>
        <v/>
      </c>
      <c r="AB990" s="32">
        <f>IF($A990=1,IF(Expenses!$P5="","",Expenses!$P5),"")</f>
        <v/>
      </c>
      <c r="AC990" s="32">
        <f>IF($A990=1,IF(Expenses!$Q5="","",Expenses!$Q5),"")</f>
        <v/>
      </c>
      <c r="AD990" s="32">
        <f>IF($A990=1,IF(Expenses!$R5="","",Expenses!$R5),"")</f>
        <v/>
      </c>
      <c r="AE990" s="32">
        <f>IF($A990=1,0,"")</f>
        <v/>
      </c>
      <c r="AF990" s="32" t="inlineStr"/>
    </row>
    <row r="991">
      <c r="A991" s="32">
        <f>IF(AND(Expenses!$AB5=1,N(Expenses!$W5)&gt;0),1,0)</f>
        <v/>
      </c>
      <c r="B991" s="32">
        <f>IF($A991=1,$E991&amp;"/3","")</f>
        <v/>
      </c>
      <c r="C991" s="32">
        <f>IF($A991=1,"J-"&amp;Expenses!$A5,"")</f>
        <v/>
      </c>
      <c r="D991" s="33">
        <f>IF($A991=1,Expenses!$B5,"")</f>
        <v/>
      </c>
      <c r="E991" s="32">
        <f>IF($A991=1,IF(Expenses!$A5="","",Expenses!$A5),"")</f>
        <v/>
      </c>
      <c r="F991" s="32">
        <f>IF($A991=1,"EXP","")</f>
        <v/>
      </c>
      <c r="G991" s="32">
        <f>IF($A991=1,IF(Expenses!$V5="","",Expenses!$V5),"")</f>
        <v/>
      </c>
      <c r="H991" s="32">
        <f>IF($A991=1,IF(COUNTIF(COA!$A:$A,$G991)=0,"حساب غير معرف",INDEX(COA!$B:$B,MATCH($G991,COA!$A:$A,0))),"")</f>
        <v/>
      </c>
      <c r="I991" s="32">
        <f>IF($A991=1,IF(Expenses!$C5="","",Expenses!$C5),"")</f>
        <v/>
      </c>
      <c r="J991" s="32">
        <f>IF($A991=1,"CC00","")</f>
        <v/>
      </c>
      <c r="K991" s="32">
        <f>IF($A991=1,"-","")</f>
        <v/>
      </c>
      <c r="L991" s="32">
        <f>IF($A991=1,IF(Expenses!$L5="","مصروف - "&amp;Expenses!$J5,Expenses!$L5),"")</f>
        <v/>
      </c>
      <c r="M991" s="43">
        <f>IF($A991=1,0,"")</f>
        <v/>
      </c>
      <c r="N991" s="43">
        <f>IF($A991=1,Expenses!$W5,"")</f>
        <v/>
      </c>
      <c r="O991" s="32">
        <f>IF($A991=1,Expenses!$M5,"")</f>
        <v/>
      </c>
      <c r="P991" s="32">
        <f>IF($A991=1,IF(Expenses!$AC5="","",Expenses!$AC5),"")</f>
        <v/>
      </c>
      <c r="Q991" s="32">
        <f>IF($A991=1,Expenses!$AE5,"")</f>
        <v/>
      </c>
      <c r="R991" s="32">
        <f>IF($A991=1,IF(AND($Q991=1,COUNTIFS(COA!$A:$A,$G991,COA!$R:$R,1)=1),1,0),"")</f>
        <v/>
      </c>
      <c r="S991" s="43">
        <f>IF($A991=1,IF($R991=1,N($M991),0),"")</f>
        <v/>
      </c>
      <c r="T991" s="43">
        <f>IF($A991=1,IF($R991=1,N($N991),0),"")</f>
        <v/>
      </c>
      <c r="U991" s="32">
        <f>IF($A991=1,YEAR($D991)*100+MONTH($D991),"")</f>
        <v/>
      </c>
      <c r="V991" s="32">
        <f>IF($A991=1,IF(COUNTIF(COA!$A:$A,$G991)=0,0,INDEX(COA!$H:$H,MATCH($G991,COA!$A:$A,0))),"")</f>
        <v/>
      </c>
      <c r="W991" s="32">
        <f>IF($A991=1,"OPERATING","")</f>
        <v/>
      </c>
      <c r="X991" s="32">
        <f>IF($A991=1,IF($R991=1,"",IF($O991=ST_POST,IF($P991&lt;&gt;"",$P991,"حساب غير صالح أو غير نشط"),IF($O991=ST_REV,"معكوس: لا أثر على الدفاتر",IF($O991=ST_CANC,"ملغى",IF($O991=ST_APPR,"معتمد ولم يُرحَّل","مسودة"))))),"")</f>
        <v/>
      </c>
      <c r="Y991" s="32">
        <f>IF($A991=1,IF(AND($R991=1,OR(LG_Acct="",$G991=LG_Acct),OR(LG_Party="",$K991=LG_Party),OR(LG_Loc="ALL",$I991=LG_Loc),OR(LG_CC="ALL",$J991=LG_CC),$D991&gt;=LG_From,$D991&lt;=LG_To),$D991+ROW()/1000000,""),"")</f>
        <v/>
      </c>
      <c r="Z991" s="32">
        <f>IF($A991=1,IF(Expenses!$N5="","",Expenses!$N5),"")</f>
        <v/>
      </c>
      <c r="AA991" s="32">
        <f>IF($A991=1,IF(Expenses!$O5="","",Expenses!$O5),"")</f>
        <v/>
      </c>
      <c r="AB991" s="32">
        <f>IF($A991=1,IF(Expenses!$P5="","",Expenses!$P5),"")</f>
        <v/>
      </c>
      <c r="AC991" s="32">
        <f>IF($A991=1,IF(Expenses!$Q5="","",Expenses!$Q5),"")</f>
        <v/>
      </c>
      <c r="AD991" s="32">
        <f>IF($A991=1,IF(Expenses!$R5="","",Expenses!$R5),"")</f>
        <v/>
      </c>
      <c r="AE991" s="32">
        <f>IF($A991=1,0,"")</f>
        <v/>
      </c>
      <c r="AF991" s="32" t="inlineStr"/>
    </row>
    <row r="992">
      <c r="A992" s="32">
        <f>IF(AND(Expenses!$AB6=1,N(Expenses!$F6)&gt;0),1,0)</f>
        <v/>
      </c>
      <c r="B992" s="32">
        <f>IF($A992=1,$E992&amp;"/1","")</f>
        <v/>
      </c>
      <c r="C992" s="32">
        <f>IF($A992=1,"J-"&amp;Expenses!$A6,"")</f>
        <v/>
      </c>
      <c r="D992" s="33">
        <f>IF($A992=1,Expenses!$B6,"")</f>
        <v/>
      </c>
      <c r="E992" s="32">
        <f>IF($A992=1,IF(Expenses!$A6="","",Expenses!$A6),"")</f>
        <v/>
      </c>
      <c r="F992" s="32">
        <f>IF($A992=1,"EXP","")</f>
        <v/>
      </c>
      <c r="G992" s="32">
        <f>IF($A992=1,IF(Expenses!$E6="","",Expenses!$E6),"")</f>
        <v/>
      </c>
      <c r="H992" s="32">
        <f>IF($A992=1,IF(COUNTIF(COA!$A:$A,$G992)=0,"حساب غير معرف",INDEX(COA!$B:$B,MATCH($G992,COA!$A:$A,0))),"")</f>
        <v/>
      </c>
      <c r="I992" s="32">
        <f>IF($A992=1,IF(Expenses!$C6="","",Expenses!$C6),"")</f>
        <v/>
      </c>
      <c r="J992" s="32">
        <f>IF($A992=1,IF(Expenses!$D6="","",Expenses!$D6),"")</f>
        <v/>
      </c>
      <c r="K992" s="32">
        <f>IF($A992=1,"-","")</f>
        <v/>
      </c>
      <c r="L992" s="32">
        <f>IF($A992=1,IF(Expenses!$L6="","مصروف - "&amp;Expenses!$J6,Expenses!$L6),"")</f>
        <v/>
      </c>
      <c r="M992" s="43">
        <f>IF($A992=1,Expenses!$F6,"")</f>
        <v/>
      </c>
      <c r="N992" s="43">
        <f>IF($A992=1,0,"")</f>
        <v/>
      </c>
      <c r="O992" s="32">
        <f>IF($A992=1,Expenses!$M6,"")</f>
        <v/>
      </c>
      <c r="P992" s="32">
        <f>IF($A992=1,IF(Expenses!$AC6="","",Expenses!$AC6),"")</f>
        <v/>
      </c>
      <c r="Q992" s="32">
        <f>IF($A992=1,Expenses!$AE6,"")</f>
        <v/>
      </c>
      <c r="R992" s="32">
        <f>IF($A992=1,IF(AND($Q992=1,COUNTIFS(COA!$A:$A,$G992,COA!$R:$R,1)=1),1,0),"")</f>
        <v/>
      </c>
      <c r="S992" s="43">
        <f>IF($A992=1,IF($R992=1,N($M992),0),"")</f>
        <v/>
      </c>
      <c r="T992" s="43">
        <f>IF($A992=1,IF($R992=1,N($N992),0),"")</f>
        <v/>
      </c>
      <c r="U992" s="32">
        <f>IF($A992=1,YEAR($D992)*100+MONTH($D992),"")</f>
        <v/>
      </c>
      <c r="V992" s="32">
        <f>IF($A992=1,IF(COUNTIF(COA!$A:$A,$G992)=0,0,INDEX(COA!$H:$H,MATCH($G992,COA!$A:$A,0))),"")</f>
        <v/>
      </c>
      <c r="W992" s="32">
        <f>IF($A992=1,"","")</f>
        <v/>
      </c>
      <c r="X992" s="32">
        <f>IF($A992=1,IF($R992=1,"",IF($O992=ST_POST,IF($P992&lt;&gt;"",$P992,"حساب غير صالح أو غير نشط"),IF($O992=ST_REV,"معكوس: لا أثر على الدفاتر",IF($O992=ST_CANC,"ملغى",IF($O992=ST_APPR,"معتمد ولم يُرحَّل","مسودة"))))),"")</f>
        <v/>
      </c>
      <c r="Y992" s="32">
        <f>IF($A992=1,IF(AND($R992=1,OR(LG_Acct="",$G992=LG_Acct),OR(LG_Party="",$K992=LG_Party),OR(LG_Loc="ALL",$I992=LG_Loc),OR(LG_CC="ALL",$J992=LG_CC),$D992&gt;=LG_From,$D992&lt;=LG_To),$D992+ROW()/1000000,""),"")</f>
        <v/>
      </c>
      <c r="Z992" s="32">
        <f>IF($A992=1,IF(Expenses!$N6="","",Expenses!$N6),"")</f>
        <v/>
      </c>
      <c r="AA992" s="32">
        <f>IF($A992=1,IF(Expenses!$O6="","",Expenses!$O6),"")</f>
        <v/>
      </c>
      <c r="AB992" s="32">
        <f>IF($A992=1,IF(Expenses!$P6="","",Expenses!$P6),"")</f>
        <v/>
      </c>
      <c r="AC992" s="32">
        <f>IF($A992=1,IF(Expenses!$Q6="","",Expenses!$Q6),"")</f>
        <v/>
      </c>
      <c r="AD992" s="32">
        <f>IF($A992=1,IF(Expenses!$R6="","",Expenses!$R6),"")</f>
        <v/>
      </c>
      <c r="AE992" s="32">
        <f>IF($A992=1,0,"")</f>
        <v/>
      </c>
      <c r="AF992" s="32" t="inlineStr"/>
    </row>
    <row r="993">
      <c r="A993" s="32">
        <f>IF(AND(Expenses!$AB6=1,N(Expenses!$G6)&gt;0),1,0)</f>
        <v/>
      </c>
      <c r="B993" s="32">
        <f>IF($A993=1,$E993&amp;"/2","")</f>
        <v/>
      </c>
      <c r="C993" s="32">
        <f>IF($A993=1,"J-"&amp;Expenses!$A6,"")</f>
        <v/>
      </c>
      <c r="D993" s="33">
        <f>IF($A993=1,Expenses!$B6,"")</f>
        <v/>
      </c>
      <c r="E993" s="32">
        <f>IF($A993=1,IF(Expenses!$A6="","",Expenses!$A6),"")</f>
        <v/>
      </c>
      <c r="F993" s="32">
        <f>IF($A993=1,"EXP","")</f>
        <v/>
      </c>
      <c r="G993" s="32">
        <f>IF($A993=1,ACC_VAT_IN,"")</f>
        <v/>
      </c>
      <c r="H993" s="32">
        <f>IF($A993=1,IF(COUNTIF(COA!$A:$A,$G993)=0,"حساب غير معرف",INDEX(COA!$B:$B,MATCH($G993,COA!$A:$A,0))),"")</f>
        <v/>
      </c>
      <c r="I993" s="32">
        <f>IF($A993=1,IF(Expenses!$C6="","",Expenses!$C6),"")</f>
        <v/>
      </c>
      <c r="J993" s="32">
        <f>IF($A993=1,IF(Expenses!$D6="","",Expenses!$D6),"")</f>
        <v/>
      </c>
      <c r="K993" s="32">
        <f>IF($A993=1,"-","")</f>
        <v/>
      </c>
      <c r="L993" s="32">
        <f>IF($A993=1,"ضريبة قيمة مضافة - مدخلات","")</f>
        <v/>
      </c>
      <c r="M993" s="43">
        <f>IF($A993=1,Expenses!$G6,"")</f>
        <v/>
      </c>
      <c r="N993" s="43">
        <f>IF($A993=1,0,"")</f>
        <v/>
      </c>
      <c r="O993" s="32">
        <f>IF($A993=1,Expenses!$M6,"")</f>
        <v/>
      </c>
      <c r="P993" s="32">
        <f>IF($A993=1,IF(Expenses!$AC6="","",Expenses!$AC6),"")</f>
        <v/>
      </c>
      <c r="Q993" s="32">
        <f>IF($A993=1,Expenses!$AE6,"")</f>
        <v/>
      </c>
      <c r="R993" s="32">
        <f>IF($A993=1,IF(AND($Q993=1,COUNTIFS(COA!$A:$A,$G993,COA!$R:$R,1)=1),1,0),"")</f>
        <v/>
      </c>
      <c r="S993" s="43">
        <f>IF($A993=1,IF($R993=1,N($M993),0),"")</f>
        <v/>
      </c>
      <c r="T993" s="43">
        <f>IF($A993=1,IF($R993=1,N($N993),0),"")</f>
        <v/>
      </c>
      <c r="U993" s="32">
        <f>IF($A993=1,YEAR($D993)*100+MONTH($D993),"")</f>
        <v/>
      </c>
      <c r="V993" s="32">
        <f>IF($A993=1,IF(COUNTIF(COA!$A:$A,$G993)=0,0,INDEX(COA!$H:$H,MATCH($G993,COA!$A:$A,0))),"")</f>
        <v/>
      </c>
      <c r="W993" s="32">
        <f>IF($A993=1,"","")</f>
        <v/>
      </c>
      <c r="X993" s="32">
        <f>IF($A993=1,IF($R993=1,"",IF($O993=ST_POST,IF($P993&lt;&gt;"",$P993,"حساب غير صالح أو غير نشط"),IF($O993=ST_REV,"معكوس: لا أثر على الدفاتر",IF($O993=ST_CANC,"ملغى",IF($O993=ST_APPR,"معتمد ولم يُرحَّل","مسودة"))))),"")</f>
        <v/>
      </c>
      <c r="Y993" s="32">
        <f>IF($A993=1,IF(AND($R993=1,OR(LG_Acct="",$G993=LG_Acct),OR(LG_Party="",$K993=LG_Party),OR(LG_Loc="ALL",$I993=LG_Loc),OR(LG_CC="ALL",$J993=LG_CC),$D993&gt;=LG_From,$D993&lt;=LG_To),$D993+ROW()/1000000,""),"")</f>
        <v/>
      </c>
      <c r="Z993" s="32">
        <f>IF($A993=1,IF(Expenses!$N6="","",Expenses!$N6),"")</f>
        <v/>
      </c>
      <c r="AA993" s="32">
        <f>IF($A993=1,IF(Expenses!$O6="","",Expenses!$O6),"")</f>
        <v/>
      </c>
      <c r="AB993" s="32">
        <f>IF($A993=1,IF(Expenses!$P6="","",Expenses!$P6),"")</f>
        <v/>
      </c>
      <c r="AC993" s="32">
        <f>IF($A993=1,IF(Expenses!$Q6="","",Expenses!$Q6),"")</f>
        <v/>
      </c>
      <c r="AD993" s="32">
        <f>IF($A993=1,IF(Expenses!$R6="","",Expenses!$R6),"")</f>
        <v/>
      </c>
      <c r="AE993" s="32">
        <f>IF($A993=1,0,"")</f>
        <v/>
      </c>
      <c r="AF993" s="32" t="inlineStr"/>
    </row>
    <row r="994">
      <c r="A994" s="32">
        <f>IF(AND(Expenses!$AB6=1,N(Expenses!$W6)&gt;0),1,0)</f>
        <v/>
      </c>
      <c r="B994" s="32">
        <f>IF($A994=1,$E994&amp;"/3","")</f>
        <v/>
      </c>
      <c r="C994" s="32">
        <f>IF($A994=1,"J-"&amp;Expenses!$A6,"")</f>
        <v/>
      </c>
      <c r="D994" s="33">
        <f>IF($A994=1,Expenses!$B6,"")</f>
        <v/>
      </c>
      <c r="E994" s="32">
        <f>IF($A994=1,IF(Expenses!$A6="","",Expenses!$A6),"")</f>
        <v/>
      </c>
      <c r="F994" s="32">
        <f>IF($A994=1,"EXP","")</f>
        <v/>
      </c>
      <c r="G994" s="32">
        <f>IF($A994=1,IF(Expenses!$V6="","",Expenses!$V6),"")</f>
        <v/>
      </c>
      <c r="H994" s="32">
        <f>IF($A994=1,IF(COUNTIF(COA!$A:$A,$G994)=0,"حساب غير معرف",INDEX(COA!$B:$B,MATCH($G994,COA!$A:$A,0))),"")</f>
        <v/>
      </c>
      <c r="I994" s="32">
        <f>IF($A994=1,IF(Expenses!$C6="","",Expenses!$C6),"")</f>
        <v/>
      </c>
      <c r="J994" s="32">
        <f>IF($A994=1,"CC00","")</f>
        <v/>
      </c>
      <c r="K994" s="32">
        <f>IF($A994=1,"-","")</f>
        <v/>
      </c>
      <c r="L994" s="32">
        <f>IF($A994=1,IF(Expenses!$L6="","مصروف - "&amp;Expenses!$J6,Expenses!$L6),"")</f>
        <v/>
      </c>
      <c r="M994" s="43">
        <f>IF($A994=1,0,"")</f>
        <v/>
      </c>
      <c r="N994" s="43">
        <f>IF($A994=1,Expenses!$W6,"")</f>
        <v/>
      </c>
      <c r="O994" s="32">
        <f>IF($A994=1,Expenses!$M6,"")</f>
        <v/>
      </c>
      <c r="P994" s="32">
        <f>IF($A994=1,IF(Expenses!$AC6="","",Expenses!$AC6),"")</f>
        <v/>
      </c>
      <c r="Q994" s="32">
        <f>IF($A994=1,Expenses!$AE6,"")</f>
        <v/>
      </c>
      <c r="R994" s="32">
        <f>IF($A994=1,IF(AND($Q994=1,COUNTIFS(COA!$A:$A,$G994,COA!$R:$R,1)=1),1,0),"")</f>
        <v/>
      </c>
      <c r="S994" s="43">
        <f>IF($A994=1,IF($R994=1,N($M994),0),"")</f>
        <v/>
      </c>
      <c r="T994" s="43">
        <f>IF($A994=1,IF($R994=1,N($N994),0),"")</f>
        <v/>
      </c>
      <c r="U994" s="32">
        <f>IF($A994=1,YEAR($D994)*100+MONTH($D994),"")</f>
        <v/>
      </c>
      <c r="V994" s="32">
        <f>IF($A994=1,IF(COUNTIF(COA!$A:$A,$G994)=0,0,INDEX(COA!$H:$H,MATCH($G994,COA!$A:$A,0))),"")</f>
        <v/>
      </c>
      <c r="W994" s="32">
        <f>IF($A994=1,"OPERATING","")</f>
        <v/>
      </c>
      <c r="X994" s="32">
        <f>IF($A994=1,IF($R994=1,"",IF($O994=ST_POST,IF($P994&lt;&gt;"",$P994,"حساب غير صالح أو غير نشط"),IF($O994=ST_REV,"معكوس: لا أثر على الدفاتر",IF($O994=ST_CANC,"ملغى",IF($O994=ST_APPR,"معتمد ولم يُرحَّل","مسودة"))))),"")</f>
        <v/>
      </c>
      <c r="Y994" s="32">
        <f>IF($A994=1,IF(AND($R994=1,OR(LG_Acct="",$G994=LG_Acct),OR(LG_Party="",$K994=LG_Party),OR(LG_Loc="ALL",$I994=LG_Loc),OR(LG_CC="ALL",$J994=LG_CC),$D994&gt;=LG_From,$D994&lt;=LG_To),$D994+ROW()/1000000,""),"")</f>
        <v/>
      </c>
      <c r="Z994" s="32">
        <f>IF($A994=1,IF(Expenses!$N6="","",Expenses!$N6),"")</f>
        <v/>
      </c>
      <c r="AA994" s="32">
        <f>IF($A994=1,IF(Expenses!$O6="","",Expenses!$O6),"")</f>
        <v/>
      </c>
      <c r="AB994" s="32">
        <f>IF($A994=1,IF(Expenses!$P6="","",Expenses!$P6),"")</f>
        <v/>
      </c>
      <c r="AC994" s="32">
        <f>IF($A994=1,IF(Expenses!$Q6="","",Expenses!$Q6),"")</f>
        <v/>
      </c>
      <c r="AD994" s="32">
        <f>IF($A994=1,IF(Expenses!$R6="","",Expenses!$R6),"")</f>
        <v/>
      </c>
      <c r="AE994" s="32">
        <f>IF($A994=1,0,"")</f>
        <v/>
      </c>
      <c r="AF994" s="32" t="inlineStr"/>
    </row>
    <row r="995">
      <c r="A995" s="32">
        <f>IF(AND(Expenses!$AB7=1,N(Expenses!$F7)&gt;0),1,0)</f>
        <v/>
      </c>
      <c r="B995" s="32">
        <f>IF($A995=1,$E995&amp;"/1","")</f>
        <v/>
      </c>
      <c r="C995" s="32">
        <f>IF($A995=1,"J-"&amp;Expenses!$A7,"")</f>
        <v/>
      </c>
      <c r="D995" s="33">
        <f>IF($A995=1,Expenses!$B7,"")</f>
        <v/>
      </c>
      <c r="E995" s="32">
        <f>IF($A995=1,IF(Expenses!$A7="","",Expenses!$A7),"")</f>
        <v/>
      </c>
      <c r="F995" s="32">
        <f>IF($A995=1,"EXP","")</f>
        <v/>
      </c>
      <c r="G995" s="32">
        <f>IF($A995=1,IF(Expenses!$E7="","",Expenses!$E7),"")</f>
        <v/>
      </c>
      <c r="H995" s="32">
        <f>IF($A995=1,IF(COUNTIF(COA!$A:$A,$G995)=0,"حساب غير معرف",INDEX(COA!$B:$B,MATCH($G995,COA!$A:$A,0))),"")</f>
        <v/>
      </c>
      <c r="I995" s="32">
        <f>IF($A995=1,IF(Expenses!$C7="","",Expenses!$C7),"")</f>
        <v/>
      </c>
      <c r="J995" s="32">
        <f>IF($A995=1,IF(Expenses!$D7="","",Expenses!$D7),"")</f>
        <v/>
      </c>
      <c r="K995" s="32">
        <f>IF($A995=1,"-","")</f>
        <v/>
      </c>
      <c r="L995" s="32">
        <f>IF($A995=1,IF(Expenses!$L7="","مصروف - "&amp;Expenses!$J7,Expenses!$L7),"")</f>
        <v/>
      </c>
      <c r="M995" s="43">
        <f>IF($A995=1,Expenses!$F7,"")</f>
        <v/>
      </c>
      <c r="N995" s="43">
        <f>IF($A995=1,0,"")</f>
        <v/>
      </c>
      <c r="O995" s="32">
        <f>IF($A995=1,Expenses!$M7,"")</f>
        <v/>
      </c>
      <c r="P995" s="32">
        <f>IF($A995=1,IF(Expenses!$AC7="","",Expenses!$AC7),"")</f>
        <v/>
      </c>
      <c r="Q995" s="32">
        <f>IF($A995=1,Expenses!$AE7,"")</f>
        <v/>
      </c>
      <c r="R995" s="32">
        <f>IF($A995=1,IF(AND($Q995=1,COUNTIFS(COA!$A:$A,$G995,COA!$R:$R,1)=1),1,0),"")</f>
        <v/>
      </c>
      <c r="S995" s="43">
        <f>IF($A995=1,IF($R995=1,N($M995),0),"")</f>
        <v/>
      </c>
      <c r="T995" s="43">
        <f>IF($A995=1,IF($R995=1,N($N995),0),"")</f>
        <v/>
      </c>
      <c r="U995" s="32">
        <f>IF($A995=1,YEAR($D995)*100+MONTH($D995),"")</f>
        <v/>
      </c>
      <c r="V995" s="32">
        <f>IF($A995=1,IF(COUNTIF(COA!$A:$A,$G995)=0,0,INDEX(COA!$H:$H,MATCH($G995,COA!$A:$A,0))),"")</f>
        <v/>
      </c>
      <c r="W995" s="32">
        <f>IF($A995=1,"","")</f>
        <v/>
      </c>
      <c r="X995" s="32">
        <f>IF($A995=1,IF($R995=1,"",IF($O995=ST_POST,IF($P995&lt;&gt;"",$P995,"حساب غير صالح أو غير نشط"),IF($O995=ST_REV,"معكوس: لا أثر على الدفاتر",IF($O995=ST_CANC,"ملغى",IF($O995=ST_APPR,"معتمد ولم يُرحَّل","مسودة"))))),"")</f>
        <v/>
      </c>
      <c r="Y995" s="32">
        <f>IF($A995=1,IF(AND($R995=1,OR(LG_Acct="",$G995=LG_Acct),OR(LG_Party="",$K995=LG_Party),OR(LG_Loc="ALL",$I995=LG_Loc),OR(LG_CC="ALL",$J995=LG_CC),$D995&gt;=LG_From,$D995&lt;=LG_To),$D995+ROW()/1000000,""),"")</f>
        <v/>
      </c>
      <c r="Z995" s="32">
        <f>IF($A995=1,IF(Expenses!$N7="","",Expenses!$N7),"")</f>
        <v/>
      </c>
      <c r="AA995" s="32">
        <f>IF($A995=1,IF(Expenses!$O7="","",Expenses!$O7),"")</f>
        <v/>
      </c>
      <c r="AB995" s="32">
        <f>IF($A995=1,IF(Expenses!$P7="","",Expenses!$P7),"")</f>
        <v/>
      </c>
      <c r="AC995" s="32">
        <f>IF($A995=1,IF(Expenses!$Q7="","",Expenses!$Q7),"")</f>
        <v/>
      </c>
      <c r="AD995" s="32">
        <f>IF($A995=1,IF(Expenses!$R7="","",Expenses!$R7),"")</f>
        <v/>
      </c>
      <c r="AE995" s="32">
        <f>IF($A995=1,0,"")</f>
        <v/>
      </c>
      <c r="AF995" s="32" t="inlineStr"/>
    </row>
    <row r="996">
      <c r="A996" s="32">
        <f>IF(AND(Expenses!$AB7=1,N(Expenses!$G7)&gt;0),1,0)</f>
        <v/>
      </c>
      <c r="B996" s="32">
        <f>IF($A996=1,$E996&amp;"/2","")</f>
        <v/>
      </c>
      <c r="C996" s="32">
        <f>IF($A996=1,"J-"&amp;Expenses!$A7,"")</f>
        <v/>
      </c>
      <c r="D996" s="33">
        <f>IF($A996=1,Expenses!$B7,"")</f>
        <v/>
      </c>
      <c r="E996" s="32">
        <f>IF($A996=1,IF(Expenses!$A7="","",Expenses!$A7),"")</f>
        <v/>
      </c>
      <c r="F996" s="32">
        <f>IF($A996=1,"EXP","")</f>
        <v/>
      </c>
      <c r="G996" s="32">
        <f>IF($A996=1,ACC_VAT_IN,"")</f>
        <v/>
      </c>
      <c r="H996" s="32">
        <f>IF($A996=1,IF(COUNTIF(COA!$A:$A,$G996)=0,"حساب غير معرف",INDEX(COA!$B:$B,MATCH($G996,COA!$A:$A,0))),"")</f>
        <v/>
      </c>
      <c r="I996" s="32">
        <f>IF($A996=1,IF(Expenses!$C7="","",Expenses!$C7),"")</f>
        <v/>
      </c>
      <c r="J996" s="32">
        <f>IF($A996=1,IF(Expenses!$D7="","",Expenses!$D7),"")</f>
        <v/>
      </c>
      <c r="K996" s="32">
        <f>IF($A996=1,"-","")</f>
        <v/>
      </c>
      <c r="L996" s="32">
        <f>IF($A996=1,"ضريبة قيمة مضافة - مدخلات","")</f>
        <v/>
      </c>
      <c r="M996" s="43">
        <f>IF($A996=1,Expenses!$G7,"")</f>
        <v/>
      </c>
      <c r="N996" s="43">
        <f>IF($A996=1,0,"")</f>
        <v/>
      </c>
      <c r="O996" s="32">
        <f>IF($A996=1,Expenses!$M7,"")</f>
        <v/>
      </c>
      <c r="P996" s="32">
        <f>IF($A996=1,IF(Expenses!$AC7="","",Expenses!$AC7),"")</f>
        <v/>
      </c>
      <c r="Q996" s="32">
        <f>IF($A996=1,Expenses!$AE7,"")</f>
        <v/>
      </c>
      <c r="R996" s="32">
        <f>IF($A996=1,IF(AND($Q996=1,COUNTIFS(COA!$A:$A,$G996,COA!$R:$R,1)=1),1,0),"")</f>
        <v/>
      </c>
      <c r="S996" s="43">
        <f>IF($A996=1,IF($R996=1,N($M996),0),"")</f>
        <v/>
      </c>
      <c r="T996" s="43">
        <f>IF($A996=1,IF($R996=1,N($N996),0),"")</f>
        <v/>
      </c>
      <c r="U996" s="32">
        <f>IF($A996=1,YEAR($D996)*100+MONTH($D996),"")</f>
        <v/>
      </c>
      <c r="V996" s="32">
        <f>IF($A996=1,IF(COUNTIF(COA!$A:$A,$G996)=0,0,INDEX(COA!$H:$H,MATCH($G996,COA!$A:$A,0))),"")</f>
        <v/>
      </c>
      <c r="W996" s="32">
        <f>IF($A996=1,"","")</f>
        <v/>
      </c>
      <c r="X996" s="32">
        <f>IF($A996=1,IF($R996=1,"",IF($O996=ST_POST,IF($P996&lt;&gt;"",$P996,"حساب غير صالح أو غير نشط"),IF($O996=ST_REV,"معكوس: لا أثر على الدفاتر",IF($O996=ST_CANC,"ملغى",IF($O996=ST_APPR,"معتمد ولم يُرحَّل","مسودة"))))),"")</f>
        <v/>
      </c>
      <c r="Y996" s="32">
        <f>IF($A996=1,IF(AND($R996=1,OR(LG_Acct="",$G996=LG_Acct),OR(LG_Party="",$K996=LG_Party),OR(LG_Loc="ALL",$I996=LG_Loc),OR(LG_CC="ALL",$J996=LG_CC),$D996&gt;=LG_From,$D996&lt;=LG_To),$D996+ROW()/1000000,""),"")</f>
        <v/>
      </c>
      <c r="Z996" s="32">
        <f>IF($A996=1,IF(Expenses!$N7="","",Expenses!$N7),"")</f>
        <v/>
      </c>
      <c r="AA996" s="32">
        <f>IF($A996=1,IF(Expenses!$O7="","",Expenses!$O7),"")</f>
        <v/>
      </c>
      <c r="AB996" s="32">
        <f>IF($A996=1,IF(Expenses!$P7="","",Expenses!$P7),"")</f>
        <v/>
      </c>
      <c r="AC996" s="32">
        <f>IF($A996=1,IF(Expenses!$Q7="","",Expenses!$Q7),"")</f>
        <v/>
      </c>
      <c r="AD996" s="32">
        <f>IF($A996=1,IF(Expenses!$R7="","",Expenses!$R7),"")</f>
        <v/>
      </c>
      <c r="AE996" s="32">
        <f>IF($A996=1,0,"")</f>
        <v/>
      </c>
      <c r="AF996" s="32" t="inlineStr"/>
    </row>
    <row r="997">
      <c r="A997" s="32">
        <f>IF(AND(Expenses!$AB7=1,N(Expenses!$W7)&gt;0),1,0)</f>
        <v/>
      </c>
      <c r="B997" s="32">
        <f>IF($A997=1,$E997&amp;"/3","")</f>
        <v/>
      </c>
      <c r="C997" s="32">
        <f>IF($A997=1,"J-"&amp;Expenses!$A7,"")</f>
        <v/>
      </c>
      <c r="D997" s="33">
        <f>IF($A997=1,Expenses!$B7,"")</f>
        <v/>
      </c>
      <c r="E997" s="32">
        <f>IF($A997=1,IF(Expenses!$A7="","",Expenses!$A7),"")</f>
        <v/>
      </c>
      <c r="F997" s="32">
        <f>IF($A997=1,"EXP","")</f>
        <v/>
      </c>
      <c r="G997" s="32">
        <f>IF($A997=1,IF(Expenses!$V7="","",Expenses!$V7),"")</f>
        <v/>
      </c>
      <c r="H997" s="32">
        <f>IF($A997=1,IF(COUNTIF(COA!$A:$A,$G997)=0,"حساب غير معرف",INDEX(COA!$B:$B,MATCH($G997,COA!$A:$A,0))),"")</f>
        <v/>
      </c>
      <c r="I997" s="32">
        <f>IF($A997=1,IF(Expenses!$C7="","",Expenses!$C7),"")</f>
        <v/>
      </c>
      <c r="J997" s="32">
        <f>IF($A997=1,"CC00","")</f>
        <v/>
      </c>
      <c r="K997" s="32">
        <f>IF($A997=1,"-","")</f>
        <v/>
      </c>
      <c r="L997" s="32">
        <f>IF($A997=1,IF(Expenses!$L7="","مصروف - "&amp;Expenses!$J7,Expenses!$L7),"")</f>
        <v/>
      </c>
      <c r="M997" s="43">
        <f>IF($A997=1,0,"")</f>
        <v/>
      </c>
      <c r="N997" s="43">
        <f>IF($A997=1,Expenses!$W7,"")</f>
        <v/>
      </c>
      <c r="O997" s="32">
        <f>IF($A997=1,Expenses!$M7,"")</f>
        <v/>
      </c>
      <c r="P997" s="32">
        <f>IF($A997=1,IF(Expenses!$AC7="","",Expenses!$AC7),"")</f>
        <v/>
      </c>
      <c r="Q997" s="32">
        <f>IF($A997=1,Expenses!$AE7,"")</f>
        <v/>
      </c>
      <c r="R997" s="32">
        <f>IF($A997=1,IF(AND($Q997=1,COUNTIFS(COA!$A:$A,$G997,COA!$R:$R,1)=1),1,0),"")</f>
        <v/>
      </c>
      <c r="S997" s="43">
        <f>IF($A997=1,IF($R997=1,N($M997),0),"")</f>
        <v/>
      </c>
      <c r="T997" s="43">
        <f>IF($A997=1,IF($R997=1,N($N997),0),"")</f>
        <v/>
      </c>
      <c r="U997" s="32">
        <f>IF($A997=1,YEAR($D997)*100+MONTH($D997),"")</f>
        <v/>
      </c>
      <c r="V997" s="32">
        <f>IF($A997=1,IF(COUNTIF(COA!$A:$A,$G997)=0,0,INDEX(COA!$H:$H,MATCH($G997,COA!$A:$A,0))),"")</f>
        <v/>
      </c>
      <c r="W997" s="32">
        <f>IF($A997=1,"OPERATING","")</f>
        <v/>
      </c>
      <c r="X997" s="32">
        <f>IF($A997=1,IF($R997=1,"",IF($O997=ST_POST,IF($P997&lt;&gt;"",$P997,"حساب غير صالح أو غير نشط"),IF($O997=ST_REV,"معكوس: لا أثر على الدفاتر",IF($O997=ST_CANC,"ملغى",IF($O997=ST_APPR,"معتمد ولم يُرحَّل","مسودة"))))),"")</f>
        <v/>
      </c>
      <c r="Y997" s="32">
        <f>IF($A997=1,IF(AND($R997=1,OR(LG_Acct="",$G997=LG_Acct),OR(LG_Party="",$K997=LG_Party),OR(LG_Loc="ALL",$I997=LG_Loc),OR(LG_CC="ALL",$J997=LG_CC),$D997&gt;=LG_From,$D997&lt;=LG_To),$D997+ROW()/1000000,""),"")</f>
        <v/>
      </c>
      <c r="Z997" s="32">
        <f>IF($A997=1,IF(Expenses!$N7="","",Expenses!$N7),"")</f>
        <v/>
      </c>
      <c r="AA997" s="32">
        <f>IF($A997=1,IF(Expenses!$O7="","",Expenses!$O7),"")</f>
        <v/>
      </c>
      <c r="AB997" s="32">
        <f>IF($A997=1,IF(Expenses!$P7="","",Expenses!$P7),"")</f>
        <v/>
      </c>
      <c r="AC997" s="32">
        <f>IF($A997=1,IF(Expenses!$Q7="","",Expenses!$Q7),"")</f>
        <v/>
      </c>
      <c r="AD997" s="32">
        <f>IF($A997=1,IF(Expenses!$R7="","",Expenses!$R7),"")</f>
        <v/>
      </c>
      <c r="AE997" s="32">
        <f>IF($A997=1,0,"")</f>
        <v/>
      </c>
      <c r="AF997" s="32" t="inlineStr"/>
    </row>
    <row r="998">
      <c r="A998" s="32">
        <f>IF(AND(Expenses!$AB8=1,N(Expenses!$F8)&gt;0),1,0)</f>
        <v/>
      </c>
      <c r="B998" s="32">
        <f>IF($A998=1,$E998&amp;"/1","")</f>
        <v/>
      </c>
      <c r="C998" s="32">
        <f>IF($A998=1,"J-"&amp;Expenses!$A8,"")</f>
        <v/>
      </c>
      <c r="D998" s="33">
        <f>IF($A998=1,Expenses!$B8,"")</f>
        <v/>
      </c>
      <c r="E998" s="32">
        <f>IF($A998=1,IF(Expenses!$A8="","",Expenses!$A8),"")</f>
        <v/>
      </c>
      <c r="F998" s="32">
        <f>IF($A998=1,"EXP","")</f>
        <v/>
      </c>
      <c r="G998" s="32">
        <f>IF($A998=1,IF(Expenses!$E8="","",Expenses!$E8),"")</f>
        <v/>
      </c>
      <c r="H998" s="32">
        <f>IF($A998=1,IF(COUNTIF(COA!$A:$A,$G998)=0,"حساب غير معرف",INDEX(COA!$B:$B,MATCH($G998,COA!$A:$A,0))),"")</f>
        <v/>
      </c>
      <c r="I998" s="32">
        <f>IF($A998=1,IF(Expenses!$C8="","",Expenses!$C8),"")</f>
        <v/>
      </c>
      <c r="J998" s="32">
        <f>IF($A998=1,IF(Expenses!$D8="","",Expenses!$D8),"")</f>
        <v/>
      </c>
      <c r="K998" s="32">
        <f>IF($A998=1,"-","")</f>
        <v/>
      </c>
      <c r="L998" s="32">
        <f>IF($A998=1,IF(Expenses!$L8="","مصروف - "&amp;Expenses!$J8,Expenses!$L8),"")</f>
        <v/>
      </c>
      <c r="M998" s="43">
        <f>IF($A998=1,Expenses!$F8,"")</f>
        <v/>
      </c>
      <c r="N998" s="43">
        <f>IF($A998=1,0,"")</f>
        <v/>
      </c>
      <c r="O998" s="32">
        <f>IF($A998=1,Expenses!$M8,"")</f>
        <v/>
      </c>
      <c r="P998" s="32">
        <f>IF($A998=1,IF(Expenses!$AC8="","",Expenses!$AC8),"")</f>
        <v/>
      </c>
      <c r="Q998" s="32">
        <f>IF($A998=1,Expenses!$AE8,"")</f>
        <v/>
      </c>
      <c r="R998" s="32">
        <f>IF($A998=1,IF(AND($Q998=1,COUNTIFS(COA!$A:$A,$G998,COA!$R:$R,1)=1),1,0),"")</f>
        <v/>
      </c>
      <c r="S998" s="43">
        <f>IF($A998=1,IF($R998=1,N($M998),0),"")</f>
        <v/>
      </c>
      <c r="T998" s="43">
        <f>IF($A998=1,IF($R998=1,N($N998),0),"")</f>
        <v/>
      </c>
      <c r="U998" s="32">
        <f>IF($A998=1,YEAR($D998)*100+MONTH($D998),"")</f>
        <v/>
      </c>
      <c r="V998" s="32">
        <f>IF($A998=1,IF(COUNTIF(COA!$A:$A,$G998)=0,0,INDEX(COA!$H:$H,MATCH($G998,COA!$A:$A,0))),"")</f>
        <v/>
      </c>
      <c r="W998" s="32">
        <f>IF($A998=1,"","")</f>
        <v/>
      </c>
      <c r="X998" s="32">
        <f>IF($A998=1,IF($R998=1,"",IF($O998=ST_POST,IF($P998&lt;&gt;"",$P998,"حساب غير صالح أو غير نشط"),IF($O998=ST_REV,"معكوس: لا أثر على الدفاتر",IF($O998=ST_CANC,"ملغى",IF($O998=ST_APPR,"معتمد ولم يُرحَّل","مسودة"))))),"")</f>
        <v/>
      </c>
      <c r="Y998" s="32">
        <f>IF($A998=1,IF(AND($R998=1,OR(LG_Acct="",$G998=LG_Acct),OR(LG_Party="",$K998=LG_Party),OR(LG_Loc="ALL",$I998=LG_Loc),OR(LG_CC="ALL",$J998=LG_CC),$D998&gt;=LG_From,$D998&lt;=LG_To),$D998+ROW()/1000000,""),"")</f>
        <v/>
      </c>
      <c r="Z998" s="32">
        <f>IF($A998=1,IF(Expenses!$N8="","",Expenses!$N8),"")</f>
        <v/>
      </c>
      <c r="AA998" s="32">
        <f>IF($A998=1,IF(Expenses!$O8="","",Expenses!$O8),"")</f>
        <v/>
      </c>
      <c r="AB998" s="32">
        <f>IF($A998=1,IF(Expenses!$P8="","",Expenses!$P8),"")</f>
        <v/>
      </c>
      <c r="AC998" s="32">
        <f>IF($A998=1,IF(Expenses!$Q8="","",Expenses!$Q8),"")</f>
        <v/>
      </c>
      <c r="AD998" s="32">
        <f>IF($A998=1,IF(Expenses!$R8="","",Expenses!$R8),"")</f>
        <v/>
      </c>
      <c r="AE998" s="32">
        <f>IF($A998=1,0,"")</f>
        <v/>
      </c>
      <c r="AF998" s="32" t="inlineStr"/>
    </row>
    <row r="999">
      <c r="A999" s="32">
        <f>IF(AND(Expenses!$AB8=1,N(Expenses!$G8)&gt;0),1,0)</f>
        <v/>
      </c>
      <c r="B999" s="32">
        <f>IF($A999=1,$E999&amp;"/2","")</f>
        <v/>
      </c>
      <c r="C999" s="32">
        <f>IF($A999=1,"J-"&amp;Expenses!$A8,"")</f>
        <v/>
      </c>
      <c r="D999" s="33">
        <f>IF($A999=1,Expenses!$B8,"")</f>
        <v/>
      </c>
      <c r="E999" s="32">
        <f>IF($A999=1,IF(Expenses!$A8="","",Expenses!$A8),"")</f>
        <v/>
      </c>
      <c r="F999" s="32">
        <f>IF($A999=1,"EXP","")</f>
        <v/>
      </c>
      <c r="G999" s="32">
        <f>IF($A999=1,ACC_VAT_IN,"")</f>
        <v/>
      </c>
      <c r="H999" s="32">
        <f>IF($A999=1,IF(COUNTIF(COA!$A:$A,$G999)=0,"حساب غير معرف",INDEX(COA!$B:$B,MATCH($G999,COA!$A:$A,0))),"")</f>
        <v/>
      </c>
      <c r="I999" s="32">
        <f>IF($A999=1,IF(Expenses!$C8="","",Expenses!$C8),"")</f>
        <v/>
      </c>
      <c r="J999" s="32">
        <f>IF($A999=1,IF(Expenses!$D8="","",Expenses!$D8),"")</f>
        <v/>
      </c>
      <c r="K999" s="32">
        <f>IF($A999=1,"-","")</f>
        <v/>
      </c>
      <c r="L999" s="32">
        <f>IF($A999=1,"ضريبة قيمة مضافة - مدخلات","")</f>
        <v/>
      </c>
      <c r="M999" s="43">
        <f>IF($A999=1,Expenses!$G8,"")</f>
        <v/>
      </c>
      <c r="N999" s="43">
        <f>IF($A999=1,0,"")</f>
        <v/>
      </c>
      <c r="O999" s="32">
        <f>IF($A999=1,Expenses!$M8,"")</f>
        <v/>
      </c>
      <c r="P999" s="32">
        <f>IF($A999=1,IF(Expenses!$AC8="","",Expenses!$AC8),"")</f>
        <v/>
      </c>
      <c r="Q999" s="32">
        <f>IF($A999=1,Expenses!$AE8,"")</f>
        <v/>
      </c>
      <c r="R999" s="32">
        <f>IF($A999=1,IF(AND($Q999=1,COUNTIFS(COA!$A:$A,$G999,COA!$R:$R,1)=1),1,0),"")</f>
        <v/>
      </c>
      <c r="S999" s="43">
        <f>IF($A999=1,IF($R999=1,N($M999),0),"")</f>
        <v/>
      </c>
      <c r="T999" s="43">
        <f>IF($A999=1,IF($R999=1,N($N999),0),"")</f>
        <v/>
      </c>
      <c r="U999" s="32">
        <f>IF($A999=1,YEAR($D999)*100+MONTH($D999),"")</f>
        <v/>
      </c>
      <c r="V999" s="32">
        <f>IF($A999=1,IF(COUNTIF(COA!$A:$A,$G999)=0,0,INDEX(COA!$H:$H,MATCH($G999,COA!$A:$A,0))),"")</f>
        <v/>
      </c>
      <c r="W999" s="32">
        <f>IF($A999=1,"","")</f>
        <v/>
      </c>
      <c r="X999" s="32">
        <f>IF($A999=1,IF($R999=1,"",IF($O999=ST_POST,IF($P999&lt;&gt;"",$P999,"حساب غير صالح أو غير نشط"),IF($O999=ST_REV,"معكوس: لا أثر على الدفاتر",IF($O999=ST_CANC,"ملغى",IF($O999=ST_APPR,"معتمد ولم يُرحَّل","مسودة"))))),"")</f>
        <v/>
      </c>
      <c r="Y999" s="32">
        <f>IF($A999=1,IF(AND($R999=1,OR(LG_Acct="",$G999=LG_Acct),OR(LG_Party="",$K999=LG_Party),OR(LG_Loc="ALL",$I999=LG_Loc),OR(LG_CC="ALL",$J999=LG_CC),$D999&gt;=LG_From,$D999&lt;=LG_To),$D999+ROW()/1000000,""),"")</f>
        <v/>
      </c>
      <c r="Z999" s="32">
        <f>IF($A999=1,IF(Expenses!$N8="","",Expenses!$N8),"")</f>
        <v/>
      </c>
      <c r="AA999" s="32">
        <f>IF($A999=1,IF(Expenses!$O8="","",Expenses!$O8),"")</f>
        <v/>
      </c>
      <c r="AB999" s="32">
        <f>IF($A999=1,IF(Expenses!$P8="","",Expenses!$P8),"")</f>
        <v/>
      </c>
      <c r="AC999" s="32">
        <f>IF($A999=1,IF(Expenses!$Q8="","",Expenses!$Q8),"")</f>
        <v/>
      </c>
      <c r="AD999" s="32">
        <f>IF($A999=1,IF(Expenses!$R8="","",Expenses!$R8),"")</f>
        <v/>
      </c>
      <c r="AE999" s="32">
        <f>IF($A999=1,0,"")</f>
        <v/>
      </c>
      <c r="AF999" s="32" t="inlineStr"/>
    </row>
    <row r="1000">
      <c r="A1000" s="32">
        <f>IF(AND(Expenses!$AB8=1,N(Expenses!$W8)&gt;0),1,0)</f>
        <v/>
      </c>
      <c r="B1000" s="32">
        <f>IF($A1000=1,$E1000&amp;"/3","")</f>
        <v/>
      </c>
      <c r="C1000" s="32">
        <f>IF($A1000=1,"J-"&amp;Expenses!$A8,"")</f>
        <v/>
      </c>
      <c r="D1000" s="33">
        <f>IF($A1000=1,Expenses!$B8,"")</f>
        <v/>
      </c>
      <c r="E1000" s="32">
        <f>IF($A1000=1,IF(Expenses!$A8="","",Expenses!$A8),"")</f>
        <v/>
      </c>
      <c r="F1000" s="32">
        <f>IF($A1000=1,"EXP","")</f>
        <v/>
      </c>
      <c r="G1000" s="32">
        <f>IF($A1000=1,IF(Expenses!$V8="","",Expenses!$V8),"")</f>
        <v/>
      </c>
      <c r="H1000" s="32">
        <f>IF($A1000=1,IF(COUNTIF(COA!$A:$A,$G1000)=0,"حساب غير معرف",INDEX(COA!$B:$B,MATCH($G1000,COA!$A:$A,0))),"")</f>
        <v/>
      </c>
      <c r="I1000" s="32">
        <f>IF($A1000=1,IF(Expenses!$C8="","",Expenses!$C8),"")</f>
        <v/>
      </c>
      <c r="J1000" s="32">
        <f>IF($A1000=1,"CC00","")</f>
        <v/>
      </c>
      <c r="K1000" s="32">
        <f>IF($A1000=1,"-","")</f>
        <v/>
      </c>
      <c r="L1000" s="32">
        <f>IF($A1000=1,IF(Expenses!$L8="","مصروف - "&amp;Expenses!$J8,Expenses!$L8),"")</f>
        <v/>
      </c>
      <c r="M1000" s="43">
        <f>IF($A1000=1,0,"")</f>
        <v/>
      </c>
      <c r="N1000" s="43">
        <f>IF($A1000=1,Expenses!$W8,"")</f>
        <v/>
      </c>
      <c r="O1000" s="32">
        <f>IF($A1000=1,Expenses!$M8,"")</f>
        <v/>
      </c>
      <c r="P1000" s="32">
        <f>IF($A1000=1,IF(Expenses!$AC8="","",Expenses!$AC8),"")</f>
        <v/>
      </c>
      <c r="Q1000" s="32">
        <f>IF($A1000=1,Expenses!$AE8,"")</f>
        <v/>
      </c>
      <c r="R1000" s="32">
        <f>IF($A1000=1,IF(AND($Q1000=1,COUNTIFS(COA!$A:$A,$G1000,COA!$R:$R,1)=1),1,0),"")</f>
        <v/>
      </c>
      <c r="S1000" s="43">
        <f>IF($A1000=1,IF($R1000=1,N($M1000),0),"")</f>
        <v/>
      </c>
      <c r="T1000" s="43">
        <f>IF($A1000=1,IF($R1000=1,N($N1000),0),"")</f>
        <v/>
      </c>
      <c r="U1000" s="32">
        <f>IF($A1000=1,YEAR($D1000)*100+MONTH($D1000),"")</f>
        <v/>
      </c>
      <c r="V1000" s="32">
        <f>IF($A1000=1,IF(COUNTIF(COA!$A:$A,$G1000)=0,0,INDEX(COA!$H:$H,MATCH($G1000,COA!$A:$A,0))),"")</f>
        <v/>
      </c>
      <c r="W1000" s="32">
        <f>IF($A1000=1,"OPERATING","")</f>
        <v/>
      </c>
      <c r="X1000" s="32">
        <f>IF($A1000=1,IF($R1000=1,"",IF($O1000=ST_POST,IF($P1000&lt;&gt;"",$P1000,"حساب غير صالح أو غير نشط"),IF($O1000=ST_REV,"معكوس: لا أثر على الدفاتر",IF($O1000=ST_CANC,"ملغى",IF($O1000=ST_APPR,"معتمد ولم يُرحَّل","مسودة"))))),"")</f>
        <v/>
      </c>
      <c r="Y1000" s="32">
        <f>IF($A1000=1,IF(AND($R1000=1,OR(LG_Acct="",$G1000=LG_Acct),OR(LG_Party="",$K1000=LG_Party),OR(LG_Loc="ALL",$I1000=LG_Loc),OR(LG_CC="ALL",$J1000=LG_CC),$D1000&gt;=LG_From,$D1000&lt;=LG_To),$D1000+ROW()/1000000,""),"")</f>
        <v/>
      </c>
      <c r="Z1000" s="32">
        <f>IF($A1000=1,IF(Expenses!$N8="","",Expenses!$N8),"")</f>
        <v/>
      </c>
      <c r="AA1000" s="32">
        <f>IF($A1000=1,IF(Expenses!$O8="","",Expenses!$O8),"")</f>
        <v/>
      </c>
      <c r="AB1000" s="32">
        <f>IF($A1000=1,IF(Expenses!$P8="","",Expenses!$P8),"")</f>
        <v/>
      </c>
      <c r="AC1000" s="32">
        <f>IF($A1000=1,IF(Expenses!$Q8="","",Expenses!$Q8),"")</f>
        <v/>
      </c>
      <c r="AD1000" s="32">
        <f>IF($A1000=1,IF(Expenses!$R8="","",Expenses!$R8),"")</f>
        <v/>
      </c>
      <c r="AE1000" s="32">
        <f>IF($A1000=1,0,"")</f>
        <v/>
      </c>
      <c r="AF1000" s="32" t="inlineStr"/>
    </row>
    <row r="1001">
      <c r="A1001" s="32">
        <f>IF(AND(Expenses!$AB9=1,N(Expenses!$F9)&gt;0),1,0)</f>
        <v/>
      </c>
      <c r="B1001" s="32">
        <f>IF($A1001=1,$E1001&amp;"/1","")</f>
        <v/>
      </c>
      <c r="C1001" s="32">
        <f>IF($A1001=1,"J-"&amp;Expenses!$A9,"")</f>
        <v/>
      </c>
      <c r="D1001" s="33">
        <f>IF($A1001=1,Expenses!$B9,"")</f>
        <v/>
      </c>
      <c r="E1001" s="32">
        <f>IF($A1001=1,IF(Expenses!$A9="","",Expenses!$A9),"")</f>
        <v/>
      </c>
      <c r="F1001" s="32">
        <f>IF($A1001=1,"EXP","")</f>
        <v/>
      </c>
      <c r="G1001" s="32">
        <f>IF($A1001=1,IF(Expenses!$E9="","",Expenses!$E9),"")</f>
        <v/>
      </c>
      <c r="H1001" s="32">
        <f>IF($A1001=1,IF(COUNTIF(COA!$A:$A,$G1001)=0,"حساب غير معرف",INDEX(COA!$B:$B,MATCH($G1001,COA!$A:$A,0))),"")</f>
        <v/>
      </c>
      <c r="I1001" s="32">
        <f>IF($A1001=1,IF(Expenses!$C9="","",Expenses!$C9),"")</f>
        <v/>
      </c>
      <c r="J1001" s="32">
        <f>IF($A1001=1,IF(Expenses!$D9="","",Expenses!$D9),"")</f>
        <v/>
      </c>
      <c r="K1001" s="32">
        <f>IF($A1001=1,"-","")</f>
        <v/>
      </c>
      <c r="L1001" s="32">
        <f>IF($A1001=1,IF(Expenses!$L9="","مصروف - "&amp;Expenses!$J9,Expenses!$L9),"")</f>
        <v/>
      </c>
      <c r="M1001" s="43">
        <f>IF($A1001=1,Expenses!$F9,"")</f>
        <v/>
      </c>
      <c r="N1001" s="43">
        <f>IF($A1001=1,0,"")</f>
        <v/>
      </c>
      <c r="O1001" s="32">
        <f>IF($A1001=1,Expenses!$M9,"")</f>
        <v/>
      </c>
      <c r="P1001" s="32">
        <f>IF($A1001=1,IF(Expenses!$AC9="","",Expenses!$AC9),"")</f>
        <v/>
      </c>
      <c r="Q1001" s="32">
        <f>IF($A1001=1,Expenses!$AE9,"")</f>
        <v/>
      </c>
      <c r="R1001" s="32">
        <f>IF($A1001=1,IF(AND($Q1001=1,COUNTIFS(COA!$A:$A,$G1001,COA!$R:$R,1)=1),1,0),"")</f>
        <v/>
      </c>
      <c r="S1001" s="43">
        <f>IF($A1001=1,IF($R1001=1,N($M1001),0),"")</f>
        <v/>
      </c>
      <c r="T1001" s="43">
        <f>IF($A1001=1,IF($R1001=1,N($N1001),0),"")</f>
        <v/>
      </c>
      <c r="U1001" s="32">
        <f>IF($A1001=1,YEAR($D1001)*100+MONTH($D1001),"")</f>
        <v/>
      </c>
      <c r="V1001" s="32">
        <f>IF($A1001=1,IF(COUNTIF(COA!$A:$A,$G1001)=0,0,INDEX(COA!$H:$H,MATCH($G1001,COA!$A:$A,0))),"")</f>
        <v/>
      </c>
      <c r="W1001" s="32">
        <f>IF($A1001=1,"","")</f>
        <v/>
      </c>
      <c r="X1001" s="32">
        <f>IF($A1001=1,IF($R1001=1,"",IF($O1001=ST_POST,IF($P1001&lt;&gt;"",$P1001,"حساب غير صالح أو غير نشط"),IF($O1001=ST_REV,"معكوس: لا أثر على الدفاتر",IF($O1001=ST_CANC,"ملغى",IF($O1001=ST_APPR,"معتمد ولم يُرحَّل","مسودة"))))),"")</f>
        <v/>
      </c>
      <c r="Y1001" s="32">
        <f>IF($A1001=1,IF(AND($R1001=1,OR(LG_Acct="",$G1001=LG_Acct),OR(LG_Party="",$K1001=LG_Party),OR(LG_Loc="ALL",$I1001=LG_Loc),OR(LG_CC="ALL",$J1001=LG_CC),$D1001&gt;=LG_From,$D1001&lt;=LG_To),$D1001+ROW()/1000000,""),"")</f>
        <v/>
      </c>
      <c r="Z1001" s="32">
        <f>IF($A1001=1,IF(Expenses!$N9="","",Expenses!$N9),"")</f>
        <v/>
      </c>
      <c r="AA1001" s="32">
        <f>IF($A1001=1,IF(Expenses!$O9="","",Expenses!$O9),"")</f>
        <v/>
      </c>
      <c r="AB1001" s="32">
        <f>IF($A1001=1,IF(Expenses!$P9="","",Expenses!$P9),"")</f>
        <v/>
      </c>
      <c r="AC1001" s="32">
        <f>IF($A1001=1,IF(Expenses!$Q9="","",Expenses!$Q9),"")</f>
        <v/>
      </c>
      <c r="AD1001" s="32">
        <f>IF($A1001=1,IF(Expenses!$R9="","",Expenses!$R9),"")</f>
        <v/>
      </c>
      <c r="AE1001" s="32">
        <f>IF($A1001=1,0,"")</f>
        <v/>
      </c>
      <c r="AF1001" s="32" t="inlineStr"/>
    </row>
    <row r="1002">
      <c r="A1002" s="32">
        <f>IF(AND(Expenses!$AB9=1,N(Expenses!$G9)&gt;0),1,0)</f>
        <v/>
      </c>
      <c r="B1002" s="32">
        <f>IF($A1002=1,$E1002&amp;"/2","")</f>
        <v/>
      </c>
      <c r="C1002" s="32">
        <f>IF($A1002=1,"J-"&amp;Expenses!$A9,"")</f>
        <v/>
      </c>
      <c r="D1002" s="33">
        <f>IF($A1002=1,Expenses!$B9,"")</f>
        <v/>
      </c>
      <c r="E1002" s="32">
        <f>IF($A1002=1,IF(Expenses!$A9="","",Expenses!$A9),"")</f>
        <v/>
      </c>
      <c r="F1002" s="32">
        <f>IF($A1002=1,"EXP","")</f>
        <v/>
      </c>
      <c r="G1002" s="32">
        <f>IF($A1002=1,ACC_VAT_IN,"")</f>
        <v/>
      </c>
      <c r="H1002" s="32">
        <f>IF($A1002=1,IF(COUNTIF(COA!$A:$A,$G1002)=0,"حساب غير معرف",INDEX(COA!$B:$B,MATCH($G1002,COA!$A:$A,0))),"")</f>
        <v/>
      </c>
      <c r="I1002" s="32">
        <f>IF($A1002=1,IF(Expenses!$C9="","",Expenses!$C9),"")</f>
        <v/>
      </c>
      <c r="J1002" s="32">
        <f>IF($A1002=1,IF(Expenses!$D9="","",Expenses!$D9),"")</f>
        <v/>
      </c>
      <c r="K1002" s="32">
        <f>IF($A1002=1,"-","")</f>
        <v/>
      </c>
      <c r="L1002" s="32">
        <f>IF($A1002=1,"ضريبة قيمة مضافة - مدخلات","")</f>
        <v/>
      </c>
      <c r="M1002" s="43">
        <f>IF($A1002=1,Expenses!$G9,"")</f>
        <v/>
      </c>
      <c r="N1002" s="43">
        <f>IF($A1002=1,0,"")</f>
        <v/>
      </c>
      <c r="O1002" s="32">
        <f>IF($A1002=1,Expenses!$M9,"")</f>
        <v/>
      </c>
      <c r="P1002" s="32">
        <f>IF($A1002=1,IF(Expenses!$AC9="","",Expenses!$AC9),"")</f>
        <v/>
      </c>
      <c r="Q1002" s="32">
        <f>IF($A1002=1,Expenses!$AE9,"")</f>
        <v/>
      </c>
      <c r="R1002" s="32">
        <f>IF($A1002=1,IF(AND($Q1002=1,COUNTIFS(COA!$A:$A,$G1002,COA!$R:$R,1)=1),1,0),"")</f>
        <v/>
      </c>
      <c r="S1002" s="43">
        <f>IF($A1002=1,IF($R1002=1,N($M1002),0),"")</f>
        <v/>
      </c>
      <c r="T1002" s="43">
        <f>IF($A1002=1,IF($R1002=1,N($N1002),0),"")</f>
        <v/>
      </c>
      <c r="U1002" s="32">
        <f>IF($A1002=1,YEAR($D1002)*100+MONTH($D1002),"")</f>
        <v/>
      </c>
      <c r="V1002" s="32">
        <f>IF($A1002=1,IF(COUNTIF(COA!$A:$A,$G1002)=0,0,INDEX(COA!$H:$H,MATCH($G1002,COA!$A:$A,0))),"")</f>
        <v/>
      </c>
      <c r="W1002" s="32">
        <f>IF($A1002=1,"","")</f>
        <v/>
      </c>
      <c r="X1002" s="32">
        <f>IF($A1002=1,IF($R1002=1,"",IF($O1002=ST_POST,IF($P1002&lt;&gt;"",$P1002,"حساب غير صالح أو غير نشط"),IF($O1002=ST_REV,"معكوس: لا أثر على الدفاتر",IF($O1002=ST_CANC,"ملغى",IF($O1002=ST_APPR,"معتمد ولم يُرحَّل","مسودة"))))),"")</f>
        <v/>
      </c>
      <c r="Y1002" s="32">
        <f>IF($A1002=1,IF(AND($R1002=1,OR(LG_Acct="",$G1002=LG_Acct),OR(LG_Party="",$K1002=LG_Party),OR(LG_Loc="ALL",$I1002=LG_Loc),OR(LG_CC="ALL",$J1002=LG_CC),$D1002&gt;=LG_From,$D1002&lt;=LG_To),$D1002+ROW()/1000000,""),"")</f>
        <v/>
      </c>
      <c r="Z1002" s="32">
        <f>IF($A1002=1,IF(Expenses!$N9="","",Expenses!$N9),"")</f>
        <v/>
      </c>
      <c r="AA1002" s="32">
        <f>IF($A1002=1,IF(Expenses!$O9="","",Expenses!$O9),"")</f>
        <v/>
      </c>
      <c r="AB1002" s="32">
        <f>IF($A1002=1,IF(Expenses!$P9="","",Expenses!$P9),"")</f>
        <v/>
      </c>
      <c r="AC1002" s="32">
        <f>IF($A1002=1,IF(Expenses!$Q9="","",Expenses!$Q9),"")</f>
        <v/>
      </c>
      <c r="AD1002" s="32">
        <f>IF($A1002=1,IF(Expenses!$R9="","",Expenses!$R9),"")</f>
        <v/>
      </c>
      <c r="AE1002" s="32">
        <f>IF($A1002=1,0,"")</f>
        <v/>
      </c>
      <c r="AF1002" s="32" t="inlineStr"/>
    </row>
    <row r="1003">
      <c r="A1003" s="32">
        <f>IF(AND(Expenses!$AB9=1,N(Expenses!$W9)&gt;0),1,0)</f>
        <v/>
      </c>
      <c r="B1003" s="32">
        <f>IF($A1003=1,$E1003&amp;"/3","")</f>
        <v/>
      </c>
      <c r="C1003" s="32">
        <f>IF($A1003=1,"J-"&amp;Expenses!$A9,"")</f>
        <v/>
      </c>
      <c r="D1003" s="33">
        <f>IF($A1003=1,Expenses!$B9,"")</f>
        <v/>
      </c>
      <c r="E1003" s="32">
        <f>IF($A1003=1,IF(Expenses!$A9="","",Expenses!$A9),"")</f>
        <v/>
      </c>
      <c r="F1003" s="32">
        <f>IF($A1003=1,"EXP","")</f>
        <v/>
      </c>
      <c r="G1003" s="32">
        <f>IF($A1003=1,IF(Expenses!$V9="","",Expenses!$V9),"")</f>
        <v/>
      </c>
      <c r="H1003" s="32">
        <f>IF($A1003=1,IF(COUNTIF(COA!$A:$A,$G1003)=0,"حساب غير معرف",INDEX(COA!$B:$B,MATCH($G1003,COA!$A:$A,0))),"")</f>
        <v/>
      </c>
      <c r="I1003" s="32">
        <f>IF($A1003=1,IF(Expenses!$C9="","",Expenses!$C9),"")</f>
        <v/>
      </c>
      <c r="J1003" s="32">
        <f>IF($A1003=1,"CC00","")</f>
        <v/>
      </c>
      <c r="K1003" s="32">
        <f>IF($A1003=1,"-","")</f>
        <v/>
      </c>
      <c r="L1003" s="32">
        <f>IF($A1003=1,IF(Expenses!$L9="","مصروف - "&amp;Expenses!$J9,Expenses!$L9),"")</f>
        <v/>
      </c>
      <c r="M1003" s="43">
        <f>IF($A1003=1,0,"")</f>
        <v/>
      </c>
      <c r="N1003" s="43">
        <f>IF($A1003=1,Expenses!$W9,"")</f>
        <v/>
      </c>
      <c r="O1003" s="32">
        <f>IF($A1003=1,Expenses!$M9,"")</f>
        <v/>
      </c>
      <c r="P1003" s="32">
        <f>IF($A1003=1,IF(Expenses!$AC9="","",Expenses!$AC9),"")</f>
        <v/>
      </c>
      <c r="Q1003" s="32">
        <f>IF($A1003=1,Expenses!$AE9,"")</f>
        <v/>
      </c>
      <c r="R1003" s="32">
        <f>IF($A1003=1,IF(AND($Q1003=1,COUNTIFS(COA!$A:$A,$G1003,COA!$R:$R,1)=1),1,0),"")</f>
        <v/>
      </c>
      <c r="S1003" s="43">
        <f>IF($A1003=1,IF($R1003=1,N($M1003),0),"")</f>
        <v/>
      </c>
      <c r="T1003" s="43">
        <f>IF($A1003=1,IF($R1003=1,N($N1003),0),"")</f>
        <v/>
      </c>
      <c r="U1003" s="32">
        <f>IF($A1003=1,YEAR($D1003)*100+MONTH($D1003),"")</f>
        <v/>
      </c>
      <c r="V1003" s="32">
        <f>IF($A1003=1,IF(COUNTIF(COA!$A:$A,$G1003)=0,0,INDEX(COA!$H:$H,MATCH($G1003,COA!$A:$A,0))),"")</f>
        <v/>
      </c>
      <c r="W1003" s="32">
        <f>IF($A1003=1,"OPERATING","")</f>
        <v/>
      </c>
      <c r="X1003" s="32">
        <f>IF($A1003=1,IF($R1003=1,"",IF($O1003=ST_POST,IF($P1003&lt;&gt;"",$P1003,"حساب غير صالح أو غير نشط"),IF($O1003=ST_REV,"معكوس: لا أثر على الدفاتر",IF($O1003=ST_CANC,"ملغى",IF($O1003=ST_APPR,"معتمد ولم يُرحَّل","مسودة"))))),"")</f>
        <v/>
      </c>
      <c r="Y1003" s="32">
        <f>IF($A1003=1,IF(AND($R1003=1,OR(LG_Acct="",$G1003=LG_Acct),OR(LG_Party="",$K1003=LG_Party),OR(LG_Loc="ALL",$I1003=LG_Loc),OR(LG_CC="ALL",$J1003=LG_CC),$D1003&gt;=LG_From,$D1003&lt;=LG_To),$D1003+ROW()/1000000,""),"")</f>
        <v/>
      </c>
      <c r="Z1003" s="32">
        <f>IF($A1003=1,IF(Expenses!$N9="","",Expenses!$N9),"")</f>
        <v/>
      </c>
      <c r="AA1003" s="32">
        <f>IF($A1003=1,IF(Expenses!$O9="","",Expenses!$O9),"")</f>
        <v/>
      </c>
      <c r="AB1003" s="32">
        <f>IF($A1003=1,IF(Expenses!$P9="","",Expenses!$P9),"")</f>
        <v/>
      </c>
      <c r="AC1003" s="32">
        <f>IF($A1003=1,IF(Expenses!$Q9="","",Expenses!$Q9),"")</f>
        <v/>
      </c>
      <c r="AD1003" s="32">
        <f>IF($A1003=1,IF(Expenses!$R9="","",Expenses!$R9),"")</f>
        <v/>
      </c>
      <c r="AE1003" s="32">
        <f>IF($A1003=1,0,"")</f>
        <v/>
      </c>
      <c r="AF1003" s="32" t="inlineStr"/>
    </row>
    <row r="1004">
      <c r="A1004" s="32">
        <f>IF(AND(Expenses!$AB10=1,N(Expenses!$F10)&gt;0),1,0)</f>
        <v/>
      </c>
      <c r="B1004" s="32">
        <f>IF($A1004=1,$E1004&amp;"/1","")</f>
        <v/>
      </c>
      <c r="C1004" s="32">
        <f>IF($A1004=1,"J-"&amp;Expenses!$A10,"")</f>
        <v/>
      </c>
      <c r="D1004" s="33">
        <f>IF($A1004=1,Expenses!$B10,"")</f>
        <v/>
      </c>
      <c r="E1004" s="32">
        <f>IF($A1004=1,IF(Expenses!$A10="","",Expenses!$A10),"")</f>
        <v/>
      </c>
      <c r="F1004" s="32">
        <f>IF($A1004=1,"EXP","")</f>
        <v/>
      </c>
      <c r="G1004" s="32">
        <f>IF($A1004=1,IF(Expenses!$E10="","",Expenses!$E10),"")</f>
        <v/>
      </c>
      <c r="H1004" s="32">
        <f>IF($A1004=1,IF(COUNTIF(COA!$A:$A,$G1004)=0,"حساب غير معرف",INDEX(COA!$B:$B,MATCH($G1004,COA!$A:$A,0))),"")</f>
        <v/>
      </c>
      <c r="I1004" s="32">
        <f>IF($A1004=1,IF(Expenses!$C10="","",Expenses!$C10),"")</f>
        <v/>
      </c>
      <c r="J1004" s="32">
        <f>IF($A1004=1,IF(Expenses!$D10="","",Expenses!$D10),"")</f>
        <v/>
      </c>
      <c r="K1004" s="32">
        <f>IF($A1004=1,"-","")</f>
        <v/>
      </c>
      <c r="L1004" s="32">
        <f>IF($A1004=1,IF(Expenses!$L10="","مصروف - "&amp;Expenses!$J10,Expenses!$L10),"")</f>
        <v/>
      </c>
      <c r="M1004" s="43">
        <f>IF($A1004=1,Expenses!$F10,"")</f>
        <v/>
      </c>
      <c r="N1004" s="43">
        <f>IF($A1004=1,0,"")</f>
        <v/>
      </c>
      <c r="O1004" s="32">
        <f>IF($A1004=1,Expenses!$M10,"")</f>
        <v/>
      </c>
      <c r="P1004" s="32">
        <f>IF($A1004=1,IF(Expenses!$AC10="","",Expenses!$AC10),"")</f>
        <v/>
      </c>
      <c r="Q1004" s="32">
        <f>IF($A1004=1,Expenses!$AE10,"")</f>
        <v/>
      </c>
      <c r="R1004" s="32">
        <f>IF($A1004=1,IF(AND($Q1004=1,COUNTIFS(COA!$A:$A,$G1004,COA!$R:$R,1)=1),1,0),"")</f>
        <v/>
      </c>
      <c r="S1004" s="43">
        <f>IF($A1004=1,IF($R1004=1,N($M1004),0),"")</f>
        <v/>
      </c>
      <c r="T1004" s="43">
        <f>IF($A1004=1,IF($R1004=1,N($N1004),0),"")</f>
        <v/>
      </c>
      <c r="U1004" s="32">
        <f>IF($A1004=1,YEAR($D1004)*100+MONTH($D1004),"")</f>
        <v/>
      </c>
      <c r="V1004" s="32">
        <f>IF($A1004=1,IF(COUNTIF(COA!$A:$A,$G1004)=0,0,INDEX(COA!$H:$H,MATCH($G1004,COA!$A:$A,0))),"")</f>
        <v/>
      </c>
      <c r="W1004" s="32">
        <f>IF($A1004=1,"","")</f>
        <v/>
      </c>
      <c r="X1004" s="32">
        <f>IF($A1004=1,IF($R1004=1,"",IF($O1004=ST_POST,IF($P1004&lt;&gt;"",$P1004,"حساب غير صالح أو غير نشط"),IF($O1004=ST_REV,"معكوس: لا أثر على الدفاتر",IF($O1004=ST_CANC,"ملغى",IF($O1004=ST_APPR,"معتمد ولم يُرحَّل","مسودة"))))),"")</f>
        <v/>
      </c>
      <c r="Y1004" s="32">
        <f>IF($A1004=1,IF(AND($R1004=1,OR(LG_Acct="",$G1004=LG_Acct),OR(LG_Party="",$K1004=LG_Party),OR(LG_Loc="ALL",$I1004=LG_Loc),OR(LG_CC="ALL",$J1004=LG_CC),$D1004&gt;=LG_From,$D1004&lt;=LG_To),$D1004+ROW()/1000000,""),"")</f>
        <v/>
      </c>
      <c r="Z1004" s="32">
        <f>IF($A1004=1,IF(Expenses!$N10="","",Expenses!$N10),"")</f>
        <v/>
      </c>
      <c r="AA1004" s="32">
        <f>IF($A1004=1,IF(Expenses!$O10="","",Expenses!$O10),"")</f>
        <v/>
      </c>
      <c r="AB1004" s="32">
        <f>IF($A1004=1,IF(Expenses!$P10="","",Expenses!$P10),"")</f>
        <v/>
      </c>
      <c r="AC1004" s="32">
        <f>IF($A1004=1,IF(Expenses!$Q10="","",Expenses!$Q10),"")</f>
        <v/>
      </c>
      <c r="AD1004" s="32">
        <f>IF($A1004=1,IF(Expenses!$R10="","",Expenses!$R10),"")</f>
        <v/>
      </c>
      <c r="AE1004" s="32">
        <f>IF($A1004=1,0,"")</f>
        <v/>
      </c>
      <c r="AF1004" s="32" t="inlineStr"/>
    </row>
    <row r="1005">
      <c r="A1005" s="32">
        <f>IF(AND(Expenses!$AB10=1,N(Expenses!$G10)&gt;0),1,0)</f>
        <v/>
      </c>
      <c r="B1005" s="32">
        <f>IF($A1005=1,$E1005&amp;"/2","")</f>
        <v/>
      </c>
      <c r="C1005" s="32">
        <f>IF($A1005=1,"J-"&amp;Expenses!$A10,"")</f>
        <v/>
      </c>
      <c r="D1005" s="33">
        <f>IF($A1005=1,Expenses!$B10,"")</f>
        <v/>
      </c>
      <c r="E1005" s="32">
        <f>IF($A1005=1,IF(Expenses!$A10="","",Expenses!$A10),"")</f>
        <v/>
      </c>
      <c r="F1005" s="32">
        <f>IF($A1005=1,"EXP","")</f>
        <v/>
      </c>
      <c r="G1005" s="32">
        <f>IF($A1005=1,ACC_VAT_IN,"")</f>
        <v/>
      </c>
      <c r="H1005" s="32">
        <f>IF($A1005=1,IF(COUNTIF(COA!$A:$A,$G1005)=0,"حساب غير معرف",INDEX(COA!$B:$B,MATCH($G1005,COA!$A:$A,0))),"")</f>
        <v/>
      </c>
      <c r="I1005" s="32">
        <f>IF($A1005=1,IF(Expenses!$C10="","",Expenses!$C10),"")</f>
        <v/>
      </c>
      <c r="J1005" s="32">
        <f>IF($A1005=1,IF(Expenses!$D10="","",Expenses!$D10),"")</f>
        <v/>
      </c>
      <c r="K1005" s="32">
        <f>IF($A1005=1,"-","")</f>
        <v/>
      </c>
      <c r="L1005" s="32">
        <f>IF($A1005=1,"ضريبة قيمة مضافة - مدخلات","")</f>
        <v/>
      </c>
      <c r="M1005" s="43">
        <f>IF($A1005=1,Expenses!$G10,"")</f>
        <v/>
      </c>
      <c r="N1005" s="43">
        <f>IF($A1005=1,0,"")</f>
        <v/>
      </c>
      <c r="O1005" s="32">
        <f>IF($A1005=1,Expenses!$M10,"")</f>
        <v/>
      </c>
      <c r="P1005" s="32">
        <f>IF($A1005=1,IF(Expenses!$AC10="","",Expenses!$AC10),"")</f>
        <v/>
      </c>
      <c r="Q1005" s="32">
        <f>IF($A1005=1,Expenses!$AE10,"")</f>
        <v/>
      </c>
      <c r="R1005" s="32">
        <f>IF($A1005=1,IF(AND($Q1005=1,COUNTIFS(COA!$A:$A,$G1005,COA!$R:$R,1)=1),1,0),"")</f>
        <v/>
      </c>
      <c r="S1005" s="43">
        <f>IF($A1005=1,IF($R1005=1,N($M1005),0),"")</f>
        <v/>
      </c>
      <c r="T1005" s="43">
        <f>IF($A1005=1,IF($R1005=1,N($N1005),0),"")</f>
        <v/>
      </c>
      <c r="U1005" s="32">
        <f>IF($A1005=1,YEAR($D1005)*100+MONTH($D1005),"")</f>
        <v/>
      </c>
      <c r="V1005" s="32">
        <f>IF($A1005=1,IF(COUNTIF(COA!$A:$A,$G1005)=0,0,INDEX(COA!$H:$H,MATCH($G1005,COA!$A:$A,0))),"")</f>
        <v/>
      </c>
      <c r="W1005" s="32">
        <f>IF($A1005=1,"","")</f>
        <v/>
      </c>
      <c r="X1005" s="32">
        <f>IF($A1005=1,IF($R1005=1,"",IF($O1005=ST_POST,IF($P1005&lt;&gt;"",$P1005,"حساب غير صالح أو غير نشط"),IF($O1005=ST_REV,"معكوس: لا أثر على الدفاتر",IF($O1005=ST_CANC,"ملغى",IF($O1005=ST_APPR,"معتمد ولم يُرحَّل","مسودة"))))),"")</f>
        <v/>
      </c>
      <c r="Y1005" s="32">
        <f>IF($A1005=1,IF(AND($R1005=1,OR(LG_Acct="",$G1005=LG_Acct),OR(LG_Party="",$K1005=LG_Party),OR(LG_Loc="ALL",$I1005=LG_Loc),OR(LG_CC="ALL",$J1005=LG_CC),$D1005&gt;=LG_From,$D1005&lt;=LG_To),$D1005+ROW()/1000000,""),"")</f>
        <v/>
      </c>
      <c r="Z1005" s="32">
        <f>IF($A1005=1,IF(Expenses!$N10="","",Expenses!$N10),"")</f>
        <v/>
      </c>
      <c r="AA1005" s="32">
        <f>IF($A1005=1,IF(Expenses!$O10="","",Expenses!$O10),"")</f>
        <v/>
      </c>
      <c r="AB1005" s="32">
        <f>IF($A1005=1,IF(Expenses!$P10="","",Expenses!$P10),"")</f>
        <v/>
      </c>
      <c r="AC1005" s="32">
        <f>IF($A1005=1,IF(Expenses!$Q10="","",Expenses!$Q10),"")</f>
        <v/>
      </c>
      <c r="AD1005" s="32">
        <f>IF($A1005=1,IF(Expenses!$R10="","",Expenses!$R10),"")</f>
        <v/>
      </c>
      <c r="AE1005" s="32">
        <f>IF($A1005=1,0,"")</f>
        <v/>
      </c>
      <c r="AF1005" s="32" t="inlineStr"/>
    </row>
    <row r="1006">
      <c r="A1006" s="32">
        <f>IF(AND(Expenses!$AB10=1,N(Expenses!$W10)&gt;0),1,0)</f>
        <v/>
      </c>
      <c r="B1006" s="32">
        <f>IF($A1006=1,$E1006&amp;"/3","")</f>
        <v/>
      </c>
      <c r="C1006" s="32">
        <f>IF($A1006=1,"J-"&amp;Expenses!$A10,"")</f>
        <v/>
      </c>
      <c r="D1006" s="33">
        <f>IF($A1006=1,Expenses!$B10,"")</f>
        <v/>
      </c>
      <c r="E1006" s="32">
        <f>IF($A1006=1,IF(Expenses!$A10="","",Expenses!$A10),"")</f>
        <v/>
      </c>
      <c r="F1006" s="32">
        <f>IF($A1006=1,"EXP","")</f>
        <v/>
      </c>
      <c r="G1006" s="32">
        <f>IF($A1006=1,IF(Expenses!$V10="","",Expenses!$V10),"")</f>
        <v/>
      </c>
      <c r="H1006" s="32">
        <f>IF($A1006=1,IF(COUNTIF(COA!$A:$A,$G1006)=0,"حساب غير معرف",INDEX(COA!$B:$B,MATCH($G1006,COA!$A:$A,0))),"")</f>
        <v/>
      </c>
      <c r="I1006" s="32">
        <f>IF($A1006=1,IF(Expenses!$C10="","",Expenses!$C10),"")</f>
        <v/>
      </c>
      <c r="J1006" s="32">
        <f>IF($A1006=1,"CC00","")</f>
        <v/>
      </c>
      <c r="K1006" s="32">
        <f>IF($A1006=1,"-","")</f>
        <v/>
      </c>
      <c r="L1006" s="32">
        <f>IF($A1006=1,IF(Expenses!$L10="","مصروف - "&amp;Expenses!$J10,Expenses!$L10),"")</f>
        <v/>
      </c>
      <c r="M1006" s="43">
        <f>IF($A1006=1,0,"")</f>
        <v/>
      </c>
      <c r="N1006" s="43">
        <f>IF($A1006=1,Expenses!$W10,"")</f>
        <v/>
      </c>
      <c r="O1006" s="32">
        <f>IF($A1006=1,Expenses!$M10,"")</f>
        <v/>
      </c>
      <c r="P1006" s="32">
        <f>IF($A1006=1,IF(Expenses!$AC10="","",Expenses!$AC10),"")</f>
        <v/>
      </c>
      <c r="Q1006" s="32">
        <f>IF($A1006=1,Expenses!$AE10,"")</f>
        <v/>
      </c>
      <c r="R1006" s="32">
        <f>IF($A1006=1,IF(AND($Q1006=1,COUNTIFS(COA!$A:$A,$G1006,COA!$R:$R,1)=1),1,0),"")</f>
        <v/>
      </c>
      <c r="S1006" s="43">
        <f>IF($A1006=1,IF($R1006=1,N($M1006),0),"")</f>
        <v/>
      </c>
      <c r="T1006" s="43">
        <f>IF($A1006=1,IF($R1006=1,N($N1006),0),"")</f>
        <v/>
      </c>
      <c r="U1006" s="32">
        <f>IF($A1006=1,YEAR($D1006)*100+MONTH($D1006),"")</f>
        <v/>
      </c>
      <c r="V1006" s="32">
        <f>IF($A1006=1,IF(COUNTIF(COA!$A:$A,$G1006)=0,0,INDEX(COA!$H:$H,MATCH($G1006,COA!$A:$A,0))),"")</f>
        <v/>
      </c>
      <c r="W1006" s="32">
        <f>IF($A1006=1,"OPERATING","")</f>
        <v/>
      </c>
      <c r="X1006" s="32">
        <f>IF($A1006=1,IF($R1006=1,"",IF($O1006=ST_POST,IF($P1006&lt;&gt;"",$P1006,"حساب غير صالح أو غير نشط"),IF($O1006=ST_REV,"معكوس: لا أثر على الدفاتر",IF($O1006=ST_CANC,"ملغى",IF($O1006=ST_APPR,"معتمد ولم يُرحَّل","مسودة"))))),"")</f>
        <v/>
      </c>
      <c r="Y1006" s="32">
        <f>IF($A1006=1,IF(AND($R1006=1,OR(LG_Acct="",$G1006=LG_Acct),OR(LG_Party="",$K1006=LG_Party),OR(LG_Loc="ALL",$I1006=LG_Loc),OR(LG_CC="ALL",$J1006=LG_CC),$D1006&gt;=LG_From,$D1006&lt;=LG_To),$D1006+ROW()/1000000,""),"")</f>
        <v/>
      </c>
      <c r="Z1006" s="32">
        <f>IF($A1006=1,IF(Expenses!$N10="","",Expenses!$N10),"")</f>
        <v/>
      </c>
      <c r="AA1006" s="32">
        <f>IF($A1006=1,IF(Expenses!$O10="","",Expenses!$O10),"")</f>
        <v/>
      </c>
      <c r="AB1006" s="32">
        <f>IF($A1006=1,IF(Expenses!$P10="","",Expenses!$P10),"")</f>
        <v/>
      </c>
      <c r="AC1006" s="32">
        <f>IF($A1006=1,IF(Expenses!$Q10="","",Expenses!$Q10),"")</f>
        <v/>
      </c>
      <c r="AD1006" s="32">
        <f>IF($A1006=1,IF(Expenses!$R10="","",Expenses!$R10),"")</f>
        <v/>
      </c>
      <c r="AE1006" s="32">
        <f>IF($A1006=1,0,"")</f>
        <v/>
      </c>
      <c r="AF1006" s="32" t="inlineStr"/>
    </row>
    <row r="1007">
      <c r="A1007" s="32">
        <f>IF(AND(Expenses!$AB11=1,N(Expenses!$F11)&gt;0),1,0)</f>
        <v/>
      </c>
      <c r="B1007" s="32">
        <f>IF($A1007=1,$E1007&amp;"/1","")</f>
        <v/>
      </c>
      <c r="C1007" s="32">
        <f>IF($A1007=1,"J-"&amp;Expenses!$A11,"")</f>
        <v/>
      </c>
      <c r="D1007" s="33">
        <f>IF($A1007=1,Expenses!$B11,"")</f>
        <v/>
      </c>
      <c r="E1007" s="32">
        <f>IF($A1007=1,IF(Expenses!$A11="","",Expenses!$A11),"")</f>
        <v/>
      </c>
      <c r="F1007" s="32">
        <f>IF($A1007=1,"EXP","")</f>
        <v/>
      </c>
      <c r="G1007" s="32">
        <f>IF($A1007=1,IF(Expenses!$E11="","",Expenses!$E11),"")</f>
        <v/>
      </c>
      <c r="H1007" s="32">
        <f>IF($A1007=1,IF(COUNTIF(COA!$A:$A,$G1007)=0,"حساب غير معرف",INDEX(COA!$B:$B,MATCH($G1007,COA!$A:$A,0))),"")</f>
        <v/>
      </c>
      <c r="I1007" s="32">
        <f>IF($A1007=1,IF(Expenses!$C11="","",Expenses!$C11),"")</f>
        <v/>
      </c>
      <c r="J1007" s="32">
        <f>IF($A1007=1,IF(Expenses!$D11="","",Expenses!$D11),"")</f>
        <v/>
      </c>
      <c r="K1007" s="32">
        <f>IF($A1007=1,"-","")</f>
        <v/>
      </c>
      <c r="L1007" s="32">
        <f>IF($A1007=1,IF(Expenses!$L11="","مصروف - "&amp;Expenses!$J11,Expenses!$L11),"")</f>
        <v/>
      </c>
      <c r="M1007" s="43">
        <f>IF($A1007=1,Expenses!$F11,"")</f>
        <v/>
      </c>
      <c r="N1007" s="43">
        <f>IF($A1007=1,0,"")</f>
        <v/>
      </c>
      <c r="O1007" s="32">
        <f>IF($A1007=1,Expenses!$M11,"")</f>
        <v/>
      </c>
      <c r="P1007" s="32">
        <f>IF($A1007=1,IF(Expenses!$AC11="","",Expenses!$AC11),"")</f>
        <v/>
      </c>
      <c r="Q1007" s="32">
        <f>IF($A1007=1,Expenses!$AE11,"")</f>
        <v/>
      </c>
      <c r="R1007" s="32">
        <f>IF($A1007=1,IF(AND($Q1007=1,COUNTIFS(COA!$A:$A,$G1007,COA!$R:$R,1)=1),1,0),"")</f>
        <v/>
      </c>
      <c r="S1007" s="43">
        <f>IF($A1007=1,IF($R1007=1,N($M1007),0),"")</f>
        <v/>
      </c>
      <c r="T1007" s="43">
        <f>IF($A1007=1,IF($R1007=1,N($N1007),0),"")</f>
        <v/>
      </c>
      <c r="U1007" s="32">
        <f>IF($A1007=1,YEAR($D1007)*100+MONTH($D1007),"")</f>
        <v/>
      </c>
      <c r="V1007" s="32">
        <f>IF($A1007=1,IF(COUNTIF(COA!$A:$A,$G1007)=0,0,INDEX(COA!$H:$H,MATCH($G1007,COA!$A:$A,0))),"")</f>
        <v/>
      </c>
      <c r="W1007" s="32">
        <f>IF($A1007=1,"","")</f>
        <v/>
      </c>
      <c r="X1007" s="32">
        <f>IF($A1007=1,IF($R1007=1,"",IF($O1007=ST_POST,IF($P1007&lt;&gt;"",$P1007,"حساب غير صالح أو غير نشط"),IF($O1007=ST_REV,"معكوس: لا أثر على الدفاتر",IF($O1007=ST_CANC,"ملغى",IF($O1007=ST_APPR,"معتمد ولم يُرحَّل","مسودة"))))),"")</f>
        <v/>
      </c>
      <c r="Y1007" s="32">
        <f>IF($A1007=1,IF(AND($R1007=1,OR(LG_Acct="",$G1007=LG_Acct),OR(LG_Party="",$K1007=LG_Party),OR(LG_Loc="ALL",$I1007=LG_Loc),OR(LG_CC="ALL",$J1007=LG_CC),$D1007&gt;=LG_From,$D1007&lt;=LG_To),$D1007+ROW()/1000000,""),"")</f>
        <v/>
      </c>
      <c r="Z1007" s="32">
        <f>IF($A1007=1,IF(Expenses!$N11="","",Expenses!$N11),"")</f>
        <v/>
      </c>
      <c r="AA1007" s="32">
        <f>IF($A1007=1,IF(Expenses!$O11="","",Expenses!$O11),"")</f>
        <v/>
      </c>
      <c r="AB1007" s="32">
        <f>IF($A1007=1,IF(Expenses!$P11="","",Expenses!$P11),"")</f>
        <v/>
      </c>
      <c r="AC1007" s="32">
        <f>IF($A1007=1,IF(Expenses!$Q11="","",Expenses!$Q11),"")</f>
        <v/>
      </c>
      <c r="AD1007" s="32">
        <f>IF($A1007=1,IF(Expenses!$R11="","",Expenses!$R11),"")</f>
        <v/>
      </c>
      <c r="AE1007" s="32">
        <f>IF($A1007=1,0,"")</f>
        <v/>
      </c>
      <c r="AF1007" s="32" t="inlineStr"/>
    </row>
    <row r="1008">
      <c r="A1008" s="32">
        <f>IF(AND(Expenses!$AB11=1,N(Expenses!$G11)&gt;0),1,0)</f>
        <v/>
      </c>
      <c r="B1008" s="32">
        <f>IF($A1008=1,$E1008&amp;"/2","")</f>
        <v/>
      </c>
      <c r="C1008" s="32">
        <f>IF($A1008=1,"J-"&amp;Expenses!$A11,"")</f>
        <v/>
      </c>
      <c r="D1008" s="33">
        <f>IF($A1008=1,Expenses!$B11,"")</f>
        <v/>
      </c>
      <c r="E1008" s="32">
        <f>IF($A1008=1,IF(Expenses!$A11="","",Expenses!$A11),"")</f>
        <v/>
      </c>
      <c r="F1008" s="32">
        <f>IF($A1008=1,"EXP","")</f>
        <v/>
      </c>
      <c r="G1008" s="32">
        <f>IF($A1008=1,ACC_VAT_IN,"")</f>
        <v/>
      </c>
      <c r="H1008" s="32">
        <f>IF($A1008=1,IF(COUNTIF(COA!$A:$A,$G1008)=0,"حساب غير معرف",INDEX(COA!$B:$B,MATCH($G1008,COA!$A:$A,0))),"")</f>
        <v/>
      </c>
      <c r="I1008" s="32">
        <f>IF($A1008=1,IF(Expenses!$C11="","",Expenses!$C11),"")</f>
        <v/>
      </c>
      <c r="J1008" s="32">
        <f>IF($A1008=1,IF(Expenses!$D11="","",Expenses!$D11),"")</f>
        <v/>
      </c>
      <c r="K1008" s="32">
        <f>IF($A1008=1,"-","")</f>
        <v/>
      </c>
      <c r="L1008" s="32">
        <f>IF($A1008=1,"ضريبة قيمة مضافة - مدخلات","")</f>
        <v/>
      </c>
      <c r="M1008" s="43">
        <f>IF($A1008=1,Expenses!$G11,"")</f>
        <v/>
      </c>
      <c r="N1008" s="43">
        <f>IF($A1008=1,0,"")</f>
        <v/>
      </c>
      <c r="O1008" s="32">
        <f>IF($A1008=1,Expenses!$M11,"")</f>
        <v/>
      </c>
      <c r="P1008" s="32">
        <f>IF($A1008=1,IF(Expenses!$AC11="","",Expenses!$AC11),"")</f>
        <v/>
      </c>
      <c r="Q1008" s="32">
        <f>IF($A1008=1,Expenses!$AE11,"")</f>
        <v/>
      </c>
      <c r="R1008" s="32">
        <f>IF($A1008=1,IF(AND($Q1008=1,COUNTIFS(COA!$A:$A,$G1008,COA!$R:$R,1)=1),1,0),"")</f>
        <v/>
      </c>
      <c r="S1008" s="43">
        <f>IF($A1008=1,IF($R1008=1,N($M1008),0),"")</f>
        <v/>
      </c>
      <c r="T1008" s="43">
        <f>IF($A1008=1,IF($R1008=1,N($N1008),0),"")</f>
        <v/>
      </c>
      <c r="U1008" s="32">
        <f>IF($A1008=1,YEAR($D1008)*100+MONTH($D1008),"")</f>
        <v/>
      </c>
      <c r="V1008" s="32">
        <f>IF($A1008=1,IF(COUNTIF(COA!$A:$A,$G1008)=0,0,INDEX(COA!$H:$H,MATCH($G1008,COA!$A:$A,0))),"")</f>
        <v/>
      </c>
      <c r="W1008" s="32">
        <f>IF($A1008=1,"","")</f>
        <v/>
      </c>
      <c r="X1008" s="32">
        <f>IF($A1008=1,IF($R1008=1,"",IF($O1008=ST_POST,IF($P1008&lt;&gt;"",$P1008,"حساب غير صالح أو غير نشط"),IF($O1008=ST_REV,"معكوس: لا أثر على الدفاتر",IF($O1008=ST_CANC,"ملغى",IF($O1008=ST_APPR,"معتمد ولم يُرحَّل","مسودة"))))),"")</f>
        <v/>
      </c>
      <c r="Y1008" s="32">
        <f>IF($A1008=1,IF(AND($R1008=1,OR(LG_Acct="",$G1008=LG_Acct),OR(LG_Party="",$K1008=LG_Party),OR(LG_Loc="ALL",$I1008=LG_Loc),OR(LG_CC="ALL",$J1008=LG_CC),$D1008&gt;=LG_From,$D1008&lt;=LG_To),$D1008+ROW()/1000000,""),"")</f>
        <v/>
      </c>
      <c r="Z1008" s="32">
        <f>IF($A1008=1,IF(Expenses!$N11="","",Expenses!$N11),"")</f>
        <v/>
      </c>
      <c r="AA1008" s="32">
        <f>IF($A1008=1,IF(Expenses!$O11="","",Expenses!$O11),"")</f>
        <v/>
      </c>
      <c r="AB1008" s="32">
        <f>IF($A1008=1,IF(Expenses!$P11="","",Expenses!$P11),"")</f>
        <v/>
      </c>
      <c r="AC1008" s="32">
        <f>IF($A1008=1,IF(Expenses!$Q11="","",Expenses!$Q11),"")</f>
        <v/>
      </c>
      <c r="AD1008" s="32">
        <f>IF($A1008=1,IF(Expenses!$R11="","",Expenses!$R11),"")</f>
        <v/>
      </c>
      <c r="AE1008" s="32">
        <f>IF($A1008=1,0,"")</f>
        <v/>
      </c>
      <c r="AF1008" s="32" t="inlineStr"/>
    </row>
    <row r="1009">
      <c r="A1009" s="32">
        <f>IF(AND(Expenses!$AB11=1,N(Expenses!$W11)&gt;0),1,0)</f>
        <v/>
      </c>
      <c r="B1009" s="32">
        <f>IF($A1009=1,$E1009&amp;"/3","")</f>
        <v/>
      </c>
      <c r="C1009" s="32">
        <f>IF($A1009=1,"J-"&amp;Expenses!$A11,"")</f>
        <v/>
      </c>
      <c r="D1009" s="33">
        <f>IF($A1009=1,Expenses!$B11,"")</f>
        <v/>
      </c>
      <c r="E1009" s="32">
        <f>IF($A1009=1,IF(Expenses!$A11="","",Expenses!$A11),"")</f>
        <v/>
      </c>
      <c r="F1009" s="32">
        <f>IF($A1009=1,"EXP","")</f>
        <v/>
      </c>
      <c r="G1009" s="32">
        <f>IF($A1009=1,IF(Expenses!$V11="","",Expenses!$V11),"")</f>
        <v/>
      </c>
      <c r="H1009" s="32">
        <f>IF($A1009=1,IF(COUNTIF(COA!$A:$A,$G1009)=0,"حساب غير معرف",INDEX(COA!$B:$B,MATCH($G1009,COA!$A:$A,0))),"")</f>
        <v/>
      </c>
      <c r="I1009" s="32">
        <f>IF($A1009=1,IF(Expenses!$C11="","",Expenses!$C11),"")</f>
        <v/>
      </c>
      <c r="J1009" s="32">
        <f>IF($A1009=1,"CC00","")</f>
        <v/>
      </c>
      <c r="K1009" s="32">
        <f>IF($A1009=1,"-","")</f>
        <v/>
      </c>
      <c r="L1009" s="32">
        <f>IF($A1009=1,IF(Expenses!$L11="","مصروف - "&amp;Expenses!$J11,Expenses!$L11),"")</f>
        <v/>
      </c>
      <c r="M1009" s="43">
        <f>IF($A1009=1,0,"")</f>
        <v/>
      </c>
      <c r="N1009" s="43">
        <f>IF($A1009=1,Expenses!$W11,"")</f>
        <v/>
      </c>
      <c r="O1009" s="32">
        <f>IF($A1009=1,Expenses!$M11,"")</f>
        <v/>
      </c>
      <c r="P1009" s="32">
        <f>IF($A1009=1,IF(Expenses!$AC11="","",Expenses!$AC11),"")</f>
        <v/>
      </c>
      <c r="Q1009" s="32">
        <f>IF($A1009=1,Expenses!$AE11,"")</f>
        <v/>
      </c>
      <c r="R1009" s="32">
        <f>IF($A1009=1,IF(AND($Q1009=1,COUNTIFS(COA!$A:$A,$G1009,COA!$R:$R,1)=1),1,0),"")</f>
        <v/>
      </c>
      <c r="S1009" s="43">
        <f>IF($A1009=1,IF($R1009=1,N($M1009),0),"")</f>
        <v/>
      </c>
      <c r="T1009" s="43">
        <f>IF($A1009=1,IF($R1009=1,N($N1009),0),"")</f>
        <v/>
      </c>
      <c r="U1009" s="32">
        <f>IF($A1009=1,YEAR($D1009)*100+MONTH($D1009),"")</f>
        <v/>
      </c>
      <c r="V1009" s="32">
        <f>IF($A1009=1,IF(COUNTIF(COA!$A:$A,$G1009)=0,0,INDEX(COA!$H:$H,MATCH($G1009,COA!$A:$A,0))),"")</f>
        <v/>
      </c>
      <c r="W1009" s="32">
        <f>IF($A1009=1,"OPERATING","")</f>
        <v/>
      </c>
      <c r="X1009" s="32">
        <f>IF($A1009=1,IF($R1009=1,"",IF($O1009=ST_POST,IF($P1009&lt;&gt;"",$P1009,"حساب غير صالح أو غير نشط"),IF($O1009=ST_REV,"معكوس: لا أثر على الدفاتر",IF($O1009=ST_CANC,"ملغى",IF($O1009=ST_APPR,"معتمد ولم يُرحَّل","مسودة"))))),"")</f>
        <v/>
      </c>
      <c r="Y1009" s="32">
        <f>IF($A1009=1,IF(AND($R1009=1,OR(LG_Acct="",$G1009=LG_Acct),OR(LG_Party="",$K1009=LG_Party),OR(LG_Loc="ALL",$I1009=LG_Loc),OR(LG_CC="ALL",$J1009=LG_CC),$D1009&gt;=LG_From,$D1009&lt;=LG_To),$D1009+ROW()/1000000,""),"")</f>
        <v/>
      </c>
      <c r="Z1009" s="32">
        <f>IF($A1009=1,IF(Expenses!$N11="","",Expenses!$N11),"")</f>
        <v/>
      </c>
      <c r="AA1009" s="32">
        <f>IF($A1009=1,IF(Expenses!$O11="","",Expenses!$O11),"")</f>
        <v/>
      </c>
      <c r="AB1009" s="32">
        <f>IF($A1009=1,IF(Expenses!$P11="","",Expenses!$P11),"")</f>
        <v/>
      </c>
      <c r="AC1009" s="32">
        <f>IF($A1009=1,IF(Expenses!$Q11="","",Expenses!$Q11),"")</f>
        <v/>
      </c>
      <c r="AD1009" s="32">
        <f>IF($A1009=1,IF(Expenses!$R11="","",Expenses!$R11),"")</f>
        <v/>
      </c>
      <c r="AE1009" s="32">
        <f>IF($A1009=1,0,"")</f>
        <v/>
      </c>
      <c r="AF1009" s="32" t="inlineStr"/>
    </row>
    <row r="1010">
      <c r="A1010" s="32">
        <f>IF(AND(Expenses!$AB12=1,N(Expenses!$F12)&gt;0),1,0)</f>
        <v/>
      </c>
      <c r="B1010" s="32">
        <f>IF($A1010=1,$E1010&amp;"/1","")</f>
        <v/>
      </c>
      <c r="C1010" s="32">
        <f>IF($A1010=1,"J-"&amp;Expenses!$A12,"")</f>
        <v/>
      </c>
      <c r="D1010" s="33">
        <f>IF($A1010=1,Expenses!$B12,"")</f>
        <v/>
      </c>
      <c r="E1010" s="32">
        <f>IF($A1010=1,IF(Expenses!$A12="","",Expenses!$A12),"")</f>
        <v/>
      </c>
      <c r="F1010" s="32">
        <f>IF($A1010=1,"EXP","")</f>
        <v/>
      </c>
      <c r="G1010" s="32">
        <f>IF($A1010=1,IF(Expenses!$E12="","",Expenses!$E12),"")</f>
        <v/>
      </c>
      <c r="H1010" s="32">
        <f>IF($A1010=1,IF(COUNTIF(COA!$A:$A,$G1010)=0,"حساب غير معرف",INDEX(COA!$B:$B,MATCH($G1010,COA!$A:$A,0))),"")</f>
        <v/>
      </c>
      <c r="I1010" s="32">
        <f>IF($A1010=1,IF(Expenses!$C12="","",Expenses!$C12),"")</f>
        <v/>
      </c>
      <c r="J1010" s="32">
        <f>IF($A1010=1,IF(Expenses!$D12="","",Expenses!$D12),"")</f>
        <v/>
      </c>
      <c r="K1010" s="32">
        <f>IF($A1010=1,"-","")</f>
        <v/>
      </c>
      <c r="L1010" s="32">
        <f>IF($A1010=1,IF(Expenses!$L12="","مصروف - "&amp;Expenses!$J12,Expenses!$L12),"")</f>
        <v/>
      </c>
      <c r="M1010" s="43">
        <f>IF($A1010=1,Expenses!$F12,"")</f>
        <v/>
      </c>
      <c r="N1010" s="43">
        <f>IF($A1010=1,0,"")</f>
        <v/>
      </c>
      <c r="O1010" s="32">
        <f>IF($A1010=1,Expenses!$M12,"")</f>
        <v/>
      </c>
      <c r="P1010" s="32">
        <f>IF($A1010=1,IF(Expenses!$AC12="","",Expenses!$AC12),"")</f>
        <v/>
      </c>
      <c r="Q1010" s="32">
        <f>IF($A1010=1,Expenses!$AE12,"")</f>
        <v/>
      </c>
      <c r="R1010" s="32">
        <f>IF($A1010=1,IF(AND($Q1010=1,COUNTIFS(COA!$A:$A,$G1010,COA!$R:$R,1)=1),1,0),"")</f>
        <v/>
      </c>
      <c r="S1010" s="43">
        <f>IF($A1010=1,IF($R1010=1,N($M1010),0),"")</f>
        <v/>
      </c>
      <c r="T1010" s="43">
        <f>IF($A1010=1,IF($R1010=1,N($N1010),0),"")</f>
        <v/>
      </c>
      <c r="U1010" s="32">
        <f>IF($A1010=1,YEAR($D1010)*100+MONTH($D1010),"")</f>
        <v/>
      </c>
      <c r="V1010" s="32">
        <f>IF($A1010=1,IF(COUNTIF(COA!$A:$A,$G1010)=0,0,INDEX(COA!$H:$H,MATCH($G1010,COA!$A:$A,0))),"")</f>
        <v/>
      </c>
      <c r="W1010" s="32">
        <f>IF($A1010=1,"","")</f>
        <v/>
      </c>
      <c r="X1010" s="32">
        <f>IF($A1010=1,IF($R1010=1,"",IF($O1010=ST_POST,IF($P1010&lt;&gt;"",$P1010,"حساب غير صالح أو غير نشط"),IF($O1010=ST_REV,"معكوس: لا أثر على الدفاتر",IF($O1010=ST_CANC,"ملغى",IF($O1010=ST_APPR,"معتمد ولم يُرحَّل","مسودة"))))),"")</f>
        <v/>
      </c>
      <c r="Y1010" s="32">
        <f>IF($A1010=1,IF(AND($R1010=1,OR(LG_Acct="",$G1010=LG_Acct),OR(LG_Party="",$K1010=LG_Party),OR(LG_Loc="ALL",$I1010=LG_Loc),OR(LG_CC="ALL",$J1010=LG_CC),$D1010&gt;=LG_From,$D1010&lt;=LG_To),$D1010+ROW()/1000000,""),"")</f>
        <v/>
      </c>
      <c r="Z1010" s="32">
        <f>IF($A1010=1,IF(Expenses!$N12="","",Expenses!$N12),"")</f>
        <v/>
      </c>
      <c r="AA1010" s="32">
        <f>IF($A1010=1,IF(Expenses!$O12="","",Expenses!$O12),"")</f>
        <v/>
      </c>
      <c r="AB1010" s="32">
        <f>IF($A1010=1,IF(Expenses!$P12="","",Expenses!$P12),"")</f>
        <v/>
      </c>
      <c r="AC1010" s="32">
        <f>IF($A1010=1,IF(Expenses!$Q12="","",Expenses!$Q12),"")</f>
        <v/>
      </c>
      <c r="AD1010" s="32">
        <f>IF($A1010=1,IF(Expenses!$R12="","",Expenses!$R12),"")</f>
        <v/>
      </c>
      <c r="AE1010" s="32">
        <f>IF($A1010=1,0,"")</f>
        <v/>
      </c>
      <c r="AF1010" s="32" t="inlineStr"/>
    </row>
    <row r="1011">
      <c r="A1011" s="32">
        <f>IF(AND(Expenses!$AB12=1,N(Expenses!$G12)&gt;0),1,0)</f>
        <v/>
      </c>
      <c r="B1011" s="32">
        <f>IF($A1011=1,$E1011&amp;"/2","")</f>
        <v/>
      </c>
      <c r="C1011" s="32">
        <f>IF($A1011=1,"J-"&amp;Expenses!$A12,"")</f>
        <v/>
      </c>
      <c r="D1011" s="33">
        <f>IF($A1011=1,Expenses!$B12,"")</f>
        <v/>
      </c>
      <c r="E1011" s="32">
        <f>IF($A1011=1,IF(Expenses!$A12="","",Expenses!$A12),"")</f>
        <v/>
      </c>
      <c r="F1011" s="32">
        <f>IF($A1011=1,"EXP","")</f>
        <v/>
      </c>
      <c r="G1011" s="32">
        <f>IF($A1011=1,ACC_VAT_IN,"")</f>
        <v/>
      </c>
      <c r="H1011" s="32">
        <f>IF($A1011=1,IF(COUNTIF(COA!$A:$A,$G1011)=0,"حساب غير معرف",INDEX(COA!$B:$B,MATCH($G1011,COA!$A:$A,0))),"")</f>
        <v/>
      </c>
      <c r="I1011" s="32">
        <f>IF($A1011=1,IF(Expenses!$C12="","",Expenses!$C12),"")</f>
        <v/>
      </c>
      <c r="J1011" s="32">
        <f>IF($A1011=1,IF(Expenses!$D12="","",Expenses!$D12),"")</f>
        <v/>
      </c>
      <c r="K1011" s="32">
        <f>IF($A1011=1,"-","")</f>
        <v/>
      </c>
      <c r="L1011" s="32">
        <f>IF($A1011=1,"ضريبة قيمة مضافة - مدخلات","")</f>
        <v/>
      </c>
      <c r="M1011" s="43">
        <f>IF($A1011=1,Expenses!$G12,"")</f>
        <v/>
      </c>
      <c r="N1011" s="43">
        <f>IF($A1011=1,0,"")</f>
        <v/>
      </c>
      <c r="O1011" s="32">
        <f>IF($A1011=1,Expenses!$M12,"")</f>
        <v/>
      </c>
      <c r="P1011" s="32">
        <f>IF($A1011=1,IF(Expenses!$AC12="","",Expenses!$AC12),"")</f>
        <v/>
      </c>
      <c r="Q1011" s="32">
        <f>IF($A1011=1,Expenses!$AE12,"")</f>
        <v/>
      </c>
      <c r="R1011" s="32">
        <f>IF($A1011=1,IF(AND($Q1011=1,COUNTIFS(COA!$A:$A,$G1011,COA!$R:$R,1)=1),1,0),"")</f>
        <v/>
      </c>
      <c r="S1011" s="43">
        <f>IF($A1011=1,IF($R1011=1,N($M1011),0),"")</f>
        <v/>
      </c>
      <c r="T1011" s="43">
        <f>IF($A1011=1,IF($R1011=1,N($N1011),0),"")</f>
        <v/>
      </c>
      <c r="U1011" s="32">
        <f>IF($A1011=1,YEAR($D1011)*100+MONTH($D1011),"")</f>
        <v/>
      </c>
      <c r="V1011" s="32">
        <f>IF($A1011=1,IF(COUNTIF(COA!$A:$A,$G1011)=0,0,INDEX(COA!$H:$H,MATCH($G1011,COA!$A:$A,0))),"")</f>
        <v/>
      </c>
      <c r="W1011" s="32">
        <f>IF($A1011=1,"","")</f>
        <v/>
      </c>
      <c r="X1011" s="32">
        <f>IF($A1011=1,IF($R1011=1,"",IF($O1011=ST_POST,IF($P1011&lt;&gt;"",$P1011,"حساب غير صالح أو غير نشط"),IF($O1011=ST_REV,"معكوس: لا أثر على الدفاتر",IF($O1011=ST_CANC,"ملغى",IF($O1011=ST_APPR,"معتمد ولم يُرحَّل","مسودة"))))),"")</f>
        <v/>
      </c>
      <c r="Y1011" s="32">
        <f>IF($A1011=1,IF(AND($R1011=1,OR(LG_Acct="",$G1011=LG_Acct),OR(LG_Party="",$K1011=LG_Party),OR(LG_Loc="ALL",$I1011=LG_Loc),OR(LG_CC="ALL",$J1011=LG_CC),$D1011&gt;=LG_From,$D1011&lt;=LG_To),$D1011+ROW()/1000000,""),"")</f>
        <v/>
      </c>
      <c r="Z1011" s="32">
        <f>IF($A1011=1,IF(Expenses!$N12="","",Expenses!$N12),"")</f>
        <v/>
      </c>
      <c r="AA1011" s="32">
        <f>IF($A1011=1,IF(Expenses!$O12="","",Expenses!$O12),"")</f>
        <v/>
      </c>
      <c r="AB1011" s="32">
        <f>IF($A1011=1,IF(Expenses!$P12="","",Expenses!$P12),"")</f>
        <v/>
      </c>
      <c r="AC1011" s="32">
        <f>IF($A1011=1,IF(Expenses!$Q12="","",Expenses!$Q12),"")</f>
        <v/>
      </c>
      <c r="AD1011" s="32">
        <f>IF($A1011=1,IF(Expenses!$R12="","",Expenses!$R12),"")</f>
        <v/>
      </c>
      <c r="AE1011" s="32">
        <f>IF($A1011=1,0,"")</f>
        <v/>
      </c>
      <c r="AF1011" s="32" t="inlineStr"/>
    </row>
    <row r="1012">
      <c r="A1012" s="32">
        <f>IF(AND(Expenses!$AB12=1,N(Expenses!$W12)&gt;0),1,0)</f>
        <v/>
      </c>
      <c r="B1012" s="32">
        <f>IF($A1012=1,$E1012&amp;"/3","")</f>
        <v/>
      </c>
      <c r="C1012" s="32">
        <f>IF($A1012=1,"J-"&amp;Expenses!$A12,"")</f>
        <v/>
      </c>
      <c r="D1012" s="33">
        <f>IF($A1012=1,Expenses!$B12,"")</f>
        <v/>
      </c>
      <c r="E1012" s="32">
        <f>IF($A1012=1,IF(Expenses!$A12="","",Expenses!$A12),"")</f>
        <v/>
      </c>
      <c r="F1012" s="32">
        <f>IF($A1012=1,"EXP","")</f>
        <v/>
      </c>
      <c r="G1012" s="32">
        <f>IF($A1012=1,IF(Expenses!$V12="","",Expenses!$V12),"")</f>
        <v/>
      </c>
      <c r="H1012" s="32">
        <f>IF($A1012=1,IF(COUNTIF(COA!$A:$A,$G1012)=0,"حساب غير معرف",INDEX(COA!$B:$B,MATCH($G1012,COA!$A:$A,0))),"")</f>
        <v/>
      </c>
      <c r="I1012" s="32">
        <f>IF($A1012=1,IF(Expenses!$C12="","",Expenses!$C12),"")</f>
        <v/>
      </c>
      <c r="J1012" s="32">
        <f>IF($A1012=1,"CC00","")</f>
        <v/>
      </c>
      <c r="K1012" s="32">
        <f>IF($A1012=1,"-","")</f>
        <v/>
      </c>
      <c r="L1012" s="32">
        <f>IF($A1012=1,IF(Expenses!$L12="","مصروف - "&amp;Expenses!$J12,Expenses!$L12),"")</f>
        <v/>
      </c>
      <c r="M1012" s="43">
        <f>IF($A1012=1,0,"")</f>
        <v/>
      </c>
      <c r="N1012" s="43">
        <f>IF($A1012=1,Expenses!$W12,"")</f>
        <v/>
      </c>
      <c r="O1012" s="32">
        <f>IF($A1012=1,Expenses!$M12,"")</f>
        <v/>
      </c>
      <c r="P1012" s="32">
        <f>IF($A1012=1,IF(Expenses!$AC12="","",Expenses!$AC12),"")</f>
        <v/>
      </c>
      <c r="Q1012" s="32">
        <f>IF($A1012=1,Expenses!$AE12,"")</f>
        <v/>
      </c>
      <c r="R1012" s="32">
        <f>IF($A1012=1,IF(AND($Q1012=1,COUNTIFS(COA!$A:$A,$G1012,COA!$R:$R,1)=1),1,0),"")</f>
        <v/>
      </c>
      <c r="S1012" s="43">
        <f>IF($A1012=1,IF($R1012=1,N($M1012),0),"")</f>
        <v/>
      </c>
      <c r="T1012" s="43">
        <f>IF($A1012=1,IF($R1012=1,N($N1012),0),"")</f>
        <v/>
      </c>
      <c r="U1012" s="32">
        <f>IF($A1012=1,YEAR($D1012)*100+MONTH($D1012),"")</f>
        <v/>
      </c>
      <c r="V1012" s="32">
        <f>IF($A1012=1,IF(COUNTIF(COA!$A:$A,$G1012)=0,0,INDEX(COA!$H:$H,MATCH($G1012,COA!$A:$A,0))),"")</f>
        <v/>
      </c>
      <c r="W1012" s="32">
        <f>IF($A1012=1,"OPERATING","")</f>
        <v/>
      </c>
      <c r="X1012" s="32">
        <f>IF($A1012=1,IF($R1012=1,"",IF($O1012=ST_POST,IF($P1012&lt;&gt;"",$P1012,"حساب غير صالح أو غير نشط"),IF($O1012=ST_REV,"معكوس: لا أثر على الدفاتر",IF($O1012=ST_CANC,"ملغى",IF($O1012=ST_APPR,"معتمد ولم يُرحَّل","مسودة"))))),"")</f>
        <v/>
      </c>
      <c r="Y1012" s="32">
        <f>IF($A1012=1,IF(AND($R1012=1,OR(LG_Acct="",$G1012=LG_Acct),OR(LG_Party="",$K1012=LG_Party),OR(LG_Loc="ALL",$I1012=LG_Loc),OR(LG_CC="ALL",$J1012=LG_CC),$D1012&gt;=LG_From,$D1012&lt;=LG_To),$D1012+ROW()/1000000,""),"")</f>
        <v/>
      </c>
      <c r="Z1012" s="32">
        <f>IF($A1012=1,IF(Expenses!$N12="","",Expenses!$N12),"")</f>
        <v/>
      </c>
      <c r="AA1012" s="32">
        <f>IF($A1012=1,IF(Expenses!$O12="","",Expenses!$O12),"")</f>
        <v/>
      </c>
      <c r="AB1012" s="32">
        <f>IF($A1012=1,IF(Expenses!$P12="","",Expenses!$P12),"")</f>
        <v/>
      </c>
      <c r="AC1012" s="32">
        <f>IF($A1012=1,IF(Expenses!$Q12="","",Expenses!$Q12),"")</f>
        <v/>
      </c>
      <c r="AD1012" s="32">
        <f>IF($A1012=1,IF(Expenses!$R12="","",Expenses!$R12),"")</f>
        <v/>
      </c>
      <c r="AE1012" s="32">
        <f>IF($A1012=1,0,"")</f>
        <v/>
      </c>
      <c r="AF1012" s="32" t="inlineStr"/>
    </row>
    <row r="1013">
      <c r="A1013" s="32">
        <f>IF(AND(Expenses!$AB13=1,N(Expenses!$F13)&gt;0),1,0)</f>
        <v/>
      </c>
      <c r="B1013" s="32">
        <f>IF($A1013=1,$E1013&amp;"/1","")</f>
        <v/>
      </c>
      <c r="C1013" s="32">
        <f>IF($A1013=1,"J-"&amp;Expenses!$A13,"")</f>
        <v/>
      </c>
      <c r="D1013" s="33">
        <f>IF($A1013=1,Expenses!$B13,"")</f>
        <v/>
      </c>
      <c r="E1013" s="32">
        <f>IF($A1013=1,IF(Expenses!$A13="","",Expenses!$A13),"")</f>
        <v/>
      </c>
      <c r="F1013" s="32">
        <f>IF($A1013=1,"EXP","")</f>
        <v/>
      </c>
      <c r="G1013" s="32">
        <f>IF($A1013=1,IF(Expenses!$E13="","",Expenses!$E13),"")</f>
        <v/>
      </c>
      <c r="H1013" s="32">
        <f>IF($A1013=1,IF(COUNTIF(COA!$A:$A,$G1013)=0,"حساب غير معرف",INDEX(COA!$B:$B,MATCH($G1013,COA!$A:$A,0))),"")</f>
        <v/>
      </c>
      <c r="I1013" s="32">
        <f>IF($A1013=1,IF(Expenses!$C13="","",Expenses!$C13),"")</f>
        <v/>
      </c>
      <c r="J1013" s="32">
        <f>IF($A1013=1,IF(Expenses!$D13="","",Expenses!$D13),"")</f>
        <v/>
      </c>
      <c r="K1013" s="32">
        <f>IF($A1013=1,"-","")</f>
        <v/>
      </c>
      <c r="L1013" s="32">
        <f>IF($A1013=1,IF(Expenses!$L13="","مصروف - "&amp;Expenses!$J13,Expenses!$L13),"")</f>
        <v/>
      </c>
      <c r="M1013" s="43">
        <f>IF($A1013=1,Expenses!$F13,"")</f>
        <v/>
      </c>
      <c r="N1013" s="43">
        <f>IF($A1013=1,0,"")</f>
        <v/>
      </c>
      <c r="O1013" s="32">
        <f>IF($A1013=1,Expenses!$M13,"")</f>
        <v/>
      </c>
      <c r="P1013" s="32">
        <f>IF($A1013=1,IF(Expenses!$AC13="","",Expenses!$AC13),"")</f>
        <v/>
      </c>
      <c r="Q1013" s="32">
        <f>IF($A1013=1,Expenses!$AE13,"")</f>
        <v/>
      </c>
      <c r="R1013" s="32">
        <f>IF($A1013=1,IF(AND($Q1013=1,COUNTIFS(COA!$A:$A,$G1013,COA!$R:$R,1)=1),1,0),"")</f>
        <v/>
      </c>
      <c r="S1013" s="43">
        <f>IF($A1013=1,IF($R1013=1,N($M1013),0),"")</f>
        <v/>
      </c>
      <c r="T1013" s="43">
        <f>IF($A1013=1,IF($R1013=1,N($N1013),0),"")</f>
        <v/>
      </c>
      <c r="U1013" s="32">
        <f>IF($A1013=1,YEAR($D1013)*100+MONTH($D1013),"")</f>
        <v/>
      </c>
      <c r="V1013" s="32">
        <f>IF($A1013=1,IF(COUNTIF(COA!$A:$A,$G1013)=0,0,INDEX(COA!$H:$H,MATCH($G1013,COA!$A:$A,0))),"")</f>
        <v/>
      </c>
      <c r="W1013" s="32">
        <f>IF($A1013=1,"","")</f>
        <v/>
      </c>
      <c r="X1013" s="32">
        <f>IF($A1013=1,IF($R1013=1,"",IF($O1013=ST_POST,IF($P1013&lt;&gt;"",$P1013,"حساب غير صالح أو غير نشط"),IF($O1013=ST_REV,"معكوس: لا أثر على الدفاتر",IF($O1013=ST_CANC,"ملغى",IF($O1013=ST_APPR,"معتمد ولم يُرحَّل","مسودة"))))),"")</f>
        <v/>
      </c>
      <c r="Y1013" s="32">
        <f>IF($A1013=1,IF(AND($R1013=1,OR(LG_Acct="",$G1013=LG_Acct),OR(LG_Party="",$K1013=LG_Party),OR(LG_Loc="ALL",$I1013=LG_Loc),OR(LG_CC="ALL",$J1013=LG_CC),$D1013&gt;=LG_From,$D1013&lt;=LG_To),$D1013+ROW()/1000000,""),"")</f>
        <v/>
      </c>
      <c r="Z1013" s="32">
        <f>IF($A1013=1,IF(Expenses!$N13="","",Expenses!$N13),"")</f>
        <v/>
      </c>
      <c r="AA1013" s="32">
        <f>IF($A1013=1,IF(Expenses!$O13="","",Expenses!$O13),"")</f>
        <v/>
      </c>
      <c r="AB1013" s="32">
        <f>IF($A1013=1,IF(Expenses!$P13="","",Expenses!$P13),"")</f>
        <v/>
      </c>
      <c r="AC1013" s="32">
        <f>IF($A1013=1,IF(Expenses!$Q13="","",Expenses!$Q13),"")</f>
        <v/>
      </c>
      <c r="AD1013" s="32">
        <f>IF($A1013=1,IF(Expenses!$R13="","",Expenses!$R13),"")</f>
        <v/>
      </c>
      <c r="AE1013" s="32">
        <f>IF($A1013=1,0,"")</f>
        <v/>
      </c>
      <c r="AF1013" s="32" t="inlineStr"/>
    </row>
    <row r="1014">
      <c r="A1014" s="32">
        <f>IF(AND(Expenses!$AB13=1,N(Expenses!$G13)&gt;0),1,0)</f>
        <v/>
      </c>
      <c r="B1014" s="32">
        <f>IF($A1014=1,$E1014&amp;"/2","")</f>
        <v/>
      </c>
      <c r="C1014" s="32">
        <f>IF($A1014=1,"J-"&amp;Expenses!$A13,"")</f>
        <v/>
      </c>
      <c r="D1014" s="33">
        <f>IF($A1014=1,Expenses!$B13,"")</f>
        <v/>
      </c>
      <c r="E1014" s="32">
        <f>IF($A1014=1,IF(Expenses!$A13="","",Expenses!$A13),"")</f>
        <v/>
      </c>
      <c r="F1014" s="32">
        <f>IF($A1014=1,"EXP","")</f>
        <v/>
      </c>
      <c r="G1014" s="32">
        <f>IF($A1014=1,ACC_VAT_IN,"")</f>
        <v/>
      </c>
      <c r="H1014" s="32">
        <f>IF($A1014=1,IF(COUNTIF(COA!$A:$A,$G1014)=0,"حساب غير معرف",INDEX(COA!$B:$B,MATCH($G1014,COA!$A:$A,0))),"")</f>
        <v/>
      </c>
      <c r="I1014" s="32">
        <f>IF($A1014=1,IF(Expenses!$C13="","",Expenses!$C13),"")</f>
        <v/>
      </c>
      <c r="J1014" s="32">
        <f>IF($A1014=1,IF(Expenses!$D13="","",Expenses!$D13),"")</f>
        <v/>
      </c>
      <c r="K1014" s="32">
        <f>IF($A1014=1,"-","")</f>
        <v/>
      </c>
      <c r="L1014" s="32">
        <f>IF($A1014=1,"ضريبة قيمة مضافة - مدخلات","")</f>
        <v/>
      </c>
      <c r="M1014" s="43">
        <f>IF($A1014=1,Expenses!$G13,"")</f>
        <v/>
      </c>
      <c r="N1014" s="43">
        <f>IF($A1014=1,0,"")</f>
        <v/>
      </c>
      <c r="O1014" s="32">
        <f>IF($A1014=1,Expenses!$M13,"")</f>
        <v/>
      </c>
      <c r="P1014" s="32">
        <f>IF($A1014=1,IF(Expenses!$AC13="","",Expenses!$AC13),"")</f>
        <v/>
      </c>
      <c r="Q1014" s="32">
        <f>IF($A1014=1,Expenses!$AE13,"")</f>
        <v/>
      </c>
      <c r="R1014" s="32">
        <f>IF($A1014=1,IF(AND($Q1014=1,COUNTIFS(COA!$A:$A,$G1014,COA!$R:$R,1)=1),1,0),"")</f>
        <v/>
      </c>
      <c r="S1014" s="43">
        <f>IF($A1014=1,IF($R1014=1,N($M1014),0),"")</f>
        <v/>
      </c>
      <c r="T1014" s="43">
        <f>IF($A1014=1,IF($R1014=1,N($N1014),0),"")</f>
        <v/>
      </c>
      <c r="U1014" s="32">
        <f>IF($A1014=1,YEAR($D1014)*100+MONTH($D1014),"")</f>
        <v/>
      </c>
      <c r="V1014" s="32">
        <f>IF($A1014=1,IF(COUNTIF(COA!$A:$A,$G1014)=0,0,INDEX(COA!$H:$H,MATCH($G1014,COA!$A:$A,0))),"")</f>
        <v/>
      </c>
      <c r="W1014" s="32">
        <f>IF($A1014=1,"","")</f>
        <v/>
      </c>
      <c r="X1014" s="32">
        <f>IF($A1014=1,IF($R1014=1,"",IF($O1014=ST_POST,IF($P1014&lt;&gt;"",$P1014,"حساب غير صالح أو غير نشط"),IF($O1014=ST_REV,"معكوس: لا أثر على الدفاتر",IF($O1014=ST_CANC,"ملغى",IF($O1014=ST_APPR,"معتمد ولم يُرحَّل","مسودة"))))),"")</f>
        <v/>
      </c>
      <c r="Y1014" s="32">
        <f>IF($A1014=1,IF(AND($R1014=1,OR(LG_Acct="",$G1014=LG_Acct),OR(LG_Party="",$K1014=LG_Party),OR(LG_Loc="ALL",$I1014=LG_Loc),OR(LG_CC="ALL",$J1014=LG_CC),$D1014&gt;=LG_From,$D1014&lt;=LG_To),$D1014+ROW()/1000000,""),"")</f>
        <v/>
      </c>
      <c r="Z1014" s="32">
        <f>IF($A1014=1,IF(Expenses!$N13="","",Expenses!$N13),"")</f>
        <v/>
      </c>
      <c r="AA1014" s="32">
        <f>IF($A1014=1,IF(Expenses!$O13="","",Expenses!$O13),"")</f>
        <v/>
      </c>
      <c r="AB1014" s="32">
        <f>IF($A1014=1,IF(Expenses!$P13="","",Expenses!$P13),"")</f>
        <v/>
      </c>
      <c r="AC1014" s="32">
        <f>IF($A1014=1,IF(Expenses!$Q13="","",Expenses!$Q13),"")</f>
        <v/>
      </c>
      <c r="AD1014" s="32">
        <f>IF($A1014=1,IF(Expenses!$R13="","",Expenses!$R13),"")</f>
        <v/>
      </c>
      <c r="AE1014" s="32">
        <f>IF($A1014=1,0,"")</f>
        <v/>
      </c>
      <c r="AF1014" s="32" t="inlineStr"/>
    </row>
    <row r="1015">
      <c r="A1015" s="32">
        <f>IF(AND(Expenses!$AB13=1,N(Expenses!$W13)&gt;0),1,0)</f>
        <v/>
      </c>
      <c r="B1015" s="32">
        <f>IF($A1015=1,$E1015&amp;"/3","")</f>
        <v/>
      </c>
      <c r="C1015" s="32">
        <f>IF($A1015=1,"J-"&amp;Expenses!$A13,"")</f>
        <v/>
      </c>
      <c r="D1015" s="33">
        <f>IF($A1015=1,Expenses!$B13,"")</f>
        <v/>
      </c>
      <c r="E1015" s="32">
        <f>IF($A1015=1,IF(Expenses!$A13="","",Expenses!$A13),"")</f>
        <v/>
      </c>
      <c r="F1015" s="32">
        <f>IF($A1015=1,"EXP","")</f>
        <v/>
      </c>
      <c r="G1015" s="32">
        <f>IF($A1015=1,IF(Expenses!$V13="","",Expenses!$V13),"")</f>
        <v/>
      </c>
      <c r="H1015" s="32">
        <f>IF($A1015=1,IF(COUNTIF(COA!$A:$A,$G1015)=0,"حساب غير معرف",INDEX(COA!$B:$B,MATCH($G1015,COA!$A:$A,0))),"")</f>
        <v/>
      </c>
      <c r="I1015" s="32">
        <f>IF($A1015=1,IF(Expenses!$C13="","",Expenses!$C13),"")</f>
        <v/>
      </c>
      <c r="J1015" s="32">
        <f>IF($A1015=1,"CC00","")</f>
        <v/>
      </c>
      <c r="K1015" s="32">
        <f>IF($A1015=1,"-","")</f>
        <v/>
      </c>
      <c r="L1015" s="32">
        <f>IF($A1015=1,IF(Expenses!$L13="","مصروف - "&amp;Expenses!$J13,Expenses!$L13),"")</f>
        <v/>
      </c>
      <c r="M1015" s="43">
        <f>IF($A1015=1,0,"")</f>
        <v/>
      </c>
      <c r="N1015" s="43">
        <f>IF($A1015=1,Expenses!$W13,"")</f>
        <v/>
      </c>
      <c r="O1015" s="32">
        <f>IF($A1015=1,Expenses!$M13,"")</f>
        <v/>
      </c>
      <c r="P1015" s="32">
        <f>IF($A1015=1,IF(Expenses!$AC13="","",Expenses!$AC13),"")</f>
        <v/>
      </c>
      <c r="Q1015" s="32">
        <f>IF($A1015=1,Expenses!$AE13,"")</f>
        <v/>
      </c>
      <c r="R1015" s="32">
        <f>IF($A1015=1,IF(AND($Q1015=1,COUNTIFS(COA!$A:$A,$G1015,COA!$R:$R,1)=1),1,0),"")</f>
        <v/>
      </c>
      <c r="S1015" s="43">
        <f>IF($A1015=1,IF($R1015=1,N($M1015),0),"")</f>
        <v/>
      </c>
      <c r="T1015" s="43">
        <f>IF($A1015=1,IF($R1015=1,N($N1015),0),"")</f>
        <v/>
      </c>
      <c r="U1015" s="32">
        <f>IF($A1015=1,YEAR($D1015)*100+MONTH($D1015),"")</f>
        <v/>
      </c>
      <c r="V1015" s="32">
        <f>IF($A1015=1,IF(COUNTIF(COA!$A:$A,$G1015)=0,0,INDEX(COA!$H:$H,MATCH($G1015,COA!$A:$A,0))),"")</f>
        <v/>
      </c>
      <c r="W1015" s="32">
        <f>IF($A1015=1,"OPERATING","")</f>
        <v/>
      </c>
      <c r="X1015" s="32">
        <f>IF($A1015=1,IF($R1015=1,"",IF($O1015=ST_POST,IF($P1015&lt;&gt;"",$P1015,"حساب غير صالح أو غير نشط"),IF($O1015=ST_REV,"معكوس: لا أثر على الدفاتر",IF($O1015=ST_CANC,"ملغى",IF($O1015=ST_APPR,"معتمد ولم يُرحَّل","مسودة"))))),"")</f>
        <v/>
      </c>
      <c r="Y1015" s="32">
        <f>IF($A1015=1,IF(AND($R1015=1,OR(LG_Acct="",$G1015=LG_Acct),OR(LG_Party="",$K1015=LG_Party),OR(LG_Loc="ALL",$I1015=LG_Loc),OR(LG_CC="ALL",$J1015=LG_CC),$D1015&gt;=LG_From,$D1015&lt;=LG_To),$D1015+ROW()/1000000,""),"")</f>
        <v/>
      </c>
      <c r="Z1015" s="32">
        <f>IF($A1015=1,IF(Expenses!$N13="","",Expenses!$N13),"")</f>
        <v/>
      </c>
      <c r="AA1015" s="32">
        <f>IF($A1015=1,IF(Expenses!$O13="","",Expenses!$O13),"")</f>
        <v/>
      </c>
      <c r="AB1015" s="32">
        <f>IF($A1015=1,IF(Expenses!$P13="","",Expenses!$P13),"")</f>
        <v/>
      </c>
      <c r="AC1015" s="32">
        <f>IF($A1015=1,IF(Expenses!$Q13="","",Expenses!$Q13),"")</f>
        <v/>
      </c>
      <c r="AD1015" s="32">
        <f>IF($A1015=1,IF(Expenses!$R13="","",Expenses!$R13),"")</f>
        <v/>
      </c>
      <c r="AE1015" s="32">
        <f>IF($A1015=1,0,"")</f>
        <v/>
      </c>
      <c r="AF1015" s="32" t="inlineStr"/>
    </row>
    <row r="1016">
      <c r="A1016" s="32">
        <f>IF(AND(Expenses!$AB14=1,N(Expenses!$F14)&gt;0),1,0)</f>
        <v/>
      </c>
      <c r="B1016" s="32">
        <f>IF($A1016=1,$E1016&amp;"/1","")</f>
        <v/>
      </c>
      <c r="C1016" s="32">
        <f>IF($A1016=1,"J-"&amp;Expenses!$A14,"")</f>
        <v/>
      </c>
      <c r="D1016" s="33">
        <f>IF($A1016=1,Expenses!$B14,"")</f>
        <v/>
      </c>
      <c r="E1016" s="32">
        <f>IF($A1016=1,IF(Expenses!$A14="","",Expenses!$A14),"")</f>
        <v/>
      </c>
      <c r="F1016" s="32">
        <f>IF($A1016=1,"EXP","")</f>
        <v/>
      </c>
      <c r="G1016" s="32">
        <f>IF($A1016=1,IF(Expenses!$E14="","",Expenses!$E14),"")</f>
        <v/>
      </c>
      <c r="H1016" s="32">
        <f>IF($A1016=1,IF(COUNTIF(COA!$A:$A,$G1016)=0,"حساب غير معرف",INDEX(COA!$B:$B,MATCH($G1016,COA!$A:$A,0))),"")</f>
        <v/>
      </c>
      <c r="I1016" s="32">
        <f>IF($A1016=1,IF(Expenses!$C14="","",Expenses!$C14),"")</f>
        <v/>
      </c>
      <c r="J1016" s="32">
        <f>IF($A1016=1,IF(Expenses!$D14="","",Expenses!$D14),"")</f>
        <v/>
      </c>
      <c r="K1016" s="32">
        <f>IF($A1016=1,"-","")</f>
        <v/>
      </c>
      <c r="L1016" s="32">
        <f>IF($A1016=1,IF(Expenses!$L14="","مصروف - "&amp;Expenses!$J14,Expenses!$L14),"")</f>
        <v/>
      </c>
      <c r="M1016" s="43">
        <f>IF($A1016=1,Expenses!$F14,"")</f>
        <v/>
      </c>
      <c r="N1016" s="43">
        <f>IF($A1016=1,0,"")</f>
        <v/>
      </c>
      <c r="O1016" s="32">
        <f>IF($A1016=1,Expenses!$M14,"")</f>
        <v/>
      </c>
      <c r="P1016" s="32">
        <f>IF($A1016=1,IF(Expenses!$AC14="","",Expenses!$AC14),"")</f>
        <v/>
      </c>
      <c r="Q1016" s="32">
        <f>IF($A1016=1,Expenses!$AE14,"")</f>
        <v/>
      </c>
      <c r="R1016" s="32">
        <f>IF($A1016=1,IF(AND($Q1016=1,COUNTIFS(COA!$A:$A,$G1016,COA!$R:$R,1)=1),1,0),"")</f>
        <v/>
      </c>
      <c r="S1016" s="43">
        <f>IF($A1016=1,IF($R1016=1,N($M1016),0),"")</f>
        <v/>
      </c>
      <c r="T1016" s="43">
        <f>IF($A1016=1,IF($R1016=1,N($N1016),0),"")</f>
        <v/>
      </c>
      <c r="U1016" s="32">
        <f>IF($A1016=1,YEAR($D1016)*100+MONTH($D1016),"")</f>
        <v/>
      </c>
      <c r="V1016" s="32">
        <f>IF($A1016=1,IF(COUNTIF(COA!$A:$A,$G1016)=0,0,INDEX(COA!$H:$H,MATCH($G1016,COA!$A:$A,0))),"")</f>
        <v/>
      </c>
      <c r="W1016" s="32">
        <f>IF($A1016=1,"","")</f>
        <v/>
      </c>
      <c r="X1016" s="32">
        <f>IF($A1016=1,IF($R1016=1,"",IF($O1016=ST_POST,IF($P1016&lt;&gt;"",$P1016,"حساب غير صالح أو غير نشط"),IF($O1016=ST_REV,"معكوس: لا أثر على الدفاتر",IF($O1016=ST_CANC,"ملغى",IF($O1016=ST_APPR,"معتمد ولم يُرحَّل","مسودة"))))),"")</f>
        <v/>
      </c>
      <c r="Y1016" s="32">
        <f>IF($A1016=1,IF(AND($R1016=1,OR(LG_Acct="",$G1016=LG_Acct),OR(LG_Party="",$K1016=LG_Party),OR(LG_Loc="ALL",$I1016=LG_Loc),OR(LG_CC="ALL",$J1016=LG_CC),$D1016&gt;=LG_From,$D1016&lt;=LG_To),$D1016+ROW()/1000000,""),"")</f>
        <v/>
      </c>
      <c r="Z1016" s="32">
        <f>IF($A1016=1,IF(Expenses!$N14="","",Expenses!$N14),"")</f>
        <v/>
      </c>
      <c r="AA1016" s="32">
        <f>IF($A1016=1,IF(Expenses!$O14="","",Expenses!$O14),"")</f>
        <v/>
      </c>
      <c r="AB1016" s="32">
        <f>IF($A1016=1,IF(Expenses!$P14="","",Expenses!$P14),"")</f>
        <v/>
      </c>
      <c r="AC1016" s="32">
        <f>IF($A1016=1,IF(Expenses!$Q14="","",Expenses!$Q14),"")</f>
        <v/>
      </c>
      <c r="AD1016" s="32">
        <f>IF($A1016=1,IF(Expenses!$R14="","",Expenses!$R14),"")</f>
        <v/>
      </c>
      <c r="AE1016" s="32">
        <f>IF($A1016=1,0,"")</f>
        <v/>
      </c>
      <c r="AF1016" s="32" t="inlineStr"/>
    </row>
    <row r="1017">
      <c r="A1017" s="32">
        <f>IF(AND(Expenses!$AB14=1,N(Expenses!$G14)&gt;0),1,0)</f>
        <v/>
      </c>
      <c r="B1017" s="32">
        <f>IF($A1017=1,$E1017&amp;"/2","")</f>
        <v/>
      </c>
      <c r="C1017" s="32">
        <f>IF($A1017=1,"J-"&amp;Expenses!$A14,"")</f>
        <v/>
      </c>
      <c r="D1017" s="33">
        <f>IF($A1017=1,Expenses!$B14,"")</f>
        <v/>
      </c>
      <c r="E1017" s="32">
        <f>IF($A1017=1,IF(Expenses!$A14="","",Expenses!$A14),"")</f>
        <v/>
      </c>
      <c r="F1017" s="32">
        <f>IF($A1017=1,"EXP","")</f>
        <v/>
      </c>
      <c r="G1017" s="32">
        <f>IF($A1017=1,ACC_VAT_IN,"")</f>
        <v/>
      </c>
      <c r="H1017" s="32">
        <f>IF($A1017=1,IF(COUNTIF(COA!$A:$A,$G1017)=0,"حساب غير معرف",INDEX(COA!$B:$B,MATCH($G1017,COA!$A:$A,0))),"")</f>
        <v/>
      </c>
      <c r="I1017" s="32">
        <f>IF($A1017=1,IF(Expenses!$C14="","",Expenses!$C14),"")</f>
        <v/>
      </c>
      <c r="J1017" s="32">
        <f>IF($A1017=1,IF(Expenses!$D14="","",Expenses!$D14),"")</f>
        <v/>
      </c>
      <c r="K1017" s="32">
        <f>IF($A1017=1,"-","")</f>
        <v/>
      </c>
      <c r="L1017" s="32">
        <f>IF($A1017=1,"ضريبة قيمة مضافة - مدخلات","")</f>
        <v/>
      </c>
      <c r="M1017" s="43">
        <f>IF($A1017=1,Expenses!$G14,"")</f>
        <v/>
      </c>
      <c r="N1017" s="43">
        <f>IF($A1017=1,0,"")</f>
        <v/>
      </c>
      <c r="O1017" s="32">
        <f>IF($A1017=1,Expenses!$M14,"")</f>
        <v/>
      </c>
      <c r="P1017" s="32">
        <f>IF($A1017=1,IF(Expenses!$AC14="","",Expenses!$AC14),"")</f>
        <v/>
      </c>
      <c r="Q1017" s="32">
        <f>IF($A1017=1,Expenses!$AE14,"")</f>
        <v/>
      </c>
      <c r="R1017" s="32">
        <f>IF($A1017=1,IF(AND($Q1017=1,COUNTIFS(COA!$A:$A,$G1017,COA!$R:$R,1)=1),1,0),"")</f>
        <v/>
      </c>
      <c r="S1017" s="43">
        <f>IF($A1017=1,IF($R1017=1,N($M1017),0),"")</f>
        <v/>
      </c>
      <c r="T1017" s="43">
        <f>IF($A1017=1,IF($R1017=1,N($N1017),0),"")</f>
        <v/>
      </c>
      <c r="U1017" s="32">
        <f>IF($A1017=1,YEAR($D1017)*100+MONTH($D1017),"")</f>
        <v/>
      </c>
      <c r="V1017" s="32">
        <f>IF($A1017=1,IF(COUNTIF(COA!$A:$A,$G1017)=0,0,INDEX(COA!$H:$H,MATCH($G1017,COA!$A:$A,0))),"")</f>
        <v/>
      </c>
      <c r="W1017" s="32">
        <f>IF($A1017=1,"","")</f>
        <v/>
      </c>
      <c r="X1017" s="32">
        <f>IF($A1017=1,IF($R1017=1,"",IF($O1017=ST_POST,IF($P1017&lt;&gt;"",$P1017,"حساب غير صالح أو غير نشط"),IF($O1017=ST_REV,"معكوس: لا أثر على الدفاتر",IF($O1017=ST_CANC,"ملغى",IF($O1017=ST_APPR,"معتمد ولم يُرحَّل","مسودة"))))),"")</f>
        <v/>
      </c>
      <c r="Y1017" s="32">
        <f>IF($A1017=1,IF(AND($R1017=1,OR(LG_Acct="",$G1017=LG_Acct),OR(LG_Party="",$K1017=LG_Party),OR(LG_Loc="ALL",$I1017=LG_Loc),OR(LG_CC="ALL",$J1017=LG_CC),$D1017&gt;=LG_From,$D1017&lt;=LG_To),$D1017+ROW()/1000000,""),"")</f>
        <v/>
      </c>
      <c r="Z1017" s="32">
        <f>IF($A1017=1,IF(Expenses!$N14="","",Expenses!$N14),"")</f>
        <v/>
      </c>
      <c r="AA1017" s="32">
        <f>IF($A1017=1,IF(Expenses!$O14="","",Expenses!$O14),"")</f>
        <v/>
      </c>
      <c r="AB1017" s="32">
        <f>IF($A1017=1,IF(Expenses!$P14="","",Expenses!$P14),"")</f>
        <v/>
      </c>
      <c r="AC1017" s="32">
        <f>IF($A1017=1,IF(Expenses!$Q14="","",Expenses!$Q14),"")</f>
        <v/>
      </c>
      <c r="AD1017" s="32">
        <f>IF($A1017=1,IF(Expenses!$R14="","",Expenses!$R14),"")</f>
        <v/>
      </c>
      <c r="AE1017" s="32">
        <f>IF($A1017=1,0,"")</f>
        <v/>
      </c>
      <c r="AF1017" s="32" t="inlineStr"/>
    </row>
    <row r="1018">
      <c r="A1018" s="32">
        <f>IF(AND(Expenses!$AB14=1,N(Expenses!$W14)&gt;0),1,0)</f>
        <v/>
      </c>
      <c r="B1018" s="32">
        <f>IF($A1018=1,$E1018&amp;"/3","")</f>
        <v/>
      </c>
      <c r="C1018" s="32">
        <f>IF($A1018=1,"J-"&amp;Expenses!$A14,"")</f>
        <v/>
      </c>
      <c r="D1018" s="33">
        <f>IF($A1018=1,Expenses!$B14,"")</f>
        <v/>
      </c>
      <c r="E1018" s="32">
        <f>IF($A1018=1,IF(Expenses!$A14="","",Expenses!$A14),"")</f>
        <v/>
      </c>
      <c r="F1018" s="32">
        <f>IF($A1018=1,"EXP","")</f>
        <v/>
      </c>
      <c r="G1018" s="32">
        <f>IF($A1018=1,IF(Expenses!$V14="","",Expenses!$V14),"")</f>
        <v/>
      </c>
      <c r="H1018" s="32">
        <f>IF($A1018=1,IF(COUNTIF(COA!$A:$A,$G1018)=0,"حساب غير معرف",INDEX(COA!$B:$B,MATCH($G1018,COA!$A:$A,0))),"")</f>
        <v/>
      </c>
      <c r="I1018" s="32">
        <f>IF($A1018=1,IF(Expenses!$C14="","",Expenses!$C14),"")</f>
        <v/>
      </c>
      <c r="J1018" s="32">
        <f>IF($A1018=1,"CC00","")</f>
        <v/>
      </c>
      <c r="K1018" s="32">
        <f>IF($A1018=1,"-","")</f>
        <v/>
      </c>
      <c r="L1018" s="32">
        <f>IF($A1018=1,IF(Expenses!$L14="","مصروف - "&amp;Expenses!$J14,Expenses!$L14),"")</f>
        <v/>
      </c>
      <c r="M1018" s="43">
        <f>IF($A1018=1,0,"")</f>
        <v/>
      </c>
      <c r="N1018" s="43">
        <f>IF($A1018=1,Expenses!$W14,"")</f>
        <v/>
      </c>
      <c r="O1018" s="32">
        <f>IF($A1018=1,Expenses!$M14,"")</f>
        <v/>
      </c>
      <c r="P1018" s="32">
        <f>IF($A1018=1,IF(Expenses!$AC14="","",Expenses!$AC14),"")</f>
        <v/>
      </c>
      <c r="Q1018" s="32">
        <f>IF($A1018=1,Expenses!$AE14,"")</f>
        <v/>
      </c>
      <c r="R1018" s="32">
        <f>IF($A1018=1,IF(AND($Q1018=1,COUNTIFS(COA!$A:$A,$G1018,COA!$R:$R,1)=1),1,0),"")</f>
        <v/>
      </c>
      <c r="S1018" s="43">
        <f>IF($A1018=1,IF($R1018=1,N($M1018),0),"")</f>
        <v/>
      </c>
      <c r="T1018" s="43">
        <f>IF($A1018=1,IF($R1018=1,N($N1018),0),"")</f>
        <v/>
      </c>
      <c r="U1018" s="32">
        <f>IF($A1018=1,YEAR($D1018)*100+MONTH($D1018),"")</f>
        <v/>
      </c>
      <c r="V1018" s="32">
        <f>IF($A1018=1,IF(COUNTIF(COA!$A:$A,$G1018)=0,0,INDEX(COA!$H:$H,MATCH($G1018,COA!$A:$A,0))),"")</f>
        <v/>
      </c>
      <c r="W1018" s="32">
        <f>IF($A1018=1,"OPERATING","")</f>
        <v/>
      </c>
      <c r="X1018" s="32">
        <f>IF($A1018=1,IF($R1018=1,"",IF($O1018=ST_POST,IF($P1018&lt;&gt;"",$P1018,"حساب غير صالح أو غير نشط"),IF($O1018=ST_REV,"معكوس: لا أثر على الدفاتر",IF($O1018=ST_CANC,"ملغى",IF($O1018=ST_APPR,"معتمد ولم يُرحَّل","مسودة"))))),"")</f>
        <v/>
      </c>
      <c r="Y1018" s="32">
        <f>IF($A1018=1,IF(AND($R1018=1,OR(LG_Acct="",$G1018=LG_Acct),OR(LG_Party="",$K1018=LG_Party),OR(LG_Loc="ALL",$I1018=LG_Loc),OR(LG_CC="ALL",$J1018=LG_CC),$D1018&gt;=LG_From,$D1018&lt;=LG_To),$D1018+ROW()/1000000,""),"")</f>
        <v/>
      </c>
      <c r="Z1018" s="32">
        <f>IF($A1018=1,IF(Expenses!$N14="","",Expenses!$N14),"")</f>
        <v/>
      </c>
      <c r="AA1018" s="32">
        <f>IF($A1018=1,IF(Expenses!$O14="","",Expenses!$O14),"")</f>
        <v/>
      </c>
      <c r="AB1018" s="32">
        <f>IF($A1018=1,IF(Expenses!$P14="","",Expenses!$P14),"")</f>
        <v/>
      </c>
      <c r="AC1018" s="32">
        <f>IF($A1018=1,IF(Expenses!$Q14="","",Expenses!$Q14),"")</f>
        <v/>
      </c>
      <c r="AD1018" s="32">
        <f>IF($A1018=1,IF(Expenses!$R14="","",Expenses!$R14),"")</f>
        <v/>
      </c>
      <c r="AE1018" s="32">
        <f>IF($A1018=1,0,"")</f>
        <v/>
      </c>
      <c r="AF1018" s="32" t="inlineStr"/>
    </row>
    <row r="1019">
      <c r="A1019" s="32">
        <f>IF(AND(Expenses!$AB15=1,N(Expenses!$F15)&gt;0),1,0)</f>
        <v/>
      </c>
      <c r="B1019" s="32">
        <f>IF($A1019=1,$E1019&amp;"/1","")</f>
        <v/>
      </c>
      <c r="C1019" s="32">
        <f>IF($A1019=1,"J-"&amp;Expenses!$A15,"")</f>
        <v/>
      </c>
      <c r="D1019" s="33">
        <f>IF($A1019=1,Expenses!$B15,"")</f>
        <v/>
      </c>
      <c r="E1019" s="32">
        <f>IF($A1019=1,IF(Expenses!$A15="","",Expenses!$A15),"")</f>
        <v/>
      </c>
      <c r="F1019" s="32">
        <f>IF($A1019=1,"EXP","")</f>
        <v/>
      </c>
      <c r="G1019" s="32">
        <f>IF($A1019=1,IF(Expenses!$E15="","",Expenses!$E15),"")</f>
        <v/>
      </c>
      <c r="H1019" s="32">
        <f>IF($A1019=1,IF(COUNTIF(COA!$A:$A,$G1019)=0,"حساب غير معرف",INDEX(COA!$B:$B,MATCH($G1019,COA!$A:$A,0))),"")</f>
        <v/>
      </c>
      <c r="I1019" s="32">
        <f>IF($A1019=1,IF(Expenses!$C15="","",Expenses!$C15),"")</f>
        <v/>
      </c>
      <c r="J1019" s="32">
        <f>IF($A1019=1,IF(Expenses!$D15="","",Expenses!$D15),"")</f>
        <v/>
      </c>
      <c r="K1019" s="32">
        <f>IF($A1019=1,"-","")</f>
        <v/>
      </c>
      <c r="L1019" s="32">
        <f>IF($A1019=1,IF(Expenses!$L15="","مصروف - "&amp;Expenses!$J15,Expenses!$L15),"")</f>
        <v/>
      </c>
      <c r="M1019" s="43">
        <f>IF($A1019=1,Expenses!$F15,"")</f>
        <v/>
      </c>
      <c r="N1019" s="43">
        <f>IF($A1019=1,0,"")</f>
        <v/>
      </c>
      <c r="O1019" s="32">
        <f>IF($A1019=1,Expenses!$M15,"")</f>
        <v/>
      </c>
      <c r="P1019" s="32">
        <f>IF($A1019=1,IF(Expenses!$AC15="","",Expenses!$AC15),"")</f>
        <v/>
      </c>
      <c r="Q1019" s="32">
        <f>IF($A1019=1,Expenses!$AE15,"")</f>
        <v/>
      </c>
      <c r="R1019" s="32">
        <f>IF($A1019=1,IF(AND($Q1019=1,COUNTIFS(COA!$A:$A,$G1019,COA!$R:$R,1)=1),1,0),"")</f>
        <v/>
      </c>
      <c r="S1019" s="43">
        <f>IF($A1019=1,IF($R1019=1,N($M1019),0),"")</f>
        <v/>
      </c>
      <c r="T1019" s="43">
        <f>IF($A1019=1,IF($R1019=1,N($N1019),0),"")</f>
        <v/>
      </c>
      <c r="U1019" s="32">
        <f>IF($A1019=1,YEAR($D1019)*100+MONTH($D1019),"")</f>
        <v/>
      </c>
      <c r="V1019" s="32">
        <f>IF($A1019=1,IF(COUNTIF(COA!$A:$A,$G1019)=0,0,INDEX(COA!$H:$H,MATCH($G1019,COA!$A:$A,0))),"")</f>
        <v/>
      </c>
      <c r="W1019" s="32">
        <f>IF($A1019=1,"","")</f>
        <v/>
      </c>
      <c r="X1019" s="32">
        <f>IF($A1019=1,IF($R1019=1,"",IF($O1019=ST_POST,IF($P1019&lt;&gt;"",$P1019,"حساب غير صالح أو غير نشط"),IF($O1019=ST_REV,"معكوس: لا أثر على الدفاتر",IF($O1019=ST_CANC,"ملغى",IF($O1019=ST_APPR,"معتمد ولم يُرحَّل","مسودة"))))),"")</f>
        <v/>
      </c>
      <c r="Y1019" s="32">
        <f>IF($A1019=1,IF(AND($R1019=1,OR(LG_Acct="",$G1019=LG_Acct),OR(LG_Party="",$K1019=LG_Party),OR(LG_Loc="ALL",$I1019=LG_Loc),OR(LG_CC="ALL",$J1019=LG_CC),$D1019&gt;=LG_From,$D1019&lt;=LG_To),$D1019+ROW()/1000000,""),"")</f>
        <v/>
      </c>
      <c r="Z1019" s="32">
        <f>IF($A1019=1,IF(Expenses!$N15="","",Expenses!$N15),"")</f>
        <v/>
      </c>
      <c r="AA1019" s="32">
        <f>IF($A1019=1,IF(Expenses!$O15="","",Expenses!$O15),"")</f>
        <v/>
      </c>
      <c r="AB1019" s="32">
        <f>IF($A1019=1,IF(Expenses!$P15="","",Expenses!$P15),"")</f>
        <v/>
      </c>
      <c r="AC1019" s="32">
        <f>IF($A1019=1,IF(Expenses!$Q15="","",Expenses!$Q15),"")</f>
        <v/>
      </c>
      <c r="AD1019" s="32">
        <f>IF($A1019=1,IF(Expenses!$R15="","",Expenses!$R15),"")</f>
        <v/>
      </c>
      <c r="AE1019" s="32">
        <f>IF($A1019=1,0,"")</f>
        <v/>
      </c>
      <c r="AF1019" s="32" t="inlineStr"/>
    </row>
    <row r="1020">
      <c r="A1020" s="32">
        <f>IF(AND(Expenses!$AB15=1,N(Expenses!$G15)&gt;0),1,0)</f>
        <v/>
      </c>
      <c r="B1020" s="32">
        <f>IF($A1020=1,$E1020&amp;"/2","")</f>
        <v/>
      </c>
      <c r="C1020" s="32">
        <f>IF($A1020=1,"J-"&amp;Expenses!$A15,"")</f>
        <v/>
      </c>
      <c r="D1020" s="33">
        <f>IF($A1020=1,Expenses!$B15,"")</f>
        <v/>
      </c>
      <c r="E1020" s="32">
        <f>IF($A1020=1,IF(Expenses!$A15="","",Expenses!$A15),"")</f>
        <v/>
      </c>
      <c r="F1020" s="32">
        <f>IF($A1020=1,"EXP","")</f>
        <v/>
      </c>
      <c r="G1020" s="32">
        <f>IF($A1020=1,ACC_VAT_IN,"")</f>
        <v/>
      </c>
      <c r="H1020" s="32">
        <f>IF($A1020=1,IF(COUNTIF(COA!$A:$A,$G1020)=0,"حساب غير معرف",INDEX(COA!$B:$B,MATCH($G1020,COA!$A:$A,0))),"")</f>
        <v/>
      </c>
      <c r="I1020" s="32">
        <f>IF($A1020=1,IF(Expenses!$C15="","",Expenses!$C15),"")</f>
        <v/>
      </c>
      <c r="J1020" s="32">
        <f>IF($A1020=1,IF(Expenses!$D15="","",Expenses!$D15),"")</f>
        <v/>
      </c>
      <c r="K1020" s="32">
        <f>IF($A1020=1,"-","")</f>
        <v/>
      </c>
      <c r="L1020" s="32">
        <f>IF($A1020=1,"ضريبة قيمة مضافة - مدخلات","")</f>
        <v/>
      </c>
      <c r="M1020" s="43">
        <f>IF($A1020=1,Expenses!$G15,"")</f>
        <v/>
      </c>
      <c r="N1020" s="43">
        <f>IF($A1020=1,0,"")</f>
        <v/>
      </c>
      <c r="O1020" s="32">
        <f>IF($A1020=1,Expenses!$M15,"")</f>
        <v/>
      </c>
      <c r="P1020" s="32">
        <f>IF($A1020=1,IF(Expenses!$AC15="","",Expenses!$AC15),"")</f>
        <v/>
      </c>
      <c r="Q1020" s="32">
        <f>IF($A1020=1,Expenses!$AE15,"")</f>
        <v/>
      </c>
      <c r="R1020" s="32">
        <f>IF($A1020=1,IF(AND($Q1020=1,COUNTIFS(COA!$A:$A,$G1020,COA!$R:$R,1)=1),1,0),"")</f>
        <v/>
      </c>
      <c r="S1020" s="43">
        <f>IF($A1020=1,IF($R1020=1,N($M1020),0),"")</f>
        <v/>
      </c>
      <c r="T1020" s="43">
        <f>IF($A1020=1,IF($R1020=1,N($N1020),0),"")</f>
        <v/>
      </c>
      <c r="U1020" s="32">
        <f>IF($A1020=1,YEAR($D1020)*100+MONTH($D1020),"")</f>
        <v/>
      </c>
      <c r="V1020" s="32">
        <f>IF($A1020=1,IF(COUNTIF(COA!$A:$A,$G1020)=0,0,INDEX(COA!$H:$H,MATCH($G1020,COA!$A:$A,0))),"")</f>
        <v/>
      </c>
      <c r="W1020" s="32">
        <f>IF($A1020=1,"","")</f>
        <v/>
      </c>
      <c r="X1020" s="32">
        <f>IF($A1020=1,IF($R1020=1,"",IF($O1020=ST_POST,IF($P1020&lt;&gt;"",$P1020,"حساب غير صالح أو غير نشط"),IF($O1020=ST_REV,"معكوس: لا أثر على الدفاتر",IF($O1020=ST_CANC,"ملغى",IF($O1020=ST_APPR,"معتمد ولم يُرحَّل","مسودة"))))),"")</f>
        <v/>
      </c>
      <c r="Y1020" s="32">
        <f>IF($A1020=1,IF(AND($R1020=1,OR(LG_Acct="",$G1020=LG_Acct),OR(LG_Party="",$K1020=LG_Party),OR(LG_Loc="ALL",$I1020=LG_Loc),OR(LG_CC="ALL",$J1020=LG_CC),$D1020&gt;=LG_From,$D1020&lt;=LG_To),$D1020+ROW()/1000000,""),"")</f>
        <v/>
      </c>
      <c r="Z1020" s="32">
        <f>IF($A1020=1,IF(Expenses!$N15="","",Expenses!$N15),"")</f>
        <v/>
      </c>
      <c r="AA1020" s="32">
        <f>IF($A1020=1,IF(Expenses!$O15="","",Expenses!$O15),"")</f>
        <v/>
      </c>
      <c r="AB1020" s="32">
        <f>IF($A1020=1,IF(Expenses!$P15="","",Expenses!$P15),"")</f>
        <v/>
      </c>
      <c r="AC1020" s="32">
        <f>IF($A1020=1,IF(Expenses!$Q15="","",Expenses!$Q15),"")</f>
        <v/>
      </c>
      <c r="AD1020" s="32">
        <f>IF($A1020=1,IF(Expenses!$R15="","",Expenses!$R15),"")</f>
        <v/>
      </c>
      <c r="AE1020" s="32">
        <f>IF($A1020=1,0,"")</f>
        <v/>
      </c>
      <c r="AF1020" s="32" t="inlineStr"/>
    </row>
    <row r="1021">
      <c r="A1021" s="32">
        <f>IF(AND(Expenses!$AB15=1,N(Expenses!$W15)&gt;0),1,0)</f>
        <v/>
      </c>
      <c r="B1021" s="32">
        <f>IF($A1021=1,$E1021&amp;"/3","")</f>
        <v/>
      </c>
      <c r="C1021" s="32">
        <f>IF($A1021=1,"J-"&amp;Expenses!$A15,"")</f>
        <v/>
      </c>
      <c r="D1021" s="33">
        <f>IF($A1021=1,Expenses!$B15,"")</f>
        <v/>
      </c>
      <c r="E1021" s="32">
        <f>IF($A1021=1,IF(Expenses!$A15="","",Expenses!$A15),"")</f>
        <v/>
      </c>
      <c r="F1021" s="32">
        <f>IF($A1021=1,"EXP","")</f>
        <v/>
      </c>
      <c r="G1021" s="32">
        <f>IF($A1021=1,IF(Expenses!$V15="","",Expenses!$V15),"")</f>
        <v/>
      </c>
      <c r="H1021" s="32">
        <f>IF($A1021=1,IF(COUNTIF(COA!$A:$A,$G1021)=0,"حساب غير معرف",INDEX(COA!$B:$B,MATCH($G1021,COA!$A:$A,0))),"")</f>
        <v/>
      </c>
      <c r="I1021" s="32">
        <f>IF($A1021=1,IF(Expenses!$C15="","",Expenses!$C15),"")</f>
        <v/>
      </c>
      <c r="J1021" s="32">
        <f>IF($A1021=1,"CC00","")</f>
        <v/>
      </c>
      <c r="K1021" s="32">
        <f>IF($A1021=1,"-","")</f>
        <v/>
      </c>
      <c r="L1021" s="32">
        <f>IF($A1021=1,IF(Expenses!$L15="","مصروف - "&amp;Expenses!$J15,Expenses!$L15),"")</f>
        <v/>
      </c>
      <c r="M1021" s="43">
        <f>IF($A1021=1,0,"")</f>
        <v/>
      </c>
      <c r="N1021" s="43">
        <f>IF($A1021=1,Expenses!$W15,"")</f>
        <v/>
      </c>
      <c r="O1021" s="32">
        <f>IF($A1021=1,Expenses!$M15,"")</f>
        <v/>
      </c>
      <c r="P1021" s="32">
        <f>IF($A1021=1,IF(Expenses!$AC15="","",Expenses!$AC15),"")</f>
        <v/>
      </c>
      <c r="Q1021" s="32">
        <f>IF($A1021=1,Expenses!$AE15,"")</f>
        <v/>
      </c>
      <c r="R1021" s="32">
        <f>IF($A1021=1,IF(AND($Q1021=1,COUNTIFS(COA!$A:$A,$G1021,COA!$R:$R,1)=1),1,0),"")</f>
        <v/>
      </c>
      <c r="S1021" s="43">
        <f>IF($A1021=1,IF($R1021=1,N($M1021),0),"")</f>
        <v/>
      </c>
      <c r="T1021" s="43">
        <f>IF($A1021=1,IF($R1021=1,N($N1021),0),"")</f>
        <v/>
      </c>
      <c r="U1021" s="32">
        <f>IF($A1021=1,YEAR($D1021)*100+MONTH($D1021),"")</f>
        <v/>
      </c>
      <c r="V1021" s="32">
        <f>IF($A1021=1,IF(COUNTIF(COA!$A:$A,$G1021)=0,0,INDEX(COA!$H:$H,MATCH($G1021,COA!$A:$A,0))),"")</f>
        <v/>
      </c>
      <c r="W1021" s="32">
        <f>IF($A1021=1,"OPERATING","")</f>
        <v/>
      </c>
      <c r="X1021" s="32">
        <f>IF($A1021=1,IF($R1021=1,"",IF($O1021=ST_POST,IF($P1021&lt;&gt;"",$P1021,"حساب غير صالح أو غير نشط"),IF($O1021=ST_REV,"معكوس: لا أثر على الدفاتر",IF($O1021=ST_CANC,"ملغى",IF($O1021=ST_APPR,"معتمد ولم يُرحَّل","مسودة"))))),"")</f>
        <v/>
      </c>
      <c r="Y1021" s="32">
        <f>IF($A1021=1,IF(AND($R1021=1,OR(LG_Acct="",$G1021=LG_Acct),OR(LG_Party="",$K1021=LG_Party),OR(LG_Loc="ALL",$I1021=LG_Loc),OR(LG_CC="ALL",$J1021=LG_CC),$D1021&gt;=LG_From,$D1021&lt;=LG_To),$D1021+ROW()/1000000,""),"")</f>
        <v/>
      </c>
      <c r="Z1021" s="32">
        <f>IF($A1021=1,IF(Expenses!$N15="","",Expenses!$N15),"")</f>
        <v/>
      </c>
      <c r="AA1021" s="32">
        <f>IF($A1021=1,IF(Expenses!$O15="","",Expenses!$O15),"")</f>
        <v/>
      </c>
      <c r="AB1021" s="32">
        <f>IF($A1021=1,IF(Expenses!$P15="","",Expenses!$P15),"")</f>
        <v/>
      </c>
      <c r="AC1021" s="32">
        <f>IF($A1021=1,IF(Expenses!$Q15="","",Expenses!$Q15),"")</f>
        <v/>
      </c>
      <c r="AD1021" s="32">
        <f>IF($A1021=1,IF(Expenses!$R15="","",Expenses!$R15),"")</f>
        <v/>
      </c>
      <c r="AE1021" s="32">
        <f>IF($A1021=1,0,"")</f>
        <v/>
      </c>
      <c r="AF1021" s="32" t="inlineStr"/>
    </row>
    <row r="1022">
      <c r="A1022" s="32">
        <f>IF(AND(Expenses!$AB16=1,N(Expenses!$F16)&gt;0),1,0)</f>
        <v/>
      </c>
      <c r="B1022" s="32">
        <f>IF($A1022=1,$E1022&amp;"/1","")</f>
        <v/>
      </c>
      <c r="C1022" s="32">
        <f>IF($A1022=1,"J-"&amp;Expenses!$A16,"")</f>
        <v/>
      </c>
      <c r="D1022" s="33">
        <f>IF($A1022=1,Expenses!$B16,"")</f>
        <v/>
      </c>
      <c r="E1022" s="32">
        <f>IF($A1022=1,IF(Expenses!$A16="","",Expenses!$A16),"")</f>
        <v/>
      </c>
      <c r="F1022" s="32">
        <f>IF($A1022=1,"EXP","")</f>
        <v/>
      </c>
      <c r="G1022" s="32">
        <f>IF($A1022=1,IF(Expenses!$E16="","",Expenses!$E16),"")</f>
        <v/>
      </c>
      <c r="H1022" s="32">
        <f>IF($A1022=1,IF(COUNTIF(COA!$A:$A,$G1022)=0,"حساب غير معرف",INDEX(COA!$B:$B,MATCH($G1022,COA!$A:$A,0))),"")</f>
        <v/>
      </c>
      <c r="I1022" s="32">
        <f>IF($A1022=1,IF(Expenses!$C16="","",Expenses!$C16),"")</f>
        <v/>
      </c>
      <c r="J1022" s="32">
        <f>IF($A1022=1,IF(Expenses!$D16="","",Expenses!$D16),"")</f>
        <v/>
      </c>
      <c r="K1022" s="32">
        <f>IF($A1022=1,"-","")</f>
        <v/>
      </c>
      <c r="L1022" s="32">
        <f>IF($A1022=1,IF(Expenses!$L16="","مصروف - "&amp;Expenses!$J16,Expenses!$L16),"")</f>
        <v/>
      </c>
      <c r="M1022" s="43">
        <f>IF($A1022=1,Expenses!$F16,"")</f>
        <v/>
      </c>
      <c r="N1022" s="43">
        <f>IF($A1022=1,0,"")</f>
        <v/>
      </c>
      <c r="O1022" s="32">
        <f>IF($A1022=1,Expenses!$M16,"")</f>
        <v/>
      </c>
      <c r="P1022" s="32">
        <f>IF($A1022=1,IF(Expenses!$AC16="","",Expenses!$AC16),"")</f>
        <v/>
      </c>
      <c r="Q1022" s="32">
        <f>IF($A1022=1,Expenses!$AE16,"")</f>
        <v/>
      </c>
      <c r="R1022" s="32">
        <f>IF($A1022=1,IF(AND($Q1022=1,COUNTIFS(COA!$A:$A,$G1022,COA!$R:$R,1)=1),1,0),"")</f>
        <v/>
      </c>
      <c r="S1022" s="43">
        <f>IF($A1022=1,IF($R1022=1,N($M1022),0),"")</f>
        <v/>
      </c>
      <c r="T1022" s="43">
        <f>IF($A1022=1,IF($R1022=1,N($N1022),0),"")</f>
        <v/>
      </c>
      <c r="U1022" s="32">
        <f>IF($A1022=1,YEAR($D1022)*100+MONTH($D1022),"")</f>
        <v/>
      </c>
      <c r="V1022" s="32">
        <f>IF($A1022=1,IF(COUNTIF(COA!$A:$A,$G1022)=0,0,INDEX(COA!$H:$H,MATCH($G1022,COA!$A:$A,0))),"")</f>
        <v/>
      </c>
      <c r="W1022" s="32">
        <f>IF($A1022=1,"","")</f>
        <v/>
      </c>
      <c r="X1022" s="32">
        <f>IF($A1022=1,IF($R1022=1,"",IF($O1022=ST_POST,IF($P1022&lt;&gt;"",$P1022,"حساب غير صالح أو غير نشط"),IF($O1022=ST_REV,"معكوس: لا أثر على الدفاتر",IF($O1022=ST_CANC,"ملغى",IF($O1022=ST_APPR,"معتمد ولم يُرحَّل","مسودة"))))),"")</f>
        <v/>
      </c>
      <c r="Y1022" s="32">
        <f>IF($A1022=1,IF(AND($R1022=1,OR(LG_Acct="",$G1022=LG_Acct),OR(LG_Party="",$K1022=LG_Party),OR(LG_Loc="ALL",$I1022=LG_Loc),OR(LG_CC="ALL",$J1022=LG_CC),$D1022&gt;=LG_From,$D1022&lt;=LG_To),$D1022+ROW()/1000000,""),"")</f>
        <v/>
      </c>
      <c r="Z1022" s="32">
        <f>IF($A1022=1,IF(Expenses!$N16="","",Expenses!$N16),"")</f>
        <v/>
      </c>
      <c r="AA1022" s="32">
        <f>IF($A1022=1,IF(Expenses!$O16="","",Expenses!$O16),"")</f>
        <v/>
      </c>
      <c r="AB1022" s="32">
        <f>IF($A1022=1,IF(Expenses!$P16="","",Expenses!$P16),"")</f>
        <v/>
      </c>
      <c r="AC1022" s="32">
        <f>IF($A1022=1,IF(Expenses!$Q16="","",Expenses!$Q16),"")</f>
        <v/>
      </c>
      <c r="AD1022" s="32">
        <f>IF($A1022=1,IF(Expenses!$R16="","",Expenses!$R16),"")</f>
        <v/>
      </c>
      <c r="AE1022" s="32">
        <f>IF($A1022=1,0,"")</f>
        <v/>
      </c>
      <c r="AF1022" s="32" t="inlineStr"/>
    </row>
    <row r="1023">
      <c r="A1023" s="32">
        <f>IF(AND(Expenses!$AB16=1,N(Expenses!$G16)&gt;0),1,0)</f>
        <v/>
      </c>
      <c r="B1023" s="32">
        <f>IF($A1023=1,$E1023&amp;"/2","")</f>
        <v/>
      </c>
      <c r="C1023" s="32">
        <f>IF($A1023=1,"J-"&amp;Expenses!$A16,"")</f>
        <v/>
      </c>
      <c r="D1023" s="33">
        <f>IF($A1023=1,Expenses!$B16,"")</f>
        <v/>
      </c>
      <c r="E1023" s="32">
        <f>IF($A1023=1,IF(Expenses!$A16="","",Expenses!$A16),"")</f>
        <v/>
      </c>
      <c r="F1023" s="32">
        <f>IF($A1023=1,"EXP","")</f>
        <v/>
      </c>
      <c r="G1023" s="32">
        <f>IF($A1023=1,ACC_VAT_IN,"")</f>
        <v/>
      </c>
      <c r="H1023" s="32">
        <f>IF($A1023=1,IF(COUNTIF(COA!$A:$A,$G1023)=0,"حساب غير معرف",INDEX(COA!$B:$B,MATCH($G1023,COA!$A:$A,0))),"")</f>
        <v/>
      </c>
      <c r="I1023" s="32">
        <f>IF($A1023=1,IF(Expenses!$C16="","",Expenses!$C16),"")</f>
        <v/>
      </c>
      <c r="J1023" s="32">
        <f>IF($A1023=1,IF(Expenses!$D16="","",Expenses!$D16),"")</f>
        <v/>
      </c>
      <c r="K1023" s="32">
        <f>IF($A1023=1,"-","")</f>
        <v/>
      </c>
      <c r="L1023" s="32">
        <f>IF($A1023=1,"ضريبة قيمة مضافة - مدخلات","")</f>
        <v/>
      </c>
      <c r="M1023" s="43">
        <f>IF($A1023=1,Expenses!$G16,"")</f>
        <v/>
      </c>
      <c r="N1023" s="43">
        <f>IF($A1023=1,0,"")</f>
        <v/>
      </c>
      <c r="O1023" s="32">
        <f>IF($A1023=1,Expenses!$M16,"")</f>
        <v/>
      </c>
      <c r="P1023" s="32">
        <f>IF($A1023=1,IF(Expenses!$AC16="","",Expenses!$AC16),"")</f>
        <v/>
      </c>
      <c r="Q1023" s="32">
        <f>IF($A1023=1,Expenses!$AE16,"")</f>
        <v/>
      </c>
      <c r="R1023" s="32">
        <f>IF($A1023=1,IF(AND($Q1023=1,COUNTIFS(COA!$A:$A,$G1023,COA!$R:$R,1)=1),1,0),"")</f>
        <v/>
      </c>
      <c r="S1023" s="43">
        <f>IF($A1023=1,IF($R1023=1,N($M1023),0),"")</f>
        <v/>
      </c>
      <c r="T1023" s="43">
        <f>IF($A1023=1,IF($R1023=1,N($N1023),0),"")</f>
        <v/>
      </c>
      <c r="U1023" s="32">
        <f>IF($A1023=1,YEAR($D1023)*100+MONTH($D1023),"")</f>
        <v/>
      </c>
      <c r="V1023" s="32">
        <f>IF($A1023=1,IF(COUNTIF(COA!$A:$A,$G1023)=0,0,INDEX(COA!$H:$H,MATCH($G1023,COA!$A:$A,0))),"")</f>
        <v/>
      </c>
      <c r="W1023" s="32">
        <f>IF($A1023=1,"","")</f>
        <v/>
      </c>
      <c r="X1023" s="32">
        <f>IF($A1023=1,IF($R1023=1,"",IF($O1023=ST_POST,IF($P1023&lt;&gt;"",$P1023,"حساب غير صالح أو غير نشط"),IF($O1023=ST_REV,"معكوس: لا أثر على الدفاتر",IF($O1023=ST_CANC,"ملغى",IF($O1023=ST_APPR,"معتمد ولم يُرحَّل","مسودة"))))),"")</f>
        <v/>
      </c>
      <c r="Y1023" s="32">
        <f>IF($A1023=1,IF(AND($R1023=1,OR(LG_Acct="",$G1023=LG_Acct),OR(LG_Party="",$K1023=LG_Party),OR(LG_Loc="ALL",$I1023=LG_Loc),OR(LG_CC="ALL",$J1023=LG_CC),$D1023&gt;=LG_From,$D1023&lt;=LG_To),$D1023+ROW()/1000000,""),"")</f>
        <v/>
      </c>
      <c r="Z1023" s="32">
        <f>IF($A1023=1,IF(Expenses!$N16="","",Expenses!$N16),"")</f>
        <v/>
      </c>
      <c r="AA1023" s="32">
        <f>IF($A1023=1,IF(Expenses!$O16="","",Expenses!$O16),"")</f>
        <v/>
      </c>
      <c r="AB1023" s="32">
        <f>IF($A1023=1,IF(Expenses!$P16="","",Expenses!$P16),"")</f>
        <v/>
      </c>
      <c r="AC1023" s="32">
        <f>IF($A1023=1,IF(Expenses!$Q16="","",Expenses!$Q16),"")</f>
        <v/>
      </c>
      <c r="AD1023" s="32">
        <f>IF($A1023=1,IF(Expenses!$R16="","",Expenses!$R16),"")</f>
        <v/>
      </c>
      <c r="AE1023" s="32">
        <f>IF($A1023=1,0,"")</f>
        <v/>
      </c>
      <c r="AF1023" s="32" t="inlineStr"/>
    </row>
    <row r="1024">
      <c r="A1024" s="32">
        <f>IF(AND(Expenses!$AB16=1,N(Expenses!$W16)&gt;0),1,0)</f>
        <v/>
      </c>
      <c r="B1024" s="32">
        <f>IF($A1024=1,$E1024&amp;"/3","")</f>
        <v/>
      </c>
      <c r="C1024" s="32">
        <f>IF($A1024=1,"J-"&amp;Expenses!$A16,"")</f>
        <v/>
      </c>
      <c r="D1024" s="33">
        <f>IF($A1024=1,Expenses!$B16,"")</f>
        <v/>
      </c>
      <c r="E1024" s="32">
        <f>IF($A1024=1,IF(Expenses!$A16="","",Expenses!$A16),"")</f>
        <v/>
      </c>
      <c r="F1024" s="32">
        <f>IF($A1024=1,"EXP","")</f>
        <v/>
      </c>
      <c r="G1024" s="32">
        <f>IF($A1024=1,IF(Expenses!$V16="","",Expenses!$V16),"")</f>
        <v/>
      </c>
      <c r="H1024" s="32">
        <f>IF($A1024=1,IF(COUNTIF(COA!$A:$A,$G1024)=0,"حساب غير معرف",INDEX(COA!$B:$B,MATCH($G1024,COA!$A:$A,0))),"")</f>
        <v/>
      </c>
      <c r="I1024" s="32">
        <f>IF($A1024=1,IF(Expenses!$C16="","",Expenses!$C16),"")</f>
        <v/>
      </c>
      <c r="J1024" s="32">
        <f>IF($A1024=1,"CC00","")</f>
        <v/>
      </c>
      <c r="K1024" s="32">
        <f>IF($A1024=1,"-","")</f>
        <v/>
      </c>
      <c r="L1024" s="32">
        <f>IF($A1024=1,IF(Expenses!$L16="","مصروف - "&amp;Expenses!$J16,Expenses!$L16),"")</f>
        <v/>
      </c>
      <c r="M1024" s="43">
        <f>IF($A1024=1,0,"")</f>
        <v/>
      </c>
      <c r="N1024" s="43">
        <f>IF($A1024=1,Expenses!$W16,"")</f>
        <v/>
      </c>
      <c r="O1024" s="32">
        <f>IF($A1024=1,Expenses!$M16,"")</f>
        <v/>
      </c>
      <c r="P1024" s="32">
        <f>IF($A1024=1,IF(Expenses!$AC16="","",Expenses!$AC16),"")</f>
        <v/>
      </c>
      <c r="Q1024" s="32">
        <f>IF($A1024=1,Expenses!$AE16,"")</f>
        <v/>
      </c>
      <c r="R1024" s="32">
        <f>IF($A1024=1,IF(AND($Q1024=1,COUNTIFS(COA!$A:$A,$G1024,COA!$R:$R,1)=1),1,0),"")</f>
        <v/>
      </c>
      <c r="S1024" s="43">
        <f>IF($A1024=1,IF($R1024=1,N($M1024),0),"")</f>
        <v/>
      </c>
      <c r="T1024" s="43">
        <f>IF($A1024=1,IF($R1024=1,N($N1024),0),"")</f>
        <v/>
      </c>
      <c r="U1024" s="32">
        <f>IF($A1024=1,YEAR($D1024)*100+MONTH($D1024),"")</f>
        <v/>
      </c>
      <c r="V1024" s="32">
        <f>IF($A1024=1,IF(COUNTIF(COA!$A:$A,$G1024)=0,0,INDEX(COA!$H:$H,MATCH($G1024,COA!$A:$A,0))),"")</f>
        <v/>
      </c>
      <c r="W1024" s="32">
        <f>IF($A1024=1,"OPERATING","")</f>
        <v/>
      </c>
      <c r="X1024" s="32">
        <f>IF($A1024=1,IF($R1024=1,"",IF($O1024=ST_POST,IF($P1024&lt;&gt;"",$P1024,"حساب غير صالح أو غير نشط"),IF($O1024=ST_REV,"معكوس: لا أثر على الدفاتر",IF($O1024=ST_CANC,"ملغى",IF($O1024=ST_APPR,"معتمد ولم يُرحَّل","مسودة"))))),"")</f>
        <v/>
      </c>
      <c r="Y1024" s="32">
        <f>IF($A1024=1,IF(AND($R1024=1,OR(LG_Acct="",$G1024=LG_Acct),OR(LG_Party="",$K1024=LG_Party),OR(LG_Loc="ALL",$I1024=LG_Loc),OR(LG_CC="ALL",$J1024=LG_CC),$D1024&gt;=LG_From,$D1024&lt;=LG_To),$D1024+ROW()/1000000,""),"")</f>
        <v/>
      </c>
      <c r="Z1024" s="32">
        <f>IF($A1024=1,IF(Expenses!$N16="","",Expenses!$N16),"")</f>
        <v/>
      </c>
      <c r="AA1024" s="32">
        <f>IF($A1024=1,IF(Expenses!$O16="","",Expenses!$O16),"")</f>
        <v/>
      </c>
      <c r="AB1024" s="32">
        <f>IF($A1024=1,IF(Expenses!$P16="","",Expenses!$P16),"")</f>
        <v/>
      </c>
      <c r="AC1024" s="32">
        <f>IF($A1024=1,IF(Expenses!$Q16="","",Expenses!$Q16),"")</f>
        <v/>
      </c>
      <c r="AD1024" s="32">
        <f>IF($A1024=1,IF(Expenses!$R16="","",Expenses!$R16),"")</f>
        <v/>
      </c>
      <c r="AE1024" s="32">
        <f>IF($A1024=1,0,"")</f>
        <v/>
      </c>
      <c r="AF1024" s="32" t="inlineStr"/>
    </row>
    <row r="1025">
      <c r="A1025" s="32">
        <f>IF(AND(Expenses!$AB17=1,N(Expenses!$F17)&gt;0),1,0)</f>
        <v/>
      </c>
      <c r="B1025" s="32">
        <f>IF($A1025=1,$E1025&amp;"/1","")</f>
        <v/>
      </c>
      <c r="C1025" s="32">
        <f>IF($A1025=1,"J-"&amp;Expenses!$A17,"")</f>
        <v/>
      </c>
      <c r="D1025" s="33">
        <f>IF($A1025=1,Expenses!$B17,"")</f>
        <v/>
      </c>
      <c r="E1025" s="32">
        <f>IF($A1025=1,IF(Expenses!$A17="","",Expenses!$A17),"")</f>
        <v/>
      </c>
      <c r="F1025" s="32">
        <f>IF($A1025=1,"EXP","")</f>
        <v/>
      </c>
      <c r="G1025" s="32">
        <f>IF($A1025=1,IF(Expenses!$E17="","",Expenses!$E17),"")</f>
        <v/>
      </c>
      <c r="H1025" s="32">
        <f>IF($A1025=1,IF(COUNTIF(COA!$A:$A,$G1025)=0,"حساب غير معرف",INDEX(COA!$B:$B,MATCH($G1025,COA!$A:$A,0))),"")</f>
        <v/>
      </c>
      <c r="I1025" s="32">
        <f>IF($A1025=1,IF(Expenses!$C17="","",Expenses!$C17),"")</f>
        <v/>
      </c>
      <c r="J1025" s="32">
        <f>IF($A1025=1,IF(Expenses!$D17="","",Expenses!$D17),"")</f>
        <v/>
      </c>
      <c r="K1025" s="32">
        <f>IF($A1025=1,"-","")</f>
        <v/>
      </c>
      <c r="L1025" s="32">
        <f>IF($A1025=1,IF(Expenses!$L17="","مصروف - "&amp;Expenses!$J17,Expenses!$L17),"")</f>
        <v/>
      </c>
      <c r="M1025" s="43">
        <f>IF($A1025=1,Expenses!$F17,"")</f>
        <v/>
      </c>
      <c r="N1025" s="43">
        <f>IF($A1025=1,0,"")</f>
        <v/>
      </c>
      <c r="O1025" s="32">
        <f>IF($A1025=1,Expenses!$M17,"")</f>
        <v/>
      </c>
      <c r="P1025" s="32">
        <f>IF($A1025=1,IF(Expenses!$AC17="","",Expenses!$AC17),"")</f>
        <v/>
      </c>
      <c r="Q1025" s="32">
        <f>IF($A1025=1,Expenses!$AE17,"")</f>
        <v/>
      </c>
      <c r="R1025" s="32">
        <f>IF($A1025=1,IF(AND($Q1025=1,COUNTIFS(COA!$A:$A,$G1025,COA!$R:$R,1)=1),1,0),"")</f>
        <v/>
      </c>
      <c r="S1025" s="43">
        <f>IF($A1025=1,IF($R1025=1,N($M1025),0),"")</f>
        <v/>
      </c>
      <c r="T1025" s="43">
        <f>IF($A1025=1,IF($R1025=1,N($N1025),0),"")</f>
        <v/>
      </c>
      <c r="U1025" s="32">
        <f>IF($A1025=1,YEAR($D1025)*100+MONTH($D1025),"")</f>
        <v/>
      </c>
      <c r="V1025" s="32">
        <f>IF($A1025=1,IF(COUNTIF(COA!$A:$A,$G1025)=0,0,INDEX(COA!$H:$H,MATCH($G1025,COA!$A:$A,0))),"")</f>
        <v/>
      </c>
      <c r="W1025" s="32">
        <f>IF($A1025=1,"","")</f>
        <v/>
      </c>
      <c r="X1025" s="32">
        <f>IF($A1025=1,IF($R1025=1,"",IF($O1025=ST_POST,IF($P1025&lt;&gt;"",$P1025,"حساب غير صالح أو غير نشط"),IF($O1025=ST_REV,"معكوس: لا أثر على الدفاتر",IF($O1025=ST_CANC,"ملغى",IF($O1025=ST_APPR,"معتمد ولم يُرحَّل","مسودة"))))),"")</f>
        <v/>
      </c>
      <c r="Y1025" s="32">
        <f>IF($A1025=1,IF(AND($R1025=1,OR(LG_Acct="",$G1025=LG_Acct),OR(LG_Party="",$K1025=LG_Party),OR(LG_Loc="ALL",$I1025=LG_Loc),OR(LG_CC="ALL",$J1025=LG_CC),$D1025&gt;=LG_From,$D1025&lt;=LG_To),$D1025+ROW()/1000000,""),"")</f>
        <v/>
      </c>
      <c r="Z1025" s="32">
        <f>IF($A1025=1,IF(Expenses!$N17="","",Expenses!$N17),"")</f>
        <v/>
      </c>
      <c r="AA1025" s="32">
        <f>IF($A1025=1,IF(Expenses!$O17="","",Expenses!$O17),"")</f>
        <v/>
      </c>
      <c r="AB1025" s="32">
        <f>IF($A1025=1,IF(Expenses!$P17="","",Expenses!$P17),"")</f>
        <v/>
      </c>
      <c r="AC1025" s="32">
        <f>IF($A1025=1,IF(Expenses!$Q17="","",Expenses!$Q17),"")</f>
        <v/>
      </c>
      <c r="AD1025" s="32">
        <f>IF($A1025=1,IF(Expenses!$R17="","",Expenses!$R17),"")</f>
        <v/>
      </c>
      <c r="AE1025" s="32">
        <f>IF($A1025=1,0,"")</f>
        <v/>
      </c>
      <c r="AF1025" s="32" t="inlineStr"/>
    </row>
    <row r="1026">
      <c r="A1026" s="32">
        <f>IF(AND(Expenses!$AB17=1,N(Expenses!$G17)&gt;0),1,0)</f>
        <v/>
      </c>
      <c r="B1026" s="32">
        <f>IF($A1026=1,$E1026&amp;"/2","")</f>
        <v/>
      </c>
      <c r="C1026" s="32">
        <f>IF($A1026=1,"J-"&amp;Expenses!$A17,"")</f>
        <v/>
      </c>
      <c r="D1026" s="33">
        <f>IF($A1026=1,Expenses!$B17,"")</f>
        <v/>
      </c>
      <c r="E1026" s="32">
        <f>IF($A1026=1,IF(Expenses!$A17="","",Expenses!$A17),"")</f>
        <v/>
      </c>
      <c r="F1026" s="32">
        <f>IF($A1026=1,"EXP","")</f>
        <v/>
      </c>
      <c r="G1026" s="32">
        <f>IF($A1026=1,ACC_VAT_IN,"")</f>
        <v/>
      </c>
      <c r="H1026" s="32">
        <f>IF($A1026=1,IF(COUNTIF(COA!$A:$A,$G1026)=0,"حساب غير معرف",INDEX(COA!$B:$B,MATCH($G1026,COA!$A:$A,0))),"")</f>
        <v/>
      </c>
      <c r="I1026" s="32">
        <f>IF($A1026=1,IF(Expenses!$C17="","",Expenses!$C17),"")</f>
        <v/>
      </c>
      <c r="J1026" s="32">
        <f>IF($A1026=1,IF(Expenses!$D17="","",Expenses!$D17),"")</f>
        <v/>
      </c>
      <c r="K1026" s="32">
        <f>IF($A1026=1,"-","")</f>
        <v/>
      </c>
      <c r="L1026" s="32">
        <f>IF($A1026=1,"ضريبة قيمة مضافة - مدخلات","")</f>
        <v/>
      </c>
      <c r="M1026" s="43">
        <f>IF($A1026=1,Expenses!$G17,"")</f>
        <v/>
      </c>
      <c r="N1026" s="43">
        <f>IF($A1026=1,0,"")</f>
        <v/>
      </c>
      <c r="O1026" s="32">
        <f>IF($A1026=1,Expenses!$M17,"")</f>
        <v/>
      </c>
      <c r="P1026" s="32">
        <f>IF($A1026=1,IF(Expenses!$AC17="","",Expenses!$AC17),"")</f>
        <v/>
      </c>
      <c r="Q1026" s="32">
        <f>IF($A1026=1,Expenses!$AE17,"")</f>
        <v/>
      </c>
      <c r="R1026" s="32">
        <f>IF($A1026=1,IF(AND($Q1026=1,COUNTIFS(COA!$A:$A,$G1026,COA!$R:$R,1)=1),1,0),"")</f>
        <v/>
      </c>
      <c r="S1026" s="43">
        <f>IF($A1026=1,IF($R1026=1,N($M1026),0),"")</f>
        <v/>
      </c>
      <c r="T1026" s="43">
        <f>IF($A1026=1,IF($R1026=1,N($N1026),0),"")</f>
        <v/>
      </c>
      <c r="U1026" s="32">
        <f>IF($A1026=1,YEAR($D1026)*100+MONTH($D1026),"")</f>
        <v/>
      </c>
      <c r="V1026" s="32">
        <f>IF($A1026=1,IF(COUNTIF(COA!$A:$A,$G1026)=0,0,INDEX(COA!$H:$H,MATCH($G1026,COA!$A:$A,0))),"")</f>
        <v/>
      </c>
      <c r="W1026" s="32">
        <f>IF($A1026=1,"","")</f>
        <v/>
      </c>
      <c r="X1026" s="32">
        <f>IF($A1026=1,IF($R1026=1,"",IF($O1026=ST_POST,IF($P1026&lt;&gt;"",$P1026,"حساب غير صالح أو غير نشط"),IF($O1026=ST_REV,"معكوس: لا أثر على الدفاتر",IF($O1026=ST_CANC,"ملغى",IF($O1026=ST_APPR,"معتمد ولم يُرحَّل","مسودة"))))),"")</f>
        <v/>
      </c>
      <c r="Y1026" s="32">
        <f>IF($A1026=1,IF(AND($R1026=1,OR(LG_Acct="",$G1026=LG_Acct),OR(LG_Party="",$K1026=LG_Party),OR(LG_Loc="ALL",$I1026=LG_Loc),OR(LG_CC="ALL",$J1026=LG_CC),$D1026&gt;=LG_From,$D1026&lt;=LG_To),$D1026+ROW()/1000000,""),"")</f>
        <v/>
      </c>
      <c r="Z1026" s="32">
        <f>IF($A1026=1,IF(Expenses!$N17="","",Expenses!$N17),"")</f>
        <v/>
      </c>
      <c r="AA1026" s="32">
        <f>IF($A1026=1,IF(Expenses!$O17="","",Expenses!$O17),"")</f>
        <v/>
      </c>
      <c r="AB1026" s="32">
        <f>IF($A1026=1,IF(Expenses!$P17="","",Expenses!$P17),"")</f>
        <v/>
      </c>
      <c r="AC1026" s="32">
        <f>IF($A1026=1,IF(Expenses!$Q17="","",Expenses!$Q17),"")</f>
        <v/>
      </c>
      <c r="AD1026" s="32">
        <f>IF($A1026=1,IF(Expenses!$R17="","",Expenses!$R17),"")</f>
        <v/>
      </c>
      <c r="AE1026" s="32">
        <f>IF($A1026=1,0,"")</f>
        <v/>
      </c>
      <c r="AF1026" s="32" t="inlineStr"/>
    </row>
    <row r="1027">
      <c r="A1027" s="32">
        <f>IF(AND(Expenses!$AB17=1,N(Expenses!$W17)&gt;0),1,0)</f>
        <v/>
      </c>
      <c r="B1027" s="32">
        <f>IF($A1027=1,$E1027&amp;"/3","")</f>
        <v/>
      </c>
      <c r="C1027" s="32">
        <f>IF($A1027=1,"J-"&amp;Expenses!$A17,"")</f>
        <v/>
      </c>
      <c r="D1027" s="33">
        <f>IF($A1027=1,Expenses!$B17,"")</f>
        <v/>
      </c>
      <c r="E1027" s="32">
        <f>IF($A1027=1,IF(Expenses!$A17="","",Expenses!$A17),"")</f>
        <v/>
      </c>
      <c r="F1027" s="32">
        <f>IF($A1027=1,"EXP","")</f>
        <v/>
      </c>
      <c r="G1027" s="32">
        <f>IF($A1027=1,IF(Expenses!$V17="","",Expenses!$V17),"")</f>
        <v/>
      </c>
      <c r="H1027" s="32">
        <f>IF($A1027=1,IF(COUNTIF(COA!$A:$A,$G1027)=0,"حساب غير معرف",INDEX(COA!$B:$B,MATCH($G1027,COA!$A:$A,0))),"")</f>
        <v/>
      </c>
      <c r="I1027" s="32">
        <f>IF($A1027=1,IF(Expenses!$C17="","",Expenses!$C17),"")</f>
        <v/>
      </c>
      <c r="J1027" s="32">
        <f>IF($A1027=1,"CC00","")</f>
        <v/>
      </c>
      <c r="K1027" s="32">
        <f>IF($A1027=1,"-","")</f>
        <v/>
      </c>
      <c r="L1027" s="32">
        <f>IF($A1027=1,IF(Expenses!$L17="","مصروف - "&amp;Expenses!$J17,Expenses!$L17),"")</f>
        <v/>
      </c>
      <c r="M1027" s="43">
        <f>IF($A1027=1,0,"")</f>
        <v/>
      </c>
      <c r="N1027" s="43">
        <f>IF($A1027=1,Expenses!$W17,"")</f>
        <v/>
      </c>
      <c r="O1027" s="32">
        <f>IF($A1027=1,Expenses!$M17,"")</f>
        <v/>
      </c>
      <c r="P1027" s="32">
        <f>IF($A1027=1,IF(Expenses!$AC17="","",Expenses!$AC17),"")</f>
        <v/>
      </c>
      <c r="Q1027" s="32">
        <f>IF($A1027=1,Expenses!$AE17,"")</f>
        <v/>
      </c>
      <c r="R1027" s="32">
        <f>IF($A1027=1,IF(AND($Q1027=1,COUNTIFS(COA!$A:$A,$G1027,COA!$R:$R,1)=1),1,0),"")</f>
        <v/>
      </c>
      <c r="S1027" s="43">
        <f>IF($A1027=1,IF($R1027=1,N($M1027),0),"")</f>
        <v/>
      </c>
      <c r="T1027" s="43">
        <f>IF($A1027=1,IF($R1027=1,N($N1027),0),"")</f>
        <v/>
      </c>
      <c r="U1027" s="32">
        <f>IF($A1027=1,YEAR($D1027)*100+MONTH($D1027),"")</f>
        <v/>
      </c>
      <c r="V1027" s="32">
        <f>IF($A1027=1,IF(COUNTIF(COA!$A:$A,$G1027)=0,0,INDEX(COA!$H:$H,MATCH($G1027,COA!$A:$A,0))),"")</f>
        <v/>
      </c>
      <c r="W1027" s="32">
        <f>IF($A1027=1,"OPERATING","")</f>
        <v/>
      </c>
      <c r="X1027" s="32">
        <f>IF($A1027=1,IF($R1027=1,"",IF($O1027=ST_POST,IF($P1027&lt;&gt;"",$P1027,"حساب غير صالح أو غير نشط"),IF($O1027=ST_REV,"معكوس: لا أثر على الدفاتر",IF($O1027=ST_CANC,"ملغى",IF($O1027=ST_APPR,"معتمد ولم يُرحَّل","مسودة"))))),"")</f>
        <v/>
      </c>
      <c r="Y1027" s="32">
        <f>IF($A1027=1,IF(AND($R1027=1,OR(LG_Acct="",$G1027=LG_Acct),OR(LG_Party="",$K1027=LG_Party),OR(LG_Loc="ALL",$I1027=LG_Loc),OR(LG_CC="ALL",$J1027=LG_CC),$D1027&gt;=LG_From,$D1027&lt;=LG_To),$D1027+ROW()/1000000,""),"")</f>
        <v/>
      </c>
      <c r="Z1027" s="32">
        <f>IF($A1027=1,IF(Expenses!$N17="","",Expenses!$N17),"")</f>
        <v/>
      </c>
      <c r="AA1027" s="32">
        <f>IF($A1027=1,IF(Expenses!$O17="","",Expenses!$O17),"")</f>
        <v/>
      </c>
      <c r="AB1027" s="32">
        <f>IF($A1027=1,IF(Expenses!$P17="","",Expenses!$P17),"")</f>
        <v/>
      </c>
      <c r="AC1027" s="32">
        <f>IF($A1027=1,IF(Expenses!$Q17="","",Expenses!$Q17),"")</f>
        <v/>
      </c>
      <c r="AD1027" s="32">
        <f>IF($A1027=1,IF(Expenses!$R17="","",Expenses!$R17),"")</f>
        <v/>
      </c>
      <c r="AE1027" s="32">
        <f>IF($A1027=1,0,"")</f>
        <v/>
      </c>
      <c r="AF1027" s="32" t="inlineStr"/>
    </row>
    <row r="1028">
      <c r="A1028" s="32">
        <f>IF(AND(Expenses!$AB18=1,N(Expenses!$F18)&gt;0),1,0)</f>
        <v/>
      </c>
      <c r="B1028" s="32">
        <f>IF($A1028=1,$E1028&amp;"/1","")</f>
        <v/>
      </c>
      <c r="C1028" s="32">
        <f>IF($A1028=1,"J-"&amp;Expenses!$A18,"")</f>
        <v/>
      </c>
      <c r="D1028" s="33">
        <f>IF($A1028=1,Expenses!$B18,"")</f>
        <v/>
      </c>
      <c r="E1028" s="32">
        <f>IF($A1028=1,IF(Expenses!$A18="","",Expenses!$A18),"")</f>
        <v/>
      </c>
      <c r="F1028" s="32">
        <f>IF($A1028=1,"EXP","")</f>
        <v/>
      </c>
      <c r="G1028" s="32">
        <f>IF($A1028=1,IF(Expenses!$E18="","",Expenses!$E18),"")</f>
        <v/>
      </c>
      <c r="H1028" s="32">
        <f>IF($A1028=1,IF(COUNTIF(COA!$A:$A,$G1028)=0,"حساب غير معرف",INDEX(COA!$B:$B,MATCH($G1028,COA!$A:$A,0))),"")</f>
        <v/>
      </c>
      <c r="I1028" s="32">
        <f>IF($A1028=1,IF(Expenses!$C18="","",Expenses!$C18),"")</f>
        <v/>
      </c>
      <c r="J1028" s="32">
        <f>IF($A1028=1,IF(Expenses!$D18="","",Expenses!$D18),"")</f>
        <v/>
      </c>
      <c r="K1028" s="32">
        <f>IF($A1028=1,"-","")</f>
        <v/>
      </c>
      <c r="L1028" s="32">
        <f>IF($A1028=1,IF(Expenses!$L18="","مصروف - "&amp;Expenses!$J18,Expenses!$L18),"")</f>
        <v/>
      </c>
      <c r="M1028" s="43">
        <f>IF($A1028=1,Expenses!$F18,"")</f>
        <v/>
      </c>
      <c r="N1028" s="43">
        <f>IF($A1028=1,0,"")</f>
        <v/>
      </c>
      <c r="O1028" s="32">
        <f>IF($A1028=1,Expenses!$M18,"")</f>
        <v/>
      </c>
      <c r="P1028" s="32">
        <f>IF($A1028=1,IF(Expenses!$AC18="","",Expenses!$AC18),"")</f>
        <v/>
      </c>
      <c r="Q1028" s="32">
        <f>IF($A1028=1,Expenses!$AE18,"")</f>
        <v/>
      </c>
      <c r="R1028" s="32">
        <f>IF($A1028=1,IF(AND($Q1028=1,COUNTIFS(COA!$A:$A,$G1028,COA!$R:$R,1)=1),1,0),"")</f>
        <v/>
      </c>
      <c r="S1028" s="43">
        <f>IF($A1028=1,IF($R1028=1,N($M1028),0),"")</f>
        <v/>
      </c>
      <c r="T1028" s="43">
        <f>IF($A1028=1,IF($R1028=1,N($N1028),0),"")</f>
        <v/>
      </c>
      <c r="U1028" s="32">
        <f>IF($A1028=1,YEAR($D1028)*100+MONTH($D1028),"")</f>
        <v/>
      </c>
      <c r="V1028" s="32">
        <f>IF($A1028=1,IF(COUNTIF(COA!$A:$A,$G1028)=0,0,INDEX(COA!$H:$H,MATCH($G1028,COA!$A:$A,0))),"")</f>
        <v/>
      </c>
      <c r="W1028" s="32">
        <f>IF($A1028=1,"","")</f>
        <v/>
      </c>
      <c r="X1028" s="32">
        <f>IF($A1028=1,IF($R1028=1,"",IF($O1028=ST_POST,IF($P1028&lt;&gt;"",$P1028,"حساب غير صالح أو غير نشط"),IF($O1028=ST_REV,"معكوس: لا أثر على الدفاتر",IF($O1028=ST_CANC,"ملغى",IF($O1028=ST_APPR,"معتمد ولم يُرحَّل","مسودة"))))),"")</f>
        <v/>
      </c>
      <c r="Y1028" s="32">
        <f>IF($A1028=1,IF(AND($R1028=1,OR(LG_Acct="",$G1028=LG_Acct),OR(LG_Party="",$K1028=LG_Party),OR(LG_Loc="ALL",$I1028=LG_Loc),OR(LG_CC="ALL",$J1028=LG_CC),$D1028&gt;=LG_From,$D1028&lt;=LG_To),$D1028+ROW()/1000000,""),"")</f>
        <v/>
      </c>
      <c r="Z1028" s="32">
        <f>IF($A1028=1,IF(Expenses!$N18="","",Expenses!$N18),"")</f>
        <v/>
      </c>
      <c r="AA1028" s="32">
        <f>IF($A1028=1,IF(Expenses!$O18="","",Expenses!$O18),"")</f>
        <v/>
      </c>
      <c r="AB1028" s="32">
        <f>IF($A1028=1,IF(Expenses!$P18="","",Expenses!$P18),"")</f>
        <v/>
      </c>
      <c r="AC1028" s="32">
        <f>IF($A1028=1,IF(Expenses!$Q18="","",Expenses!$Q18),"")</f>
        <v/>
      </c>
      <c r="AD1028" s="32">
        <f>IF($A1028=1,IF(Expenses!$R18="","",Expenses!$R18),"")</f>
        <v/>
      </c>
      <c r="AE1028" s="32">
        <f>IF($A1028=1,0,"")</f>
        <v/>
      </c>
      <c r="AF1028" s="32" t="inlineStr"/>
    </row>
    <row r="1029">
      <c r="A1029" s="32">
        <f>IF(AND(Expenses!$AB18=1,N(Expenses!$G18)&gt;0),1,0)</f>
        <v/>
      </c>
      <c r="B1029" s="32">
        <f>IF($A1029=1,$E1029&amp;"/2","")</f>
        <v/>
      </c>
      <c r="C1029" s="32">
        <f>IF($A1029=1,"J-"&amp;Expenses!$A18,"")</f>
        <v/>
      </c>
      <c r="D1029" s="33">
        <f>IF($A1029=1,Expenses!$B18,"")</f>
        <v/>
      </c>
      <c r="E1029" s="32">
        <f>IF($A1029=1,IF(Expenses!$A18="","",Expenses!$A18),"")</f>
        <v/>
      </c>
      <c r="F1029" s="32">
        <f>IF($A1029=1,"EXP","")</f>
        <v/>
      </c>
      <c r="G1029" s="32">
        <f>IF($A1029=1,ACC_VAT_IN,"")</f>
        <v/>
      </c>
      <c r="H1029" s="32">
        <f>IF($A1029=1,IF(COUNTIF(COA!$A:$A,$G1029)=0,"حساب غير معرف",INDEX(COA!$B:$B,MATCH($G1029,COA!$A:$A,0))),"")</f>
        <v/>
      </c>
      <c r="I1029" s="32">
        <f>IF($A1029=1,IF(Expenses!$C18="","",Expenses!$C18),"")</f>
        <v/>
      </c>
      <c r="J1029" s="32">
        <f>IF($A1029=1,IF(Expenses!$D18="","",Expenses!$D18),"")</f>
        <v/>
      </c>
      <c r="K1029" s="32">
        <f>IF($A1029=1,"-","")</f>
        <v/>
      </c>
      <c r="L1029" s="32">
        <f>IF($A1029=1,"ضريبة قيمة مضافة - مدخلات","")</f>
        <v/>
      </c>
      <c r="M1029" s="43">
        <f>IF($A1029=1,Expenses!$G18,"")</f>
        <v/>
      </c>
      <c r="N1029" s="43">
        <f>IF($A1029=1,0,"")</f>
        <v/>
      </c>
      <c r="O1029" s="32">
        <f>IF($A1029=1,Expenses!$M18,"")</f>
        <v/>
      </c>
      <c r="P1029" s="32">
        <f>IF($A1029=1,IF(Expenses!$AC18="","",Expenses!$AC18),"")</f>
        <v/>
      </c>
      <c r="Q1029" s="32">
        <f>IF($A1029=1,Expenses!$AE18,"")</f>
        <v/>
      </c>
      <c r="R1029" s="32">
        <f>IF($A1029=1,IF(AND($Q1029=1,COUNTIFS(COA!$A:$A,$G1029,COA!$R:$R,1)=1),1,0),"")</f>
        <v/>
      </c>
      <c r="S1029" s="43">
        <f>IF($A1029=1,IF($R1029=1,N($M1029),0),"")</f>
        <v/>
      </c>
      <c r="T1029" s="43">
        <f>IF($A1029=1,IF($R1029=1,N($N1029),0),"")</f>
        <v/>
      </c>
      <c r="U1029" s="32">
        <f>IF($A1029=1,YEAR($D1029)*100+MONTH($D1029),"")</f>
        <v/>
      </c>
      <c r="V1029" s="32">
        <f>IF($A1029=1,IF(COUNTIF(COA!$A:$A,$G1029)=0,0,INDEX(COA!$H:$H,MATCH($G1029,COA!$A:$A,0))),"")</f>
        <v/>
      </c>
      <c r="W1029" s="32">
        <f>IF($A1029=1,"","")</f>
        <v/>
      </c>
      <c r="X1029" s="32">
        <f>IF($A1029=1,IF($R1029=1,"",IF($O1029=ST_POST,IF($P1029&lt;&gt;"",$P1029,"حساب غير صالح أو غير نشط"),IF($O1029=ST_REV,"معكوس: لا أثر على الدفاتر",IF($O1029=ST_CANC,"ملغى",IF($O1029=ST_APPR,"معتمد ولم يُرحَّل","مسودة"))))),"")</f>
        <v/>
      </c>
      <c r="Y1029" s="32">
        <f>IF($A1029=1,IF(AND($R1029=1,OR(LG_Acct="",$G1029=LG_Acct),OR(LG_Party="",$K1029=LG_Party),OR(LG_Loc="ALL",$I1029=LG_Loc),OR(LG_CC="ALL",$J1029=LG_CC),$D1029&gt;=LG_From,$D1029&lt;=LG_To),$D1029+ROW()/1000000,""),"")</f>
        <v/>
      </c>
      <c r="Z1029" s="32">
        <f>IF($A1029=1,IF(Expenses!$N18="","",Expenses!$N18),"")</f>
        <v/>
      </c>
      <c r="AA1029" s="32">
        <f>IF($A1029=1,IF(Expenses!$O18="","",Expenses!$O18),"")</f>
        <v/>
      </c>
      <c r="AB1029" s="32">
        <f>IF($A1029=1,IF(Expenses!$P18="","",Expenses!$P18),"")</f>
        <v/>
      </c>
      <c r="AC1029" s="32">
        <f>IF($A1029=1,IF(Expenses!$Q18="","",Expenses!$Q18),"")</f>
        <v/>
      </c>
      <c r="AD1029" s="32">
        <f>IF($A1029=1,IF(Expenses!$R18="","",Expenses!$R18),"")</f>
        <v/>
      </c>
      <c r="AE1029" s="32">
        <f>IF($A1029=1,0,"")</f>
        <v/>
      </c>
      <c r="AF1029" s="32" t="inlineStr"/>
    </row>
    <row r="1030">
      <c r="A1030" s="32">
        <f>IF(AND(Expenses!$AB18=1,N(Expenses!$W18)&gt;0),1,0)</f>
        <v/>
      </c>
      <c r="B1030" s="32">
        <f>IF($A1030=1,$E1030&amp;"/3","")</f>
        <v/>
      </c>
      <c r="C1030" s="32">
        <f>IF($A1030=1,"J-"&amp;Expenses!$A18,"")</f>
        <v/>
      </c>
      <c r="D1030" s="33">
        <f>IF($A1030=1,Expenses!$B18,"")</f>
        <v/>
      </c>
      <c r="E1030" s="32">
        <f>IF($A1030=1,IF(Expenses!$A18="","",Expenses!$A18),"")</f>
        <v/>
      </c>
      <c r="F1030" s="32">
        <f>IF($A1030=1,"EXP","")</f>
        <v/>
      </c>
      <c r="G1030" s="32">
        <f>IF($A1030=1,IF(Expenses!$V18="","",Expenses!$V18),"")</f>
        <v/>
      </c>
      <c r="H1030" s="32">
        <f>IF($A1030=1,IF(COUNTIF(COA!$A:$A,$G1030)=0,"حساب غير معرف",INDEX(COA!$B:$B,MATCH($G1030,COA!$A:$A,0))),"")</f>
        <v/>
      </c>
      <c r="I1030" s="32">
        <f>IF($A1030=1,IF(Expenses!$C18="","",Expenses!$C18),"")</f>
        <v/>
      </c>
      <c r="J1030" s="32">
        <f>IF($A1030=1,"CC00","")</f>
        <v/>
      </c>
      <c r="K1030" s="32">
        <f>IF($A1030=1,"-","")</f>
        <v/>
      </c>
      <c r="L1030" s="32">
        <f>IF($A1030=1,IF(Expenses!$L18="","مصروف - "&amp;Expenses!$J18,Expenses!$L18),"")</f>
        <v/>
      </c>
      <c r="M1030" s="43">
        <f>IF($A1030=1,0,"")</f>
        <v/>
      </c>
      <c r="N1030" s="43">
        <f>IF($A1030=1,Expenses!$W18,"")</f>
        <v/>
      </c>
      <c r="O1030" s="32">
        <f>IF($A1030=1,Expenses!$M18,"")</f>
        <v/>
      </c>
      <c r="P1030" s="32">
        <f>IF($A1030=1,IF(Expenses!$AC18="","",Expenses!$AC18),"")</f>
        <v/>
      </c>
      <c r="Q1030" s="32">
        <f>IF($A1030=1,Expenses!$AE18,"")</f>
        <v/>
      </c>
      <c r="R1030" s="32">
        <f>IF($A1030=1,IF(AND($Q1030=1,COUNTIFS(COA!$A:$A,$G1030,COA!$R:$R,1)=1),1,0),"")</f>
        <v/>
      </c>
      <c r="S1030" s="43">
        <f>IF($A1030=1,IF($R1030=1,N($M1030),0),"")</f>
        <v/>
      </c>
      <c r="T1030" s="43">
        <f>IF($A1030=1,IF($R1030=1,N($N1030),0),"")</f>
        <v/>
      </c>
      <c r="U1030" s="32">
        <f>IF($A1030=1,YEAR($D1030)*100+MONTH($D1030),"")</f>
        <v/>
      </c>
      <c r="V1030" s="32">
        <f>IF($A1030=1,IF(COUNTIF(COA!$A:$A,$G1030)=0,0,INDEX(COA!$H:$H,MATCH($G1030,COA!$A:$A,0))),"")</f>
        <v/>
      </c>
      <c r="W1030" s="32">
        <f>IF($A1030=1,"OPERATING","")</f>
        <v/>
      </c>
      <c r="X1030" s="32">
        <f>IF($A1030=1,IF($R1030=1,"",IF($O1030=ST_POST,IF($P1030&lt;&gt;"",$P1030,"حساب غير صالح أو غير نشط"),IF($O1030=ST_REV,"معكوس: لا أثر على الدفاتر",IF($O1030=ST_CANC,"ملغى",IF($O1030=ST_APPR,"معتمد ولم يُرحَّل","مسودة"))))),"")</f>
        <v/>
      </c>
      <c r="Y1030" s="32">
        <f>IF($A1030=1,IF(AND($R1030=1,OR(LG_Acct="",$G1030=LG_Acct),OR(LG_Party="",$K1030=LG_Party),OR(LG_Loc="ALL",$I1030=LG_Loc),OR(LG_CC="ALL",$J1030=LG_CC),$D1030&gt;=LG_From,$D1030&lt;=LG_To),$D1030+ROW()/1000000,""),"")</f>
        <v/>
      </c>
      <c r="Z1030" s="32">
        <f>IF($A1030=1,IF(Expenses!$N18="","",Expenses!$N18),"")</f>
        <v/>
      </c>
      <c r="AA1030" s="32">
        <f>IF($A1030=1,IF(Expenses!$O18="","",Expenses!$O18),"")</f>
        <v/>
      </c>
      <c r="AB1030" s="32">
        <f>IF($A1030=1,IF(Expenses!$P18="","",Expenses!$P18),"")</f>
        <v/>
      </c>
      <c r="AC1030" s="32">
        <f>IF($A1030=1,IF(Expenses!$Q18="","",Expenses!$Q18),"")</f>
        <v/>
      </c>
      <c r="AD1030" s="32">
        <f>IF($A1030=1,IF(Expenses!$R18="","",Expenses!$R18),"")</f>
        <v/>
      </c>
      <c r="AE1030" s="32">
        <f>IF($A1030=1,0,"")</f>
        <v/>
      </c>
      <c r="AF1030" s="32" t="inlineStr"/>
    </row>
    <row r="1031">
      <c r="A1031" s="32">
        <f>IF(AND(Expenses!$AB19=1,N(Expenses!$F19)&gt;0),1,0)</f>
        <v/>
      </c>
      <c r="B1031" s="32">
        <f>IF($A1031=1,$E1031&amp;"/1","")</f>
        <v/>
      </c>
      <c r="C1031" s="32">
        <f>IF($A1031=1,"J-"&amp;Expenses!$A19,"")</f>
        <v/>
      </c>
      <c r="D1031" s="33">
        <f>IF($A1031=1,Expenses!$B19,"")</f>
        <v/>
      </c>
      <c r="E1031" s="32">
        <f>IF($A1031=1,IF(Expenses!$A19="","",Expenses!$A19),"")</f>
        <v/>
      </c>
      <c r="F1031" s="32">
        <f>IF($A1031=1,"EXP","")</f>
        <v/>
      </c>
      <c r="G1031" s="32">
        <f>IF($A1031=1,IF(Expenses!$E19="","",Expenses!$E19),"")</f>
        <v/>
      </c>
      <c r="H1031" s="32">
        <f>IF($A1031=1,IF(COUNTIF(COA!$A:$A,$G1031)=0,"حساب غير معرف",INDEX(COA!$B:$B,MATCH($G1031,COA!$A:$A,0))),"")</f>
        <v/>
      </c>
      <c r="I1031" s="32">
        <f>IF($A1031=1,IF(Expenses!$C19="","",Expenses!$C19),"")</f>
        <v/>
      </c>
      <c r="J1031" s="32">
        <f>IF($A1031=1,IF(Expenses!$D19="","",Expenses!$D19),"")</f>
        <v/>
      </c>
      <c r="K1031" s="32">
        <f>IF($A1031=1,"-","")</f>
        <v/>
      </c>
      <c r="L1031" s="32">
        <f>IF($A1031=1,IF(Expenses!$L19="","مصروف - "&amp;Expenses!$J19,Expenses!$L19),"")</f>
        <v/>
      </c>
      <c r="M1031" s="43">
        <f>IF($A1031=1,Expenses!$F19,"")</f>
        <v/>
      </c>
      <c r="N1031" s="43">
        <f>IF($A1031=1,0,"")</f>
        <v/>
      </c>
      <c r="O1031" s="32">
        <f>IF($A1031=1,Expenses!$M19,"")</f>
        <v/>
      </c>
      <c r="P1031" s="32">
        <f>IF($A1031=1,IF(Expenses!$AC19="","",Expenses!$AC19),"")</f>
        <v/>
      </c>
      <c r="Q1031" s="32">
        <f>IF($A1031=1,Expenses!$AE19,"")</f>
        <v/>
      </c>
      <c r="R1031" s="32">
        <f>IF($A1031=1,IF(AND($Q1031=1,COUNTIFS(COA!$A:$A,$G1031,COA!$R:$R,1)=1),1,0),"")</f>
        <v/>
      </c>
      <c r="S1031" s="43">
        <f>IF($A1031=1,IF($R1031=1,N($M1031),0),"")</f>
        <v/>
      </c>
      <c r="T1031" s="43">
        <f>IF($A1031=1,IF($R1031=1,N($N1031),0),"")</f>
        <v/>
      </c>
      <c r="U1031" s="32">
        <f>IF($A1031=1,YEAR($D1031)*100+MONTH($D1031),"")</f>
        <v/>
      </c>
      <c r="V1031" s="32">
        <f>IF($A1031=1,IF(COUNTIF(COA!$A:$A,$G1031)=0,0,INDEX(COA!$H:$H,MATCH($G1031,COA!$A:$A,0))),"")</f>
        <v/>
      </c>
      <c r="W1031" s="32">
        <f>IF($A1031=1,"","")</f>
        <v/>
      </c>
      <c r="X1031" s="32">
        <f>IF($A1031=1,IF($R1031=1,"",IF($O1031=ST_POST,IF($P1031&lt;&gt;"",$P1031,"حساب غير صالح أو غير نشط"),IF($O1031=ST_REV,"معكوس: لا أثر على الدفاتر",IF($O1031=ST_CANC,"ملغى",IF($O1031=ST_APPR,"معتمد ولم يُرحَّل","مسودة"))))),"")</f>
        <v/>
      </c>
      <c r="Y1031" s="32">
        <f>IF($A1031=1,IF(AND($R1031=1,OR(LG_Acct="",$G1031=LG_Acct),OR(LG_Party="",$K1031=LG_Party),OR(LG_Loc="ALL",$I1031=LG_Loc),OR(LG_CC="ALL",$J1031=LG_CC),$D1031&gt;=LG_From,$D1031&lt;=LG_To),$D1031+ROW()/1000000,""),"")</f>
        <v/>
      </c>
      <c r="Z1031" s="32">
        <f>IF($A1031=1,IF(Expenses!$N19="","",Expenses!$N19),"")</f>
        <v/>
      </c>
      <c r="AA1031" s="32">
        <f>IF($A1031=1,IF(Expenses!$O19="","",Expenses!$O19),"")</f>
        <v/>
      </c>
      <c r="AB1031" s="32">
        <f>IF($A1031=1,IF(Expenses!$P19="","",Expenses!$P19),"")</f>
        <v/>
      </c>
      <c r="AC1031" s="32">
        <f>IF($A1031=1,IF(Expenses!$Q19="","",Expenses!$Q19),"")</f>
        <v/>
      </c>
      <c r="AD1031" s="32">
        <f>IF($A1031=1,IF(Expenses!$R19="","",Expenses!$R19),"")</f>
        <v/>
      </c>
      <c r="AE1031" s="32">
        <f>IF($A1031=1,0,"")</f>
        <v/>
      </c>
      <c r="AF1031" s="32" t="inlineStr"/>
    </row>
    <row r="1032">
      <c r="A1032" s="32">
        <f>IF(AND(Expenses!$AB19=1,N(Expenses!$G19)&gt;0),1,0)</f>
        <v/>
      </c>
      <c r="B1032" s="32">
        <f>IF($A1032=1,$E1032&amp;"/2","")</f>
        <v/>
      </c>
      <c r="C1032" s="32">
        <f>IF($A1032=1,"J-"&amp;Expenses!$A19,"")</f>
        <v/>
      </c>
      <c r="D1032" s="33">
        <f>IF($A1032=1,Expenses!$B19,"")</f>
        <v/>
      </c>
      <c r="E1032" s="32">
        <f>IF($A1032=1,IF(Expenses!$A19="","",Expenses!$A19),"")</f>
        <v/>
      </c>
      <c r="F1032" s="32">
        <f>IF($A1032=1,"EXP","")</f>
        <v/>
      </c>
      <c r="G1032" s="32">
        <f>IF($A1032=1,ACC_VAT_IN,"")</f>
        <v/>
      </c>
      <c r="H1032" s="32">
        <f>IF($A1032=1,IF(COUNTIF(COA!$A:$A,$G1032)=0,"حساب غير معرف",INDEX(COA!$B:$B,MATCH($G1032,COA!$A:$A,0))),"")</f>
        <v/>
      </c>
      <c r="I1032" s="32">
        <f>IF($A1032=1,IF(Expenses!$C19="","",Expenses!$C19),"")</f>
        <v/>
      </c>
      <c r="J1032" s="32">
        <f>IF($A1032=1,IF(Expenses!$D19="","",Expenses!$D19),"")</f>
        <v/>
      </c>
      <c r="K1032" s="32">
        <f>IF($A1032=1,"-","")</f>
        <v/>
      </c>
      <c r="L1032" s="32">
        <f>IF($A1032=1,"ضريبة قيمة مضافة - مدخلات","")</f>
        <v/>
      </c>
      <c r="M1032" s="43">
        <f>IF($A1032=1,Expenses!$G19,"")</f>
        <v/>
      </c>
      <c r="N1032" s="43">
        <f>IF($A1032=1,0,"")</f>
        <v/>
      </c>
      <c r="O1032" s="32">
        <f>IF($A1032=1,Expenses!$M19,"")</f>
        <v/>
      </c>
      <c r="P1032" s="32">
        <f>IF($A1032=1,IF(Expenses!$AC19="","",Expenses!$AC19),"")</f>
        <v/>
      </c>
      <c r="Q1032" s="32">
        <f>IF($A1032=1,Expenses!$AE19,"")</f>
        <v/>
      </c>
      <c r="R1032" s="32">
        <f>IF($A1032=1,IF(AND($Q1032=1,COUNTIFS(COA!$A:$A,$G1032,COA!$R:$R,1)=1),1,0),"")</f>
        <v/>
      </c>
      <c r="S1032" s="43">
        <f>IF($A1032=1,IF($R1032=1,N($M1032),0),"")</f>
        <v/>
      </c>
      <c r="T1032" s="43">
        <f>IF($A1032=1,IF($R1032=1,N($N1032),0),"")</f>
        <v/>
      </c>
      <c r="U1032" s="32">
        <f>IF($A1032=1,YEAR($D1032)*100+MONTH($D1032),"")</f>
        <v/>
      </c>
      <c r="V1032" s="32">
        <f>IF($A1032=1,IF(COUNTIF(COA!$A:$A,$G1032)=0,0,INDEX(COA!$H:$H,MATCH($G1032,COA!$A:$A,0))),"")</f>
        <v/>
      </c>
      <c r="W1032" s="32">
        <f>IF($A1032=1,"","")</f>
        <v/>
      </c>
      <c r="X1032" s="32">
        <f>IF($A1032=1,IF($R1032=1,"",IF($O1032=ST_POST,IF($P1032&lt;&gt;"",$P1032,"حساب غير صالح أو غير نشط"),IF($O1032=ST_REV,"معكوس: لا أثر على الدفاتر",IF($O1032=ST_CANC,"ملغى",IF($O1032=ST_APPR,"معتمد ولم يُرحَّل","مسودة"))))),"")</f>
        <v/>
      </c>
      <c r="Y1032" s="32">
        <f>IF($A1032=1,IF(AND($R1032=1,OR(LG_Acct="",$G1032=LG_Acct),OR(LG_Party="",$K1032=LG_Party),OR(LG_Loc="ALL",$I1032=LG_Loc),OR(LG_CC="ALL",$J1032=LG_CC),$D1032&gt;=LG_From,$D1032&lt;=LG_To),$D1032+ROW()/1000000,""),"")</f>
        <v/>
      </c>
      <c r="Z1032" s="32">
        <f>IF($A1032=1,IF(Expenses!$N19="","",Expenses!$N19),"")</f>
        <v/>
      </c>
      <c r="AA1032" s="32">
        <f>IF($A1032=1,IF(Expenses!$O19="","",Expenses!$O19),"")</f>
        <v/>
      </c>
      <c r="AB1032" s="32">
        <f>IF($A1032=1,IF(Expenses!$P19="","",Expenses!$P19),"")</f>
        <v/>
      </c>
      <c r="AC1032" s="32">
        <f>IF($A1032=1,IF(Expenses!$Q19="","",Expenses!$Q19),"")</f>
        <v/>
      </c>
      <c r="AD1032" s="32">
        <f>IF($A1032=1,IF(Expenses!$R19="","",Expenses!$R19),"")</f>
        <v/>
      </c>
      <c r="AE1032" s="32">
        <f>IF($A1032=1,0,"")</f>
        <v/>
      </c>
      <c r="AF1032" s="32" t="inlineStr"/>
    </row>
    <row r="1033">
      <c r="A1033" s="32">
        <f>IF(AND(Expenses!$AB19=1,N(Expenses!$W19)&gt;0),1,0)</f>
        <v/>
      </c>
      <c r="B1033" s="32">
        <f>IF($A1033=1,$E1033&amp;"/3","")</f>
        <v/>
      </c>
      <c r="C1033" s="32">
        <f>IF($A1033=1,"J-"&amp;Expenses!$A19,"")</f>
        <v/>
      </c>
      <c r="D1033" s="33">
        <f>IF($A1033=1,Expenses!$B19,"")</f>
        <v/>
      </c>
      <c r="E1033" s="32">
        <f>IF($A1033=1,IF(Expenses!$A19="","",Expenses!$A19),"")</f>
        <v/>
      </c>
      <c r="F1033" s="32">
        <f>IF($A1033=1,"EXP","")</f>
        <v/>
      </c>
      <c r="G1033" s="32">
        <f>IF($A1033=1,IF(Expenses!$V19="","",Expenses!$V19),"")</f>
        <v/>
      </c>
      <c r="H1033" s="32">
        <f>IF($A1033=1,IF(COUNTIF(COA!$A:$A,$G1033)=0,"حساب غير معرف",INDEX(COA!$B:$B,MATCH($G1033,COA!$A:$A,0))),"")</f>
        <v/>
      </c>
      <c r="I1033" s="32">
        <f>IF($A1033=1,IF(Expenses!$C19="","",Expenses!$C19),"")</f>
        <v/>
      </c>
      <c r="J1033" s="32">
        <f>IF($A1033=1,"CC00","")</f>
        <v/>
      </c>
      <c r="K1033" s="32">
        <f>IF($A1033=1,"-","")</f>
        <v/>
      </c>
      <c r="L1033" s="32">
        <f>IF($A1033=1,IF(Expenses!$L19="","مصروف - "&amp;Expenses!$J19,Expenses!$L19),"")</f>
        <v/>
      </c>
      <c r="M1033" s="43">
        <f>IF($A1033=1,0,"")</f>
        <v/>
      </c>
      <c r="N1033" s="43">
        <f>IF($A1033=1,Expenses!$W19,"")</f>
        <v/>
      </c>
      <c r="O1033" s="32">
        <f>IF($A1033=1,Expenses!$M19,"")</f>
        <v/>
      </c>
      <c r="P1033" s="32">
        <f>IF($A1033=1,IF(Expenses!$AC19="","",Expenses!$AC19),"")</f>
        <v/>
      </c>
      <c r="Q1033" s="32">
        <f>IF($A1033=1,Expenses!$AE19,"")</f>
        <v/>
      </c>
      <c r="R1033" s="32">
        <f>IF($A1033=1,IF(AND($Q1033=1,COUNTIFS(COA!$A:$A,$G1033,COA!$R:$R,1)=1),1,0),"")</f>
        <v/>
      </c>
      <c r="S1033" s="43">
        <f>IF($A1033=1,IF($R1033=1,N($M1033),0),"")</f>
        <v/>
      </c>
      <c r="T1033" s="43">
        <f>IF($A1033=1,IF($R1033=1,N($N1033),0),"")</f>
        <v/>
      </c>
      <c r="U1033" s="32">
        <f>IF($A1033=1,YEAR($D1033)*100+MONTH($D1033),"")</f>
        <v/>
      </c>
      <c r="V1033" s="32">
        <f>IF($A1033=1,IF(COUNTIF(COA!$A:$A,$G1033)=0,0,INDEX(COA!$H:$H,MATCH($G1033,COA!$A:$A,0))),"")</f>
        <v/>
      </c>
      <c r="W1033" s="32">
        <f>IF($A1033=1,"OPERATING","")</f>
        <v/>
      </c>
      <c r="X1033" s="32">
        <f>IF($A1033=1,IF($R1033=1,"",IF($O1033=ST_POST,IF($P1033&lt;&gt;"",$P1033,"حساب غير صالح أو غير نشط"),IF($O1033=ST_REV,"معكوس: لا أثر على الدفاتر",IF($O1033=ST_CANC,"ملغى",IF($O1033=ST_APPR,"معتمد ولم يُرحَّل","مسودة"))))),"")</f>
        <v/>
      </c>
      <c r="Y1033" s="32">
        <f>IF($A1033=1,IF(AND($R1033=1,OR(LG_Acct="",$G1033=LG_Acct),OR(LG_Party="",$K1033=LG_Party),OR(LG_Loc="ALL",$I1033=LG_Loc),OR(LG_CC="ALL",$J1033=LG_CC),$D1033&gt;=LG_From,$D1033&lt;=LG_To),$D1033+ROW()/1000000,""),"")</f>
        <v/>
      </c>
      <c r="Z1033" s="32">
        <f>IF($A1033=1,IF(Expenses!$N19="","",Expenses!$N19),"")</f>
        <v/>
      </c>
      <c r="AA1033" s="32">
        <f>IF($A1033=1,IF(Expenses!$O19="","",Expenses!$O19),"")</f>
        <v/>
      </c>
      <c r="AB1033" s="32">
        <f>IF($A1033=1,IF(Expenses!$P19="","",Expenses!$P19),"")</f>
        <v/>
      </c>
      <c r="AC1033" s="32">
        <f>IF($A1033=1,IF(Expenses!$Q19="","",Expenses!$Q19),"")</f>
        <v/>
      </c>
      <c r="AD1033" s="32">
        <f>IF($A1033=1,IF(Expenses!$R19="","",Expenses!$R19),"")</f>
        <v/>
      </c>
      <c r="AE1033" s="32">
        <f>IF($A1033=1,0,"")</f>
        <v/>
      </c>
      <c r="AF1033" s="32" t="inlineStr"/>
    </row>
    <row r="1034">
      <c r="A1034" s="32">
        <f>IF(AND(Expenses!$AB20=1,N(Expenses!$F20)&gt;0),1,0)</f>
        <v/>
      </c>
      <c r="B1034" s="32">
        <f>IF($A1034=1,$E1034&amp;"/1","")</f>
        <v/>
      </c>
      <c r="C1034" s="32">
        <f>IF($A1034=1,"J-"&amp;Expenses!$A20,"")</f>
        <v/>
      </c>
      <c r="D1034" s="33">
        <f>IF($A1034=1,Expenses!$B20,"")</f>
        <v/>
      </c>
      <c r="E1034" s="32">
        <f>IF($A1034=1,IF(Expenses!$A20="","",Expenses!$A20),"")</f>
        <v/>
      </c>
      <c r="F1034" s="32">
        <f>IF($A1034=1,"EXP","")</f>
        <v/>
      </c>
      <c r="G1034" s="32">
        <f>IF($A1034=1,IF(Expenses!$E20="","",Expenses!$E20),"")</f>
        <v/>
      </c>
      <c r="H1034" s="32">
        <f>IF($A1034=1,IF(COUNTIF(COA!$A:$A,$G1034)=0,"حساب غير معرف",INDEX(COA!$B:$B,MATCH($G1034,COA!$A:$A,0))),"")</f>
        <v/>
      </c>
      <c r="I1034" s="32">
        <f>IF($A1034=1,IF(Expenses!$C20="","",Expenses!$C20),"")</f>
        <v/>
      </c>
      <c r="J1034" s="32">
        <f>IF($A1034=1,IF(Expenses!$D20="","",Expenses!$D20),"")</f>
        <v/>
      </c>
      <c r="K1034" s="32">
        <f>IF($A1034=1,"-","")</f>
        <v/>
      </c>
      <c r="L1034" s="32">
        <f>IF($A1034=1,IF(Expenses!$L20="","مصروف - "&amp;Expenses!$J20,Expenses!$L20),"")</f>
        <v/>
      </c>
      <c r="M1034" s="43">
        <f>IF($A1034=1,Expenses!$F20,"")</f>
        <v/>
      </c>
      <c r="N1034" s="43">
        <f>IF($A1034=1,0,"")</f>
        <v/>
      </c>
      <c r="O1034" s="32">
        <f>IF($A1034=1,Expenses!$M20,"")</f>
        <v/>
      </c>
      <c r="P1034" s="32">
        <f>IF($A1034=1,IF(Expenses!$AC20="","",Expenses!$AC20),"")</f>
        <v/>
      </c>
      <c r="Q1034" s="32">
        <f>IF($A1034=1,Expenses!$AE20,"")</f>
        <v/>
      </c>
      <c r="R1034" s="32">
        <f>IF($A1034=1,IF(AND($Q1034=1,COUNTIFS(COA!$A:$A,$G1034,COA!$R:$R,1)=1),1,0),"")</f>
        <v/>
      </c>
      <c r="S1034" s="43">
        <f>IF($A1034=1,IF($R1034=1,N($M1034),0),"")</f>
        <v/>
      </c>
      <c r="T1034" s="43">
        <f>IF($A1034=1,IF($R1034=1,N($N1034),0),"")</f>
        <v/>
      </c>
      <c r="U1034" s="32">
        <f>IF($A1034=1,YEAR($D1034)*100+MONTH($D1034),"")</f>
        <v/>
      </c>
      <c r="V1034" s="32">
        <f>IF($A1034=1,IF(COUNTIF(COA!$A:$A,$G1034)=0,0,INDEX(COA!$H:$H,MATCH($G1034,COA!$A:$A,0))),"")</f>
        <v/>
      </c>
      <c r="W1034" s="32">
        <f>IF($A1034=1,"","")</f>
        <v/>
      </c>
      <c r="X1034" s="32">
        <f>IF($A1034=1,IF($R1034=1,"",IF($O1034=ST_POST,IF($P1034&lt;&gt;"",$P1034,"حساب غير صالح أو غير نشط"),IF($O1034=ST_REV,"معكوس: لا أثر على الدفاتر",IF($O1034=ST_CANC,"ملغى",IF($O1034=ST_APPR,"معتمد ولم يُرحَّل","مسودة"))))),"")</f>
        <v/>
      </c>
      <c r="Y1034" s="32">
        <f>IF($A1034=1,IF(AND($R1034=1,OR(LG_Acct="",$G1034=LG_Acct),OR(LG_Party="",$K1034=LG_Party),OR(LG_Loc="ALL",$I1034=LG_Loc),OR(LG_CC="ALL",$J1034=LG_CC),$D1034&gt;=LG_From,$D1034&lt;=LG_To),$D1034+ROW()/1000000,""),"")</f>
        <v/>
      </c>
      <c r="Z1034" s="32">
        <f>IF($A1034=1,IF(Expenses!$N20="","",Expenses!$N20),"")</f>
        <v/>
      </c>
      <c r="AA1034" s="32">
        <f>IF($A1034=1,IF(Expenses!$O20="","",Expenses!$O20),"")</f>
        <v/>
      </c>
      <c r="AB1034" s="32">
        <f>IF($A1034=1,IF(Expenses!$P20="","",Expenses!$P20),"")</f>
        <v/>
      </c>
      <c r="AC1034" s="32">
        <f>IF($A1034=1,IF(Expenses!$Q20="","",Expenses!$Q20),"")</f>
        <v/>
      </c>
      <c r="AD1034" s="32">
        <f>IF($A1034=1,IF(Expenses!$R20="","",Expenses!$R20),"")</f>
        <v/>
      </c>
      <c r="AE1034" s="32">
        <f>IF($A1034=1,0,"")</f>
        <v/>
      </c>
      <c r="AF1034" s="32" t="inlineStr"/>
    </row>
    <row r="1035">
      <c r="A1035" s="32">
        <f>IF(AND(Expenses!$AB20=1,N(Expenses!$G20)&gt;0),1,0)</f>
        <v/>
      </c>
      <c r="B1035" s="32">
        <f>IF($A1035=1,$E1035&amp;"/2","")</f>
        <v/>
      </c>
      <c r="C1035" s="32">
        <f>IF($A1035=1,"J-"&amp;Expenses!$A20,"")</f>
        <v/>
      </c>
      <c r="D1035" s="33">
        <f>IF($A1035=1,Expenses!$B20,"")</f>
        <v/>
      </c>
      <c r="E1035" s="32">
        <f>IF($A1035=1,IF(Expenses!$A20="","",Expenses!$A20),"")</f>
        <v/>
      </c>
      <c r="F1035" s="32">
        <f>IF($A1035=1,"EXP","")</f>
        <v/>
      </c>
      <c r="G1035" s="32">
        <f>IF($A1035=1,ACC_VAT_IN,"")</f>
        <v/>
      </c>
      <c r="H1035" s="32">
        <f>IF($A1035=1,IF(COUNTIF(COA!$A:$A,$G1035)=0,"حساب غير معرف",INDEX(COA!$B:$B,MATCH($G1035,COA!$A:$A,0))),"")</f>
        <v/>
      </c>
      <c r="I1035" s="32">
        <f>IF($A1035=1,IF(Expenses!$C20="","",Expenses!$C20),"")</f>
        <v/>
      </c>
      <c r="J1035" s="32">
        <f>IF($A1035=1,IF(Expenses!$D20="","",Expenses!$D20),"")</f>
        <v/>
      </c>
      <c r="K1035" s="32">
        <f>IF($A1035=1,"-","")</f>
        <v/>
      </c>
      <c r="L1035" s="32">
        <f>IF($A1035=1,"ضريبة قيمة مضافة - مدخلات","")</f>
        <v/>
      </c>
      <c r="M1035" s="43">
        <f>IF($A1035=1,Expenses!$G20,"")</f>
        <v/>
      </c>
      <c r="N1035" s="43">
        <f>IF($A1035=1,0,"")</f>
        <v/>
      </c>
      <c r="O1035" s="32">
        <f>IF($A1035=1,Expenses!$M20,"")</f>
        <v/>
      </c>
      <c r="P1035" s="32">
        <f>IF($A1035=1,IF(Expenses!$AC20="","",Expenses!$AC20),"")</f>
        <v/>
      </c>
      <c r="Q1035" s="32">
        <f>IF($A1035=1,Expenses!$AE20,"")</f>
        <v/>
      </c>
      <c r="R1035" s="32">
        <f>IF($A1035=1,IF(AND($Q1035=1,COUNTIFS(COA!$A:$A,$G1035,COA!$R:$R,1)=1),1,0),"")</f>
        <v/>
      </c>
      <c r="S1035" s="43">
        <f>IF($A1035=1,IF($R1035=1,N($M1035),0),"")</f>
        <v/>
      </c>
      <c r="T1035" s="43">
        <f>IF($A1035=1,IF($R1035=1,N($N1035),0),"")</f>
        <v/>
      </c>
      <c r="U1035" s="32">
        <f>IF($A1035=1,YEAR($D1035)*100+MONTH($D1035),"")</f>
        <v/>
      </c>
      <c r="V1035" s="32">
        <f>IF($A1035=1,IF(COUNTIF(COA!$A:$A,$G1035)=0,0,INDEX(COA!$H:$H,MATCH($G1035,COA!$A:$A,0))),"")</f>
        <v/>
      </c>
      <c r="W1035" s="32">
        <f>IF($A1035=1,"","")</f>
        <v/>
      </c>
      <c r="X1035" s="32">
        <f>IF($A1035=1,IF($R1035=1,"",IF($O1035=ST_POST,IF($P1035&lt;&gt;"",$P1035,"حساب غير صالح أو غير نشط"),IF($O1035=ST_REV,"معكوس: لا أثر على الدفاتر",IF($O1035=ST_CANC,"ملغى",IF($O1035=ST_APPR,"معتمد ولم يُرحَّل","مسودة"))))),"")</f>
        <v/>
      </c>
      <c r="Y1035" s="32">
        <f>IF($A1035=1,IF(AND($R1035=1,OR(LG_Acct="",$G1035=LG_Acct),OR(LG_Party="",$K1035=LG_Party),OR(LG_Loc="ALL",$I1035=LG_Loc),OR(LG_CC="ALL",$J1035=LG_CC),$D1035&gt;=LG_From,$D1035&lt;=LG_To),$D1035+ROW()/1000000,""),"")</f>
        <v/>
      </c>
      <c r="Z1035" s="32">
        <f>IF($A1035=1,IF(Expenses!$N20="","",Expenses!$N20),"")</f>
        <v/>
      </c>
      <c r="AA1035" s="32">
        <f>IF($A1035=1,IF(Expenses!$O20="","",Expenses!$O20),"")</f>
        <v/>
      </c>
      <c r="AB1035" s="32">
        <f>IF($A1035=1,IF(Expenses!$P20="","",Expenses!$P20),"")</f>
        <v/>
      </c>
      <c r="AC1035" s="32">
        <f>IF($A1035=1,IF(Expenses!$Q20="","",Expenses!$Q20),"")</f>
        <v/>
      </c>
      <c r="AD1035" s="32">
        <f>IF($A1035=1,IF(Expenses!$R20="","",Expenses!$R20),"")</f>
        <v/>
      </c>
      <c r="AE1035" s="32">
        <f>IF($A1035=1,0,"")</f>
        <v/>
      </c>
      <c r="AF1035" s="32" t="inlineStr"/>
    </row>
    <row r="1036">
      <c r="A1036" s="32">
        <f>IF(AND(Expenses!$AB20=1,N(Expenses!$W20)&gt;0),1,0)</f>
        <v/>
      </c>
      <c r="B1036" s="32">
        <f>IF($A1036=1,$E1036&amp;"/3","")</f>
        <v/>
      </c>
      <c r="C1036" s="32">
        <f>IF($A1036=1,"J-"&amp;Expenses!$A20,"")</f>
        <v/>
      </c>
      <c r="D1036" s="33">
        <f>IF($A1036=1,Expenses!$B20,"")</f>
        <v/>
      </c>
      <c r="E1036" s="32">
        <f>IF($A1036=1,IF(Expenses!$A20="","",Expenses!$A20),"")</f>
        <v/>
      </c>
      <c r="F1036" s="32">
        <f>IF($A1036=1,"EXP","")</f>
        <v/>
      </c>
      <c r="G1036" s="32">
        <f>IF($A1036=1,IF(Expenses!$V20="","",Expenses!$V20),"")</f>
        <v/>
      </c>
      <c r="H1036" s="32">
        <f>IF($A1036=1,IF(COUNTIF(COA!$A:$A,$G1036)=0,"حساب غير معرف",INDEX(COA!$B:$B,MATCH($G1036,COA!$A:$A,0))),"")</f>
        <v/>
      </c>
      <c r="I1036" s="32">
        <f>IF($A1036=1,IF(Expenses!$C20="","",Expenses!$C20),"")</f>
        <v/>
      </c>
      <c r="J1036" s="32">
        <f>IF($A1036=1,"CC00","")</f>
        <v/>
      </c>
      <c r="K1036" s="32">
        <f>IF($A1036=1,"-","")</f>
        <v/>
      </c>
      <c r="L1036" s="32">
        <f>IF($A1036=1,IF(Expenses!$L20="","مصروف - "&amp;Expenses!$J20,Expenses!$L20),"")</f>
        <v/>
      </c>
      <c r="M1036" s="43">
        <f>IF($A1036=1,0,"")</f>
        <v/>
      </c>
      <c r="N1036" s="43">
        <f>IF($A1036=1,Expenses!$W20,"")</f>
        <v/>
      </c>
      <c r="O1036" s="32">
        <f>IF($A1036=1,Expenses!$M20,"")</f>
        <v/>
      </c>
      <c r="P1036" s="32">
        <f>IF($A1036=1,IF(Expenses!$AC20="","",Expenses!$AC20),"")</f>
        <v/>
      </c>
      <c r="Q1036" s="32">
        <f>IF($A1036=1,Expenses!$AE20,"")</f>
        <v/>
      </c>
      <c r="R1036" s="32">
        <f>IF($A1036=1,IF(AND($Q1036=1,COUNTIFS(COA!$A:$A,$G1036,COA!$R:$R,1)=1),1,0),"")</f>
        <v/>
      </c>
      <c r="S1036" s="43">
        <f>IF($A1036=1,IF($R1036=1,N($M1036),0),"")</f>
        <v/>
      </c>
      <c r="T1036" s="43">
        <f>IF($A1036=1,IF($R1036=1,N($N1036),0),"")</f>
        <v/>
      </c>
      <c r="U1036" s="32">
        <f>IF($A1036=1,YEAR($D1036)*100+MONTH($D1036),"")</f>
        <v/>
      </c>
      <c r="V1036" s="32">
        <f>IF($A1036=1,IF(COUNTIF(COA!$A:$A,$G1036)=0,0,INDEX(COA!$H:$H,MATCH($G1036,COA!$A:$A,0))),"")</f>
        <v/>
      </c>
      <c r="W1036" s="32">
        <f>IF($A1036=1,"OPERATING","")</f>
        <v/>
      </c>
      <c r="X1036" s="32">
        <f>IF($A1036=1,IF($R1036=1,"",IF($O1036=ST_POST,IF($P1036&lt;&gt;"",$P1036,"حساب غير صالح أو غير نشط"),IF($O1036=ST_REV,"معكوس: لا أثر على الدفاتر",IF($O1036=ST_CANC,"ملغى",IF($O1036=ST_APPR,"معتمد ولم يُرحَّل","مسودة"))))),"")</f>
        <v/>
      </c>
      <c r="Y1036" s="32">
        <f>IF($A1036=1,IF(AND($R1036=1,OR(LG_Acct="",$G1036=LG_Acct),OR(LG_Party="",$K1036=LG_Party),OR(LG_Loc="ALL",$I1036=LG_Loc),OR(LG_CC="ALL",$J1036=LG_CC),$D1036&gt;=LG_From,$D1036&lt;=LG_To),$D1036+ROW()/1000000,""),"")</f>
        <v/>
      </c>
      <c r="Z1036" s="32">
        <f>IF($A1036=1,IF(Expenses!$N20="","",Expenses!$N20),"")</f>
        <v/>
      </c>
      <c r="AA1036" s="32">
        <f>IF($A1036=1,IF(Expenses!$O20="","",Expenses!$O20),"")</f>
        <v/>
      </c>
      <c r="AB1036" s="32">
        <f>IF($A1036=1,IF(Expenses!$P20="","",Expenses!$P20),"")</f>
        <v/>
      </c>
      <c r="AC1036" s="32">
        <f>IF($A1036=1,IF(Expenses!$Q20="","",Expenses!$Q20),"")</f>
        <v/>
      </c>
      <c r="AD1036" s="32">
        <f>IF($A1036=1,IF(Expenses!$R20="","",Expenses!$R20),"")</f>
        <v/>
      </c>
      <c r="AE1036" s="32">
        <f>IF($A1036=1,0,"")</f>
        <v/>
      </c>
      <c r="AF1036" s="32" t="inlineStr"/>
    </row>
    <row r="1037">
      <c r="A1037" s="32">
        <f>IF(AND(Expenses!$AB21=1,N(Expenses!$F21)&gt;0),1,0)</f>
        <v/>
      </c>
      <c r="B1037" s="32">
        <f>IF($A1037=1,$E1037&amp;"/1","")</f>
        <v/>
      </c>
      <c r="C1037" s="32">
        <f>IF($A1037=1,"J-"&amp;Expenses!$A21,"")</f>
        <v/>
      </c>
      <c r="D1037" s="33">
        <f>IF($A1037=1,Expenses!$B21,"")</f>
        <v/>
      </c>
      <c r="E1037" s="32">
        <f>IF($A1037=1,IF(Expenses!$A21="","",Expenses!$A21),"")</f>
        <v/>
      </c>
      <c r="F1037" s="32">
        <f>IF($A1037=1,"EXP","")</f>
        <v/>
      </c>
      <c r="G1037" s="32">
        <f>IF($A1037=1,IF(Expenses!$E21="","",Expenses!$E21),"")</f>
        <v/>
      </c>
      <c r="H1037" s="32">
        <f>IF($A1037=1,IF(COUNTIF(COA!$A:$A,$G1037)=0,"حساب غير معرف",INDEX(COA!$B:$B,MATCH($G1037,COA!$A:$A,0))),"")</f>
        <v/>
      </c>
      <c r="I1037" s="32">
        <f>IF($A1037=1,IF(Expenses!$C21="","",Expenses!$C21),"")</f>
        <v/>
      </c>
      <c r="J1037" s="32">
        <f>IF($A1037=1,IF(Expenses!$D21="","",Expenses!$D21),"")</f>
        <v/>
      </c>
      <c r="K1037" s="32">
        <f>IF($A1037=1,"-","")</f>
        <v/>
      </c>
      <c r="L1037" s="32">
        <f>IF($A1037=1,IF(Expenses!$L21="","مصروف - "&amp;Expenses!$J21,Expenses!$L21),"")</f>
        <v/>
      </c>
      <c r="M1037" s="43">
        <f>IF($A1037=1,Expenses!$F21,"")</f>
        <v/>
      </c>
      <c r="N1037" s="43">
        <f>IF($A1037=1,0,"")</f>
        <v/>
      </c>
      <c r="O1037" s="32">
        <f>IF($A1037=1,Expenses!$M21,"")</f>
        <v/>
      </c>
      <c r="P1037" s="32">
        <f>IF($A1037=1,IF(Expenses!$AC21="","",Expenses!$AC21),"")</f>
        <v/>
      </c>
      <c r="Q1037" s="32">
        <f>IF($A1037=1,Expenses!$AE21,"")</f>
        <v/>
      </c>
      <c r="R1037" s="32">
        <f>IF($A1037=1,IF(AND($Q1037=1,COUNTIFS(COA!$A:$A,$G1037,COA!$R:$R,1)=1),1,0),"")</f>
        <v/>
      </c>
      <c r="S1037" s="43">
        <f>IF($A1037=1,IF($R1037=1,N($M1037),0),"")</f>
        <v/>
      </c>
      <c r="T1037" s="43">
        <f>IF($A1037=1,IF($R1037=1,N($N1037),0),"")</f>
        <v/>
      </c>
      <c r="U1037" s="32">
        <f>IF($A1037=1,YEAR($D1037)*100+MONTH($D1037),"")</f>
        <v/>
      </c>
      <c r="V1037" s="32">
        <f>IF($A1037=1,IF(COUNTIF(COA!$A:$A,$G1037)=0,0,INDEX(COA!$H:$H,MATCH($G1037,COA!$A:$A,0))),"")</f>
        <v/>
      </c>
      <c r="W1037" s="32">
        <f>IF($A1037=1,"","")</f>
        <v/>
      </c>
      <c r="X1037" s="32">
        <f>IF($A1037=1,IF($R1037=1,"",IF($O1037=ST_POST,IF($P1037&lt;&gt;"",$P1037,"حساب غير صالح أو غير نشط"),IF($O1037=ST_REV,"معكوس: لا أثر على الدفاتر",IF($O1037=ST_CANC,"ملغى",IF($O1037=ST_APPR,"معتمد ولم يُرحَّل","مسودة"))))),"")</f>
        <v/>
      </c>
      <c r="Y1037" s="32">
        <f>IF($A1037=1,IF(AND($R1037=1,OR(LG_Acct="",$G1037=LG_Acct),OR(LG_Party="",$K1037=LG_Party),OR(LG_Loc="ALL",$I1037=LG_Loc),OR(LG_CC="ALL",$J1037=LG_CC),$D1037&gt;=LG_From,$D1037&lt;=LG_To),$D1037+ROW()/1000000,""),"")</f>
        <v/>
      </c>
      <c r="Z1037" s="32">
        <f>IF($A1037=1,IF(Expenses!$N21="","",Expenses!$N21),"")</f>
        <v/>
      </c>
      <c r="AA1037" s="32">
        <f>IF($A1037=1,IF(Expenses!$O21="","",Expenses!$O21),"")</f>
        <v/>
      </c>
      <c r="AB1037" s="32">
        <f>IF($A1037=1,IF(Expenses!$P21="","",Expenses!$P21),"")</f>
        <v/>
      </c>
      <c r="AC1037" s="32">
        <f>IF($A1037=1,IF(Expenses!$Q21="","",Expenses!$Q21),"")</f>
        <v/>
      </c>
      <c r="AD1037" s="32">
        <f>IF($A1037=1,IF(Expenses!$R21="","",Expenses!$R21),"")</f>
        <v/>
      </c>
      <c r="AE1037" s="32">
        <f>IF($A1037=1,0,"")</f>
        <v/>
      </c>
      <c r="AF1037" s="32" t="inlineStr"/>
    </row>
    <row r="1038">
      <c r="A1038" s="32">
        <f>IF(AND(Expenses!$AB21=1,N(Expenses!$G21)&gt;0),1,0)</f>
        <v/>
      </c>
      <c r="B1038" s="32">
        <f>IF($A1038=1,$E1038&amp;"/2","")</f>
        <v/>
      </c>
      <c r="C1038" s="32">
        <f>IF($A1038=1,"J-"&amp;Expenses!$A21,"")</f>
        <v/>
      </c>
      <c r="D1038" s="33">
        <f>IF($A1038=1,Expenses!$B21,"")</f>
        <v/>
      </c>
      <c r="E1038" s="32">
        <f>IF($A1038=1,IF(Expenses!$A21="","",Expenses!$A21),"")</f>
        <v/>
      </c>
      <c r="F1038" s="32">
        <f>IF($A1038=1,"EXP","")</f>
        <v/>
      </c>
      <c r="G1038" s="32">
        <f>IF($A1038=1,ACC_VAT_IN,"")</f>
        <v/>
      </c>
      <c r="H1038" s="32">
        <f>IF($A1038=1,IF(COUNTIF(COA!$A:$A,$G1038)=0,"حساب غير معرف",INDEX(COA!$B:$B,MATCH($G1038,COA!$A:$A,0))),"")</f>
        <v/>
      </c>
      <c r="I1038" s="32">
        <f>IF($A1038=1,IF(Expenses!$C21="","",Expenses!$C21),"")</f>
        <v/>
      </c>
      <c r="J1038" s="32">
        <f>IF($A1038=1,IF(Expenses!$D21="","",Expenses!$D21),"")</f>
        <v/>
      </c>
      <c r="K1038" s="32">
        <f>IF($A1038=1,"-","")</f>
        <v/>
      </c>
      <c r="L1038" s="32">
        <f>IF($A1038=1,"ضريبة قيمة مضافة - مدخلات","")</f>
        <v/>
      </c>
      <c r="M1038" s="43">
        <f>IF($A1038=1,Expenses!$G21,"")</f>
        <v/>
      </c>
      <c r="N1038" s="43">
        <f>IF($A1038=1,0,"")</f>
        <v/>
      </c>
      <c r="O1038" s="32">
        <f>IF($A1038=1,Expenses!$M21,"")</f>
        <v/>
      </c>
      <c r="P1038" s="32">
        <f>IF($A1038=1,IF(Expenses!$AC21="","",Expenses!$AC21),"")</f>
        <v/>
      </c>
      <c r="Q1038" s="32">
        <f>IF($A1038=1,Expenses!$AE21,"")</f>
        <v/>
      </c>
      <c r="R1038" s="32">
        <f>IF($A1038=1,IF(AND($Q1038=1,COUNTIFS(COA!$A:$A,$G1038,COA!$R:$R,1)=1),1,0),"")</f>
        <v/>
      </c>
      <c r="S1038" s="43">
        <f>IF($A1038=1,IF($R1038=1,N($M1038),0),"")</f>
        <v/>
      </c>
      <c r="T1038" s="43">
        <f>IF($A1038=1,IF($R1038=1,N($N1038),0),"")</f>
        <v/>
      </c>
      <c r="U1038" s="32">
        <f>IF($A1038=1,YEAR($D1038)*100+MONTH($D1038),"")</f>
        <v/>
      </c>
      <c r="V1038" s="32">
        <f>IF($A1038=1,IF(COUNTIF(COA!$A:$A,$G1038)=0,0,INDEX(COA!$H:$H,MATCH($G1038,COA!$A:$A,0))),"")</f>
        <v/>
      </c>
      <c r="W1038" s="32">
        <f>IF($A1038=1,"","")</f>
        <v/>
      </c>
      <c r="X1038" s="32">
        <f>IF($A1038=1,IF($R1038=1,"",IF($O1038=ST_POST,IF($P1038&lt;&gt;"",$P1038,"حساب غير صالح أو غير نشط"),IF($O1038=ST_REV,"معكوس: لا أثر على الدفاتر",IF($O1038=ST_CANC,"ملغى",IF($O1038=ST_APPR,"معتمد ولم يُرحَّل","مسودة"))))),"")</f>
        <v/>
      </c>
      <c r="Y1038" s="32">
        <f>IF($A1038=1,IF(AND($R1038=1,OR(LG_Acct="",$G1038=LG_Acct),OR(LG_Party="",$K1038=LG_Party),OR(LG_Loc="ALL",$I1038=LG_Loc),OR(LG_CC="ALL",$J1038=LG_CC),$D1038&gt;=LG_From,$D1038&lt;=LG_To),$D1038+ROW()/1000000,""),"")</f>
        <v/>
      </c>
      <c r="Z1038" s="32">
        <f>IF($A1038=1,IF(Expenses!$N21="","",Expenses!$N21),"")</f>
        <v/>
      </c>
      <c r="AA1038" s="32">
        <f>IF($A1038=1,IF(Expenses!$O21="","",Expenses!$O21),"")</f>
        <v/>
      </c>
      <c r="AB1038" s="32">
        <f>IF($A1038=1,IF(Expenses!$P21="","",Expenses!$P21),"")</f>
        <v/>
      </c>
      <c r="AC1038" s="32">
        <f>IF($A1038=1,IF(Expenses!$Q21="","",Expenses!$Q21),"")</f>
        <v/>
      </c>
      <c r="AD1038" s="32">
        <f>IF($A1038=1,IF(Expenses!$R21="","",Expenses!$R21),"")</f>
        <v/>
      </c>
      <c r="AE1038" s="32">
        <f>IF($A1038=1,0,"")</f>
        <v/>
      </c>
      <c r="AF1038" s="32" t="inlineStr"/>
    </row>
    <row r="1039">
      <c r="A1039" s="32">
        <f>IF(AND(Expenses!$AB21=1,N(Expenses!$W21)&gt;0),1,0)</f>
        <v/>
      </c>
      <c r="B1039" s="32">
        <f>IF($A1039=1,$E1039&amp;"/3","")</f>
        <v/>
      </c>
      <c r="C1039" s="32">
        <f>IF($A1039=1,"J-"&amp;Expenses!$A21,"")</f>
        <v/>
      </c>
      <c r="D1039" s="33">
        <f>IF($A1039=1,Expenses!$B21,"")</f>
        <v/>
      </c>
      <c r="E1039" s="32">
        <f>IF($A1039=1,IF(Expenses!$A21="","",Expenses!$A21),"")</f>
        <v/>
      </c>
      <c r="F1039" s="32">
        <f>IF($A1039=1,"EXP","")</f>
        <v/>
      </c>
      <c r="G1039" s="32">
        <f>IF($A1039=1,IF(Expenses!$V21="","",Expenses!$V21),"")</f>
        <v/>
      </c>
      <c r="H1039" s="32">
        <f>IF($A1039=1,IF(COUNTIF(COA!$A:$A,$G1039)=0,"حساب غير معرف",INDEX(COA!$B:$B,MATCH($G1039,COA!$A:$A,0))),"")</f>
        <v/>
      </c>
      <c r="I1039" s="32">
        <f>IF($A1039=1,IF(Expenses!$C21="","",Expenses!$C21),"")</f>
        <v/>
      </c>
      <c r="J1039" s="32">
        <f>IF($A1039=1,"CC00","")</f>
        <v/>
      </c>
      <c r="K1039" s="32">
        <f>IF($A1039=1,"-","")</f>
        <v/>
      </c>
      <c r="L1039" s="32">
        <f>IF($A1039=1,IF(Expenses!$L21="","مصروف - "&amp;Expenses!$J21,Expenses!$L21),"")</f>
        <v/>
      </c>
      <c r="M1039" s="43">
        <f>IF($A1039=1,0,"")</f>
        <v/>
      </c>
      <c r="N1039" s="43">
        <f>IF($A1039=1,Expenses!$W21,"")</f>
        <v/>
      </c>
      <c r="O1039" s="32">
        <f>IF($A1039=1,Expenses!$M21,"")</f>
        <v/>
      </c>
      <c r="P1039" s="32">
        <f>IF($A1039=1,IF(Expenses!$AC21="","",Expenses!$AC21),"")</f>
        <v/>
      </c>
      <c r="Q1039" s="32">
        <f>IF($A1039=1,Expenses!$AE21,"")</f>
        <v/>
      </c>
      <c r="R1039" s="32">
        <f>IF($A1039=1,IF(AND($Q1039=1,COUNTIFS(COA!$A:$A,$G1039,COA!$R:$R,1)=1),1,0),"")</f>
        <v/>
      </c>
      <c r="S1039" s="43">
        <f>IF($A1039=1,IF($R1039=1,N($M1039),0),"")</f>
        <v/>
      </c>
      <c r="T1039" s="43">
        <f>IF($A1039=1,IF($R1039=1,N($N1039),0),"")</f>
        <v/>
      </c>
      <c r="U1039" s="32">
        <f>IF($A1039=1,YEAR($D1039)*100+MONTH($D1039),"")</f>
        <v/>
      </c>
      <c r="V1039" s="32">
        <f>IF($A1039=1,IF(COUNTIF(COA!$A:$A,$G1039)=0,0,INDEX(COA!$H:$H,MATCH($G1039,COA!$A:$A,0))),"")</f>
        <v/>
      </c>
      <c r="W1039" s="32">
        <f>IF($A1039=1,"OPERATING","")</f>
        <v/>
      </c>
      <c r="X1039" s="32">
        <f>IF($A1039=1,IF($R1039=1,"",IF($O1039=ST_POST,IF($P1039&lt;&gt;"",$P1039,"حساب غير صالح أو غير نشط"),IF($O1039=ST_REV,"معكوس: لا أثر على الدفاتر",IF($O1039=ST_CANC,"ملغى",IF($O1039=ST_APPR,"معتمد ولم يُرحَّل","مسودة"))))),"")</f>
        <v/>
      </c>
      <c r="Y1039" s="32">
        <f>IF($A1039=1,IF(AND($R1039=1,OR(LG_Acct="",$G1039=LG_Acct),OR(LG_Party="",$K1039=LG_Party),OR(LG_Loc="ALL",$I1039=LG_Loc),OR(LG_CC="ALL",$J1039=LG_CC),$D1039&gt;=LG_From,$D1039&lt;=LG_To),$D1039+ROW()/1000000,""),"")</f>
        <v/>
      </c>
      <c r="Z1039" s="32">
        <f>IF($A1039=1,IF(Expenses!$N21="","",Expenses!$N21),"")</f>
        <v/>
      </c>
      <c r="AA1039" s="32">
        <f>IF($A1039=1,IF(Expenses!$O21="","",Expenses!$O21),"")</f>
        <v/>
      </c>
      <c r="AB1039" s="32">
        <f>IF($A1039=1,IF(Expenses!$P21="","",Expenses!$P21),"")</f>
        <v/>
      </c>
      <c r="AC1039" s="32">
        <f>IF($A1039=1,IF(Expenses!$Q21="","",Expenses!$Q21),"")</f>
        <v/>
      </c>
      <c r="AD1039" s="32">
        <f>IF($A1039=1,IF(Expenses!$R21="","",Expenses!$R21),"")</f>
        <v/>
      </c>
      <c r="AE1039" s="32">
        <f>IF($A1039=1,0,"")</f>
        <v/>
      </c>
      <c r="AF1039" s="32" t="inlineStr"/>
    </row>
    <row r="1040">
      <c r="A1040" s="32">
        <f>IF(AND(Expenses!$AB22=1,N(Expenses!$F22)&gt;0),1,0)</f>
        <v/>
      </c>
      <c r="B1040" s="32">
        <f>IF($A1040=1,$E1040&amp;"/1","")</f>
        <v/>
      </c>
      <c r="C1040" s="32">
        <f>IF($A1040=1,"J-"&amp;Expenses!$A22,"")</f>
        <v/>
      </c>
      <c r="D1040" s="33">
        <f>IF($A1040=1,Expenses!$B22,"")</f>
        <v/>
      </c>
      <c r="E1040" s="32">
        <f>IF($A1040=1,IF(Expenses!$A22="","",Expenses!$A22),"")</f>
        <v/>
      </c>
      <c r="F1040" s="32">
        <f>IF($A1040=1,"EXP","")</f>
        <v/>
      </c>
      <c r="G1040" s="32">
        <f>IF($A1040=1,IF(Expenses!$E22="","",Expenses!$E22),"")</f>
        <v/>
      </c>
      <c r="H1040" s="32">
        <f>IF($A1040=1,IF(COUNTIF(COA!$A:$A,$G1040)=0,"حساب غير معرف",INDEX(COA!$B:$B,MATCH($G1040,COA!$A:$A,0))),"")</f>
        <v/>
      </c>
      <c r="I1040" s="32">
        <f>IF($A1040=1,IF(Expenses!$C22="","",Expenses!$C22),"")</f>
        <v/>
      </c>
      <c r="J1040" s="32">
        <f>IF($A1040=1,IF(Expenses!$D22="","",Expenses!$D22),"")</f>
        <v/>
      </c>
      <c r="K1040" s="32">
        <f>IF($A1040=1,"-","")</f>
        <v/>
      </c>
      <c r="L1040" s="32">
        <f>IF($A1040=1,IF(Expenses!$L22="","مصروف - "&amp;Expenses!$J22,Expenses!$L22),"")</f>
        <v/>
      </c>
      <c r="M1040" s="43">
        <f>IF($A1040=1,Expenses!$F22,"")</f>
        <v/>
      </c>
      <c r="N1040" s="43">
        <f>IF($A1040=1,0,"")</f>
        <v/>
      </c>
      <c r="O1040" s="32">
        <f>IF($A1040=1,Expenses!$M22,"")</f>
        <v/>
      </c>
      <c r="P1040" s="32">
        <f>IF($A1040=1,IF(Expenses!$AC22="","",Expenses!$AC22),"")</f>
        <v/>
      </c>
      <c r="Q1040" s="32">
        <f>IF($A1040=1,Expenses!$AE22,"")</f>
        <v/>
      </c>
      <c r="R1040" s="32">
        <f>IF($A1040=1,IF(AND($Q1040=1,COUNTIFS(COA!$A:$A,$G1040,COA!$R:$R,1)=1),1,0),"")</f>
        <v/>
      </c>
      <c r="S1040" s="43">
        <f>IF($A1040=1,IF($R1040=1,N($M1040),0),"")</f>
        <v/>
      </c>
      <c r="T1040" s="43">
        <f>IF($A1040=1,IF($R1040=1,N($N1040),0),"")</f>
        <v/>
      </c>
      <c r="U1040" s="32">
        <f>IF($A1040=1,YEAR($D1040)*100+MONTH($D1040),"")</f>
        <v/>
      </c>
      <c r="V1040" s="32">
        <f>IF($A1040=1,IF(COUNTIF(COA!$A:$A,$G1040)=0,0,INDEX(COA!$H:$H,MATCH($G1040,COA!$A:$A,0))),"")</f>
        <v/>
      </c>
      <c r="W1040" s="32">
        <f>IF($A1040=1,"","")</f>
        <v/>
      </c>
      <c r="X1040" s="32">
        <f>IF($A1040=1,IF($R1040=1,"",IF($O1040=ST_POST,IF($P1040&lt;&gt;"",$P1040,"حساب غير صالح أو غير نشط"),IF($O1040=ST_REV,"معكوس: لا أثر على الدفاتر",IF($O1040=ST_CANC,"ملغى",IF($O1040=ST_APPR,"معتمد ولم يُرحَّل","مسودة"))))),"")</f>
        <v/>
      </c>
      <c r="Y1040" s="32">
        <f>IF($A1040=1,IF(AND($R1040=1,OR(LG_Acct="",$G1040=LG_Acct),OR(LG_Party="",$K1040=LG_Party),OR(LG_Loc="ALL",$I1040=LG_Loc),OR(LG_CC="ALL",$J1040=LG_CC),$D1040&gt;=LG_From,$D1040&lt;=LG_To),$D1040+ROW()/1000000,""),"")</f>
        <v/>
      </c>
      <c r="Z1040" s="32">
        <f>IF($A1040=1,IF(Expenses!$N22="","",Expenses!$N22),"")</f>
        <v/>
      </c>
      <c r="AA1040" s="32">
        <f>IF($A1040=1,IF(Expenses!$O22="","",Expenses!$O22),"")</f>
        <v/>
      </c>
      <c r="AB1040" s="32">
        <f>IF($A1040=1,IF(Expenses!$P22="","",Expenses!$P22),"")</f>
        <v/>
      </c>
      <c r="AC1040" s="32">
        <f>IF($A1040=1,IF(Expenses!$Q22="","",Expenses!$Q22),"")</f>
        <v/>
      </c>
      <c r="AD1040" s="32">
        <f>IF($A1040=1,IF(Expenses!$R22="","",Expenses!$R22),"")</f>
        <v/>
      </c>
      <c r="AE1040" s="32">
        <f>IF($A1040=1,0,"")</f>
        <v/>
      </c>
      <c r="AF1040" s="32" t="inlineStr"/>
    </row>
    <row r="1041">
      <c r="A1041" s="32">
        <f>IF(AND(Expenses!$AB22=1,N(Expenses!$G22)&gt;0),1,0)</f>
        <v/>
      </c>
      <c r="B1041" s="32">
        <f>IF($A1041=1,$E1041&amp;"/2","")</f>
        <v/>
      </c>
      <c r="C1041" s="32">
        <f>IF($A1041=1,"J-"&amp;Expenses!$A22,"")</f>
        <v/>
      </c>
      <c r="D1041" s="33">
        <f>IF($A1041=1,Expenses!$B22,"")</f>
        <v/>
      </c>
      <c r="E1041" s="32">
        <f>IF($A1041=1,IF(Expenses!$A22="","",Expenses!$A22),"")</f>
        <v/>
      </c>
      <c r="F1041" s="32">
        <f>IF($A1041=1,"EXP","")</f>
        <v/>
      </c>
      <c r="G1041" s="32">
        <f>IF($A1041=1,ACC_VAT_IN,"")</f>
        <v/>
      </c>
      <c r="H1041" s="32">
        <f>IF($A1041=1,IF(COUNTIF(COA!$A:$A,$G1041)=0,"حساب غير معرف",INDEX(COA!$B:$B,MATCH($G1041,COA!$A:$A,0))),"")</f>
        <v/>
      </c>
      <c r="I1041" s="32">
        <f>IF($A1041=1,IF(Expenses!$C22="","",Expenses!$C22),"")</f>
        <v/>
      </c>
      <c r="J1041" s="32">
        <f>IF($A1041=1,IF(Expenses!$D22="","",Expenses!$D22),"")</f>
        <v/>
      </c>
      <c r="K1041" s="32">
        <f>IF($A1041=1,"-","")</f>
        <v/>
      </c>
      <c r="L1041" s="32">
        <f>IF($A1041=1,"ضريبة قيمة مضافة - مدخلات","")</f>
        <v/>
      </c>
      <c r="M1041" s="43">
        <f>IF($A1041=1,Expenses!$G22,"")</f>
        <v/>
      </c>
      <c r="N1041" s="43">
        <f>IF($A1041=1,0,"")</f>
        <v/>
      </c>
      <c r="O1041" s="32">
        <f>IF($A1041=1,Expenses!$M22,"")</f>
        <v/>
      </c>
      <c r="P1041" s="32">
        <f>IF($A1041=1,IF(Expenses!$AC22="","",Expenses!$AC22),"")</f>
        <v/>
      </c>
      <c r="Q1041" s="32">
        <f>IF($A1041=1,Expenses!$AE22,"")</f>
        <v/>
      </c>
      <c r="R1041" s="32">
        <f>IF($A1041=1,IF(AND($Q1041=1,COUNTIFS(COA!$A:$A,$G1041,COA!$R:$R,1)=1),1,0),"")</f>
        <v/>
      </c>
      <c r="S1041" s="43">
        <f>IF($A1041=1,IF($R1041=1,N($M1041),0),"")</f>
        <v/>
      </c>
      <c r="T1041" s="43">
        <f>IF($A1041=1,IF($R1041=1,N($N1041),0),"")</f>
        <v/>
      </c>
      <c r="U1041" s="32">
        <f>IF($A1041=1,YEAR($D1041)*100+MONTH($D1041),"")</f>
        <v/>
      </c>
      <c r="V1041" s="32">
        <f>IF($A1041=1,IF(COUNTIF(COA!$A:$A,$G1041)=0,0,INDEX(COA!$H:$H,MATCH($G1041,COA!$A:$A,0))),"")</f>
        <v/>
      </c>
      <c r="W1041" s="32">
        <f>IF($A1041=1,"","")</f>
        <v/>
      </c>
      <c r="X1041" s="32">
        <f>IF($A1041=1,IF($R1041=1,"",IF($O1041=ST_POST,IF($P1041&lt;&gt;"",$P1041,"حساب غير صالح أو غير نشط"),IF($O1041=ST_REV,"معكوس: لا أثر على الدفاتر",IF($O1041=ST_CANC,"ملغى",IF($O1041=ST_APPR,"معتمد ولم يُرحَّل","مسودة"))))),"")</f>
        <v/>
      </c>
      <c r="Y1041" s="32">
        <f>IF($A1041=1,IF(AND($R1041=1,OR(LG_Acct="",$G1041=LG_Acct),OR(LG_Party="",$K1041=LG_Party),OR(LG_Loc="ALL",$I1041=LG_Loc),OR(LG_CC="ALL",$J1041=LG_CC),$D1041&gt;=LG_From,$D1041&lt;=LG_To),$D1041+ROW()/1000000,""),"")</f>
        <v/>
      </c>
      <c r="Z1041" s="32">
        <f>IF($A1041=1,IF(Expenses!$N22="","",Expenses!$N22),"")</f>
        <v/>
      </c>
      <c r="AA1041" s="32">
        <f>IF($A1041=1,IF(Expenses!$O22="","",Expenses!$O22),"")</f>
        <v/>
      </c>
      <c r="AB1041" s="32">
        <f>IF($A1041=1,IF(Expenses!$P22="","",Expenses!$P22),"")</f>
        <v/>
      </c>
      <c r="AC1041" s="32">
        <f>IF($A1041=1,IF(Expenses!$Q22="","",Expenses!$Q22),"")</f>
        <v/>
      </c>
      <c r="AD1041" s="32">
        <f>IF($A1041=1,IF(Expenses!$R22="","",Expenses!$R22),"")</f>
        <v/>
      </c>
      <c r="AE1041" s="32">
        <f>IF($A1041=1,0,"")</f>
        <v/>
      </c>
      <c r="AF1041" s="32" t="inlineStr"/>
    </row>
    <row r="1042">
      <c r="A1042" s="32">
        <f>IF(AND(Expenses!$AB22=1,N(Expenses!$W22)&gt;0),1,0)</f>
        <v/>
      </c>
      <c r="B1042" s="32">
        <f>IF($A1042=1,$E1042&amp;"/3","")</f>
        <v/>
      </c>
      <c r="C1042" s="32">
        <f>IF($A1042=1,"J-"&amp;Expenses!$A22,"")</f>
        <v/>
      </c>
      <c r="D1042" s="33">
        <f>IF($A1042=1,Expenses!$B22,"")</f>
        <v/>
      </c>
      <c r="E1042" s="32">
        <f>IF($A1042=1,IF(Expenses!$A22="","",Expenses!$A22),"")</f>
        <v/>
      </c>
      <c r="F1042" s="32">
        <f>IF($A1042=1,"EXP","")</f>
        <v/>
      </c>
      <c r="G1042" s="32">
        <f>IF($A1042=1,IF(Expenses!$V22="","",Expenses!$V22),"")</f>
        <v/>
      </c>
      <c r="H1042" s="32">
        <f>IF($A1042=1,IF(COUNTIF(COA!$A:$A,$G1042)=0,"حساب غير معرف",INDEX(COA!$B:$B,MATCH($G1042,COA!$A:$A,0))),"")</f>
        <v/>
      </c>
      <c r="I1042" s="32">
        <f>IF($A1042=1,IF(Expenses!$C22="","",Expenses!$C22),"")</f>
        <v/>
      </c>
      <c r="J1042" s="32">
        <f>IF($A1042=1,"CC00","")</f>
        <v/>
      </c>
      <c r="K1042" s="32">
        <f>IF($A1042=1,"-","")</f>
        <v/>
      </c>
      <c r="L1042" s="32">
        <f>IF($A1042=1,IF(Expenses!$L22="","مصروف - "&amp;Expenses!$J22,Expenses!$L22),"")</f>
        <v/>
      </c>
      <c r="M1042" s="43">
        <f>IF($A1042=1,0,"")</f>
        <v/>
      </c>
      <c r="N1042" s="43">
        <f>IF($A1042=1,Expenses!$W22,"")</f>
        <v/>
      </c>
      <c r="O1042" s="32">
        <f>IF($A1042=1,Expenses!$M22,"")</f>
        <v/>
      </c>
      <c r="P1042" s="32">
        <f>IF($A1042=1,IF(Expenses!$AC22="","",Expenses!$AC22),"")</f>
        <v/>
      </c>
      <c r="Q1042" s="32">
        <f>IF($A1042=1,Expenses!$AE22,"")</f>
        <v/>
      </c>
      <c r="R1042" s="32">
        <f>IF($A1042=1,IF(AND($Q1042=1,COUNTIFS(COA!$A:$A,$G1042,COA!$R:$R,1)=1),1,0),"")</f>
        <v/>
      </c>
      <c r="S1042" s="43">
        <f>IF($A1042=1,IF($R1042=1,N($M1042),0),"")</f>
        <v/>
      </c>
      <c r="T1042" s="43">
        <f>IF($A1042=1,IF($R1042=1,N($N1042),0),"")</f>
        <v/>
      </c>
      <c r="U1042" s="32">
        <f>IF($A1042=1,YEAR($D1042)*100+MONTH($D1042),"")</f>
        <v/>
      </c>
      <c r="V1042" s="32">
        <f>IF($A1042=1,IF(COUNTIF(COA!$A:$A,$G1042)=0,0,INDEX(COA!$H:$H,MATCH($G1042,COA!$A:$A,0))),"")</f>
        <v/>
      </c>
      <c r="W1042" s="32">
        <f>IF($A1042=1,"OPERATING","")</f>
        <v/>
      </c>
      <c r="X1042" s="32">
        <f>IF($A1042=1,IF($R1042=1,"",IF($O1042=ST_POST,IF($P1042&lt;&gt;"",$P1042,"حساب غير صالح أو غير نشط"),IF($O1042=ST_REV,"معكوس: لا أثر على الدفاتر",IF($O1042=ST_CANC,"ملغى",IF($O1042=ST_APPR,"معتمد ولم يُرحَّل","مسودة"))))),"")</f>
        <v/>
      </c>
      <c r="Y1042" s="32">
        <f>IF($A1042=1,IF(AND($R1042=1,OR(LG_Acct="",$G1042=LG_Acct),OR(LG_Party="",$K1042=LG_Party),OR(LG_Loc="ALL",$I1042=LG_Loc),OR(LG_CC="ALL",$J1042=LG_CC),$D1042&gt;=LG_From,$D1042&lt;=LG_To),$D1042+ROW()/1000000,""),"")</f>
        <v/>
      </c>
      <c r="Z1042" s="32">
        <f>IF($A1042=1,IF(Expenses!$N22="","",Expenses!$N22),"")</f>
        <v/>
      </c>
      <c r="AA1042" s="32">
        <f>IF($A1042=1,IF(Expenses!$O22="","",Expenses!$O22),"")</f>
        <v/>
      </c>
      <c r="AB1042" s="32">
        <f>IF($A1042=1,IF(Expenses!$P22="","",Expenses!$P22),"")</f>
        <v/>
      </c>
      <c r="AC1042" s="32">
        <f>IF($A1042=1,IF(Expenses!$Q22="","",Expenses!$Q22),"")</f>
        <v/>
      </c>
      <c r="AD1042" s="32">
        <f>IF($A1042=1,IF(Expenses!$R22="","",Expenses!$R22),"")</f>
        <v/>
      </c>
      <c r="AE1042" s="32">
        <f>IF($A1042=1,0,"")</f>
        <v/>
      </c>
      <c r="AF1042" s="32" t="inlineStr"/>
    </row>
    <row r="1043">
      <c r="A1043" s="32">
        <f>IF(AND(Expenses!$AB23=1,N(Expenses!$F23)&gt;0),1,0)</f>
        <v/>
      </c>
      <c r="B1043" s="32">
        <f>IF($A1043=1,$E1043&amp;"/1","")</f>
        <v/>
      </c>
      <c r="C1043" s="32">
        <f>IF($A1043=1,"J-"&amp;Expenses!$A23,"")</f>
        <v/>
      </c>
      <c r="D1043" s="33">
        <f>IF($A1043=1,Expenses!$B23,"")</f>
        <v/>
      </c>
      <c r="E1043" s="32">
        <f>IF($A1043=1,IF(Expenses!$A23="","",Expenses!$A23),"")</f>
        <v/>
      </c>
      <c r="F1043" s="32">
        <f>IF($A1043=1,"EXP","")</f>
        <v/>
      </c>
      <c r="G1043" s="32">
        <f>IF($A1043=1,IF(Expenses!$E23="","",Expenses!$E23),"")</f>
        <v/>
      </c>
      <c r="H1043" s="32">
        <f>IF($A1043=1,IF(COUNTIF(COA!$A:$A,$G1043)=0,"حساب غير معرف",INDEX(COA!$B:$B,MATCH($G1043,COA!$A:$A,0))),"")</f>
        <v/>
      </c>
      <c r="I1043" s="32">
        <f>IF($A1043=1,IF(Expenses!$C23="","",Expenses!$C23),"")</f>
        <v/>
      </c>
      <c r="J1043" s="32">
        <f>IF($A1043=1,IF(Expenses!$D23="","",Expenses!$D23),"")</f>
        <v/>
      </c>
      <c r="K1043" s="32">
        <f>IF($A1043=1,"-","")</f>
        <v/>
      </c>
      <c r="L1043" s="32">
        <f>IF($A1043=1,IF(Expenses!$L23="","مصروف - "&amp;Expenses!$J23,Expenses!$L23),"")</f>
        <v/>
      </c>
      <c r="M1043" s="43">
        <f>IF($A1043=1,Expenses!$F23,"")</f>
        <v/>
      </c>
      <c r="N1043" s="43">
        <f>IF($A1043=1,0,"")</f>
        <v/>
      </c>
      <c r="O1043" s="32">
        <f>IF($A1043=1,Expenses!$M23,"")</f>
        <v/>
      </c>
      <c r="P1043" s="32">
        <f>IF($A1043=1,IF(Expenses!$AC23="","",Expenses!$AC23),"")</f>
        <v/>
      </c>
      <c r="Q1043" s="32">
        <f>IF($A1043=1,Expenses!$AE23,"")</f>
        <v/>
      </c>
      <c r="R1043" s="32">
        <f>IF($A1043=1,IF(AND($Q1043=1,COUNTIFS(COA!$A:$A,$G1043,COA!$R:$R,1)=1),1,0),"")</f>
        <v/>
      </c>
      <c r="S1043" s="43">
        <f>IF($A1043=1,IF($R1043=1,N($M1043),0),"")</f>
        <v/>
      </c>
      <c r="T1043" s="43">
        <f>IF($A1043=1,IF($R1043=1,N($N1043),0),"")</f>
        <v/>
      </c>
      <c r="U1043" s="32">
        <f>IF($A1043=1,YEAR($D1043)*100+MONTH($D1043),"")</f>
        <v/>
      </c>
      <c r="V1043" s="32">
        <f>IF($A1043=1,IF(COUNTIF(COA!$A:$A,$G1043)=0,0,INDEX(COA!$H:$H,MATCH($G1043,COA!$A:$A,0))),"")</f>
        <v/>
      </c>
      <c r="W1043" s="32">
        <f>IF($A1043=1,"","")</f>
        <v/>
      </c>
      <c r="X1043" s="32">
        <f>IF($A1043=1,IF($R1043=1,"",IF($O1043=ST_POST,IF($P1043&lt;&gt;"",$P1043,"حساب غير صالح أو غير نشط"),IF($O1043=ST_REV,"معكوس: لا أثر على الدفاتر",IF($O1043=ST_CANC,"ملغى",IF($O1043=ST_APPR,"معتمد ولم يُرحَّل","مسودة"))))),"")</f>
        <v/>
      </c>
      <c r="Y1043" s="32">
        <f>IF($A1043=1,IF(AND($R1043=1,OR(LG_Acct="",$G1043=LG_Acct),OR(LG_Party="",$K1043=LG_Party),OR(LG_Loc="ALL",$I1043=LG_Loc),OR(LG_CC="ALL",$J1043=LG_CC),$D1043&gt;=LG_From,$D1043&lt;=LG_To),$D1043+ROW()/1000000,""),"")</f>
        <v/>
      </c>
      <c r="Z1043" s="32">
        <f>IF($A1043=1,IF(Expenses!$N23="","",Expenses!$N23),"")</f>
        <v/>
      </c>
      <c r="AA1043" s="32">
        <f>IF($A1043=1,IF(Expenses!$O23="","",Expenses!$O23),"")</f>
        <v/>
      </c>
      <c r="AB1043" s="32">
        <f>IF($A1043=1,IF(Expenses!$P23="","",Expenses!$P23),"")</f>
        <v/>
      </c>
      <c r="AC1043" s="32">
        <f>IF($A1043=1,IF(Expenses!$Q23="","",Expenses!$Q23),"")</f>
        <v/>
      </c>
      <c r="AD1043" s="32">
        <f>IF($A1043=1,IF(Expenses!$R23="","",Expenses!$R23),"")</f>
        <v/>
      </c>
      <c r="AE1043" s="32">
        <f>IF($A1043=1,0,"")</f>
        <v/>
      </c>
      <c r="AF1043" s="32" t="inlineStr"/>
    </row>
    <row r="1044">
      <c r="A1044" s="32">
        <f>IF(AND(Expenses!$AB23=1,N(Expenses!$G23)&gt;0),1,0)</f>
        <v/>
      </c>
      <c r="B1044" s="32">
        <f>IF($A1044=1,$E1044&amp;"/2","")</f>
        <v/>
      </c>
      <c r="C1044" s="32">
        <f>IF($A1044=1,"J-"&amp;Expenses!$A23,"")</f>
        <v/>
      </c>
      <c r="D1044" s="33">
        <f>IF($A1044=1,Expenses!$B23,"")</f>
        <v/>
      </c>
      <c r="E1044" s="32">
        <f>IF($A1044=1,IF(Expenses!$A23="","",Expenses!$A23),"")</f>
        <v/>
      </c>
      <c r="F1044" s="32">
        <f>IF($A1044=1,"EXP","")</f>
        <v/>
      </c>
      <c r="G1044" s="32">
        <f>IF($A1044=1,ACC_VAT_IN,"")</f>
        <v/>
      </c>
      <c r="H1044" s="32">
        <f>IF($A1044=1,IF(COUNTIF(COA!$A:$A,$G1044)=0,"حساب غير معرف",INDEX(COA!$B:$B,MATCH($G1044,COA!$A:$A,0))),"")</f>
        <v/>
      </c>
      <c r="I1044" s="32">
        <f>IF($A1044=1,IF(Expenses!$C23="","",Expenses!$C23),"")</f>
        <v/>
      </c>
      <c r="J1044" s="32">
        <f>IF($A1044=1,IF(Expenses!$D23="","",Expenses!$D23),"")</f>
        <v/>
      </c>
      <c r="K1044" s="32">
        <f>IF($A1044=1,"-","")</f>
        <v/>
      </c>
      <c r="L1044" s="32">
        <f>IF($A1044=1,"ضريبة قيمة مضافة - مدخلات","")</f>
        <v/>
      </c>
      <c r="M1044" s="43">
        <f>IF($A1044=1,Expenses!$G23,"")</f>
        <v/>
      </c>
      <c r="N1044" s="43">
        <f>IF($A1044=1,0,"")</f>
        <v/>
      </c>
      <c r="O1044" s="32">
        <f>IF($A1044=1,Expenses!$M23,"")</f>
        <v/>
      </c>
      <c r="P1044" s="32">
        <f>IF($A1044=1,IF(Expenses!$AC23="","",Expenses!$AC23),"")</f>
        <v/>
      </c>
      <c r="Q1044" s="32">
        <f>IF($A1044=1,Expenses!$AE23,"")</f>
        <v/>
      </c>
      <c r="R1044" s="32">
        <f>IF($A1044=1,IF(AND($Q1044=1,COUNTIFS(COA!$A:$A,$G1044,COA!$R:$R,1)=1),1,0),"")</f>
        <v/>
      </c>
      <c r="S1044" s="43">
        <f>IF($A1044=1,IF($R1044=1,N($M1044),0),"")</f>
        <v/>
      </c>
      <c r="T1044" s="43">
        <f>IF($A1044=1,IF($R1044=1,N($N1044),0),"")</f>
        <v/>
      </c>
      <c r="U1044" s="32">
        <f>IF($A1044=1,YEAR($D1044)*100+MONTH($D1044),"")</f>
        <v/>
      </c>
      <c r="V1044" s="32">
        <f>IF($A1044=1,IF(COUNTIF(COA!$A:$A,$G1044)=0,0,INDEX(COA!$H:$H,MATCH($G1044,COA!$A:$A,0))),"")</f>
        <v/>
      </c>
      <c r="W1044" s="32">
        <f>IF($A1044=1,"","")</f>
        <v/>
      </c>
      <c r="X1044" s="32">
        <f>IF($A1044=1,IF($R1044=1,"",IF($O1044=ST_POST,IF($P1044&lt;&gt;"",$P1044,"حساب غير صالح أو غير نشط"),IF($O1044=ST_REV,"معكوس: لا أثر على الدفاتر",IF($O1044=ST_CANC,"ملغى",IF($O1044=ST_APPR,"معتمد ولم يُرحَّل","مسودة"))))),"")</f>
        <v/>
      </c>
      <c r="Y1044" s="32">
        <f>IF($A1044=1,IF(AND($R1044=1,OR(LG_Acct="",$G1044=LG_Acct),OR(LG_Party="",$K1044=LG_Party),OR(LG_Loc="ALL",$I1044=LG_Loc),OR(LG_CC="ALL",$J1044=LG_CC),$D1044&gt;=LG_From,$D1044&lt;=LG_To),$D1044+ROW()/1000000,""),"")</f>
        <v/>
      </c>
      <c r="Z1044" s="32">
        <f>IF($A1044=1,IF(Expenses!$N23="","",Expenses!$N23),"")</f>
        <v/>
      </c>
      <c r="AA1044" s="32">
        <f>IF($A1044=1,IF(Expenses!$O23="","",Expenses!$O23),"")</f>
        <v/>
      </c>
      <c r="AB1044" s="32">
        <f>IF($A1044=1,IF(Expenses!$P23="","",Expenses!$P23),"")</f>
        <v/>
      </c>
      <c r="AC1044" s="32">
        <f>IF($A1044=1,IF(Expenses!$Q23="","",Expenses!$Q23),"")</f>
        <v/>
      </c>
      <c r="AD1044" s="32">
        <f>IF($A1044=1,IF(Expenses!$R23="","",Expenses!$R23),"")</f>
        <v/>
      </c>
      <c r="AE1044" s="32">
        <f>IF($A1044=1,0,"")</f>
        <v/>
      </c>
      <c r="AF1044" s="32" t="inlineStr"/>
    </row>
    <row r="1045">
      <c r="A1045" s="32">
        <f>IF(AND(Expenses!$AB23=1,N(Expenses!$W23)&gt;0),1,0)</f>
        <v/>
      </c>
      <c r="B1045" s="32">
        <f>IF($A1045=1,$E1045&amp;"/3","")</f>
        <v/>
      </c>
      <c r="C1045" s="32">
        <f>IF($A1045=1,"J-"&amp;Expenses!$A23,"")</f>
        <v/>
      </c>
      <c r="D1045" s="33">
        <f>IF($A1045=1,Expenses!$B23,"")</f>
        <v/>
      </c>
      <c r="E1045" s="32">
        <f>IF($A1045=1,IF(Expenses!$A23="","",Expenses!$A23),"")</f>
        <v/>
      </c>
      <c r="F1045" s="32">
        <f>IF($A1045=1,"EXP","")</f>
        <v/>
      </c>
      <c r="G1045" s="32">
        <f>IF($A1045=1,IF(Expenses!$V23="","",Expenses!$V23),"")</f>
        <v/>
      </c>
      <c r="H1045" s="32">
        <f>IF($A1045=1,IF(COUNTIF(COA!$A:$A,$G1045)=0,"حساب غير معرف",INDEX(COA!$B:$B,MATCH($G1045,COA!$A:$A,0))),"")</f>
        <v/>
      </c>
      <c r="I1045" s="32">
        <f>IF($A1045=1,IF(Expenses!$C23="","",Expenses!$C23),"")</f>
        <v/>
      </c>
      <c r="J1045" s="32">
        <f>IF($A1045=1,"CC00","")</f>
        <v/>
      </c>
      <c r="K1045" s="32">
        <f>IF($A1045=1,"-","")</f>
        <v/>
      </c>
      <c r="L1045" s="32">
        <f>IF($A1045=1,IF(Expenses!$L23="","مصروف - "&amp;Expenses!$J23,Expenses!$L23),"")</f>
        <v/>
      </c>
      <c r="M1045" s="43">
        <f>IF($A1045=1,0,"")</f>
        <v/>
      </c>
      <c r="N1045" s="43">
        <f>IF($A1045=1,Expenses!$W23,"")</f>
        <v/>
      </c>
      <c r="O1045" s="32">
        <f>IF($A1045=1,Expenses!$M23,"")</f>
        <v/>
      </c>
      <c r="P1045" s="32">
        <f>IF($A1045=1,IF(Expenses!$AC23="","",Expenses!$AC23),"")</f>
        <v/>
      </c>
      <c r="Q1045" s="32">
        <f>IF($A1045=1,Expenses!$AE23,"")</f>
        <v/>
      </c>
      <c r="R1045" s="32">
        <f>IF($A1045=1,IF(AND($Q1045=1,COUNTIFS(COA!$A:$A,$G1045,COA!$R:$R,1)=1),1,0),"")</f>
        <v/>
      </c>
      <c r="S1045" s="43">
        <f>IF($A1045=1,IF($R1045=1,N($M1045),0),"")</f>
        <v/>
      </c>
      <c r="T1045" s="43">
        <f>IF($A1045=1,IF($R1045=1,N($N1045),0),"")</f>
        <v/>
      </c>
      <c r="U1045" s="32">
        <f>IF($A1045=1,YEAR($D1045)*100+MONTH($D1045),"")</f>
        <v/>
      </c>
      <c r="V1045" s="32">
        <f>IF($A1045=1,IF(COUNTIF(COA!$A:$A,$G1045)=0,0,INDEX(COA!$H:$H,MATCH($G1045,COA!$A:$A,0))),"")</f>
        <v/>
      </c>
      <c r="W1045" s="32">
        <f>IF($A1045=1,"OPERATING","")</f>
        <v/>
      </c>
      <c r="X1045" s="32">
        <f>IF($A1045=1,IF($R1045=1,"",IF($O1045=ST_POST,IF($P1045&lt;&gt;"",$P1045,"حساب غير صالح أو غير نشط"),IF($O1045=ST_REV,"معكوس: لا أثر على الدفاتر",IF($O1045=ST_CANC,"ملغى",IF($O1045=ST_APPR,"معتمد ولم يُرحَّل","مسودة"))))),"")</f>
        <v/>
      </c>
      <c r="Y1045" s="32">
        <f>IF($A1045=1,IF(AND($R1045=1,OR(LG_Acct="",$G1045=LG_Acct),OR(LG_Party="",$K1045=LG_Party),OR(LG_Loc="ALL",$I1045=LG_Loc),OR(LG_CC="ALL",$J1045=LG_CC),$D1045&gt;=LG_From,$D1045&lt;=LG_To),$D1045+ROW()/1000000,""),"")</f>
        <v/>
      </c>
      <c r="Z1045" s="32">
        <f>IF($A1045=1,IF(Expenses!$N23="","",Expenses!$N23),"")</f>
        <v/>
      </c>
      <c r="AA1045" s="32">
        <f>IF($A1045=1,IF(Expenses!$O23="","",Expenses!$O23),"")</f>
        <v/>
      </c>
      <c r="AB1045" s="32">
        <f>IF($A1045=1,IF(Expenses!$P23="","",Expenses!$P23),"")</f>
        <v/>
      </c>
      <c r="AC1045" s="32">
        <f>IF($A1045=1,IF(Expenses!$Q23="","",Expenses!$Q23),"")</f>
        <v/>
      </c>
      <c r="AD1045" s="32">
        <f>IF($A1045=1,IF(Expenses!$R23="","",Expenses!$R23),"")</f>
        <v/>
      </c>
      <c r="AE1045" s="32">
        <f>IF($A1045=1,0,"")</f>
        <v/>
      </c>
      <c r="AF1045" s="32" t="inlineStr"/>
    </row>
    <row r="1046">
      <c r="A1046" s="32">
        <f>IF(AND(Expenses!$AB24=1,N(Expenses!$F24)&gt;0),1,0)</f>
        <v/>
      </c>
      <c r="B1046" s="32">
        <f>IF($A1046=1,$E1046&amp;"/1","")</f>
        <v/>
      </c>
      <c r="C1046" s="32">
        <f>IF($A1046=1,"J-"&amp;Expenses!$A24,"")</f>
        <v/>
      </c>
      <c r="D1046" s="33">
        <f>IF($A1046=1,Expenses!$B24,"")</f>
        <v/>
      </c>
      <c r="E1046" s="32">
        <f>IF($A1046=1,IF(Expenses!$A24="","",Expenses!$A24),"")</f>
        <v/>
      </c>
      <c r="F1046" s="32">
        <f>IF($A1046=1,"EXP","")</f>
        <v/>
      </c>
      <c r="G1046" s="32">
        <f>IF($A1046=1,IF(Expenses!$E24="","",Expenses!$E24),"")</f>
        <v/>
      </c>
      <c r="H1046" s="32">
        <f>IF($A1046=1,IF(COUNTIF(COA!$A:$A,$G1046)=0,"حساب غير معرف",INDEX(COA!$B:$B,MATCH($G1046,COA!$A:$A,0))),"")</f>
        <v/>
      </c>
      <c r="I1046" s="32">
        <f>IF($A1046=1,IF(Expenses!$C24="","",Expenses!$C24),"")</f>
        <v/>
      </c>
      <c r="J1046" s="32">
        <f>IF($A1046=1,IF(Expenses!$D24="","",Expenses!$D24),"")</f>
        <v/>
      </c>
      <c r="K1046" s="32">
        <f>IF($A1046=1,"-","")</f>
        <v/>
      </c>
      <c r="L1046" s="32">
        <f>IF($A1046=1,IF(Expenses!$L24="","مصروف - "&amp;Expenses!$J24,Expenses!$L24),"")</f>
        <v/>
      </c>
      <c r="M1046" s="43">
        <f>IF($A1046=1,Expenses!$F24,"")</f>
        <v/>
      </c>
      <c r="N1046" s="43">
        <f>IF($A1046=1,0,"")</f>
        <v/>
      </c>
      <c r="O1046" s="32">
        <f>IF($A1046=1,Expenses!$M24,"")</f>
        <v/>
      </c>
      <c r="P1046" s="32">
        <f>IF($A1046=1,IF(Expenses!$AC24="","",Expenses!$AC24),"")</f>
        <v/>
      </c>
      <c r="Q1046" s="32">
        <f>IF($A1046=1,Expenses!$AE24,"")</f>
        <v/>
      </c>
      <c r="R1046" s="32">
        <f>IF($A1046=1,IF(AND($Q1046=1,COUNTIFS(COA!$A:$A,$G1046,COA!$R:$R,1)=1),1,0),"")</f>
        <v/>
      </c>
      <c r="S1046" s="43">
        <f>IF($A1046=1,IF($R1046=1,N($M1046),0),"")</f>
        <v/>
      </c>
      <c r="T1046" s="43">
        <f>IF($A1046=1,IF($R1046=1,N($N1046),0),"")</f>
        <v/>
      </c>
      <c r="U1046" s="32">
        <f>IF($A1046=1,YEAR($D1046)*100+MONTH($D1046),"")</f>
        <v/>
      </c>
      <c r="V1046" s="32">
        <f>IF($A1046=1,IF(COUNTIF(COA!$A:$A,$G1046)=0,0,INDEX(COA!$H:$H,MATCH($G1046,COA!$A:$A,0))),"")</f>
        <v/>
      </c>
      <c r="W1046" s="32">
        <f>IF($A1046=1,"","")</f>
        <v/>
      </c>
      <c r="X1046" s="32">
        <f>IF($A1046=1,IF($R1046=1,"",IF($O1046=ST_POST,IF($P1046&lt;&gt;"",$P1046,"حساب غير صالح أو غير نشط"),IF($O1046=ST_REV,"معكوس: لا أثر على الدفاتر",IF($O1046=ST_CANC,"ملغى",IF($O1046=ST_APPR,"معتمد ولم يُرحَّل","مسودة"))))),"")</f>
        <v/>
      </c>
      <c r="Y1046" s="32">
        <f>IF($A1046=1,IF(AND($R1046=1,OR(LG_Acct="",$G1046=LG_Acct),OR(LG_Party="",$K1046=LG_Party),OR(LG_Loc="ALL",$I1046=LG_Loc),OR(LG_CC="ALL",$J1046=LG_CC),$D1046&gt;=LG_From,$D1046&lt;=LG_To),$D1046+ROW()/1000000,""),"")</f>
        <v/>
      </c>
      <c r="Z1046" s="32">
        <f>IF($A1046=1,IF(Expenses!$N24="","",Expenses!$N24),"")</f>
        <v/>
      </c>
      <c r="AA1046" s="32">
        <f>IF($A1046=1,IF(Expenses!$O24="","",Expenses!$O24),"")</f>
        <v/>
      </c>
      <c r="AB1046" s="32">
        <f>IF($A1046=1,IF(Expenses!$P24="","",Expenses!$P24),"")</f>
        <v/>
      </c>
      <c r="AC1046" s="32">
        <f>IF($A1046=1,IF(Expenses!$Q24="","",Expenses!$Q24),"")</f>
        <v/>
      </c>
      <c r="AD1046" s="32">
        <f>IF($A1046=1,IF(Expenses!$R24="","",Expenses!$R24),"")</f>
        <v/>
      </c>
      <c r="AE1046" s="32">
        <f>IF($A1046=1,0,"")</f>
        <v/>
      </c>
      <c r="AF1046" s="32" t="inlineStr"/>
    </row>
    <row r="1047">
      <c r="A1047" s="32">
        <f>IF(AND(Expenses!$AB24=1,N(Expenses!$G24)&gt;0),1,0)</f>
        <v/>
      </c>
      <c r="B1047" s="32">
        <f>IF($A1047=1,$E1047&amp;"/2","")</f>
        <v/>
      </c>
      <c r="C1047" s="32">
        <f>IF($A1047=1,"J-"&amp;Expenses!$A24,"")</f>
        <v/>
      </c>
      <c r="D1047" s="33">
        <f>IF($A1047=1,Expenses!$B24,"")</f>
        <v/>
      </c>
      <c r="E1047" s="32">
        <f>IF($A1047=1,IF(Expenses!$A24="","",Expenses!$A24),"")</f>
        <v/>
      </c>
      <c r="F1047" s="32">
        <f>IF($A1047=1,"EXP","")</f>
        <v/>
      </c>
      <c r="G1047" s="32">
        <f>IF($A1047=1,ACC_VAT_IN,"")</f>
        <v/>
      </c>
      <c r="H1047" s="32">
        <f>IF($A1047=1,IF(COUNTIF(COA!$A:$A,$G1047)=0,"حساب غير معرف",INDEX(COA!$B:$B,MATCH($G1047,COA!$A:$A,0))),"")</f>
        <v/>
      </c>
      <c r="I1047" s="32">
        <f>IF($A1047=1,IF(Expenses!$C24="","",Expenses!$C24),"")</f>
        <v/>
      </c>
      <c r="J1047" s="32">
        <f>IF($A1047=1,IF(Expenses!$D24="","",Expenses!$D24),"")</f>
        <v/>
      </c>
      <c r="K1047" s="32">
        <f>IF($A1047=1,"-","")</f>
        <v/>
      </c>
      <c r="L1047" s="32">
        <f>IF($A1047=1,"ضريبة قيمة مضافة - مدخلات","")</f>
        <v/>
      </c>
      <c r="M1047" s="43">
        <f>IF($A1047=1,Expenses!$G24,"")</f>
        <v/>
      </c>
      <c r="N1047" s="43">
        <f>IF($A1047=1,0,"")</f>
        <v/>
      </c>
      <c r="O1047" s="32">
        <f>IF($A1047=1,Expenses!$M24,"")</f>
        <v/>
      </c>
      <c r="P1047" s="32">
        <f>IF($A1047=1,IF(Expenses!$AC24="","",Expenses!$AC24),"")</f>
        <v/>
      </c>
      <c r="Q1047" s="32">
        <f>IF($A1047=1,Expenses!$AE24,"")</f>
        <v/>
      </c>
      <c r="R1047" s="32">
        <f>IF($A1047=1,IF(AND($Q1047=1,COUNTIFS(COA!$A:$A,$G1047,COA!$R:$R,1)=1),1,0),"")</f>
        <v/>
      </c>
      <c r="S1047" s="43">
        <f>IF($A1047=1,IF($R1047=1,N($M1047),0),"")</f>
        <v/>
      </c>
      <c r="T1047" s="43">
        <f>IF($A1047=1,IF($R1047=1,N($N1047),0),"")</f>
        <v/>
      </c>
      <c r="U1047" s="32">
        <f>IF($A1047=1,YEAR($D1047)*100+MONTH($D1047),"")</f>
        <v/>
      </c>
      <c r="V1047" s="32">
        <f>IF($A1047=1,IF(COUNTIF(COA!$A:$A,$G1047)=0,0,INDEX(COA!$H:$H,MATCH($G1047,COA!$A:$A,0))),"")</f>
        <v/>
      </c>
      <c r="W1047" s="32">
        <f>IF($A1047=1,"","")</f>
        <v/>
      </c>
      <c r="X1047" s="32">
        <f>IF($A1047=1,IF($R1047=1,"",IF($O1047=ST_POST,IF($P1047&lt;&gt;"",$P1047,"حساب غير صالح أو غير نشط"),IF($O1047=ST_REV,"معكوس: لا أثر على الدفاتر",IF($O1047=ST_CANC,"ملغى",IF($O1047=ST_APPR,"معتمد ولم يُرحَّل","مسودة"))))),"")</f>
        <v/>
      </c>
      <c r="Y1047" s="32">
        <f>IF($A1047=1,IF(AND($R1047=1,OR(LG_Acct="",$G1047=LG_Acct),OR(LG_Party="",$K1047=LG_Party),OR(LG_Loc="ALL",$I1047=LG_Loc),OR(LG_CC="ALL",$J1047=LG_CC),$D1047&gt;=LG_From,$D1047&lt;=LG_To),$D1047+ROW()/1000000,""),"")</f>
        <v/>
      </c>
      <c r="Z1047" s="32">
        <f>IF($A1047=1,IF(Expenses!$N24="","",Expenses!$N24),"")</f>
        <v/>
      </c>
      <c r="AA1047" s="32">
        <f>IF($A1047=1,IF(Expenses!$O24="","",Expenses!$O24),"")</f>
        <v/>
      </c>
      <c r="AB1047" s="32">
        <f>IF($A1047=1,IF(Expenses!$P24="","",Expenses!$P24),"")</f>
        <v/>
      </c>
      <c r="AC1047" s="32">
        <f>IF($A1047=1,IF(Expenses!$Q24="","",Expenses!$Q24),"")</f>
        <v/>
      </c>
      <c r="AD1047" s="32">
        <f>IF($A1047=1,IF(Expenses!$R24="","",Expenses!$R24),"")</f>
        <v/>
      </c>
      <c r="AE1047" s="32">
        <f>IF($A1047=1,0,"")</f>
        <v/>
      </c>
      <c r="AF1047" s="32" t="inlineStr"/>
    </row>
    <row r="1048">
      <c r="A1048" s="32">
        <f>IF(AND(Expenses!$AB24=1,N(Expenses!$W24)&gt;0),1,0)</f>
        <v/>
      </c>
      <c r="B1048" s="32">
        <f>IF($A1048=1,$E1048&amp;"/3","")</f>
        <v/>
      </c>
      <c r="C1048" s="32">
        <f>IF($A1048=1,"J-"&amp;Expenses!$A24,"")</f>
        <v/>
      </c>
      <c r="D1048" s="33">
        <f>IF($A1048=1,Expenses!$B24,"")</f>
        <v/>
      </c>
      <c r="E1048" s="32">
        <f>IF($A1048=1,IF(Expenses!$A24="","",Expenses!$A24),"")</f>
        <v/>
      </c>
      <c r="F1048" s="32">
        <f>IF($A1048=1,"EXP","")</f>
        <v/>
      </c>
      <c r="G1048" s="32">
        <f>IF($A1048=1,IF(Expenses!$V24="","",Expenses!$V24),"")</f>
        <v/>
      </c>
      <c r="H1048" s="32">
        <f>IF($A1048=1,IF(COUNTIF(COA!$A:$A,$G1048)=0,"حساب غير معرف",INDEX(COA!$B:$B,MATCH($G1048,COA!$A:$A,0))),"")</f>
        <v/>
      </c>
      <c r="I1048" s="32">
        <f>IF($A1048=1,IF(Expenses!$C24="","",Expenses!$C24),"")</f>
        <v/>
      </c>
      <c r="J1048" s="32">
        <f>IF($A1048=1,"CC00","")</f>
        <v/>
      </c>
      <c r="K1048" s="32">
        <f>IF($A1048=1,"-","")</f>
        <v/>
      </c>
      <c r="L1048" s="32">
        <f>IF($A1048=1,IF(Expenses!$L24="","مصروف - "&amp;Expenses!$J24,Expenses!$L24),"")</f>
        <v/>
      </c>
      <c r="M1048" s="43">
        <f>IF($A1048=1,0,"")</f>
        <v/>
      </c>
      <c r="N1048" s="43">
        <f>IF($A1048=1,Expenses!$W24,"")</f>
        <v/>
      </c>
      <c r="O1048" s="32">
        <f>IF($A1048=1,Expenses!$M24,"")</f>
        <v/>
      </c>
      <c r="P1048" s="32">
        <f>IF($A1048=1,IF(Expenses!$AC24="","",Expenses!$AC24),"")</f>
        <v/>
      </c>
      <c r="Q1048" s="32">
        <f>IF($A1048=1,Expenses!$AE24,"")</f>
        <v/>
      </c>
      <c r="R1048" s="32">
        <f>IF($A1048=1,IF(AND($Q1048=1,COUNTIFS(COA!$A:$A,$G1048,COA!$R:$R,1)=1),1,0),"")</f>
        <v/>
      </c>
      <c r="S1048" s="43">
        <f>IF($A1048=1,IF($R1048=1,N($M1048),0),"")</f>
        <v/>
      </c>
      <c r="T1048" s="43">
        <f>IF($A1048=1,IF($R1048=1,N($N1048),0),"")</f>
        <v/>
      </c>
      <c r="U1048" s="32">
        <f>IF($A1048=1,YEAR($D1048)*100+MONTH($D1048),"")</f>
        <v/>
      </c>
      <c r="V1048" s="32">
        <f>IF($A1048=1,IF(COUNTIF(COA!$A:$A,$G1048)=0,0,INDEX(COA!$H:$H,MATCH($G1048,COA!$A:$A,0))),"")</f>
        <v/>
      </c>
      <c r="W1048" s="32">
        <f>IF($A1048=1,"OPERATING","")</f>
        <v/>
      </c>
      <c r="X1048" s="32">
        <f>IF($A1048=1,IF($R1048=1,"",IF($O1048=ST_POST,IF($P1048&lt;&gt;"",$P1048,"حساب غير صالح أو غير نشط"),IF($O1048=ST_REV,"معكوس: لا أثر على الدفاتر",IF($O1048=ST_CANC,"ملغى",IF($O1048=ST_APPR,"معتمد ولم يُرحَّل","مسودة"))))),"")</f>
        <v/>
      </c>
      <c r="Y1048" s="32">
        <f>IF($A1048=1,IF(AND($R1048=1,OR(LG_Acct="",$G1048=LG_Acct),OR(LG_Party="",$K1048=LG_Party),OR(LG_Loc="ALL",$I1048=LG_Loc),OR(LG_CC="ALL",$J1048=LG_CC),$D1048&gt;=LG_From,$D1048&lt;=LG_To),$D1048+ROW()/1000000,""),"")</f>
        <v/>
      </c>
      <c r="Z1048" s="32">
        <f>IF($A1048=1,IF(Expenses!$N24="","",Expenses!$N24),"")</f>
        <v/>
      </c>
      <c r="AA1048" s="32">
        <f>IF($A1048=1,IF(Expenses!$O24="","",Expenses!$O24),"")</f>
        <v/>
      </c>
      <c r="AB1048" s="32">
        <f>IF($A1048=1,IF(Expenses!$P24="","",Expenses!$P24),"")</f>
        <v/>
      </c>
      <c r="AC1048" s="32">
        <f>IF($A1048=1,IF(Expenses!$Q24="","",Expenses!$Q24),"")</f>
        <v/>
      </c>
      <c r="AD1048" s="32">
        <f>IF($A1048=1,IF(Expenses!$R24="","",Expenses!$R24),"")</f>
        <v/>
      </c>
      <c r="AE1048" s="32">
        <f>IF($A1048=1,0,"")</f>
        <v/>
      </c>
      <c r="AF1048" s="32" t="inlineStr"/>
    </row>
    <row r="1049">
      <c r="A1049" s="32">
        <f>IF(AND(Expenses!$AB25=1,N(Expenses!$F25)&gt;0),1,0)</f>
        <v/>
      </c>
      <c r="B1049" s="32">
        <f>IF($A1049=1,$E1049&amp;"/1","")</f>
        <v/>
      </c>
      <c r="C1049" s="32">
        <f>IF($A1049=1,"J-"&amp;Expenses!$A25,"")</f>
        <v/>
      </c>
      <c r="D1049" s="33">
        <f>IF($A1049=1,Expenses!$B25,"")</f>
        <v/>
      </c>
      <c r="E1049" s="32">
        <f>IF($A1049=1,IF(Expenses!$A25="","",Expenses!$A25),"")</f>
        <v/>
      </c>
      <c r="F1049" s="32">
        <f>IF($A1049=1,"EXP","")</f>
        <v/>
      </c>
      <c r="G1049" s="32">
        <f>IF($A1049=1,IF(Expenses!$E25="","",Expenses!$E25),"")</f>
        <v/>
      </c>
      <c r="H1049" s="32">
        <f>IF($A1049=1,IF(COUNTIF(COA!$A:$A,$G1049)=0,"حساب غير معرف",INDEX(COA!$B:$B,MATCH($G1049,COA!$A:$A,0))),"")</f>
        <v/>
      </c>
      <c r="I1049" s="32">
        <f>IF($A1049=1,IF(Expenses!$C25="","",Expenses!$C25),"")</f>
        <v/>
      </c>
      <c r="J1049" s="32">
        <f>IF($A1049=1,IF(Expenses!$D25="","",Expenses!$D25),"")</f>
        <v/>
      </c>
      <c r="K1049" s="32">
        <f>IF($A1049=1,"-","")</f>
        <v/>
      </c>
      <c r="L1049" s="32">
        <f>IF($A1049=1,IF(Expenses!$L25="","مصروف - "&amp;Expenses!$J25,Expenses!$L25),"")</f>
        <v/>
      </c>
      <c r="M1049" s="43">
        <f>IF($A1049=1,Expenses!$F25,"")</f>
        <v/>
      </c>
      <c r="N1049" s="43">
        <f>IF($A1049=1,0,"")</f>
        <v/>
      </c>
      <c r="O1049" s="32">
        <f>IF($A1049=1,Expenses!$M25,"")</f>
        <v/>
      </c>
      <c r="P1049" s="32">
        <f>IF($A1049=1,IF(Expenses!$AC25="","",Expenses!$AC25),"")</f>
        <v/>
      </c>
      <c r="Q1049" s="32">
        <f>IF($A1049=1,Expenses!$AE25,"")</f>
        <v/>
      </c>
      <c r="R1049" s="32">
        <f>IF($A1049=1,IF(AND($Q1049=1,COUNTIFS(COA!$A:$A,$G1049,COA!$R:$R,1)=1),1,0),"")</f>
        <v/>
      </c>
      <c r="S1049" s="43">
        <f>IF($A1049=1,IF($R1049=1,N($M1049),0),"")</f>
        <v/>
      </c>
      <c r="T1049" s="43">
        <f>IF($A1049=1,IF($R1049=1,N($N1049),0),"")</f>
        <v/>
      </c>
      <c r="U1049" s="32">
        <f>IF($A1049=1,YEAR($D1049)*100+MONTH($D1049),"")</f>
        <v/>
      </c>
      <c r="V1049" s="32">
        <f>IF($A1049=1,IF(COUNTIF(COA!$A:$A,$G1049)=0,0,INDEX(COA!$H:$H,MATCH($G1049,COA!$A:$A,0))),"")</f>
        <v/>
      </c>
      <c r="W1049" s="32">
        <f>IF($A1049=1,"","")</f>
        <v/>
      </c>
      <c r="X1049" s="32">
        <f>IF($A1049=1,IF($R1049=1,"",IF($O1049=ST_POST,IF($P1049&lt;&gt;"",$P1049,"حساب غير صالح أو غير نشط"),IF($O1049=ST_REV,"معكوس: لا أثر على الدفاتر",IF($O1049=ST_CANC,"ملغى",IF($O1049=ST_APPR,"معتمد ولم يُرحَّل","مسودة"))))),"")</f>
        <v/>
      </c>
      <c r="Y1049" s="32">
        <f>IF($A1049=1,IF(AND($R1049=1,OR(LG_Acct="",$G1049=LG_Acct),OR(LG_Party="",$K1049=LG_Party),OR(LG_Loc="ALL",$I1049=LG_Loc),OR(LG_CC="ALL",$J1049=LG_CC),$D1049&gt;=LG_From,$D1049&lt;=LG_To),$D1049+ROW()/1000000,""),"")</f>
        <v/>
      </c>
      <c r="Z1049" s="32">
        <f>IF($A1049=1,IF(Expenses!$N25="","",Expenses!$N25),"")</f>
        <v/>
      </c>
      <c r="AA1049" s="32">
        <f>IF($A1049=1,IF(Expenses!$O25="","",Expenses!$O25),"")</f>
        <v/>
      </c>
      <c r="AB1049" s="32">
        <f>IF($A1049=1,IF(Expenses!$P25="","",Expenses!$P25),"")</f>
        <v/>
      </c>
      <c r="AC1049" s="32">
        <f>IF($A1049=1,IF(Expenses!$Q25="","",Expenses!$Q25),"")</f>
        <v/>
      </c>
      <c r="AD1049" s="32">
        <f>IF($A1049=1,IF(Expenses!$R25="","",Expenses!$R25),"")</f>
        <v/>
      </c>
      <c r="AE1049" s="32">
        <f>IF($A1049=1,0,"")</f>
        <v/>
      </c>
      <c r="AF1049" s="32" t="inlineStr"/>
    </row>
    <row r="1050">
      <c r="A1050" s="32">
        <f>IF(AND(Expenses!$AB25=1,N(Expenses!$G25)&gt;0),1,0)</f>
        <v/>
      </c>
      <c r="B1050" s="32">
        <f>IF($A1050=1,$E1050&amp;"/2","")</f>
        <v/>
      </c>
      <c r="C1050" s="32">
        <f>IF($A1050=1,"J-"&amp;Expenses!$A25,"")</f>
        <v/>
      </c>
      <c r="D1050" s="33">
        <f>IF($A1050=1,Expenses!$B25,"")</f>
        <v/>
      </c>
      <c r="E1050" s="32">
        <f>IF($A1050=1,IF(Expenses!$A25="","",Expenses!$A25),"")</f>
        <v/>
      </c>
      <c r="F1050" s="32">
        <f>IF($A1050=1,"EXP","")</f>
        <v/>
      </c>
      <c r="G1050" s="32">
        <f>IF($A1050=1,ACC_VAT_IN,"")</f>
        <v/>
      </c>
      <c r="H1050" s="32">
        <f>IF($A1050=1,IF(COUNTIF(COA!$A:$A,$G1050)=0,"حساب غير معرف",INDEX(COA!$B:$B,MATCH($G1050,COA!$A:$A,0))),"")</f>
        <v/>
      </c>
      <c r="I1050" s="32">
        <f>IF($A1050=1,IF(Expenses!$C25="","",Expenses!$C25),"")</f>
        <v/>
      </c>
      <c r="J1050" s="32">
        <f>IF($A1050=1,IF(Expenses!$D25="","",Expenses!$D25),"")</f>
        <v/>
      </c>
      <c r="K1050" s="32">
        <f>IF($A1050=1,"-","")</f>
        <v/>
      </c>
      <c r="L1050" s="32">
        <f>IF($A1050=1,"ضريبة قيمة مضافة - مدخلات","")</f>
        <v/>
      </c>
      <c r="M1050" s="43">
        <f>IF($A1050=1,Expenses!$G25,"")</f>
        <v/>
      </c>
      <c r="N1050" s="43">
        <f>IF($A1050=1,0,"")</f>
        <v/>
      </c>
      <c r="O1050" s="32">
        <f>IF($A1050=1,Expenses!$M25,"")</f>
        <v/>
      </c>
      <c r="P1050" s="32">
        <f>IF($A1050=1,IF(Expenses!$AC25="","",Expenses!$AC25),"")</f>
        <v/>
      </c>
      <c r="Q1050" s="32">
        <f>IF($A1050=1,Expenses!$AE25,"")</f>
        <v/>
      </c>
      <c r="R1050" s="32">
        <f>IF($A1050=1,IF(AND($Q1050=1,COUNTIFS(COA!$A:$A,$G1050,COA!$R:$R,1)=1),1,0),"")</f>
        <v/>
      </c>
      <c r="S1050" s="43">
        <f>IF($A1050=1,IF($R1050=1,N($M1050),0),"")</f>
        <v/>
      </c>
      <c r="T1050" s="43">
        <f>IF($A1050=1,IF($R1050=1,N($N1050),0),"")</f>
        <v/>
      </c>
      <c r="U1050" s="32">
        <f>IF($A1050=1,YEAR($D1050)*100+MONTH($D1050),"")</f>
        <v/>
      </c>
      <c r="V1050" s="32">
        <f>IF($A1050=1,IF(COUNTIF(COA!$A:$A,$G1050)=0,0,INDEX(COA!$H:$H,MATCH($G1050,COA!$A:$A,0))),"")</f>
        <v/>
      </c>
      <c r="W1050" s="32">
        <f>IF($A1050=1,"","")</f>
        <v/>
      </c>
      <c r="X1050" s="32">
        <f>IF($A1050=1,IF($R1050=1,"",IF($O1050=ST_POST,IF($P1050&lt;&gt;"",$P1050,"حساب غير صالح أو غير نشط"),IF($O1050=ST_REV,"معكوس: لا أثر على الدفاتر",IF($O1050=ST_CANC,"ملغى",IF($O1050=ST_APPR,"معتمد ولم يُرحَّل","مسودة"))))),"")</f>
        <v/>
      </c>
      <c r="Y1050" s="32">
        <f>IF($A1050=1,IF(AND($R1050=1,OR(LG_Acct="",$G1050=LG_Acct),OR(LG_Party="",$K1050=LG_Party),OR(LG_Loc="ALL",$I1050=LG_Loc),OR(LG_CC="ALL",$J1050=LG_CC),$D1050&gt;=LG_From,$D1050&lt;=LG_To),$D1050+ROW()/1000000,""),"")</f>
        <v/>
      </c>
      <c r="Z1050" s="32">
        <f>IF($A1050=1,IF(Expenses!$N25="","",Expenses!$N25),"")</f>
        <v/>
      </c>
      <c r="AA1050" s="32">
        <f>IF($A1050=1,IF(Expenses!$O25="","",Expenses!$O25),"")</f>
        <v/>
      </c>
      <c r="AB1050" s="32">
        <f>IF($A1050=1,IF(Expenses!$P25="","",Expenses!$P25),"")</f>
        <v/>
      </c>
      <c r="AC1050" s="32">
        <f>IF($A1050=1,IF(Expenses!$Q25="","",Expenses!$Q25),"")</f>
        <v/>
      </c>
      <c r="AD1050" s="32">
        <f>IF($A1050=1,IF(Expenses!$R25="","",Expenses!$R25),"")</f>
        <v/>
      </c>
      <c r="AE1050" s="32">
        <f>IF($A1050=1,0,"")</f>
        <v/>
      </c>
      <c r="AF1050" s="32" t="inlineStr"/>
    </row>
    <row r="1051">
      <c r="A1051" s="32">
        <f>IF(AND(Expenses!$AB25=1,N(Expenses!$W25)&gt;0),1,0)</f>
        <v/>
      </c>
      <c r="B1051" s="32">
        <f>IF($A1051=1,$E1051&amp;"/3","")</f>
        <v/>
      </c>
      <c r="C1051" s="32">
        <f>IF($A1051=1,"J-"&amp;Expenses!$A25,"")</f>
        <v/>
      </c>
      <c r="D1051" s="33">
        <f>IF($A1051=1,Expenses!$B25,"")</f>
        <v/>
      </c>
      <c r="E1051" s="32">
        <f>IF($A1051=1,IF(Expenses!$A25="","",Expenses!$A25),"")</f>
        <v/>
      </c>
      <c r="F1051" s="32">
        <f>IF($A1051=1,"EXP","")</f>
        <v/>
      </c>
      <c r="G1051" s="32">
        <f>IF($A1051=1,IF(Expenses!$V25="","",Expenses!$V25),"")</f>
        <v/>
      </c>
      <c r="H1051" s="32">
        <f>IF($A1051=1,IF(COUNTIF(COA!$A:$A,$G1051)=0,"حساب غير معرف",INDEX(COA!$B:$B,MATCH($G1051,COA!$A:$A,0))),"")</f>
        <v/>
      </c>
      <c r="I1051" s="32">
        <f>IF($A1051=1,IF(Expenses!$C25="","",Expenses!$C25),"")</f>
        <v/>
      </c>
      <c r="J1051" s="32">
        <f>IF($A1051=1,"CC00","")</f>
        <v/>
      </c>
      <c r="K1051" s="32">
        <f>IF($A1051=1,"-","")</f>
        <v/>
      </c>
      <c r="L1051" s="32">
        <f>IF($A1051=1,IF(Expenses!$L25="","مصروف - "&amp;Expenses!$J25,Expenses!$L25),"")</f>
        <v/>
      </c>
      <c r="M1051" s="43">
        <f>IF($A1051=1,0,"")</f>
        <v/>
      </c>
      <c r="N1051" s="43">
        <f>IF($A1051=1,Expenses!$W25,"")</f>
        <v/>
      </c>
      <c r="O1051" s="32">
        <f>IF($A1051=1,Expenses!$M25,"")</f>
        <v/>
      </c>
      <c r="P1051" s="32">
        <f>IF($A1051=1,IF(Expenses!$AC25="","",Expenses!$AC25),"")</f>
        <v/>
      </c>
      <c r="Q1051" s="32">
        <f>IF($A1051=1,Expenses!$AE25,"")</f>
        <v/>
      </c>
      <c r="R1051" s="32">
        <f>IF($A1051=1,IF(AND($Q1051=1,COUNTIFS(COA!$A:$A,$G1051,COA!$R:$R,1)=1),1,0),"")</f>
        <v/>
      </c>
      <c r="S1051" s="43">
        <f>IF($A1051=1,IF($R1051=1,N($M1051),0),"")</f>
        <v/>
      </c>
      <c r="T1051" s="43">
        <f>IF($A1051=1,IF($R1051=1,N($N1051),0),"")</f>
        <v/>
      </c>
      <c r="U1051" s="32">
        <f>IF($A1051=1,YEAR($D1051)*100+MONTH($D1051),"")</f>
        <v/>
      </c>
      <c r="V1051" s="32">
        <f>IF($A1051=1,IF(COUNTIF(COA!$A:$A,$G1051)=0,0,INDEX(COA!$H:$H,MATCH($G1051,COA!$A:$A,0))),"")</f>
        <v/>
      </c>
      <c r="W1051" s="32">
        <f>IF($A1051=1,"OPERATING","")</f>
        <v/>
      </c>
      <c r="X1051" s="32">
        <f>IF($A1051=1,IF($R1051=1,"",IF($O1051=ST_POST,IF($P1051&lt;&gt;"",$P1051,"حساب غير صالح أو غير نشط"),IF($O1051=ST_REV,"معكوس: لا أثر على الدفاتر",IF($O1051=ST_CANC,"ملغى",IF($O1051=ST_APPR,"معتمد ولم يُرحَّل","مسودة"))))),"")</f>
        <v/>
      </c>
      <c r="Y1051" s="32">
        <f>IF($A1051=1,IF(AND($R1051=1,OR(LG_Acct="",$G1051=LG_Acct),OR(LG_Party="",$K1051=LG_Party),OR(LG_Loc="ALL",$I1051=LG_Loc),OR(LG_CC="ALL",$J1051=LG_CC),$D1051&gt;=LG_From,$D1051&lt;=LG_To),$D1051+ROW()/1000000,""),"")</f>
        <v/>
      </c>
      <c r="Z1051" s="32">
        <f>IF($A1051=1,IF(Expenses!$N25="","",Expenses!$N25),"")</f>
        <v/>
      </c>
      <c r="AA1051" s="32">
        <f>IF($A1051=1,IF(Expenses!$O25="","",Expenses!$O25),"")</f>
        <v/>
      </c>
      <c r="AB1051" s="32">
        <f>IF($A1051=1,IF(Expenses!$P25="","",Expenses!$P25),"")</f>
        <v/>
      </c>
      <c r="AC1051" s="32">
        <f>IF($A1051=1,IF(Expenses!$Q25="","",Expenses!$Q25),"")</f>
        <v/>
      </c>
      <c r="AD1051" s="32">
        <f>IF($A1051=1,IF(Expenses!$R25="","",Expenses!$R25),"")</f>
        <v/>
      </c>
      <c r="AE1051" s="32">
        <f>IF($A1051=1,0,"")</f>
        <v/>
      </c>
      <c r="AF1051" s="32" t="inlineStr"/>
    </row>
    <row r="1052">
      <c r="A1052" s="32">
        <f>IF(AND(Expenses!$AB26=1,N(Expenses!$F26)&gt;0),1,0)</f>
        <v/>
      </c>
      <c r="B1052" s="32">
        <f>IF($A1052=1,$E1052&amp;"/1","")</f>
        <v/>
      </c>
      <c r="C1052" s="32">
        <f>IF($A1052=1,"J-"&amp;Expenses!$A26,"")</f>
        <v/>
      </c>
      <c r="D1052" s="33">
        <f>IF($A1052=1,Expenses!$B26,"")</f>
        <v/>
      </c>
      <c r="E1052" s="32">
        <f>IF($A1052=1,IF(Expenses!$A26="","",Expenses!$A26),"")</f>
        <v/>
      </c>
      <c r="F1052" s="32">
        <f>IF($A1052=1,"EXP","")</f>
        <v/>
      </c>
      <c r="G1052" s="32">
        <f>IF($A1052=1,IF(Expenses!$E26="","",Expenses!$E26),"")</f>
        <v/>
      </c>
      <c r="H1052" s="32">
        <f>IF($A1052=1,IF(COUNTIF(COA!$A:$A,$G1052)=0,"حساب غير معرف",INDEX(COA!$B:$B,MATCH($G1052,COA!$A:$A,0))),"")</f>
        <v/>
      </c>
      <c r="I1052" s="32">
        <f>IF($A1052=1,IF(Expenses!$C26="","",Expenses!$C26),"")</f>
        <v/>
      </c>
      <c r="J1052" s="32">
        <f>IF($A1052=1,IF(Expenses!$D26="","",Expenses!$D26),"")</f>
        <v/>
      </c>
      <c r="K1052" s="32">
        <f>IF($A1052=1,"-","")</f>
        <v/>
      </c>
      <c r="L1052" s="32">
        <f>IF($A1052=1,IF(Expenses!$L26="","مصروف - "&amp;Expenses!$J26,Expenses!$L26),"")</f>
        <v/>
      </c>
      <c r="M1052" s="43">
        <f>IF($A1052=1,Expenses!$F26,"")</f>
        <v/>
      </c>
      <c r="N1052" s="43">
        <f>IF($A1052=1,0,"")</f>
        <v/>
      </c>
      <c r="O1052" s="32">
        <f>IF($A1052=1,Expenses!$M26,"")</f>
        <v/>
      </c>
      <c r="P1052" s="32">
        <f>IF($A1052=1,IF(Expenses!$AC26="","",Expenses!$AC26),"")</f>
        <v/>
      </c>
      <c r="Q1052" s="32">
        <f>IF($A1052=1,Expenses!$AE26,"")</f>
        <v/>
      </c>
      <c r="R1052" s="32">
        <f>IF($A1052=1,IF(AND($Q1052=1,COUNTIFS(COA!$A:$A,$G1052,COA!$R:$R,1)=1),1,0),"")</f>
        <v/>
      </c>
      <c r="S1052" s="43">
        <f>IF($A1052=1,IF($R1052=1,N($M1052),0),"")</f>
        <v/>
      </c>
      <c r="T1052" s="43">
        <f>IF($A1052=1,IF($R1052=1,N($N1052),0),"")</f>
        <v/>
      </c>
      <c r="U1052" s="32">
        <f>IF($A1052=1,YEAR($D1052)*100+MONTH($D1052),"")</f>
        <v/>
      </c>
      <c r="V1052" s="32">
        <f>IF($A1052=1,IF(COUNTIF(COA!$A:$A,$G1052)=0,0,INDEX(COA!$H:$H,MATCH($G1052,COA!$A:$A,0))),"")</f>
        <v/>
      </c>
      <c r="W1052" s="32">
        <f>IF($A1052=1,"","")</f>
        <v/>
      </c>
      <c r="X1052" s="32">
        <f>IF($A1052=1,IF($R1052=1,"",IF($O1052=ST_POST,IF($P1052&lt;&gt;"",$P1052,"حساب غير صالح أو غير نشط"),IF($O1052=ST_REV,"معكوس: لا أثر على الدفاتر",IF($O1052=ST_CANC,"ملغى",IF($O1052=ST_APPR,"معتمد ولم يُرحَّل","مسودة"))))),"")</f>
        <v/>
      </c>
      <c r="Y1052" s="32">
        <f>IF($A1052=1,IF(AND($R1052=1,OR(LG_Acct="",$G1052=LG_Acct),OR(LG_Party="",$K1052=LG_Party),OR(LG_Loc="ALL",$I1052=LG_Loc),OR(LG_CC="ALL",$J1052=LG_CC),$D1052&gt;=LG_From,$D1052&lt;=LG_To),$D1052+ROW()/1000000,""),"")</f>
        <v/>
      </c>
      <c r="Z1052" s="32">
        <f>IF($A1052=1,IF(Expenses!$N26="","",Expenses!$N26),"")</f>
        <v/>
      </c>
      <c r="AA1052" s="32">
        <f>IF($A1052=1,IF(Expenses!$O26="","",Expenses!$O26),"")</f>
        <v/>
      </c>
      <c r="AB1052" s="32">
        <f>IF($A1052=1,IF(Expenses!$P26="","",Expenses!$P26),"")</f>
        <v/>
      </c>
      <c r="AC1052" s="32">
        <f>IF($A1052=1,IF(Expenses!$Q26="","",Expenses!$Q26),"")</f>
        <v/>
      </c>
      <c r="AD1052" s="32">
        <f>IF($A1052=1,IF(Expenses!$R26="","",Expenses!$R26),"")</f>
        <v/>
      </c>
      <c r="AE1052" s="32">
        <f>IF($A1052=1,0,"")</f>
        <v/>
      </c>
      <c r="AF1052" s="32" t="inlineStr"/>
    </row>
    <row r="1053">
      <c r="A1053" s="32">
        <f>IF(AND(Expenses!$AB26=1,N(Expenses!$G26)&gt;0),1,0)</f>
        <v/>
      </c>
      <c r="B1053" s="32">
        <f>IF($A1053=1,$E1053&amp;"/2","")</f>
        <v/>
      </c>
      <c r="C1053" s="32">
        <f>IF($A1053=1,"J-"&amp;Expenses!$A26,"")</f>
        <v/>
      </c>
      <c r="D1053" s="33">
        <f>IF($A1053=1,Expenses!$B26,"")</f>
        <v/>
      </c>
      <c r="E1053" s="32">
        <f>IF($A1053=1,IF(Expenses!$A26="","",Expenses!$A26),"")</f>
        <v/>
      </c>
      <c r="F1053" s="32">
        <f>IF($A1053=1,"EXP","")</f>
        <v/>
      </c>
      <c r="G1053" s="32">
        <f>IF($A1053=1,ACC_VAT_IN,"")</f>
        <v/>
      </c>
      <c r="H1053" s="32">
        <f>IF($A1053=1,IF(COUNTIF(COA!$A:$A,$G1053)=0,"حساب غير معرف",INDEX(COA!$B:$B,MATCH($G1053,COA!$A:$A,0))),"")</f>
        <v/>
      </c>
      <c r="I1053" s="32">
        <f>IF($A1053=1,IF(Expenses!$C26="","",Expenses!$C26),"")</f>
        <v/>
      </c>
      <c r="J1053" s="32">
        <f>IF($A1053=1,IF(Expenses!$D26="","",Expenses!$D26),"")</f>
        <v/>
      </c>
      <c r="K1053" s="32">
        <f>IF($A1053=1,"-","")</f>
        <v/>
      </c>
      <c r="L1053" s="32">
        <f>IF($A1053=1,"ضريبة قيمة مضافة - مدخلات","")</f>
        <v/>
      </c>
      <c r="M1053" s="43">
        <f>IF($A1053=1,Expenses!$G26,"")</f>
        <v/>
      </c>
      <c r="N1053" s="43">
        <f>IF($A1053=1,0,"")</f>
        <v/>
      </c>
      <c r="O1053" s="32">
        <f>IF($A1053=1,Expenses!$M26,"")</f>
        <v/>
      </c>
      <c r="P1053" s="32">
        <f>IF($A1053=1,IF(Expenses!$AC26="","",Expenses!$AC26),"")</f>
        <v/>
      </c>
      <c r="Q1053" s="32">
        <f>IF($A1053=1,Expenses!$AE26,"")</f>
        <v/>
      </c>
      <c r="R1053" s="32">
        <f>IF($A1053=1,IF(AND($Q1053=1,COUNTIFS(COA!$A:$A,$G1053,COA!$R:$R,1)=1),1,0),"")</f>
        <v/>
      </c>
      <c r="S1053" s="43">
        <f>IF($A1053=1,IF($R1053=1,N($M1053),0),"")</f>
        <v/>
      </c>
      <c r="T1053" s="43">
        <f>IF($A1053=1,IF($R1053=1,N($N1053),0),"")</f>
        <v/>
      </c>
      <c r="U1053" s="32">
        <f>IF($A1053=1,YEAR($D1053)*100+MONTH($D1053),"")</f>
        <v/>
      </c>
      <c r="V1053" s="32">
        <f>IF($A1053=1,IF(COUNTIF(COA!$A:$A,$G1053)=0,0,INDEX(COA!$H:$H,MATCH($G1053,COA!$A:$A,0))),"")</f>
        <v/>
      </c>
      <c r="W1053" s="32">
        <f>IF($A1053=1,"","")</f>
        <v/>
      </c>
      <c r="X1053" s="32">
        <f>IF($A1053=1,IF($R1053=1,"",IF($O1053=ST_POST,IF($P1053&lt;&gt;"",$P1053,"حساب غير صالح أو غير نشط"),IF($O1053=ST_REV,"معكوس: لا أثر على الدفاتر",IF($O1053=ST_CANC,"ملغى",IF($O1053=ST_APPR,"معتمد ولم يُرحَّل","مسودة"))))),"")</f>
        <v/>
      </c>
      <c r="Y1053" s="32">
        <f>IF($A1053=1,IF(AND($R1053=1,OR(LG_Acct="",$G1053=LG_Acct),OR(LG_Party="",$K1053=LG_Party),OR(LG_Loc="ALL",$I1053=LG_Loc),OR(LG_CC="ALL",$J1053=LG_CC),$D1053&gt;=LG_From,$D1053&lt;=LG_To),$D1053+ROW()/1000000,""),"")</f>
        <v/>
      </c>
      <c r="Z1053" s="32">
        <f>IF($A1053=1,IF(Expenses!$N26="","",Expenses!$N26),"")</f>
        <v/>
      </c>
      <c r="AA1053" s="32">
        <f>IF($A1053=1,IF(Expenses!$O26="","",Expenses!$O26),"")</f>
        <v/>
      </c>
      <c r="AB1053" s="32">
        <f>IF($A1053=1,IF(Expenses!$P26="","",Expenses!$P26),"")</f>
        <v/>
      </c>
      <c r="AC1053" s="32">
        <f>IF($A1053=1,IF(Expenses!$Q26="","",Expenses!$Q26),"")</f>
        <v/>
      </c>
      <c r="AD1053" s="32">
        <f>IF($A1053=1,IF(Expenses!$R26="","",Expenses!$R26),"")</f>
        <v/>
      </c>
      <c r="AE1053" s="32">
        <f>IF($A1053=1,0,"")</f>
        <v/>
      </c>
      <c r="AF1053" s="32" t="inlineStr"/>
    </row>
    <row r="1054">
      <c r="A1054" s="32">
        <f>IF(AND(Expenses!$AB26=1,N(Expenses!$W26)&gt;0),1,0)</f>
        <v/>
      </c>
      <c r="B1054" s="32">
        <f>IF($A1054=1,$E1054&amp;"/3","")</f>
        <v/>
      </c>
      <c r="C1054" s="32">
        <f>IF($A1054=1,"J-"&amp;Expenses!$A26,"")</f>
        <v/>
      </c>
      <c r="D1054" s="33">
        <f>IF($A1054=1,Expenses!$B26,"")</f>
        <v/>
      </c>
      <c r="E1054" s="32">
        <f>IF($A1054=1,IF(Expenses!$A26="","",Expenses!$A26),"")</f>
        <v/>
      </c>
      <c r="F1054" s="32">
        <f>IF($A1054=1,"EXP","")</f>
        <v/>
      </c>
      <c r="G1054" s="32">
        <f>IF($A1054=1,IF(Expenses!$V26="","",Expenses!$V26),"")</f>
        <v/>
      </c>
      <c r="H1054" s="32">
        <f>IF($A1054=1,IF(COUNTIF(COA!$A:$A,$G1054)=0,"حساب غير معرف",INDEX(COA!$B:$B,MATCH($G1054,COA!$A:$A,0))),"")</f>
        <v/>
      </c>
      <c r="I1054" s="32">
        <f>IF($A1054=1,IF(Expenses!$C26="","",Expenses!$C26),"")</f>
        <v/>
      </c>
      <c r="J1054" s="32">
        <f>IF($A1054=1,"CC00","")</f>
        <v/>
      </c>
      <c r="K1054" s="32">
        <f>IF($A1054=1,"-","")</f>
        <v/>
      </c>
      <c r="L1054" s="32">
        <f>IF($A1054=1,IF(Expenses!$L26="","مصروف - "&amp;Expenses!$J26,Expenses!$L26),"")</f>
        <v/>
      </c>
      <c r="M1054" s="43">
        <f>IF($A1054=1,0,"")</f>
        <v/>
      </c>
      <c r="N1054" s="43">
        <f>IF($A1054=1,Expenses!$W26,"")</f>
        <v/>
      </c>
      <c r="O1054" s="32">
        <f>IF($A1054=1,Expenses!$M26,"")</f>
        <v/>
      </c>
      <c r="P1054" s="32">
        <f>IF($A1054=1,IF(Expenses!$AC26="","",Expenses!$AC26),"")</f>
        <v/>
      </c>
      <c r="Q1054" s="32">
        <f>IF($A1054=1,Expenses!$AE26,"")</f>
        <v/>
      </c>
      <c r="R1054" s="32">
        <f>IF($A1054=1,IF(AND($Q1054=1,COUNTIFS(COA!$A:$A,$G1054,COA!$R:$R,1)=1),1,0),"")</f>
        <v/>
      </c>
      <c r="S1054" s="43">
        <f>IF($A1054=1,IF($R1054=1,N($M1054),0),"")</f>
        <v/>
      </c>
      <c r="T1054" s="43">
        <f>IF($A1054=1,IF($R1054=1,N($N1054),0),"")</f>
        <v/>
      </c>
      <c r="U1054" s="32">
        <f>IF($A1054=1,YEAR($D1054)*100+MONTH($D1054),"")</f>
        <v/>
      </c>
      <c r="V1054" s="32">
        <f>IF($A1054=1,IF(COUNTIF(COA!$A:$A,$G1054)=0,0,INDEX(COA!$H:$H,MATCH($G1054,COA!$A:$A,0))),"")</f>
        <v/>
      </c>
      <c r="W1054" s="32">
        <f>IF($A1054=1,"OPERATING","")</f>
        <v/>
      </c>
      <c r="X1054" s="32">
        <f>IF($A1054=1,IF($R1054=1,"",IF($O1054=ST_POST,IF($P1054&lt;&gt;"",$P1054,"حساب غير صالح أو غير نشط"),IF($O1054=ST_REV,"معكوس: لا أثر على الدفاتر",IF($O1054=ST_CANC,"ملغى",IF($O1054=ST_APPR,"معتمد ولم يُرحَّل","مسودة"))))),"")</f>
        <v/>
      </c>
      <c r="Y1054" s="32">
        <f>IF($A1054=1,IF(AND($R1054=1,OR(LG_Acct="",$G1054=LG_Acct),OR(LG_Party="",$K1054=LG_Party),OR(LG_Loc="ALL",$I1054=LG_Loc),OR(LG_CC="ALL",$J1054=LG_CC),$D1054&gt;=LG_From,$D1054&lt;=LG_To),$D1054+ROW()/1000000,""),"")</f>
        <v/>
      </c>
      <c r="Z1054" s="32">
        <f>IF($A1054=1,IF(Expenses!$N26="","",Expenses!$N26),"")</f>
        <v/>
      </c>
      <c r="AA1054" s="32">
        <f>IF($A1054=1,IF(Expenses!$O26="","",Expenses!$O26),"")</f>
        <v/>
      </c>
      <c r="AB1054" s="32">
        <f>IF($A1054=1,IF(Expenses!$P26="","",Expenses!$P26),"")</f>
        <v/>
      </c>
      <c r="AC1054" s="32">
        <f>IF($A1054=1,IF(Expenses!$Q26="","",Expenses!$Q26),"")</f>
        <v/>
      </c>
      <c r="AD1054" s="32">
        <f>IF($A1054=1,IF(Expenses!$R26="","",Expenses!$R26),"")</f>
        <v/>
      </c>
      <c r="AE1054" s="32">
        <f>IF($A1054=1,0,"")</f>
        <v/>
      </c>
      <c r="AF1054" s="32" t="inlineStr"/>
    </row>
    <row r="1055">
      <c r="A1055" s="32">
        <f>IF(AND(Expenses!$AB27=1,N(Expenses!$F27)&gt;0),1,0)</f>
        <v/>
      </c>
      <c r="B1055" s="32">
        <f>IF($A1055=1,$E1055&amp;"/1","")</f>
        <v/>
      </c>
      <c r="C1055" s="32">
        <f>IF($A1055=1,"J-"&amp;Expenses!$A27,"")</f>
        <v/>
      </c>
      <c r="D1055" s="33">
        <f>IF($A1055=1,Expenses!$B27,"")</f>
        <v/>
      </c>
      <c r="E1055" s="32">
        <f>IF($A1055=1,IF(Expenses!$A27="","",Expenses!$A27),"")</f>
        <v/>
      </c>
      <c r="F1055" s="32">
        <f>IF($A1055=1,"EXP","")</f>
        <v/>
      </c>
      <c r="G1055" s="32">
        <f>IF($A1055=1,IF(Expenses!$E27="","",Expenses!$E27),"")</f>
        <v/>
      </c>
      <c r="H1055" s="32">
        <f>IF($A1055=1,IF(COUNTIF(COA!$A:$A,$G1055)=0,"حساب غير معرف",INDEX(COA!$B:$B,MATCH($G1055,COA!$A:$A,0))),"")</f>
        <v/>
      </c>
      <c r="I1055" s="32">
        <f>IF($A1055=1,IF(Expenses!$C27="","",Expenses!$C27),"")</f>
        <v/>
      </c>
      <c r="J1055" s="32">
        <f>IF($A1055=1,IF(Expenses!$D27="","",Expenses!$D27),"")</f>
        <v/>
      </c>
      <c r="K1055" s="32">
        <f>IF($A1055=1,"-","")</f>
        <v/>
      </c>
      <c r="L1055" s="32">
        <f>IF($A1055=1,IF(Expenses!$L27="","مصروف - "&amp;Expenses!$J27,Expenses!$L27),"")</f>
        <v/>
      </c>
      <c r="M1055" s="43">
        <f>IF($A1055=1,Expenses!$F27,"")</f>
        <v/>
      </c>
      <c r="N1055" s="43">
        <f>IF($A1055=1,0,"")</f>
        <v/>
      </c>
      <c r="O1055" s="32">
        <f>IF($A1055=1,Expenses!$M27,"")</f>
        <v/>
      </c>
      <c r="P1055" s="32">
        <f>IF($A1055=1,IF(Expenses!$AC27="","",Expenses!$AC27),"")</f>
        <v/>
      </c>
      <c r="Q1055" s="32">
        <f>IF($A1055=1,Expenses!$AE27,"")</f>
        <v/>
      </c>
      <c r="R1055" s="32">
        <f>IF($A1055=1,IF(AND($Q1055=1,COUNTIFS(COA!$A:$A,$G1055,COA!$R:$R,1)=1),1,0),"")</f>
        <v/>
      </c>
      <c r="S1055" s="43">
        <f>IF($A1055=1,IF($R1055=1,N($M1055),0),"")</f>
        <v/>
      </c>
      <c r="T1055" s="43">
        <f>IF($A1055=1,IF($R1055=1,N($N1055),0),"")</f>
        <v/>
      </c>
      <c r="U1055" s="32">
        <f>IF($A1055=1,YEAR($D1055)*100+MONTH($D1055),"")</f>
        <v/>
      </c>
      <c r="V1055" s="32">
        <f>IF($A1055=1,IF(COUNTIF(COA!$A:$A,$G1055)=0,0,INDEX(COA!$H:$H,MATCH($G1055,COA!$A:$A,0))),"")</f>
        <v/>
      </c>
      <c r="W1055" s="32">
        <f>IF($A1055=1,"","")</f>
        <v/>
      </c>
      <c r="X1055" s="32">
        <f>IF($A1055=1,IF($R1055=1,"",IF($O1055=ST_POST,IF($P1055&lt;&gt;"",$P1055,"حساب غير صالح أو غير نشط"),IF($O1055=ST_REV,"معكوس: لا أثر على الدفاتر",IF($O1055=ST_CANC,"ملغى",IF($O1055=ST_APPR,"معتمد ولم يُرحَّل","مسودة"))))),"")</f>
        <v/>
      </c>
      <c r="Y1055" s="32">
        <f>IF($A1055=1,IF(AND($R1055=1,OR(LG_Acct="",$G1055=LG_Acct),OR(LG_Party="",$K1055=LG_Party),OR(LG_Loc="ALL",$I1055=LG_Loc),OR(LG_CC="ALL",$J1055=LG_CC),$D1055&gt;=LG_From,$D1055&lt;=LG_To),$D1055+ROW()/1000000,""),"")</f>
        <v/>
      </c>
      <c r="Z1055" s="32">
        <f>IF($A1055=1,IF(Expenses!$N27="","",Expenses!$N27),"")</f>
        <v/>
      </c>
      <c r="AA1055" s="32">
        <f>IF($A1055=1,IF(Expenses!$O27="","",Expenses!$O27),"")</f>
        <v/>
      </c>
      <c r="AB1055" s="32">
        <f>IF($A1055=1,IF(Expenses!$P27="","",Expenses!$P27),"")</f>
        <v/>
      </c>
      <c r="AC1055" s="32">
        <f>IF($A1055=1,IF(Expenses!$Q27="","",Expenses!$Q27),"")</f>
        <v/>
      </c>
      <c r="AD1055" s="32">
        <f>IF($A1055=1,IF(Expenses!$R27="","",Expenses!$R27),"")</f>
        <v/>
      </c>
      <c r="AE1055" s="32">
        <f>IF($A1055=1,0,"")</f>
        <v/>
      </c>
      <c r="AF1055" s="32" t="inlineStr"/>
    </row>
    <row r="1056">
      <c r="A1056" s="32">
        <f>IF(AND(Expenses!$AB27=1,N(Expenses!$G27)&gt;0),1,0)</f>
        <v/>
      </c>
      <c r="B1056" s="32">
        <f>IF($A1056=1,$E1056&amp;"/2","")</f>
        <v/>
      </c>
      <c r="C1056" s="32">
        <f>IF($A1056=1,"J-"&amp;Expenses!$A27,"")</f>
        <v/>
      </c>
      <c r="D1056" s="33">
        <f>IF($A1056=1,Expenses!$B27,"")</f>
        <v/>
      </c>
      <c r="E1056" s="32">
        <f>IF($A1056=1,IF(Expenses!$A27="","",Expenses!$A27),"")</f>
        <v/>
      </c>
      <c r="F1056" s="32">
        <f>IF($A1056=1,"EXP","")</f>
        <v/>
      </c>
      <c r="G1056" s="32">
        <f>IF($A1056=1,ACC_VAT_IN,"")</f>
        <v/>
      </c>
      <c r="H1056" s="32">
        <f>IF($A1056=1,IF(COUNTIF(COA!$A:$A,$G1056)=0,"حساب غير معرف",INDEX(COA!$B:$B,MATCH($G1056,COA!$A:$A,0))),"")</f>
        <v/>
      </c>
      <c r="I1056" s="32">
        <f>IF($A1056=1,IF(Expenses!$C27="","",Expenses!$C27),"")</f>
        <v/>
      </c>
      <c r="J1056" s="32">
        <f>IF($A1056=1,IF(Expenses!$D27="","",Expenses!$D27),"")</f>
        <v/>
      </c>
      <c r="K1056" s="32">
        <f>IF($A1056=1,"-","")</f>
        <v/>
      </c>
      <c r="L1056" s="32">
        <f>IF($A1056=1,"ضريبة قيمة مضافة - مدخلات","")</f>
        <v/>
      </c>
      <c r="M1056" s="43">
        <f>IF($A1056=1,Expenses!$G27,"")</f>
        <v/>
      </c>
      <c r="N1056" s="43">
        <f>IF($A1056=1,0,"")</f>
        <v/>
      </c>
      <c r="O1056" s="32">
        <f>IF($A1056=1,Expenses!$M27,"")</f>
        <v/>
      </c>
      <c r="P1056" s="32">
        <f>IF($A1056=1,IF(Expenses!$AC27="","",Expenses!$AC27),"")</f>
        <v/>
      </c>
      <c r="Q1056" s="32">
        <f>IF($A1056=1,Expenses!$AE27,"")</f>
        <v/>
      </c>
      <c r="R1056" s="32">
        <f>IF($A1056=1,IF(AND($Q1056=1,COUNTIFS(COA!$A:$A,$G1056,COA!$R:$R,1)=1),1,0),"")</f>
        <v/>
      </c>
      <c r="S1056" s="43">
        <f>IF($A1056=1,IF($R1056=1,N($M1056),0),"")</f>
        <v/>
      </c>
      <c r="T1056" s="43">
        <f>IF($A1056=1,IF($R1056=1,N($N1056),0),"")</f>
        <v/>
      </c>
      <c r="U1056" s="32">
        <f>IF($A1056=1,YEAR($D1056)*100+MONTH($D1056),"")</f>
        <v/>
      </c>
      <c r="V1056" s="32">
        <f>IF($A1056=1,IF(COUNTIF(COA!$A:$A,$G1056)=0,0,INDEX(COA!$H:$H,MATCH($G1056,COA!$A:$A,0))),"")</f>
        <v/>
      </c>
      <c r="W1056" s="32">
        <f>IF($A1056=1,"","")</f>
        <v/>
      </c>
      <c r="X1056" s="32">
        <f>IF($A1056=1,IF($R1056=1,"",IF($O1056=ST_POST,IF($P1056&lt;&gt;"",$P1056,"حساب غير صالح أو غير نشط"),IF($O1056=ST_REV,"معكوس: لا أثر على الدفاتر",IF($O1056=ST_CANC,"ملغى",IF($O1056=ST_APPR,"معتمد ولم يُرحَّل","مسودة"))))),"")</f>
        <v/>
      </c>
      <c r="Y1056" s="32">
        <f>IF($A1056=1,IF(AND($R1056=1,OR(LG_Acct="",$G1056=LG_Acct),OR(LG_Party="",$K1056=LG_Party),OR(LG_Loc="ALL",$I1056=LG_Loc),OR(LG_CC="ALL",$J1056=LG_CC),$D1056&gt;=LG_From,$D1056&lt;=LG_To),$D1056+ROW()/1000000,""),"")</f>
        <v/>
      </c>
      <c r="Z1056" s="32">
        <f>IF($A1056=1,IF(Expenses!$N27="","",Expenses!$N27),"")</f>
        <v/>
      </c>
      <c r="AA1056" s="32">
        <f>IF($A1056=1,IF(Expenses!$O27="","",Expenses!$O27),"")</f>
        <v/>
      </c>
      <c r="AB1056" s="32">
        <f>IF($A1056=1,IF(Expenses!$P27="","",Expenses!$P27),"")</f>
        <v/>
      </c>
      <c r="AC1056" s="32">
        <f>IF($A1056=1,IF(Expenses!$Q27="","",Expenses!$Q27),"")</f>
        <v/>
      </c>
      <c r="AD1056" s="32">
        <f>IF($A1056=1,IF(Expenses!$R27="","",Expenses!$R27),"")</f>
        <v/>
      </c>
      <c r="AE1056" s="32">
        <f>IF($A1056=1,0,"")</f>
        <v/>
      </c>
      <c r="AF1056" s="32" t="inlineStr"/>
    </row>
    <row r="1057">
      <c r="A1057" s="32">
        <f>IF(AND(Expenses!$AB27=1,N(Expenses!$W27)&gt;0),1,0)</f>
        <v/>
      </c>
      <c r="B1057" s="32">
        <f>IF($A1057=1,$E1057&amp;"/3","")</f>
        <v/>
      </c>
      <c r="C1057" s="32">
        <f>IF($A1057=1,"J-"&amp;Expenses!$A27,"")</f>
        <v/>
      </c>
      <c r="D1057" s="33">
        <f>IF($A1057=1,Expenses!$B27,"")</f>
        <v/>
      </c>
      <c r="E1057" s="32">
        <f>IF($A1057=1,IF(Expenses!$A27="","",Expenses!$A27),"")</f>
        <v/>
      </c>
      <c r="F1057" s="32">
        <f>IF($A1057=1,"EXP","")</f>
        <v/>
      </c>
      <c r="G1057" s="32">
        <f>IF($A1057=1,IF(Expenses!$V27="","",Expenses!$V27),"")</f>
        <v/>
      </c>
      <c r="H1057" s="32">
        <f>IF($A1057=1,IF(COUNTIF(COA!$A:$A,$G1057)=0,"حساب غير معرف",INDEX(COA!$B:$B,MATCH($G1057,COA!$A:$A,0))),"")</f>
        <v/>
      </c>
      <c r="I1057" s="32">
        <f>IF($A1057=1,IF(Expenses!$C27="","",Expenses!$C27),"")</f>
        <v/>
      </c>
      <c r="J1057" s="32">
        <f>IF($A1057=1,"CC00","")</f>
        <v/>
      </c>
      <c r="K1057" s="32">
        <f>IF($A1057=1,"-","")</f>
        <v/>
      </c>
      <c r="L1057" s="32">
        <f>IF($A1057=1,IF(Expenses!$L27="","مصروف - "&amp;Expenses!$J27,Expenses!$L27),"")</f>
        <v/>
      </c>
      <c r="M1057" s="43">
        <f>IF($A1057=1,0,"")</f>
        <v/>
      </c>
      <c r="N1057" s="43">
        <f>IF($A1057=1,Expenses!$W27,"")</f>
        <v/>
      </c>
      <c r="O1057" s="32">
        <f>IF($A1057=1,Expenses!$M27,"")</f>
        <v/>
      </c>
      <c r="P1057" s="32">
        <f>IF($A1057=1,IF(Expenses!$AC27="","",Expenses!$AC27),"")</f>
        <v/>
      </c>
      <c r="Q1057" s="32">
        <f>IF($A1057=1,Expenses!$AE27,"")</f>
        <v/>
      </c>
      <c r="R1057" s="32">
        <f>IF($A1057=1,IF(AND($Q1057=1,COUNTIFS(COA!$A:$A,$G1057,COA!$R:$R,1)=1),1,0),"")</f>
        <v/>
      </c>
      <c r="S1057" s="43">
        <f>IF($A1057=1,IF($R1057=1,N($M1057),0),"")</f>
        <v/>
      </c>
      <c r="T1057" s="43">
        <f>IF($A1057=1,IF($R1057=1,N($N1057),0),"")</f>
        <v/>
      </c>
      <c r="U1057" s="32">
        <f>IF($A1057=1,YEAR($D1057)*100+MONTH($D1057),"")</f>
        <v/>
      </c>
      <c r="V1057" s="32">
        <f>IF($A1057=1,IF(COUNTIF(COA!$A:$A,$G1057)=0,0,INDEX(COA!$H:$H,MATCH($G1057,COA!$A:$A,0))),"")</f>
        <v/>
      </c>
      <c r="W1057" s="32">
        <f>IF($A1057=1,"OPERATING","")</f>
        <v/>
      </c>
      <c r="X1057" s="32">
        <f>IF($A1057=1,IF($R1057=1,"",IF($O1057=ST_POST,IF($P1057&lt;&gt;"",$P1057,"حساب غير صالح أو غير نشط"),IF($O1057=ST_REV,"معكوس: لا أثر على الدفاتر",IF($O1057=ST_CANC,"ملغى",IF($O1057=ST_APPR,"معتمد ولم يُرحَّل","مسودة"))))),"")</f>
        <v/>
      </c>
      <c r="Y1057" s="32">
        <f>IF($A1057=1,IF(AND($R1057=1,OR(LG_Acct="",$G1057=LG_Acct),OR(LG_Party="",$K1057=LG_Party),OR(LG_Loc="ALL",$I1057=LG_Loc),OR(LG_CC="ALL",$J1057=LG_CC),$D1057&gt;=LG_From,$D1057&lt;=LG_To),$D1057+ROW()/1000000,""),"")</f>
        <v/>
      </c>
      <c r="Z1057" s="32">
        <f>IF($A1057=1,IF(Expenses!$N27="","",Expenses!$N27),"")</f>
        <v/>
      </c>
      <c r="AA1057" s="32">
        <f>IF($A1057=1,IF(Expenses!$O27="","",Expenses!$O27),"")</f>
        <v/>
      </c>
      <c r="AB1057" s="32">
        <f>IF($A1057=1,IF(Expenses!$P27="","",Expenses!$P27),"")</f>
        <v/>
      </c>
      <c r="AC1057" s="32">
        <f>IF($A1057=1,IF(Expenses!$Q27="","",Expenses!$Q27),"")</f>
        <v/>
      </c>
      <c r="AD1057" s="32">
        <f>IF($A1057=1,IF(Expenses!$R27="","",Expenses!$R27),"")</f>
        <v/>
      </c>
      <c r="AE1057" s="32">
        <f>IF($A1057=1,0,"")</f>
        <v/>
      </c>
      <c r="AF1057" s="32" t="inlineStr"/>
    </row>
    <row r="1058">
      <c r="A1058" s="32">
        <f>IF(AND(Expenses!$AB28=1,N(Expenses!$F28)&gt;0),1,0)</f>
        <v/>
      </c>
      <c r="B1058" s="32">
        <f>IF($A1058=1,$E1058&amp;"/1","")</f>
        <v/>
      </c>
      <c r="C1058" s="32">
        <f>IF($A1058=1,"J-"&amp;Expenses!$A28,"")</f>
        <v/>
      </c>
      <c r="D1058" s="33">
        <f>IF($A1058=1,Expenses!$B28,"")</f>
        <v/>
      </c>
      <c r="E1058" s="32">
        <f>IF($A1058=1,IF(Expenses!$A28="","",Expenses!$A28),"")</f>
        <v/>
      </c>
      <c r="F1058" s="32">
        <f>IF($A1058=1,"EXP","")</f>
        <v/>
      </c>
      <c r="G1058" s="32">
        <f>IF($A1058=1,IF(Expenses!$E28="","",Expenses!$E28),"")</f>
        <v/>
      </c>
      <c r="H1058" s="32">
        <f>IF($A1058=1,IF(COUNTIF(COA!$A:$A,$G1058)=0,"حساب غير معرف",INDEX(COA!$B:$B,MATCH($G1058,COA!$A:$A,0))),"")</f>
        <v/>
      </c>
      <c r="I1058" s="32">
        <f>IF($A1058=1,IF(Expenses!$C28="","",Expenses!$C28),"")</f>
        <v/>
      </c>
      <c r="J1058" s="32">
        <f>IF($A1058=1,IF(Expenses!$D28="","",Expenses!$D28),"")</f>
        <v/>
      </c>
      <c r="K1058" s="32">
        <f>IF($A1058=1,"-","")</f>
        <v/>
      </c>
      <c r="L1058" s="32">
        <f>IF($A1058=1,IF(Expenses!$L28="","مصروف - "&amp;Expenses!$J28,Expenses!$L28),"")</f>
        <v/>
      </c>
      <c r="M1058" s="43">
        <f>IF($A1058=1,Expenses!$F28,"")</f>
        <v/>
      </c>
      <c r="N1058" s="43">
        <f>IF($A1058=1,0,"")</f>
        <v/>
      </c>
      <c r="O1058" s="32">
        <f>IF($A1058=1,Expenses!$M28,"")</f>
        <v/>
      </c>
      <c r="P1058" s="32">
        <f>IF($A1058=1,IF(Expenses!$AC28="","",Expenses!$AC28),"")</f>
        <v/>
      </c>
      <c r="Q1058" s="32">
        <f>IF($A1058=1,Expenses!$AE28,"")</f>
        <v/>
      </c>
      <c r="R1058" s="32">
        <f>IF($A1058=1,IF(AND($Q1058=1,COUNTIFS(COA!$A:$A,$G1058,COA!$R:$R,1)=1),1,0),"")</f>
        <v/>
      </c>
      <c r="S1058" s="43">
        <f>IF($A1058=1,IF($R1058=1,N($M1058),0),"")</f>
        <v/>
      </c>
      <c r="T1058" s="43">
        <f>IF($A1058=1,IF($R1058=1,N($N1058),0),"")</f>
        <v/>
      </c>
      <c r="U1058" s="32">
        <f>IF($A1058=1,YEAR($D1058)*100+MONTH($D1058),"")</f>
        <v/>
      </c>
      <c r="V1058" s="32">
        <f>IF($A1058=1,IF(COUNTIF(COA!$A:$A,$G1058)=0,0,INDEX(COA!$H:$H,MATCH($G1058,COA!$A:$A,0))),"")</f>
        <v/>
      </c>
      <c r="W1058" s="32">
        <f>IF($A1058=1,"","")</f>
        <v/>
      </c>
      <c r="X1058" s="32">
        <f>IF($A1058=1,IF($R1058=1,"",IF($O1058=ST_POST,IF($P1058&lt;&gt;"",$P1058,"حساب غير صالح أو غير نشط"),IF($O1058=ST_REV,"معكوس: لا أثر على الدفاتر",IF($O1058=ST_CANC,"ملغى",IF($O1058=ST_APPR,"معتمد ولم يُرحَّل","مسودة"))))),"")</f>
        <v/>
      </c>
      <c r="Y1058" s="32">
        <f>IF($A1058=1,IF(AND($R1058=1,OR(LG_Acct="",$G1058=LG_Acct),OR(LG_Party="",$K1058=LG_Party),OR(LG_Loc="ALL",$I1058=LG_Loc),OR(LG_CC="ALL",$J1058=LG_CC),$D1058&gt;=LG_From,$D1058&lt;=LG_To),$D1058+ROW()/1000000,""),"")</f>
        <v/>
      </c>
      <c r="Z1058" s="32">
        <f>IF($A1058=1,IF(Expenses!$N28="","",Expenses!$N28),"")</f>
        <v/>
      </c>
      <c r="AA1058" s="32">
        <f>IF($A1058=1,IF(Expenses!$O28="","",Expenses!$O28),"")</f>
        <v/>
      </c>
      <c r="AB1058" s="32">
        <f>IF($A1058=1,IF(Expenses!$P28="","",Expenses!$P28),"")</f>
        <v/>
      </c>
      <c r="AC1058" s="32">
        <f>IF($A1058=1,IF(Expenses!$Q28="","",Expenses!$Q28),"")</f>
        <v/>
      </c>
      <c r="AD1058" s="32">
        <f>IF($A1058=1,IF(Expenses!$R28="","",Expenses!$R28),"")</f>
        <v/>
      </c>
      <c r="AE1058" s="32">
        <f>IF($A1058=1,0,"")</f>
        <v/>
      </c>
      <c r="AF1058" s="32" t="inlineStr"/>
    </row>
    <row r="1059">
      <c r="A1059" s="32">
        <f>IF(AND(Expenses!$AB28=1,N(Expenses!$G28)&gt;0),1,0)</f>
        <v/>
      </c>
      <c r="B1059" s="32">
        <f>IF($A1059=1,$E1059&amp;"/2","")</f>
        <v/>
      </c>
      <c r="C1059" s="32">
        <f>IF($A1059=1,"J-"&amp;Expenses!$A28,"")</f>
        <v/>
      </c>
      <c r="D1059" s="33">
        <f>IF($A1059=1,Expenses!$B28,"")</f>
        <v/>
      </c>
      <c r="E1059" s="32">
        <f>IF($A1059=1,IF(Expenses!$A28="","",Expenses!$A28),"")</f>
        <v/>
      </c>
      <c r="F1059" s="32">
        <f>IF($A1059=1,"EXP","")</f>
        <v/>
      </c>
      <c r="G1059" s="32">
        <f>IF($A1059=1,ACC_VAT_IN,"")</f>
        <v/>
      </c>
      <c r="H1059" s="32">
        <f>IF($A1059=1,IF(COUNTIF(COA!$A:$A,$G1059)=0,"حساب غير معرف",INDEX(COA!$B:$B,MATCH($G1059,COA!$A:$A,0))),"")</f>
        <v/>
      </c>
      <c r="I1059" s="32">
        <f>IF($A1059=1,IF(Expenses!$C28="","",Expenses!$C28),"")</f>
        <v/>
      </c>
      <c r="J1059" s="32">
        <f>IF($A1059=1,IF(Expenses!$D28="","",Expenses!$D28),"")</f>
        <v/>
      </c>
      <c r="K1059" s="32">
        <f>IF($A1059=1,"-","")</f>
        <v/>
      </c>
      <c r="L1059" s="32">
        <f>IF($A1059=1,"ضريبة قيمة مضافة - مدخلات","")</f>
        <v/>
      </c>
      <c r="M1059" s="43">
        <f>IF($A1059=1,Expenses!$G28,"")</f>
        <v/>
      </c>
      <c r="N1059" s="43">
        <f>IF($A1059=1,0,"")</f>
        <v/>
      </c>
      <c r="O1059" s="32">
        <f>IF($A1059=1,Expenses!$M28,"")</f>
        <v/>
      </c>
      <c r="P1059" s="32">
        <f>IF($A1059=1,IF(Expenses!$AC28="","",Expenses!$AC28),"")</f>
        <v/>
      </c>
      <c r="Q1059" s="32">
        <f>IF($A1059=1,Expenses!$AE28,"")</f>
        <v/>
      </c>
      <c r="R1059" s="32">
        <f>IF($A1059=1,IF(AND($Q1059=1,COUNTIFS(COA!$A:$A,$G1059,COA!$R:$R,1)=1),1,0),"")</f>
        <v/>
      </c>
      <c r="S1059" s="43">
        <f>IF($A1059=1,IF($R1059=1,N($M1059),0),"")</f>
        <v/>
      </c>
      <c r="T1059" s="43">
        <f>IF($A1059=1,IF($R1059=1,N($N1059),0),"")</f>
        <v/>
      </c>
      <c r="U1059" s="32">
        <f>IF($A1059=1,YEAR($D1059)*100+MONTH($D1059),"")</f>
        <v/>
      </c>
      <c r="V1059" s="32">
        <f>IF($A1059=1,IF(COUNTIF(COA!$A:$A,$G1059)=0,0,INDEX(COA!$H:$H,MATCH($G1059,COA!$A:$A,0))),"")</f>
        <v/>
      </c>
      <c r="W1059" s="32">
        <f>IF($A1059=1,"","")</f>
        <v/>
      </c>
      <c r="X1059" s="32">
        <f>IF($A1059=1,IF($R1059=1,"",IF($O1059=ST_POST,IF($P1059&lt;&gt;"",$P1059,"حساب غير صالح أو غير نشط"),IF($O1059=ST_REV,"معكوس: لا أثر على الدفاتر",IF($O1059=ST_CANC,"ملغى",IF($O1059=ST_APPR,"معتمد ولم يُرحَّل","مسودة"))))),"")</f>
        <v/>
      </c>
      <c r="Y1059" s="32">
        <f>IF($A1059=1,IF(AND($R1059=1,OR(LG_Acct="",$G1059=LG_Acct),OR(LG_Party="",$K1059=LG_Party),OR(LG_Loc="ALL",$I1059=LG_Loc),OR(LG_CC="ALL",$J1059=LG_CC),$D1059&gt;=LG_From,$D1059&lt;=LG_To),$D1059+ROW()/1000000,""),"")</f>
        <v/>
      </c>
      <c r="Z1059" s="32">
        <f>IF($A1059=1,IF(Expenses!$N28="","",Expenses!$N28),"")</f>
        <v/>
      </c>
      <c r="AA1059" s="32">
        <f>IF($A1059=1,IF(Expenses!$O28="","",Expenses!$O28),"")</f>
        <v/>
      </c>
      <c r="AB1059" s="32">
        <f>IF($A1059=1,IF(Expenses!$P28="","",Expenses!$P28),"")</f>
        <v/>
      </c>
      <c r="AC1059" s="32">
        <f>IF($A1059=1,IF(Expenses!$Q28="","",Expenses!$Q28),"")</f>
        <v/>
      </c>
      <c r="AD1059" s="32">
        <f>IF($A1059=1,IF(Expenses!$R28="","",Expenses!$R28),"")</f>
        <v/>
      </c>
      <c r="AE1059" s="32">
        <f>IF($A1059=1,0,"")</f>
        <v/>
      </c>
      <c r="AF1059" s="32" t="inlineStr"/>
    </row>
    <row r="1060">
      <c r="A1060" s="32">
        <f>IF(AND(Expenses!$AB28=1,N(Expenses!$W28)&gt;0),1,0)</f>
        <v/>
      </c>
      <c r="B1060" s="32">
        <f>IF($A1060=1,$E1060&amp;"/3","")</f>
        <v/>
      </c>
      <c r="C1060" s="32">
        <f>IF($A1060=1,"J-"&amp;Expenses!$A28,"")</f>
        <v/>
      </c>
      <c r="D1060" s="33">
        <f>IF($A1060=1,Expenses!$B28,"")</f>
        <v/>
      </c>
      <c r="E1060" s="32">
        <f>IF($A1060=1,IF(Expenses!$A28="","",Expenses!$A28),"")</f>
        <v/>
      </c>
      <c r="F1060" s="32">
        <f>IF($A1060=1,"EXP","")</f>
        <v/>
      </c>
      <c r="G1060" s="32">
        <f>IF($A1060=1,IF(Expenses!$V28="","",Expenses!$V28),"")</f>
        <v/>
      </c>
      <c r="H1060" s="32">
        <f>IF($A1060=1,IF(COUNTIF(COA!$A:$A,$G1060)=0,"حساب غير معرف",INDEX(COA!$B:$B,MATCH($G1060,COA!$A:$A,0))),"")</f>
        <v/>
      </c>
      <c r="I1060" s="32">
        <f>IF($A1060=1,IF(Expenses!$C28="","",Expenses!$C28),"")</f>
        <v/>
      </c>
      <c r="J1060" s="32">
        <f>IF($A1060=1,"CC00","")</f>
        <v/>
      </c>
      <c r="K1060" s="32">
        <f>IF($A1060=1,"-","")</f>
        <v/>
      </c>
      <c r="L1060" s="32">
        <f>IF($A1060=1,IF(Expenses!$L28="","مصروف - "&amp;Expenses!$J28,Expenses!$L28),"")</f>
        <v/>
      </c>
      <c r="M1060" s="43">
        <f>IF($A1060=1,0,"")</f>
        <v/>
      </c>
      <c r="N1060" s="43">
        <f>IF($A1060=1,Expenses!$W28,"")</f>
        <v/>
      </c>
      <c r="O1060" s="32">
        <f>IF($A1060=1,Expenses!$M28,"")</f>
        <v/>
      </c>
      <c r="P1060" s="32">
        <f>IF($A1060=1,IF(Expenses!$AC28="","",Expenses!$AC28),"")</f>
        <v/>
      </c>
      <c r="Q1060" s="32">
        <f>IF($A1060=1,Expenses!$AE28,"")</f>
        <v/>
      </c>
      <c r="R1060" s="32">
        <f>IF($A1060=1,IF(AND($Q1060=1,COUNTIFS(COA!$A:$A,$G1060,COA!$R:$R,1)=1),1,0),"")</f>
        <v/>
      </c>
      <c r="S1060" s="43">
        <f>IF($A1060=1,IF($R1060=1,N($M1060),0),"")</f>
        <v/>
      </c>
      <c r="T1060" s="43">
        <f>IF($A1060=1,IF($R1060=1,N($N1060),0),"")</f>
        <v/>
      </c>
      <c r="U1060" s="32">
        <f>IF($A1060=1,YEAR($D1060)*100+MONTH($D1060),"")</f>
        <v/>
      </c>
      <c r="V1060" s="32">
        <f>IF($A1060=1,IF(COUNTIF(COA!$A:$A,$G1060)=0,0,INDEX(COA!$H:$H,MATCH($G1060,COA!$A:$A,0))),"")</f>
        <v/>
      </c>
      <c r="W1060" s="32">
        <f>IF($A1060=1,"OPERATING","")</f>
        <v/>
      </c>
      <c r="X1060" s="32">
        <f>IF($A1060=1,IF($R1060=1,"",IF($O1060=ST_POST,IF($P1060&lt;&gt;"",$P1060,"حساب غير صالح أو غير نشط"),IF($O1060=ST_REV,"معكوس: لا أثر على الدفاتر",IF($O1060=ST_CANC,"ملغى",IF($O1060=ST_APPR,"معتمد ولم يُرحَّل","مسودة"))))),"")</f>
        <v/>
      </c>
      <c r="Y1060" s="32">
        <f>IF($A1060=1,IF(AND($R1060=1,OR(LG_Acct="",$G1060=LG_Acct),OR(LG_Party="",$K1060=LG_Party),OR(LG_Loc="ALL",$I1060=LG_Loc),OR(LG_CC="ALL",$J1060=LG_CC),$D1060&gt;=LG_From,$D1060&lt;=LG_To),$D1060+ROW()/1000000,""),"")</f>
        <v/>
      </c>
      <c r="Z1060" s="32">
        <f>IF($A1060=1,IF(Expenses!$N28="","",Expenses!$N28),"")</f>
        <v/>
      </c>
      <c r="AA1060" s="32">
        <f>IF($A1060=1,IF(Expenses!$O28="","",Expenses!$O28),"")</f>
        <v/>
      </c>
      <c r="AB1060" s="32">
        <f>IF($A1060=1,IF(Expenses!$P28="","",Expenses!$P28),"")</f>
        <v/>
      </c>
      <c r="AC1060" s="32">
        <f>IF($A1060=1,IF(Expenses!$Q28="","",Expenses!$Q28),"")</f>
        <v/>
      </c>
      <c r="AD1060" s="32">
        <f>IF($A1060=1,IF(Expenses!$R28="","",Expenses!$R28),"")</f>
        <v/>
      </c>
      <c r="AE1060" s="32">
        <f>IF($A1060=1,0,"")</f>
        <v/>
      </c>
      <c r="AF1060" s="32" t="inlineStr"/>
    </row>
    <row r="1061">
      <c r="A1061" s="32">
        <f>IF(AND(Expenses!$AB29=1,N(Expenses!$F29)&gt;0),1,0)</f>
        <v/>
      </c>
      <c r="B1061" s="32">
        <f>IF($A1061=1,$E1061&amp;"/1","")</f>
        <v/>
      </c>
      <c r="C1061" s="32">
        <f>IF($A1061=1,"J-"&amp;Expenses!$A29,"")</f>
        <v/>
      </c>
      <c r="D1061" s="33">
        <f>IF($A1061=1,Expenses!$B29,"")</f>
        <v/>
      </c>
      <c r="E1061" s="32">
        <f>IF($A1061=1,IF(Expenses!$A29="","",Expenses!$A29),"")</f>
        <v/>
      </c>
      <c r="F1061" s="32">
        <f>IF($A1061=1,"EXP","")</f>
        <v/>
      </c>
      <c r="G1061" s="32">
        <f>IF($A1061=1,IF(Expenses!$E29="","",Expenses!$E29),"")</f>
        <v/>
      </c>
      <c r="H1061" s="32">
        <f>IF($A1061=1,IF(COUNTIF(COA!$A:$A,$G1061)=0,"حساب غير معرف",INDEX(COA!$B:$B,MATCH($G1061,COA!$A:$A,0))),"")</f>
        <v/>
      </c>
      <c r="I1061" s="32">
        <f>IF($A1061=1,IF(Expenses!$C29="","",Expenses!$C29),"")</f>
        <v/>
      </c>
      <c r="J1061" s="32">
        <f>IF($A1061=1,IF(Expenses!$D29="","",Expenses!$D29),"")</f>
        <v/>
      </c>
      <c r="K1061" s="32">
        <f>IF($A1061=1,"-","")</f>
        <v/>
      </c>
      <c r="L1061" s="32">
        <f>IF($A1061=1,IF(Expenses!$L29="","مصروف - "&amp;Expenses!$J29,Expenses!$L29),"")</f>
        <v/>
      </c>
      <c r="M1061" s="43">
        <f>IF($A1061=1,Expenses!$F29,"")</f>
        <v/>
      </c>
      <c r="N1061" s="43">
        <f>IF($A1061=1,0,"")</f>
        <v/>
      </c>
      <c r="O1061" s="32">
        <f>IF($A1061=1,Expenses!$M29,"")</f>
        <v/>
      </c>
      <c r="P1061" s="32">
        <f>IF($A1061=1,IF(Expenses!$AC29="","",Expenses!$AC29),"")</f>
        <v/>
      </c>
      <c r="Q1061" s="32">
        <f>IF($A1061=1,Expenses!$AE29,"")</f>
        <v/>
      </c>
      <c r="R1061" s="32">
        <f>IF($A1061=1,IF(AND($Q1061=1,COUNTIFS(COA!$A:$A,$G1061,COA!$R:$R,1)=1),1,0),"")</f>
        <v/>
      </c>
      <c r="S1061" s="43">
        <f>IF($A1061=1,IF($R1061=1,N($M1061),0),"")</f>
        <v/>
      </c>
      <c r="T1061" s="43">
        <f>IF($A1061=1,IF($R1061=1,N($N1061),0),"")</f>
        <v/>
      </c>
      <c r="U1061" s="32">
        <f>IF($A1061=1,YEAR($D1061)*100+MONTH($D1061),"")</f>
        <v/>
      </c>
      <c r="V1061" s="32">
        <f>IF($A1061=1,IF(COUNTIF(COA!$A:$A,$G1061)=0,0,INDEX(COA!$H:$H,MATCH($G1061,COA!$A:$A,0))),"")</f>
        <v/>
      </c>
      <c r="W1061" s="32">
        <f>IF($A1061=1,"","")</f>
        <v/>
      </c>
      <c r="X1061" s="32">
        <f>IF($A1061=1,IF($R1061=1,"",IF($O1061=ST_POST,IF($P1061&lt;&gt;"",$P1061,"حساب غير صالح أو غير نشط"),IF($O1061=ST_REV,"معكوس: لا أثر على الدفاتر",IF($O1061=ST_CANC,"ملغى",IF($O1061=ST_APPR,"معتمد ولم يُرحَّل","مسودة"))))),"")</f>
        <v/>
      </c>
      <c r="Y1061" s="32">
        <f>IF($A1061=1,IF(AND($R1061=1,OR(LG_Acct="",$G1061=LG_Acct),OR(LG_Party="",$K1061=LG_Party),OR(LG_Loc="ALL",$I1061=LG_Loc),OR(LG_CC="ALL",$J1061=LG_CC),$D1061&gt;=LG_From,$D1061&lt;=LG_To),$D1061+ROW()/1000000,""),"")</f>
        <v/>
      </c>
      <c r="Z1061" s="32">
        <f>IF($A1061=1,IF(Expenses!$N29="","",Expenses!$N29),"")</f>
        <v/>
      </c>
      <c r="AA1061" s="32">
        <f>IF($A1061=1,IF(Expenses!$O29="","",Expenses!$O29),"")</f>
        <v/>
      </c>
      <c r="AB1061" s="32">
        <f>IF($A1061=1,IF(Expenses!$P29="","",Expenses!$P29),"")</f>
        <v/>
      </c>
      <c r="AC1061" s="32">
        <f>IF($A1061=1,IF(Expenses!$Q29="","",Expenses!$Q29),"")</f>
        <v/>
      </c>
      <c r="AD1061" s="32">
        <f>IF($A1061=1,IF(Expenses!$R29="","",Expenses!$R29),"")</f>
        <v/>
      </c>
      <c r="AE1061" s="32">
        <f>IF($A1061=1,0,"")</f>
        <v/>
      </c>
      <c r="AF1061" s="32" t="inlineStr"/>
    </row>
    <row r="1062">
      <c r="A1062" s="32">
        <f>IF(AND(Expenses!$AB29=1,N(Expenses!$G29)&gt;0),1,0)</f>
        <v/>
      </c>
      <c r="B1062" s="32">
        <f>IF($A1062=1,$E1062&amp;"/2","")</f>
        <v/>
      </c>
      <c r="C1062" s="32">
        <f>IF($A1062=1,"J-"&amp;Expenses!$A29,"")</f>
        <v/>
      </c>
      <c r="D1062" s="33">
        <f>IF($A1062=1,Expenses!$B29,"")</f>
        <v/>
      </c>
      <c r="E1062" s="32">
        <f>IF($A1062=1,IF(Expenses!$A29="","",Expenses!$A29),"")</f>
        <v/>
      </c>
      <c r="F1062" s="32">
        <f>IF($A1062=1,"EXP","")</f>
        <v/>
      </c>
      <c r="G1062" s="32">
        <f>IF($A1062=1,ACC_VAT_IN,"")</f>
        <v/>
      </c>
      <c r="H1062" s="32">
        <f>IF($A1062=1,IF(COUNTIF(COA!$A:$A,$G1062)=0,"حساب غير معرف",INDEX(COA!$B:$B,MATCH($G1062,COA!$A:$A,0))),"")</f>
        <v/>
      </c>
      <c r="I1062" s="32">
        <f>IF($A1062=1,IF(Expenses!$C29="","",Expenses!$C29),"")</f>
        <v/>
      </c>
      <c r="J1062" s="32">
        <f>IF($A1062=1,IF(Expenses!$D29="","",Expenses!$D29),"")</f>
        <v/>
      </c>
      <c r="K1062" s="32">
        <f>IF($A1062=1,"-","")</f>
        <v/>
      </c>
      <c r="L1062" s="32">
        <f>IF($A1062=1,"ضريبة قيمة مضافة - مدخلات","")</f>
        <v/>
      </c>
      <c r="M1062" s="43">
        <f>IF($A1062=1,Expenses!$G29,"")</f>
        <v/>
      </c>
      <c r="N1062" s="43">
        <f>IF($A1062=1,0,"")</f>
        <v/>
      </c>
      <c r="O1062" s="32">
        <f>IF($A1062=1,Expenses!$M29,"")</f>
        <v/>
      </c>
      <c r="P1062" s="32">
        <f>IF($A1062=1,IF(Expenses!$AC29="","",Expenses!$AC29),"")</f>
        <v/>
      </c>
      <c r="Q1062" s="32">
        <f>IF($A1062=1,Expenses!$AE29,"")</f>
        <v/>
      </c>
      <c r="R1062" s="32">
        <f>IF($A1062=1,IF(AND($Q1062=1,COUNTIFS(COA!$A:$A,$G1062,COA!$R:$R,1)=1),1,0),"")</f>
        <v/>
      </c>
      <c r="S1062" s="43">
        <f>IF($A1062=1,IF($R1062=1,N($M1062),0),"")</f>
        <v/>
      </c>
      <c r="T1062" s="43">
        <f>IF($A1062=1,IF($R1062=1,N($N1062),0),"")</f>
        <v/>
      </c>
      <c r="U1062" s="32">
        <f>IF($A1062=1,YEAR($D1062)*100+MONTH($D1062),"")</f>
        <v/>
      </c>
      <c r="V1062" s="32">
        <f>IF($A1062=1,IF(COUNTIF(COA!$A:$A,$G1062)=0,0,INDEX(COA!$H:$H,MATCH($G1062,COA!$A:$A,0))),"")</f>
        <v/>
      </c>
      <c r="W1062" s="32">
        <f>IF($A1062=1,"","")</f>
        <v/>
      </c>
      <c r="X1062" s="32">
        <f>IF($A1062=1,IF($R1062=1,"",IF($O1062=ST_POST,IF($P1062&lt;&gt;"",$P1062,"حساب غير صالح أو غير نشط"),IF($O1062=ST_REV,"معكوس: لا أثر على الدفاتر",IF($O1062=ST_CANC,"ملغى",IF($O1062=ST_APPR,"معتمد ولم يُرحَّل","مسودة"))))),"")</f>
        <v/>
      </c>
      <c r="Y1062" s="32">
        <f>IF($A1062=1,IF(AND($R1062=1,OR(LG_Acct="",$G1062=LG_Acct),OR(LG_Party="",$K1062=LG_Party),OR(LG_Loc="ALL",$I1062=LG_Loc),OR(LG_CC="ALL",$J1062=LG_CC),$D1062&gt;=LG_From,$D1062&lt;=LG_To),$D1062+ROW()/1000000,""),"")</f>
        <v/>
      </c>
      <c r="Z1062" s="32">
        <f>IF($A1062=1,IF(Expenses!$N29="","",Expenses!$N29),"")</f>
        <v/>
      </c>
      <c r="AA1062" s="32">
        <f>IF($A1062=1,IF(Expenses!$O29="","",Expenses!$O29),"")</f>
        <v/>
      </c>
      <c r="AB1062" s="32">
        <f>IF($A1062=1,IF(Expenses!$P29="","",Expenses!$P29),"")</f>
        <v/>
      </c>
      <c r="AC1062" s="32">
        <f>IF($A1062=1,IF(Expenses!$Q29="","",Expenses!$Q29),"")</f>
        <v/>
      </c>
      <c r="AD1062" s="32">
        <f>IF($A1062=1,IF(Expenses!$R29="","",Expenses!$R29),"")</f>
        <v/>
      </c>
      <c r="AE1062" s="32">
        <f>IF($A1062=1,0,"")</f>
        <v/>
      </c>
      <c r="AF1062" s="32" t="inlineStr"/>
    </row>
    <row r="1063">
      <c r="A1063" s="32">
        <f>IF(AND(Expenses!$AB29=1,N(Expenses!$W29)&gt;0),1,0)</f>
        <v/>
      </c>
      <c r="B1063" s="32">
        <f>IF($A1063=1,$E1063&amp;"/3","")</f>
        <v/>
      </c>
      <c r="C1063" s="32">
        <f>IF($A1063=1,"J-"&amp;Expenses!$A29,"")</f>
        <v/>
      </c>
      <c r="D1063" s="33">
        <f>IF($A1063=1,Expenses!$B29,"")</f>
        <v/>
      </c>
      <c r="E1063" s="32">
        <f>IF($A1063=1,IF(Expenses!$A29="","",Expenses!$A29),"")</f>
        <v/>
      </c>
      <c r="F1063" s="32">
        <f>IF($A1063=1,"EXP","")</f>
        <v/>
      </c>
      <c r="G1063" s="32">
        <f>IF($A1063=1,IF(Expenses!$V29="","",Expenses!$V29),"")</f>
        <v/>
      </c>
      <c r="H1063" s="32">
        <f>IF($A1063=1,IF(COUNTIF(COA!$A:$A,$G1063)=0,"حساب غير معرف",INDEX(COA!$B:$B,MATCH($G1063,COA!$A:$A,0))),"")</f>
        <v/>
      </c>
      <c r="I1063" s="32">
        <f>IF($A1063=1,IF(Expenses!$C29="","",Expenses!$C29),"")</f>
        <v/>
      </c>
      <c r="J1063" s="32">
        <f>IF($A1063=1,"CC00","")</f>
        <v/>
      </c>
      <c r="K1063" s="32">
        <f>IF($A1063=1,"-","")</f>
        <v/>
      </c>
      <c r="L1063" s="32">
        <f>IF($A1063=1,IF(Expenses!$L29="","مصروف - "&amp;Expenses!$J29,Expenses!$L29),"")</f>
        <v/>
      </c>
      <c r="M1063" s="43">
        <f>IF($A1063=1,0,"")</f>
        <v/>
      </c>
      <c r="N1063" s="43">
        <f>IF($A1063=1,Expenses!$W29,"")</f>
        <v/>
      </c>
      <c r="O1063" s="32">
        <f>IF($A1063=1,Expenses!$M29,"")</f>
        <v/>
      </c>
      <c r="P1063" s="32">
        <f>IF($A1063=1,IF(Expenses!$AC29="","",Expenses!$AC29),"")</f>
        <v/>
      </c>
      <c r="Q1063" s="32">
        <f>IF($A1063=1,Expenses!$AE29,"")</f>
        <v/>
      </c>
      <c r="R1063" s="32">
        <f>IF($A1063=1,IF(AND($Q1063=1,COUNTIFS(COA!$A:$A,$G1063,COA!$R:$R,1)=1),1,0),"")</f>
        <v/>
      </c>
      <c r="S1063" s="43">
        <f>IF($A1063=1,IF($R1063=1,N($M1063),0),"")</f>
        <v/>
      </c>
      <c r="T1063" s="43">
        <f>IF($A1063=1,IF($R1063=1,N($N1063),0),"")</f>
        <v/>
      </c>
      <c r="U1063" s="32">
        <f>IF($A1063=1,YEAR($D1063)*100+MONTH($D1063),"")</f>
        <v/>
      </c>
      <c r="V1063" s="32">
        <f>IF($A1063=1,IF(COUNTIF(COA!$A:$A,$G1063)=0,0,INDEX(COA!$H:$H,MATCH($G1063,COA!$A:$A,0))),"")</f>
        <v/>
      </c>
      <c r="W1063" s="32">
        <f>IF($A1063=1,"OPERATING","")</f>
        <v/>
      </c>
      <c r="X1063" s="32">
        <f>IF($A1063=1,IF($R1063=1,"",IF($O1063=ST_POST,IF($P1063&lt;&gt;"",$P1063,"حساب غير صالح أو غير نشط"),IF($O1063=ST_REV,"معكوس: لا أثر على الدفاتر",IF($O1063=ST_CANC,"ملغى",IF($O1063=ST_APPR,"معتمد ولم يُرحَّل","مسودة"))))),"")</f>
        <v/>
      </c>
      <c r="Y1063" s="32">
        <f>IF($A1063=1,IF(AND($R1063=1,OR(LG_Acct="",$G1063=LG_Acct),OR(LG_Party="",$K1063=LG_Party),OR(LG_Loc="ALL",$I1063=LG_Loc),OR(LG_CC="ALL",$J1063=LG_CC),$D1063&gt;=LG_From,$D1063&lt;=LG_To),$D1063+ROW()/1000000,""),"")</f>
        <v/>
      </c>
      <c r="Z1063" s="32">
        <f>IF($A1063=1,IF(Expenses!$N29="","",Expenses!$N29),"")</f>
        <v/>
      </c>
      <c r="AA1063" s="32">
        <f>IF($A1063=1,IF(Expenses!$O29="","",Expenses!$O29),"")</f>
        <v/>
      </c>
      <c r="AB1063" s="32">
        <f>IF($A1063=1,IF(Expenses!$P29="","",Expenses!$P29),"")</f>
        <v/>
      </c>
      <c r="AC1063" s="32">
        <f>IF($A1063=1,IF(Expenses!$Q29="","",Expenses!$Q29),"")</f>
        <v/>
      </c>
      <c r="AD1063" s="32">
        <f>IF($A1063=1,IF(Expenses!$R29="","",Expenses!$R29),"")</f>
        <v/>
      </c>
      <c r="AE1063" s="32">
        <f>IF($A1063=1,0,"")</f>
        <v/>
      </c>
      <c r="AF1063" s="32" t="inlineStr"/>
    </row>
    <row r="1064">
      <c r="A1064" s="32">
        <f>IF(AND(Expenses!$AB30=1,N(Expenses!$F30)&gt;0),1,0)</f>
        <v/>
      </c>
      <c r="B1064" s="32">
        <f>IF($A1064=1,$E1064&amp;"/1","")</f>
        <v/>
      </c>
      <c r="C1064" s="32">
        <f>IF($A1064=1,"J-"&amp;Expenses!$A30,"")</f>
        <v/>
      </c>
      <c r="D1064" s="33">
        <f>IF($A1064=1,Expenses!$B30,"")</f>
        <v/>
      </c>
      <c r="E1064" s="32">
        <f>IF($A1064=1,IF(Expenses!$A30="","",Expenses!$A30),"")</f>
        <v/>
      </c>
      <c r="F1064" s="32">
        <f>IF($A1064=1,"EXP","")</f>
        <v/>
      </c>
      <c r="G1064" s="32">
        <f>IF($A1064=1,IF(Expenses!$E30="","",Expenses!$E30),"")</f>
        <v/>
      </c>
      <c r="H1064" s="32">
        <f>IF($A1064=1,IF(COUNTIF(COA!$A:$A,$G1064)=0,"حساب غير معرف",INDEX(COA!$B:$B,MATCH($G1064,COA!$A:$A,0))),"")</f>
        <v/>
      </c>
      <c r="I1064" s="32">
        <f>IF($A1064=1,IF(Expenses!$C30="","",Expenses!$C30),"")</f>
        <v/>
      </c>
      <c r="J1064" s="32">
        <f>IF($A1064=1,IF(Expenses!$D30="","",Expenses!$D30),"")</f>
        <v/>
      </c>
      <c r="K1064" s="32">
        <f>IF($A1064=1,"-","")</f>
        <v/>
      </c>
      <c r="L1064" s="32">
        <f>IF($A1064=1,IF(Expenses!$L30="","مصروف - "&amp;Expenses!$J30,Expenses!$L30),"")</f>
        <v/>
      </c>
      <c r="M1064" s="43">
        <f>IF($A1064=1,Expenses!$F30,"")</f>
        <v/>
      </c>
      <c r="N1064" s="43">
        <f>IF($A1064=1,0,"")</f>
        <v/>
      </c>
      <c r="O1064" s="32">
        <f>IF($A1064=1,Expenses!$M30,"")</f>
        <v/>
      </c>
      <c r="P1064" s="32">
        <f>IF($A1064=1,IF(Expenses!$AC30="","",Expenses!$AC30),"")</f>
        <v/>
      </c>
      <c r="Q1064" s="32">
        <f>IF($A1064=1,Expenses!$AE30,"")</f>
        <v/>
      </c>
      <c r="R1064" s="32">
        <f>IF($A1064=1,IF(AND($Q1064=1,COUNTIFS(COA!$A:$A,$G1064,COA!$R:$R,1)=1),1,0),"")</f>
        <v/>
      </c>
      <c r="S1064" s="43">
        <f>IF($A1064=1,IF($R1064=1,N($M1064),0),"")</f>
        <v/>
      </c>
      <c r="T1064" s="43">
        <f>IF($A1064=1,IF($R1064=1,N($N1064),0),"")</f>
        <v/>
      </c>
      <c r="U1064" s="32">
        <f>IF($A1064=1,YEAR($D1064)*100+MONTH($D1064),"")</f>
        <v/>
      </c>
      <c r="V1064" s="32">
        <f>IF($A1064=1,IF(COUNTIF(COA!$A:$A,$G1064)=0,0,INDEX(COA!$H:$H,MATCH($G1064,COA!$A:$A,0))),"")</f>
        <v/>
      </c>
      <c r="W1064" s="32">
        <f>IF($A1064=1,"","")</f>
        <v/>
      </c>
      <c r="X1064" s="32">
        <f>IF($A1064=1,IF($R1064=1,"",IF($O1064=ST_POST,IF($P1064&lt;&gt;"",$P1064,"حساب غير صالح أو غير نشط"),IF($O1064=ST_REV,"معكوس: لا أثر على الدفاتر",IF($O1064=ST_CANC,"ملغى",IF($O1064=ST_APPR,"معتمد ولم يُرحَّل","مسودة"))))),"")</f>
        <v/>
      </c>
      <c r="Y1064" s="32">
        <f>IF($A1064=1,IF(AND($R1064=1,OR(LG_Acct="",$G1064=LG_Acct),OR(LG_Party="",$K1064=LG_Party),OR(LG_Loc="ALL",$I1064=LG_Loc),OR(LG_CC="ALL",$J1064=LG_CC),$D1064&gt;=LG_From,$D1064&lt;=LG_To),$D1064+ROW()/1000000,""),"")</f>
        <v/>
      </c>
      <c r="Z1064" s="32">
        <f>IF($A1064=1,IF(Expenses!$N30="","",Expenses!$N30),"")</f>
        <v/>
      </c>
      <c r="AA1064" s="32">
        <f>IF($A1064=1,IF(Expenses!$O30="","",Expenses!$O30),"")</f>
        <v/>
      </c>
      <c r="AB1064" s="32">
        <f>IF($A1064=1,IF(Expenses!$P30="","",Expenses!$P30),"")</f>
        <v/>
      </c>
      <c r="AC1064" s="32">
        <f>IF($A1064=1,IF(Expenses!$Q30="","",Expenses!$Q30),"")</f>
        <v/>
      </c>
      <c r="AD1064" s="32">
        <f>IF($A1064=1,IF(Expenses!$R30="","",Expenses!$R30),"")</f>
        <v/>
      </c>
      <c r="AE1064" s="32">
        <f>IF($A1064=1,0,"")</f>
        <v/>
      </c>
      <c r="AF1064" s="32" t="inlineStr"/>
    </row>
    <row r="1065">
      <c r="A1065" s="32">
        <f>IF(AND(Expenses!$AB30=1,N(Expenses!$G30)&gt;0),1,0)</f>
        <v/>
      </c>
      <c r="B1065" s="32">
        <f>IF($A1065=1,$E1065&amp;"/2","")</f>
        <v/>
      </c>
      <c r="C1065" s="32">
        <f>IF($A1065=1,"J-"&amp;Expenses!$A30,"")</f>
        <v/>
      </c>
      <c r="D1065" s="33">
        <f>IF($A1065=1,Expenses!$B30,"")</f>
        <v/>
      </c>
      <c r="E1065" s="32">
        <f>IF($A1065=1,IF(Expenses!$A30="","",Expenses!$A30),"")</f>
        <v/>
      </c>
      <c r="F1065" s="32">
        <f>IF($A1065=1,"EXP","")</f>
        <v/>
      </c>
      <c r="G1065" s="32">
        <f>IF($A1065=1,ACC_VAT_IN,"")</f>
        <v/>
      </c>
      <c r="H1065" s="32">
        <f>IF($A1065=1,IF(COUNTIF(COA!$A:$A,$G1065)=0,"حساب غير معرف",INDEX(COA!$B:$B,MATCH($G1065,COA!$A:$A,0))),"")</f>
        <v/>
      </c>
      <c r="I1065" s="32">
        <f>IF($A1065=1,IF(Expenses!$C30="","",Expenses!$C30),"")</f>
        <v/>
      </c>
      <c r="J1065" s="32">
        <f>IF($A1065=1,IF(Expenses!$D30="","",Expenses!$D30),"")</f>
        <v/>
      </c>
      <c r="K1065" s="32">
        <f>IF($A1065=1,"-","")</f>
        <v/>
      </c>
      <c r="L1065" s="32">
        <f>IF($A1065=1,"ضريبة قيمة مضافة - مدخلات","")</f>
        <v/>
      </c>
      <c r="M1065" s="43">
        <f>IF($A1065=1,Expenses!$G30,"")</f>
        <v/>
      </c>
      <c r="N1065" s="43">
        <f>IF($A1065=1,0,"")</f>
        <v/>
      </c>
      <c r="O1065" s="32">
        <f>IF($A1065=1,Expenses!$M30,"")</f>
        <v/>
      </c>
      <c r="P1065" s="32">
        <f>IF($A1065=1,IF(Expenses!$AC30="","",Expenses!$AC30),"")</f>
        <v/>
      </c>
      <c r="Q1065" s="32">
        <f>IF($A1065=1,Expenses!$AE30,"")</f>
        <v/>
      </c>
      <c r="R1065" s="32">
        <f>IF($A1065=1,IF(AND($Q1065=1,COUNTIFS(COA!$A:$A,$G1065,COA!$R:$R,1)=1),1,0),"")</f>
        <v/>
      </c>
      <c r="S1065" s="43">
        <f>IF($A1065=1,IF($R1065=1,N($M1065),0),"")</f>
        <v/>
      </c>
      <c r="T1065" s="43">
        <f>IF($A1065=1,IF($R1065=1,N($N1065),0),"")</f>
        <v/>
      </c>
      <c r="U1065" s="32">
        <f>IF($A1065=1,YEAR($D1065)*100+MONTH($D1065),"")</f>
        <v/>
      </c>
      <c r="V1065" s="32">
        <f>IF($A1065=1,IF(COUNTIF(COA!$A:$A,$G1065)=0,0,INDEX(COA!$H:$H,MATCH($G1065,COA!$A:$A,0))),"")</f>
        <v/>
      </c>
      <c r="W1065" s="32">
        <f>IF($A1065=1,"","")</f>
        <v/>
      </c>
      <c r="X1065" s="32">
        <f>IF($A1065=1,IF($R1065=1,"",IF($O1065=ST_POST,IF($P1065&lt;&gt;"",$P1065,"حساب غير صالح أو غير نشط"),IF($O1065=ST_REV,"معكوس: لا أثر على الدفاتر",IF($O1065=ST_CANC,"ملغى",IF($O1065=ST_APPR,"معتمد ولم يُرحَّل","مسودة"))))),"")</f>
        <v/>
      </c>
      <c r="Y1065" s="32">
        <f>IF($A1065=1,IF(AND($R1065=1,OR(LG_Acct="",$G1065=LG_Acct),OR(LG_Party="",$K1065=LG_Party),OR(LG_Loc="ALL",$I1065=LG_Loc),OR(LG_CC="ALL",$J1065=LG_CC),$D1065&gt;=LG_From,$D1065&lt;=LG_To),$D1065+ROW()/1000000,""),"")</f>
        <v/>
      </c>
      <c r="Z1065" s="32">
        <f>IF($A1065=1,IF(Expenses!$N30="","",Expenses!$N30),"")</f>
        <v/>
      </c>
      <c r="AA1065" s="32">
        <f>IF($A1065=1,IF(Expenses!$O30="","",Expenses!$O30),"")</f>
        <v/>
      </c>
      <c r="AB1065" s="32">
        <f>IF($A1065=1,IF(Expenses!$P30="","",Expenses!$P30),"")</f>
        <v/>
      </c>
      <c r="AC1065" s="32">
        <f>IF($A1065=1,IF(Expenses!$Q30="","",Expenses!$Q30),"")</f>
        <v/>
      </c>
      <c r="AD1065" s="32">
        <f>IF($A1065=1,IF(Expenses!$R30="","",Expenses!$R30),"")</f>
        <v/>
      </c>
      <c r="AE1065" s="32">
        <f>IF($A1065=1,0,"")</f>
        <v/>
      </c>
      <c r="AF1065" s="32" t="inlineStr"/>
    </row>
    <row r="1066">
      <c r="A1066" s="32">
        <f>IF(AND(Expenses!$AB30=1,N(Expenses!$W30)&gt;0),1,0)</f>
        <v/>
      </c>
      <c r="B1066" s="32">
        <f>IF($A1066=1,$E1066&amp;"/3","")</f>
        <v/>
      </c>
      <c r="C1066" s="32">
        <f>IF($A1066=1,"J-"&amp;Expenses!$A30,"")</f>
        <v/>
      </c>
      <c r="D1066" s="33">
        <f>IF($A1066=1,Expenses!$B30,"")</f>
        <v/>
      </c>
      <c r="E1066" s="32">
        <f>IF($A1066=1,IF(Expenses!$A30="","",Expenses!$A30),"")</f>
        <v/>
      </c>
      <c r="F1066" s="32">
        <f>IF($A1066=1,"EXP","")</f>
        <v/>
      </c>
      <c r="G1066" s="32">
        <f>IF($A1066=1,IF(Expenses!$V30="","",Expenses!$V30),"")</f>
        <v/>
      </c>
      <c r="H1066" s="32">
        <f>IF($A1066=1,IF(COUNTIF(COA!$A:$A,$G1066)=0,"حساب غير معرف",INDEX(COA!$B:$B,MATCH($G1066,COA!$A:$A,0))),"")</f>
        <v/>
      </c>
      <c r="I1066" s="32">
        <f>IF($A1066=1,IF(Expenses!$C30="","",Expenses!$C30),"")</f>
        <v/>
      </c>
      <c r="J1066" s="32">
        <f>IF($A1066=1,"CC00","")</f>
        <v/>
      </c>
      <c r="K1066" s="32">
        <f>IF($A1066=1,"-","")</f>
        <v/>
      </c>
      <c r="L1066" s="32">
        <f>IF($A1066=1,IF(Expenses!$L30="","مصروف - "&amp;Expenses!$J30,Expenses!$L30),"")</f>
        <v/>
      </c>
      <c r="M1066" s="43">
        <f>IF($A1066=1,0,"")</f>
        <v/>
      </c>
      <c r="N1066" s="43">
        <f>IF($A1066=1,Expenses!$W30,"")</f>
        <v/>
      </c>
      <c r="O1066" s="32">
        <f>IF($A1066=1,Expenses!$M30,"")</f>
        <v/>
      </c>
      <c r="P1066" s="32">
        <f>IF($A1066=1,IF(Expenses!$AC30="","",Expenses!$AC30),"")</f>
        <v/>
      </c>
      <c r="Q1066" s="32">
        <f>IF($A1066=1,Expenses!$AE30,"")</f>
        <v/>
      </c>
      <c r="R1066" s="32">
        <f>IF($A1066=1,IF(AND($Q1066=1,COUNTIFS(COA!$A:$A,$G1066,COA!$R:$R,1)=1),1,0),"")</f>
        <v/>
      </c>
      <c r="S1066" s="43">
        <f>IF($A1066=1,IF($R1066=1,N($M1066),0),"")</f>
        <v/>
      </c>
      <c r="T1066" s="43">
        <f>IF($A1066=1,IF($R1066=1,N($N1066),0),"")</f>
        <v/>
      </c>
      <c r="U1066" s="32">
        <f>IF($A1066=1,YEAR($D1066)*100+MONTH($D1066),"")</f>
        <v/>
      </c>
      <c r="V1066" s="32">
        <f>IF($A1066=1,IF(COUNTIF(COA!$A:$A,$G1066)=0,0,INDEX(COA!$H:$H,MATCH($G1066,COA!$A:$A,0))),"")</f>
        <v/>
      </c>
      <c r="W1066" s="32">
        <f>IF($A1066=1,"OPERATING","")</f>
        <v/>
      </c>
      <c r="X1066" s="32">
        <f>IF($A1066=1,IF($R1066=1,"",IF($O1066=ST_POST,IF($P1066&lt;&gt;"",$P1066,"حساب غير صالح أو غير نشط"),IF($O1066=ST_REV,"معكوس: لا أثر على الدفاتر",IF($O1066=ST_CANC,"ملغى",IF($O1066=ST_APPR,"معتمد ولم يُرحَّل","مسودة"))))),"")</f>
        <v/>
      </c>
      <c r="Y1066" s="32">
        <f>IF($A1066=1,IF(AND($R1066=1,OR(LG_Acct="",$G1066=LG_Acct),OR(LG_Party="",$K1066=LG_Party),OR(LG_Loc="ALL",$I1066=LG_Loc),OR(LG_CC="ALL",$J1066=LG_CC),$D1066&gt;=LG_From,$D1066&lt;=LG_To),$D1066+ROW()/1000000,""),"")</f>
        <v/>
      </c>
      <c r="Z1066" s="32">
        <f>IF($A1066=1,IF(Expenses!$N30="","",Expenses!$N30),"")</f>
        <v/>
      </c>
      <c r="AA1066" s="32">
        <f>IF($A1066=1,IF(Expenses!$O30="","",Expenses!$O30),"")</f>
        <v/>
      </c>
      <c r="AB1066" s="32">
        <f>IF($A1066=1,IF(Expenses!$P30="","",Expenses!$P30),"")</f>
        <v/>
      </c>
      <c r="AC1066" s="32">
        <f>IF($A1066=1,IF(Expenses!$Q30="","",Expenses!$Q30),"")</f>
        <v/>
      </c>
      <c r="AD1066" s="32">
        <f>IF($A1066=1,IF(Expenses!$R30="","",Expenses!$R30),"")</f>
        <v/>
      </c>
      <c r="AE1066" s="32">
        <f>IF($A1066=1,0,"")</f>
        <v/>
      </c>
      <c r="AF1066" s="32" t="inlineStr"/>
    </row>
    <row r="1067">
      <c r="A1067" s="32">
        <f>IF(AND(Expenses!$AB31=1,N(Expenses!$F31)&gt;0),1,0)</f>
        <v/>
      </c>
      <c r="B1067" s="32">
        <f>IF($A1067=1,$E1067&amp;"/1","")</f>
        <v/>
      </c>
      <c r="C1067" s="32">
        <f>IF($A1067=1,"J-"&amp;Expenses!$A31,"")</f>
        <v/>
      </c>
      <c r="D1067" s="33">
        <f>IF($A1067=1,Expenses!$B31,"")</f>
        <v/>
      </c>
      <c r="E1067" s="32">
        <f>IF($A1067=1,IF(Expenses!$A31="","",Expenses!$A31),"")</f>
        <v/>
      </c>
      <c r="F1067" s="32">
        <f>IF($A1067=1,"EXP","")</f>
        <v/>
      </c>
      <c r="G1067" s="32">
        <f>IF($A1067=1,IF(Expenses!$E31="","",Expenses!$E31),"")</f>
        <v/>
      </c>
      <c r="H1067" s="32">
        <f>IF($A1067=1,IF(COUNTIF(COA!$A:$A,$G1067)=0,"حساب غير معرف",INDEX(COA!$B:$B,MATCH($G1067,COA!$A:$A,0))),"")</f>
        <v/>
      </c>
      <c r="I1067" s="32">
        <f>IF($A1067=1,IF(Expenses!$C31="","",Expenses!$C31),"")</f>
        <v/>
      </c>
      <c r="J1067" s="32">
        <f>IF($A1067=1,IF(Expenses!$D31="","",Expenses!$D31),"")</f>
        <v/>
      </c>
      <c r="K1067" s="32">
        <f>IF($A1067=1,"-","")</f>
        <v/>
      </c>
      <c r="L1067" s="32">
        <f>IF($A1067=1,IF(Expenses!$L31="","مصروف - "&amp;Expenses!$J31,Expenses!$L31),"")</f>
        <v/>
      </c>
      <c r="M1067" s="43">
        <f>IF($A1067=1,Expenses!$F31,"")</f>
        <v/>
      </c>
      <c r="N1067" s="43">
        <f>IF($A1067=1,0,"")</f>
        <v/>
      </c>
      <c r="O1067" s="32">
        <f>IF($A1067=1,Expenses!$M31,"")</f>
        <v/>
      </c>
      <c r="P1067" s="32">
        <f>IF($A1067=1,IF(Expenses!$AC31="","",Expenses!$AC31),"")</f>
        <v/>
      </c>
      <c r="Q1067" s="32">
        <f>IF($A1067=1,Expenses!$AE31,"")</f>
        <v/>
      </c>
      <c r="R1067" s="32">
        <f>IF($A1067=1,IF(AND($Q1067=1,COUNTIFS(COA!$A:$A,$G1067,COA!$R:$R,1)=1),1,0),"")</f>
        <v/>
      </c>
      <c r="S1067" s="43">
        <f>IF($A1067=1,IF($R1067=1,N($M1067),0),"")</f>
        <v/>
      </c>
      <c r="T1067" s="43">
        <f>IF($A1067=1,IF($R1067=1,N($N1067),0),"")</f>
        <v/>
      </c>
      <c r="U1067" s="32">
        <f>IF($A1067=1,YEAR($D1067)*100+MONTH($D1067),"")</f>
        <v/>
      </c>
      <c r="V1067" s="32">
        <f>IF($A1067=1,IF(COUNTIF(COA!$A:$A,$G1067)=0,0,INDEX(COA!$H:$H,MATCH($G1067,COA!$A:$A,0))),"")</f>
        <v/>
      </c>
      <c r="W1067" s="32">
        <f>IF($A1067=1,"","")</f>
        <v/>
      </c>
      <c r="X1067" s="32">
        <f>IF($A1067=1,IF($R1067=1,"",IF($O1067=ST_POST,IF($P1067&lt;&gt;"",$P1067,"حساب غير صالح أو غير نشط"),IF($O1067=ST_REV,"معكوس: لا أثر على الدفاتر",IF($O1067=ST_CANC,"ملغى",IF($O1067=ST_APPR,"معتمد ولم يُرحَّل","مسودة"))))),"")</f>
        <v/>
      </c>
      <c r="Y1067" s="32">
        <f>IF($A1067=1,IF(AND($R1067=1,OR(LG_Acct="",$G1067=LG_Acct),OR(LG_Party="",$K1067=LG_Party),OR(LG_Loc="ALL",$I1067=LG_Loc),OR(LG_CC="ALL",$J1067=LG_CC),$D1067&gt;=LG_From,$D1067&lt;=LG_To),$D1067+ROW()/1000000,""),"")</f>
        <v/>
      </c>
      <c r="Z1067" s="32">
        <f>IF($A1067=1,IF(Expenses!$N31="","",Expenses!$N31),"")</f>
        <v/>
      </c>
      <c r="AA1067" s="32">
        <f>IF($A1067=1,IF(Expenses!$O31="","",Expenses!$O31),"")</f>
        <v/>
      </c>
      <c r="AB1067" s="32">
        <f>IF($A1067=1,IF(Expenses!$P31="","",Expenses!$P31),"")</f>
        <v/>
      </c>
      <c r="AC1067" s="32">
        <f>IF($A1067=1,IF(Expenses!$Q31="","",Expenses!$Q31),"")</f>
        <v/>
      </c>
      <c r="AD1067" s="32">
        <f>IF($A1067=1,IF(Expenses!$R31="","",Expenses!$R31),"")</f>
        <v/>
      </c>
      <c r="AE1067" s="32">
        <f>IF($A1067=1,0,"")</f>
        <v/>
      </c>
      <c r="AF1067" s="32" t="inlineStr"/>
    </row>
    <row r="1068">
      <c r="A1068" s="32">
        <f>IF(AND(Expenses!$AB31=1,N(Expenses!$G31)&gt;0),1,0)</f>
        <v/>
      </c>
      <c r="B1068" s="32">
        <f>IF($A1068=1,$E1068&amp;"/2","")</f>
        <v/>
      </c>
      <c r="C1068" s="32">
        <f>IF($A1068=1,"J-"&amp;Expenses!$A31,"")</f>
        <v/>
      </c>
      <c r="D1068" s="33">
        <f>IF($A1068=1,Expenses!$B31,"")</f>
        <v/>
      </c>
      <c r="E1068" s="32">
        <f>IF($A1068=1,IF(Expenses!$A31="","",Expenses!$A31),"")</f>
        <v/>
      </c>
      <c r="F1068" s="32">
        <f>IF($A1068=1,"EXP","")</f>
        <v/>
      </c>
      <c r="G1068" s="32">
        <f>IF($A1068=1,ACC_VAT_IN,"")</f>
        <v/>
      </c>
      <c r="H1068" s="32">
        <f>IF($A1068=1,IF(COUNTIF(COA!$A:$A,$G1068)=0,"حساب غير معرف",INDEX(COA!$B:$B,MATCH($G1068,COA!$A:$A,0))),"")</f>
        <v/>
      </c>
      <c r="I1068" s="32">
        <f>IF($A1068=1,IF(Expenses!$C31="","",Expenses!$C31),"")</f>
        <v/>
      </c>
      <c r="J1068" s="32">
        <f>IF($A1068=1,IF(Expenses!$D31="","",Expenses!$D31),"")</f>
        <v/>
      </c>
      <c r="K1068" s="32">
        <f>IF($A1068=1,"-","")</f>
        <v/>
      </c>
      <c r="L1068" s="32">
        <f>IF($A1068=1,"ضريبة قيمة مضافة - مدخلات","")</f>
        <v/>
      </c>
      <c r="M1068" s="43">
        <f>IF($A1068=1,Expenses!$G31,"")</f>
        <v/>
      </c>
      <c r="N1068" s="43">
        <f>IF($A1068=1,0,"")</f>
        <v/>
      </c>
      <c r="O1068" s="32">
        <f>IF($A1068=1,Expenses!$M31,"")</f>
        <v/>
      </c>
      <c r="P1068" s="32">
        <f>IF($A1068=1,IF(Expenses!$AC31="","",Expenses!$AC31),"")</f>
        <v/>
      </c>
      <c r="Q1068" s="32">
        <f>IF($A1068=1,Expenses!$AE31,"")</f>
        <v/>
      </c>
      <c r="R1068" s="32">
        <f>IF($A1068=1,IF(AND($Q1068=1,COUNTIFS(COA!$A:$A,$G1068,COA!$R:$R,1)=1),1,0),"")</f>
        <v/>
      </c>
      <c r="S1068" s="43">
        <f>IF($A1068=1,IF($R1068=1,N($M1068),0),"")</f>
        <v/>
      </c>
      <c r="T1068" s="43">
        <f>IF($A1068=1,IF($R1068=1,N($N1068),0),"")</f>
        <v/>
      </c>
      <c r="U1068" s="32">
        <f>IF($A1068=1,YEAR($D1068)*100+MONTH($D1068),"")</f>
        <v/>
      </c>
      <c r="V1068" s="32">
        <f>IF($A1068=1,IF(COUNTIF(COA!$A:$A,$G1068)=0,0,INDEX(COA!$H:$H,MATCH($G1068,COA!$A:$A,0))),"")</f>
        <v/>
      </c>
      <c r="W1068" s="32">
        <f>IF($A1068=1,"","")</f>
        <v/>
      </c>
      <c r="X1068" s="32">
        <f>IF($A1068=1,IF($R1068=1,"",IF($O1068=ST_POST,IF($P1068&lt;&gt;"",$P1068,"حساب غير صالح أو غير نشط"),IF($O1068=ST_REV,"معكوس: لا أثر على الدفاتر",IF($O1068=ST_CANC,"ملغى",IF($O1068=ST_APPR,"معتمد ولم يُرحَّل","مسودة"))))),"")</f>
        <v/>
      </c>
      <c r="Y1068" s="32">
        <f>IF($A1068=1,IF(AND($R1068=1,OR(LG_Acct="",$G1068=LG_Acct),OR(LG_Party="",$K1068=LG_Party),OR(LG_Loc="ALL",$I1068=LG_Loc),OR(LG_CC="ALL",$J1068=LG_CC),$D1068&gt;=LG_From,$D1068&lt;=LG_To),$D1068+ROW()/1000000,""),"")</f>
        <v/>
      </c>
      <c r="Z1068" s="32">
        <f>IF($A1068=1,IF(Expenses!$N31="","",Expenses!$N31),"")</f>
        <v/>
      </c>
      <c r="AA1068" s="32">
        <f>IF($A1068=1,IF(Expenses!$O31="","",Expenses!$O31),"")</f>
        <v/>
      </c>
      <c r="AB1068" s="32">
        <f>IF($A1068=1,IF(Expenses!$P31="","",Expenses!$P31),"")</f>
        <v/>
      </c>
      <c r="AC1068" s="32">
        <f>IF($A1068=1,IF(Expenses!$Q31="","",Expenses!$Q31),"")</f>
        <v/>
      </c>
      <c r="AD1068" s="32">
        <f>IF($A1068=1,IF(Expenses!$R31="","",Expenses!$R31),"")</f>
        <v/>
      </c>
      <c r="AE1068" s="32">
        <f>IF($A1068=1,0,"")</f>
        <v/>
      </c>
      <c r="AF1068" s="32" t="inlineStr"/>
    </row>
    <row r="1069">
      <c r="A1069" s="32">
        <f>IF(AND(Expenses!$AB31=1,N(Expenses!$W31)&gt;0),1,0)</f>
        <v/>
      </c>
      <c r="B1069" s="32">
        <f>IF($A1069=1,$E1069&amp;"/3","")</f>
        <v/>
      </c>
      <c r="C1069" s="32">
        <f>IF($A1069=1,"J-"&amp;Expenses!$A31,"")</f>
        <v/>
      </c>
      <c r="D1069" s="33">
        <f>IF($A1069=1,Expenses!$B31,"")</f>
        <v/>
      </c>
      <c r="E1069" s="32">
        <f>IF($A1069=1,IF(Expenses!$A31="","",Expenses!$A31),"")</f>
        <v/>
      </c>
      <c r="F1069" s="32">
        <f>IF($A1069=1,"EXP","")</f>
        <v/>
      </c>
      <c r="G1069" s="32">
        <f>IF($A1069=1,IF(Expenses!$V31="","",Expenses!$V31),"")</f>
        <v/>
      </c>
      <c r="H1069" s="32">
        <f>IF($A1069=1,IF(COUNTIF(COA!$A:$A,$G1069)=0,"حساب غير معرف",INDEX(COA!$B:$B,MATCH($G1069,COA!$A:$A,0))),"")</f>
        <v/>
      </c>
      <c r="I1069" s="32">
        <f>IF($A1069=1,IF(Expenses!$C31="","",Expenses!$C31),"")</f>
        <v/>
      </c>
      <c r="J1069" s="32">
        <f>IF($A1069=1,"CC00","")</f>
        <v/>
      </c>
      <c r="K1069" s="32">
        <f>IF($A1069=1,"-","")</f>
        <v/>
      </c>
      <c r="L1069" s="32">
        <f>IF($A1069=1,IF(Expenses!$L31="","مصروف - "&amp;Expenses!$J31,Expenses!$L31),"")</f>
        <v/>
      </c>
      <c r="M1069" s="43">
        <f>IF($A1069=1,0,"")</f>
        <v/>
      </c>
      <c r="N1069" s="43">
        <f>IF($A1069=1,Expenses!$W31,"")</f>
        <v/>
      </c>
      <c r="O1069" s="32">
        <f>IF($A1069=1,Expenses!$M31,"")</f>
        <v/>
      </c>
      <c r="P1069" s="32">
        <f>IF($A1069=1,IF(Expenses!$AC31="","",Expenses!$AC31),"")</f>
        <v/>
      </c>
      <c r="Q1069" s="32">
        <f>IF($A1069=1,Expenses!$AE31,"")</f>
        <v/>
      </c>
      <c r="R1069" s="32">
        <f>IF($A1069=1,IF(AND($Q1069=1,COUNTIFS(COA!$A:$A,$G1069,COA!$R:$R,1)=1),1,0),"")</f>
        <v/>
      </c>
      <c r="S1069" s="43">
        <f>IF($A1069=1,IF($R1069=1,N($M1069),0),"")</f>
        <v/>
      </c>
      <c r="T1069" s="43">
        <f>IF($A1069=1,IF($R1069=1,N($N1069),0),"")</f>
        <v/>
      </c>
      <c r="U1069" s="32">
        <f>IF($A1069=1,YEAR($D1069)*100+MONTH($D1069),"")</f>
        <v/>
      </c>
      <c r="V1069" s="32">
        <f>IF($A1069=1,IF(COUNTIF(COA!$A:$A,$G1069)=0,0,INDEX(COA!$H:$H,MATCH($G1069,COA!$A:$A,0))),"")</f>
        <v/>
      </c>
      <c r="W1069" s="32">
        <f>IF($A1069=1,"OPERATING","")</f>
        <v/>
      </c>
      <c r="X1069" s="32">
        <f>IF($A1069=1,IF($R1069=1,"",IF($O1069=ST_POST,IF($P1069&lt;&gt;"",$P1069,"حساب غير صالح أو غير نشط"),IF($O1069=ST_REV,"معكوس: لا أثر على الدفاتر",IF($O1069=ST_CANC,"ملغى",IF($O1069=ST_APPR,"معتمد ولم يُرحَّل","مسودة"))))),"")</f>
        <v/>
      </c>
      <c r="Y1069" s="32">
        <f>IF($A1069=1,IF(AND($R1069=1,OR(LG_Acct="",$G1069=LG_Acct),OR(LG_Party="",$K1069=LG_Party),OR(LG_Loc="ALL",$I1069=LG_Loc),OR(LG_CC="ALL",$J1069=LG_CC),$D1069&gt;=LG_From,$D1069&lt;=LG_To),$D1069+ROW()/1000000,""),"")</f>
        <v/>
      </c>
      <c r="Z1069" s="32">
        <f>IF($A1069=1,IF(Expenses!$N31="","",Expenses!$N31),"")</f>
        <v/>
      </c>
      <c r="AA1069" s="32">
        <f>IF($A1069=1,IF(Expenses!$O31="","",Expenses!$O31),"")</f>
        <v/>
      </c>
      <c r="AB1069" s="32">
        <f>IF($A1069=1,IF(Expenses!$P31="","",Expenses!$P31),"")</f>
        <v/>
      </c>
      <c r="AC1069" s="32">
        <f>IF($A1069=1,IF(Expenses!$Q31="","",Expenses!$Q31),"")</f>
        <v/>
      </c>
      <c r="AD1069" s="32">
        <f>IF($A1069=1,IF(Expenses!$R31="","",Expenses!$R31),"")</f>
        <v/>
      </c>
      <c r="AE1069" s="32">
        <f>IF($A1069=1,0,"")</f>
        <v/>
      </c>
      <c r="AF1069" s="32" t="inlineStr"/>
    </row>
    <row r="1070">
      <c r="A1070" s="32">
        <f>IF(AND(Expenses!$AB32=1,N(Expenses!$F32)&gt;0),1,0)</f>
        <v/>
      </c>
      <c r="B1070" s="32">
        <f>IF($A1070=1,$E1070&amp;"/1","")</f>
        <v/>
      </c>
      <c r="C1070" s="32">
        <f>IF($A1070=1,"J-"&amp;Expenses!$A32,"")</f>
        <v/>
      </c>
      <c r="D1070" s="33">
        <f>IF($A1070=1,Expenses!$B32,"")</f>
        <v/>
      </c>
      <c r="E1070" s="32">
        <f>IF($A1070=1,IF(Expenses!$A32="","",Expenses!$A32),"")</f>
        <v/>
      </c>
      <c r="F1070" s="32">
        <f>IF($A1070=1,"EXP","")</f>
        <v/>
      </c>
      <c r="G1070" s="32">
        <f>IF($A1070=1,IF(Expenses!$E32="","",Expenses!$E32),"")</f>
        <v/>
      </c>
      <c r="H1070" s="32">
        <f>IF($A1070=1,IF(COUNTIF(COA!$A:$A,$G1070)=0,"حساب غير معرف",INDEX(COA!$B:$B,MATCH($G1070,COA!$A:$A,0))),"")</f>
        <v/>
      </c>
      <c r="I1070" s="32">
        <f>IF($A1070=1,IF(Expenses!$C32="","",Expenses!$C32),"")</f>
        <v/>
      </c>
      <c r="J1070" s="32">
        <f>IF($A1070=1,IF(Expenses!$D32="","",Expenses!$D32),"")</f>
        <v/>
      </c>
      <c r="K1070" s="32">
        <f>IF($A1070=1,"-","")</f>
        <v/>
      </c>
      <c r="L1070" s="32">
        <f>IF($A1070=1,IF(Expenses!$L32="","مصروف - "&amp;Expenses!$J32,Expenses!$L32),"")</f>
        <v/>
      </c>
      <c r="M1070" s="43">
        <f>IF($A1070=1,Expenses!$F32,"")</f>
        <v/>
      </c>
      <c r="N1070" s="43">
        <f>IF($A1070=1,0,"")</f>
        <v/>
      </c>
      <c r="O1070" s="32">
        <f>IF($A1070=1,Expenses!$M32,"")</f>
        <v/>
      </c>
      <c r="P1070" s="32">
        <f>IF($A1070=1,IF(Expenses!$AC32="","",Expenses!$AC32),"")</f>
        <v/>
      </c>
      <c r="Q1070" s="32">
        <f>IF($A1070=1,Expenses!$AE32,"")</f>
        <v/>
      </c>
      <c r="R1070" s="32">
        <f>IF($A1070=1,IF(AND($Q1070=1,COUNTIFS(COA!$A:$A,$G1070,COA!$R:$R,1)=1),1,0),"")</f>
        <v/>
      </c>
      <c r="S1070" s="43">
        <f>IF($A1070=1,IF($R1070=1,N($M1070),0),"")</f>
        <v/>
      </c>
      <c r="T1070" s="43">
        <f>IF($A1070=1,IF($R1070=1,N($N1070),0),"")</f>
        <v/>
      </c>
      <c r="U1070" s="32">
        <f>IF($A1070=1,YEAR($D1070)*100+MONTH($D1070),"")</f>
        <v/>
      </c>
      <c r="V1070" s="32">
        <f>IF($A1070=1,IF(COUNTIF(COA!$A:$A,$G1070)=0,0,INDEX(COA!$H:$H,MATCH($G1070,COA!$A:$A,0))),"")</f>
        <v/>
      </c>
      <c r="W1070" s="32">
        <f>IF($A1070=1,"","")</f>
        <v/>
      </c>
      <c r="X1070" s="32">
        <f>IF($A1070=1,IF($R1070=1,"",IF($O1070=ST_POST,IF($P1070&lt;&gt;"",$P1070,"حساب غير صالح أو غير نشط"),IF($O1070=ST_REV,"معكوس: لا أثر على الدفاتر",IF($O1070=ST_CANC,"ملغى",IF($O1070=ST_APPR,"معتمد ولم يُرحَّل","مسودة"))))),"")</f>
        <v/>
      </c>
      <c r="Y1070" s="32">
        <f>IF($A1070=1,IF(AND($R1070=1,OR(LG_Acct="",$G1070=LG_Acct),OR(LG_Party="",$K1070=LG_Party),OR(LG_Loc="ALL",$I1070=LG_Loc),OR(LG_CC="ALL",$J1070=LG_CC),$D1070&gt;=LG_From,$D1070&lt;=LG_To),$D1070+ROW()/1000000,""),"")</f>
        <v/>
      </c>
      <c r="Z1070" s="32">
        <f>IF($A1070=1,IF(Expenses!$N32="","",Expenses!$N32),"")</f>
        <v/>
      </c>
      <c r="AA1070" s="32">
        <f>IF($A1070=1,IF(Expenses!$O32="","",Expenses!$O32),"")</f>
        <v/>
      </c>
      <c r="AB1070" s="32">
        <f>IF($A1070=1,IF(Expenses!$P32="","",Expenses!$P32),"")</f>
        <v/>
      </c>
      <c r="AC1070" s="32">
        <f>IF($A1070=1,IF(Expenses!$Q32="","",Expenses!$Q32),"")</f>
        <v/>
      </c>
      <c r="AD1070" s="32">
        <f>IF($A1070=1,IF(Expenses!$R32="","",Expenses!$R32),"")</f>
        <v/>
      </c>
      <c r="AE1070" s="32">
        <f>IF($A1070=1,0,"")</f>
        <v/>
      </c>
      <c r="AF1070" s="32" t="inlineStr"/>
    </row>
    <row r="1071">
      <c r="A1071" s="32">
        <f>IF(AND(Expenses!$AB32=1,N(Expenses!$G32)&gt;0),1,0)</f>
        <v/>
      </c>
      <c r="B1071" s="32">
        <f>IF($A1071=1,$E1071&amp;"/2","")</f>
        <v/>
      </c>
      <c r="C1071" s="32">
        <f>IF($A1071=1,"J-"&amp;Expenses!$A32,"")</f>
        <v/>
      </c>
      <c r="D1071" s="33">
        <f>IF($A1071=1,Expenses!$B32,"")</f>
        <v/>
      </c>
      <c r="E1071" s="32">
        <f>IF($A1071=1,IF(Expenses!$A32="","",Expenses!$A32),"")</f>
        <v/>
      </c>
      <c r="F1071" s="32">
        <f>IF($A1071=1,"EXP","")</f>
        <v/>
      </c>
      <c r="G1071" s="32">
        <f>IF($A1071=1,ACC_VAT_IN,"")</f>
        <v/>
      </c>
      <c r="H1071" s="32">
        <f>IF($A1071=1,IF(COUNTIF(COA!$A:$A,$G1071)=0,"حساب غير معرف",INDEX(COA!$B:$B,MATCH($G1071,COA!$A:$A,0))),"")</f>
        <v/>
      </c>
      <c r="I1071" s="32">
        <f>IF($A1071=1,IF(Expenses!$C32="","",Expenses!$C32),"")</f>
        <v/>
      </c>
      <c r="J1071" s="32">
        <f>IF($A1071=1,IF(Expenses!$D32="","",Expenses!$D32),"")</f>
        <v/>
      </c>
      <c r="K1071" s="32">
        <f>IF($A1071=1,"-","")</f>
        <v/>
      </c>
      <c r="L1071" s="32">
        <f>IF($A1071=1,"ضريبة قيمة مضافة - مدخلات","")</f>
        <v/>
      </c>
      <c r="M1071" s="43">
        <f>IF($A1071=1,Expenses!$G32,"")</f>
        <v/>
      </c>
      <c r="N1071" s="43">
        <f>IF($A1071=1,0,"")</f>
        <v/>
      </c>
      <c r="O1071" s="32">
        <f>IF($A1071=1,Expenses!$M32,"")</f>
        <v/>
      </c>
      <c r="P1071" s="32">
        <f>IF($A1071=1,IF(Expenses!$AC32="","",Expenses!$AC32),"")</f>
        <v/>
      </c>
      <c r="Q1071" s="32">
        <f>IF($A1071=1,Expenses!$AE32,"")</f>
        <v/>
      </c>
      <c r="R1071" s="32">
        <f>IF($A1071=1,IF(AND($Q1071=1,COUNTIFS(COA!$A:$A,$G1071,COA!$R:$R,1)=1),1,0),"")</f>
        <v/>
      </c>
      <c r="S1071" s="43">
        <f>IF($A1071=1,IF($R1071=1,N($M1071),0),"")</f>
        <v/>
      </c>
      <c r="T1071" s="43">
        <f>IF($A1071=1,IF($R1071=1,N($N1071),0),"")</f>
        <v/>
      </c>
      <c r="U1071" s="32">
        <f>IF($A1071=1,YEAR($D1071)*100+MONTH($D1071),"")</f>
        <v/>
      </c>
      <c r="V1071" s="32">
        <f>IF($A1071=1,IF(COUNTIF(COA!$A:$A,$G1071)=0,0,INDEX(COA!$H:$H,MATCH($G1071,COA!$A:$A,0))),"")</f>
        <v/>
      </c>
      <c r="W1071" s="32">
        <f>IF($A1071=1,"","")</f>
        <v/>
      </c>
      <c r="X1071" s="32">
        <f>IF($A1071=1,IF($R1071=1,"",IF($O1071=ST_POST,IF($P1071&lt;&gt;"",$P1071,"حساب غير صالح أو غير نشط"),IF($O1071=ST_REV,"معكوس: لا أثر على الدفاتر",IF($O1071=ST_CANC,"ملغى",IF($O1071=ST_APPR,"معتمد ولم يُرحَّل","مسودة"))))),"")</f>
        <v/>
      </c>
      <c r="Y1071" s="32">
        <f>IF($A1071=1,IF(AND($R1071=1,OR(LG_Acct="",$G1071=LG_Acct),OR(LG_Party="",$K1071=LG_Party),OR(LG_Loc="ALL",$I1071=LG_Loc),OR(LG_CC="ALL",$J1071=LG_CC),$D1071&gt;=LG_From,$D1071&lt;=LG_To),$D1071+ROW()/1000000,""),"")</f>
        <v/>
      </c>
      <c r="Z1071" s="32">
        <f>IF($A1071=1,IF(Expenses!$N32="","",Expenses!$N32),"")</f>
        <v/>
      </c>
      <c r="AA1071" s="32">
        <f>IF($A1071=1,IF(Expenses!$O32="","",Expenses!$O32),"")</f>
        <v/>
      </c>
      <c r="AB1071" s="32">
        <f>IF($A1071=1,IF(Expenses!$P32="","",Expenses!$P32),"")</f>
        <v/>
      </c>
      <c r="AC1071" s="32">
        <f>IF($A1071=1,IF(Expenses!$Q32="","",Expenses!$Q32),"")</f>
        <v/>
      </c>
      <c r="AD1071" s="32">
        <f>IF($A1071=1,IF(Expenses!$R32="","",Expenses!$R32),"")</f>
        <v/>
      </c>
      <c r="AE1071" s="32">
        <f>IF($A1071=1,0,"")</f>
        <v/>
      </c>
      <c r="AF1071" s="32" t="inlineStr"/>
    </row>
    <row r="1072">
      <c r="A1072" s="32">
        <f>IF(AND(Expenses!$AB32=1,N(Expenses!$W32)&gt;0),1,0)</f>
        <v/>
      </c>
      <c r="B1072" s="32">
        <f>IF($A1072=1,$E1072&amp;"/3","")</f>
        <v/>
      </c>
      <c r="C1072" s="32">
        <f>IF($A1072=1,"J-"&amp;Expenses!$A32,"")</f>
        <v/>
      </c>
      <c r="D1072" s="33">
        <f>IF($A1072=1,Expenses!$B32,"")</f>
        <v/>
      </c>
      <c r="E1072" s="32">
        <f>IF($A1072=1,IF(Expenses!$A32="","",Expenses!$A32),"")</f>
        <v/>
      </c>
      <c r="F1072" s="32">
        <f>IF($A1072=1,"EXP","")</f>
        <v/>
      </c>
      <c r="G1072" s="32">
        <f>IF($A1072=1,IF(Expenses!$V32="","",Expenses!$V32),"")</f>
        <v/>
      </c>
      <c r="H1072" s="32">
        <f>IF($A1072=1,IF(COUNTIF(COA!$A:$A,$G1072)=0,"حساب غير معرف",INDEX(COA!$B:$B,MATCH($G1072,COA!$A:$A,0))),"")</f>
        <v/>
      </c>
      <c r="I1072" s="32">
        <f>IF($A1072=1,IF(Expenses!$C32="","",Expenses!$C32),"")</f>
        <v/>
      </c>
      <c r="J1072" s="32">
        <f>IF($A1072=1,"CC00","")</f>
        <v/>
      </c>
      <c r="K1072" s="32">
        <f>IF($A1072=1,"-","")</f>
        <v/>
      </c>
      <c r="L1072" s="32">
        <f>IF($A1072=1,IF(Expenses!$L32="","مصروف - "&amp;Expenses!$J32,Expenses!$L32),"")</f>
        <v/>
      </c>
      <c r="M1072" s="43">
        <f>IF($A1072=1,0,"")</f>
        <v/>
      </c>
      <c r="N1072" s="43">
        <f>IF($A1072=1,Expenses!$W32,"")</f>
        <v/>
      </c>
      <c r="O1072" s="32">
        <f>IF($A1072=1,Expenses!$M32,"")</f>
        <v/>
      </c>
      <c r="P1072" s="32">
        <f>IF($A1072=1,IF(Expenses!$AC32="","",Expenses!$AC32),"")</f>
        <v/>
      </c>
      <c r="Q1072" s="32">
        <f>IF($A1072=1,Expenses!$AE32,"")</f>
        <v/>
      </c>
      <c r="R1072" s="32">
        <f>IF($A1072=1,IF(AND($Q1072=1,COUNTIFS(COA!$A:$A,$G1072,COA!$R:$R,1)=1),1,0),"")</f>
        <v/>
      </c>
      <c r="S1072" s="43">
        <f>IF($A1072=1,IF($R1072=1,N($M1072),0),"")</f>
        <v/>
      </c>
      <c r="T1072" s="43">
        <f>IF($A1072=1,IF($R1072=1,N($N1072),0),"")</f>
        <v/>
      </c>
      <c r="U1072" s="32">
        <f>IF($A1072=1,YEAR($D1072)*100+MONTH($D1072),"")</f>
        <v/>
      </c>
      <c r="V1072" s="32">
        <f>IF($A1072=1,IF(COUNTIF(COA!$A:$A,$G1072)=0,0,INDEX(COA!$H:$H,MATCH($G1072,COA!$A:$A,0))),"")</f>
        <v/>
      </c>
      <c r="W1072" s="32">
        <f>IF($A1072=1,"OPERATING","")</f>
        <v/>
      </c>
      <c r="X1072" s="32">
        <f>IF($A1072=1,IF($R1072=1,"",IF($O1072=ST_POST,IF($P1072&lt;&gt;"",$P1072,"حساب غير صالح أو غير نشط"),IF($O1072=ST_REV,"معكوس: لا أثر على الدفاتر",IF($O1072=ST_CANC,"ملغى",IF($O1072=ST_APPR,"معتمد ولم يُرحَّل","مسودة"))))),"")</f>
        <v/>
      </c>
      <c r="Y1072" s="32">
        <f>IF($A1072=1,IF(AND($R1072=1,OR(LG_Acct="",$G1072=LG_Acct),OR(LG_Party="",$K1072=LG_Party),OR(LG_Loc="ALL",$I1072=LG_Loc),OR(LG_CC="ALL",$J1072=LG_CC),$D1072&gt;=LG_From,$D1072&lt;=LG_To),$D1072+ROW()/1000000,""),"")</f>
        <v/>
      </c>
      <c r="Z1072" s="32">
        <f>IF($A1072=1,IF(Expenses!$N32="","",Expenses!$N32),"")</f>
        <v/>
      </c>
      <c r="AA1072" s="32">
        <f>IF($A1072=1,IF(Expenses!$O32="","",Expenses!$O32),"")</f>
        <v/>
      </c>
      <c r="AB1072" s="32">
        <f>IF($A1072=1,IF(Expenses!$P32="","",Expenses!$P32),"")</f>
        <v/>
      </c>
      <c r="AC1072" s="32">
        <f>IF($A1072=1,IF(Expenses!$Q32="","",Expenses!$Q32),"")</f>
        <v/>
      </c>
      <c r="AD1072" s="32">
        <f>IF($A1072=1,IF(Expenses!$R32="","",Expenses!$R32),"")</f>
        <v/>
      </c>
      <c r="AE1072" s="32">
        <f>IF($A1072=1,0,"")</f>
        <v/>
      </c>
      <c r="AF1072" s="32" t="inlineStr"/>
    </row>
    <row r="1073">
      <c r="A1073" s="32">
        <f>IF(AND(Expenses!$AB33=1,N(Expenses!$F33)&gt;0),1,0)</f>
        <v/>
      </c>
      <c r="B1073" s="32">
        <f>IF($A1073=1,$E1073&amp;"/1","")</f>
        <v/>
      </c>
      <c r="C1073" s="32">
        <f>IF($A1073=1,"J-"&amp;Expenses!$A33,"")</f>
        <v/>
      </c>
      <c r="D1073" s="33">
        <f>IF($A1073=1,Expenses!$B33,"")</f>
        <v/>
      </c>
      <c r="E1073" s="32">
        <f>IF($A1073=1,IF(Expenses!$A33="","",Expenses!$A33),"")</f>
        <v/>
      </c>
      <c r="F1073" s="32">
        <f>IF($A1073=1,"EXP","")</f>
        <v/>
      </c>
      <c r="G1073" s="32">
        <f>IF($A1073=1,IF(Expenses!$E33="","",Expenses!$E33),"")</f>
        <v/>
      </c>
      <c r="H1073" s="32">
        <f>IF($A1073=1,IF(COUNTIF(COA!$A:$A,$G1073)=0,"حساب غير معرف",INDEX(COA!$B:$B,MATCH($G1073,COA!$A:$A,0))),"")</f>
        <v/>
      </c>
      <c r="I1073" s="32">
        <f>IF($A1073=1,IF(Expenses!$C33="","",Expenses!$C33),"")</f>
        <v/>
      </c>
      <c r="J1073" s="32">
        <f>IF($A1073=1,IF(Expenses!$D33="","",Expenses!$D33),"")</f>
        <v/>
      </c>
      <c r="K1073" s="32">
        <f>IF($A1073=1,"-","")</f>
        <v/>
      </c>
      <c r="L1073" s="32">
        <f>IF($A1073=1,IF(Expenses!$L33="","مصروف - "&amp;Expenses!$J33,Expenses!$L33),"")</f>
        <v/>
      </c>
      <c r="M1073" s="43">
        <f>IF($A1073=1,Expenses!$F33,"")</f>
        <v/>
      </c>
      <c r="N1073" s="43">
        <f>IF($A1073=1,0,"")</f>
        <v/>
      </c>
      <c r="O1073" s="32">
        <f>IF($A1073=1,Expenses!$M33,"")</f>
        <v/>
      </c>
      <c r="P1073" s="32">
        <f>IF($A1073=1,IF(Expenses!$AC33="","",Expenses!$AC33),"")</f>
        <v/>
      </c>
      <c r="Q1073" s="32">
        <f>IF($A1073=1,Expenses!$AE33,"")</f>
        <v/>
      </c>
      <c r="R1073" s="32">
        <f>IF($A1073=1,IF(AND($Q1073=1,COUNTIFS(COA!$A:$A,$G1073,COA!$R:$R,1)=1),1,0),"")</f>
        <v/>
      </c>
      <c r="S1073" s="43">
        <f>IF($A1073=1,IF($R1073=1,N($M1073),0),"")</f>
        <v/>
      </c>
      <c r="T1073" s="43">
        <f>IF($A1073=1,IF($R1073=1,N($N1073),0),"")</f>
        <v/>
      </c>
      <c r="U1073" s="32">
        <f>IF($A1073=1,YEAR($D1073)*100+MONTH($D1073),"")</f>
        <v/>
      </c>
      <c r="V1073" s="32">
        <f>IF($A1073=1,IF(COUNTIF(COA!$A:$A,$G1073)=0,0,INDEX(COA!$H:$H,MATCH($G1073,COA!$A:$A,0))),"")</f>
        <v/>
      </c>
      <c r="W1073" s="32">
        <f>IF($A1073=1,"","")</f>
        <v/>
      </c>
      <c r="X1073" s="32">
        <f>IF($A1073=1,IF($R1073=1,"",IF($O1073=ST_POST,IF($P1073&lt;&gt;"",$P1073,"حساب غير صالح أو غير نشط"),IF($O1073=ST_REV,"معكوس: لا أثر على الدفاتر",IF($O1073=ST_CANC,"ملغى",IF($O1073=ST_APPR,"معتمد ولم يُرحَّل","مسودة"))))),"")</f>
        <v/>
      </c>
      <c r="Y1073" s="32">
        <f>IF($A1073=1,IF(AND($R1073=1,OR(LG_Acct="",$G1073=LG_Acct),OR(LG_Party="",$K1073=LG_Party),OR(LG_Loc="ALL",$I1073=LG_Loc),OR(LG_CC="ALL",$J1073=LG_CC),$D1073&gt;=LG_From,$D1073&lt;=LG_To),$D1073+ROW()/1000000,""),"")</f>
        <v/>
      </c>
      <c r="Z1073" s="32">
        <f>IF($A1073=1,IF(Expenses!$N33="","",Expenses!$N33),"")</f>
        <v/>
      </c>
      <c r="AA1073" s="32">
        <f>IF($A1073=1,IF(Expenses!$O33="","",Expenses!$O33),"")</f>
        <v/>
      </c>
      <c r="AB1073" s="32">
        <f>IF($A1073=1,IF(Expenses!$P33="","",Expenses!$P33),"")</f>
        <v/>
      </c>
      <c r="AC1073" s="32">
        <f>IF($A1073=1,IF(Expenses!$Q33="","",Expenses!$Q33),"")</f>
        <v/>
      </c>
      <c r="AD1073" s="32">
        <f>IF($A1073=1,IF(Expenses!$R33="","",Expenses!$R33),"")</f>
        <v/>
      </c>
      <c r="AE1073" s="32">
        <f>IF($A1073=1,0,"")</f>
        <v/>
      </c>
      <c r="AF1073" s="32" t="inlineStr"/>
    </row>
    <row r="1074">
      <c r="A1074" s="32">
        <f>IF(AND(Expenses!$AB33=1,N(Expenses!$G33)&gt;0),1,0)</f>
        <v/>
      </c>
      <c r="B1074" s="32">
        <f>IF($A1074=1,$E1074&amp;"/2","")</f>
        <v/>
      </c>
      <c r="C1074" s="32">
        <f>IF($A1074=1,"J-"&amp;Expenses!$A33,"")</f>
        <v/>
      </c>
      <c r="D1074" s="33">
        <f>IF($A1074=1,Expenses!$B33,"")</f>
        <v/>
      </c>
      <c r="E1074" s="32">
        <f>IF($A1074=1,IF(Expenses!$A33="","",Expenses!$A33),"")</f>
        <v/>
      </c>
      <c r="F1074" s="32">
        <f>IF($A1074=1,"EXP","")</f>
        <v/>
      </c>
      <c r="G1074" s="32">
        <f>IF($A1074=1,ACC_VAT_IN,"")</f>
        <v/>
      </c>
      <c r="H1074" s="32">
        <f>IF($A1074=1,IF(COUNTIF(COA!$A:$A,$G1074)=0,"حساب غير معرف",INDEX(COA!$B:$B,MATCH($G1074,COA!$A:$A,0))),"")</f>
        <v/>
      </c>
      <c r="I1074" s="32">
        <f>IF($A1074=1,IF(Expenses!$C33="","",Expenses!$C33),"")</f>
        <v/>
      </c>
      <c r="J1074" s="32">
        <f>IF($A1074=1,IF(Expenses!$D33="","",Expenses!$D33),"")</f>
        <v/>
      </c>
      <c r="K1074" s="32">
        <f>IF($A1074=1,"-","")</f>
        <v/>
      </c>
      <c r="L1074" s="32">
        <f>IF($A1074=1,"ضريبة قيمة مضافة - مدخلات","")</f>
        <v/>
      </c>
      <c r="M1074" s="43">
        <f>IF($A1074=1,Expenses!$G33,"")</f>
        <v/>
      </c>
      <c r="N1074" s="43">
        <f>IF($A1074=1,0,"")</f>
        <v/>
      </c>
      <c r="O1074" s="32">
        <f>IF($A1074=1,Expenses!$M33,"")</f>
        <v/>
      </c>
      <c r="P1074" s="32">
        <f>IF($A1074=1,IF(Expenses!$AC33="","",Expenses!$AC33),"")</f>
        <v/>
      </c>
      <c r="Q1074" s="32">
        <f>IF($A1074=1,Expenses!$AE33,"")</f>
        <v/>
      </c>
      <c r="R1074" s="32">
        <f>IF($A1074=1,IF(AND($Q1074=1,COUNTIFS(COA!$A:$A,$G1074,COA!$R:$R,1)=1),1,0),"")</f>
        <v/>
      </c>
      <c r="S1074" s="43">
        <f>IF($A1074=1,IF($R1074=1,N($M1074),0),"")</f>
        <v/>
      </c>
      <c r="T1074" s="43">
        <f>IF($A1074=1,IF($R1074=1,N($N1074),0),"")</f>
        <v/>
      </c>
      <c r="U1074" s="32">
        <f>IF($A1074=1,YEAR($D1074)*100+MONTH($D1074),"")</f>
        <v/>
      </c>
      <c r="V1074" s="32">
        <f>IF($A1074=1,IF(COUNTIF(COA!$A:$A,$G1074)=0,0,INDEX(COA!$H:$H,MATCH($G1074,COA!$A:$A,0))),"")</f>
        <v/>
      </c>
      <c r="W1074" s="32">
        <f>IF($A1074=1,"","")</f>
        <v/>
      </c>
      <c r="X1074" s="32">
        <f>IF($A1074=1,IF($R1074=1,"",IF($O1074=ST_POST,IF($P1074&lt;&gt;"",$P1074,"حساب غير صالح أو غير نشط"),IF($O1074=ST_REV,"معكوس: لا أثر على الدفاتر",IF($O1074=ST_CANC,"ملغى",IF($O1074=ST_APPR,"معتمد ولم يُرحَّل","مسودة"))))),"")</f>
        <v/>
      </c>
      <c r="Y1074" s="32">
        <f>IF($A1074=1,IF(AND($R1074=1,OR(LG_Acct="",$G1074=LG_Acct),OR(LG_Party="",$K1074=LG_Party),OR(LG_Loc="ALL",$I1074=LG_Loc),OR(LG_CC="ALL",$J1074=LG_CC),$D1074&gt;=LG_From,$D1074&lt;=LG_To),$D1074+ROW()/1000000,""),"")</f>
        <v/>
      </c>
      <c r="Z1074" s="32">
        <f>IF($A1074=1,IF(Expenses!$N33="","",Expenses!$N33),"")</f>
        <v/>
      </c>
      <c r="AA1074" s="32">
        <f>IF($A1074=1,IF(Expenses!$O33="","",Expenses!$O33),"")</f>
        <v/>
      </c>
      <c r="AB1074" s="32">
        <f>IF($A1074=1,IF(Expenses!$P33="","",Expenses!$P33),"")</f>
        <v/>
      </c>
      <c r="AC1074" s="32">
        <f>IF($A1074=1,IF(Expenses!$Q33="","",Expenses!$Q33),"")</f>
        <v/>
      </c>
      <c r="AD1074" s="32">
        <f>IF($A1074=1,IF(Expenses!$R33="","",Expenses!$R33),"")</f>
        <v/>
      </c>
      <c r="AE1074" s="32">
        <f>IF($A1074=1,0,"")</f>
        <v/>
      </c>
      <c r="AF1074" s="32" t="inlineStr"/>
    </row>
    <row r="1075">
      <c r="A1075" s="32">
        <f>IF(AND(Expenses!$AB33=1,N(Expenses!$W33)&gt;0),1,0)</f>
        <v/>
      </c>
      <c r="B1075" s="32">
        <f>IF($A1075=1,$E1075&amp;"/3","")</f>
        <v/>
      </c>
      <c r="C1075" s="32">
        <f>IF($A1075=1,"J-"&amp;Expenses!$A33,"")</f>
        <v/>
      </c>
      <c r="D1075" s="33">
        <f>IF($A1075=1,Expenses!$B33,"")</f>
        <v/>
      </c>
      <c r="E1075" s="32">
        <f>IF($A1075=1,IF(Expenses!$A33="","",Expenses!$A33),"")</f>
        <v/>
      </c>
      <c r="F1075" s="32">
        <f>IF($A1075=1,"EXP","")</f>
        <v/>
      </c>
      <c r="G1075" s="32">
        <f>IF($A1075=1,IF(Expenses!$V33="","",Expenses!$V33),"")</f>
        <v/>
      </c>
      <c r="H1075" s="32">
        <f>IF($A1075=1,IF(COUNTIF(COA!$A:$A,$G1075)=0,"حساب غير معرف",INDEX(COA!$B:$B,MATCH($G1075,COA!$A:$A,0))),"")</f>
        <v/>
      </c>
      <c r="I1075" s="32">
        <f>IF($A1075=1,IF(Expenses!$C33="","",Expenses!$C33),"")</f>
        <v/>
      </c>
      <c r="J1075" s="32">
        <f>IF($A1075=1,"CC00","")</f>
        <v/>
      </c>
      <c r="K1075" s="32">
        <f>IF($A1075=1,"-","")</f>
        <v/>
      </c>
      <c r="L1075" s="32">
        <f>IF($A1075=1,IF(Expenses!$L33="","مصروف - "&amp;Expenses!$J33,Expenses!$L33),"")</f>
        <v/>
      </c>
      <c r="M1075" s="43">
        <f>IF($A1075=1,0,"")</f>
        <v/>
      </c>
      <c r="N1075" s="43">
        <f>IF($A1075=1,Expenses!$W33,"")</f>
        <v/>
      </c>
      <c r="O1075" s="32">
        <f>IF($A1075=1,Expenses!$M33,"")</f>
        <v/>
      </c>
      <c r="P1075" s="32">
        <f>IF($A1075=1,IF(Expenses!$AC33="","",Expenses!$AC33),"")</f>
        <v/>
      </c>
      <c r="Q1075" s="32">
        <f>IF($A1075=1,Expenses!$AE33,"")</f>
        <v/>
      </c>
      <c r="R1075" s="32">
        <f>IF($A1075=1,IF(AND($Q1075=1,COUNTIFS(COA!$A:$A,$G1075,COA!$R:$R,1)=1),1,0),"")</f>
        <v/>
      </c>
      <c r="S1075" s="43">
        <f>IF($A1075=1,IF($R1075=1,N($M1075),0),"")</f>
        <v/>
      </c>
      <c r="T1075" s="43">
        <f>IF($A1075=1,IF($R1075=1,N($N1075),0),"")</f>
        <v/>
      </c>
      <c r="U1075" s="32">
        <f>IF($A1075=1,YEAR($D1075)*100+MONTH($D1075),"")</f>
        <v/>
      </c>
      <c r="V1075" s="32">
        <f>IF($A1075=1,IF(COUNTIF(COA!$A:$A,$G1075)=0,0,INDEX(COA!$H:$H,MATCH($G1075,COA!$A:$A,0))),"")</f>
        <v/>
      </c>
      <c r="W1075" s="32">
        <f>IF($A1075=1,"OPERATING","")</f>
        <v/>
      </c>
      <c r="X1075" s="32">
        <f>IF($A1075=1,IF($R1075=1,"",IF($O1075=ST_POST,IF($P1075&lt;&gt;"",$P1075,"حساب غير صالح أو غير نشط"),IF($O1075=ST_REV,"معكوس: لا أثر على الدفاتر",IF($O1075=ST_CANC,"ملغى",IF($O1075=ST_APPR,"معتمد ولم يُرحَّل","مسودة"))))),"")</f>
        <v/>
      </c>
      <c r="Y1075" s="32">
        <f>IF($A1075=1,IF(AND($R1075=1,OR(LG_Acct="",$G1075=LG_Acct),OR(LG_Party="",$K1075=LG_Party),OR(LG_Loc="ALL",$I1075=LG_Loc),OR(LG_CC="ALL",$J1075=LG_CC),$D1075&gt;=LG_From,$D1075&lt;=LG_To),$D1075+ROW()/1000000,""),"")</f>
        <v/>
      </c>
      <c r="Z1075" s="32">
        <f>IF($A1075=1,IF(Expenses!$N33="","",Expenses!$N33),"")</f>
        <v/>
      </c>
      <c r="AA1075" s="32">
        <f>IF($A1075=1,IF(Expenses!$O33="","",Expenses!$O33),"")</f>
        <v/>
      </c>
      <c r="AB1075" s="32">
        <f>IF($A1075=1,IF(Expenses!$P33="","",Expenses!$P33),"")</f>
        <v/>
      </c>
      <c r="AC1075" s="32">
        <f>IF($A1075=1,IF(Expenses!$Q33="","",Expenses!$Q33),"")</f>
        <v/>
      </c>
      <c r="AD1075" s="32">
        <f>IF($A1075=1,IF(Expenses!$R33="","",Expenses!$R33),"")</f>
        <v/>
      </c>
      <c r="AE1075" s="32">
        <f>IF($A1075=1,0,"")</f>
        <v/>
      </c>
      <c r="AF1075" s="32" t="inlineStr"/>
    </row>
    <row r="1076">
      <c r="A1076" s="32">
        <f>IF(AND(Expenses!$AB34=1,N(Expenses!$F34)&gt;0),1,0)</f>
        <v/>
      </c>
      <c r="B1076" s="32">
        <f>IF($A1076=1,$E1076&amp;"/1","")</f>
        <v/>
      </c>
      <c r="C1076" s="32">
        <f>IF($A1076=1,"J-"&amp;Expenses!$A34,"")</f>
        <v/>
      </c>
      <c r="D1076" s="33">
        <f>IF($A1076=1,Expenses!$B34,"")</f>
        <v/>
      </c>
      <c r="E1076" s="32">
        <f>IF($A1076=1,IF(Expenses!$A34="","",Expenses!$A34),"")</f>
        <v/>
      </c>
      <c r="F1076" s="32">
        <f>IF($A1076=1,"EXP","")</f>
        <v/>
      </c>
      <c r="G1076" s="32">
        <f>IF($A1076=1,IF(Expenses!$E34="","",Expenses!$E34),"")</f>
        <v/>
      </c>
      <c r="H1076" s="32">
        <f>IF($A1076=1,IF(COUNTIF(COA!$A:$A,$G1076)=0,"حساب غير معرف",INDEX(COA!$B:$B,MATCH($G1076,COA!$A:$A,0))),"")</f>
        <v/>
      </c>
      <c r="I1076" s="32">
        <f>IF($A1076=1,IF(Expenses!$C34="","",Expenses!$C34),"")</f>
        <v/>
      </c>
      <c r="J1076" s="32">
        <f>IF($A1076=1,IF(Expenses!$D34="","",Expenses!$D34),"")</f>
        <v/>
      </c>
      <c r="K1076" s="32">
        <f>IF($A1076=1,"-","")</f>
        <v/>
      </c>
      <c r="L1076" s="32">
        <f>IF($A1076=1,IF(Expenses!$L34="","مصروف - "&amp;Expenses!$J34,Expenses!$L34),"")</f>
        <v/>
      </c>
      <c r="M1076" s="43">
        <f>IF($A1076=1,Expenses!$F34,"")</f>
        <v/>
      </c>
      <c r="N1076" s="43">
        <f>IF($A1076=1,0,"")</f>
        <v/>
      </c>
      <c r="O1076" s="32">
        <f>IF($A1076=1,Expenses!$M34,"")</f>
        <v/>
      </c>
      <c r="P1076" s="32">
        <f>IF($A1076=1,IF(Expenses!$AC34="","",Expenses!$AC34),"")</f>
        <v/>
      </c>
      <c r="Q1076" s="32">
        <f>IF($A1076=1,Expenses!$AE34,"")</f>
        <v/>
      </c>
      <c r="R1076" s="32">
        <f>IF($A1076=1,IF(AND($Q1076=1,COUNTIFS(COA!$A:$A,$G1076,COA!$R:$R,1)=1),1,0),"")</f>
        <v/>
      </c>
      <c r="S1076" s="43">
        <f>IF($A1076=1,IF($R1076=1,N($M1076),0),"")</f>
        <v/>
      </c>
      <c r="T1076" s="43">
        <f>IF($A1076=1,IF($R1076=1,N($N1076),0),"")</f>
        <v/>
      </c>
      <c r="U1076" s="32">
        <f>IF($A1076=1,YEAR($D1076)*100+MONTH($D1076),"")</f>
        <v/>
      </c>
      <c r="V1076" s="32">
        <f>IF($A1076=1,IF(COUNTIF(COA!$A:$A,$G1076)=0,0,INDEX(COA!$H:$H,MATCH($G1076,COA!$A:$A,0))),"")</f>
        <v/>
      </c>
      <c r="W1076" s="32">
        <f>IF($A1076=1,"","")</f>
        <v/>
      </c>
      <c r="X1076" s="32">
        <f>IF($A1076=1,IF($R1076=1,"",IF($O1076=ST_POST,IF($P1076&lt;&gt;"",$P1076,"حساب غير صالح أو غير نشط"),IF($O1076=ST_REV,"معكوس: لا أثر على الدفاتر",IF($O1076=ST_CANC,"ملغى",IF($O1076=ST_APPR,"معتمد ولم يُرحَّل","مسودة"))))),"")</f>
        <v/>
      </c>
      <c r="Y1076" s="32">
        <f>IF($A1076=1,IF(AND($R1076=1,OR(LG_Acct="",$G1076=LG_Acct),OR(LG_Party="",$K1076=LG_Party),OR(LG_Loc="ALL",$I1076=LG_Loc),OR(LG_CC="ALL",$J1076=LG_CC),$D1076&gt;=LG_From,$D1076&lt;=LG_To),$D1076+ROW()/1000000,""),"")</f>
        <v/>
      </c>
      <c r="Z1076" s="32">
        <f>IF($A1076=1,IF(Expenses!$N34="","",Expenses!$N34),"")</f>
        <v/>
      </c>
      <c r="AA1076" s="32">
        <f>IF($A1076=1,IF(Expenses!$O34="","",Expenses!$O34),"")</f>
        <v/>
      </c>
      <c r="AB1076" s="32">
        <f>IF($A1076=1,IF(Expenses!$P34="","",Expenses!$P34),"")</f>
        <v/>
      </c>
      <c r="AC1076" s="32">
        <f>IF($A1076=1,IF(Expenses!$Q34="","",Expenses!$Q34),"")</f>
        <v/>
      </c>
      <c r="AD1076" s="32">
        <f>IF($A1076=1,IF(Expenses!$R34="","",Expenses!$R34),"")</f>
        <v/>
      </c>
      <c r="AE1076" s="32">
        <f>IF($A1076=1,0,"")</f>
        <v/>
      </c>
      <c r="AF1076" s="32" t="inlineStr"/>
    </row>
    <row r="1077">
      <c r="A1077" s="32">
        <f>IF(AND(Expenses!$AB34=1,N(Expenses!$G34)&gt;0),1,0)</f>
        <v/>
      </c>
      <c r="B1077" s="32">
        <f>IF($A1077=1,$E1077&amp;"/2","")</f>
        <v/>
      </c>
      <c r="C1077" s="32">
        <f>IF($A1077=1,"J-"&amp;Expenses!$A34,"")</f>
        <v/>
      </c>
      <c r="D1077" s="33">
        <f>IF($A1077=1,Expenses!$B34,"")</f>
        <v/>
      </c>
      <c r="E1077" s="32">
        <f>IF($A1077=1,IF(Expenses!$A34="","",Expenses!$A34),"")</f>
        <v/>
      </c>
      <c r="F1077" s="32">
        <f>IF($A1077=1,"EXP","")</f>
        <v/>
      </c>
      <c r="G1077" s="32">
        <f>IF($A1077=1,ACC_VAT_IN,"")</f>
        <v/>
      </c>
      <c r="H1077" s="32">
        <f>IF($A1077=1,IF(COUNTIF(COA!$A:$A,$G1077)=0,"حساب غير معرف",INDEX(COA!$B:$B,MATCH($G1077,COA!$A:$A,0))),"")</f>
        <v/>
      </c>
      <c r="I1077" s="32">
        <f>IF($A1077=1,IF(Expenses!$C34="","",Expenses!$C34),"")</f>
        <v/>
      </c>
      <c r="J1077" s="32">
        <f>IF($A1077=1,IF(Expenses!$D34="","",Expenses!$D34),"")</f>
        <v/>
      </c>
      <c r="K1077" s="32">
        <f>IF($A1077=1,"-","")</f>
        <v/>
      </c>
      <c r="L1077" s="32">
        <f>IF($A1077=1,"ضريبة قيمة مضافة - مدخلات","")</f>
        <v/>
      </c>
      <c r="M1077" s="43">
        <f>IF($A1077=1,Expenses!$G34,"")</f>
        <v/>
      </c>
      <c r="N1077" s="43">
        <f>IF($A1077=1,0,"")</f>
        <v/>
      </c>
      <c r="O1077" s="32">
        <f>IF($A1077=1,Expenses!$M34,"")</f>
        <v/>
      </c>
      <c r="P1077" s="32">
        <f>IF($A1077=1,IF(Expenses!$AC34="","",Expenses!$AC34),"")</f>
        <v/>
      </c>
      <c r="Q1077" s="32">
        <f>IF($A1077=1,Expenses!$AE34,"")</f>
        <v/>
      </c>
      <c r="R1077" s="32">
        <f>IF($A1077=1,IF(AND($Q1077=1,COUNTIFS(COA!$A:$A,$G1077,COA!$R:$R,1)=1),1,0),"")</f>
        <v/>
      </c>
      <c r="S1077" s="43">
        <f>IF($A1077=1,IF($R1077=1,N($M1077),0),"")</f>
        <v/>
      </c>
      <c r="T1077" s="43">
        <f>IF($A1077=1,IF($R1077=1,N($N1077),0),"")</f>
        <v/>
      </c>
      <c r="U1077" s="32">
        <f>IF($A1077=1,YEAR($D1077)*100+MONTH($D1077),"")</f>
        <v/>
      </c>
      <c r="V1077" s="32">
        <f>IF($A1077=1,IF(COUNTIF(COA!$A:$A,$G1077)=0,0,INDEX(COA!$H:$H,MATCH($G1077,COA!$A:$A,0))),"")</f>
        <v/>
      </c>
      <c r="W1077" s="32">
        <f>IF($A1077=1,"","")</f>
        <v/>
      </c>
      <c r="X1077" s="32">
        <f>IF($A1077=1,IF($R1077=1,"",IF($O1077=ST_POST,IF($P1077&lt;&gt;"",$P1077,"حساب غير صالح أو غير نشط"),IF($O1077=ST_REV,"معكوس: لا أثر على الدفاتر",IF($O1077=ST_CANC,"ملغى",IF($O1077=ST_APPR,"معتمد ولم يُرحَّل","مسودة"))))),"")</f>
        <v/>
      </c>
      <c r="Y1077" s="32">
        <f>IF($A1077=1,IF(AND($R1077=1,OR(LG_Acct="",$G1077=LG_Acct),OR(LG_Party="",$K1077=LG_Party),OR(LG_Loc="ALL",$I1077=LG_Loc),OR(LG_CC="ALL",$J1077=LG_CC),$D1077&gt;=LG_From,$D1077&lt;=LG_To),$D1077+ROW()/1000000,""),"")</f>
        <v/>
      </c>
      <c r="Z1077" s="32">
        <f>IF($A1077=1,IF(Expenses!$N34="","",Expenses!$N34),"")</f>
        <v/>
      </c>
      <c r="AA1077" s="32">
        <f>IF($A1077=1,IF(Expenses!$O34="","",Expenses!$O34),"")</f>
        <v/>
      </c>
      <c r="AB1077" s="32">
        <f>IF($A1077=1,IF(Expenses!$P34="","",Expenses!$P34),"")</f>
        <v/>
      </c>
      <c r="AC1077" s="32">
        <f>IF($A1077=1,IF(Expenses!$Q34="","",Expenses!$Q34),"")</f>
        <v/>
      </c>
      <c r="AD1077" s="32">
        <f>IF($A1077=1,IF(Expenses!$R34="","",Expenses!$R34),"")</f>
        <v/>
      </c>
      <c r="AE1077" s="32">
        <f>IF($A1077=1,0,"")</f>
        <v/>
      </c>
      <c r="AF1077" s="32" t="inlineStr"/>
    </row>
    <row r="1078">
      <c r="A1078" s="32">
        <f>IF(AND(Expenses!$AB34=1,N(Expenses!$W34)&gt;0),1,0)</f>
        <v/>
      </c>
      <c r="B1078" s="32">
        <f>IF($A1078=1,$E1078&amp;"/3","")</f>
        <v/>
      </c>
      <c r="C1078" s="32">
        <f>IF($A1078=1,"J-"&amp;Expenses!$A34,"")</f>
        <v/>
      </c>
      <c r="D1078" s="33">
        <f>IF($A1078=1,Expenses!$B34,"")</f>
        <v/>
      </c>
      <c r="E1078" s="32">
        <f>IF($A1078=1,IF(Expenses!$A34="","",Expenses!$A34),"")</f>
        <v/>
      </c>
      <c r="F1078" s="32">
        <f>IF($A1078=1,"EXP","")</f>
        <v/>
      </c>
      <c r="G1078" s="32">
        <f>IF($A1078=1,IF(Expenses!$V34="","",Expenses!$V34),"")</f>
        <v/>
      </c>
      <c r="H1078" s="32">
        <f>IF($A1078=1,IF(COUNTIF(COA!$A:$A,$G1078)=0,"حساب غير معرف",INDEX(COA!$B:$B,MATCH($G1078,COA!$A:$A,0))),"")</f>
        <v/>
      </c>
      <c r="I1078" s="32">
        <f>IF($A1078=1,IF(Expenses!$C34="","",Expenses!$C34),"")</f>
        <v/>
      </c>
      <c r="J1078" s="32">
        <f>IF($A1078=1,"CC00","")</f>
        <v/>
      </c>
      <c r="K1078" s="32">
        <f>IF($A1078=1,"-","")</f>
        <v/>
      </c>
      <c r="L1078" s="32">
        <f>IF($A1078=1,IF(Expenses!$L34="","مصروف - "&amp;Expenses!$J34,Expenses!$L34),"")</f>
        <v/>
      </c>
      <c r="M1078" s="43">
        <f>IF($A1078=1,0,"")</f>
        <v/>
      </c>
      <c r="N1078" s="43">
        <f>IF($A1078=1,Expenses!$W34,"")</f>
        <v/>
      </c>
      <c r="O1078" s="32">
        <f>IF($A1078=1,Expenses!$M34,"")</f>
        <v/>
      </c>
      <c r="P1078" s="32">
        <f>IF($A1078=1,IF(Expenses!$AC34="","",Expenses!$AC34),"")</f>
        <v/>
      </c>
      <c r="Q1078" s="32">
        <f>IF($A1078=1,Expenses!$AE34,"")</f>
        <v/>
      </c>
      <c r="R1078" s="32">
        <f>IF($A1078=1,IF(AND($Q1078=1,COUNTIFS(COA!$A:$A,$G1078,COA!$R:$R,1)=1),1,0),"")</f>
        <v/>
      </c>
      <c r="S1078" s="43">
        <f>IF($A1078=1,IF($R1078=1,N($M1078),0),"")</f>
        <v/>
      </c>
      <c r="T1078" s="43">
        <f>IF($A1078=1,IF($R1078=1,N($N1078),0),"")</f>
        <v/>
      </c>
      <c r="U1078" s="32">
        <f>IF($A1078=1,YEAR($D1078)*100+MONTH($D1078),"")</f>
        <v/>
      </c>
      <c r="V1078" s="32">
        <f>IF($A1078=1,IF(COUNTIF(COA!$A:$A,$G1078)=0,0,INDEX(COA!$H:$H,MATCH($G1078,COA!$A:$A,0))),"")</f>
        <v/>
      </c>
      <c r="W1078" s="32">
        <f>IF($A1078=1,"OPERATING","")</f>
        <v/>
      </c>
      <c r="X1078" s="32">
        <f>IF($A1078=1,IF($R1078=1,"",IF($O1078=ST_POST,IF($P1078&lt;&gt;"",$P1078,"حساب غير صالح أو غير نشط"),IF($O1078=ST_REV,"معكوس: لا أثر على الدفاتر",IF($O1078=ST_CANC,"ملغى",IF($O1078=ST_APPR,"معتمد ولم يُرحَّل","مسودة"))))),"")</f>
        <v/>
      </c>
      <c r="Y1078" s="32">
        <f>IF($A1078=1,IF(AND($R1078=1,OR(LG_Acct="",$G1078=LG_Acct),OR(LG_Party="",$K1078=LG_Party),OR(LG_Loc="ALL",$I1078=LG_Loc),OR(LG_CC="ALL",$J1078=LG_CC),$D1078&gt;=LG_From,$D1078&lt;=LG_To),$D1078+ROW()/1000000,""),"")</f>
        <v/>
      </c>
      <c r="Z1078" s="32">
        <f>IF($A1078=1,IF(Expenses!$N34="","",Expenses!$N34),"")</f>
        <v/>
      </c>
      <c r="AA1078" s="32">
        <f>IF($A1078=1,IF(Expenses!$O34="","",Expenses!$O34),"")</f>
        <v/>
      </c>
      <c r="AB1078" s="32">
        <f>IF($A1078=1,IF(Expenses!$P34="","",Expenses!$P34),"")</f>
        <v/>
      </c>
      <c r="AC1078" s="32">
        <f>IF($A1078=1,IF(Expenses!$Q34="","",Expenses!$Q34),"")</f>
        <v/>
      </c>
      <c r="AD1078" s="32">
        <f>IF($A1078=1,IF(Expenses!$R34="","",Expenses!$R34),"")</f>
        <v/>
      </c>
      <c r="AE1078" s="32">
        <f>IF($A1078=1,0,"")</f>
        <v/>
      </c>
      <c r="AF1078" s="32" t="inlineStr"/>
    </row>
    <row r="1079">
      <c r="A1079" s="32">
        <f>IF(AND(Expenses!$AB35=1,N(Expenses!$F35)&gt;0),1,0)</f>
        <v/>
      </c>
      <c r="B1079" s="32">
        <f>IF($A1079=1,$E1079&amp;"/1","")</f>
        <v/>
      </c>
      <c r="C1079" s="32">
        <f>IF($A1079=1,"J-"&amp;Expenses!$A35,"")</f>
        <v/>
      </c>
      <c r="D1079" s="33">
        <f>IF($A1079=1,Expenses!$B35,"")</f>
        <v/>
      </c>
      <c r="E1079" s="32">
        <f>IF($A1079=1,IF(Expenses!$A35="","",Expenses!$A35),"")</f>
        <v/>
      </c>
      <c r="F1079" s="32">
        <f>IF($A1079=1,"EXP","")</f>
        <v/>
      </c>
      <c r="G1079" s="32">
        <f>IF($A1079=1,IF(Expenses!$E35="","",Expenses!$E35),"")</f>
        <v/>
      </c>
      <c r="H1079" s="32">
        <f>IF($A1079=1,IF(COUNTIF(COA!$A:$A,$G1079)=0,"حساب غير معرف",INDEX(COA!$B:$B,MATCH($G1079,COA!$A:$A,0))),"")</f>
        <v/>
      </c>
      <c r="I1079" s="32">
        <f>IF($A1079=1,IF(Expenses!$C35="","",Expenses!$C35),"")</f>
        <v/>
      </c>
      <c r="J1079" s="32">
        <f>IF($A1079=1,IF(Expenses!$D35="","",Expenses!$D35),"")</f>
        <v/>
      </c>
      <c r="K1079" s="32">
        <f>IF($A1079=1,"-","")</f>
        <v/>
      </c>
      <c r="L1079" s="32">
        <f>IF($A1079=1,IF(Expenses!$L35="","مصروف - "&amp;Expenses!$J35,Expenses!$L35),"")</f>
        <v/>
      </c>
      <c r="M1079" s="43">
        <f>IF($A1079=1,Expenses!$F35,"")</f>
        <v/>
      </c>
      <c r="N1079" s="43">
        <f>IF($A1079=1,0,"")</f>
        <v/>
      </c>
      <c r="O1079" s="32">
        <f>IF($A1079=1,Expenses!$M35,"")</f>
        <v/>
      </c>
      <c r="P1079" s="32">
        <f>IF($A1079=1,IF(Expenses!$AC35="","",Expenses!$AC35),"")</f>
        <v/>
      </c>
      <c r="Q1079" s="32">
        <f>IF($A1079=1,Expenses!$AE35,"")</f>
        <v/>
      </c>
      <c r="R1079" s="32">
        <f>IF($A1079=1,IF(AND($Q1079=1,COUNTIFS(COA!$A:$A,$G1079,COA!$R:$R,1)=1),1,0),"")</f>
        <v/>
      </c>
      <c r="S1079" s="43">
        <f>IF($A1079=1,IF($R1079=1,N($M1079),0),"")</f>
        <v/>
      </c>
      <c r="T1079" s="43">
        <f>IF($A1079=1,IF($R1079=1,N($N1079),0),"")</f>
        <v/>
      </c>
      <c r="U1079" s="32">
        <f>IF($A1079=1,YEAR($D1079)*100+MONTH($D1079),"")</f>
        <v/>
      </c>
      <c r="V1079" s="32">
        <f>IF($A1079=1,IF(COUNTIF(COA!$A:$A,$G1079)=0,0,INDEX(COA!$H:$H,MATCH($G1079,COA!$A:$A,0))),"")</f>
        <v/>
      </c>
      <c r="W1079" s="32">
        <f>IF($A1079=1,"","")</f>
        <v/>
      </c>
      <c r="X1079" s="32">
        <f>IF($A1079=1,IF($R1079=1,"",IF($O1079=ST_POST,IF($P1079&lt;&gt;"",$P1079,"حساب غير صالح أو غير نشط"),IF($O1079=ST_REV,"معكوس: لا أثر على الدفاتر",IF($O1079=ST_CANC,"ملغى",IF($O1079=ST_APPR,"معتمد ولم يُرحَّل","مسودة"))))),"")</f>
        <v/>
      </c>
      <c r="Y1079" s="32">
        <f>IF($A1079=1,IF(AND($R1079=1,OR(LG_Acct="",$G1079=LG_Acct),OR(LG_Party="",$K1079=LG_Party),OR(LG_Loc="ALL",$I1079=LG_Loc),OR(LG_CC="ALL",$J1079=LG_CC),$D1079&gt;=LG_From,$D1079&lt;=LG_To),$D1079+ROW()/1000000,""),"")</f>
        <v/>
      </c>
      <c r="Z1079" s="32">
        <f>IF($A1079=1,IF(Expenses!$N35="","",Expenses!$N35),"")</f>
        <v/>
      </c>
      <c r="AA1079" s="32">
        <f>IF($A1079=1,IF(Expenses!$O35="","",Expenses!$O35),"")</f>
        <v/>
      </c>
      <c r="AB1079" s="32">
        <f>IF($A1079=1,IF(Expenses!$P35="","",Expenses!$P35),"")</f>
        <v/>
      </c>
      <c r="AC1079" s="32">
        <f>IF($A1079=1,IF(Expenses!$Q35="","",Expenses!$Q35),"")</f>
        <v/>
      </c>
      <c r="AD1079" s="32">
        <f>IF($A1079=1,IF(Expenses!$R35="","",Expenses!$R35),"")</f>
        <v/>
      </c>
      <c r="AE1079" s="32">
        <f>IF($A1079=1,0,"")</f>
        <v/>
      </c>
      <c r="AF1079" s="32" t="inlineStr"/>
    </row>
    <row r="1080">
      <c r="A1080" s="32">
        <f>IF(AND(Expenses!$AB35=1,N(Expenses!$G35)&gt;0),1,0)</f>
        <v/>
      </c>
      <c r="B1080" s="32">
        <f>IF($A1080=1,$E1080&amp;"/2","")</f>
        <v/>
      </c>
      <c r="C1080" s="32">
        <f>IF($A1080=1,"J-"&amp;Expenses!$A35,"")</f>
        <v/>
      </c>
      <c r="D1080" s="33">
        <f>IF($A1080=1,Expenses!$B35,"")</f>
        <v/>
      </c>
      <c r="E1080" s="32">
        <f>IF($A1080=1,IF(Expenses!$A35="","",Expenses!$A35),"")</f>
        <v/>
      </c>
      <c r="F1080" s="32">
        <f>IF($A1080=1,"EXP","")</f>
        <v/>
      </c>
      <c r="G1080" s="32">
        <f>IF($A1080=1,ACC_VAT_IN,"")</f>
        <v/>
      </c>
      <c r="H1080" s="32">
        <f>IF($A1080=1,IF(COUNTIF(COA!$A:$A,$G1080)=0,"حساب غير معرف",INDEX(COA!$B:$B,MATCH($G1080,COA!$A:$A,0))),"")</f>
        <v/>
      </c>
      <c r="I1080" s="32">
        <f>IF($A1080=1,IF(Expenses!$C35="","",Expenses!$C35),"")</f>
        <v/>
      </c>
      <c r="J1080" s="32">
        <f>IF($A1080=1,IF(Expenses!$D35="","",Expenses!$D35),"")</f>
        <v/>
      </c>
      <c r="K1080" s="32">
        <f>IF($A1080=1,"-","")</f>
        <v/>
      </c>
      <c r="L1080" s="32">
        <f>IF($A1080=1,"ضريبة قيمة مضافة - مدخلات","")</f>
        <v/>
      </c>
      <c r="M1080" s="43">
        <f>IF($A1080=1,Expenses!$G35,"")</f>
        <v/>
      </c>
      <c r="N1080" s="43">
        <f>IF($A1080=1,0,"")</f>
        <v/>
      </c>
      <c r="O1080" s="32">
        <f>IF($A1080=1,Expenses!$M35,"")</f>
        <v/>
      </c>
      <c r="P1080" s="32">
        <f>IF($A1080=1,IF(Expenses!$AC35="","",Expenses!$AC35),"")</f>
        <v/>
      </c>
      <c r="Q1080" s="32">
        <f>IF($A1080=1,Expenses!$AE35,"")</f>
        <v/>
      </c>
      <c r="R1080" s="32">
        <f>IF($A1080=1,IF(AND($Q1080=1,COUNTIFS(COA!$A:$A,$G1080,COA!$R:$R,1)=1),1,0),"")</f>
        <v/>
      </c>
      <c r="S1080" s="43">
        <f>IF($A1080=1,IF($R1080=1,N($M1080),0),"")</f>
        <v/>
      </c>
      <c r="T1080" s="43">
        <f>IF($A1080=1,IF($R1080=1,N($N1080),0),"")</f>
        <v/>
      </c>
      <c r="U1080" s="32">
        <f>IF($A1080=1,YEAR($D1080)*100+MONTH($D1080),"")</f>
        <v/>
      </c>
      <c r="V1080" s="32">
        <f>IF($A1080=1,IF(COUNTIF(COA!$A:$A,$G1080)=0,0,INDEX(COA!$H:$H,MATCH($G1080,COA!$A:$A,0))),"")</f>
        <v/>
      </c>
      <c r="W1080" s="32">
        <f>IF($A1080=1,"","")</f>
        <v/>
      </c>
      <c r="X1080" s="32">
        <f>IF($A1080=1,IF($R1080=1,"",IF($O1080=ST_POST,IF($P1080&lt;&gt;"",$P1080,"حساب غير صالح أو غير نشط"),IF($O1080=ST_REV,"معكوس: لا أثر على الدفاتر",IF($O1080=ST_CANC,"ملغى",IF($O1080=ST_APPR,"معتمد ولم يُرحَّل","مسودة"))))),"")</f>
        <v/>
      </c>
      <c r="Y1080" s="32">
        <f>IF($A1080=1,IF(AND($R1080=1,OR(LG_Acct="",$G1080=LG_Acct),OR(LG_Party="",$K1080=LG_Party),OR(LG_Loc="ALL",$I1080=LG_Loc),OR(LG_CC="ALL",$J1080=LG_CC),$D1080&gt;=LG_From,$D1080&lt;=LG_To),$D1080+ROW()/1000000,""),"")</f>
        <v/>
      </c>
      <c r="Z1080" s="32">
        <f>IF($A1080=1,IF(Expenses!$N35="","",Expenses!$N35),"")</f>
        <v/>
      </c>
      <c r="AA1080" s="32">
        <f>IF($A1080=1,IF(Expenses!$O35="","",Expenses!$O35),"")</f>
        <v/>
      </c>
      <c r="AB1080" s="32">
        <f>IF($A1080=1,IF(Expenses!$P35="","",Expenses!$P35),"")</f>
        <v/>
      </c>
      <c r="AC1080" s="32">
        <f>IF($A1080=1,IF(Expenses!$Q35="","",Expenses!$Q35),"")</f>
        <v/>
      </c>
      <c r="AD1080" s="32">
        <f>IF($A1080=1,IF(Expenses!$R35="","",Expenses!$R35),"")</f>
        <v/>
      </c>
      <c r="AE1080" s="32">
        <f>IF($A1080=1,0,"")</f>
        <v/>
      </c>
      <c r="AF1080" s="32" t="inlineStr"/>
    </row>
    <row r="1081">
      <c r="A1081" s="32">
        <f>IF(AND(Expenses!$AB35=1,N(Expenses!$W35)&gt;0),1,0)</f>
        <v/>
      </c>
      <c r="B1081" s="32">
        <f>IF($A1081=1,$E1081&amp;"/3","")</f>
        <v/>
      </c>
      <c r="C1081" s="32">
        <f>IF($A1081=1,"J-"&amp;Expenses!$A35,"")</f>
        <v/>
      </c>
      <c r="D1081" s="33">
        <f>IF($A1081=1,Expenses!$B35,"")</f>
        <v/>
      </c>
      <c r="E1081" s="32">
        <f>IF($A1081=1,IF(Expenses!$A35="","",Expenses!$A35),"")</f>
        <v/>
      </c>
      <c r="F1081" s="32">
        <f>IF($A1081=1,"EXP","")</f>
        <v/>
      </c>
      <c r="G1081" s="32">
        <f>IF($A1081=1,IF(Expenses!$V35="","",Expenses!$V35),"")</f>
        <v/>
      </c>
      <c r="H1081" s="32">
        <f>IF($A1081=1,IF(COUNTIF(COA!$A:$A,$G1081)=0,"حساب غير معرف",INDEX(COA!$B:$B,MATCH($G1081,COA!$A:$A,0))),"")</f>
        <v/>
      </c>
      <c r="I1081" s="32">
        <f>IF($A1081=1,IF(Expenses!$C35="","",Expenses!$C35),"")</f>
        <v/>
      </c>
      <c r="J1081" s="32">
        <f>IF($A1081=1,"CC00","")</f>
        <v/>
      </c>
      <c r="K1081" s="32">
        <f>IF($A1081=1,"-","")</f>
        <v/>
      </c>
      <c r="L1081" s="32">
        <f>IF($A1081=1,IF(Expenses!$L35="","مصروف - "&amp;Expenses!$J35,Expenses!$L35),"")</f>
        <v/>
      </c>
      <c r="M1081" s="43">
        <f>IF($A1081=1,0,"")</f>
        <v/>
      </c>
      <c r="N1081" s="43">
        <f>IF($A1081=1,Expenses!$W35,"")</f>
        <v/>
      </c>
      <c r="O1081" s="32">
        <f>IF($A1081=1,Expenses!$M35,"")</f>
        <v/>
      </c>
      <c r="P1081" s="32">
        <f>IF($A1081=1,IF(Expenses!$AC35="","",Expenses!$AC35),"")</f>
        <v/>
      </c>
      <c r="Q1081" s="32">
        <f>IF($A1081=1,Expenses!$AE35,"")</f>
        <v/>
      </c>
      <c r="R1081" s="32">
        <f>IF($A1081=1,IF(AND($Q1081=1,COUNTIFS(COA!$A:$A,$G1081,COA!$R:$R,1)=1),1,0),"")</f>
        <v/>
      </c>
      <c r="S1081" s="43">
        <f>IF($A1081=1,IF($R1081=1,N($M1081),0),"")</f>
        <v/>
      </c>
      <c r="T1081" s="43">
        <f>IF($A1081=1,IF($R1081=1,N($N1081),0),"")</f>
        <v/>
      </c>
      <c r="U1081" s="32">
        <f>IF($A1081=1,YEAR($D1081)*100+MONTH($D1081),"")</f>
        <v/>
      </c>
      <c r="V1081" s="32">
        <f>IF($A1081=1,IF(COUNTIF(COA!$A:$A,$G1081)=0,0,INDEX(COA!$H:$H,MATCH($G1081,COA!$A:$A,0))),"")</f>
        <v/>
      </c>
      <c r="W1081" s="32">
        <f>IF($A1081=1,"OPERATING","")</f>
        <v/>
      </c>
      <c r="X1081" s="32">
        <f>IF($A1081=1,IF($R1081=1,"",IF($O1081=ST_POST,IF($P1081&lt;&gt;"",$P1081,"حساب غير صالح أو غير نشط"),IF($O1081=ST_REV,"معكوس: لا أثر على الدفاتر",IF($O1081=ST_CANC,"ملغى",IF($O1081=ST_APPR,"معتمد ولم يُرحَّل","مسودة"))))),"")</f>
        <v/>
      </c>
      <c r="Y1081" s="32">
        <f>IF($A1081=1,IF(AND($R1081=1,OR(LG_Acct="",$G1081=LG_Acct),OR(LG_Party="",$K1081=LG_Party),OR(LG_Loc="ALL",$I1081=LG_Loc),OR(LG_CC="ALL",$J1081=LG_CC),$D1081&gt;=LG_From,$D1081&lt;=LG_To),$D1081+ROW()/1000000,""),"")</f>
        <v/>
      </c>
      <c r="Z1081" s="32">
        <f>IF($A1081=1,IF(Expenses!$N35="","",Expenses!$N35),"")</f>
        <v/>
      </c>
      <c r="AA1081" s="32">
        <f>IF($A1081=1,IF(Expenses!$O35="","",Expenses!$O35),"")</f>
        <v/>
      </c>
      <c r="AB1081" s="32">
        <f>IF($A1081=1,IF(Expenses!$P35="","",Expenses!$P35),"")</f>
        <v/>
      </c>
      <c r="AC1081" s="32">
        <f>IF($A1081=1,IF(Expenses!$Q35="","",Expenses!$Q35),"")</f>
        <v/>
      </c>
      <c r="AD1081" s="32">
        <f>IF($A1081=1,IF(Expenses!$R35="","",Expenses!$R35),"")</f>
        <v/>
      </c>
      <c r="AE1081" s="32">
        <f>IF($A1081=1,0,"")</f>
        <v/>
      </c>
      <c r="AF1081" s="32" t="inlineStr"/>
    </row>
    <row r="1082">
      <c r="A1082" s="32">
        <f>IF(AND(Expenses!$AB36=1,N(Expenses!$F36)&gt;0),1,0)</f>
        <v/>
      </c>
      <c r="B1082" s="32">
        <f>IF($A1082=1,$E1082&amp;"/1","")</f>
        <v/>
      </c>
      <c r="C1082" s="32">
        <f>IF($A1082=1,"J-"&amp;Expenses!$A36,"")</f>
        <v/>
      </c>
      <c r="D1082" s="33">
        <f>IF($A1082=1,Expenses!$B36,"")</f>
        <v/>
      </c>
      <c r="E1082" s="32">
        <f>IF($A1082=1,IF(Expenses!$A36="","",Expenses!$A36),"")</f>
        <v/>
      </c>
      <c r="F1082" s="32">
        <f>IF($A1082=1,"EXP","")</f>
        <v/>
      </c>
      <c r="G1082" s="32">
        <f>IF($A1082=1,IF(Expenses!$E36="","",Expenses!$E36),"")</f>
        <v/>
      </c>
      <c r="H1082" s="32">
        <f>IF($A1082=1,IF(COUNTIF(COA!$A:$A,$G1082)=0,"حساب غير معرف",INDEX(COA!$B:$B,MATCH($G1082,COA!$A:$A,0))),"")</f>
        <v/>
      </c>
      <c r="I1082" s="32">
        <f>IF($A1082=1,IF(Expenses!$C36="","",Expenses!$C36),"")</f>
        <v/>
      </c>
      <c r="J1082" s="32">
        <f>IF($A1082=1,IF(Expenses!$D36="","",Expenses!$D36),"")</f>
        <v/>
      </c>
      <c r="K1082" s="32">
        <f>IF($A1082=1,"-","")</f>
        <v/>
      </c>
      <c r="L1082" s="32">
        <f>IF($A1082=1,IF(Expenses!$L36="","مصروف - "&amp;Expenses!$J36,Expenses!$L36),"")</f>
        <v/>
      </c>
      <c r="M1082" s="43">
        <f>IF($A1082=1,Expenses!$F36,"")</f>
        <v/>
      </c>
      <c r="N1082" s="43">
        <f>IF($A1082=1,0,"")</f>
        <v/>
      </c>
      <c r="O1082" s="32">
        <f>IF($A1082=1,Expenses!$M36,"")</f>
        <v/>
      </c>
      <c r="P1082" s="32">
        <f>IF($A1082=1,IF(Expenses!$AC36="","",Expenses!$AC36),"")</f>
        <v/>
      </c>
      <c r="Q1082" s="32">
        <f>IF($A1082=1,Expenses!$AE36,"")</f>
        <v/>
      </c>
      <c r="R1082" s="32">
        <f>IF($A1082=1,IF(AND($Q1082=1,COUNTIFS(COA!$A:$A,$G1082,COA!$R:$R,1)=1),1,0),"")</f>
        <v/>
      </c>
      <c r="S1082" s="43">
        <f>IF($A1082=1,IF($R1082=1,N($M1082),0),"")</f>
        <v/>
      </c>
      <c r="T1082" s="43">
        <f>IF($A1082=1,IF($R1082=1,N($N1082),0),"")</f>
        <v/>
      </c>
      <c r="U1082" s="32">
        <f>IF($A1082=1,YEAR($D1082)*100+MONTH($D1082),"")</f>
        <v/>
      </c>
      <c r="V1082" s="32">
        <f>IF($A1082=1,IF(COUNTIF(COA!$A:$A,$G1082)=0,0,INDEX(COA!$H:$H,MATCH($G1082,COA!$A:$A,0))),"")</f>
        <v/>
      </c>
      <c r="W1082" s="32">
        <f>IF($A1082=1,"","")</f>
        <v/>
      </c>
      <c r="X1082" s="32">
        <f>IF($A1082=1,IF($R1082=1,"",IF($O1082=ST_POST,IF($P1082&lt;&gt;"",$P1082,"حساب غير صالح أو غير نشط"),IF($O1082=ST_REV,"معكوس: لا أثر على الدفاتر",IF($O1082=ST_CANC,"ملغى",IF($O1082=ST_APPR,"معتمد ولم يُرحَّل","مسودة"))))),"")</f>
        <v/>
      </c>
      <c r="Y1082" s="32">
        <f>IF($A1082=1,IF(AND($R1082=1,OR(LG_Acct="",$G1082=LG_Acct),OR(LG_Party="",$K1082=LG_Party),OR(LG_Loc="ALL",$I1082=LG_Loc),OR(LG_CC="ALL",$J1082=LG_CC),$D1082&gt;=LG_From,$D1082&lt;=LG_To),$D1082+ROW()/1000000,""),"")</f>
        <v/>
      </c>
      <c r="Z1082" s="32">
        <f>IF($A1082=1,IF(Expenses!$N36="","",Expenses!$N36),"")</f>
        <v/>
      </c>
      <c r="AA1082" s="32">
        <f>IF($A1082=1,IF(Expenses!$O36="","",Expenses!$O36),"")</f>
        <v/>
      </c>
      <c r="AB1082" s="32">
        <f>IF($A1082=1,IF(Expenses!$P36="","",Expenses!$P36),"")</f>
        <v/>
      </c>
      <c r="AC1082" s="32">
        <f>IF($A1082=1,IF(Expenses!$Q36="","",Expenses!$Q36),"")</f>
        <v/>
      </c>
      <c r="AD1082" s="32">
        <f>IF($A1082=1,IF(Expenses!$R36="","",Expenses!$R36),"")</f>
        <v/>
      </c>
      <c r="AE1082" s="32">
        <f>IF($A1082=1,0,"")</f>
        <v/>
      </c>
      <c r="AF1082" s="32" t="inlineStr"/>
    </row>
    <row r="1083">
      <c r="A1083" s="32">
        <f>IF(AND(Expenses!$AB36=1,N(Expenses!$G36)&gt;0),1,0)</f>
        <v/>
      </c>
      <c r="B1083" s="32">
        <f>IF($A1083=1,$E1083&amp;"/2","")</f>
        <v/>
      </c>
      <c r="C1083" s="32">
        <f>IF($A1083=1,"J-"&amp;Expenses!$A36,"")</f>
        <v/>
      </c>
      <c r="D1083" s="33">
        <f>IF($A1083=1,Expenses!$B36,"")</f>
        <v/>
      </c>
      <c r="E1083" s="32">
        <f>IF($A1083=1,IF(Expenses!$A36="","",Expenses!$A36),"")</f>
        <v/>
      </c>
      <c r="F1083" s="32">
        <f>IF($A1083=1,"EXP","")</f>
        <v/>
      </c>
      <c r="G1083" s="32">
        <f>IF($A1083=1,ACC_VAT_IN,"")</f>
        <v/>
      </c>
      <c r="H1083" s="32">
        <f>IF($A1083=1,IF(COUNTIF(COA!$A:$A,$G1083)=0,"حساب غير معرف",INDEX(COA!$B:$B,MATCH($G1083,COA!$A:$A,0))),"")</f>
        <v/>
      </c>
      <c r="I1083" s="32">
        <f>IF($A1083=1,IF(Expenses!$C36="","",Expenses!$C36),"")</f>
        <v/>
      </c>
      <c r="J1083" s="32">
        <f>IF($A1083=1,IF(Expenses!$D36="","",Expenses!$D36),"")</f>
        <v/>
      </c>
      <c r="K1083" s="32">
        <f>IF($A1083=1,"-","")</f>
        <v/>
      </c>
      <c r="L1083" s="32">
        <f>IF($A1083=1,"ضريبة قيمة مضافة - مدخلات","")</f>
        <v/>
      </c>
      <c r="M1083" s="43">
        <f>IF($A1083=1,Expenses!$G36,"")</f>
        <v/>
      </c>
      <c r="N1083" s="43">
        <f>IF($A1083=1,0,"")</f>
        <v/>
      </c>
      <c r="O1083" s="32">
        <f>IF($A1083=1,Expenses!$M36,"")</f>
        <v/>
      </c>
      <c r="P1083" s="32">
        <f>IF($A1083=1,IF(Expenses!$AC36="","",Expenses!$AC36),"")</f>
        <v/>
      </c>
      <c r="Q1083" s="32">
        <f>IF($A1083=1,Expenses!$AE36,"")</f>
        <v/>
      </c>
      <c r="R1083" s="32">
        <f>IF($A1083=1,IF(AND($Q1083=1,COUNTIFS(COA!$A:$A,$G1083,COA!$R:$R,1)=1),1,0),"")</f>
        <v/>
      </c>
      <c r="S1083" s="43">
        <f>IF($A1083=1,IF($R1083=1,N($M1083),0),"")</f>
        <v/>
      </c>
      <c r="T1083" s="43">
        <f>IF($A1083=1,IF($R1083=1,N($N1083),0),"")</f>
        <v/>
      </c>
      <c r="U1083" s="32">
        <f>IF($A1083=1,YEAR($D1083)*100+MONTH($D1083),"")</f>
        <v/>
      </c>
      <c r="V1083" s="32">
        <f>IF($A1083=1,IF(COUNTIF(COA!$A:$A,$G1083)=0,0,INDEX(COA!$H:$H,MATCH($G1083,COA!$A:$A,0))),"")</f>
        <v/>
      </c>
      <c r="W1083" s="32">
        <f>IF($A1083=1,"","")</f>
        <v/>
      </c>
      <c r="X1083" s="32">
        <f>IF($A1083=1,IF($R1083=1,"",IF($O1083=ST_POST,IF($P1083&lt;&gt;"",$P1083,"حساب غير صالح أو غير نشط"),IF($O1083=ST_REV,"معكوس: لا أثر على الدفاتر",IF($O1083=ST_CANC,"ملغى",IF($O1083=ST_APPR,"معتمد ولم يُرحَّل","مسودة"))))),"")</f>
        <v/>
      </c>
      <c r="Y1083" s="32">
        <f>IF($A1083=1,IF(AND($R1083=1,OR(LG_Acct="",$G1083=LG_Acct),OR(LG_Party="",$K1083=LG_Party),OR(LG_Loc="ALL",$I1083=LG_Loc),OR(LG_CC="ALL",$J1083=LG_CC),$D1083&gt;=LG_From,$D1083&lt;=LG_To),$D1083+ROW()/1000000,""),"")</f>
        <v/>
      </c>
      <c r="Z1083" s="32">
        <f>IF($A1083=1,IF(Expenses!$N36="","",Expenses!$N36),"")</f>
        <v/>
      </c>
      <c r="AA1083" s="32">
        <f>IF($A1083=1,IF(Expenses!$O36="","",Expenses!$O36),"")</f>
        <v/>
      </c>
      <c r="AB1083" s="32">
        <f>IF($A1083=1,IF(Expenses!$P36="","",Expenses!$P36),"")</f>
        <v/>
      </c>
      <c r="AC1083" s="32">
        <f>IF($A1083=1,IF(Expenses!$Q36="","",Expenses!$Q36),"")</f>
        <v/>
      </c>
      <c r="AD1083" s="32">
        <f>IF($A1083=1,IF(Expenses!$R36="","",Expenses!$R36),"")</f>
        <v/>
      </c>
      <c r="AE1083" s="32">
        <f>IF($A1083=1,0,"")</f>
        <v/>
      </c>
      <c r="AF1083" s="32" t="inlineStr"/>
    </row>
    <row r="1084">
      <c r="A1084" s="32">
        <f>IF(AND(Expenses!$AB36=1,N(Expenses!$W36)&gt;0),1,0)</f>
        <v/>
      </c>
      <c r="B1084" s="32">
        <f>IF($A1084=1,$E1084&amp;"/3","")</f>
        <v/>
      </c>
      <c r="C1084" s="32">
        <f>IF($A1084=1,"J-"&amp;Expenses!$A36,"")</f>
        <v/>
      </c>
      <c r="D1084" s="33">
        <f>IF($A1084=1,Expenses!$B36,"")</f>
        <v/>
      </c>
      <c r="E1084" s="32">
        <f>IF($A1084=1,IF(Expenses!$A36="","",Expenses!$A36),"")</f>
        <v/>
      </c>
      <c r="F1084" s="32">
        <f>IF($A1084=1,"EXP","")</f>
        <v/>
      </c>
      <c r="G1084" s="32">
        <f>IF($A1084=1,IF(Expenses!$V36="","",Expenses!$V36),"")</f>
        <v/>
      </c>
      <c r="H1084" s="32">
        <f>IF($A1084=1,IF(COUNTIF(COA!$A:$A,$G1084)=0,"حساب غير معرف",INDEX(COA!$B:$B,MATCH($G1084,COA!$A:$A,0))),"")</f>
        <v/>
      </c>
      <c r="I1084" s="32">
        <f>IF($A1084=1,IF(Expenses!$C36="","",Expenses!$C36),"")</f>
        <v/>
      </c>
      <c r="J1084" s="32">
        <f>IF($A1084=1,"CC00","")</f>
        <v/>
      </c>
      <c r="K1084" s="32">
        <f>IF($A1084=1,"-","")</f>
        <v/>
      </c>
      <c r="L1084" s="32">
        <f>IF($A1084=1,IF(Expenses!$L36="","مصروف - "&amp;Expenses!$J36,Expenses!$L36),"")</f>
        <v/>
      </c>
      <c r="M1084" s="43">
        <f>IF($A1084=1,0,"")</f>
        <v/>
      </c>
      <c r="N1084" s="43">
        <f>IF($A1084=1,Expenses!$W36,"")</f>
        <v/>
      </c>
      <c r="O1084" s="32">
        <f>IF($A1084=1,Expenses!$M36,"")</f>
        <v/>
      </c>
      <c r="P1084" s="32">
        <f>IF($A1084=1,IF(Expenses!$AC36="","",Expenses!$AC36),"")</f>
        <v/>
      </c>
      <c r="Q1084" s="32">
        <f>IF($A1084=1,Expenses!$AE36,"")</f>
        <v/>
      </c>
      <c r="R1084" s="32">
        <f>IF($A1084=1,IF(AND($Q1084=1,COUNTIFS(COA!$A:$A,$G1084,COA!$R:$R,1)=1),1,0),"")</f>
        <v/>
      </c>
      <c r="S1084" s="43">
        <f>IF($A1084=1,IF($R1084=1,N($M1084),0),"")</f>
        <v/>
      </c>
      <c r="T1084" s="43">
        <f>IF($A1084=1,IF($R1084=1,N($N1084),0),"")</f>
        <v/>
      </c>
      <c r="U1084" s="32">
        <f>IF($A1084=1,YEAR($D1084)*100+MONTH($D1084),"")</f>
        <v/>
      </c>
      <c r="V1084" s="32">
        <f>IF($A1084=1,IF(COUNTIF(COA!$A:$A,$G1084)=0,0,INDEX(COA!$H:$H,MATCH($G1084,COA!$A:$A,0))),"")</f>
        <v/>
      </c>
      <c r="W1084" s="32">
        <f>IF($A1084=1,"OPERATING","")</f>
        <v/>
      </c>
      <c r="X1084" s="32">
        <f>IF($A1084=1,IF($R1084=1,"",IF($O1084=ST_POST,IF($P1084&lt;&gt;"",$P1084,"حساب غير صالح أو غير نشط"),IF($O1084=ST_REV,"معكوس: لا أثر على الدفاتر",IF($O1084=ST_CANC,"ملغى",IF($O1084=ST_APPR,"معتمد ولم يُرحَّل","مسودة"))))),"")</f>
        <v/>
      </c>
      <c r="Y1084" s="32">
        <f>IF($A1084=1,IF(AND($R1084=1,OR(LG_Acct="",$G1084=LG_Acct),OR(LG_Party="",$K1084=LG_Party),OR(LG_Loc="ALL",$I1084=LG_Loc),OR(LG_CC="ALL",$J1084=LG_CC),$D1084&gt;=LG_From,$D1084&lt;=LG_To),$D1084+ROW()/1000000,""),"")</f>
        <v/>
      </c>
      <c r="Z1084" s="32">
        <f>IF($A1084=1,IF(Expenses!$N36="","",Expenses!$N36),"")</f>
        <v/>
      </c>
      <c r="AA1084" s="32">
        <f>IF($A1084=1,IF(Expenses!$O36="","",Expenses!$O36),"")</f>
        <v/>
      </c>
      <c r="AB1084" s="32">
        <f>IF($A1084=1,IF(Expenses!$P36="","",Expenses!$P36),"")</f>
        <v/>
      </c>
      <c r="AC1084" s="32">
        <f>IF($A1084=1,IF(Expenses!$Q36="","",Expenses!$Q36),"")</f>
        <v/>
      </c>
      <c r="AD1084" s="32">
        <f>IF($A1084=1,IF(Expenses!$R36="","",Expenses!$R36),"")</f>
        <v/>
      </c>
      <c r="AE1084" s="32">
        <f>IF($A1084=1,0,"")</f>
        <v/>
      </c>
      <c r="AF1084" s="32" t="inlineStr"/>
    </row>
    <row r="1085">
      <c r="A1085" s="32">
        <f>IF(AND(Expenses!$AB37=1,N(Expenses!$F37)&gt;0),1,0)</f>
        <v/>
      </c>
      <c r="B1085" s="32">
        <f>IF($A1085=1,$E1085&amp;"/1","")</f>
        <v/>
      </c>
      <c r="C1085" s="32">
        <f>IF($A1085=1,"J-"&amp;Expenses!$A37,"")</f>
        <v/>
      </c>
      <c r="D1085" s="33">
        <f>IF($A1085=1,Expenses!$B37,"")</f>
        <v/>
      </c>
      <c r="E1085" s="32">
        <f>IF($A1085=1,IF(Expenses!$A37="","",Expenses!$A37),"")</f>
        <v/>
      </c>
      <c r="F1085" s="32">
        <f>IF($A1085=1,"EXP","")</f>
        <v/>
      </c>
      <c r="G1085" s="32">
        <f>IF($A1085=1,IF(Expenses!$E37="","",Expenses!$E37),"")</f>
        <v/>
      </c>
      <c r="H1085" s="32">
        <f>IF($A1085=1,IF(COUNTIF(COA!$A:$A,$G1085)=0,"حساب غير معرف",INDEX(COA!$B:$B,MATCH($G1085,COA!$A:$A,0))),"")</f>
        <v/>
      </c>
      <c r="I1085" s="32">
        <f>IF($A1085=1,IF(Expenses!$C37="","",Expenses!$C37),"")</f>
        <v/>
      </c>
      <c r="J1085" s="32">
        <f>IF($A1085=1,IF(Expenses!$D37="","",Expenses!$D37),"")</f>
        <v/>
      </c>
      <c r="K1085" s="32">
        <f>IF($A1085=1,"-","")</f>
        <v/>
      </c>
      <c r="L1085" s="32">
        <f>IF($A1085=1,IF(Expenses!$L37="","مصروف - "&amp;Expenses!$J37,Expenses!$L37),"")</f>
        <v/>
      </c>
      <c r="M1085" s="43">
        <f>IF($A1085=1,Expenses!$F37,"")</f>
        <v/>
      </c>
      <c r="N1085" s="43">
        <f>IF($A1085=1,0,"")</f>
        <v/>
      </c>
      <c r="O1085" s="32">
        <f>IF($A1085=1,Expenses!$M37,"")</f>
        <v/>
      </c>
      <c r="P1085" s="32">
        <f>IF($A1085=1,IF(Expenses!$AC37="","",Expenses!$AC37),"")</f>
        <v/>
      </c>
      <c r="Q1085" s="32">
        <f>IF($A1085=1,Expenses!$AE37,"")</f>
        <v/>
      </c>
      <c r="R1085" s="32">
        <f>IF($A1085=1,IF(AND($Q1085=1,COUNTIFS(COA!$A:$A,$G1085,COA!$R:$R,1)=1),1,0),"")</f>
        <v/>
      </c>
      <c r="S1085" s="43">
        <f>IF($A1085=1,IF($R1085=1,N($M1085),0),"")</f>
        <v/>
      </c>
      <c r="T1085" s="43">
        <f>IF($A1085=1,IF($R1085=1,N($N1085),0),"")</f>
        <v/>
      </c>
      <c r="U1085" s="32">
        <f>IF($A1085=1,YEAR($D1085)*100+MONTH($D1085),"")</f>
        <v/>
      </c>
      <c r="V1085" s="32">
        <f>IF($A1085=1,IF(COUNTIF(COA!$A:$A,$G1085)=0,0,INDEX(COA!$H:$H,MATCH($G1085,COA!$A:$A,0))),"")</f>
        <v/>
      </c>
      <c r="W1085" s="32">
        <f>IF($A1085=1,"","")</f>
        <v/>
      </c>
      <c r="X1085" s="32">
        <f>IF($A1085=1,IF($R1085=1,"",IF($O1085=ST_POST,IF($P1085&lt;&gt;"",$P1085,"حساب غير صالح أو غير نشط"),IF($O1085=ST_REV,"معكوس: لا أثر على الدفاتر",IF($O1085=ST_CANC,"ملغى",IF($O1085=ST_APPR,"معتمد ولم يُرحَّل","مسودة"))))),"")</f>
        <v/>
      </c>
      <c r="Y1085" s="32">
        <f>IF($A1085=1,IF(AND($R1085=1,OR(LG_Acct="",$G1085=LG_Acct),OR(LG_Party="",$K1085=LG_Party),OR(LG_Loc="ALL",$I1085=LG_Loc),OR(LG_CC="ALL",$J1085=LG_CC),$D1085&gt;=LG_From,$D1085&lt;=LG_To),$D1085+ROW()/1000000,""),"")</f>
        <v/>
      </c>
      <c r="Z1085" s="32">
        <f>IF($A1085=1,IF(Expenses!$N37="","",Expenses!$N37),"")</f>
        <v/>
      </c>
      <c r="AA1085" s="32">
        <f>IF($A1085=1,IF(Expenses!$O37="","",Expenses!$O37),"")</f>
        <v/>
      </c>
      <c r="AB1085" s="32">
        <f>IF($A1085=1,IF(Expenses!$P37="","",Expenses!$P37),"")</f>
        <v/>
      </c>
      <c r="AC1085" s="32">
        <f>IF($A1085=1,IF(Expenses!$Q37="","",Expenses!$Q37),"")</f>
        <v/>
      </c>
      <c r="AD1085" s="32">
        <f>IF($A1085=1,IF(Expenses!$R37="","",Expenses!$R37),"")</f>
        <v/>
      </c>
      <c r="AE1085" s="32">
        <f>IF($A1085=1,0,"")</f>
        <v/>
      </c>
      <c r="AF1085" s="32" t="inlineStr"/>
    </row>
    <row r="1086">
      <c r="A1086" s="32">
        <f>IF(AND(Expenses!$AB37=1,N(Expenses!$G37)&gt;0),1,0)</f>
        <v/>
      </c>
      <c r="B1086" s="32">
        <f>IF($A1086=1,$E1086&amp;"/2","")</f>
        <v/>
      </c>
      <c r="C1086" s="32">
        <f>IF($A1086=1,"J-"&amp;Expenses!$A37,"")</f>
        <v/>
      </c>
      <c r="D1086" s="33">
        <f>IF($A1086=1,Expenses!$B37,"")</f>
        <v/>
      </c>
      <c r="E1086" s="32">
        <f>IF($A1086=1,IF(Expenses!$A37="","",Expenses!$A37),"")</f>
        <v/>
      </c>
      <c r="F1086" s="32">
        <f>IF($A1086=1,"EXP","")</f>
        <v/>
      </c>
      <c r="G1086" s="32">
        <f>IF($A1086=1,ACC_VAT_IN,"")</f>
        <v/>
      </c>
      <c r="H1086" s="32">
        <f>IF($A1086=1,IF(COUNTIF(COA!$A:$A,$G1086)=0,"حساب غير معرف",INDEX(COA!$B:$B,MATCH($G1086,COA!$A:$A,0))),"")</f>
        <v/>
      </c>
      <c r="I1086" s="32">
        <f>IF($A1086=1,IF(Expenses!$C37="","",Expenses!$C37),"")</f>
        <v/>
      </c>
      <c r="J1086" s="32">
        <f>IF($A1086=1,IF(Expenses!$D37="","",Expenses!$D37),"")</f>
        <v/>
      </c>
      <c r="K1086" s="32">
        <f>IF($A1086=1,"-","")</f>
        <v/>
      </c>
      <c r="L1086" s="32">
        <f>IF($A1086=1,"ضريبة قيمة مضافة - مدخلات","")</f>
        <v/>
      </c>
      <c r="M1086" s="43">
        <f>IF($A1086=1,Expenses!$G37,"")</f>
        <v/>
      </c>
      <c r="N1086" s="43">
        <f>IF($A1086=1,0,"")</f>
        <v/>
      </c>
      <c r="O1086" s="32">
        <f>IF($A1086=1,Expenses!$M37,"")</f>
        <v/>
      </c>
      <c r="P1086" s="32">
        <f>IF($A1086=1,IF(Expenses!$AC37="","",Expenses!$AC37),"")</f>
        <v/>
      </c>
      <c r="Q1086" s="32">
        <f>IF($A1086=1,Expenses!$AE37,"")</f>
        <v/>
      </c>
      <c r="R1086" s="32">
        <f>IF($A1086=1,IF(AND($Q1086=1,COUNTIFS(COA!$A:$A,$G1086,COA!$R:$R,1)=1),1,0),"")</f>
        <v/>
      </c>
      <c r="S1086" s="43">
        <f>IF($A1086=1,IF($R1086=1,N($M1086),0),"")</f>
        <v/>
      </c>
      <c r="T1086" s="43">
        <f>IF($A1086=1,IF($R1086=1,N($N1086),0),"")</f>
        <v/>
      </c>
      <c r="U1086" s="32">
        <f>IF($A1086=1,YEAR($D1086)*100+MONTH($D1086),"")</f>
        <v/>
      </c>
      <c r="V1086" s="32">
        <f>IF($A1086=1,IF(COUNTIF(COA!$A:$A,$G1086)=0,0,INDEX(COA!$H:$H,MATCH($G1086,COA!$A:$A,0))),"")</f>
        <v/>
      </c>
      <c r="W1086" s="32">
        <f>IF($A1086=1,"","")</f>
        <v/>
      </c>
      <c r="X1086" s="32">
        <f>IF($A1086=1,IF($R1086=1,"",IF($O1086=ST_POST,IF($P1086&lt;&gt;"",$P1086,"حساب غير صالح أو غير نشط"),IF($O1086=ST_REV,"معكوس: لا أثر على الدفاتر",IF($O1086=ST_CANC,"ملغى",IF($O1086=ST_APPR,"معتمد ولم يُرحَّل","مسودة"))))),"")</f>
        <v/>
      </c>
      <c r="Y1086" s="32">
        <f>IF($A1086=1,IF(AND($R1086=1,OR(LG_Acct="",$G1086=LG_Acct),OR(LG_Party="",$K1086=LG_Party),OR(LG_Loc="ALL",$I1086=LG_Loc),OR(LG_CC="ALL",$J1086=LG_CC),$D1086&gt;=LG_From,$D1086&lt;=LG_To),$D1086+ROW()/1000000,""),"")</f>
        <v/>
      </c>
      <c r="Z1086" s="32">
        <f>IF($A1086=1,IF(Expenses!$N37="","",Expenses!$N37),"")</f>
        <v/>
      </c>
      <c r="AA1086" s="32">
        <f>IF($A1086=1,IF(Expenses!$O37="","",Expenses!$O37),"")</f>
        <v/>
      </c>
      <c r="AB1086" s="32">
        <f>IF($A1086=1,IF(Expenses!$P37="","",Expenses!$P37),"")</f>
        <v/>
      </c>
      <c r="AC1086" s="32">
        <f>IF($A1086=1,IF(Expenses!$Q37="","",Expenses!$Q37),"")</f>
        <v/>
      </c>
      <c r="AD1086" s="32">
        <f>IF($A1086=1,IF(Expenses!$R37="","",Expenses!$R37),"")</f>
        <v/>
      </c>
      <c r="AE1086" s="32">
        <f>IF($A1086=1,0,"")</f>
        <v/>
      </c>
      <c r="AF1086" s="32" t="inlineStr"/>
    </row>
    <row r="1087">
      <c r="A1087" s="32">
        <f>IF(AND(Expenses!$AB37=1,N(Expenses!$W37)&gt;0),1,0)</f>
        <v/>
      </c>
      <c r="B1087" s="32">
        <f>IF($A1087=1,$E1087&amp;"/3","")</f>
        <v/>
      </c>
      <c r="C1087" s="32">
        <f>IF($A1087=1,"J-"&amp;Expenses!$A37,"")</f>
        <v/>
      </c>
      <c r="D1087" s="33">
        <f>IF($A1087=1,Expenses!$B37,"")</f>
        <v/>
      </c>
      <c r="E1087" s="32">
        <f>IF($A1087=1,IF(Expenses!$A37="","",Expenses!$A37),"")</f>
        <v/>
      </c>
      <c r="F1087" s="32">
        <f>IF($A1087=1,"EXP","")</f>
        <v/>
      </c>
      <c r="G1087" s="32">
        <f>IF($A1087=1,IF(Expenses!$V37="","",Expenses!$V37),"")</f>
        <v/>
      </c>
      <c r="H1087" s="32">
        <f>IF($A1087=1,IF(COUNTIF(COA!$A:$A,$G1087)=0,"حساب غير معرف",INDEX(COA!$B:$B,MATCH($G1087,COA!$A:$A,0))),"")</f>
        <v/>
      </c>
      <c r="I1087" s="32">
        <f>IF($A1087=1,IF(Expenses!$C37="","",Expenses!$C37),"")</f>
        <v/>
      </c>
      <c r="J1087" s="32">
        <f>IF($A1087=1,"CC00","")</f>
        <v/>
      </c>
      <c r="K1087" s="32">
        <f>IF($A1087=1,"-","")</f>
        <v/>
      </c>
      <c r="L1087" s="32">
        <f>IF($A1087=1,IF(Expenses!$L37="","مصروف - "&amp;Expenses!$J37,Expenses!$L37),"")</f>
        <v/>
      </c>
      <c r="M1087" s="43">
        <f>IF($A1087=1,0,"")</f>
        <v/>
      </c>
      <c r="N1087" s="43">
        <f>IF($A1087=1,Expenses!$W37,"")</f>
        <v/>
      </c>
      <c r="O1087" s="32">
        <f>IF($A1087=1,Expenses!$M37,"")</f>
        <v/>
      </c>
      <c r="P1087" s="32">
        <f>IF($A1087=1,IF(Expenses!$AC37="","",Expenses!$AC37),"")</f>
        <v/>
      </c>
      <c r="Q1087" s="32">
        <f>IF($A1087=1,Expenses!$AE37,"")</f>
        <v/>
      </c>
      <c r="R1087" s="32">
        <f>IF($A1087=1,IF(AND($Q1087=1,COUNTIFS(COA!$A:$A,$G1087,COA!$R:$R,1)=1),1,0),"")</f>
        <v/>
      </c>
      <c r="S1087" s="43">
        <f>IF($A1087=1,IF($R1087=1,N($M1087),0),"")</f>
        <v/>
      </c>
      <c r="T1087" s="43">
        <f>IF($A1087=1,IF($R1087=1,N($N1087),0),"")</f>
        <v/>
      </c>
      <c r="U1087" s="32">
        <f>IF($A1087=1,YEAR($D1087)*100+MONTH($D1087),"")</f>
        <v/>
      </c>
      <c r="V1087" s="32">
        <f>IF($A1087=1,IF(COUNTIF(COA!$A:$A,$G1087)=0,0,INDEX(COA!$H:$H,MATCH($G1087,COA!$A:$A,0))),"")</f>
        <v/>
      </c>
      <c r="W1087" s="32">
        <f>IF($A1087=1,"OPERATING","")</f>
        <v/>
      </c>
      <c r="X1087" s="32">
        <f>IF($A1087=1,IF($R1087=1,"",IF($O1087=ST_POST,IF($P1087&lt;&gt;"",$P1087,"حساب غير صالح أو غير نشط"),IF($O1087=ST_REV,"معكوس: لا أثر على الدفاتر",IF($O1087=ST_CANC,"ملغى",IF($O1087=ST_APPR,"معتمد ولم يُرحَّل","مسودة"))))),"")</f>
        <v/>
      </c>
      <c r="Y1087" s="32">
        <f>IF($A1087=1,IF(AND($R1087=1,OR(LG_Acct="",$G1087=LG_Acct),OR(LG_Party="",$K1087=LG_Party),OR(LG_Loc="ALL",$I1087=LG_Loc),OR(LG_CC="ALL",$J1087=LG_CC),$D1087&gt;=LG_From,$D1087&lt;=LG_To),$D1087+ROW()/1000000,""),"")</f>
        <v/>
      </c>
      <c r="Z1087" s="32">
        <f>IF($A1087=1,IF(Expenses!$N37="","",Expenses!$N37),"")</f>
        <v/>
      </c>
      <c r="AA1087" s="32">
        <f>IF($A1087=1,IF(Expenses!$O37="","",Expenses!$O37),"")</f>
        <v/>
      </c>
      <c r="AB1087" s="32">
        <f>IF($A1087=1,IF(Expenses!$P37="","",Expenses!$P37),"")</f>
        <v/>
      </c>
      <c r="AC1087" s="32">
        <f>IF($A1087=1,IF(Expenses!$Q37="","",Expenses!$Q37),"")</f>
        <v/>
      </c>
      <c r="AD1087" s="32">
        <f>IF($A1087=1,IF(Expenses!$R37="","",Expenses!$R37),"")</f>
        <v/>
      </c>
      <c r="AE1087" s="32">
        <f>IF($A1087=1,0,"")</f>
        <v/>
      </c>
      <c r="AF1087" s="32" t="inlineStr"/>
    </row>
    <row r="1088">
      <c r="A1088" s="32">
        <f>IF(AND(Expenses!$AB38=1,N(Expenses!$F38)&gt;0),1,0)</f>
        <v/>
      </c>
      <c r="B1088" s="32">
        <f>IF($A1088=1,$E1088&amp;"/1","")</f>
        <v/>
      </c>
      <c r="C1088" s="32">
        <f>IF($A1088=1,"J-"&amp;Expenses!$A38,"")</f>
        <v/>
      </c>
      <c r="D1088" s="33">
        <f>IF($A1088=1,Expenses!$B38,"")</f>
        <v/>
      </c>
      <c r="E1088" s="32">
        <f>IF($A1088=1,IF(Expenses!$A38="","",Expenses!$A38),"")</f>
        <v/>
      </c>
      <c r="F1088" s="32">
        <f>IF($A1088=1,"EXP","")</f>
        <v/>
      </c>
      <c r="G1088" s="32">
        <f>IF($A1088=1,IF(Expenses!$E38="","",Expenses!$E38),"")</f>
        <v/>
      </c>
      <c r="H1088" s="32">
        <f>IF($A1088=1,IF(COUNTIF(COA!$A:$A,$G1088)=0,"حساب غير معرف",INDEX(COA!$B:$B,MATCH($G1088,COA!$A:$A,0))),"")</f>
        <v/>
      </c>
      <c r="I1088" s="32">
        <f>IF($A1088=1,IF(Expenses!$C38="","",Expenses!$C38),"")</f>
        <v/>
      </c>
      <c r="J1088" s="32">
        <f>IF($A1088=1,IF(Expenses!$D38="","",Expenses!$D38),"")</f>
        <v/>
      </c>
      <c r="K1088" s="32">
        <f>IF($A1088=1,"-","")</f>
        <v/>
      </c>
      <c r="L1088" s="32">
        <f>IF($A1088=1,IF(Expenses!$L38="","مصروف - "&amp;Expenses!$J38,Expenses!$L38),"")</f>
        <v/>
      </c>
      <c r="M1088" s="43">
        <f>IF($A1088=1,Expenses!$F38,"")</f>
        <v/>
      </c>
      <c r="N1088" s="43">
        <f>IF($A1088=1,0,"")</f>
        <v/>
      </c>
      <c r="O1088" s="32">
        <f>IF($A1088=1,Expenses!$M38,"")</f>
        <v/>
      </c>
      <c r="P1088" s="32">
        <f>IF($A1088=1,IF(Expenses!$AC38="","",Expenses!$AC38),"")</f>
        <v/>
      </c>
      <c r="Q1088" s="32">
        <f>IF($A1088=1,Expenses!$AE38,"")</f>
        <v/>
      </c>
      <c r="R1088" s="32">
        <f>IF($A1088=1,IF(AND($Q1088=1,COUNTIFS(COA!$A:$A,$G1088,COA!$R:$R,1)=1),1,0),"")</f>
        <v/>
      </c>
      <c r="S1088" s="43">
        <f>IF($A1088=1,IF($R1088=1,N($M1088),0),"")</f>
        <v/>
      </c>
      <c r="T1088" s="43">
        <f>IF($A1088=1,IF($R1088=1,N($N1088),0),"")</f>
        <v/>
      </c>
      <c r="U1088" s="32">
        <f>IF($A1088=1,YEAR($D1088)*100+MONTH($D1088),"")</f>
        <v/>
      </c>
      <c r="V1088" s="32">
        <f>IF($A1088=1,IF(COUNTIF(COA!$A:$A,$G1088)=0,0,INDEX(COA!$H:$H,MATCH($G1088,COA!$A:$A,0))),"")</f>
        <v/>
      </c>
      <c r="W1088" s="32">
        <f>IF($A1088=1,"","")</f>
        <v/>
      </c>
      <c r="X1088" s="32">
        <f>IF($A1088=1,IF($R1088=1,"",IF($O1088=ST_POST,IF($P1088&lt;&gt;"",$P1088,"حساب غير صالح أو غير نشط"),IF($O1088=ST_REV,"معكوس: لا أثر على الدفاتر",IF($O1088=ST_CANC,"ملغى",IF($O1088=ST_APPR,"معتمد ولم يُرحَّل","مسودة"))))),"")</f>
        <v/>
      </c>
      <c r="Y1088" s="32">
        <f>IF($A1088=1,IF(AND($R1088=1,OR(LG_Acct="",$G1088=LG_Acct),OR(LG_Party="",$K1088=LG_Party),OR(LG_Loc="ALL",$I1088=LG_Loc),OR(LG_CC="ALL",$J1088=LG_CC),$D1088&gt;=LG_From,$D1088&lt;=LG_To),$D1088+ROW()/1000000,""),"")</f>
        <v/>
      </c>
      <c r="Z1088" s="32">
        <f>IF($A1088=1,IF(Expenses!$N38="","",Expenses!$N38),"")</f>
        <v/>
      </c>
      <c r="AA1088" s="32">
        <f>IF($A1088=1,IF(Expenses!$O38="","",Expenses!$O38),"")</f>
        <v/>
      </c>
      <c r="AB1088" s="32">
        <f>IF($A1088=1,IF(Expenses!$P38="","",Expenses!$P38),"")</f>
        <v/>
      </c>
      <c r="AC1088" s="32">
        <f>IF($A1088=1,IF(Expenses!$Q38="","",Expenses!$Q38),"")</f>
        <v/>
      </c>
      <c r="AD1088" s="32">
        <f>IF($A1088=1,IF(Expenses!$R38="","",Expenses!$R38),"")</f>
        <v/>
      </c>
      <c r="AE1088" s="32">
        <f>IF($A1088=1,0,"")</f>
        <v/>
      </c>
      <c r="AF1088" s="32" t="inlineStr"/>
    </row>
    <row r="1089">
      <c r="A1089" s="32">
        <f>IF(AND(Expenses!$AB38=1,N(Expenses!$G38)&gt;0),1,0)</f>
        <v/>
      </c>
      <c r="B1089" s="32">
        <f>IF($A1089=1,$E1089&amp;"/2","")</f>
        <v/>
      </c>
      <c r="C1089" s="32">
        <f>IF($A1089=1,"J-"&amp;Expenses!$A38,"")</f>
        <v/>
      </c>
      <c r="D1089" s="33">
        <f>IF($A1089=1,Expenses!$B38,"")</f>
        <v/>
      </c>
      <c r="E1089" s="32">
        <f>IF($A1089=1,IF(Expenses!$A38="","",Expenses!$A38),"")</f>
        <v/>
      </c>
      <c r="F1089" s="32">
        <f>IF($A1089=1,"EXP","")</f>
        <v/>
      </c>
      <c r="G1089" s="32">
        <f>IF($A1089=1,ACC_VAT_IN,"")</f>
        <v/>
      </c>
      <c r="H1089" s="32">
        <f>IF($A1089=1,IF(COUNTIF(COA!$A:$A,$G1089)=0,"حساب غير معرف",INDEX(COA!$B:$B,MATCH($G1089,COA!$A:$A,0))),"")</f>
        <v/>
      </c>
      <c r="I1089" s="32">
        <f>IF($A1089=1,IF(Expenses!$C38="","",Expenses!$C38),"")</f>
        <v/>
      </c>
      <c r="J1089" s="32">
        <f>IF($A1089=1,IF(Expenses!$D38="","",Expenses!$D38),"")</f>
        <v/>
      </c>
      <c r="K1089" s="32">
        <f>IF($A1089=1,"-","")</f>
        <v/>
      </c>
      <c r="L1089" s="32">
        <f>IF($A1089=1,"ضريبة قيمة مضافة - مدخلات","")</f>
        <v/>
      </c>
      <c r="M1089" s="43">
        <f>IF($A1089=1,Expenses!$G38,"")</f>
        <v/>
      </c>
      <c r="N1089" s="43">
        <f>IF($A1089=1,0,"")</f>
        <v/>
      </c>
      <c r="O1089" s="32">
        <f>IF($A1089=1,Expenses!$M38,"")</f>
        <v/>
      </c>
      <c r="P1089" s="32">
        <f>IF($A1089=1,IF(Expenses!$AC38="","",Expenses!$AC38),"")</f>
        <v/>
      </c>
      <c r="Q1089" s="32">
        <f>IF($A1089=1,Expenses!$AE38,"")</f>
        <v/>
      </c>
      <c r="R1089" s="32">
        <f>IF($A1089=1,IF(AND($Q1089=1,COUNTIFS(COA!$A:$A,$G1089,COA!$R:$R,1)=1),1,0),"")</f>
        <v/>
      </c>
      <c r="S1089" s="43">
        <f>IF($A1089=1,IF($R1089=1,N($M1089),0),"")</f>
        <v/>
      </c>
      <c r="T1089" s="43">
        <f>IF($A1089=1,IF($R1089=1,N($N1089),0),"")</f>
        <v/>
      </c>
      <c r="U1089" s="32">
        <f>IF($A1089=1,YEAR($D1089)*100+MONTH($D1089),"")</f>
        <v/>
      </c>
      <c r="V1089" s="32">
        <f>IF($A1089=1,IF(COUNTIF(COA!$A:$A,$G1089)=0,0,INDEX(COA!$H:$H,MATCH($G1089,COA!$A:$A,0))),"")</f>
        <v/>
      </c>
      <c r="W1089" s="32">
        <f>IF($A1089=1,"","")</f>
        <v/>
      </c>
      <c r="X1089" s="32">
        <f>IF($A1089=1,IF($R1089=1,"",IF($O1089=ST_POST,IF($P1089&lt;&gt;"",$P1089,"حساب غير صالح أو غير نشط"),IF($O1089=ST_REV,"معكوس: لا أثر على الدفاتر",IF($O1089=ST_CANC,"ملغى",IF($O1089=ST_APPR,"معتمد ولم يُرحَّل","مسودة"))))),"")</f>
        <v/>
      </c>
      <c r="Y1089" s="32">
        <f>IF($A1089=1,IF(AND($R1089=1,OR(LG_Acct="",$G1089=LG_Acct),OR(LG_Party="",$K1089=LG_Party),OR(LG_Loc="ALL",$I1089=LG_Loc),OR(LG_CC="ALL",$J1089=LG_CC),$D1089&gt;=LG_From,$D1089&lt;=LG_To),$D1089+ROW()/1000000,""),"")</f>
        <v/>
      </c>
      <c r="Z1089" s="32">
        <f>IF($A1089=1,IF(Expenses!$N38="","",Expenses!$N38),"")</f>
        <v/>
      </c>
      <c r="AA1089" s="32">
        <f>IF($A1089=1,IF(Expenses!$O38="","",Expenses!$O38),"")</f>
        <v/>
      </c>
      <c r="AB1089" s="32">
        <f>IF($A1089=1,IF(Expenses!$P38="","",Expenses!$P38),"")</f>
        <v/>
      </c>
      <c r="AC1089" s="32">
        <f>IF($A1089=1,IF(Expenses!$Q38="","",Expenses!$Q38),"")</f>
        <v/>
      </c>
      <c r="AD1089" s="32">
        <f>IF($A1089=1,IF(Expenses!$R38="","",Expenses!$R38),"")</f>
        <v/>
      </c>
      <c r="AE1089" s="32">
        <f>IF($A1089=1,0,"")</f>
        <v/>
      </c>
      <c r="AF1089" s="32" t="inlineStr"/>
    </row>
    <row r="1090">
      <c r="A1090" s="32">
        <f>IF(AND(Expenses!$AB38=1,N(Expenses!$W38)&gt;0),1,0)</f>
        <v/>
      </c>
      <c r="B1090" s="32">
        <f>IF($A1090=1,$E1090&amp;"/3","")</f>
        <v/>
      </c>
      <c r="C1090" s="32">
        <f>IF($A1090=1,"J-"&amp;Expenses!$A38,"")</f>
        <v/>
      </c>
      <c r="D1090" s="33">
        <f>IF($A1090=1,Expenses!$B38,"")</f>
        <v/>
      </c>
      <c r="E1090" s="32">
        <f>IF($A1090=1,IF(Expenses!$A38="","",Expenses!$A38),"")</f>
        <v/>
      </c>
      <c r="F1090" s="32">
        <f>IF($A1090=1,"EXP","")</f>
        <v/>
      </c>
      <c r="G1090" s="32">
        <f>IF($A1090=1,IF(Expenses!$V38="","",Expenses!$V38),"")</f>
        <v/>
      </c>
      <c r="H1090" s="32">
        <f>IF($A1090=1,IF(COUNTIF(COA!$A:$A,$G1090)=0,"حساب غير معرف",INDEX(COA!$B:$B,MATCH($G1090,COA!$A:$A,0))),"")</f>
        <v/>
      </c>
      <c r="I1090" s="32">
        <f>IF($A1090=1,IF(Expenses!$C38="","",Expenses!$C38),"")</f>
        <v/>
      </c>
      <c r="J1090" s="32">
        <f>IF($A1090=1,"CC00","")</f>
        <v/>
      </c>
      <c r="K1090" s="32">
        <f>IF($A1090=1,"-","")</f>
        <v/>
      </c>
      <c r="L1090" s="32">
        <f>IF($A1090=1,IF(Expenses!$L38="","مصروف - "&amp;Expenses!$J38,Expenses!$L38),"")</f>
        <v/>
      </c>
      <c r="M1090" s="43">
        <f>IF($A1090=1,0,"")</f>
        <v/>
      </c>
      <c r="N1090" s="43">
        <f>IF($A1090=1,Expenses!$W38,"")</f>
        <v/>
      </c>
      <c r="O1090" s="32">
        <f>IF($A1090=1,Expenses!$M38,"")</f>
        <v/>
      </c>
      <c r="P1090" s="32">
        <f>IF($A1090=1,IF(Expenses!$AC38="","",Expenses!$AC38),"")</f>
        <v/>
      </c>
      <c r="Q1090" s="32">
        <f>IF($A1090=1,Expenses!$AE38,"")</f>
        <v/>
      </c>
      <c r="R1090" s="32">
        <f>IF($A1090=1,IF(AND($Q1090=1,COUNTIFS(COA!$A:$A,$G1090,COA!$R:$R,1)=1),1,0),"")</f>
        <v/>
      </c>
      <c r="S1090" s="43">
        <f>IF($A1090=1,IF($R1090=1,N($M1090),0),"")</f>
        <v/>
      </c>
      <c r="T1090" s="43">
        <f>IF($A1090=1,IF($R1090=1,N($N1090),0),"")</f>
        <v/>
      </c>
      <c r="U1090" s="32">
        <f>IF($A1090=1,YEAR($D1090)*100+MONTH($D1090),"")</f>
        <v/>
      </c>
      <c r="V1090" s="32">
        <f>IF($A1090=1,IF(COUNTIF(COA!$A:$A,$G1090)=0,0,INDEX(COA!$H:$H,MATCH($G1090,COA!$A:$A,0))),"")</f>
        <v/>
      </c>
      <c r="W1090" s="32">
        <f>IF($A1090=1,"OPERATING","")</f>
        <v/>
      </c>
      <c r="X1090" s="32">
        <f>IF($A1090=1,IF($R1090=1,"",IF($O1090=ST_POST,IF($P1090&lt;&gt;"",$P1090,"حساب غير صالح أو غير نشط"),IF($O1090=ST_REV,"معكوس: لا أثر على الدفاتر",IF($O1090=ST_CANC,"ملغى",IF($O1090=ST_APPR,"معتمد ولم يُرحَّل","مسودة"))))),"")</f>
        <v/>
      </c>
      <c r="Y1090" s="32">
        <f>IF($A1090=1,IF(AND($R1090=1,OR(LG_Acct="",$G1090=LG_Acct),OR(LG_Party="",$K1090=LG_Party),OR(LG_Loc="ALL",$I1090=LG_Loc),OR(LG_CC="ALL",$J1090=LG_CC),$D1090&gt;=LG_From,$D1090&lt;=LG_To),$D1090+ROW()/1000000,""),"")</f>
        <v/>
      </c>
      <c r="Z1090" s="32">
        <f>IF($A1090=1,IF(Expenses!$N38="","",Expenses!$N38),"")</f>
        <v/>
      </c>
      <c r="AA1090" s="32">
        <f>IF($A1090=1,IF(Expenses!$O38="","",Expenses!$O38),"")</f>
        <v/>
      </c>
      <c r="AB1090" s="32">
        <f>IF($A1090=1,IF(Expenses!$P38="","",Expenses!$P38),"")</f>
        <v/>
      </c>
      <c r="AC1090" s="32">
        <f>IF($A1090=1,IF(Expenses!$Q38="","",Expenses!$Q38),"")</f>
        <v/>
      </c>
      <c r="AD1090" s="32">
        <f>IF($A1090=1,IF(Expenses!$R38="","",Expenses!$R38),"")</f>
        <v/>
      </c>
      <c r="AE1090" s="32">
        <f>IF($A1090=1,0,"")</f>
        <v/>
      </c>
      <c r="AF1090" s="32" t="inlineStr"/>
    </row>
    <row r="1091">
      <c r="A1091" s="32">
        <f>IF(AND(Expenses!$AB39=1,N(Expenses!$F39)&gt;0),1,0)</f>
        <v/>
      </c>
      <c r="B1091" s="32">
        <f>IF($A1091=1,$E1091&amp;"/1","")</f>
        <v/>
      </c>
      <c r="C1091" s="32">
        <f>IF($A1091=1,"J-"&amp;Expenses!$A39,"")</f>
        <v/>
      </c>
      <c r="D1091" s="33">
        <f>IF($A1091=1,Expenses!$B39,"")</f>
        <v/>
      </c>
      <c r="E1091" s="32">
        <f>IF($A1091=1,IF(Expenses!$A39="","",Expenses!$A39),"")</f>
        <v/>
      </c>
      <c r="F1091" s="32">
        <f>IF($A1091=1,"EXP","")</f>
        <v/>
      </c>
      <c r="G1091" s="32">
        <f>IF($A1091=1,IF(Expenses!$E39="","",Expenses!$E39),"")</f>
        <v/>
      </c>
      <c r="H1091" s="32">
        <f>IF($A1091=1,IF(COUNTIF(COA!$A:$A,$G1091)=0,"حساب غير معرف",INDEX(COA!$B:$B,MATCH($G1091,COA!$A:$A,0))),"")</f>
        <v/>
      </c>
      <c r="I1091" s="32">
        <f>IF($A1091=1,IF(Expenses!$C39="","",Expenses!$C39),"")</f>
        <v/>
      </c>
      <c r="J1091" s="32">
        <f>IF($A1091=1,IF(Expenses!$D39="","",Expenses!$D39),"")</f>
        <v/>
      </c>
      <c r="K1091" s="32">
        <f>IF($A1091=1,"-","")</f>
        <v/>
      </c>
      <c r="L1091" s="32">
        <f>IF($A1091=1,IF(Expenses!$L39="","مصروف - "&amp;Expenses!$J39,Expenses!$L39),"")</f>
        <v/>
      </c>
      <c r="M1091" s="43">
        <f>IF($A1091=1,Expenses!$F39,"")</f>
        <v/>
      </c>
      <c r="N1091" s="43">
        <f>IF($A1091=1,0,"")</f>
        <v/>
      </c>
      <c r="O1091" s="32">
        <f>IF($A1091=1,Expenses!$M39,"")</f>
        <v/>
      </c>
      <c r="P1091" s="32">
        <f>IF($A1091=1,IF(Expenses!$AC39="","",Expenses!$AC39),"")</f>
        <v/>
      </c>
      <c r="Q1091" s="32">
        <f>IF($A1091=1,Expenses!$AE39,"")</f>
        <v/>
      </c>
      <c r="R1091" s="32">
        <f>IF($A1091=1,IF(AND($Q1091=1,COUNTIFS(COA!$A:$A,$G1091,COA!$R:$R,1)=1),1,0),"")</f>
        <v/>
      </c>
      <c r="S1091" s="43">
        <f>IF($A1091=1,IF($R1091=1,N($M1091),0),"")</f>
        <v/>
      </c>
      <c r="T1091" s="43">
        <f>IF($A1091=1,IF($R1091=1,N($N1091),0),"")</f>
        <v/>
      </c>
      <c r="U1091" s="32">
        <f>IF($A1091=1,YEAR($D1091)*100+MONTH($D1091),"")</f>
        <v/>
      </c>
      <c r="V1091" s="32">
        <f>IF($A1091=1,IF(COUNTIF(COA!$A:$A,$G1091)=0,0,INDEX(COA!$H:$H,MATCH($G1091,COA!$A:$A,0))),"")</f>
        <v/>
      </c>
      <c r="W1091" s="32">
        <f>IF($A1091=1,"","")</f>
        <v/>
      </c>
      <c r="X1091" s="32">
        <f>IF($A1091=1,IF($R1091=1,"",IF($O1091=ST_POST,IF($P1091&lt;&gt;"",$P1091,"حساب غير صالح أو غير نشط"),IF($O1091=ST_REV,"معكوس: لا أثر على الدفاتر",IF($O1091=ST_CANC,"ملغى",IF($O1091=ST_APPR,"معتمد ولم يُرحَّل","مسودة"))))),"")</f>
        <v/>
      </c>
      <c r="Y1091" s="32">
        <f>IF($A1091=1,IF(AND($R1091=1,OR(LG_Acct="",$G1091=LG_Acct),OR(LG_Party="",$K1091=LG_Party),OR(LG_Loc="ALL",$I1091=LG_Loc),OR(LG_CC="ALL",$J1091=LG_CC),$D1091&gt;=LG_From,$D1091&lt;=LG_To),$D1091+ROW()/1000000,""),"")</f>
        <v/>
      </c>
      <c r="Z1091" s="32">
        <f>IF($A1091=1,IF(Expenses!$N39="","",Expenses!$N39),"")</f>
        <v/>
      </c>
      <c r="AA1091" s="32">
        <f>IF($A1091=1,IF(Expenses!$O39="","",Expenses!$O39),"")</f>
        <v/>
      </c>
      <c r="AB1091" s="32">
        <f>IF($A1091=1,IF(Expenses!$P39="","",Expenses!$P39),"")</f>
        <v/>
      </c>
      <c r="AC1091" s="32">
        <f>IF($A1091=1,IF(Expenses!$Q39="","",Expenses!$Q39),"")</f>
        <v/>
      </c>
      <c r="AD1091" s="32">
        <f>IF($A1091=1,IF(Expenses!$R39="","",Expenses!$R39),"")</f>
        <v/>
      </c>
      <c r="AE1091" s="32">
        <f>IF($A1091=1,0,"")</f>
        <v/>
      </c>
      <c r="AF1091" s="32" t="inlineStr"/>
    </row>
    <row r="1092">
      <c r="A1092" s="32">
        <f>IF(AND(Expenses!$AB39=1,N(Expenses!$G39)&gt;0),1,0)</f>
        <v/>
      </c>
      <c r="B1092" s="32">
        <f>IF($A1092=1,$E1092&amp;"/2","")</f>
        <v/>
      </c>
      <c r="C1092" s="32">
        <f>IF($A1092=1,"J-"&amp;Expenses!$A39,"")</f>
        <v/>
      </c>
      <c r="D1092" s="33">
        <f>IF($A1092=1,Expenses!$B39,"")</f>
        <v/>
      </c>
      <c r="E1092" s="32">
        <f>IF($A1092=1,IF(Expenses!$A39="","",Expenses!$A39),"")</f>
        <v/>
      </c>
      <c r="F1092" s="32">
        <f>IF($A1092=1,"EXP","")</f>
        <v/>
      </c>
      <c r="G1092" s="32">
        <f>IF($A1092=1,ACC_VAT_IN,"")</f>
        <v/>
      </c>
      <c r="H1092" s="32">
        <f>IF($A1092=1,IF(COUNTIF(COA!$A:$A,$G1092)=0,"حساب غير معرف",INDEX(COA!$B:$B,MATCH($G1092,COA!$A:$A,0))),"")</f>
        <v/>
      </c>
      <c r="I1092" s="32">
        <f>IF($A1092=1,IF(Expenses!$C39="","",Expenses!$C39),"")</f>
        <v/>
      </c>
      <c r="J1092" s="32">
        <f>IF($A1092=1,IF(Expenses!$D39="","",Expenses!$D39),"")</f>
        <v/>
      </c>
      <c r="K1092" s="32">
        <f>IF($A1092=1,"-","")</f>
        <v/>
      </c>
      <c r="L1092" s="32">
        <f>IF($A1092=1,"ضريبة قيمة مضافة - مدخلات","")</f>
        <v/>
      </c>
      <c r="M1092" s="43">
        <f>IF($A1092=1,Expenses!$G39,"")</f>
        <v/>
      </c>
      <c r="N1092" s="43">
        <f>IF($A1092=1,0,"")</f>
        <v/>
      </c>
      <c r="O1092" s="32">
        <f>IF($A1092=1,Expenses!$M39,"")</f>
        <v/>
      </c>
      <c r="P1092" s="32">
        <f>IF($A1092=1,IF(Expenses!$AC39="","",Expenses!$AC39),"")</f>
        <v/>
      </c>
      <c r="Q1092" s="32">
        <f>IF($A1092=1,Expenses!$AE39,"")</f>
        <v/>
      </c>
      <c r="R1092" s="32">
        <f>IF($A1092=1,IF(AND($Q1092=1,COUNTIFS(COA!$A:$A,$G1092,COA!$R:$R,1)=1),1,0),"")</f>
        <v/>
      </c>
      <c r="S1092" s="43">
        <f>IF($A1092=1,IF($R1092=1,N($M1092),0),"")</f>
        <v/>
      </c>
      <c r="T1092" s="43">
        <f>IF($A1092=1,IF($R1092=1,N($N1092),0),"")</f>
        <v/>
      </c>
      <c r="U1092" s="32">
        <f>IF($A1092=1,YEAR($D1092)*100+MONTH($D1092),"")</f>
        <v/>
      </c>
      <c r="V1092" s="32">
        <f>IF($A1092=1,IF(COUNTIF(COA!$A:$A,$G1092)=0,0,INDEX(COA!$H:$H,MATCH($G1092,COA!$A:$A,0))),"")</f>
        <v/>
      </c>
      <c r="W1092" s="32">
        <f>IF($A1092=1,"","")</f>
        <v/>
      </c>
      <c r="X1092" s="32">
        <f>IF($A1092=1,IF($R1092=1,"",IF($O1092=ST_POST,IF($P1092&lt;&gt;"",$P1092,"حساب غير صالح أو غير نشط"),IF($O1092=ST_REV,"معكوس: لا أثر على الدفاتر",IF($O1092=ST_CANC,"ملغى",IF($O1092=ST_APPR,"معتمد ولم يُرحَّل","مسودة"))))),"")</f>
        <v/>
      </c>
      <c r="Y1092" s="32">
        <f>IF($A1092=1,IF(AND($R1092=1,OR(LG_Acct="",$G1092=LG_Acct),OR(LG_Party="",$K1092=LG_Party),OR(LG_Loc="ALL",$I1092=LG_Loc),OR(LG_CC="ALL",$J1092=LG_CC),$D1092&gt;=LG_From,$D1092&lt;=LG_To),$D1092+ROW()/1000000,""),"")</f>
        <v/>
      </c>
      <c r="Z1092" s="32">
        <f>IF($A1092=1,IF(Expenses!$N39="","",Expenses!$N39),"")</f>
        <v/>
      </c>
      <c r="AA1092" s="32">
        <f>IF($A1092=1,IF(Expenses!$O39="","",Expenses!$O39),"")</f>
        <v/>
      </c>
      <c r="AB1092" s="32">
        <f>IF($A1092=1,IF(Expenses!$P39="","",Expenses!$P39),"")</f>
        <v/>
      </c>
      <c r="AC1092" s="32">
        <f>IF($A1092=1,IF(Expenses!$Q39="","",Expenses!$Q39),"")</f>
        <v/>
      </c>
      <c r="AD1092" s="32">
        <f>IF($A1092=1,IF(Expenses!$R39="","",Expenses!$R39),"")</f>
        <v/>
      </c>
      <c r="AE1092" s="32">
        <f>IF($A1092=1,0,"")</f>
        <v/>
      </c>
      <c r="AF1092" s="32" t="inlineStr"/>
    </row>
    <row r="1093">
      <c r="A1093" s="32">
        <f>IF(AND(Expenses!$AB39=1,N(Expenses!$W39)&gt;0),1,0)</f>
        <v/>
      </c>
      <c r="B1093" s="32">
        <f>IF($A1093=1,$E1093&amp;"/3","")</f>
        <v/>
      </c>
      <c r="C1093" s="32">
        <f>IF($A1093=1,"J-"&amp;Expenses!$A39,"")</f>
        <v/>
      </c>
      <c r="D1093" s="33">
        <f>IF($A1093=1,Expenses!$B39,"")</f>
        <v/>
      </c>
      <c r="E1093" s="32">
        <f>IF($A1093=1,IF(Expenses!$A39="","",Expenses!$A39),"")</f>
        <v/>
      </c>
      <c r="F1093" s="32">
        <f>IF($A1093=1,"EXP","")</f>
        <v/>
      </c>
      <c r="G1093" s="32">
        <f>IF($A1093=1,IF(Expenses!$V39="","",Expenses!$V39),"")</f>
        <v/>
      </c>
      <c r="H1093" s="32">
        <f>IF($A1093=1,IF(COUNTIF(COA!$A:$A,$G1093)=0,"حساب غير معرف",INDEX(COA!$B:$B,MATCH($G1093,COA!$A:$A,0))),"")</f>
        <v/>
      </c>
      <c r="I1093" s="32">
        <f>IF($A1093=1,IF(Expenses!$C39="","",Expenses!$C39),"")</f>
        <v/>
      </c>
      <c r="J1093" s="32">
        <f>IF($A1093=1,"CC00","")</f>
        <v/>
      </c>
      <c r="K1093" s="32">
        <f>IF($A1093=1,"-","")</f>
        <v/>
      </c>
      <c r="L1093" s="32">
        <f>IF($A1093=1,IF(Expenses!$L39="","مصروف - "&amp;Expenses!$J39,Expenses!$L39),"")</f>
        <v/>
      </c>
      <c r="M1093" s="43">
        <f>IF($A1093=1,0,"")</f>
        <v/>
      </c>
      <c r="N1093" s="43">
        <f>IF($A1093=1,Expenses!$W39,"")</f>
        <v/>
      </c>
      <c r="O1093" s="32">
        <f>IF($A1093=1,Expenses!$M39,"")</f>
        <v/>
      </c>
      <c r="P1093" s="32">
        <f>IF($A1093=1,IF(Expenses!$AC39="","",Expenses!$AC39),"")</f>
        <v/>
      </c>
      <c r="Q1093" s="32">
        <f>IF($A1093=1,Expenses!$AE39,"")</f>
        <v/>
      </c>
      <c r="R1093" s="32">
        <f>IF($A1093=1,IF(AND($Q1093=1,COUNTIFS(COA!$A:$A,$G1093,COA!$R:$R,1)=1),1,0),"")</f>
        <v/>
      </c>
      <c r="S1093" s="43">
        <f>IF($A1093=1,IF($R1093=1,N($M1093),0),"")</f>
        <v/>
      </c>
      <c r="T1093" s="43">
        <f>IF($A1093=1,IF($R1093=1,N($N1093),0),"")</f>
        <v/>
      </c>
      <c r="U1093" s="32">
        <f>IF($A1093=1,YEAR($D1093)*100+MONTH($D1093),"")</f>
        <v/>
      </c>
      <c r="V1093" s="32">
        <f>IF($A1093=1,IF(COUNTIF(COA!$A:$A,$G1093)=0,0,INDEX(COA!$H:$H,MATCH($G1093,COA!$A:$A,0))),"")</f>
        <v/>
      </c>
      <c r="W1093" s="32">
        <f>IF($A1093=1,"OPERATING","")</f>
        <v/>
      </c>
      <c r="X1093" s="32">
        <f>IF($A1093=1,IF($R1093=1,"",IF($O1093=ST_POST,IF($P1093&lt;&gt;"",$P1093,"حساب غير صالح أو غير نشط"),IF($O1093=ST_REV,"معكوس: لا أثر على الدفاتر",IF($O1093=ST_CANC,"ملغى",IF($O1093=ST_APPR,"معتمد ولم يُرحَّل","مسودة"))))),"")</f>
        <v/>
      </c>
      <c r="Y1093" s="32">
        <f>IF($A1093=1,IF(AND($R1093=1,OR(LG_Acct="",$G1093=LG_Acct),OR(LG_Party="",$K1093=LG_Party),OR(LG_Loc="ALL",$I1093=LG_Loc),OR(LG_CC="ALL",$J1093=LG_CC),$D1093&gt;=LG_From,$D1093&lt;=LG_To),$D1093+ROW()/1000000,""),"")</f>
        <v/>
      </c>
      <c r="Z1093" s="32">
        <f>IF($A1093=1,IF(Expenses!$N39="","",Expenses!$N39),"")</f>
        <v/>
      </c>
      <c r="AA1093" s="32">
        <f>IF($A1093=1,IF(Expenses!$O39="","",Expenses!$O39),"")</f>
        <v/>
      </c>
      <c r="AB1093" s="32">
        <f>IF($A1093=1,IF(Expenses!$P39="","",Expenses!$P39),"")</f>
        <v/>
      </c>
      <c r="AC1093" s="32">
        <f>IF($A1093=1,IF(Expenses!$Q39="","",Expenses!$Q39),"")</f>
        <v/>
      </c>
      <c r="AD1093" s="32">
        <f>IF($A1093=1,IF(Expenses!$R39="","",Expenses!$R39),"")</f>
        <v/>
      </c>
      <c r="AE1093" s="32">
        <f>IF($A1093=1,0,"")</f>
        <v/>
      </c>
      <c r="AF1093" s="32" t="inlineStr"/>
    </row>
    <row r="1094">
      <c r="A1094" s="32">
        <f>IF(AND(Expenses!$AB40=1,N(Expenses!$F40)&gt;0),1,0)</f>
        <v/>
      </c>
      <c r="B1094" s="32">
        <f>IF($A1094=1,$E1094&amp;"/1","")</f>
        <v/>
      </c>
      <c r="C1094" s="32">
        <f>IF($A1094=1,"J-"&amp;Expenses!$A40,"")</f>
        <v/>
      </c>
      <c r="D1094" s="33">
        <f>IF($A1094=1,Expenses!$B40,"")</f>
        <v/>
      </c>
      <c r="E1094" s="32">
        <f>IF($A1094=1,IF(Expenses!$A40="","",Expenses!$A40),"")</f>
        <v/>
      </c>
      <c r="F1094" s="32">
        <f>IF($A1094=1,"EXP","")</f>
        <v/>
      </c>
      <c r="G1094" s="32">
        <f>IF($A1094=1,IF(Expenses!$E40="","",Expenses!$E40),"")</f>
        <v/>
      </c>
      <c r="H1094" s="32">
        <f>IF($A1094=1,IF(COUNTIF(COA!$A:$A,$G1094)=0,"حساب غير معرف",INDEX(COA!$B:$B,MATCH($G1094,COA!$A:$A,0))),"")</f>
        <v/>
      </c>
      <c r="I1094" s="32">
        <f>IF($A1094=1,IF(Expenses!$C40="","",Expenses!$C40),"")</f>
        <v/>
      </c>
      <c r="J1094" s="32">
        <f>IF($A1094=1,IF(Expenses!$D40="","",Expenses!$D40),"")</f>
        <v/>
      </c>
      <c r="K1094" s="32">
        <f>IF($A1094=1,"-","")</f>
        <v/>
      </c>
      <c r="L1094" s="32">
        <f>IF($A1094=1,IF(Expenses!$L40="","مصروف - "&amp;Expenses!$J40,Expenses!$L40),"")</f>
        <v/>
      </c>
      <c r="M1094" s="43">
        <f>IF($A1094=1,Expenses!$F40,"")</f>
        <v/>
      </c>
      <c r="N1094" s="43">
        <f>IF($A1094=1,0,"")</f>
        <v/>
      </c>
      <c r="O1094" s="32">
        <f>IF($A1094=1,Expenses!$M40,"")</f>
        <v/>
      </c>
      <c r="P1094" s="32">
        <f>IF($A1094=1,IF(Expenses!$AC40="","",Expenses!$AC40),"")</f>
        <v/>
      </c>
      <c r="Q1094" s="32">
        <f>IF($A1094=1,Expenses!$AE40,"")</f>
        <v/>
      </c>
      <c r="R1094" s="32">
        <f>IF($A1094=1,IF(AND($Q1094=1,COUNTIFS(COA!$A:$A,$G1094,COA!$R:$R,1)=1),1,0),"")</f>
        <v/>
      </c>
      <c r="S1094" s="43">
        <f>IF($A1094=1,IF($R1094=1,N($M1094),0),"")</f>
        <v/>
      </c>
      <c r="T1094" s="43">
        <f>IF($A1094=1,IF($R1094=1,N($N1094),0),"")</f>
        <v/>
      </c>
      <c r="U1094" s="32">
        <f>IF($A1094=1,YEAR($D1094)*100+MONTH($D1094),"")</f>
        <v/>
      </c>
      <c r="V1094" s="32">
        <f>IF($A1094=1,IF(COUNTIF(COA!$A:$A,$G1094)=0,0,INDEX(COA!$H:$H,MATCH($G1094,COA!$A:$A,0))),"")</f>
        <v/>
      </c>
      <c r="W1094" s="32">
        <f>IF($A1094=1,"","")</f>
        <v/>
      </c>
      <c r="X1094" s="32">
        <f>IF($A1094=1,IF($R1094=1,"",IF($O1094=ST_POST,IF($P1094&lt;&gt;"",$P1094,"حساب غير صالح أو غير نشط"),IF($O1094=ST_REV,"معكوس: لا أثر على الدفاتر",IF($O1094=ST_CANC,"ملغى",IF($O1094=ST_APPR,"معتمد ولم يُرحَّل","مسودة"))))),"")</f>
        <v/>
      </c>
      <c r="Y1094" s="32">
        <f>IF($A1094=1,IF(AND($R1094=1,OR(LG_Acct="",$G1094=LG_Acct),OR(LG_Party="",$K1094=LG_Party),OR(LG_Loc="ALL",$I1094=LG_Loc),OR(LG_CC="ALL",$J1094=LG_CC),$D1094&gt;=LG_From,$D1094&lt;=LG_To),$D1094+ROW()/1000000,""),"")</f>
        <v/>
      </c>
      <c r="Z1094" s="32">
        <f>IF($A1094=1,IF(Expenses!$N40="","",Expenses!$N40),"")</f>
        <v/>
      </c>
      <c r="AA1094" s="32">
        <f>IF($A1094=1,IF(Expenses!$O40="","",Expenses!$O40),"")</f>
        <v/>
      </c>
      <c r="AB1094" s="32">
        <f>IF($A1094=1,IF(Expenses!$P40="","",Expenses!$P40),"")</f>
        <v/>
      </c>
      <c r="AC1094" s="32">
        <f>IF($A1094=1,IF(Expenses!$Q40="","",Expenses!$Q40),"")</f>
        <v/>
      </c>
      <c r="AD1094" s="32">
        <f>IF($A1094=1,IF(Expenses!$R40="","",Expenses!$R40),"")</f>
        <v/>
      </c>
      <c r="AE1094" s="32">
        <f>IF($A1094=1,0,"")</f>
        <v/>
      </c>
      <c r="AF1094" s="32" t="inlineStr"/>
    </row>
    <row r="1095">
      <c r="A1095" s="32">
        <f>IF(AND(Expenses!$AB40=1,N(Expenses!$G40)&gt;0),1,0)</f>
        <v/>
      </c>
      <c r="B1095" s="32">
        <f>IF($A1095=1,$E1095&amp;"/2","")</f>
        <v/>
      </c>
      <c r="C1095" s="32">
        <f>IF($A1095=1,"J-"&amp;Expenses!$A40,"")</f>
        <v/>
      </c>
      <c r="D1095" s="33">
        <f>IF($A1095=1,Expenses!$B40,"")</f>
        <v/>
      </c>
      <c r="E1095" s="32">
        <f>IF($A1095=1,IF(Expenses!$A40="","",Expenses!$A40),"")</f>
        <v/>
      </c>
      <c r="F1095" s="32">
        <f>IF($A1095=1,"EXP","")</f>
        <v/>
      </c>
      <c r="G1095" s="32">
        <f>IF($A1095=1,ACC_VAT_IN,"")</f>
        <v/>
      </c>
      <c r="H1095" s="32">
        <f>IF($A1095=1,IF(COUNTIF(COA!$A:$A,$G1095)=0,"حساب غير معرف",INDEX(COA!$B:$B,MATCH($G1095,COA!$A:$A,0))),"")</f>
        <v/>
      </c>
      <c r="I1095" s="32">
        <f>IF($A1095=1,IF(Expenses!$C40="","",Expenses!$C40),"")</f>
        <v/>
      </c>
      <c r="J1095" s="32">
        <f>IF($A1095=1,IF(Expenses!$D40="","",Expenses!$D40),"")</f>
        <v/>
      </c>
      <c r="K1095" s="32">
        <f>IF($A1095=1,"-","")</f>
        <v/>
      </c>
      <c r="L1095" s="32">
        <f>IF($A1095=1,"ضريبة قيمة مضافة - مدخلات","")</f>
        <v/>
      </c>
      <c r="M1095" s="43">
        <f>IF($A1095=1,Expenses!$G40,"")</f>
        <v/>
      </c>
      <c r="N1095" s="43">
        <f>IF($A1095=1,0,"")</f>
        <v/>
      </c>
      <c r="O1095" s="32">
        <f>IF($A1095=1,Expenses!$M40,"")</f>
        <v/>
      </c>
      <c r="P1095" s="32">
        <f>IF($A1095=1,IF(Expenses!$AC40="","",Expenses!$AC40),"")</f>
        <v/>
      </c>
      <c r="Q1095" s="32">
        <f>IF($A1095=1,Expenses!$AE40,"")</f>
        <v/>
      </c>
      <c r="R1095" s="32">
        <f>IF($A1095=1,IF(AND($Q1095=1,COUNTIFS(COA!$A:$A,$G1095,COA!$R:$R,1)=1),1,0),"")</f>
        <v/>
      </c>
      <c r="S1095" s="43">
        <f>IF($A1095=1,IF($R1095=1,N($M1095),0),"")</f>
        <v/>
      </c>
      <c r="T1095" s="43">
        <f>IF($A1095=1,IF($R1095=1,N($N1095),0),"")</f>
        <v/>
      </c>
      <c r="U1095" s="32">
        <f>IF($A1095=1,YEAR($D1095)*100+MONTH($D1095),"")</f>
        <v/>
      </c>
      <c r="V1095" s="32">
        <f>IF($A1095=1,IF(COUNTIF(COA!$A:$A,$G1095)=0,0,INDEX(COA!$H:$H,MATCH($G1095,COA!$A:$A,0))),"")</f>
        <v/>
      </c>
      <c r="W1095" s="32">
        <f>IF($A1095=1,"","")</f>
        <v/>
      </c>
      <c r="X1095" s="32">
        <f>IF($A1095=1,IF($R1095=1,"",IF($O1095=ST_POST,IF($P1095&lt;&gt;"",$P1095,"حساب غير صالح أو غير نشط"),IF($O1095=ST_REV,"معكوس: لا أثر على الدفاتر",IF($O1095=ST_CANC,"ملغى",IF($O1095=ST_APPR,"معتمد ولم يُرحَّل","مسودة"))))),"")</f>
        <v/>
      </c>
      <c r="Y1095" s="32">
        <f>IF($A1095=1,IF(AND($R1095=1,OR(LG_Acct="",$G1095=LG_Acct),OR(LG_Party="",$K1095=LG_Party),OR(LG_Loc="ALL",$I1095=LG_Loc),OR(LG_CC="ALL",$J1095=LG_CC),$D1095&gt;=LG_From,$D1095&lt;=LG_To),$D1095+ROW()/1000000,""),"")</f>
        <v/>
      </c>
      <c r="Z1095" s="32">
        <f>IF($A1095=1,IF(Expenses!$N40="","",Expenses!$N40),"")</f>
        <v/>
      </c>
      <c r="AA1095" s="32">
        <f>IF($A1095=1,IF(Expenses!$O40="","",Expenses!$O40),"")</f>
        <v/>
      </c>
      <c r="AB1095" s="32">
        <f>IF($A1095=1,IF(Expenses!$P40="","",Expenses!$P40),"")</f>
        <v/>
      </c>
      <c r="AC1095" s="32">
        <f>IF($A1095=1,IF(Expenses!$Q40="","",Expenses!$Q40),"")</f>
        <v/>
      </c>
      <c r="AD1095" s="32">
        <f>IF($A1095=1,IF(Expenses!$R40="","",Expenses!$R40),"")</f>
        <v/>
      </c>
      <c r="AE1095" s="32">
        <f>IF($A1095=1,0,"")</f>
        <v/>
      </c>
      <c r="AF1095" s="32" t="inlineStr"/>
    </row>
    <row r="1096">
      <c r="A1096" s="32">
        <f>IF(AND(Expenses!$AB40=1,N(Expenses!$W40)&gt;0),1,0)</f>
        <v/>
      </c>
      <c r="B1096" s="32">
        <f>IF($A1096=1,$E1096&amp;"/3","")</f>
        <v/>
      </c>
      <c r="C1096" s="32">
        <f>IF($A1096=1,"J-"&amp;Expenses!$A40,"")</f>
        <v/>
      </c>
      <c r="D1096" s="33">
        <f>IF($A1096=1,Expenses!$B40,"")</f>
        <v/>
      </c>
      <c r="E1096" s="32">
        <f>IF($A1096=1,IF(Expenses!$A40="","",Expenses!$A40),"")</f>
        <v/>
      </c>
      <c r="F1096" s="32">
        <f>IF($A1096=1,"EXP","")</f>
        <v/>
      </c>
      <c r="G1096" s="32">
        <f>IF($A1096=1,IF(Expenses!$V40="","",Expenses!$V40),"")</f>
        <v/>
      </c>
      <c r="H1096" s="32">
        <f>IF($A1096=1,IF(COUNTIF(COA!$A:$A,$G1096)=0,"حساب غير معرف",INDEX(COA!$B:$B,MATCH($G1096,COA!$A:$A,0))),"")</f>
        <v/>
      </c>
      <c r="I1096" s="32">
        <f>IF($A1096=1,IF(Expenses!$C40="","",Expenses!$C40),"")</f>
        <v/>
      </c>
      <c r="J1096" s="32">
        <f>IF($A1096=1,"CC00","")</f>
        <v/>
      </c>
      <c r="K1096" s="32">
        <f>IF($A1096=1,"-","")</f>
        <v/>
      </c>
      <c r="L1096" s="32">
        <f>IF($A1096=1,IF(Expenses!$L40="","مصروف - "&amp;Expenses!$J40,Expenses!$L40),"")</f>
        <v/>
      </c>
      <c r="M1096" s="43">
        <f>IF($A1096=1,0,"")</f>
        <v/>
      </c>
      <c r="N1096" s="43">
        <f>IF($A1096=1,Expenses!$W40,"")</f>
        <v/>
      </c>
      <c r="O1096" s="32">
        <f>IF($A1096=1,Expenses!$M40,"")</f>
        <v/>
      </c>
      <c r="P1096" s="32">
        <f>IF($A1096=1,IF(Expenses!$AC40="","",Expenses!$AC40),"")</f>
        <v/>
      </c>
      <c r="Q1096" s="32">
        <f>IF($A1096=1,Expenses!$AE40,"")</f>
        <v/>
      </c>
      <c r="R1096" s="32">
        <f>IF($A1096=1,IF(AND($Q1096=1,COUNTIFS(COA!$A:$A,$G1096,COA!$R:$R,1)=1),1,0),"")</f>
        <v/>
      </c>
      <c r="S1096" s="43">
        <f>IF($A1096=1,IF($R1096=1,N($M1096),0),"")</f>
        <v/>
      </c>
      <c r="T1096" s="43">
        <f>IF($A1096=1,IF($R1096=1,N($N1096),0),"")</f>
        <v/>
      </c>
      <c r="U1096" s="32">
        <f>IF($A1096=1,YEAR($D1096)*100+MONTH($D1096),"")</f>
        <v/>
      </c>
      <c r="V1096" s="32">
        <f>IF($A1096=1,IF(COUNTIF(COA!$A:$A,$G1096)=0,0,INDEX(COA!$H:$H,MATCH($G1096,COA!$A:$A,0))),"")</f>
        <v/>
      </c>
      <c r="W1096" s="32">
        <f>IF($A1096=1,"OPERATING","")</f>
        <v/>
      </c>
      <c r="X1096" s="32">
        <f>IF($A1096=1,IF($R1096=1,"",IF($O1096=ST_POST,IF($P1096&lt;&gt;"",$P1096,"حساب غير صالح أو غير نشط"),IF($O1096=ST_REV,"معكوس: لا أثر على الدفاتر",IF($O1096=ST_CANC,"ملغى",IF($O1096=ST_APPR,"معتمد ولم يُرحَّل","مسودة"))))),"")</f>
        <v/>
      </c>
      <c r="Y1096" s="32">
        <f>IF($A1096=1,IF(AND($R1096=1,OR(LG_Acct="",$G1096=LG_Acct),OR(LG_Party="",$K1096=LG_Party),OR(LG_Loc="ALL",$I1096=LG_Loc),OR(LG_CC="ALL",$J1096=LG_CC),$D1096&gt;=LG_From,$D1096&lt;=LG_To),$D1096+ROW()/1000000,""),"")</f>
        <v/>
      </c>
      <c r="Z1096" s="32">
        <f>IF($A1096=1,IF(Expenses!$N40="","",Expenses!$N40),"")</f>
        <v/>
      </c>
      <c r="AA1096" s="32">
        <f>IF($A1096=1,IF(Expenses!$O40="","",Expenses!$O40),"")</f>
        <v/>
      </c>
      <c r="AB1096" s="32">
        <f>IF($A1096=1,IF(Expenses!$P40="","",Expenses!$P40),"")</f>
        <v/>
      </c>
      <c r="AC1096" s="32">
        <f>IF($A1096=1,IF(Expenses!$Q40="","",Expenses!$Q40),"")</f>
        <v/>
      </c>
      <c r="AD1096" s="32">
        <f>IF($A1096=1,IF(Expenses!$R40="","",Expenses!$R40),"")</f>
        <v/>
      </c>
      <c r="AE1096" s="32">
        <f>IF($A1096=1,0,"")</f>
        <v/>
      </c>
      <c r="AF1096" s="32" t="inlineStr"/>
    </row>
    <row r="1097">
      <c r="A1097" s="32">
        <f>IF(AND(Expenses!$AB41=1,N(Expenses!$F41)&gt;0),1,0)</f>
        <v/>
      </c>
      <c r="B1097" s="32">
        <f>IF($A1097=1,$E1097&amp;"/1","")</f>
        <v/>
      </c>
      <c r="C1097" s="32">
        <f>IF($A1097=1,"J-"&amp;Expenses!$A41,"")</f>
        <v/>
      </c>
      <c r="D1097" s="33">
        <f>IF($A1097=1,Expenses!$B41,"")</f>
        <v/>
      </c>
      <c r="E1097" s="32">
        <f>IF($A1097=1,IF(Expenses!$A41="","",Expenses!$A41),"")</f>
        <v/>
      </c>
      <c r="F1097" s="32">
        <f>IF($A1097=1,"EXP","")</f>
        <v/>
      </c>
      <c r="G1097" s="32">
        <f>IF($A1097=1,IF(Expenses!$E41="","",Expenses!$E41),"")</f>
        <v/>
      </c>
      <c r="H1097" s="32">
        <f>IF($A1097=1,IF(COUNTIF(COA!$A:$A,$G1097)=0,"حساب غير معرف",INDEX(COA!$B:$B,MATCH($G1097,COA!$A:$A,0))),"")</f>
        <v/>
      </c>
      <c r="I1097" s="32">
        <f>IF($A1097=1,IF(Expenses!$C41="","",Expenses!$C41),"")</f>
        <v/>
      </c>
      <c r="J1097" s="32">
        <f>IF($A1097=1,IF(Expenses!$D41="","",Expenses!$D41),"")</f>
        <v/>
      </c>
      <c r="K1097" s="32">
        <f>IF($A1097=1,"-","")</f>
        <v/>
      </c>
      <c r="L1097" s="32">
        <f>IF($A1097=1,IF(Expenses!$L41="","مصروف - "&amp;Expenses!$J41,Expenses!$L41),"")</f>
        <v/>
      </c>
      <c r="M1097" s="43">
        <f>IF($A1097=1,Expenses!$F41,"")</f>
        <v/>
      </c>
      <c r="N1097" s="43">
        <f>IF($A1097=1,0,"")</f>
        <v/>
      </c>
      <c r="O1097" s="32">
        <f>IF($A1097=1,Expenses!$M41,"")</f>
        <v/>
      </c>
      <c r="P1097" s="32">
        <f>IF($A1097=1,IF(Expenses!$AC41="","",Expenses!$AC41),"")</f>
        <v/>
      </c>
      <c r="Q1097" s="32">
        <f>IF($A1097=1,Expenses!$AE41,"")</f>
        <v/>
      </c>
      <c r="R1097" s="32">
        <f>IF($A1097=1,IF(AND($Q1097=1,COUNTIFS(COA!$A:$A,$G1097,COA!$R:$R,1)=1),1,0),"")</f>
        <v/>
      </c>
      <c r="S1097" s="43">
        <f>IF($A1097=1,IF($R1097=1,N($M1097),0),"")</f>
        <v/>
      </c>
      <c r="T1097" s="43">
        <f>IF($A1097=1,IF($R1097=1,N($N1097),0),"")</f>
        <v/>
      </c>
      <c r="U1097" s="32">
        <f>IF($A1097=1,YEAR($D1097)*100+MONTH($D1097),"")</f>
        <v/>
      </c>
      <c r="V1097" s="32">
        <f>IF($A1097=1,IF(COUNTIF(COA!$A:$A,$G1097)=0,0,INDEX(COA!$H:$H,MATCH($G1097,COA!$A:$A,0))),"")</f>
        <v/>
      </c>
      <c r="W1097" s="32">
        <f>IF($A1097=1,"","")</f>
        <v/>
      </c>
      <c r="X1097" s="32">
        <f>IF($A1097=1,IF($R1097=1,"",IF($O1097=ST_POST,IF($P1097&lt;&gt;"",$P1097,"حساب غير صالح أو غير نشط"),IF($O1097=ST_REV,"معكوس: لا أثر على الدفاتر",IF($O1097=ST_CANC,"ملغى",IF($O1097=ST_APPR,"معتمد ولم يُرحَّل","مسودة"))))),"")</f>
        <v/>
      </c>
      <c r="Y1097" s="32">
        <f>IF($A1097=1,IF(AND($R1097=1,OR(LG_Acct="",$G1097=LG_Acct),OR(LG_Party="",$K1097=LG_Party),OR(LG_Loc="ALL",$I1097=LG_Loc),OR(LG_CC="ALL",$J1097=LG_CC),$D1097&gt;=LG_From,$D1097&lt;=LG_To),$D1097+ROW()/1000000,""),"")</f>
        <v/>
      </c>
      <c r="Z1097" s="32">
        <f>IF($A1097=1,IF(Expenses!$N41="","",Expenses!$N41),"")</f>
        <v/>
      </c>
      <c r="AA1097" s="32">
        <f>IF($A1097=1,IF(Expenses!$O41="","",Expenses!$O41),"")</f>
        <v/>
      </c>
      <c r="AB1097" s="32">
        <f>IF($A1097=1,IF(Expenses!$P41="","",Expenses!$P41),"")</f>
        <v/>
      </c>
      <c r="AC1097" s="32">
        <f>IF($A1097=1,IF(Expenses!$Q41="","",Expenses!$Q41),"")</f>
        <v/>
      </c>
      <c r="AD1097" s="32">
        <f>IF($A1097=1,IF(Expenses!$R41="","",Expenses!$R41),"")</f>
        <v/>
      </c>
      <c r="AE1097" s="32">
        <f>IF($A1097=1,0,"")</f>
        <v/>
      </c>
      <c r="AF1097" s="32" t="inlineStr"/>
    </row>
    <row r="1098">
      <c r="A1098" s="32">
        <f>IF(AND(Expenses!$AB41=1,N(Expenses!$G41)&gt;0),1,0)</f>
        <v/>
      </c>
      <c r="B1098" s="32">
        <f>IF($A1098=1,$E1098&amp;"/2","")</f>
        <v/>
      </c>
      <c r="C1098" s="32">
        <f>IF($A1098=1,"J-"&amp;Expenses!$A41,"")</f>
        <v/>
      </c>
      <c r="D1098" s="33">
        <f>IF($A1098=1,Expenses!$B41,"")</f>
        <v/>
      </c>
      <c r="E1098" s="32">
        <f>IF($A1098=1,IF(Expenses!$A41="","",Expenses!$A41),"")</f>
        <v/>
      </c>
      <c r="F1098" s="32">
        <f>IF($A1098=1,"EXP","")</f>
        <v/>
      </c>
      <c r="G1098" s="32">
        <f>IF($A1098=1,ACC_VAT_IN,"")</f>
        <v/>
      </c>
      <c r="H1098" s="32">
        <f>IF($A1098=1,IF(COUNTIF(COA!$A:$A,$G1098)=0,"حساب غير معرف",INDEX(COA!$B:$B,MATCH($G1098,COA!$A:$A,0))),"")</f>
        <v/>
      </c>
      <c r="I1098" s="32">
        <f>IF($A1098=1,IF(Expenses!$C41="","",Expenses!$C41),"")</f>
        <v/>
      </c>
      <c r="J1098" s="32">
        <f>IF($A1098=1,IF(Expenses!$D41="","",Expenses!$D41),"")</f>
        <v/>
      </c>
      <c r="K1098" s="32">
        <f>IF($A1098=1,"-","")</f>
        <v/>
      </c>
      <c r="L1098" s="32">
        <f>IF($A1098=1,"ضريبة قيمة مضافة - مدخلات","")</f>
        <v/>
      </c>
      <c r="M1098" s="43">
        <f>IF($A1098=1,Expenses!$G41,"")</f>
        <v/>
      </c>
      <c r="N1098" s="43">
        <f>IF($A1098=1,0,"")</f>
        <v/>
      </c>
      <c r="O1098" s="32">
        <f>IF($A1098=1,Expenses!$M41,"")</f>
        <v/>
      </c>
      <c r="P1098" s="32">
        <f>IF($A1098=1,IF(Expenses!$AC41="","",Expenses!$AC41),"")</f>
        <v/>
      </c>
      <c r="Q1098" s="32">
        <f>IF($A1098=1,Expenses!$AE41,"")</f>
        <v/>
      </c>
      <c r="R1098" s="32">
        <f>IF($A1098=1,IF(AND($Q1098=1,COUNTIFS(COA!$A:$A,$G1098,COA!$R:$R,1)=1),1,0),"")</f>
        <v/>
      </c>
      <c r="S1098" s="43">
        <f>IF($A1098=1,IF($R1098=1,N($M1098),0),"")</f>
        <v/>
      </c>
      <c r="T1098" s="43">
        <f>IF($A1098=1,IF($R1098=1,N($N1098),0),"")</f>
        <v/>
      </c>
      <c r="U1098" s="32">
        <f>IF($A1098=1,YEAR($D1098)*100+MONTH($D1098),"")</f>
        <v/>
      </c>
      <c r="V1098" s="32">
        <f>IF($A1098=1,IF(COUNTIF(COA!$A:$A,$G1098)=0,0,INDEX(COA!$H:$H,MATCH($G1098,COA!$A:$A,0))),"")</f>
        <v/>
      </c>
      <c r="W1098" s="32">
        <f>IF($A1098=1,"","")</f>
        <v/>
      </c>
      <c r="X1098" s="32">
        <f>IF($A1098=1,IF($R1098=1,"",IF($O1098=ST_POST,IF($P1098&lt;&gt;"",$P1098,"حساب غير صالح أو غير نشط"),IF($O1098=ST_REV,"معكوس: لا أثر على الدفاتر",IF($O1098=ST_CANC,"ملغى",IF($O1098=ST_APPR,"معتمد ولم يُرحَّل","مسودة"))))),"")</f>
        <v/>
      </c>
      <c r="Y1098" s="32">
        <f>IF($A1098=1,IF(AND($R1098=1,OR(LG_Acct="",$G1098=LG_Acct),OR(LG_Party="",$K1098=LG_Party),OR(LG_Loc="ALL",$I1098=LG_Loc),OR(LG_CC="ALL",$J1098=LG_CC),$D1098&gt;=LG_From,$D1098&lt;=LG_To),$D1098+ROW()/1000000,""),"")</f>
        <v/>
      </c>
      <c r="Z1098" s="32">
        <f>IF($A1098=1,IF(Expenses!$N41="","",Expenses!$N41),"")</f>
        <v/>
      </c>
      <c r="AA1098" s="32">
        <f>IF($A1098=1,IF(Expenses!$O41="","",Expenses!$O41),"")</f>
        <v/>
      </c>
      <c r="AB1098" s="32">
        <f>IF($A1098=1,IF(Expenses!$P41="","",Expenses!$P41),"")</f>
        <v/>
      </c>
      <c r="AC1098" s="32">
        <f>IF($A1098=1,IF(Expenses!$Q41="","",Expenses!$Q41),"")</f>
        <v/>
      </c>
      <c r="AD1098" s="32">
        <f>IF($A1098=1,IF(Expenses!$R41="","",Expenses!$R41),"")</f>
        <v/>
      </c>
      <c r="AE1098" s="32">
        <f>IF($A1098=1,0,"")</f>
        <v/>
      </c>
      <c r="AF1098" s="32" t="inlineStr"/>
    </row>
    <row r="1099">
      <c r="A1099" s="32">
        <f>IF(AND(Expenses!$AB41=1,N(Expenses!$W41)&gt;0),1,0)</f>
        <v/>
      </c>
      <c r="B1099" s="32">
        <f>IF($A1099=1,$E1099&amp;"/3","")</f>
        <v/>
      </c>
      <c r="C1099" s="32">
        <f>IF($A1099=1,"J-"&amp;Expenses!$A41,"")</f>
        <v/>
      </c>
      <c r="D1099" s="33">
        <f>IF($A1099=1,Expenses!$B41,"")</f>
        <v/>
      </c>
      <c r="E1099" s="32">
        <f>IF($A1099=1,IF(Expenses!$A41="","",Expenses!$A41),"")</f>
        <v/>
      </c>
      <c r="F1099" s="32">
        <f>IF($A1099=1,"EXP","")</f>
        <v/>
      </c>
      <c r="G1099" s="32">
        <f>IF($A1099=1,IF(Expenses!$V41="","",Expenses!$V41),"")</f>
        <v/>
      </c>
      <c r="H1099" s="32">
        <f>IF($A1099=1,IF(COUNTIF(COA!$A:$A,$G1099)=0,"حساب غير معرف",INDEX(COA!$B:$B,MATCH($G1099,COA!$A:$A,0))),"")</f>
        <v/>
      </c>
      <c r="I1099" s="32">
        <f>IF($A1099=1,IF(Expenses!$C41="","",Expenses!$C41),"")</f>
        <v/>
      </c>
      <c r="J1099" s="32">
        <f>IF($A1099=1,"CC00","")</f>
        <v/>
      </c>
      <c r="K1099" s="32">
        <f>IF($A1099=1,"-","")</f>
        <v/>
      </c>
      <c r="L1099" s="32">
        <f>IF($A1099=1,IF(Expenses!$L41="","مصروف - "&amp;Expenses!$J41,Expenses!$L41),"")</f>
        <v/>
      </c>
      <c r="M1099" s="43">
        <f>IF($A1099=1,0,"")</f>
        <v/>
      </c>
      <c r="N1099" s="43">
        <f>IF($A1099=1,Expenses!$W41,"")</f>
        <v/>
      </c>
      <c r="O1099" s="32">
        <f>IF($A1099=1,Expenses!$M41,"")</f>
        <v/>
      </c>
      <c r="P1099" s="32">
        <f>IF($A1099=1,IF(Expenses!$AC41="","",Expenses!$AC41),"")</f>
        <v/>
      </c>
      <c r="Q1099" s="32">
        <f>IF($A1099=1,Expenses!$AE41,"")</f>
        <v/>
      </c>
      <c r="R1099" s="32">
        <f>IF($A1099=1,IF(AND($Q1099=1,COUNTIFS(COA!$A:$A,$G1099,COA!$R:$R,1)=1),1,0),"")</f>
        <v/>
      </c>
      <c r="S1099" s="43">
        <f>IF($A1099=1,IF($R1099=1,N($M1099),0),"")</f>
        <v/>
      </c>
      <c r="T1099" s="43">
        <f>IF($A1099=1,IF($R1099=1,N($N1099),0),"")</f>
        <v/>
      </c>
      <c r="U1099" s="32">
        <f>IF($A1099=1,YEAR($D1099)*100+MONTH($D1099),"")</f>
        <v/>
      </c>
      <c r="V1099" s="32">
        <f>IF($A1099=1,IF(COUNTIF(COA!$A:$A,$G1099)=0,0,INDEX(COA!$H:$H,MATCH($G1099,COA!$A:$A,0))),"")</f>
        <v/>
      </c>
      <c r="W1099" s="32">
        <f>IF($A1099=1,"OPERATING","")</f>
        <v/>
      </c>
      <c r="X1099" s="32">
        <f>IF($A1099=1,IF($R1099=1,"",IF($O1099=ST_POST,IF($P1099&lt;&gt;"",$P1099,"حساب غير صالح أو غير نشط"),IF($O1099=ST_REV,"معكوس: لا أثر على الدفاتر",IF($O1099=ST_CANC,"ملغى",IF($O1099=ST_APPR,"معتمد ولم يُرحَّل","مسودة"))))),"")</f>
        <v/>
      </c>
      <c r="Y1099" s="32">
        <f>IF($A1099=1,IF(AND($R1099=1,OR(LG_Acct="",$G1099=LG_Acct),OR(LG_Party="",$K1099=LG_Party),OR(LG_Loc="ALL",$I1099=LG_Loc),OR(LG_CC="ALL",$J1099=LG_CC),$D1099&gt;=LG_From,$D1099&lt;=LG_To),$D1099+ROW()/1000000,""),"")</f>
        <v/>
      </c>
      <c r="Z1099" s="32">
        <f>IF($A1099=1,IF(Expenses!$N41="","",Expenses!$N41),"")</f>
        <v/>
      </c>
      <c r="AA1099" s="32">
        <f>IF($A1099=1,IF(Expenses!$O41="","",Expenses!$O41),"")</f>
        <v/>
      </c>
      <c r="AB1099" s="32">
        <f>IF($A1099=1,IF(Expenses!$P41="","",Expenses!$P41),"")</f>
        <v/>
      </c>
      <c r="AC1099" s="32">
        <f>IF($A1099=1,IF(Expenses!$Q41="","",Expenses!$Q41),"")</f>
        <v/>
      </c>
      <c r="AD1099" s="32">
        <f>IF($A1099=1,IF(Expenses!$R41="","",Expenses!$R41),"")</f>
        <v/>
      </c>
      <c r="AE1099" s="32">
        <f>IF($A1099=1,0,"")</f>
        <v/>
      </c>
      <c r="AF1099" s="32" t="inlineStr"/>
    </row>
    <row r="1100">
      <c r="A1100" s="32">
        <f>IF(AND(Expenses!$AB42=1,N(Expenses!$F42)&gt;0),1,0)</f>
        <v/>
      </c>
      <c r="B1100" s="32">
        <f>IF($A1100=1,$E1100&amp;"/1","")</f>
        <v/>
      </c>
      <c r="C1100" s="32">
        <f>IF($A1100=1,"J-"&amp;Expenses!$A42,"")</f>
        <v/>
      </c>
      <c r="D1100" s="33">
        <f>IF($A1100=1,Expenses!$B42,"")</f>
        <v/>
      </c>
      <c r="E1100" s="32">
        <f>IF($A1100=1,IF(Expenses!$A42="","",Expenses!$A42),"")</f>
        <v/>
      </c>
      <c r="F1100" s="32">
        <f>IF($A1100=1,"EXP","")</f>
        <v/>
      </c>
      <c r="G1100" s="32">
        <f>IF($A1100=1,IF(Expenses!$E42="","",Expenses!$E42),"")</f>
        <v/>
      </c>
      <c r="H1100" s="32">
        <f>IF($A1100=1,IF(COUNTIF(COA!$A:$A,$G1100)=0,"حساب غير معرف",INDEX(COA!$B:$B,MATCH($G1100,COA!$A:$A,0))),"")</f>
        <v/>
      </c>
      <c r="I1100" s="32">
        <f>IF($A1100=1,IF(Expenses!$C42="","",Expenses!$C42),"")</f>
        <v/>
      </c>
      <c r="J1100" s="32">
        <f>IF($A1100=1,IF(Expenses!$D42="","",Expenses!$D42),"")</f>
        <v/>
      </c>
      <c r="K1100" s="32">
        <f>IF($A1100=1,"-","")</f>
        <v/>
      </c>
      <c r="L1100" s="32">
        <f>IF($A1100=1,IF(Expenses!$L42="","مصروف - "&amp;Expenses!$J42,Expenses!$L42),"")</f>
        <v/>
      </c>
      <c r="M1100" s="43">
        <f>IF($A1100=1,Expenses!$F42,"")</f>
        <v/>
      </c>
      <c r="N1100" s="43">
        <f>IF($A1100=1,0,"")</f>
        <v/>
      </c>
      <c r="O1100" s="32">
        <f>IF($A1100=1,Expenses!$M42,"")</f>
        <v/>
      </c>
      <c r="P1100" s="32">
        <f>IF($A1100=1,IF(Expenses!$AC42="","",Expenses!$AC42),"")</f>
        <v/>
      </c>
      <c r="Q1100" s="32">
        <f>IF($A1100=1,Expenses!$AE42,"")</f>
        <v/>
      </c>
      <c r="R1100" s="32">
        <f>IF($A1100=1,IF(AND($Q1100=1,COUNTIFS(COA!$A:$A,$G1100,COA!$R:$R,1)=1),1,0),"")</f>
        <v/>
      </c>
      <c r="S1100" s="43">
        <f>IF($A1100=1,IF($R1100=1,N($M1100),0),"")</f>
        <v/>
      </c>
      <c r="T1100" s="43">
        <f>IF($A1100=1,IF($R1100=1,N($N1100),0),"")</f>
        <v/>
      </c>
      <c r="U1100" s="32">
        <f>IF($A1100=1,YEAR($D1100)*100+MONTH($D1100),"")</f>
        <v/>
      </c>
      <c r="V1100" s="32">
        <f>IF($A1100=1,IF(COUNTIF(COA!$A:$A,$G1100)=0,0,INDEX(COA!$H:$H,MATCH($G1100,COA!$A:$A,0))),"")</f>
        <v/>
      </c>
      <c r="W1100" s="32">
        <f>IF($A1100=1,"","")</f>
        <v/>
      </c>
      <c r="X1100" s="32">
        <f>IF($A1100=1,IF($R1100=1,"",IF($O1100=ST_POST,IF($P1100&lt;&gt;"",$P1100,"حساب غير صالح أو غير نشط"),IF($O1100=ST_REV,"معكوس: لا أثر على الدفاتر",IF($O1100=ST_CANC,"ملغى",IF($O1100=ST_APPR,"معتمد ولم يُرحَّل","مسودة"))))),"")</f>
        <v/>
      </c>
      <c r="Y1100" s="32">
        <f>IF($A1100=1,IF(AND($R1100=1,OR(LG_Acct="",$G1100=LG_Acct),OR(LG_Party="",$K1100=LG_Party),OR(LG_Loc="ALL",$I1100=LG_Loc),OR(LG_CC="ALL",$J1100=LG_CC),$D1100&gt;=LG_From,$D1100&lt;=LG_To),$D1100+ROW()/1000000,""),"")</f>
        <v/>
      </c>
      <c r="Z1100" s="32">
        <f>IF($A1100=1,IF(Expenses!$N42="","",Expenses!$N42),"")</f>
        <v/>
      </c>
      <c r="AA1100" s="32">
        <f>IF($A1100=1,IF(Expenses!$O42="","",Expenses!$O42),"")</f>
        <v/>
      </c>
      <c r="AB1100" s="32">
        <f>IF($A1100=1,IF(Expenses!$P42="","",Expenses!$P42),"")</f>
        <v/>
      </c>
      <c r="AC1100" s="32">
        <f>IF($A1100=1,IF(Expenses!$Q42="","",Expenses!$Q42),"")</f>
        <v/>
      </c>
      <c r="AD1100" s="32">
        <f>IF($A1100=1,IF(Expenses!$R42="","",Expenses!$R42),"")</f>
        <v/>
      </c>
      <c r="AE1100" s="32">
        <f>IF($A1100=1,0,"")</f>
        <v/>
      </c>
      <c r="AF1100" s="32" t="inlineStr"/>
    </row>
    <row r="1101">
      <c r="A1101" s="32">
        <f>IF(AND(Expenses!$AB42=1,N(Expenses!$G42)&gt;0),1,0)</f>
        <v/>
      </c>
      <c r="B1101" s="32">
        <f>IF($A1101=1,$E1101&amp;"/2","")</f>
        <v/>
      </c>
      <c r="C1101" s="32">
        <f>IF($A1101=1,"J-"&amp;Expenses!$A42,"")</f>
        <v/>
      </c>
      <c r="D1101" s="33">
        <f>IF($A1101=1,Expenses!$B42,"")</f>
        <v/>
      </c>
      <c r="E1101" s="32">
        <f>IF($A1101=1,IF(Expenses!$A42="","",Expenses!$A42),"")</f>
        <v/>
      </c>
      <c r="F1101" s="32">
        <f>IF($A1101=1,"EXP","")</f>
        <v/>
      </c>
      <c r="G1101" s="32">
        <f>IF($A1101=1,ACC_VAT_IN,"")</f>
        <v/>
      </c>
      <c r="H1101" s="32">
        <f>IF($A1101=1,IF(COUNTIF(COA!$A:$A,$G1101)=0,"حساب غير معرف",INDEX(COA!$B:$B,MATCH($G1101,COA!$A:$A,0))),"")</f>
        <v/>
      </c>
      <c r="I1101" s="32">
        <f>IF($A1101=1,IF(Expenses!$C42="","",Expenses!$C42),"")</f>
        <v/>
      </c>
      <c r="J1101" s="32">
        <f>IF($A1101=1,IF(Expenses!$D42="","",Expenses!$D42),"")</f>
        <v/>
      </c>
      <c r="K1101" s="32">
        <f>IF($A1101=1,"-","")</f>
        <v/>
      </c>
      <c r="L1101" s="32">
        <f>IF($A1101=1,"ضريبة قيمة مضافة - مدخلات","")</f>
        <v/>
      </c>
      <c r="M1101" s="43">
        <f>IF($A1101=1,Expenses!$G42,"")</f>
        <v/>
      </c>
      <c r="N1101" s="43">
        <f>IF($A1101=1,0,"")</f>
        <v/>
      </c>
      <c r="O1101" s="32">
        <f>IF($A1101=1,Expenses!$M42,"")</f>
        <v/>
      </c>
      <c r="P1101" s="32">
        <f>IF($A1101=1,IF(Expenses!$AC42="","",Expenses!$AC42),"")</f>
        <v/>
      </c>
      <c r="Q1101" s="32">
        <f>IF($A1101=1,Expenses!$AE42,"")</f>
        <v/>
      </c>
      <c r="R1101" s="32">
        <f>IF($A1101=1,IF(AND($Q1101=1,COUNTIFS(COA!$A:$A,$G1101,COA!$R:$R,1)=1),1,0),"")</f>
        <v/>
      </c>
      <c r="S1101" s="43">
        <f>IF($A1101=1,IF($R1101=1,N($M1101),0),"")</f>
        <v/>
      </c>
      <c r="T1101" s="43">
        <f>IF($A1101=1,IF($R1101=1,N($N1101),0),"")</f>
        <v/>
      </c>
      <c r="U1101" s="32">
        <f>IF($A1101=1,YEAR($D1101)*100+MONTH($D1101),"")</f>
        <v/>
      </c>
      <c r="V1101" s="32">
        <f>IF($A1101=1,IF(COUNTIF(COA!$A:$A,$G1101)=0,0,INDEX(COA!$H:$H,MATCH($G1101,COA!$A:$A,0))),"")</f>
        <v/>
      </c>
      <c r="W1101" s="32">
        <f>IF($A1101=1,"","")</f>
        <v/>
      </c>
      <c r="X1101" s="32">
        <f>IF($A1101=1,IF($R1101=1,"",IF($O1101=ST_POST,IF($P1101&lt;&gt;"",$P1101,"حساب غير صالح أو غير نشط"),IF($O1101=ST_REV,"معكوس: لا أثر على الدفاتر",IF($O1101=ST_CANC,"ملغى",IF($O1101=ST_APPR,"معتمد ولم يُرحَّل","مسودة"))))),"")</f>
        <v/>
      </c>
      <c r="Y1101" s="32">
        <f>IF($A1101=1,IF(AND($R1101=1,OR(LG_Acct="",$G1101=LG_Acct),OR(LG_Party="",$K1101=LG_Party),OR(LG_Loc="ALL",$I1101=LG_Loc),OR(LG_CC="ALL",$J1101=LG_CC),$D1101&gt;=LG_From,$D1101&lt;=LG_To),$D1101+ROW()/1000000,""),"")</f>
        <v/>
      </c>
      <c r="Z1101" s="32">
        <f>IF($A1101=1,IF(Expenses!$N42="","",Expenses!$N42),"")</f>
        <v/>
      </c>
      <c r="AA1101" s="32">
        <f>IF($A1101=1,IF(Expenses!$O42="","",Expenses!$O42),"")</f>
        <v/>
      </c>
      <c r="AB1101" s="32">
        <f>IF($A1101=1,IF(Expenses!$P42="","",Expenses!$P42),"")</f>
        <v/>
      </c>
      <c r="AC1101" s="32">
        <f>IF($A1101=1,IF(Expenses!$Q42="","",Expenses!$Q42),"")</f>
        <v/>
      </c>
      <c r="AD1101" s="32">
        <f>IF($A1101=1,IF(Expenses!$R42="","",Expenses!$R42),"")</f>
        <v/>
      </c>
      <c r="AE1101" s="32">
        <f>IF($A1101=1,0,"")</f>
        <v/>
      </c>
      <c r="AF1101" s="32" t="inlineStr"/>
    </row>
    <row r="1102">
      <c r="A1102" s="32">
        <f>IF(AND(Expenses!$AB42=1,N(Expenses!$W42)&gt;0),1,0)</f>
        <v/>
      </c>
      <c r="B1102" s="32">
        <f>IF($A1102=1,$E1102&amp;"/3","")</f>
        <v/>
      </c>
      <c r="C1102" s="32">
        <f>IF($A1102=1,"J-"&amp;Expenses!$A42,"")</f>
        <v/>
      </c>
      <c r="D1102" s="33">
        <f>IF($A1102=1,Expenses!$B42,"")</f>
        <v/>
      </c>
      <c r="E1102" s="32">
        <f>IF($A1102=1,IF(Expenses!$A42="","",Expenses!$A42),"")</f>
        <v/>
      </c>
      <c r="F1102" s="32">
        <f>IF($A1102=1,"EXP","")</f>
        <v/>
      </c>
      <c r="G1102" s="32">
        <f>IF($A1102=1,IF(Expenses!$V42="","",Expenses!$V42),"")</f>
        <v/>
      </c>
      <c r="H1102" s="32">
        <f>IF($A1102=1,IF(COUNTIF(COA!$A:$A,$G1102)=0,"حساب غير معرف",INDEX(COA!$B:$B,MATCH($G1102,COA!$A:$A,0))),"")</f>
        <v/>
      </c>
      <c r="I1102" s="32">
        <f>IF($A1102=1,IF(Expenses!$C42="","",Expenses!$C42),"")</f>
        <v/>
      </c>
      <c r="J1102" s="32">
        <f>IF($A1102=1,"CC00","")</f>
        <v/>
      </c>
      <c r="K1102" s="32">
        <f>IF($A1102=1,"-","")</f>
        <v/>
      </c>
      <c r="L1102" s="32">
        <f>IF($A1102=1,IF(Expenses!$L42="","مصروف - "&amp;Expenses!$J42,Expenses!$L42),"")</f>
        <v/>
      </c>
      <c r="M1102" s="43">
        <f>IF($A1102=1,0,"")</f>
        <v/>
      </c>
      <c r="N1102" s="43">
        <f>IF($A1102=1,Expenses!$W42,"")</f>
        <v/>
      </c>
      <c r="O1102" s="32">
        <f>IF($A1102=1,Expenses!$M42,"")</f>
        <v/>
      </c>
      <c r="P1102" s="32">
        <f>IF($A1102=1,IF(Expenses!$AC42="","",Expenses!$AC42),"")</f>
        <v/>
      </c>
      <c r="Q1102" s="32">
        <f>IF($A1102=1,Expenses!$AE42,"")</f>
        <v/>
      </c>
      <c r="R1102" s="32">
        <f>IF($A1102=1,IF(AND($Q1102=1,COUNTIFS(COA!$A:$A,$G1102,COA!$R:$R,1)=1),1,0),"")</f>
        <v/>
      </c>
      <c r="S1102" s="43">
        <f>IF($A1102=1,IF($R1102=1,N($M1102),0),"")</f>
        <v/>
      </c>
      <c r="T1102" s="43">
        <f>IF($A1102=1,IF($R1102=1,N($N1102),0),"")</f>
        <v/>
      </c>
      <c r="U1102" s="32">
        <f>IF($A1102=1,YEAR($D1102)*100+MONTH($D1102),"")</f>
        <v/>
      </c>
      <c r="V1102" s="32">
        <f>IF($A1102=1,IF(COUNTIF(COA!$A:$A,$G1102)=0,0,INDEX(COA!$H:$H,MATCH($G1102,COA!$A:$A,0))),"")</f>
        <v/>
      </c>
      <c r="W1102" s="32">
        <f>IF($A1102=1,"OPERATING","")</f>
        <v/>
      </c>
      <c r="X1102" s="32">
        <f>IF($A1102=1,IF($R1102=1,"",IF($O1102=ST_POST,IF($P1102&lt;&gt;"",$P1102,"حساب غير صالح أو غير نشط"),IF($O1102=ST_REV,"معكوس: لا أثر على الدفاتر",IF($O1102=ST_CANC,"ملغى",IF($O1102=ST_APPR,"معتمد ولم يُرحَّل","مسودة"))))),"")</f>
        <v/>
      </c>
      <c r="Y1102" s="32">
        <f>IF($A1102=1,IF(AND($R1102=1,OR(LG_Acct="",$G1102=LG_Acct),OR(LG_Party="",$K1102=LG_Party),OR(LG_Loc="ALL",$I1102=LG_Loc),OR(LG_CC="ALL",$J1102=LG_CC),$D1102&gt;=LG_From,$D1102&lt;=LG_To),$D1102+ROW()/1000000,""),"")</f>
        <v/>
      </c>
      <c r="Z1102" s="32">
        <f>IF($A1102=1,IF(Expenses!$N42="","",Expenses!$N42),"")</f>
        <v/>
      </c>
      <c r="AA1102" s="32">
        <f>IF($A1102=1,IF(Expenses!$O42="","",Expenses!$O42),"")</f>
        <v/>
      </c>
      <c r="AB1102" s="32">
        <f>IF($A1102=1,IF(Expenses!$P42="","",Expenses!$P42),"")</f>
        <v/>
      </c>
      <c r="AC1102" s="32">
        <f>IF($A1102=1,IF(Expenses!$Q42="","",Expenses!$Q42),"")</f>
        <v/>
      </c>
      <c r="AD1102" s="32">
        <f>IF($A1102=1,IF(Expenses!$R42="","",Expenses!$R42),"")</f>
        <v/>
      </c>
      <c r="AE1102" s="32">
        <f>IF($A1102=1,0,"")</f>
        <v/>
      </c>
      <c r="AF1102" s="32" t="inlineStr"/>
    </row>
    <row r="1103">
      <c r="A1103" s="32">
        <f>IF(AND(Expenses!$AB43=1,N(Expenses!$F43)&gt;0),1,0)</f>
        <v/>
      </c>
      <c r="B1103" s="32">
        <f>IF($A1103=1,$E1103&amp;"/1","")</f>
        <v/>
      </c>
      <c r="C1103" s="32">
        <f>IF($A1103=1,"J-"&amp;Expenses!$A43,"")</f>
        <v/>
      </c>
      <c r="D1103" s="33">
        <f>IF($A1103=1,Expenses!$B43,"")</f>
        <v/>
      </c>
      <c r="E1103" s="32">
        <f>IF($A1103=1,IF(Expenses!$A43="","",Expenses!$A43),"")</f>
        <v/>
      </c>
      <c r="F1103" s="32">
        <f>IF($A1103=1,"EXP","")</f>
        <v/>
      </c>
      <c r="G1103" s="32">
        <f>IF($A1103=1,IF(Expenses!$E43="","",Expenses!$E43),"")</f>
        <v/>
      </c>
      <c r="H1103" s="32">
        <f>IF($A1103=1,IF(COUNTIF(COA!$A:$A,$G1103)=0,"حساب غير معرف",INDEX(COA!$B:$B,MATCH($G1103,COA!$A:$A,0))),"")</f>
        <v/>
      </c>
      <c r="I1103" s="32">
        <f>IF($A1103=1,IF(Expenses!$C43="","",Expenses!$C43),"")</f>
        <v/>
      </c>
      <c r="J1103" s="32">
        <f>IF($A1103=1,IF(Expenses!$D43="","",Expenses!$D43),"")</f>
        <v/>
      </c>
      <c r="K1103" s="32">
        <f>IF($A1103=1,"-","")</f>
        <v/>
      </c>
      <c r="L1103" s="32">
        <f>IF($A1103=1,IF(Expenses!$L43="","مصروف - "&amp;Expenses!$J43,Expenses!$L43),"")</f>
        <v/>
      </c>
      <c r="M1103" s="43">
        <f>IF($A1103=1,Expenses!$F43,"")</f>
        <v/>
      </c>
      <c r="N1103" s="43">
        <f>IF($A1103=1,0,"")</f>
        <v/>
      </c>
      <c r="O1103" s="32">
        <f>IF($A1103=1,Expenses!$M43,"")</f>
        <v/>
      </c>
      <c r="P1103" s="32">
        <f>IF($A1103=1,IF(Expenses!$AC43="","",Expenses!$AC43),"")</f>
        <v/>
      </c>
      <c r="Q1103" s="32">
        <f>IF($A1103=1,Expenses!$AE43,"")</f>
        <v/>
      </c>
      <c r="R1103" s="32">
        <f>IF($A1103=1,IF(AND($Q1103=1,COUNTIFS(COA!$A:$A,$G1103,COA!$R:$R,1)=1),1,0),"")</f>
        <v/>
      </c>
      <c r="S1103" s="43">
        <f>IF($A1103=1,IF($R1103=1,N($M1103),0),"")</f>
        <v/>
      </c>
      <c r="T1103" s="43">
        <f>IF($A1103=1,IF($R1103=1,N($N1103),0),"")</f>
        <v/>
      </c>
      <c r="U1103" s="32">
        <f>IF($A1103=1,YEAR($D1103)*100+MONTH($D1103),"")</f>
        <v/>
      </c>
      <c r="V1103" s="32">
        <f>IF($A1103=1,IF(COUNTIF(COA!$A:$A,$G1103)=0,0,INDEX(COA!$H:$H,MATCH($G1103,COA!$A:$A,0))),"")</f>
        <v/>
      </c>
      <c r="W1103" s="32">
        <f>IF($A1103=1,"","")</f>
        <v/>
      </c>
      <c r="X1103" s="32">
        <f>IF($A1103=1,IF($R1103=1,"",IF($O1103=ST_POST,IF($P1103&lt;&gt;"",$P1103,"حساب غير صالح أو غير نشط"),IF($O1103=ST_REV,"معكوس: لا أثر على الدفاتر",IF($O1103=ST_CANC,"ملغى",IF($O1103=ST_APPR,"معتمد ولم يُرحَّل","مسودة"))))),"")</f>
        <v/>
      </c>
      <c r="Y1103" s="32">
        <f>IF($A1103=1,IF(AND($R1103=1,OR(LG_Acct="",$G1103=LG_Acct),OR(LG_Party="",$K1103=LG_Party),OR(LG_Loc="ALL",$I1103=LG_Loc),OR(LG_CC="ALL",$J1103=LG_CC),$D1103&gt;=LG_From,$D1103&lt;=LG_To),$D1103+ROW()/1000000,""),"")</f>
        <v/>
      </c>
      <c r="Z1103" s="32">
        <f>IF($A1103=1,IF(Expenses!$N43="","",Expenses!$N43),"")</f>
        <v/>
      </c>
      <c r="AA1103" s="32">
        <f>IF($A1103=1,IF(Expenses!$O43="","",Expenses!$O43),"")</f>
        <v/>
      </c>
      <c r="AB1103" s="32">
        <f>IF($A1103=1,IF(Expenses!$P43="","",Expenses!$P43),"")</f>
        <v/>
      </c>
      <c r="AC1103" s="32">
        <f>IF($A1103=1,IF(Expenses!$Q43="","",Expenses!$Q43),"")</f>
        <v/>
      </c>
      <c r="AD1103" s="32">
        <f>IF($A1103=1,IF(Expenses!$R43="","",Expenses!$R43),"")</f>
        <v/>
      </c>
      <c r="AE1103" s="32">
        <f>IF($A1103=1,0,"")</f>
        <v/>
      </c>
      <c r="AF1103" s="32" t="inlineStr"/>
    </row>
    <row r="1104">
      <c r="A1104" s="32">
        <f>IF(AND(Expenses!$AB43=1,N(Expenses!$G43)&gt;0),1,0)</f>
        <v/>
      </c>
      <c r="B1104" s="32">
        <f>IF($A1104=1,$E1104&amp;"/2","")</f>
        <v/>
      </c>
      <c r="C1104" s="32">
        <f>IF($A1104=1,"J-"&amp;Expenses!$A43,"")</f>
        <v/>
      </c>
      <c r="D1104" s="33">
        <f>IF($A1104=1,Expenses!$B43,"")</f>
        <v/>
      </c>
      <c r="E1104" s="32">
        <f>IF($A1104=1,IF(Expenses!$A43="","",Expenses!$A43),"")</f>
        <v/>
      </c>
      <c r="F1104" s="32">
        <f>IF($A1104=1,"EXP","")</f>
        <v/>
      </c>
      <c r="G1104" s="32">
        <f>IF($A1104=1,ACC_VAT_IN,"")</f>
        <v/>
      </c>
      <c r="H1104" s="32">
        <f>IF($A1104=1,IF(COUNTIF(COA!$A:$A,$G1104)=0,"حساب غير معرف",INDEX(COA!$B:$B,MATCH($G1104,COA!$A:$A,0))),"")</f>
        <v/>
      </c>
      <c r="I1104" s="32">
        <f>IF($A1104=1,IF(Expenses!$C43="","",Expenses!$C43),"")</f>
        <v/>
      </c>
      <c r="J1104" s="32">
        <f>IF($A1104=1,IF(Expenses!$D43="","",Expenses!$D43),"")</f>
        <v/>
      </c>
      <c r="K1104" s="32">
        <f>IF($A1104=1,"-","")</f>
        <v/>
      </c>
      <c r="L1104" s="32">
        <f>IF($A1104=1,"ضريبة قيمة مضافة - مدخلات","")</f>
        <v/>
      </c>
      <c r="M1104" s="43">
        <f>IF($A1104=1,Expenses!$G43,"")</f>
        <v/>
      </c>
      <c r="N1104" s="43">
        <f>IF($A1104=1,0,"")</f>
        <v/>
      </c>
      <c r="O1104" s="32">
        <f>IF($A1104=1,Expenses!$M43,"")</f>
        <v/>
      </c>
      <c r="P1104" s="32">
        <f>IF($A1104=1,IF(Expenses!$AC43="","",Expenses!$AC43),"")</f>
        <v/>
      </c>
      <c r="Q1104" s="32">
        <f>IF($A1104=1,Expenses!$AE43,"")</f>
        <v/>
      </c>
      <c r="R1104" s="32">
        <f>IF($A1104=1,IF(AND($Q1104=1,COUNTIFS(COA!$A:$A,$G1104,COA!$R:$R,1)=1),1,0),"")</f>
        <v/>
      </c>
      <c r="S1104" s="43">
        <f>IF($A1104=1,IF($R1104=1,N($M1104),0),"")</f>
        <v/>
      </c>
      <c r="T1104" s="43">
        <f>IF($A1104=1,IF($R1104=1,N($N1104),0),"")</f>
        <v/>
      </c>
      <c r="U1104" s="32">
        <f>IF($A1104=1,YEAR($D1104)*100+MONTH($D1104),"")</f>
        <v/>
      </c>
      <c r="V1104" s="32">
        <f>IF($A1104=1,IF(COUNTIF(COA!$A:$A,$G1104)=0,0,INDEX(COA!$H:$H,MATCH($G1104,COA!$A:$A,0))),"")</f>
        <v/>
      </c>
      <c r="W1104" s="32">
        <f>IF($A1104=1,"","")</f>
        <v/>
      </c>
      <c r="X1104" s="32">
        <f>IF($A1104=1,IF($R1104=1,"",IF($O1104=ST_POST,IF($P1104&lt;&gt;"",$P1104,"حساب غير صالح أو غير نشط"),IF($O1104=ST_REV,"معكوس: لا أثر على الدفاتر",IF($O1104=ST_CANC,"ملغى",IF($O1104=ST_APPR,"معتمد ولم يُرحَّل","مسودة"))))),"")</f>
        <v/>
      </c>
      <c r="Y1104" s="32">
        <f>IF($A1104=1,IF(AND($R1104=1,OR(LG_Acct="",$G1104=LG_Acct),OR(LG_Party="",$K1104=LG_Party),OR(LG_Loc="ALL",$I1104=LG_Loc),OR(LG_CC="ALL",$J1104=LG_CC),$D1104&gt;=LG_From,$D1104&lt;=LG_To),$D1104+ROW()/1000000,""),"")</f>
        <v/>
      </c>
      <c r="Z1104" s="32">
        <f>IF($A1104=1,IF(Expenses!$N43="","",Expenses!$N43),"")</f>
        <v/>
      </c>
      <c r="AA1104" s="32">
        <f>IF($A1104=1,IF(Expenses!$O43="","",Expenses!$O43),"")</f>
        <v/>
      </c>
      <c r="AB1104" s="32">
        <f>IF($A1104=1,IF(Expenses!$P43="","",Expenses!$P43),"")</f>
        <v/>
      </c>
      <c r="AC1104" s="32">
        <f>IF($A1104=1,IF(Expenses!$Q43="","",Expenses!$Q43),"")</f>
        <v/>
      </c>
      <c r="AD1104" s="32">
        <f>IF($A1104=1,IF(Expenses!$R43="","",Expenses!$R43),"")</f>
        <v/>
      </c>
      <c r="AE1104" s="32">
        <f>IF($A1104=1,0,"")</f>
        <v/>
      </c>
      <c r="AF1104" s="32" t="inlineStr"/>
    </row>
    <row r="1105">
      <c r="A1105" s="32">
        <f>IF(AND(Expenses!$AB43=1,N(Expenses!$W43)&gt;0),1,0)</f>
        <v/>
      </c>
      <c r="B1105" s="32">
        <f>IF($A1105=1,$E1105&amp;"/3","")</f>
        <v/>
      </c>
      <c r="C1105" s="32">
        <f>IF($A1105=1,"J-"&amp;Expenses!$A43,"")</f>
        <v/>
      </c>
      <c r="D1105" s="33">
        <f>IF($A1105=1,Expenses!$B43,"")</f>
        <v/>
      </c>
      <c r="E1105" s="32">
        <f>IF($A1105=1,IF(Expenses!$A43="","",Expenses!$A43),"")</f>
        <v/>
      </c>
      <c r="F1105" s="32">
        <f>IF($A1105=1,"EXP","")</f>
        <v/>
      </c>
      <c r="G1105" s="32">
        <f>IF($A1105=1,IF(Expenses!$V43="","",Expenses!$V43),"")</f>
        <v/>
      </c>
      <c r="H1105" s="32">
        <f>IF($A1105=1,IF(COUNTIF(COA!$A:$A,$G1105)=0,"حساب غير معرف",INDEX(COA!$B:$B,MATCH($G1105,COA!$A:$A,0))),"")</f>
        <v/>
      </c>
      <c r="I1105" s="32">
        <f>IF($A1105=1,IF(Expenses!$C43="","",Expenses!$C43),"")</f>
        <v/>
      </c>
      <c r="J1105" s="32">
        <f>IF($A1105=1,"CC00","")</f>
        <v/>
      </c>
      <c r="K1105" s="32">
        <f>IF($A1105=1,"-","")</f>
        <v/>
      </c>
      <c r="L1105" s="32">
        <f>IF($A1105=1,IF(Expenses!$L43="","مصروف - "&amp;Expenses!$J43,Expenses!$L43),"")</f>
        <v/>
      </c>
      <c r="M1105" s="43">
        <f>IF($A1105=1,0,"")</f>
        <v/>
      </c>
      <c r="N1105" s="43">
        <f>IF($A1105=1,Expenses!$W43,"")</f>
        <v/>
      </c>
      <c r="O1105" s="32">
        <f>IF($A1105=1,Expenses!$M43,"")</f>
        <v/>
      </c>
      <c r="P1105" s="32">
        <f>IF($A1105=1,IF(Expenses!$AC43="","",Expenses!$AC43),"")</f>
        <v/>
      </c>
      <c r="Q1105" s="32">
        <f>IF($A1105=1,Expenses!$AE43,"")</f>
        <v/>
      </c>
      <c r="R1105" s="32">
        <f>IF($A1105=1,IF(AND($Q1105=1,COUNTIFS(COA!$A:$A,$G1105,COA!$R:$R,1)=1),1,0),"")</f>
        <v/>
      </c>
      <c r="S1105" s="43">
        <f>IF($A1105=1,IF($R1105=1,N($M1105),0),"")</f>
        <v/>
      </c>
      <c r="T1105" s="43">
        <f>IF($A1105=1,IF($R1105=1,N($N1105),0),"")</f>
        <v/>
      </c>
      <c r="U1105" s="32">
        <f>IF($A1105=1,YEAR($D1105)*100+MONTH($D1105),"")</f>
        <v/>
      </c>
      <c r="V1105" s="32">
        <f>IF($A1105=1,IF(COUNTIF(COA!$A:$A,$G1105)=0,0,INDEX(COA!$H:$H,MATCH($G1105,COA!$A:$A,0))),"")</f>
        <v/>
      </c>
      <c r="W1105" s="32">
        <f>IF($A1105=1,"OPERATING","")</f>
        <v/>
      </c>
      <c r="X1105" s="32">
        <f>IF($A1105=1,IF($R1105=1,"",IF($O1105=ST_POST,IF($P1105&lt;&gt;"",$P1105,"حساب غير صالح أو غير نشط"),IF($O1105=ST_REV,"معكوس: لا أثر على الدفاتر",IF($O1105=ST_CANC,"ملغى",IF($O1105=ST_APPR,"معتمد ولم يُرحَّل","مسودة"))))),"")</f>
        <v/>
      </c>
      <c r="Y1105" s="32">
        <f>IF($A1105=1,IF(AND($R1105=1,OR(LG_Acct="",$G1105=LG_Acct),OR(LG_Party="",$K1105=LG_Party),OR(LG_Loc="ALL",$I1105=LG_Loc),OR(LG_CC="ALL",$J1105=LG_CC),$D1105&gt;=LG_From,$D1105&lt;=LG_To),$D1105+ROW()/1000000,""),"")</f>
        <v/>
      </c>
      <c r="Z1105" s="32">
        <f>IF($A1105=1,IF(Expenses!$N43="","",Expenses!$N43),"")</f>
        <v/>
      </c>
      <c r="AA1105" s="32">
        <f>IF($A1105=1,IF(Expenses!$O43="","",Expenses!$O43),"")</f>
        <v/>
      </c>
      <c r="AB1105" s="32">
        <f>IF($A1105=1,IF(Expenses!$P43="","",Expenses!$P43),"")</f>
        <v/>
      </c>
      <c r="AC1105" s="32">
        <f>IF($A1105=1,IF(Expenses!$Q43="","",Expenses!$Q43),"")</f>
        <v/>
      </c>
      <c r="AD1105" s="32">
        <f>IF($A1105=1,IF(Expenses!$R43="","",Expenses!$R43),"")</f>
        <v/>
      </c>
      <c r="AE1105" s="32">
        <f>IF($A1105=1,0,"")</f>
        <v/>
      </c>
      <c r="AF1105" s="32" t="inlineStr"/>
    </row>
    <row r="1106">
      <c r="A1106" s="32">
        <f>IF(AND(Expenses!$AB44=1,N(Expenses!$F44)&gt;0),1,0)</f>
        <v/>
      </c>
      <c r="B1106" s="32">
        <f>IF($A1106=1,$E1106&amp;"/1","")</f>
        <v/>
      </c>
      <c r="C1106" s="32">
        <f>IF($A1106=1,"J-"&amp;Expenses!$A44,"")</f>
        <v/>
      </c>
      <c r="D1106" s="33">
        <f>IF($A1106=1,Expenses!$B44,"")</f>
        <v/>
      </c>
      <c r="E1106" s="32">
        <f>IF($A1106=1,IF(Expenses!$A44="","",Expenses!$A44),"")</f>
        <v/>
      </c>
      <c r="F1106" s="32">
        <f>IF($A1106=1,"EXP","")</f>
        <v/>
      </c>
      <c r="G1106" s="32">
        <f>IF($A1106=1,IF(Expenses!$E44="","",Expenses!$E44),"")</f>
        <v/>
      </c>
      <c r="H1106" s="32">
        <f>IF($A1106=1,IF(COUNTIF(COA!$A:$A,$G1106)=0,"حساب غير معرف",INDEX(COA!$B:$B,MATCH($G1106,COA!$A:$A,0))),"")</f>
        <v/>
      </c>
      <c r="I1106" s="32">
        <f>IF($A1106=1,IF(Expenses!$C44="","",Expenses!$C44),"")</f>
        <v/>
      </c>
      <c r="J1106" s="32">
        <f>IF($A1106=1,IF(Expenses!$D44="","",Expenses!$D44),"")</f>
        <v/>
      </c>
      <c r="K1106" s="32">
        <f>IF($A1106=1,"-","")</f>
        <v/>
      </c>
      <c r="L1106" s="32">
        <f>IF($A1106=1,IF(Expenses!$L44="","مصروف - "&amp;Expenses!$J44,Expenses!$L44),"")</f>
        <v/>
      </c>
      <c r="M1106" s="43">
        <f>IF($A1106=1,Expenses!$F44,"")</f>
        <v/>
      </c>
      <c r="N1106" s="43">
        <f>IF($A1106=1,0,"")</f>
        <v/>
      </c>
      <c r="O1106" s="32">
        <f>IF($A1106=1,Expenses!$M44,"")</f>
        <v/>
      </c>
      <c r="P1106" s="32">
        <f>IF($A1106=1,IF(Expenses!$AC44="","",Expenses!$AC44),"")</f>
        <v/>
      </c>
      <c r="Q1106" s="32">
        <f>IF($A1106=1,Expenses!$AE44,"")</f>
        <v/>
      </c>
      <c r="R1106" s="32">
        <f>IF($A1106=1,IF(AND($Q1106=1,COUNTIFS(COA!$A:$A,$G1106,COA!$R:$R,1)=1),1,0),"")</f>
        <v/>
      </c>
      <c r="S1106" s="43">
        <f>IF($A1106=1,IF($R1106=1,N($M1106),0),"")</f>
        <v/>
      </c>
      <c r="T1106" s="43">
        <f>IF($A1106=1,IF($R1106=1,N($N1106),0),"")</f>
        <v/>
      </c>
      <c r="U1106" s="32">
        <f>IF($A1106=1,YEAR($D1106)*100+MONTH($D1106),"")</f>
        <v/>
      </c>
      <c r="V1106" s="32">
        <f>IF($A1106=1,IF(COUNTIF(COA!$A:$A,$G1106)=0,0,INDEX(COA!$H:$H,MATCH($G1106,COA!$A:$A,0))),"")</f>
        <v/>
      </c>
      <c r="W1106" s="32">
        <f>IF($A1106=1,"","")</f>
        <v/>
      </c>
      <c r="X1106" s="32">
        <f>IF($A1106=1,IF($R1106=1,"",IF($O1106=ST_POST,IF($P1106&lt;&gt;"",$P1106,"حساب غير صالح أو غير نشط"),IF($O1106=ST_REV,"معكوس: لا أثر على الدفاتر",IF($O1106=ST_CANC,"ملغى",IF($O1106=ST_APPR,"معتمد ولم يُرحَّل","مسودة"))))),"")</f>
        <v/>
      </c>
      <c r="Y1106" s="32">
        <f>IF($A1106=1,IF(AND($R1106=1,OR(LG_Acct="",$G1106=LG_Acct),OR(LG_Party="",$K1106=LG_Party),OR(LG_Loc="ALL",$I1106=LG_Loc),OR(LG_CC="ALL",$J1106=LG_CC),$D1106&gt;=LG_From,$D1106&lt;=LG_To),$D1106+ROW()/1000000,""),"")</f>
        <v/>
      </c>
      <c r="Z1106" s="32">
        <f>IF($A1106=1,IF(Expenses!$N44="","",Expenses!$N44),"")</f>
        <v/>
      </c>
      <c r="AA1106" s="32">
        <f>IF($A1106=1,IF(Expenses!$O44="","",Expenses!$O44),"")</f>
        <v/>
      </c>
      <c r="AB1106" s="32">
        <f>IF($A1106=1,IF(Expenses!$P44="","",Expenses!$P44),"")</f>
        <v/>
      </c>
      <c r="AC1106" s="32">
        <f>IF($A1106=1,IF(Expenses!$Q44="","",Expenses!$Q44),"")</f>
        <v/>
      </c>
      <c r="AD1106" s="32">
        <f>IF($A1106=1,IF(Expenses!$R44="","",Expenses!$R44),"")</f>
        <v/>
      </c>
      <c r="AE1106" s="32">
        <f>IF($A1106=1,0,"")</f>
        <v/>
      </c>
      <c r="AF1106" s="32" t="inlineStr"/>
    </row>
    <row r="1107">
      <c r="A1107" s="32">
        <f>IF(AND(Expenses!$AB44=1,N(Expenses!$G44)&gt;0),1,0)</f>
        <v/>
      </c>
      <c r="B1107" s="32">
        <f>IF($A1107=1,$E1107&amp;"/2","")</f>
        <v/>
      </c>
      <c r="C1107" s="32">
        <f>IF($A1107=1,"J-"&amp;Expenses!$A44,"")</f>
        <v/>
      </c>
      <c r="D1107" s="33">
        <f>IF($A1107=1,Expenses!$B44,"")</f>
        <v/>
      </c>
      <c r="E1107" s="32">
        <f>IF($A1107=1,IF(Expenses!$A44="","",Expenses!$A44),"")</f>
        <v/>
      </c>
      <c r="F1107" s="32">
        <f>IF($A1107=1,"EXP","")</f>
        <v/>
      </c>
      <c r="G1107" s="32">
        <f>IF($A1107=1,ACC_VAT_IN,"")</f>
        <v/>
      </c>
      <c r="H1107" s="32">
        <f>IF($A1107=1,IF(COUNTIF(COA!$A:$A,$G1107)=0,"حساب غير معرف",INDEX(COA!$B:$B,MATCH($G1107,COA!$A:$A,0))),"")</f>
        <v/>
      </c>
      <c r="I1107" s="32">
        <f>IF($A1107=1,IF(Expenses!$C44="","",Expenses!$C44),"")</f>
        <v/>
      </c>
      <c r="J1107" s="32">
        <f>IF($A1107=1,IF(Expenses!$D44="","",Expenses!$D44),"")</f>
        <v/>
      </c>
      <c r="K1107" s="32">
        <f>IF($A1107=1,"-","")</f>
        <v/>
      </c>
      <c r="L1107" s="32">
        <f>IF($A1107=1,"ضريبة قيمة مضافة - مدخلات","")</f>
        <v/>
      </c>
      <c r="M1107" s="43">
        <f>IF($A1107=1,Expenses!$G44,"")</f>
        <v/>
      </c>
      <c r="N1107" s="43">
        <f>IF($A1107=1,0,"")</f>
        <v/>
      </c>
      <c r="O1107" s="32">
        <f>IF($A1107=1,Expenses!$M44,"")</f>
        <v/>
      </c>
      <c r="P1107" s="32">
        <f>IF($A1107=1,IF(Expenses!$AC44="","",Expenses!$AC44),"")</f>
        <v/>
      </c>
      <c r="Q1107" s="32">
        <f>IF($A1107=1,Expenses!$AE44,"")</f>
        <v/>
      </c>
      <c r="R1107" s="32">
        <f>IF($A1107=1,IF(AND($Q1107=1,COUNTIFS(COA!$A:$A,$G1107,COA!$R:$R,1)=1),1,0),"")</f>
        <v/>
      </c>
      <c r="S1107" s="43">
        <f>IF($A1107=1,IF($R1107=1,N($M1107),0),"")</f>
        <v/>
      </c>
      <c r="T1107" s="43">
        <f>IF($A1107=1,IF($R1107=1,N($N1107),0),"")</f>
        <v/>
      </c>
      <c r="U1107" s="32">
        <f>IF($A1107=1,YEAR($D1107)*100+MONTH($D1107),"")</f>
        <v/>
      </c>
      <c r="V1107" s="32">
        <f>IF($A1107=1,IF(COUNTIF(COA!$A:$A,$G1107)=0,0,INDEX(COA!$H:$H,MATCH($G1107,COA!$A:$A,0))),"")</f>
        <v/>
      </c>
      <c r="W1107" s="32">
        <f>IF($A1107=1,"","")</f>
        <v/>
      </c>
      <c r="X1107" s="32">
        <f>IF($A1107=1,IF($R1107=1,"",IF($O1107=ST_POST,IF($P1107&lt;&gt;"",$P1107,"حساب غير صالح أو غير نشط"),IF($O1107=ST_REV,"معكوس: لا أثر على الدفاتر",IF($O1107=ST_CANC,"ملغى",IF($O1107=ST_APPR,"معتمد ولم يُرحَّل","مسودة"))))),"")</f>
        <v/>
      </c>
      <c r="Y1107" s="32">
        <f>IF($A1107=1,IF(AND($R1107=1,OR(LG_Acct="",$G1107=LG_Acct),OR(LG_Party="",$K1107=LG_Party),OR(LG_Loc="ALL",$I1107=LG_Loc),OR(LG_CC="ALL",$J1107=LG_CC),$D1107&gt;=LG_From,$D1107&lt;=LG_To),$D1107+ROW()/1000000,""),"")</f>
        <v/>
      </c>
      <c r="Z1107" s="32">
        <f>IF($A1107=1,IF(Expenses!$N44="","",Expenses!$N44),"")</f>
        <v/>
      </c>
      <c r="AA1107" s="32">
        <f>IF($A1107=1,IF(Expenses!$O44="","",Expenses!$O44),"")</f>
        <v/>
      </c>
      <c r="AB1107" s="32">
        <f>IF($A1107=1,IF(Expenses!$P44="","",Expenses!$P44),"")</f>
        <v/>
      </c>
      <c r="AC1107" s="32">
        <f>IF($A1107=1,IF(Expenses!$Q44="","",Expenses!$Q44),"")</f>
        <v/>
      </c>
      <c r="AD1107" s="32">
        <f>IF($A1107=1,IF(Expenses!$R44="","",Expenses!$R44),"")</f>
        <v/>
      </c>
      <c r="AE1107" s="32">
        <f>IF($A1107=1,0,"")</f>
        <v/>
      </c>
      <c r="AF1107" s="32" t="inlineStr"/>
    </row>
    <row r="1108">
      <c r="A1108" s="32">
        <f>IF(AND(Expenses!$AB44=1,N(Expenses!$W44)&gt;0),1,0)</f>
        <v/>
      </c>
      <c r="B1108" s="32">
        <f>IF($A1108=1,$E1108&amp;"/3","")</f>
        <v/>
      </c>
      <c r="C1108" s="32">
        <f>IF($A1108=1,"J-"&amp;Expenses!$A44,"")</f>
        <v/>
      </c>
      <c r="D1108" s="33">
        <f>IF($A1108=1,Expenses!$B44,"")</f>
        <v/>
      </c>
      <c r="E1108" s="32">
        <f>IF($A1108=1,IF(Expenses!$A44="","",Expenses!$A44),"")</f>
        <v/>
      </c>
      <c r="F1108" s="32">
        <f>IF($A1108=1,"EXP","")</f>
        <v/>
      </c>
      <c r="G1108" s="32">
        <f>IF($A1108=1,IF(Expenses!$V44="","",Expenses!$V44),"")</f>
        <v/>
      </c>
      <c r="H1108" s="32">
        <f>IF($A1108=1,IF(COUNTIF(COA!$A:$A,$G1108)=0,"حساب غير معرف",INDEX(COA!$B:$B,MATCH($G1108,COA!$A:$A,0))),"")</f>
        <v/>
      </c>
      <c r="I1108" s="32">
        <f>IF($A1108=1,IF(Expenses!$C44="","",Expenses!$C44),"")</f>
        <v/>
      </c>
      <c r="J1108" s="32">
        <f>IF($A1108=1,"CC00","")</f>
        <v/>
      </c>
      <c r="K1108" s="32">
        <f>IF($A1108=1,"-","")</f>
        <v/>
      </c>
      <c r="L1108" s="32">
        <f>IF($A1108=1,IF(Expenses!$L44="","مصروف - "&amp;Expenses!$J44,Expenses!$L44),"")</f>
        <v/>
      </c>
      <c r="M1108" s="43">
        <f>IF($A1108=1,0,"")</f>
        <v/>
      </c>
      <c r="N1108" s="43">
        <f>IF($A1108=1,Expenses!$W44,"")</f>
        <v/>
      </c>
      <c r="O1108" s="32">
        <f>IF($A1108=1,Expenses!$M44,"")</f>
        <v/>
      </c>
      <c r="P1108" s="32">
        <f>IF($A1108=1,IF(Expenses!$AC44="","",Expenses!$AC44),"")</f>
        <v/>
      </c>
      <c r="Q1108" s="32">
        <f>IF($A1108=1,Expenses!$AE44,"")</f>
        <v/>
      </c>
      <c r="R1108" s="32">
        <f>IF($A1108=1,IF(AND($Q1108=1,COUNTIFS(COA!$A:$A,$G1108,COA!$R:$R,1)=1),1,0),"")</f>
        <v/>
      </c>
      <c r="S1108" s="43">
        <f>IF($A1108=1,IF($R1108=1,N($M1108),0),"")</f>
        <v/>
      </c>
      <c r="T1108" s="43">
        <f>IF($A1108=1,IF($R1108=1,N($N1108),0),"")</f>
        <v/>
      </c>
      <c r="U1108" s="32">
        <f>IF($A1108=1,YEAR($D1108)*100+MONTH($D1108),"")</f>
        <v/>
      </c>
      <c r="V1108" s="32">
        <f>IF($A1108=1,IF(COUNTIF(COA!$A:$A,$G1108)=0,0,INDEX(COA!$H:$H,MATCH($G1108,COA!$A:$A,0))),"")</f>
        <v/>
      </c>
      <c r="W1108" s="32">
        <f>IF($A1108=1,"OPERATING","")</f>
        <v/>
      </c>
      <c r="X1108" s="32">
        <f>IF($A1108=1,IF($R1108=1,"",IF($O1108=ST_POST,IF($P1108&lt;&gt;"",$P1108,"حساب غير صالح أو غير نشط"),IF($O1108=ST_REV,"معكوس: لا أثر على الدفاتر",IF($O1108=ST_CANC,"ملغى",IF($O1108=ST_APPR,"معتمد ولم يُرحَّل","مسودة"))))),"")</f>
        <v/>
      </c>
      <c r="Y1108" s="32">
        <f>IF($A1108=1,IF(AND($R1108=1,OR(LG_Acct="",$G1108=LG_Acct),OR(LG_Party="",$K1108=LG_Party),OR(LG_Loc="ALL",$I1108=LG_Loc),OR(LG_CC="ALL",$J1108=LG_CC),$D1108&gt;=LG_From,$D1108&lt;=LG_To),$D1108+ROW()/1000000,""),"")</f>
        <v/>
      </c>
      <c r="Z1108" s="32">
        <f>IF($A1108=1,IF(Expenses!$N44="","",Expenses!$N44),"")</f>
        <v/>
      </c>
      <c r="AA1108" s="32">
        <f>IF($A1108=1,IF(Expenses!$O44="","",Expenses!$O44),"")</f>
        <v/>
      </c>
      <c r="AB1108" s="32">
        <f>IF($A1108=1,IF(Expenses!$P44="","",Expenses!$P44),"")</f>
        <v/>
      </c>
      <c r="AC1108" s="32">
        <f>IF($A1108=1,IF(Expenses!$Q44="","",Expenses!$Q44),"")</f>
        <v/>
      </c>
      <c r="AD1108" s="32">
        <f>IF($A1108=1,IF(Expenses!$R44="","",Expenses!$R44),"")</f>
        <v/>
      </c>
      <c r="AE1108" s="32">
        <f>IF($A1108=1,0,"")</f>
        <v/>
      </c>
      <c r="AF1108" s="32" t="inlineStr"/>
    </row>
    <row r="1109">
      <c r="A1109" s="32">
        <f>IF(AND(Expenses!$AB45=1,N(Expenses!$F45)&gt;0),1,0)</f>
        <v/>
      </c>
      <c r="B1109" s="32">
        <f>IF($A1109=1,$E1109&amp;"/1","")</f>
        <v/>
      </c>
      <c r="C1109" s="32">
        <f>IF($A1109=1,"J-"&amp;Expenses!$A45,"")</f>
        <v/>
      </c>
      <c r="D1109" s="33">
        <f>IF($A1109=1,Expenses!$B45,"")</f>
        <v/>
      </c>
      <c r="E1109" s="32">
        <f>IF($A1109=1,IF(Expenses!$A45="","",Expenses!$A45),"")</f>
        <v/>
      </c>
      <c r="F1109" s="32">
        <f>IF($A1109=1,"EXP","")</f>
        <v/>
      </c>
      <c r="G1109" s="32">
        <f>IF($A1109=1,IF(Expenses!$E45="","",Expenses!$E45),"")</f>
        <v/>
      </c>
      <c r="H1109" s="32">
        <f>IF($A1109=1,IF(COUNTIF(COA!$A:$A,$G1109)=0,"حساب غير معرف",INDEX(COA!$B:$B,MATCH($G1109,COA!$A:$A,0))),"")</f>
        <v/>
      </c>
      <c r="I1109" s="32">
        <f>IF($A1109=1,IF(Expenses!$C45="","",Expenses!$C45),"")</f>
        <v/>
      </c>
      <c r="J1109" s="32">
        <f>IF($A1109=1,IF(Expenses!$D45="","",Expenses!$D45),"")</f>
        <v/>
      </c>
      <c r="K1109" s="32">
        <f>IF($A1109=1,"-","")</f>
        <v/>
      </c>
      <c r="L1109" s="32">
        <f>IF($A1109=1,IF(Expenses!$L45="","مصروف - "&amp;Expenses!$J45,Expenses!$L45),"")</f>
        <v/>
      </c>
      <c r="M1109" s="43">
        <f>IF($A1109=1,Expenses!$F45,"")</f>
        <v/>
      </c>
      <c r="N1109" s="43">
        <f>IF($A1109=1,0,"")</f>
        <v/>
      </c>
      <c r="O1109" s="32">
        <f>IF($A1109=1,Expenses!$M45,"")</f>
        <v/>
      </c>
      <c r="P1109" s="32">
        <f>IF($A1109=1,IF(Expenses!$AC45="","",Expenses!$AC45),"")</f>
        <v/>
      </c>
      <c r="Q1109" s="32">
        <f>IF($A1109=1,Expenses!$AE45,"")</f>
        <v/>
      </c>
      <c r="R1109" s="32">
        <f>IF($A1109=1,IF(AND($Q1109=1,COUNTIFS(COA!$A:$A,$G1109,COA!$R:$R,1)=1),1,0),"")</f>
        <v/>
      </c>
      <c r="S1109" s="43">
        <f>IF($A1109=1,IF($R1109=1,N($M1109),0),"")</f>
        <v/>
      </c>
      <c r="T1109" s="43">
        <f>IF($A1109=1,IF($R1109=1,N($N1109),0),"")</f>
        <v/>
      </c>
      <c r="U1109" s="32">
        <f>IF($A1109=1,YEAR($D1109)*100+MONTH($D1109),"")</f>
        <v/>
      </c>
      <c r="V1109" s="32">
        <f>IF($A1109=1,IF(COUNTIF(COA!$A:$A,$G1109)=0,0,INDEX(COA!$H:$H,MATCH($G1109,COA!$A:$A,0))),"")</f>
        <v/>
      </c>
      <c r="W1109" s="32">
        <f>IF($A1109=1,"","")</f>
        <v/>
      </c>
      <c r="X1109" s="32">
        <f>IF($A1109=1,IF($R1109=1,"",IF($O1109=ST_POST,IF($P1109&lt;&gt;"",$P1109,"حساب غير صالح أو غير نشط"),IF($O1109=ST_REV,"معكوس: لا أثر على الدفاتر",IF($O1109=ST_CANC,"ملغى",IF($O1109=ST_APPR,"معتمد ولم يُرحَّل","مسودة"))))),"")</f>
        <v/>
      </c>
      <c r="Y1109" s="32">
        <f>IF($A1109=1,IF(AND($R1109=1,OR(LG_Acct="",$G1109=LG_Acct),OR(LG_Party="",$K1109=LG_Party),OR(LG_Loc="ALL",$I1109=LG_Loc),OR(LG_CC="ALL",$J1109=LG_CC),$D1109&gt;=LG_From,$D1109&lt;=LG_To),$D1109+ROW()/1000000,""),"")</f>
        <v/>
      </c>
      <c r="Z1109" s="32">
        <f>IF($A1109=1,IF(Expenses!$N45="","",Expenses!$N45),"")</f>
        <v/>
      </c>
      <c r="AA1109" s="32">
        <f>IF($A1109=1,IF(Expenses!$O45="","",Expenses!$O45),"")</f>
        <v/>
      </c>
      <c r="AB1109" s="32">
        <f>IF($A1109=1,IF(Expenses!$P45="","",Expenses!$P45),"")</f>
        <v/>
      </c>
      <c r="AC1109" s="32">
        <f>IF($A1109=1,IF(Expenses!$Q45="","",Expenses!$Q45),"")</f>
        <v/>
      </c>
      <c r="AD1109" s="32">
        <f>IF($A1109=1,IF(Expenses!$R45="","",Expenses!$R45),"")</f>
        <v/>
      </c>
      <c r="AE1109" s="32">
        <f>IF($A1109=1,0,"")</f>
        <v/>
      </c>
      <c r="AF1109" s="32" t="inlineStr"/>
    </row>
    <row r="1110">
      <c r="A1110" s="32">
        <f>IF(AND(Expenses!$AB45=1,N(Expenses!$G45)&gt;0),1,0)</f>
        <v/>
      </c>
      <c r="B1110" s="32">
        <f>IF($A1110=1,$E1110&amp;"/2","")</f>
        <v/>
      </c>
      <c r="C1110" s="32">
        <f>IF($A1110=1,"J-"&amp;Expenses!$A45,"")</f>
        <v/>
      </c>
      <c r="D1110" s="33">
        <f>IF($A1110=1,Expenses!$B45,"")</f>
        <v/>
      </c>
      <c r="E1110" s="32">
        <f>IF($A1110=1,IF(Expenses!$A45="","",Expenses!$A45),"")</f>
        <v/>
      </c>
      <c r="F1110" s="32">
        <f>IF($A1110=1,"EXP","")</f>
        <v/>
      </c>
      <c r="G1110" s="32">
        <f>IF($A1110=1,ACC_VAT_IN,"")</f>
        <v/>
      </c>
      <c r="H1110" s="32">
        <f>IF($A1110=1,IF(COUNTIF(COA!$A:$A,$G1110)=0,"حساب غير معرف",INDEX(COA!$B:$B,MATCH($G1110,COA!$A:$A,0))),"")</f>
        <v/>
      </c>
      <c r="I1110" s="32">
        <f>IF($A1110=1,IF(Expenses!$C45="","",Expenses!$C45),"")</f>
        <v/>
      </c>
      <c r="J1110" s="32">
        <f>IF($A1110=1,IF(Expenses!$D45="","",Expenses!$D45),"")</f>
        <v/>
      </c>
      <c r="K1110" s="32">
        <f>IF($A1110=1,"-","")</f>
        <v/>
      </c>
      <c r="L1110" s="32">
        <f>IF($A1110=1,"ضريبة قيمة مضافة - مدخلات","")</f>
        <v/>
      </c>
      <c r="M1110" s="43">
        <f>IF($A1110=1,Expenses!$G45,"")</f>
        <v/>
      </c>
      <c r="N1110" s="43">
        <f>IF($A1110=1,0,"")</f>
        <v/>
      </c>
      <c r="O1110" s="32">
        <f>IF($A1110=1,Expenses!$M45,"")</f>
        <v/>
      </c>
      <c r="P1110" s="32">
        <f>IF($A1110=1,IF(Expenses!$AC45="","",Expenses!$AC45),"")</f>
        <v/>
      </c>
      <c r="Q1110" s="32">
        <f>IF($A1110=1,Expenses!$AE45,"")</f>
        <v/>
      </c>
      <c r="R1110" s="32">
        <f>IF($A1110=1,IF(AND($Q1110=1,COUNTIFS(COA!$A:$A,$G1110,COA!$R:$R,1)=1),1,0),"")</f>
        <v/>
      </c>
      <c r="S1110" s="43">
        <f>IF($A1110=1,IF($R1110=1,N($M1110),0),"")</f>
        <v/>
      </c>
      <c r="T1110" s="43">
        <f>IF($A1110=1,IF($R1110=1,N($N1110),0),"")</f>
        <v/>
      </c>
      <c r="U1110" s="32">
        <f>IF($A1110=1,YEAR($D1110)*100+MONTH($D1110),"")</f>
        <v/>
      </c>
      <c r="V1110" s="32">
        <f>IF($A1110=1,IF(COUNTIF(COA!$A:$A,$G1110)=0,0,INDEX(COA!$H:$H,MATCH($G1110,COA!$A:$A,0))),"")</f>
        <v/>
      </c>
      <c r="W1110" s="32">
        <f>IF($A1110=1,"","")</f>
        <v/>
      </c>
      <c r="X1110" s="32">
        <f>IF($A1110=1,IF($R1110=1,"",IF($O1110=ST_POST,IF($P1110&lt;&gt;"",$P1110,"حساب غير صالح أو غير نشط"),IF($O1110=ST_REV,"معكوس: لا أثر على الدفاتر",IF($O1110=ST_CANC,"ملغى",IF($O1110=ST_APPR,"معتمد ولم يُرحَّل","مسودة"))))),"")</f>
        <v/>
      </c>
      <c r="Y1110" s="32">
        <f>IF($A1110=1,IF(AND($R1110=1,OR(LG_Acct="",$G1110=LG_Acct),OR(LG_Party="",$K1110=LG_Party),OR(LG_Loc="ALL",$I1110=LG_Loc),OR(LG_CC="ALL",$J1110=LG_CC),$D1110&gt;=LG_From,$D1110&lt;=LG_To),$D1110+ROW()/1000000,""),"")</f>
        <v/>
      </c>
      <c r="Z1110" s="32">
        <f>IF($A1110=1,IF(Expenses!$N45="","",Expenses!$N45),"")</f>
        <v/>
      </c>
      <c r="AA1110" s="32">
        <f>IF($A1110=1,IF(Expenses!$O45="","",Expenses!$O45),"")</f>
        <v/>
      </c>
      <c r="AB1110" s="32">
        <f>IF($A1110=1,IF(Expenses!$P45="","",Expenses!$P45),"")</f>
        <v/>
      </c>
      <c r="AC1110" s="32">
        <f>IF($A1110=1,IF(Expenses!$Q45="","",Expenses!$Q45),"")</f>
        <v/>
      </c>
      <c r="AD1110" s="32">
        <f>IF($A1110=1,IF(Expenses!$R45="","",Expenses!$R45),"")</f>
        <v/>
      </c>
      <c r="AE1110" s="32">
        <f>IF($A1110=1,0,"")</f>
        <v/>
      </c>
      <c r="AF1110" s="32" t="inlineStr"/>
    </row>
    <row r="1111">
      <c r="A1111" s="32">
        <f>IF(AND(Expenses!$AB45=1,N(Expenses!$W45)&gt;0),1,0)</f>
        <v/>
      </c>
      <c r="B1111" s="32">
        <f>IF($A1111=1,$E1111&amp;"/3","")</f>
        <v/>
      </c>
      <c r="C1111" s="32">
        <f>IF($A1111=1,"J-"&amp;Expenses!$A45,"")</f>
        <v/>
      </c>
      <c r="D1111" s="33">
        <f>IF($A1111=1,Expenses!$B45,"")</f>
        <v/>
      </c>
      <c r="E1111" s="32">
        <f>IF($A1111=1,IF(Expenses!$A45="","",Expenses!$A45),"")</f>
        <v/>
      </c>
      <c r="F1111" s="32">
        <f>IF($A1111=1,"EXP","")</f>
        <v/>
      </c>
      <c r="G1111" s="32">
        <f>IF($A1111=1,IF(Expenses!$V45="","",Expenses!$V45),"")</f>
        <v/>
      </c>
      <c r="H1111" s="32">
        <f>IF($A1111=1,IF(COUNTIF(COA!$A:$A,$G1111)=0,"حساب غير معرف",INDEX(COA!$B:$B,MATCH($G1111,COA!$A:$A,0))),"")</f>
        <v/>
      </c>
      <c r="I1111" s="32">
        <f>IF($A1111=1,IF(Expenses!$C45="","",Expenses!$C45),"")</f>
        <v/>
      </c>
      <c r="J1111" s="32">
        <f>IF($A1111=1,"CC00","")</f>
        <v/>
      </c>
      <c r="K1111" s="32">
        <f>IF($A1111=1,"-","")</f>
        <v/>
      </c>
      <c r="L1111" s="32">
        <f>IF($A1111=1,IF(Expenses!$L45="","مصروف - "&amp;Expenses!$J45,Expenses!$L45),"")</f>
        <v/>
      </c>
      <c r="M1111" s="43">
        <f>IF($A1111=1,0,"")</f>
        <v/>
      </c>
      <c r="N1111" s="43">
        <f>IF($A1111=1,Expenses!$W45,"")</f>
        <v/>
      </c>
      <c r="O1111" s="32">
        <f>IF($A1111=1,Expenses!$M45,"")</f>
        <v/>
      </c>
      <c r="P1111" s="32">
        <f>IF($A1111=1,IF(Expenses!$AC45="","",Expenses!$AC45),"")</f>
        <v/>
      </c>
      <c r="Q1111" s="32">
        <f>IF($A1111=1,Expenses!$AE45,"")</f>
        <v/>
      </c>
      <c r="R1111" s="32">
        <f>IF($A1111=1,IF(AND($Q1111=1,COUNTIFS(COA!$A:$A,$G1111,COA!$R:$R,1)=1),1,0),"")</f>
        <v/>
      </c>
      <c r="S1111" s="43">
        <f>IF($A1111=1,IF($R1111=1,N($M1111),0),"")</f>
        <v/>
      </c>
      <c r="T1111" s="43">
        <f>IF($A1111=1,IF($R1111=1,N($N1111),0),"")</f>
        <v/>
      </c>
      <c r="U1111" s="32">
        <f>IF($A1111=1,YEAR($D1111)*100+MONTH($D1111),"")</f>
        <v/>
      </c>
      <c r="V1111" s="32">
        <f>IF($A1111=1,IF(COUNTIF(COA!$A:$A,$G1111)=0,0,INDEX(COA!$H:$H,MATCH($G1111,COA!$A:$A,0))),"")</f>
        <v/>
      </c>
      <c r="W1111" s="32">
        <f>IF($A1111=1,"OPERATING","")</f>
        <v/>
      </c>
      <c r="X1111" s="32">
        <f>IF($A1111=1,IF($R1111=1,"",IF($O1111=ST_POST,IF($P1111&lt;&gt;"",$P1111,"حساب غير صالح أو غير نشط"),IF($O1111=ST_REV,"معكوس: لا أثر على الدفاتر",IF($O1111=ST_CANC,"ملغى",IF($O1111=ST_APPR,"معتمد ولم يُرحَّل","مسودة"))))),"")</f>
        <v/>
      </c>
      <c r="Y1111" s="32">
        <f>IF($A1111=1,IF(AND($R1111=1,OR(LG_Acct="",$G1111=LG_Acct),OR(LG_Party="",$K1111=LG_Party),OR(LG_Loc="ALL",$I1111=LG_Loc),OR(LG_CC="ALL",$J1111=LG_CC),$D1111&gt;=LG_From,$D1111&lt;=LG_To),$D1111+ROW()/1000000,""),"")</f>
        <v/>
      </c>
      <c r="Z1111" s="32">
        <f>IF($A1111=1,IF(Expenses!$N45="","",Expenses!$N45),"")</f>
        <v/>
      </c>
      <c r="AA1111" s="32">
        <f>IF($A1111=1,IF(Expenses!$O45="","",Expenses!$O45),"")</f>
        <v/>
      </c>
      <c r="AB1111" s="32">
        <f>IF($A1111=1,IF(Expenses!$P45="","",Expenses!$P45),"")</f>
        <v/>
      </c>
      <c r="AC1111" s="32">
        <f>IF($A1111=1,IF(Expenses!$Q45="","",Expenses!$Q45),"")</f>
        <v/>
      </c>
      <c r="AD1111" s="32">
        <f>IF($A1111=1,IF(Expenses!$R45="","",Expenses!$R45),"")</f>
        <v/>
      </c>
      <c r="AE1111" s="32">
        <f>IF($A1111=1,0,"")</f>
        <v/>
      </c>
      <c r="AF1111" s="32" t="inlineStr"/>
    </row>
    <row r="1112">
      <c r="A1112" s="32">
        <f>IF(AND(Expenses!$AB46=1,N(Expenses!$F46)&gt;0),1,0)</f>
        <v/>
      </c>
      <c r="B1112" s="32">
        <f>IF($A1112=1,$E1112&amp;"/1","")</f>
        <v/>
      </c>
      <c r="C1112" s="32">
        <f>IF($A1112=1,"J-"&amp;Expenses!$A46,"")</f>
        <v/>
      </c>
      <c r="D1112" s="33">
        <f>IF($A1112=1,Expenses!$B46,"")</f>
        <v/>
      </c>
      <c r="E1112" s="32">
        <f>IF($A1112=1,IF(Expenses!$A46="","",Expenses!$A46),"")</f>
        <v/>
      </c>
      <c r="F1112" s="32">
        <f>IF($A1112=1,"EXP","")</f>
        <v/>
      </c>
      <c r="G1112" s="32">
        <f>IF($A1112=1,IF(Expenses!$E46="","",Expenses!$E46),"")</f>
        <v/>
      </c>
      <c r="H1112" s="32">
        <f>IF($A1112=1,IF(COUNTIF(COA!$A:$A,$G1112)=0,"حساب غير معرف",INDEX(COA!$B:$B,MATCH($G1112,COA!$A:$A,0))),"")</f>
        <v/>
      </c>
      <c r="I1112" s="32">
        <f>IF($A1112=1,IF(Expenses!$C46="","",Expenses!$C46),"")</f>
        <v/>
      </c>
      <c r="J1112" s="32">
        <f>IF($A1112=1,IF(Expenses!$D46="","",Expenses!$D46),"")</f>
        <v/>
      </c>
      <c r="K1112" s="32">
        <f>IF($A1112=1,"-","")</f>
        <v/>
      </c>
      <c r="L1112" s="32">
        <f>IF($A1112=1,IF(Expenses!$L46="","مصروف - "&amp;Expenses!$J46,Expenses!$L46),"")</f>
        <v/>
      </c>
      <c r="M1112" s="43">
        <f>IF($A1112=1,Expenses!$F46,"")</f>
        <v/>
      </c>
      <c r="N1112" s="43">
        <f>IF($A1112=1,0,"")</f>
        <v/>
      </c>
      <c r="O1112" s="32">
        <f>IF($A1112=1,Expenses!$M46,"")</f>
        <v/>
      </c>
      <c r="P1112" s="32">
        <f>IF($A1112=1,IF(Expenses!$AC46="","",Expenses!$AC46),"")</f>
        <v/>
      </c>
      <c r="Q1112" s="32">
        <f>IF($A1112=1,Expenses!$AE46,"")</f>
        <v/>
      </c>
      <c r="R1112" s="32">
        <f>IF($A1112=1,IF(AND($Q1112=1,COUNTIFS(COA!$A:$A,$G1112,COA!$R:$R,1)=1),1,0),"")</f>
        <v/>
      </c>
      <c r="S1112" s="43">
        <f>IF($A1112=1,IF($R1112=1,N($M1112),0),"")</f>
        <v/>
      </c>
      <c r="T1112" s="43">
        <f>IF($A1112=1,IF($R1112=1,N($N1112),0),"")</f>
        <v/>
      </c>
      <c r="U1112" s="32">
        <f>IF($A1112=1,YEAR($D1112)*100+MONTH($D1112),"")</f>
        <v/>
      </c>
      <c r="V1112" s="32">
        <f>IF($A1112=1,IF(COUNTIF(COA!$A:$A,$G1112)=0,0,INDEX(COA!$H:$H,MATCH($G1112,COA!$A:$A,0))),"")</f>
        <v/>
      </c>
      <c r="W1112" s="32">
        <f>IF($A1112=1,"","")</f>
        <v/>
      </c>
      <c r="X1112" s="32">
        <f>IF($A1112=1,IF($R1112=1,"",IF($O1112=ST_POST,IF($P1112&lt;&gt;"",$P1112,"حساب غير صالح أو غير نشط"),IF($O1112=ST_REV,"معكوس: لا أثر على الدفاتر",IF($O1112=ST_CANC,"ملغى",IF($O1112=ST_APPR,"معتمد ولم يُرحَّل","مسودة"))))),"")</f>
        <v/>
      </c>
      <c r="Y1112" s="32">
        <f>IF($A1112=1,IF(AND($R1112=1,OR(LG_Acct="",$G1112=LG_Acct),OR(LG_Party="",$K1112=LG_Party),OR(LG_Loc="ALL",$I1112=LG_Loc),OR(LG_CC="ALL",$J1112=LG_CC),$D1112&gt;=LG_From,$D1112&lt;=LG_To),$D1112+ROW()/1000000,""),"")</f>
        <v/>
      </c>
      <c r="Z1112" s="32">
        <f>IF($A1112=1,IF(Expenses!$N46="","",Expenses!$N46),"")</f>
        <v/>
      </c>
      <c r="AA1112" s="32">
        <f>IF($A1112=1,IF(Expenses!$O46="","",Expenses!$O46),"")</f>
        <v/>
      </c>
      <c r="AB1112" s="32">
        <f>IF($A1112=1,IF(Expenses!$P46="","",Expenses!$P46),"")</f>
        <v/>
      </c>
      <c r="AC1112" s="32">
        <f>IF($A1112=1,IF(Expenses!$Q46="","",Expenses!$Q46),"")</f>
        <v/>
      </c>
      <c r="AD1112" s="32">
        <f>IF($A1112=1,IF(Expenses!$R46="","",Expenses!$R46),"")</f>
        <v/>
      </c>
      <c r="AE1112" s="32">
        <f>IF($A1112=1,0,"")</f>
        <v/>
      </c>
      <c r="AF1112" s="32" t="inlineStr"/>
    </row>
    <row r="1113">
      <c r="A1113" s="32">
        <f>IF(AND(Expenses!$AB46=1,N(Expenses!$G46)&gt;0),1,0)</f>
        <v/>
      </c>
      <c r="B1113" s="32">
        <f>IF($A1113=1,$E1113&amp;"/2","")</f>
        <v/>
      </c>
      <c r="C1113" s="32">
        <f>IF($A1113=1,"J-"&amp;Expenses!$A46,"")</f>
        <v/>
      </c>
      <c r="D1113" s="33">
        <f>IF($A1113=1,Expenses!$B46,"")</f>
        <v/>
      </c>
      <c r="E1113" s="32">
        <f>IF($A1113=1,IF(Expenses!$A46="","",Expenses!$A46),"")</f>
        <v/>
      </c>
      <c r="F1113" s="32">
        <f>IF($A1113=1,"EXP","")</f>
        <v/>
      </c>
      <c r="G1113" s="32">
        <f>IF($A1113=1,ACC_VAT_IN,"")</f>
        <v/>
      </c>
      <c r="H1113" s="32">
        <f>IF($A1113=1,IF(COUNTIF(COA!$A:$A,$G1113)=0,"حساب غير معرف",INDEX(COA!$B:$B,MATCH($G1113,COA!$A:$A,0))),"")</f>
        <v/>
      </c>
      <c r="I1113" s="32">
        <f>IF($A1113=1,IF(Expenses!$C46="","",Expenses!$C46),"")</f>
        <v/>
      </c>
      <c r="J1113" s="32">
        <f>IF($A1113=1,IF(Expenses!$D46="","",Expenses!$D46),"")</f>
        <v/>
      </c>
      <c r="K1113" s="32">
        <f>IF($A1113=1,"-","")</f>
        <v/>
      </c>
      <c r="L1113" s="32">
        <f>IF($A1113=1,"ضريبة قيمة مضافة - مدخلات","")</f>
        <v/>
      </c>
      <c r="M1113" s="43">
        <f>IF($A1113=1,Expenses!$G46,"")</f>
        <v/>
      </c>
      <c r="N1113" s="43">
        <f>IF($A1113=1,0,"")</f>
        <v/>
      </c>
      <c r="O1113" s="32">
        <f>IF($A1113=1,Expenses!$M46,"")</f>
        <v/>
      </c>
      <c r="P1113" s="32">
        <f>IF($A1113=1,IF(Expenses!$AC46="","",Expenses!$AC46),"")</f>
        <v/>
      </c>
      <c r="Q1113" s="32">
        <f>IF($A1113=1,Expenses!$AE46,"")</f>
        <v/>
      </c>
      <c r="R1113" s="32">
        <f>IF($A1113=1,IF(AND($Q1113=1,COUNTIFS(COA!$A:$A,$G1113,COA!$R:$R,1)=1),1,0),"")</f>
        <v/>
      </c>
      <c r="S1113" s="43">
        <f>IF($A1113=1,IF($R1113=1,N($M1113),0),"")</f>
        <v/>
      </c>
      <c r="T1113" s="43">
        <f>IF($A1113=1,IF($R1113=1,N($N1113),0),"")</f>
        <v/>
      </c>
      <c r="U1113" s="32">
        <f>IF($A1113=1,YEAR($D1113)*100+MONTH($D1113),"")</f>
        <v/>
      </c>
      <c r="V1113" s="32">
        <f>IF($A1113=1,IF(COUNTIF(COA!$A:$A,$G1113)=0,0,INDEX(COA!$H:$H,MATCH($G1113,COA!$A:$A,0))),"")</f>
        <v/>
      </c>
      <c r="W1113" s="32">
        <f>IF($A1113=1,"","")</f>
        <v/>
      </c>
      <c r="X1113" s="32">
        <f>IF($A1113=1,IF($R1113=1,"",IF($O1113=ST_POST,IF($P1113&lt;&gt;"",$P1113,"حساب غير صالح أو غير نشط"),IF($O1113=ST_REV,"معكوس: لا أثر على الدفاتر",IF($O1113=ST_CANC,"ملغى",IF($O1113=ST_APPR,"معتمد ولم يُرحَّل","مسودة"))))),"")</f>
        <v/>
      </c>
      <c r="Y1113" s="32">
        <f>IF($A1113=1,IF(AND($R1113=1,OR(LG_Acct="",$G1113=LG_Acct),OR(LG_Party="",$K1113=LG_Party),OR(LG_Loc="ALL",$I1113=LG_Loc),OR(LG_CC="ALL",$J1113=LG_CC),$D1113&gt;=LG_From,$D1113&lt;=LG_To),$D1113+ROW()/1000000,""),"")</f>
        <v/>
      </c>
      <c r="Z1113" s="32">
        <f>IF($A1113=1,IF(Expenses!$N46="","",Expenses!$N46),"")</f>
        <v/>
      </c>
      <c r="AA1113" s="32">
        <f>IF($A1113=1,IF(Expenses!$O46="","",Expenses!$O46),"")</f>
        <v/>
      </c>
      <c r="AB1113" s="32">
        <f>IF($A1113=1,IF(Expenses!$P46="","",Expenses!$P46),"")</f>
        <v/>
      </c>
      <c r="AC1113" s="32">
        <f>IF($A1113=1,IF(Expenses!$Q46="","",Expenses!$Q46),"")</f>
        <v/>
      </c>
      <c r="AD1113" s="32">
        <f>IF($A1113=1,IF(Expenses!$R46="","",Expenses!$R46),"")</f>
        <v/>
      </c>
      <c r="AE1113" s="32">
        <f>IF($A1113=1,0,"")</f>
        <v/>
      </c>
      <c r="AF1113" s="32" t="inlineStr"/>
    </row>
    <row r="1114">
      <c r="A1114" s="32">
        <f>IF(AND(Expenses!$AB46=1,N(Expenses!$W46)&gt;0),1,0)</f>
        <v/>
      </c>
      <c r="B1114" s="32">
        <f>IF($A1114=1,$E1114&amp;"/3","")</f>
        <v/>
      </c>
      <c r="C1114" s="32">
        <f>IF($A1114=1,"J-"&amp;Expenses!$A46,"")</f>
        <v/>
      </c>
      <c r="D1114" s="33">
        <f>IF($A1114=1,Expenses!$B46,"")</f>
        <v/>
      </c>
      <c r="E1114" s="32">
        <f>IF($A1114=1,IF(Expenses!$A46="","",Expenses!$A46),"")</f>
        <v/>
      </c>
      <c r="F1114" s="32">
        <f>IF($A1114=1,"EXP","")</f>
        <v/>
      </c>
      <c r="G1114" s="32">
        <f>IF($A1114=1,IF(Expenses!$V46="","",Expenses!$V46),"")</f>
        <v/>
      </c>
      <c r="H1114" s="32">
        <f>IF($A1114=1,IF(COUNTIF(COA!$A:$A,$G1114)=0,"حساب غير معرف",INDEX(COA!$B:$B,MATCH($G1114,COA!$A:$A,0))),"")</f>
        <v/>
      </c>
      <c r="I1114" s="32">
        <f>IF($A1114=1,IF(Expenses!$C46="","",Expenses!$C46),"")</f>
        <v/>
      </c>
      <c r="J1114" s="32">
        <f>IF($A1114=1,"CC00","")</f>
        <v/>
      </c>
      <c r="K1114" s="32">
        <f>IF($A1114=1,"-","")</f>
        <v/>
      </c>
      <c r="L1114" s="32">
        <f>IF($A1114=1,IF(Expenses!$L46="","مصروف - "&amp;Expenses!$J46,Expenses!$L46),"")</f>
        <v/>
      </c>
      <c r="M1114" s="43">
        <f>IF($A1114=1,0,"")</f>
        <v/>
      </c>
      <c r="N1114" s="43">
        <f>IF($A1114=1,Expenses!$W46,"")</f>
        <v/>
      </c>
      <c r="O1114" s="32">
        <f>IF($A1114=1,Expenses!$M46,"")</f>
        <v/>
      </c>
      <c r="P1114" s="32">
        <f>IF($A1114=1,IF(Expenses!$AC46="","",Expenses!$AC46),"")</f>
        <v/>
      </c>
      <c r="Q1114" s="32">
        <f>IF($A1114=1,Expenses!$AE46,"")</f>
        <v/>
      </c>
      <c r="R1114" s="32">
        <f>IF($A1114=1,IF(AND($Q1114=1,COUNTIFS(COA!$A:$A,$G1114,COA!$R:$R,1)=1),1,0),"")</f>
        <v/>
      </c>
      <c r="S1114" s="43">
        <f>IF($A1114=1,IF($R1114=1,N($M1114),0),"")</f>
        <v/>
      </c>
      <c r="T1114" s="43">
        <f>IF($A1114=1,IF($R1114=1,N($N1114),0),"")</f>
        <v/>
      </c>
      <c r="U1114" s="32">
        <f>IF($A1114=1,YEAR($D1114)*100+MONTH($D1114),"")</f>
        <v/>
      </c>
      <c r="V1114" s="32">
        <f>IF($A1114=1,IF(COUNTIF(COA!$A:$A,$G1114)=0,0,INDEX(COA!$H:$H,MATCH($G1114,COA!$A:$A,0))),"")</f>
        <v/>
      </c>
      <c r="W1114" s="32">
        <f>IF($A1114=1,"OPERATING","")</f>
        <v/>
      </c>
      <c r="X1114" s="32">
        <f>IF($A1114=1,IF($R1114=1,"",IF($O1114=ST_POST,IF($P1114&lt;&gt;"",$P1114,"حساب غير صالح أو غير نشط"),IF($O1114=ST_REV,"معكوس: لا أثر على الدفاتر",IF($O1114=ST_CANC,"ملغى",IF($O1114=ST_APPR,"معتمد ولم يُرحَّل","مسودة"))))),"")</f>
        <v/>
      </c>
      <c r="Y1114" s="32">
        <f>IF($A1114=1,IF(AND($R1114=1,OR(LG_Acct="",$G1114=LG_Acct),OR(LG_Party="",$K1114=LG_Party),OR(LG_Loc="ALL",$I1114=LG_Loc),OR(LG_CC="ALL",$J1114=LG_CC),$D1114&gt;=LG_From,$D1114&lt;=LG_To),$D1114+ROW()/1000000,""),"")</f>
        <v/>
      </c>
      <c r="Z1114" s="32">
        <f>IF($A1114=1,IF(Expenses!$N46="","",Expenses!$N46),"")</f>
        <v/>
      </c>
      <c r="AA1114" s="32">
        <f>IF($A1114=1,IF(Expenses!$O46="","",Expenses!$O46),"")</f>
        <v/>
      </c>
      <c r="AB1114" s="32">
        <f>IF($A1114=1,IF(Expenses!$P46="","",Expenses!$P46),"")</f>
        <v/>
      </c>
      <c r="AC1114" s="32">
        <f>IF($A1114=1,IF(Expenses!$Q46="","",Expenses!$Q46),"")</f>
        <v/>
      </c>
      <c r="AD1114" s="32">
        <f>IF($A1114=1,IF(Expenses!$R46="","",Expenses!$R46),"")</f>
        <v/>
      </c>
      <c r="AE1114" s="32">
        <f>IF($A1114=1,0,"")</f>
        <v/>
      </c>
      <c r="AF1114" s="32" t="inlineStr"/>
    </row>
    <row r="1115">
      <c r="A1115" s="32">
        <f>IF(AND(Expenses!$AB47=1,N(Expenses!$F47)&gt;0),1,0)</f>
        <v/>
      </c>
      <c r="B1115" s="32">
        <f>IF($A1115=1,$E1115&amp;"/1","")</f>
        <v/>
      </c>
      <c r="C1115" s="32">
        <f>IF($A1115=1,"J-"&amp;Expenses!$A47,"")</f>
        <v/>
      </c>
      <c r="D1115" s="33">
        <f>IF($A1115=1,Expenses!$B47,"")</f>
        <v/>
      </c>
      <c r="E1115" s="32">
        <f>IF($A1115=1,IF(Expenses!$A47="","",Expenses!$A47),"")</f>
        <v/>
      </c>
      <c r="F1115" s="32">
        <f>IF($A1115=1,"EXP","")</f>
        <v/>
      </c>
      <c r="G1115" s="32">
        <f>IF($A1115=1,IF(Expenses!$E47="","",Expenses!$E47),"")</f>
        <v/>
      </c>
      <c r="H1115" s="32">
        <f>IF($A1115=1,IF(COUNTIF(COA!$A:$A,$G1115)=0,"حساب غير معرف",INDEX(COA!$B:$B,MATCH($G1115,COA!$A:$A,0))),"")</f>
        <v/>
      </c>
      <c r="I1115" s="32">
        <f>IF($A1115=1,IF(Expenses!$C47="","",Expenses!$C47),"")</f>
        <v/>
      </c>
      <c r="J1115" s="32">
        <f>IF($A1115=1,IF(Expenses!$D47="","",Expenses!$D47),"")</f>
        <v/>
      </c>
      <c r="K1115" s="32">
        <f>IF($A1115=1,"-","")</f>
        <v/>
      </c>
      <c r="L1115" s="32">
        <f>IF($A1115=1,IF(Expenses!$L47="","مصروف - "&amp;Expenses!$J47,Expenses!$L47),"")</f>
        <v/>
      </c>
      <c r="M1115" s="43">
        <f>IF($A1115=1,Expenses!$F47,"")</f>
        <v/>
      </c>
      <c r="N1115" s="43">
        <f>IF($A1115=1,0,"")</f>
        <v/>
      </c>
      <c r="O1115" s="32">
        <f>IF($A1115=1,Expenses!$M47,"")</f>
        <v/>
      </c>
      <c r="P1115" s="32">
        <f>IF($A1115=1,IF(Expenses!$AC47="","",Expenses!$AC47),"")</f>
        <v/>
      </c>
      <c r="Q1115" s="32">
        <f>IF($A1115=1,Expenses!$AE47,"")</f>
        <v/>
      </c>
      <c r="R1115" s="32">
        <f>IF($A1115=1,IF(AND($Q1115=1,COUNTIFS(COA!$A:$A,$G1115,COA!$R:$R,1)=1),1,0),"")</f>
        <v/>
      </c>
      <c r="S1115" s="43">
        <f>IF($A1115=1,IF($R1115=1,N($M1115),0),"")</f>
        <v/>
      </c>
      <c r="T1115" s="43">
        <f>IF($A1115=1,IF($R1115=1,N($N1115),0),"")</f>
        <v/>
      </c>
      <c r="U1115" s="32">
        <f>IF($A1115=1,YEAR($D1115)*100+MONTH($D1115),"")</f>
        <v/>
      </c>
      <c r="V1115" s="32">
        <f>IF($A1115=1,IF(COUNTIF(COA!$A:$A,$G1115)=0,0,INDEX(COA!$H:$H,MATCH($G1115,COA!$A:$A,0))),"")</f>
        <v/>
      </c>
      <c r="W1115" s="32">
        <f>IF($A1115=1,"","")</f>
        <v/>
      </c>
      <c r="X1115" s="32">
        <f>IF($A1115=1,IF($R1115=1,"",IF($O1115=ST_POST,IF($P1115&lt;&gt;"",$P1115,"حساب غير صالح أو غير نشط"),IF($O1115=ST_REV,"معكوس: لا أثر على الدفاتر",IF($O1115=ST_CANC,"ملغى",IF($O1115=ST_APPR,"معتمد ولم يُرحَّل","مسودة"))))),"")</f>
        <v/>
      </c>
      <c r="Y1115" s="32">
        <f>IF($A1115=1,IF(AND($R1115=1,OR(LG_Acct="",$G1115=LG_Acct),OR(LG_Party="",$K1115=LG_Party),OR(LG_Loc="ALL",$I1115=LG_Loc),OR(LG_CC="ALL",$J1115=LG_CC),$D1115&gt;=LG_From,$D1115&lt;=LG_To),$D1115+ROW()/1000000,""),"")</f>
        <v/>
      </c>
      <c r="Z1115" s="32">
        <f>IF($A1115=1,IF(Expenses!$N47="","",Expenses!$N47),"")</f>
        <v/>
      </c>
      <c r="AA1115" s="32">
        <f>IF($A1115=1,IF(Expenses!$O47="","",Expenses!$O47),"")</f>
        <v/>
      </c>
      <c r="AB1115" s="32">
        <f>IF($A1115=1,IF(Expenses!$P47="","",Expenses!$P47),"")</f>
        <v/>
      </c>
      <c r="AC1115" s="32">
        <f>IF($A1115=1,IF(Expenses!$Q47="","",Expenses!$Q47),"")</f>
        <v/>
      </c>
      <c r="AD1115" s="32">
        <f>IF($A1115=1,IF(Expenses!$R47="","",Expenses!$R47),"")</f>
        <v/>
      </c>
      <c r="AE1115" s="32">
        <f>IF($A1115=1,0,"")</f>
        <v/>
      </c>
      <c r="AF1115" s="32" t="inlineStr"/>
    </row>
    <row r="1116">
      <c r="A1116" s="32">
        <f>IF(AND(Expenses!$AB47=1,N(Expenses!$G47)&gt;0),1,0)</f>
        <v/>
      </c>
      <c r="B1116" s="32">
        <f>IF($A1116=1,$E1116&amp;"/2","")</f>
        <v/>
      </c>
      <c r="C1116" s="32">
        <f>IF($A1116=1,"J-"&amp;Expenses!$A47,"")</f>
        <v/>
      </c>
      <c r="D1116" s="33">
        <f>IF($A1116=1,Expenses!$B47,"")</f>
        <v/>
      </c>
      <c r="E1116" s="32">
        <f>IF($A1116=1,IF(Expenses!$A47="","",Expenses!$A47),"")</f>
        <v/>
      </c>
      <c r="F1116" s="32">
        <f>IF($A1116=1,"EXP","")</f>
        <v/>
      </c>
      <c r="G1116" s="32">
        <f>IF($A1116=1,ACC_VAT_IN,"")</f>
        <v/>
      </c>
      <c r="H1116" s="32">
        <f>IF($A1116=1,IF(COUNTIF(COA!$A:$A,$G1116)=0,"حساب غير معرف",INDEX(COA!$B:$B,MATCH($G1116,COA!$A:$A,0))),"")</f>
        <v/>
      </c>
      <c r="I1116" s="32">
        <f>IF($A1116=1,IF(Expenses!$C47="","",Expenses!$C47),"")</f>
        <v/>
      </c>
      <c r="J1116" s="32">
        <f>IF($A1116=1,IF(Expenses!$D47="","",Expenses!$D47),"")</f>
        <v/>
      </c>
      <c r="K1116" s="32">
        <f>IF($A1116=1,"-","")</f>
        <v/>
      </c>
      <c r="L1116" s="32">
        <f>IF($A1116=1,"ضريبة قيمة مضافة - مدخلات","")</f>
        <v/>
      </c>
      <c r="M1116" s="43">
        <f>IF($A1116=1,Expenses!$G47,"")</f>
        <v/>
      </c>
      <c r="N1116" s="43">
        <f>IF($A1116=1,0,"")</f>
        <v/>
      </c>
      <c r="O1116" s="32">
        <f>IF($A1116=1,Expenses!$M47,"")</f>
        <v/>
      </c>
      <c r="P1116" s="32">
        <f>IF($A1116=1,IF(Expenses!$AC47="","",Expenses!$AC47),"")</f>
        <v/>
      </c>
      <c r="Q1116" s="32">
        <f>IF($A1116=1,Expenses!$AE47,"")</f>
        <v/>
      </c>
      <c r="R1116" s="32">
        <f>IF($A1116=1,IF(AND($Q1116=1,COUNTIFS(COA!$A:$A,$G1116,COA!$R:$R,1)=1),1,0),"")</f>
        <v/>
      </c>
      <c r="S1116" s="43">
        <f>IF($A1116=1,IF($R1116=1,N($M1116),0),"")</f>
        <v/>
      </c>
      <c r="T1116" s="43">
        <f>IF($A1116=1,IF($R1116=1,N($N1116),0),"")</f>
        <v/>
      </c>
      <c r="U1116" s="32">
        <f>IF($A1116=1,YEAR($D1116)*100+MONTH($D1116),"")</f>
        <v/>
      </c>
      <c r="V1116" s="32">
        <f>IF($A1116=1,IF(COUNTIF(COA!$A:$A,$G1116)=0,0,INDEX(COA!$H:$H,MATCH($G1116,COA!$A:$A,0))),"")</f>
        <v/>
      </c>
      <c r="W1116" s="32">
        <f>IF($A1116=1,"","")</f>
        <v/>
      </c>
      <c r="X1116" s="32">
        <f>IF($A1116=1,IF($R1116=1,"",IF($O1116=ST_POST,IF($P1116&lt;&gt;"",$P1116,"حساب غير صالح أو غير نشط"),IF($O1116=ST_REV,"معكوس: لا أثر على الدفاتر",IF($O1116=ST_CANC,"ملغى",IF($O1116=ST_APPR,"معتمد ولم يُرحَّل","مسودة"))))),"")</f>
        <v/>
      </c>
      <c r="Y1116" s="32">
        <f>IF($A1116=1,IF(AND($R1116=1,OR(LG_Acct="",$G1116=LG_Acct),OR(LG_Party="",$K1116=LG_Party),OR(LG_Loc="ALL",$I1116=LG_Loc),OR(LG_CC="ALL",$J1116=LG_CC),$D1116&gt;=LG_From,$D1116&lt;=LG_To),$D1116+ROW()/1000000,""),"")</f>
        <v/>
      </c>
      <c r="Z1116" s="32">
        <f>IF($A1116=1,IF(Expenses!$N47="","",Expenses!$N47),"")</f>
        <v/>
      </c>
      <c r="AA1116" s="32">
        <f>IF($A1116=1,IF(Expenses!$O47="","",Expenses!$O47),"")</f>
        <v/>
      </c>
      <c r="AB1116" s="32">
        <f>IF($A1116=1,IF(Expenses!$P47="","",Expenses!$P47),"")</f>
        <v/>
      </c>
      <c r="AC1116" s="32">
        <f>IF($A1116=1,IF(Expenses!$Q47="","",Expenses!$Q47),"")</f>
        <v/>
      </c>
      <c r="AD1116" s="32">
        <f>IF($A1116=1,IF(Expenses!$R47="","",Expenses!$R47),"")</f>
        <v/>
      </c>
      <c r="AE1116" s="32">
        <f>IF($A1116=1,0,"")</f>
        <v/>
      </c>
      <c r="AF1116" s="32" t="inlineStr"/>
    </row>
    <row r="1117">
      <c r="A1117" s="32">
        <f>IF(AND(Expenses!$AB47=1,N(Expenses!$W47)&gt;0),1,0)</f>
        <v/>
      </c>
      <c r="B1117" s="32">
        <f>IF($A1117=1,$E1117&amp;"/3","")</f>
        <v/>
      </c>
      <c r="C1117" s="32">
        <f>IF($A1117=1,"J-"&amp;Expenses!$A47,"")</f>
        <v/>
      </c>
      <c r="D1117" s="33">
        <f>IF($A1117=1,Expenses!$B47,"")</f>
        <v/>
      </c>
      <c r="E1117" s="32">
        <f>IF($A1117=1,IF(Expenses!$A47="","",Expenses!$A47),"")</f>
        <v/>
      </c>
      <c r="F1117" s="32">
        <f>IF($A1117=1,"EXP","")</f>
        <v/>
      </c>
      <c r="G1117" s="32">
        <f>IF($A1117=1,IF(Expenses!$V47="","",Expenses!$V47),"")</f>
        <v/>
      </c>
      <c r="H1117" s="32">
        <f>IF($A1117=1,IF(COUNTIF(COA!$A:$A,$G1117)=0,"حساب غير معرف",INDEX(COA!$B:$B,MATCH($G1117,COA!$A:$A,0))),"")</f>
        <v/>
      </c>
      <c r="I1117" s="32">
        <f>IF($A1117=1,IF(Expenses!$C47="","",Expenses!$C47),"")</f>
        <v/>
      </c>
      <c r="J1117" s="32">
        <f>IF($A1117=1,"CC00","")</f>
        <v/>
      </c>
      <c r="K1117" s="32">
        <f>IF($A1117=1,"-","")</f>
        <v/>
      </c>
      <c r="L1117" s="32">
        <f>IF($A1117=1,IF(Expenses!$L47="","مصروف - "&amp;Expenses!$J47,Expenses!$L47),"")</f>
        <v/>
      </c>
      <c r="M1117" s="43">
        <f>IF($A1117=1,0,"")</f>
        <v/>
      </c>
      <c r="N1117" s="43">
        <f>IF($A1117=1,Expenses!$W47,"")</f>
        <v/>
      </c>
      <c r="O1117" s="32">
        <f>IF($A1117=1,Expenses!$M47,"")</f>
        <v/>
      </c>
      <c r="P1117" s="32">
        <f>IF($A1117=1,IF(Expenses!$AC47="","",Expenses!$AC47),"")</f>
        <v/>
      </c>
      <c r="Q1117" s="32">
        <f>IF($A1117=1,Expenses!$AE47,"")</f>
        <v/>
      </c>
      <c r="R1117" s="32">
        <f>IF($A1117=1,IF(AND($Q1117=1,COUNTIFS(COA!$A:$A,$G1117,COA!$R:$R,1)=1),1,0),"")</f>
        <v/>
      </c>
      <c r="S1117" s="43">
        <f>IF($A1117=1,IF($R1117=1,N($M1117),0),"")</f>
        <v/>
      </c>
      <c r="T1117" s="43">
        <f>IF($A1117=1,IF($R1117=1,N($N1117),0),"")</f>
        <v/>
      </c>
      <c r="U1117" s="32">
        <f>IF($A1117=1,YEAR($D1117)*100+MONTH($D1117),"")</f>
        <v/>
      </c>
      <c r="V1117" s="32">
        <f>IF($A1117=1,IF(COUNTIF(COA!$A:$A,$G1117)=0,0,INDEX(COA!$H:$H,MATCH($G1117,COA!$A:$A,0))),"")</f>
        <v/>
      </c>
      <c r="W1117" s="32">
        <f>IF($A1117=1,"OPERATING","")</f>
        <v/>
      </c>
      <c r="X1117" s="32">
        <f>IF($A1117=1,IF($R1117=1,"",IF($O1117=ST_POST,IF($P1117&lt;&gt;"",$P1117,"حساب غير صالح أو غير نشط"),IF($O1117=ST_REV,"معكوس: لا أثر على الدفاتر",IF($O1117=ST_CANC,"ملغى",IF($O1117=ST_APPR,"معتمد ولم يُرحَّل","مسودة"))))),"")</f>
        <v/>
      </c>
      <c r="Y1117" s="32">
        <f>IF($A1117=1,IF(AND($R1117=1,OR(LG_Acct="",$G1117=LG_Acct),OR(LG_Party="",$K1117=LG_Party),OR(LG_Loc="ALL",$I1117=LG_Loc),OR(LG_CC="ALL",$J1117=LG_CC),$D1117&gt;=LG_From,$D1117&lt;=LG_To),$D1117+ROW()/1000000,""),"")</f>
        <v/>
      </c>
      <c r="Z1117" s="32">
        <f>IF($A1117=1,IF(Expenses!$N47="","",Expenses!$N47),"")</f>
        <v/>
      </c>
      <c r="AA1117" s="32">
        <f>IF($A1117=1,IF(Expenses!$O47="","",Expenses!$O47),"")</f>
        <v/>
      </c>
      <c r="AB1117" s="32">
        <f>IF($A1117=1,IF(Expenses!$P47="","",Expenses!$P47),"")</f>
        <v/>
      </c>
      <c r="AC1117" s="32">
        <f>IF($A1117=1,IF(Expenses!$Q47="","",Expenses!$Q47),"")</f>
        <v/>
      </c>
      <c r="AD1117" s="32">
        <f>IF($A1117=1,IF(Expenses!$R47="","",Expenses!$R47),"")</f>
        <v/>
      </c>
      <c r="AE1117" s="32">
        <f>IF($A1117=1,0,"")</f>
        <v/>
      </c>
      <c r="AF1117" s="32" t="inlineStr"/>
    </row>
    <row r="1118">
      <c r="A1118" s="32">
        <f>IF(AND(Expenses!$AB48=1,N(Expenses!$F48)&gt;0),1,0)</f>
        <v/>
      </c>
      <c r="B1118" s="32">
        <f>IF($A1118=1,$E1118&amp;"/1","")</f>
        <v/>
      </c>
      <c r="C1118" s="32">
        <f>IF($A1118=1,"J-"&amp;Expenses!$A48,"")</f>
        <v/>
      </c>
      <c r="D1118" s="33">
        <f>IF($A1118=1,Expenses!$B48,"")</f>
        <v/>
      </c>
      <c r="E1118" s="32">
        <f>IF($A1118=1,IF(Expenses!$A48="","",Expenses!$A48),"")</f>
        <v/>
      </c>
      <c r="F1118" s="32">
        <f>IF($A1118=1,"EXP","")</f>
        <v/>
      </c>
      <c r="G1118" s="32">
        <f>IF($A1118=1,IF(Expenses!$E48="","",Expenses!$E48),"")</f>
        <v/>
      </c>
      <c r="H1118" s="32">
        <f>IF($A1118=1,IF(COUNTIF(COA!$A:$A,$G1118)=0,"حساب غير معرف",INDEX(COA!$B:$B,MATCH($G1118,COA!$A:$A,0))),"")</f>
        <v/>
      </c>
      <c r="I1118" s="32">
        <f>IF($A1118=1,IF(Expenses!$C48="","",Expenses!$C48),"")</f>
        <v/>
      </c>
      <c r="J1118" s="32">
        <f>IF($A1118=1,IF(Expenses!$D48="","",Expenses!$D48),"")</f>
        <v/>
      </c>
      <c r="K1118" s="32">
        <f>IF($A1118=1,"-","")</f>
        <v/>
      </c>
      <c r="L1118" s="32">
        <f>IF($A1118=1,IF(Expenses!$L48="","مصروف - "&amp;Expenses!$J48,Expenses!$L48),"")</f>
        <v/>
      </c>
      <c r="M1118" s="43">
        <f>IF($A1118=1,Expenses!$F48,"")</f>
        <v/>
      </c>
      <c r="N1118" s="43">
        <f>IF($A1118=1,0,"")</f>
        <v/>
      </c>
      <c r="O1118" s="32">
        <f>IF($A1118=1,Expenses!$M48,"")</f>
        <v/>
      </c>
      <c r="P1118" s="32">
        <f>IF($A1118=1,IF(Expenses!$AC48="","",Expenses!$AC48),"")</f>
        <v/>
      </c>
      <c r="Q1118" s="32">
        <f>IF($A1118=1,Expenses!$AE48,"")</f>
        <v/>
      </c>
      <c r="R1118" s="32">
        <f>IF($A1118=1,IF(AND($Q1118=1,COUNTIFS(COA!$A:$A,$G1118,COA!$R:$R,1)=1),1,0),"")</f>
        <v/>
      </c>
      <c r="S1118" s="43">
        <f>IF($A1118=1,IF($R1118=1,N($M1118),0),"")</f>
        <v/>
      </c>
      <c r="T1118" s="43">
        <f>IF($A1118=1,IF($R1118=1,N($N1118),0),"")</f>
        <v/>
      </c>
      <c r="U1118" s="32">
        <f>IF($A1118=1,YEAR($D1118)*100+MONTH($D1118),"")</f>
        <v/>
      </c>
      <c r="V1118" s="32">
        <f>IF($A1118=1,IF(COUNTIF(COA!$A:$A,$G1118)=0,0,INDEX(COA!$H:$H,MATCH($G1118,COA!$A:$A,0))),"")</f>
        <v/>
      </c>
      <c r="W1118" s="32">
        <f>IF($A1118=1,"","")</f>
        <v/>
      </c>
      <c r="X1118" s="32">
        <f>IF($A1118=1,IF($R1118=1,"",IF($O1118=ST_POST,IF($P1118&lt;&gt;"",$P1118,"حساب غير صالح أو غير نشط"),IF($O1118=ST_REV,"معكوس: لا أثر على الدفاتر",IF($O1118=ST_CANC,"ملغى",IF($O1118=ST_APPR,"معتمد ولم يُرحَّل","مسودة"))))),"")</f>
        <v/>
      </c>
      <c r="Y1118" s="32">
        <f>IF($A1118=1,IF(AND($R1118=1,OR(LG_Acct="",$G1118=LG_Acct),OR(LG_Party="",$K1118=LG_Party),OR(LG_Loc="ALL",$I1118=LG_Loc),OR(LG_CC="ALL",$J1118=LG_CC),$D1118&gt;=LG_From,$D1118&lt;=LG_To),$D1118+ROW()/1000000,""),"")</f>
        <v/>
      </c>
      <c r="Z1118" s="32">
        <f>IF($A1118=1,IF(Expenses!$N48="","",Expenses!$N48),"")</f>
        <v/>
      </c>
      <c r="AA1118" s="32">
        <f>IF($A1118=1,IF(Expenses!$O48="","",Expenses!$O48),"")</f>
        <v/>
      </c>
      <c r="AB1118" s="32">
        <f>IF($A1118=1,IF(Expenses!$P48="","",Expenses!$P48),"")</f>
        <v/>
      </c>
      <c r="AC1118" s="32">
        <f>IF($A1118=1,IF(Expenses!$Q48="","",Expenses!$Q48),"")</f>
        <v/>
      </c>
      <c r="AD1118" s="32">
        <f>IF($A1118=1,IF(Expenses!$R48="","",Expenses!$R48),"")</f>
        <v/>
      </c>
      <c r="AE1118" s="32">
        <f>IF($A1118=1,0,"")</f>
        <v/>
      </c>
      <c r="AF1118" s="32" t="inlineStr"/>
    </row>
    <row r="1119">
      <c r="A1119" s="32">
        <f>IF(AND(Expenses!$AB48=1,N(Expenses!$G48)&gt;0),1,0)</f>
        <v/>
      </c>
      <c r="B1119" s="32">
        <f>IF($A1119=1,$E1119&amp;"/2","")</f>
        <v/>
      </c>
      <c r="C1119" s="32">
        <f>IF($A1119=1,"J-"&amp;Expenses!$A48,"")</f>
        <v/>
      </c>
      <c r="D1119" s="33">
        <f>IF($A1119=1,Expenses!$B48,"")</f>
        <v/>
      </c>
      <c r="E1119" s="32">
        <f>IF($A1119=1,IF(Expenses!$A48="","",Expenses!$A48),"")</f>
        <v/>
      </c>
      <c r="F1119" s="32">
        <f>IF($A1119=1,"EXP","")</f>
        <v/>
      </c>
      <c r="G1119" s="32">
        <f>IF($A1119=1,ACC_VAT_IN,"")</f>
        <v/>
      </c>
      <c r="H1119" s="32">
        <f>IF($A1119=1,IF(COUNTIF(COA!$A:$A,$G1119)=0,"حساب غير معرف",INDEX(COA!$B:$B,MATCH($G1119,COA!$A:$A,0))),"")</f>
        <v/>
      </c>
      <c r="I1119" s="32">
        <f>IF($A1119=1,IF(Expenses!$C48="","",Expenses!$C48),"")</f>
        <v/>
      </c>
      <c r="J1119" s="32">
        <f>IF($A1119=1,IF(Expenses!$D48="","",Expenses!$D48),"")</f>
        <v/>
      </c>
      <c r="K1119" s="32">
        <f>IF($A1119=1,"-","")</f>
        <v/>
      </c>
      <c r="L1119" s="32">
        <f>IF($A1119=1,"ضريبة قيمة مضافة - مدخلات","")</f>
        <v/>
      </c>
      <c r="M1119" s="43">
        <f>IF($A1119=1,Expenses!$G48,"")</f>
        <v/>
      </c>
      <c r="N1119" s="43">
        <f>IF($A1119=1,0,"")</f>
        <v/>
      </c>
      <c r="O1119" s="32">
        <f>IF($A1119=1,Expenses!$M48,"")</f>
        <v/>
      </c>
      <c r="P1119" s="32">
        <f>IF($A1119=1,IF(Expenses!$AC48="","",Expenses!$AC48),"")</f>
        <v/>
      </c>
      <c r="Q1119" s="32">
        <f>IF($A1119=1,Expenses!$AE48,"")</f>
        <v/>
      </c>
      <c r="R1119" s="32">
        <f>IF($A1119=1,IF(AND($Q1119=1,COUNTIFS(COA!$A:$A,$G1119,COA!$R:$R,1)=1),1,0),"")</f>
        <v/>
      </c>
      <c r="S1119" s="43">
        <f>IF($A1119=1,IF($R1119=1,N($M1119),0),"")</f>
        <v/>
      </c>
      <c r="T1119" s="43">
        <f>IF($A1119=1,IF($R1119=1,N($N1119),0),"")</f>
        <v/>
      </c>
      <c r="U1119" s="32">
        <f>IF($A1119=1,YEAR($D1119)*100+MONTH($D1119),"")</f>
        <v/>
      </c>
      <c r="V1119" s="32">
        <f>IF($A1119=1,IF(COUNTIF(COA!$A:$A,$G1119)=0,0,INDEX(COA!$H:$H,MATCH($G1119,COA!$A:$A,0))),"")</f>
        <v/>
      </c>
      <c r="W1119" s="32">
        <f>IF($A1119=1,"","")</f>
        <v/>
      </c>
      <c r="X1119" s="32">
        <f>IF($A1119=1,IF($R1119=1,"",IF($O1119=ST_POST,IF($P1119&lt;&gt;"",$P1119,"حساب غير صالح أو غير نشط"),IF($O1119=ST_REV,"معكوس: لا أثر على الدفاتر",IF($O1119=ST_CANC,"ملغى",IF($O1119=ST_APPR,"معتمد ولم يُرحَّل","مسودة"))))),"")</f>
        <v/>
      </c>
      <c r="Y1119" s="32">
        <f>IF($A1119=1,IF(AND($R1119=1,OR(LG_Acct="",$G1119=LG_Acct),OR(LG_Party="",$K1119=LG_Party),OR(LG_Loc="ALL",$I1119=LG_Loc),OR(LG_CC="ALL",$J1119=LG_CC),$D1119&gt;=LG_From,$D1119&lt;=LG_To),$D1119+ROW()/1000000,""),"")</f>
        <v/>
      </c>
      <c r="Z1119" s="32">
        <f>IF($A1119=1,IF(Expenses!$N48="","",Expenses!$N48),"")</f>
        <v/>
      </c>
      <c r="AA1119" s="32">
        <f>IF($A1119=1,IF(Expenses!$O48="","",Expenses!$O48),"")</f>
        <v/>
      </c>
      <c r="AB1119" s="32">
        <f>IF($A1119=1,IF(Expenses!$P48="","",Expenses!$P48),"")</f>
        <v/>
      </c>
      <c r="AC1119" s="32">
        <f>IF($A1119=1,IF(Expenses!$Q48="","",Expenses!$Q48),"")</f>
        <v/>
      </c>
      <c r="AD1119" s="32">
        <f>IF($A1119=1,IF(Expenses!$R48="","",Expenses!$R48),"")</f>
        <v/>
      </c>
      <c r="AE1119" s="32">
        <f>IF($A1119=1,0,"")</f>
        <v/>
      </c>
      <c r="AF1119" s="32" t="inlineStr"/>
    </row>
    <row r="1120">
      <c r="A1120" s="32">
        <f>IF(AND(Expenses!$AB48=1,N(Expenses!$W48)&gt;0),1,0)</f>
        <v/>
      </c>
      <c r="B1120" s="32">
        <f>IF($A1120=1,$E1120&amp;"/3","")</f>
        <v/>
      </c>
      <c r="C1120" s="32">
        <f>IF($A1120=1,"J-"&amp;Expenses!$A48,"")</f>
        <v/>
      </c>
      <c r="D1120" s="33">
        <f>IF($A1120=1,Expenses!$B48,"")</f>
        <v/>
      </c>
      <c r="E1120" s="32">
        <f>IF($A1120=1,IF(Expenses!$A48="","",Expenses!$A48),"")</f>
        <v/>
      </c>
      <c r="F1120" s="32">
        <f>IF($A1120=1,"EXP","")</f>
        <v/>
      </c>
      <c r="G1120" s="32">
        <f>IF($A1120=1,IF(Expenses!$V48="","",Expenses!$V48),"")</f>
        <v/>
      </c>
      <c r="H1120" s="32">
        <f>IF($A1120=1,IF(COUNTIF(COA!$A:$A,$G1120)=0,"حساب غير معرف",INDEX(COA!$B:$B,MATCH($G1120,COA!$A:$A,0))),"")</f>
        <v/>
      </c>
      <c r="I1120" s="32">
        <f>IF($A1120=1,IF(Expenses!$C48="","",Expenses!$C48),"")</f>
        <v/>
      </c>
      <c r="J1120" s="32">
        <f>IF($A1120=1,"CC00","")</f>
        <v/>
      </c>
      <c r="K1120" s="32">
        <f>IF($A1120=1,"-","")</f>
        <v/>
      </c>
      <c r="L1120" s="32">
        <f>IF($A1120=1,IF(Expenses!$L48="","مصروف - "&amp;Expenses!$J48,Expenses!$L48),"")</f>
        <v/>
      </c>
      <c r="M1120" s="43">
        <f>IF($A1120=1,0,"")</f>
        <v/>
      </c>
      <c r="N1120" s="43">
        <f>IF($A1120=1,Expenses!$W48,"")</f>
        <v/>
      </c>
      <c r="O1120" s="32">
        <f>IF($A1120=1,Expenses!$M48,"")</f>
        <v/>
      </c>
      <c r="P1120" s="32">
        <f>IF($A1120=1,IF(Expenses!$AC48="","",Expenses!$AC48),"")</f>
        <v/>
      </c>
      <c r="Q1120" s="32">
        <f>IF($A1120=1,Expenses!$AE48,"")</f>
        <v/>
      </c>
      <c r="R1120" s="32">
        <f>IF($A1120=1,IF(AND($Q1120=1,COUNTIFS(COA!$A:$A,$G1120,COA!$R:$R,1)=1),1,0),"")</f>
        <v/>
      </c>
      <c r="S1120" s="43">
        <f>IF($A1120=1,IF($R1120=1,N($M1120),0),"")</f>
        <v/>
      </c>
      <c r="T1120" s="43">
        <f>IF($A1120=1,IF($R1120=1,N($N1120),0),"")</f>
        <v/>
      </c>
      <c r="U1120" s="32">
        <f>IF($A1120=1,YEAR($D1120)*100+MONTH($D1120),"")</f>
        <v/>
      </c>
      <c r="V1120" s="32">
        <f>IF($A1120=1,IF(COUNTIF(COA!$A:$A,$G1120)=0,0,INDEX(COA!$H:$H,MATCH($G1120,COA!$A:$A,0))),"")</f>
        <v/>
      </c>
      <c r="W1120" s="32">
        <f>IF($A1120=1,"OPERATING","")</f>
        <v/>
      </c>
      <c r="X1120" s="32">
        <f>IF($A1120=1,IF($R1120=1,"",IF($O1120=ST_POST,IF($P1120&lt;&gt;"",$P1120,"حساب غير صالح أو غير نشط"),IF($O1120=ST_REV,"معكوس: لا أثر على الدفاتر",IF($O1120=ST_CANC,"ملغى",IF($O1120=ST_APPR,"معتمد ولم يُرحَّل","مسودة"))))),"")</f>
        <v/>
      </c>
      <c r="Y1120" s="32">
        <f>IF($A1120=1,IF(AND($R1120=1,OR(LG_Acct="",$G1120=LG_Acct),OR(LG_Party="",$K1120=LG_Party),OR(LG_Loc="ALL",$I1120=LG_Loc),OR(LG_CC="ALL",$J1120=LG_CC),$D1120&gt;=LG_From,$D1120&lt;=LG_To),$D1120+ROW()/1000000,""),"")</f>
        <v/>
      </c>
      <c r="Z1120" s="32">
        <f>IF($A1120=1,IF(Expenses!$N48="","",Expenses!$N48),"")</f>
        <v/>
      </c>
      <c r="AA1120" s="32">
        <f>IF($A1120=1,IF(Expenses!$O48="","",Expenses!$O48),"")</f>
        <v/>
      </c>
      <c r="AB1120" s="32">
        <f>IF($A1120=1,IF(Expenses!$P48="","",Expenses!$P48),"")</f>
        <v/>
      </c>
      <c r="AC1120" s="32">
        <f>IF($A1120=1,IF(Expenses!$Q48="","",Expenses!$Q48),"")</f>
        <v/>
      </c>
      <c r="AD1120" s="32">
        <f>IF($A1120=1,IF(Expenses!$R48="","",Expenses!$R48),"")</f>
        <v/>
      </c>
      <c r="AE1120" s="32">
        <f>IF($A1120=1,0,"")</f>
        <v/>
      </c>
      <c r="AF1120" s="32" t="inlineStr"/>
    </row>
    <row r="1121">
      <c r="A1121" s="32">
        <f>IF(AND(Expenses!$AB49=1,N(Expenses!$F49)&gt;0),1,0)</f>
        <v/>
      </c>
      <c r="B1121" s="32">
        <f>IF($A1121=1,$E1121&amp;"/1","")</f>
        <v/>
      </c>
      <c r="C1121" s="32">
        <f>IF($A1121=1,"J-"&amp;Expenses!$A49,"")</f>
        <v/>
      </c>
      <c r="D1121" s="33">
        <f>IF($A1121=1,Expenses!$B49,"")</f>
        <v/>
      </c>
      <c r="E1121" s="32">
        <f>IF($A1121=1,IF(Expenses!$A49="","",Expenses!$A49),"")</f>
        <v/>
      </c>
      <c r="F1121" s="32">
        <f>IF($A1121=1,"EXP","")</f>
        <v/>
      </c>
      <c r="G1121" s="32">
        <f>IF($A1121=1,IF(Expenses!$E49="","",Expenses!$E49),"")</f>
        <v/>
      </c>
      <c r="H1121" s="32">
        <f>IF($A1121=1,IF(COUNTIF(COA!$A:$A,$G1121)=0,"حساب غير معرف",INDEX(COA!$B:$B,MATCH($G1121,COA!$A:$A,0))),"")</f>
        <v/>
      </c>
      <c r="I1121" s="32">
        <f>IF($A1121=1,IF(Expenses!$C49="","",Expenses!$C49),"")</f>
        <v/>
      </c>
      <c r="J1121" s="32">
        <f>IF($A1121=1,IF(Expenses!$D49="","",Expenses!$D49),"")</f>
        <v/>
      </c>
      <c r="K1121" s="32">
        <f>IF($A1121=1,"-","")</f>
        <v/>
      </c>
      <c r="L1121" s="32">
        <f>IF($A1121=1,IF(Expenses!$L49="","مصروف - "&amp;Expenses!$J49,Expenses!$L49),"")</f>
        <v/>
      </c>
      <c r="M1121" s="43">
        <f>IF($A1121=1,Expenses!$F49,"")</f>
        <v/>
      </c>
      <c r="N1121" s="43">
        <f>IF($A1121=1,0,"")</f>
        <v/>
      </c>
      <c r="O1121" s="32">
        <f>IF($A1121=1,Expenses!$M49,"")</f>
        <v/>
      </c>
      <c r="P1121" s="32">
        <f>IF($A1121=1,IF(Expenses!$AC49="","",Expenses!$AC49),"")</f>
        <v/>
      </c>
      <c r="Q1121" s="32">
        <f>IF($A1121=1,Expenses!$AE49,"")</f>
        <v/>
      </c>
      <c r="R1121" s="32">
        <f>IF($A1121=1,IF(AND($Q1121=1,COUNTIFS(COA!$A:$A,$G1121,COA!$R:$R,1)=1),1,0),"")</f>
        <v/>
      </c>
      <c r="S1121" s="43">
        <f>IF($A1121=1,IF($R1121=1,N($M1121),0),"")</f>
        <v/>
      </c>
      <c r="T1121" s="43">
        <f>IF($A1121=1,IF($R1121=1,N($N1121),0),"")</f>
        <v/>
      </c>
      <c r="U1121" s="32">
        <f>IF($A1121=1,YEAR($D1121)*100+MONTH($D1121),"")</f>
        <v/>
      </c>
      <c r="V1121" s="32">
        <f>IF($A1121=1,IF(COUNTIF(COA!$A:$A,$G1121)=0,0,INDEX(COA!$H:$H,MATCH($G1121,COA!$A:$A,0))),"")</f>
        <v/>
      </c>
      <c r="W1121" s="32">
        <f>IF($A1121=1,"","")</f>
        <v/>
      </c>
      <c r="X1121" s="32">
        <f>IF($A1121=1,IF($R1121=1,"",IF($O1121=ST_POST,IF($P1121&lt;&gt;"",$P1121,"حساب غير صالح أو غير نشط"),IF($O1121=ST_REV,"معكوس: لا أثر على الدفاتر",IF($O1121=ST_CANC,"ملغى",IF($O1121=ST_APPR,"معتمد ولم يُرحَّل","مسودة"))))),"")</f>
        <v/>
      </c>
      <c r="Y1121" s="32">
        <f>IF($A1121=1,IF(AND($R1121=1,OR(LG_Acct="",$G1121=LG_Acct),OR(LG_Party="",$K1121=LG_Party),OR(LG_Loc="ALL",$I1121=LG_Loc),OR(LG_CC="ALL",$J1121=LG_CC),$D1121&gt;=LG_From,$D1121&lt;=LG_To),$D1121+ROW()/1000000,""),"")</f>
        <v/>
      </c>
      <c r="Z1121" s="32">
        <f>IF($A1121=1,IF(Expenses!$N49="","",Expenses!$N49),"")</f>
        <v/>
      </c>
      <c r="AA1121" s="32">
        <f>IF($A1121=1,IF(Expenses!$O49="","",Expenses!$O49),"")</f>
        <v/>
      </c>
      <c r="AB1121" s="32">
        <f>IF($A1121=1,IF(Expenses!$P49="","",Expenses!$P49),"")</f>
        <v/>
      </c>
      <c r="AC1121" s="32">
        <f>IF($A1121=1,IF(Expenses!$Q49="","",Expenses!$Q49),"")</f>
        <v/>
      </c>
      <c r="AD1121" s="32">
        <f>IF($A1121=1,IF(Expenses!$R49="","",Expenses!$R49),"")</f>
        <v/>
      </c>
      <c r="AE1121" s="32">
        <f>IF($A1121=1,0,"")</f>
        <v/>
      </c>
      <c r="AF1121" s="32" t="inlineStr"/>
    </row>
    <row r="1122">
      <c r="A1122" s="32">
        <f>IF(AND(Expenses!$AB49=1,N(Expenses!$G49)&gt;0),1,0)</f>
        <v/>
      </c>
      <c r="B1122" s="32">
        <f>IF($A1122=1,$E1122&amp;"/2","")</f>
        <v/>
      </c>
      <c r="C1122" s="32">
        <f>IF($A1122=1,"J-"&amp;Expenses!$A49,"")</f>
        <v/>
      </c>
      <c r="D1122" s="33">
        <f>IF($A1122=1,Expenses!$B49,"")</f>
        <v/>
      </c>
      <c r="E1122" s="32">
        <f>IF($A1122=1,IF(Expenses!$A49="","",Expenses!$A49),"")</f>
        <v/>
      </c>
      <c r="F1122" s="32">
        <f>IF($A1122=1,"EXP","")</f>
        <v/>
      </c>
      <c r="G1122" s="32">
        <f>IF($A1122=1,ACC_VAT_IN,"")</f>
        <v/>
      </c>
      <c r="H1122" s="32">
        <f>IF($A1122=1,IF(COUNTIF(COA!$A:$A,$G1122)=0,"حساب غير معرف",INDEX(COA!$B:$B,MATCH($G1122,COA!$A:$A,0))),"")</f>
        <v/>
      </c>
      <c r="I1122" s="32">
        <f>IF($A1122=1,IF(Expenses!$C49="","",Expenses!$C49),"")</f>
        <v/>
      </c>
      <c r="J1122" s="32">
        <f>IF($A1122=1,IF(Expenses!$D49="","",Expenses!$D49),"")</f>
        <v/>
      </c>
      <c r="K1122" s="32">
        <f>IF($A1122=1,"-","")</f>
        <v/>
      </c>
      <c r="L1122" s="32">
        <f>IF($A1122=1,"ضريبة قيمة مضافة - مدخلات","")</f>
        <v/>
      </c>
      <c r="M1122" s="43">
        <f>IF($A1122=1,Expenses!$G49,"")</f>
        <v/>
      </c>
      <c r="N1122" s="43">
        <f>IF($A1122=1,0,"")</f>
        <v/>
      </c>
      <c r="O1122" s="32">
        <f>IF($A1122=1,Expenses!$M49,"")</f>
        <v/>
      </c>
      <c r="P1122" s="32">
        <f>IF($A1122=1,IF(Expenses!$AC49="","",Expenses!$AC49),"")</f>
        <v/>
      </c>
      <c r="Q1122" s="32">
        <f>IF($A1122=1,Expenses!$AE49,"")</f>
        <v/>
      </c>
      <c r="R1122" s="32">
        <f>IF($A1122=1,IF(AND($Q1122=1,COUNTIFS(COA!$A:$A,$G1122,COA!$R:$R,1)=1),1,0),"")</f>
        <v/>
      </c>
      <c r="S1122" s="43">
        <f>IF($A1122=1,IF($R1122=1,N($M1122),0),"")</f>
        <v/>
      </c>
      <c r="T1122" s="43">
        <f>IF($A1122=1,IF($R1122=1,N($N1122),0),"")</f>
        <v/>
      </c>
      <c r="U1122" s="32">
        <f>IF($A1122=1,YEAR($D1122)*100+MONTH($D1122),"")</f>
        <v/>
      </c>
      <c r="V1122" s="32">
        <f>IF($A1122=1,IF(COUNTIF(COA!$A:$A,$G1122)=0,0,INDEX(COA!$H:$H,MATCH($G1122,COA!$A:$A,0))),"")</f>
        <v/>
      </c>
      <c r="W1122" s="32">
        <f>IF($A1122=1,"","")</f>
        <v/>
      </c>
      <c r="X1122" s="32">
        <f>IF($A1122=1,IF($R1122=1,"",IF($O1122=ST_POST,IF($P1122&lt;&gt;"",$P1122,"حساب غير صالح أو غير نشط"),IF($O1122=ST_REV,"معكوس: لا أثر على الدفاتر",IF($O1122=ST_CANC,"ملغى",IF($O1122=ST_APPR,"معتمد ولم يُرحَّل","مسودة"))))),"")</f>
        <v/>
      </c>
      <c r="Y1122" s="32">
        <f>IF($A1122=1,IF(AND($R1122=1,OR(LG_Acct="",$G1122=LG_Acct),OR(LG_Party="",$K1122=LG_Party),OR(LG_Loc="ALL",$I1122=LG_Loc),OR(LG_CC="ALL",$J1122=LG_CC),$D1122&gt;=LG_From,$D1122&lt;=LG_To),$D1122+ROW()/1000000,""),"")</f>
        <v/>
      </c>
      <c r="Z1122" s="32">
        <f>IF($A1122=1,IF(Expenses!$N49="","",Expenses!$N49),"")</f>
        <v/>
      </c>
      <c r="AA1122" s="32">
        <f>IF($A1122=1,IF(Expenses!$O49="","",Expenses!$O49),"")</f>
        <v/>
      </c>
      <c r="AB1122" s="32">
        <f>IF($A1122=1,IF(Expenses!$P49="","",Expenses!$P49),"")</f>
        <v/>
      </c>
      <c r="AC1122" s="32">
        <f>IF($A1122=1,IF(Expenses!$Q49="","",Expenses!$Q49),"")</f>
        <v/>
      </c>
      <c r="AD1122" s="32">
        <f>IF($A1122=1,IF(Expenses!$R49="","",Expenses!$R49),"")</f>
        <v/>
      </c>
      <c r="AE1122" s="32">
        <f>IF($A1122=1,0,"")</f>
        <v/>
      </c>
      <c r="AF1122" s="32" t="inlineStr"/>
    </row>
    <row r="1123">
      <c r="A1123" s="32">
        <f>IF(AND(Expenses!$AB49=1,N(Expenses!$W49)&gt;0),1,0)</f>
        <v/>
      </c>
      <c r="B1123" s="32">
        <f>IF($A1123=1,$E1123&amp;"/3","")</f>
        <v/>
      </c>
      <c r="C1123" s="32">
        <f>IF($A1123=1,"J-"&amp;Expenses!$A49,"")</f>
        <v/>
      </c>
      <c r="D1123" s="33">
        <f>IF($A1123=1,Expenses!$B49,"")</f>
        <v/>
      </c>
      <c r="E1123" s="32">
        <f>IF($A1123=1,IF(Expenses!$A49="","",Expenses!$A49),"")</f>
        <v/>
      </c>
      <c r="F1123" s="32">
        <f>IF($A1123=1,"EXP","")</f>
        <v/>
      </c>
      <c r="G1123" s="32">
        <f>IF($A1123=1,IF(Expenses!$V49="","",Expenses!$V49),"")</f>
        <v/>
      </c>
      <c r="H1123" s="32">
        <f>IF($A1123=1,IF(COUNTIF(COA!$A:$A,$G1123)=0,"حساب غير معرف",INDEX(COA!$B:$B,MATCH($G1123,COA!$A:$A,0))),"")</f>
        <v/>
      </c>
      <c r="I1123" s="32">
        <f>IF($A1123=1,IF(Expenses!$C49="","",Expenses!$C49),"")</f>
        <v/>
      </c>
      <c r="J1123" s="32">
        <f>IF($A1123=1,"CC00","")</f>
        <v/>
      </c>
      <c r="K1123" s="32">
        <f>IF($A1123=1,"-","")</f>
        <v/>
      </c>
      <c r="L1123" s="32">
        <f>IF($A1123=1,IF(Expenses!$L49="","مصروف - "&amp;Expenses!$J49,Expenses!$L49),"")</f>
        <v/>
      </c>
      <c r="M1123" s="43">
        <f>IF($A1123=1,0,"")</f>
        <v/>
      </c>
      <c r="N1123" s="43">
        <f>IF($A1123=1,Expenses!$W49,"")</f>
        <v/>
      </c>
      <c r="O1123" s="32">
        <f>IF($A1123=1,Expenses!$M49,"")</f>
        <v/>
      </c>
      <c r="P1123" s="32">
        <f>IF($A1123=1,IF(Expenses!$AC49="","",Expenses!$AC49),"")</f>
        <v/>
      </c>
      <c r="Q1123" s="32">
        <f>IF($A1123=1,Expenses!$AE49,"")</f>
        <v/>
      </c>
      <c r="R1123" s="32">
        <f>IF($A1123=1,IF(AND($Q1123=1,COUNTIFS(COA!$A:$A,$G1123,COA!$R:$R,1)=1),1,0),"")</f>
        <v/>
      </c>
      <c r="S1123" s="43">
        <f>IF($A1123=1,IF($R1123=1,N($M1123),0),"")</f>
        <v/>
      </c>
      <c r="T1123" s="43">
        <f>IF($A1123=1,IF($R1123=1,N($N1123),0),"")</f>
        <v/>
      </c>
      <c r="U1123" s="32">
        <f>IF($A1123=1,YEAR($D1123)*100+MONTH($D1123),"")</f>
        <v/>
      </c>
      <c r="V1123" s="32">
        <f>IF($A1123=1,IF(COUNTIF(COA!$A:$A,$G1123)=0,0,INDEX(COA!$H:$H,MATCH($G1123,COA!$A:$A,0))),"")</f>
        <v/>
      </c>
      <c r="W1123" s="32">
        <f>IF($A1123=1,"OPERATING","")</f>
        <v/>
      </c>
      <c r="X1123" s="32">
        <f>IF($A1123=1,IF($R1123=1,"",IF($O1123=ST_POST,IF($P1123&lt;&gt;"",$P1123,"حساب غير صالح أو غير نشط"),IF($O1123=ST_REV,"معكوس: لا أثر على الدفاتر",IF($O1123=ST_CANC,"ملغى",IF($O1123=ST_APPR,"معتمد ولم يُرحَّل","مسودة"))))),"")</f>
        <v/>
      </c>
      <c r="Y1123" s="32">
        <f>IF($A1123=1,IF(AND($R1123=1,OR(LG_Acct="",$G1123=LG_Acct),OR(LG_Party="",$K1123=LG_Party),OR(LG_Loc="ALL",$I1123=LG_Loc),OR(LG_CC="ALL",$J1123=LG_CC),$D1123&gt;=LG_From,$D1123&lt;=LG_To),$D1123+ROW()/1000000,""),"")</f>
        <v/>
      </c>
      <c r="Z1123" s="32">
        <f>IF($A1123=1,IF(Expenses!$N49="","",Expenses!$N49),"")</f>
        <v/>
      </c>
      <c r="AA1123" s="32">
        <f>IF($A1123=1,IF(Expenses!$O49="","",Expenses!$O49),"")</f>
        <v/>
      </c>
      <c r="AB1123" s="32">
        <f>IF($A1123=1,IF(Expenses!$P49="","",Expenses!$P49),"")</f>
        <v/>
      </c>
      <c r="AC1123" s="32">
        <f>IF($A1123=1,IF(Expenses!$Q49="","",Expenses!$Q49),"")</f>
        <v/>
      </c>
      <c r="AD1123" s="32">
        <f>IF($A1123=1,IF(Expenses!$R49="","",Expenses!$R49),"")</f>
        <v/>
      </c>
      <c r="AE1123" s="32">
        <f>IF($A1123=1,0,"")</f>
        <v/>
      </c>
      <c r="AF1123" s="32" t="inlineStr"/>
    </row>
    <row r="1124">
      <c r="A1124" s="32">
        <f>IF(AND(Expenses!$AB50=1,N(Expenses!$F50)&gt;0),1,0)</f>
        <v/>
      </c>
      <c r="B1124" s="32">
        <f>IF($A1124=1,$E1124&amp;"/1","")</f>
        <v/>
      </c>
      <c r="C1124" s="32">
        <f>IF($A1124=1,"J-"&amp;Expenses!$A50,"")</f>
        <v/>
      </c>
      <c r="D1124" s="33">
        <f>IF($A1124=1,Expenses!$B50,"")</f>
        <v/>
      </c>
      <c r="E1124" s="32">
        <f>IF($A1124=1,IF(Expenses!$A50="","",Expenses!$A50),"")</f>
        <v/>
      </c>
      <c r="F1124" s="32">
        <f>IF($A1124=1,"EXP","")</f>
        <v/>
      </c>
      <c r="G1124" s="32">
        <f>IF($A1124=1,IF(Expenses!$E50="","",Expenses!$E50),"")</f>
        <v/>
      </c>
      <c r="H1124" s="32">
        <f>IF($A1124=1,IF(COUNTIF(COA!$A:$A,$G1124)=0,"حساب غير معرف",INDEX(COA!$B:$B,MATCH($G1124,COA!$A:$A,0))),"")</f>
        <v/>
      </c>
      <c r="I1124" s="32">
        <f>IF($A1124=1,IF(Expenses!$C50="","",Expenses!$C50),"")</f>
        <v/>
      </c>
      <c r="J1124" s="32">
        <f>IF($A1124=1,IF(Expenses!$D50="","",Expenses!$D50),"")</f>
        <v/>
      </c>
      <c r="K1124" s="32">
        <f>IF($A1124=1,"-","")</f>
        <v/>
      </c>
      <c r="L1124" s="32">
        <f>IF($A1124=1,IF(Expenses!$L50="","مصروف - "&amp;Expenses!$J50,Expenses!$L50),"")</f>
        <v/>
      </c>
      <c r="M1124" s="43">
        <f>IF($A1124=1,Expenses!$F50,"")</f>
        <v/>
      </c>
      <c r="N1124" s="43">
        <f>IF($A1124=1,0,"")</f>
        <v/>
      </c>
      <c r="O1124" s="32">
        <f>IF($A1124=1,Expenses!$M50,"")</f>
        <v/>
      </c>
      <c r="P1124" s="32">
        <f>IF($A1124=1,IF(Expenses!$AC50="","",Expenses!$AC50),"")</f>
        <v/>
      </c>
      <c r="Q1124" s="32">
        <f>IF($A1124=1,Expenses!$AE50,"")</f>
        <v/>
      </c>
      <c r="R1124" s="32">
        <f>IF($A1124=1,IF(AND($Q1124=1,COUNTIFS(COA!$A:$A,$G1124,COA!$R:$R,1)=1),1,0),"")</f>
        <v/>
      </c>
      <c r="S1124" s="43">
        <f>IF($A1124=1,IF($R1124=1,N($M1124),0),"")</f>
        <v/>
      </c>
      <c r="T1124" s="43">
        <f>IF($A1124=1,IF($R1124=1,N($N1124),0),"")</f>
        <v/>
      </c>
      <c r="U1124" s="32">
        <f>IF($A1124=1,YEAR($D1124)*100+MONTH($D1124),"")</f>
        <v/>
      </c>
      <c r="V1124" s="32">
        <f>IF($A1124=1,IF(COUNTIF(COA!$A:$A,$G1124)=0,0,INDEX(COA!$H:$H,MATCH($G1124,COA!$A:$A,0))),"")</f>
        <v/>
      </c>
      <c r="W1124" s="32">
        <f>IF($A1124=1,"","")</f>
        <v/>
      </c>
      <c r="X1124" s="32">
        <f>IF($A1124=1,IF($R1124=1,"",IF($O1124=ST_POST,IF($P1124&lt;&gt;"",$P1124,"حساب غير صالح أو غير نشط"),IF($O1124=ST_REV,"معكوس: لا أثر على الدفاتر",IF($O1124=ST_CANC,"ملغى",IF($O1124=ST_APPR,"معتمد ولم يُرحَّل","مسودة"))))),"")</f>
        <v/>
      </c>
      <c r="Y1124" s="32">
        <f>IF($A1124=1,IF(AND($R1124=1,OR(LG_Acct="",$G1124=LG_Acct),OR(LG_Party="",$K1124=LG_Party),OR(LG_Loc="ALL",$I1124=LG_Loc),OR(LG_CC="ALL",$J1124=LG_CC),$D1124&gt;=LG_From,$D1124&lt;=LG_To),$D1124+ROW()/1000000,""),"")</f>
        <v/>
      </c>
      <c r="Z1124" s="32">
        <f>IF($A1124=1,IF(Expenses!$N50="","",Expenses!$N50),"")</f>
        <v/>
      </c>
      <c r="AA1124" s="32">
        <f>IF($A1124=1,IF(Expenses!$O50="","",Expenses!$O50),"")</f>
        <v/>
      </c>
      <c r="AB1124" s="32">
        <f>IF($A1124=1,IF(Expenses!$P50="","",Expenses!$P50),"")</f>
        <v/>
      </c>
      <c r="AC1124" s="32">
        <f>IF($A1124=1,IF(Expenses!$Q50="","",Expenses!$Q50),"")</f>
        <v/>
      </c>
      <c r="AD1124" s="32">
        <f>IF($A1124=1,IF(Expenses!$R50="","",Expenses!$R50),"")</f>
        <v/>
      </c>
      <c r="AE1124" s="32">
        <f>IF($A1124=1,0,"")</f>
        <v/>
      </c>
      <c r="AF1124" s="32" t="inlineStr"/>
    </row>
    <row r="1125">
      <c r="A1125" s="32">
        <f>IF(AND(Expenses!$AB50=1,N(Expenses!$G50)&gt;0),1,0)</f>
        <v/>
      </c>
      <c r="B1125" s="32">
        <f>IF($A1125=1,$E1125&amp;"/2","")</f>
        <v/>
      </c>
      <c r="C1125" s="32">
        <f>IF($A1125=1,"J-"&amp;Expenses!$A50,"")</f>
        <v/>
      </c>
      <c r="D1125" s="33">
        <f>IF($A1125=1,Expenses!$B50,"")</f>
        <v/>
      </c>
      <c r="E1125" s="32">
        <f>IF($A1125=1,IF(Expenses!$A50="","",Expenses!$A50),"")</f>
        <v/>
      </c>
      <c r="F1125" s="32">
        <f>IF($A1125=1,"EXP","")</f>
        <v/>
      </c>
      <c r="G1125" s="32">
        <f>IF($A1125=1,ACC_VAT_IN,"")</f>
        <v/>
      </c>
      <c r="H1125" s="32">
        <f>IF($A1125=1,IF(COUNTIF(COA!$A:$A,$G1125)=0,"حساب غير معرف",INDEX(COA!$B:$B,MATCH($G1125,COA!$A:$A,0))),"")</f>
        <v/>
      </c>
      <c r="I1125" s="32">
        <f>IF($A1125=1,IF(Expenses!$C50="","",Expenses!$C50),"")</f>
        <v/>
      </c>
      <c r="J1125" s="32">
        <f>IF($A1125=1,IF(Expenses!$D50="","",Expenses!$D50),"")</f>
        <v/>
      </c>
      <c r="K1125" s="32">
        <f>IF($A1125=1,"-","")</f>
        <v/>
      </c>
      <c r="L1125" s="32">
        <f>IF($A1125=1,"ضريبة قيمة مضافة - مدخلات","")</f>
        <v/>
      </c>
      <c r="M1125" s="43">
        <f>IF($A1125=1,Expenses!$G50,"")</f>
        <v/>
      </c>
      <c r="N1125" s="43">
        <f>IF($A1125=1,0,"")</f>
        <v/>
      </c>
      <c r="O1125" s="32">
        <f>IF($A1125=1,Expenses!$M50,"")</f>
        <v/>
      </c>
      <c r="P1125" s="32">
        <f>IF($A1125=1,IF(Expenses!$AC50="","",Expenses!$AC50),"")</f>
        <v/>
      </c>
      <c r="Q1125" s="32">
        <f>IF($A1125=1,Expenses!$AE50,"")</f>
        <v/>
      </c>
      <c r="R1125" s="32">
        <f>IF($A1125=1,IF(AND($Q1125=1,COUNTIFS(COA!$A:$A,$G1125,COA!$R:$R,1)=1),1,0),"")</f>
        <v/>
      </c>
      <c r="S1125" s="43">
        <f>IF($A1125=1,IF($R1125=1,N($M1125),0),"")</f>
        <v/>
      </c>
      <c r="T1125" s="43">
        <f>IF($A1125=1,IF($R1125=1,N($N1125),0),"")</f>
        <v/>
      </c>
      <c r="U1125" s="32">
        <f>IF($A1125=1,YEAR($D1125)*100+MONTH($D1125),"")</f>
        <v/>
      </c>
      <c r="V1125" s="32">
        <f>IF($A1125=1,IF(COUNTIF(COA!$A:$A,$G1125)=0,0,INDEX(COA!$H:$H,MATCH($G1125,COA!$A:$A,0))),"")</f>
        <v/>
      </c>
      <c r="W1125" s="32">
        <f>IF($A1125=1,"","")</f>
        <v/>
      </c>
      <c r="X1125" s="32">
        <f>IF($A1125=1,IF($R1125=1,"",IF($O1125=ST_POST,IF($P1125&lt;&gt;"",$P1125,"حساب غير صالح أو غير نشط"),IF($O1125=ST_REV,"معكوس: لا أثر على الدفاتر",IF($O1125=ST_CANC,"ملغى",IF($O1125=ST_APPR,"معتمد ولم يُرحَّل","مسودة"))))),"")</f>
        <v/>
      </c>
      <c r="Y1125" s="32">
        <f>IF($A1125=1,IF(AND($R1125=1,OR(LG_Acct="",$G1125=LG_Acct),OR(LG_Party="",$K1125=LG_Party),OR(LG_Loc="ALL",$I1125=LG_Loc),OR(LG_CC="ALL",$J1125=LG_CC),$D1125&gt;=LG_From,$D1125&lt;=LG_To),$D1125+ROW()/1000000,""),"")</f>
        <v/>
      </c>
      <c r="Z1125" s="32">
        <f>IF($A1125=1,IF(Expenses!$N50="","",Expenses!$N50),"")</f>
        <v/>
      </c>
      <c r="AA1125" s="32">
        <f>IF($A1125=1,IF(Expenses!$O50="","",Expenses!$O50),"")</f>
        <v/>
      </c>
      <c r="AB1125" s="32">
        <f>IF($A1125=1,IF(Expenses!$P50="","",Expenses!$P50),"")</f>
        <v/>
      </c>
      <c r="AC1125" s="32">
        <f>IF($A1125=1,IF(Expenses!$Q50="","",Expenses!$Q50),"")</f>
        <v/>
      </c>
      <c r="AD1125" s="32">
        <f>IF($A1125=1,IF(Expenses!$R50="","",Expenses!$R50),"")</f>
        <v/>
      </c>
      <c r="AE1125" s="32">
        <f>IF($A1125=1,0,"")</f>
        <v/>
      </c>
      <c r="AF1125" s="32" t="inlineStr"/>
    </row>
    <row r="1126">
      <c r="A1126" s="32">
        <f>IF(AND(Expenses!$AB50=1,N(Expenses!$W50)&gt;0),1,0)</f>
        <v/>
      </c>
      <c r="B1126" s="32">
        <f>IF($A1126=1,$E1126&amp;"/3","")</f>
        <v/>
      </c>
      <c r="C1126" s="32">
        <f>IF($A1126=1,"J-"&amp;Expenses!$A50,"")</f>
        <v/>
      </c>
      <c r="D1126" s="33">
        <f>IF($A1126=1,Expenses!$B50,"")</f>
        <v/>
      </c>
      <c r="E1126" s="32">
        <f>IF($A1126=1,IF(Expenses!$A50="","",Expenses!$A50),"")</f>
        <v/>
      </c>
      <c r="F1126" s="32">
        <f>IF($A1126=1,"EXP","")</f>
        <v/>
      </c>
      <c r="G1126" s="32">
        <f>IF($A1126=1,IF(Expenses!$V50="","",Expenses!$V50),"")</f>
        <v/>
      </c>
      <c r="H1126" s="32">
        <f>IF($A1126=1,IF(COUNTIF(COA!$A:$A,$G1126)=0,"حساب غير معرف",INDEX(COA!$B:$B,MATCH($G1126,COA!$A:$A,0))),"")</f>
        <v/>
      </c>
      <c r="I1126" s="32">
        <f>IF($A1126=1,IF(Expenses!$C50="","",Expenses!$C50),"")</f>
        <v/>
      </c>
      <c r="J1126" s="32">
        <f>IF($A1126=1,"CC00","")</f>
        <v/>
      </c>
      <c r="K1126" s="32">
        <f>IF($A1126=1,"-","")</f>
        <v/>
      </c>
      <c r="L1126" s="32">
        <f>IF($A1126=1,IF(Expenses!$L50="","مصروف - "&amp;Expenses!$J50,Expenses!$L50),"")</f>
        <v/>
      </c>
      <c r="M1126" s="43">
        <f>IF($A1126=1,0,"")</f>
        <v/>
      </c>
      <c r="N1126" s="43">
        <f>IF($A1126=1,Expenses!$W50,"")</f>
        <v/>
      </c>
      <c r="O1126" s="32">
        <f>IF($A1126=1,Expenses!$M50,"")</f>
        <v/>
      </c>
      <c r="P1126" s="32">
        <f>IF($A1126=1,IF(Expenses!$AC50="","",Expenses!$AC50),"")</f>
        <v/>
      </c>
      <c r="Q1126" s="32">
        <f>IF($A1126=1,Expenses!$AE50,"")</f>
        <v/>
      </c>
      <c r="R1126" s="32">
        <f>IF($A1126=1,IF(AND($Q1126=1,COUNTIFS(COA!$A:$A,$G1126,COA!$R:$R,1)=1),1,0),"")</f>
        <v/>
      </c>
      <c r="S1126" s="43">
        <f>IF($A1126=1,IF($R1126=1,N($M1126),0),"")</f>
        <v/>
      </c>
      <c r="T1126" s="43">
        <f>IF($A1126=1,IF($R1126=1,N($N1126),0),"")</f>
        <v/>
      </c>
      <c r="U1126" s="32">
        <f>IF($A1126=1,YEAR($D1126)*100+MONTH($D1126),"")</f>
        <v/>
      </c>
      <c r="V1126" s="32">
        <f>IF($A1126=1,IF(COUNTIF(COA!$A:$A,$G1126)=0,0,INDEX(COA!$H:$H,MATCH($G1126,COA!$A:$A,0))),"")</f>
        <v/>
      </c>
      <c r="W1126" s="32">
        <f>IF($A1126=1,"OPERATING","")</f>
        <v/>
      </c>
      <c r="X1126" s="32">
        <f>IF($A1126=1,IF($R1126=1,"",IF($O1126=ST_POST,IF($P1126&lt;&gt;"",$P1126,"حساب غير صالح أو غير نشط"),IF($O1126=ST_REV,"معكوس: لا أثر على الدفاتر",IF($O1126=ST_CANC,"ملغى",IF($O1126=ST_APPR,"معتمد ولم يُرحَّل","مسودة"))))),"")</f>
        <v/>
      </c>
      <c r="Y1126" s="32">
        <f>IF($A1126=1,IF(AND($R1126=1,OR(LG_Acct="",$G1126=LG_Acct),OR(LG_Party="",$K1126=LG_Party),OR(LG_Loc="ALL",$I1126=LG_Loc),OR(LG_CC="ALL",$J1126=LG_CC),$D1126&gt;=LG_From,$D1126&lt;=LG_To),$D1126+ROW()/1000000,""),"")</f>
        <v/>
      </c>
      <c r="Z1126" s="32">
        <f>IF($A1126=1,IF(Expenses!$N50="","",Expenses!$N50),"")</f>
        <v/>
      </c>
      <c r="AA1126" s="32">
        <f>IF($A1126=1,IF(Expenses!$O50="","",Expenses!$O50),"")</f>
        <v/>
      </c>
      <c r="AB1126" s="32">
        <f>IF($A1126=1,IF(Expenses!$P50="","",Expenses!$P50),"")</f>
        <v/>
      </c>
      <c r="AC1126" s="32">
        <f>IF($A1126=1,IF(Expenses!$Q50="","",Expenses!$Q50),"")</f>
        <v/>
      </c>
      <c r="AD1126" s="32">
        <f>IF($A1126=1,IF(Expenses!$R50="","",Expenses!$R50),"")</f>
        <v/>
      </c>
      <c r="AE1126" s="32">
        <f>IF($A1126=1,0,"")</f>
        <v/>
      </c>
      <c r="AF1126" s="32" t="inlineStr"/>
    </row>
    <row r="1127">
      <c r="A1127" s="32">
        <f>IF(AND(Expenses!$AB51=1,N(Expenses!$F51)&gt;0),1,0)</f>
        <v/>
      </c>
      <c r="B1127" s="32">
        <f>IF($A1127=1,$E1127&amp;"/1","")</f>
        <v/>
      </c>
      <c r="C1127" s="32">
        <f>IF($A1127=1,"J-"&amp;Expenses!$A51,"")</f>
        <v/>
      </c>
      <c r="D1127" s="33">
        <f>IF($A1127=1,Expenses!$B51,"")</f>
        <v/>
      </c>
      <c r="E1127" s="32">
        <f>IF($A1127=1,IF(Expenses!$A51="","",Expenses!$A51),"")</f>
        <v/>
      </c>
      <c r="F1127" s="32">
        <f>IF($A1127=1,"EXP","")</f>
        <v/>
      </c>
      <c r="G1127" s="32">
        <f>IF($A1127=1,IF(Expenses!$E51="","",Expenses!$E51),"")</f>
        <v/>
      </c>
      <c r="H1127" s="32">
        <f>IF($A1127=1,IF(COUNTIF(COA!$A:$A,$G1127)=0,"حساب غير معرف",INDEX(COA!$B:$B,MATCH($G1127,COA!$A:$A,0))),"")</f>
        <v/>
      </c>
      <c r="I1127" s="32">
        <f>IF($A1127=1,IF(Expenses!$C51="","",Expenses!$C51),"")</f>
        <v/>
      </c>
      <c r="J1127" s="32">
        <f>IF($A1127=1,IF(Expenses!$D51="","",Expenses!$D51),"")</f>
        <v/>
      </c>
      <c r="K1127" s="32">
        <f>IF($A1127=1,"-","")</f>
        <v/>
      </c>
      <c r="L1127" s="32">
        <f>IF($A1127=1,IF(Expenses!$L51="","مصروف - "&amp;Expenses!$J51,Expenses!$L51),"")</f>
        <v/>
      </c>
      <c r="M1127" s="43">
        <f>IF($A1127=1,Expenses!$F51,"")</f>
        <v/>
      </c>
      <c r="N1127" s="43">
        <f>IF($A1127=1,0,"")</f>
        <v/>
      </c>
      <c r="O1127" s="32">
        <f>IF($A1127=1,Expenses!$M51,"")</f>
        <v/>
      </c>
      <c r="P1127" s="32">
        <f>IF($A1127=1,IF(Expenses!$AC51="","",Expenses!$AC51),"")</f>
        <v/>
      </c>
      <c r="Q1127" s="32">
        <f>IF($A1127=1,Expenses!$AE51,"")</f>
        <v/>
      </c>
      <c r="R1127" s="32">
        <f>IF($A1127=1,IF(AND($Q1127=1,COUNTIFS(COA!$A:$A,$G1127,COA!$R:$R,1)=1),1,0),"")</f>
        <v/>
      </c>
      <c r="S1127" s="43">
        <f>IF($A1127=1,IF($R1127=1,N($M1127),0),"")</f>
        <v/>
      </c>
      <c r="T1127" s="43">
        <f>IF($A1127=1,IF($R1127=1,N($N1127),0),"")</f>
        <v/>
      </c>
      <c r="U1127" s="32">
        <f>IF($A1127=1,YEAR($D1127)*100+MONTH($D1127),"")</f>
        <v/>
      </c>
      <c r="V1127" s="32">
        <f>IF($A1127=1,IF(COUNTIF(COA!$A:$A,$G1127)=0,0,INDEX(COA!$H:$H,MATCH($G1127,COA!$A:$A,0))),"")</f>
        <v/>
      </c>
      <c r="W1127" s="32">
        <f>IF($A1127=1,"","")</f>
        <v/>
      </c>
      <c r="X1127" s="32">
        <f>IF($A1127=1,IF($R1127=1,"",IF($O1127=ST_POST,IF($P1127&lt;&gt;"",$P1127,"حساب غير صالح أو غير نشط"),IF($O1127=ST_REV,"معكوس: لا أثر على الدفاتر",IF($O1127=ST_CANC,"ملغى",IF($O1127=ST_APPR,"معتمد ولم يُرحَّل","مسودة"))))),"")</f>
        <v/>
      </c>
      <c r="Y1127" s="32">
        <f>IF($A1127=1,IF(AND($R1127=1,OR(LG_Acct="",$G1127=LG_Acct),OR(LG_Party="",$K1127=LG_Party),OR(LG_Loc="ALL",$I1127=LG_Loc),OR(LG_CC="ALL",$J1127=LG_CC),$D1127&gt;=LG_From,$D1127&lt;=LG_To),$D1127+ROW()/1000000,""),"")</f>
        <v/>
      </c>
      <c r="Z1127" s="32">
        <f>IF($A1127=1,IF(Expenses!$N51="","",Expenses!$N51),"")</f>
        <v/>
      </c>
      <c r="AA1127" s="32">
        <f>IF($A1127=1,IF(Expenses!$O51="","",Expenses!$O51),"")</f>
        <v/>
      </c>
      <c r="AB1127" s="32">
        <f>IF($A1127=1,IF(Expenses!$P51="","",Expenses!$P51),"")</f>
        <v/>
      </c>
      <c r="AC1127" s="32">
        <f>IF($A1127=1,IF(Expenses!$Q51="","",Expenses!$Q51),"")</f>
        <v/>
      </c>
      <c r="AD1127" s="32">
        <f>IF($A1127=1,IF(Expenses!$R51="","",Expenses!$R51),"")</f>
        <v/>
      </c>
      <c r="AE1127" s="32">
        <f>IF($A1127=1,0,"")</f>
        <v/>
      </c>
      <c r="AF1127" s="32" t="inlineStr"/>
    </row>
    <row r="1128">
      <c r="A1128" s="32">
        <f>IF(AND(Expenses!$AB51=1,N(Expenses!$G51)&gt;0),1,0)</f>
        <v/>
      </c>
      <c r="B1128" s="32">
        <f>IF($A1128=1,$E1128&amp;"/2","")</f>
        <v/>
      </c>
      <c r="C1128" s="32">
        <f>IF($A1128=1,"J-"&amp;Expenses!$A51,"")</f>
        <v/>
      </c>
      <c r="D1128" s="33">
        <f>IF($A1128=1,Expenses!$B51,"")</f>
        <v/>
      </c>
      <c r="E1128" s="32">
        <f>IF($A1128=1,IF(Expenses!$A51="","",Expenses!$A51),"")</f>
        <v/>
      </c>
      <c r="F1128" s="32">
        <f>IF($A1128=1,"EXP","")</f>
        <v/>
      </c>
      <c r="G1128" s="32">
        <f>IF($A1128=1,ACC_VAT_IN,"")</f>
        <v/>
      </c>
      <c r="H1128" s="32">
        <f>IF($A1128=1,IF(COUNTIF(COA!$A:$A,$G1128)=0,"حساب غير معرف",INDEX(COA!$B:$B,MATCH($G1128,COA!$A:$A,0))),"")</f>
        <v/>
      </c>
      <c r="I1128" s="32">
        <f>IF($A1128=1,IF(Expenses!$C51="","",Expenses!$C51),"")</f>
        <v/>
      </c>
      <c r="J1128" s="32">
        <f>IF($A1128=1,IF(Expenses!$D51="","",Expenses!$D51),"")</f>
        <v/>
      </c>
      <c r="K1128" s="32">
        <f>IF($A1128=1,"-","")</f>
        <v/>
      </c>
      <c r="L1128" s="32">
        <f>IF($A1128=1,"ضريبة قيمة مضافة - مدخلات","")</f>
        <v/>
      </c>
      <c r="M1128" s="43">
        <f>IF($A1128=1,Expenses!$G51,"")</f>
        <v/>
      </c>
      <c r="N1128" s="43">
        <f>IF($A1128=1,0,"")</f>
        <v/>
      </c>
      <c r="O1128" s="32">
        <f>IF($A1128=1,Expenses!$M51,"")</f>
        <v/>
      </c>
      <c r="P1128" s="32">
        <f>IF($A1128=1,IF(Expenses!$AC51="","",Expenses!$AC51),"")</f>
        <v/>
      </c>
      <c r="Q1128" s="32">
        <f>IF($A1128=1,Expenses!$AE51,"")</f>
        <v/>
      </c>
      <c r="R1128" s="32">
        <f>IF($A1128=1,IF(AND($Q1128=1,COUNTIFS(COA!$A:$A,$G1128,COA!$R:$R,1)=1),1,0),"")</f>
        <v/>
      </c>
      <c r="S1128" s="43">
        <f>IF($A1128=1,IF($R1128=1,N($M1128),0),"")</f>
        <v/>
      </c>
      <c r="T1128" s="43">
        <f>IF($A1128=1,IF($R1128=1,N($N1128),0),"")</f>
        <v/>
      </c>
      <c r="U1128" s="32">
        <f>IF($A1128=1,YEAR($D1128)*100+MONTH($D1128),"")</f>
        <v/>
      </c>
      <c r="V1128" s="32">
        <f>IF($A1128=1,IF(COUNTIF(COA!$A:$A,$G1128)=0,0,INDEX(COA!$H:$H,MATCH($G1128,COA!$A:$A,0))),"")</f>
        <v/>
      </c>
      <c r="W1128" s="32">
        <f>IF($A1128=1,"","")</f>
        <v/>
      </c>
      <c r="X1128" s="32">
        <f>IF($A1128=1,IF($R1128=1,"",IF($O1128=ST_POST,IF($P1128&lt;&gt;"",$P1128,"حساب غير صالح أو غير نشط"),IF($O1128=ST_REV,"معكوس: لا أثر على الدفاتر",IF($O1128=ST_CANC,"ملغى",IF($O1128=ST_APPR,"معتمد ولم يُرحَّل","مسودة"))))),"")</f>
        <v/>
      </c>
      <c r="Y1128" s="32">
        <f>IF($A1128=1,IF(AND($R1128=1,OR(LG_Acct="",$G1128=LG_Acct),OR(LG_Party="",$K1128=LG_Party),OR(LG_Loc="ALL",$I1128=LG_Loc),OR(LG_CC="ALL",$J1128=LG_CC),$D1128&gt;=LG_From,$D1128&lt;=LG_To),$D1128+ROW()/1000000,""),"")</f>
        <v/>
      </c>
      <c r="Z1128" s="32">
        <f>IF($A1128=1,IF(Expenses!$N51="","",Expenses!$N51),"")</f>
        <v/>
      </c>
      <c r="AA1128" s="32">
        <f>IF($A1128=1,IF(Expenses!$O51="","",Expenses!$O51),"")</f>
        <v/>
      </c>
      <c r="AB1128" s="32">
        <f>IF($A1128=1,IF(Expenses!$P51="","",Expenses!$P51),"")</f>
        <v/>
      </c>
      <c r="AC1128" s="32">
        <f>IF($A1128=1,IF(Expenses!$Q51="","",Expenses!$Q51),"")</f>
        <v/>
      </c>
      <c r="AD1128" s="32">
        <f>IF($A1128=1,IF(Expenses!$R51="","",Expenses!$R51),"")</f>
        <v/>
      </c>
      <c r="AE1128" s="32">
        <f>IF($A1128=1,0,"")</f>
        <v/>
      </c>
      <c r="AF1128" s="32" t="inlineStr"/>
    </row>
    <row r="1129">
      <c r="A1129" s="32">
        <f>IF(AND(Expenses!$AB51=1,N(Expenses!$W51)&gt;0),1,0)</f>
        <v/>
      </c>
      <c r="B1129" s="32">
        <f>IF($A1129=1,$E1129&amp;"/3","")</f>
        <v/>
      </c>
      <c r="C1129" s="32">
        <f>IF($A1129=1,"J-"&amp;Expenses!$A51,"")</f>
        <v/>
      </c>
      <c r="D1129" s="33">
        <f>IF($A1129=1,Expenses!$B51,"")</f>
        <v/>
      </c>
      <c r="E1129" s="32">
        <f>IF($A1129=1,IF(Expenses!$A51="","",Expenses!$A51),"")</f>
        <v/>
      </c>
      <c r="F1129" s="32">
        <f>IF($A1129=1,"EXP","")</f>
        <v/>
      </c>
      <c r="G1129" s="32">
        <f>IF($A1129=1,IF(Expenses!$V51="","",Expenses!$V51),"")</f>
        <v/>
      </c>
      <c r="H1129" s="32">
        <f>IF($A1129=1,IF(COUNTIF(COA!$A:$A,$G1129)=0,"حساب غير معرف",INDEX(COA!$B:$B,MATCH($G1129,COA!$A:$A,0))),"")</f>
        <v/>
      </c>
      <c r="I1129" s="32">
        <f>IF($A1129=1,IF(Expenses!$C51="","",Expenses!$C51),"")</f>
        <v/>
      </c>
      <c r="J1129" s="32">
        <f>IF($A1129=1,"CC00","")</f>
        <v/>
      </c>
      <c r="K1129" s="32">
        <f>IF($A1129=1,"-","")</f>
        <v/>
      </c>
      <c r="L1129" s="32">
        <f>IF($A1129=1,IF(Expenses!$L51="","مصروف - "&amp;Expenses!$J51,Expenses!$L51),"")</f>
        <v/>
      </c>
      <c r="M1129" s="43">
        <f>IF($A1129=1,0,"")</f>
        <v/>
      </c>
      <c r="N1129" s="43">
        <f>IF($A1129=1,Expenses!$W51,"")</f>
        <v/>
      </c>
      <c r="O1129" s="32">
        <f>IF($A1129=1,Expenses!$M51,"")</f>
        <v/>
      </c>
      <c r="P1129" s="32">
        <f>IF($A1129=1,IF(Expenses!$AC51="","",Expenses!$AC51),"")</f>
        <v/>
      </c>
      <c r="Q1129" s="32">
        <f>IF($A1129=1,Expenses!$AE51,"")</f>
        <v/>
      </c>
      <c r="R1129" s="32">
        <f>IF($A1129=1,IF(AND($Q1129=1,COUNTIFS(COA!$A:$A,$G1129,COA!$R:$R,1)=1),1,0),"")</f>
        <v/>
      </c>
      <c r="S1129" s="43">
        <f>IF($A1129=1,IF($R1129=1,N($M1129),0),"")</f>
        <v/>
      </c>
      <c r="T1129" s="43">
        <f>IF($A1129=1,IF($R1129=1,N($N1129),0),"")</f>
        <v/>
      </c>
      <c r="U1129" s="32">
        <f>IF($A1129=1,YEAR($D1129)*100+MONTH($D1129),"")</f>
        <v/>
      </c>
      <c r="V1129" s="32">
        <f>IF($A1129=1,IF(COUNTIF(COA!$A:$A,$G1129)=0,0,INDEX(COA!$H:$H,MATCH($G1129,COA!$A:$A,0))),"")</f>
        <v/>
      </c>
      <c r="W1129" s="32">
        <f>IF($A1129=1,"OPERATING","")</f>
        <v/>
      </c>
      <c r="X1129" s="32">
        <f>IF($A1129=1,IF($R1129=1,"",IF($O1129=ST_POST,IF($P1129&lt;&gt;"",$P1129,"حساب غير صالح أو غير نشط"),IF($O1129=ST_REV,"معكوس: لا أثر على الدفاتر",IF($O1129=ST_CANC,"ملغى",IF($O1129=ST_APPR,"معتمد ولم يُرحَّل","مسودة"))))),"")</f>
        <v/>
      </c>
      <c r="Y1129" s="32">
        <f>IF($A1129=1,IF(AND($R1129=1,OR(LG_Acct="",$G1129=LG_Acct),OR(LG_Party="",$K1129=LG_Party),OR(LG_Loc="ALL",$I1129=LG_Loc),OR(LG_CC="ALL",$J1129=LG_CC),$D1129&gt;=LG_From,$D1129&lt;=LG_To),$D1129+ROW()/1000000,""),"")</f>
        <v/>
      </c>
      <c r="Z1129" s="32">
        <f>IF($A1129=1,IF(Expenses!$N51="","",Expenses!$N51),"")</f>
        <v/>
      </c>
      <c r="AA1129" s="32">
        <f>IF($A1129=1,IF(Expenses!$O51="","",Expenses!$O51),"")</f>
        <v/>
      </c>
      <c r="AB1129" s="32">
        <f>IF($A1129=1,IF(Expenses!$P51="","",Expenses!$P51),"")</f>
        <v/>
      </c>
      <c r="AC1129" s="32">
        <f>IF($A1129=1,IF(Expenses!$Q51="","",Expenses!$Q51),"")</f>
        <v/>
      </c>
      <c r="AD1129" s="32">
        <f>IF($A1129=1,IF(Expenses!$R51="","",Expenses!$R51),"")</f>
        <v/>
      </c>
      <c r="AE1129" s="32">
        <f>IF($A1129=1,0,"")</f>
        <v/>
      </c>
      <c r="AF1129" s="32" t="inlineStr"/>
    </row>
    <row r="1130">
      <c r="A1130" s="32">
        <f>IF(AND(Expenses!$AB52=1,N(Expenses!$F52)&gt;0),1,0)</f>
        <v/>
      </c>
      <c r="B1130" s="32">
        <f>IF($A1130=1,$E1130&amp;"/1","")</f>
        <v/>
      </c>
      <c r="C1130" s="32">
        <f>IF($A1130=1,"J-"&amp;Expenses!$A52,"")</f>
        <v/>
      </c>
      <c r="D1130" s="33">
        <f>IF($A1130=1,Expenses!$B52,"")</f>
        <v/>
      </c>
      <c r="E1130" s="32">
        <f>IF($A1130=1,IF(Expenses!$A52="","",Expenses!$A52),"")</f>
        <v/>
      </c>
      <c r="F1130" s="32">
        <f>IF($A1130=1,"EXP","")</f>
        <v/>
      </c>
      <c r="G1130" s="32">
        <f>IF($A1130=1,IF(Expenses!$E52="","",Expenses!$E52),"")</f>
        <v/>
      </c>
      <c r="H1130" s="32">
        <f>IF($A1130=1,IF(COUNTIF(COA!$A:$A,$G1130)=0,"حساب غير معرف",INDEX(COA!$B:$B,MATCH($G1130,COA!$A:$A,0))),"")</f>
        <v/>
      </c>
      <c r="I1130" s="32">
        <f>IF($A1130=1,IF(Expenses!$C52="","",Expenses!$C52),"")</f>
        <v/>
      </c>
      <c r="J1130" s="32">
        <f>IF($A1130=1,IF(Expenses!$D52="","",Expenses!$D52),"")</f>
        <v/>
      </c>
      <c r="K1130" s="32">
        <f>IF($A1130=1,"-","")</f>
        <v/>
      </c>
      <c r="L1130" s="32">
        <f>IF($A1130=1,IF(Expenses!$L52="","مصروف - "&amp;Expenses!$J52,Expenses!$L52),"")</f>
        <v/>
      </c>
      <c r="M1130" s="43">
        <f>IF($A1130=1,Expenses!$F52,"")</f>
        <v/>
      </c>
      <c r="N1130" s="43">
        <f>IF($A1130=1,0,"")</f>
        <v/>
      </c>
      <c r="O1130" s="32">
        <f>IF($A1130=1,Expenses!$M52,"")</f>
        <v/>
      </c>
      <c r="P1130" s="32">
        <f>IF($A1130=1,IF(Expenses!$AC52="","",Expenses!$AC52),"")</f>
        <v/>
      </c>
      <c r="Q1130" s="32">
        <f>IF($A1130=1,Expenses!$AE52,"")</f>
        <v/>
      </c>
      <c r="R1130" s="32">
        <f>IF($A1130=1,IF(AND($Q1130=1,COUNTIFS(COA!$A:$A,$G1130,COA!$R:$R,1)=1),1,0),"")</f>
        <v/>
      </c>
      <c r="S1130" s="43">
        <f>IF($A1130=1,IF($R1130=1,N($M1130),0),"")</f>
        <v/>
      </c>
      <c r="T1130" s="43">
        <f>IF($A1130=1,IF($R1130=1,N($N1130),0),"")</f>
        <v/>
      </c>
      <c r="U1130" s="32">
        <f>IF($A1130=1,YEAR($D1130)*100+MONTH($D1130),"")</f>
        <v/>
      </c>
      <c r="V1130" s="32">
        <f>IF($A1130=1,IF(COUNTIF(COA!$A:$A,$G1130)=0,0,INDEX(COA!$H:$H,MATCH($G1130,COA!$A:$A,0))),"")</f>
        <v/>
      </c>
      <c r="W1130" s="32">
        <f>IF($A1130=1,"","")</f>
        <v/>
      </c>
      <c r="X1130" s="32">
        <f>IF($A1130=1,IF($R1130=1,"",IF($O1130=ST_POST,IF($P1130&lt;&gt;"",$P1130,"حساب غير صالح أو غير نشط"),IF($O1130=ST_REV,"معكوس: لا أثر على الدفاتر",IF($O1130=ST_CANC,"ملغى",IF($O1130=ST_APPR,"معتمد ولم يُرحَّل","مسودة"))))),"")</f>
        <v/>
      </c>
      <c r="Y1130" s="32">
        <f>IF($A1130=1,IF(AND($R1130=1,OR(LG_Acct="",$G1130=LG_Acct),OR(LG_Party="",$K1130=LG_Party),OR(LG_Loc="ALL",$I1130=LG_Loc),OR(LG_CC="ALL",$J1130=LG_CC),$D1130&gt;=LG_From,$D1130&lt;=LG_To),$D1130+ROW()/1000000,""),"")</f>
        <v/>
      </c>
      <c r="Z1130" s="32">
        <f>IF($A1130=1,IF(Expenses!$N52="","",Expenses!$N52),"")</f>
        <v/>
      </c>
      <c r="AA1130" s="32">
        <f>IF($A1130=1,IF(Expenses!$O52="","",Expenses!$O52),"")</f>
        <v/>
      </c>
      <c r="AB1130" s="32">
        <f>IF($A1130=1,IF(Expenses!$P52="","",Expenses!$P52),"")</f>
        <v/>
      </c>
      <c r="AC1130" s="32">
        <f>IF($A1130=1,IF(Expenses!$Q52="","",Expenses!$Q52),"")</f>
        <v/>
      </c>
      <c r="AD1130" s="32">
        <f>IF($A1130=1,IF(Expenses!$R52="","",Expenses!$R52),"")</f>
        <v/>
      </c>
      <c r="AE1130" s="32">
        <f>IF($A1130=1,0,"")</f>
        <v/>
      </c>
      <c r="AF1130" s="32" t="inlineStr"/>
    </row>
    <row r="1131">
      <c r="A1131" s="32">
        <f>IF(AND(Expenses!$AB52=1,N(Expenses!$G52)&gt;0),1,0)</f>
        <v/>
      </c>
      <c r="B1131" s="32">
        <f>IF($A1131=1,$E1131&amp;"/2","")</f>
        <v/>
      </c>
      <c r="C1131" s="32">
        <f>IF($A1131=1,"J-"&amp;Expenses!$A52,"")</f>
        <v/>
      </c>
      <c r="D1131" s="33">
        <f>IF($A1131=1,Expenses!$B52,"")</f>
        <v/>
      </c>
      <c r="E1131" s="32">
        <f>IF($A1131=1,IF(Expenses!$A52="","",Expenses!$A52),"")</f>
        <v/>
      </c>
      <c r="F1131" s="32">
        <f>IF($A1131=1,"EXP","")</f>
        <v/>
      </c>
      <c r="G1131" s="32">
        <f>IF($A1131=1,ACC_VAT_IN,"")</f>
        <v/>
      </c>
      <c r="H1131" s="32">
        <f>IF($A1131=1,IF(COUNTIF(COA!$A:$A,$G1131)=0,"حساب غير معرف",INDEX(COA!$B:$B,MATCH($G1131,COA!$A:$A,0))),"")</f>
        <v/>
      </c>
      <c r="I1131" s="32">
        <f>IF($A1131=1,IF(Expenses!$C52="","",Expenses!$C52),"")</f>
        <v/>
      </c>
      <c r="J1131" s="32">
        <f>IF($A1131=1,IF(Expenses!$D52="","",Expenses!$D52),"")</f>
        <v/>
      </c>
      <c r="K1131" s="32">
        <f>IF($A1131=1,"-","")</f>
        <v/>
      </c>
      <c r="L1131" s="32">
        <f>IF($A1131=1,"ضريبة قيمة مضافة - مدخلات","")</f>
        <v/>
      </c>
      <c r="M1131" s="43">
        <f>IF($A1131=1,Expenses!$G52,"")</f>
        <v/>
      </c>
      <c r="N1131" s="43">
        <f>IF($A1131=1,0,"")</f>
        <v/>
      </c>
      <c r="O1131" s="32">
        <f>IF($A1131=1,Expenses!$M52,"")</f>
        <v/>
      </c>
      <c r="P1131" s="32">
        <f>IF($A1131=1,IF(Expenses!$AC52="","",Expenses!$AC52),"")</f>
        <v/>
      </c>
      <c r="Q1131" s="32">
        <f>IF($A1131=1,Expenses!$AE52,"")</f>
        <v/>
      </c>
      <c r="R1131" s="32">
        <f>IF($A1131=1,IF(AND($Q1131=1,COUNTIFS(COA!$A:$A,$G1131,COA!$R:$R,1)=1),1,0),"")</f>
        <v/>
      </c>
      <c r="S1131" s="43">
        <f>IF($A1131=1,IF($R1131=1,N($M1131),0),"")</f>
        <v/>
      </c>
      <c r="T1131" s="43">
        <f>IF($A1131=1,IF($R1131=1,N($N1131),0),"")</f>
        <v/>
      </c>
      <c r="U1131" s="32">
        <f>IF($A1131=1,YEAR($D1131)*100+MONTH($D1131),"")</f>
        <v/>
      </c>
      <c r="V1131" s="32">
        <f>IF($A1131=1,IF(COUNTIF(COA!$A:$A,$G1131)=0,0,INDEX(COA!$H:$H,MATCH($G1131,COA!$A:$A,0))),"")</f>
        <v/>
      </c>
      <c r="W1131" s="32">
        <f>IF($A1131=1,"","")</f>
        <v/>
      </c>
      <c r="X1131" s="32">
        <f>IF($A1131=1,IF($R1131=1,"",IF($O1131=ST_POST,IF($P1131&lt;&gt;"",$P1131,"حساب غير صالح أو غير نشط"),IF($O1131=ST_REV,"معكوس: لا أثر على الدفاتر",IF($O1131=ST_CANC,"ملغى",IF($O1131=ST_APPR,"معتمد ولم يُرحَّل","مسودة"))))),"")</f>
        <v/>
      </c>
      <c r="Y1131" s="32">
        <f>IF($A1131=1,IF(AND($R1131=1,OR(LG_Acct="",$G1131=LG_Acct),OR(LG_Party="",$K1131=LG_Party),OR(LG_Loc="ALL",$I1131=LG_Loc),OR(LG_CC="ALL",$J1131=LG_CC),$D1131&gt;=LG_From,$D1131&lt;=LG_To),$D1131+ROW()/1000000,""),"")</f>
        <v/>
      </c>
      <c r="Z1131" s="32">
        <f>IF($A1131=1,IF(Expenses!$N52="","",Expenses!$N52),"")</f>
        <v/>
      </c>
      <c r="AA1131" s="32">
        <f>IF($A1131=1,IF(Expenses!$O52="","",Expenses!$O52),"")</f>
        <v/>
      </c>
      <c r="AB1131" s="32">
        <f>IF($A1131=1,IF(Expenses!$P52="","",Expenses!$P52),"")</f>
        <v/>
      </c>
      <c r="AC1131" s="32">
        <f>IF($A1131=1,IF(Expenses!$Q52="","",Expenses!$Q52),"")</f>
        <v/>
      </c>
      <c r="AD1131" s="32">
        <f>IF($A1131=1,IF(Expenses!$R52="","",Expenses!$R52),"")</f>
        <v/>
      </c>
      <c r="AE1131" s="32">
        <f>IF($A1131=1,0,"")</f>
        <v/>
      </c>
      <c r="AF1131" s="32" t="inlineStr"/>
    </row>
    <row r="1132">
      <c r="A1132" s="32">
        <f>IF(AND(Expenses!$AB52=1,N(Expenses!$W52)&gt;0),1,0)</f>
        <v/>
      </c>
      <c r="B1132" s="32">
        <f>IF($A1132=1,$E1132&amp;"/3","")</f>
        <v/>
      </c>
      <c r="C1132" s="32">
        <f>IF($A1132=1,"J-"&amp;Expenses!$A52,"")</f>
        <v/>
      </c>
      <c r="D1132" s="33">
        <f>IF($A1132=1,Expenses!$B52,"")</f>
        <v/>
      </c>
      <c r="E1132" s="32">
        <f>IF($A1132=1,IF(Expenses!$A52="","",Expenses!$A52),"")</f>
        <v/>
      </c>
      <c r="F1132" s="32">
        <f>IF($A1132=1,"EXP","")</f>
        <v/>
      </c>
      <c r="G1132" s="32">
        <f>IF($A1132=1,IF(Expenses!$V52="","",Expenses!$V52),"")</f>
        <v/>
      </c>
      <c r="H1132" s="32">
        <f>IF($A1132=1,IF(COUNTIF(COA!$A:$A,$G1132)=0,"حساب غير معرف",INDEX(COA!$B:$B,MATCH($G1132,COA!$A:$A,0))),"")</f>
        <v/>
      </c>
      <c r="I1132" s="32">
        <f>IF($A1132=1,IF(Expenses!$C52="","",Expenses!$C52),"")</f>
        <v/>
      </c>
      <c r="J1132" s="32">
        <f>IF($A1132=1,"CC00","")</f>
        <v/>
      </c>
      <c r="K1132" s="32">
        <f>IF($A1132=1,"-","")</f>
        <v/>
      </c>
      <c r="L1132" s="32">
        <f>IF($A1132=1,IF(Expenses!$L52="","مصروف - "&amp;Expenses!$J52,Expenses!$L52),"")</f>
        <v/>
      </c>
      <c r="M1132" s="43">
        <f>IF($A1132=1,0,"")</f>
        <v/>
      </c>
      <c r="N1132" s="43">
        <f>IF($A1132=1,Expenses!$W52,"")</f>
        <v/>
      </c>
      <c r="O1132" s="32">
        <f>IF($A1132=1,Expenses!$M52,"")</f>
        <v/>
      </c>
      <c r="P1132" s="32">
        <f>IF($A1132=1,IF(Expenses!$AC52="","",Expenses!$AC52),"")</f>
        <v/>
      </c>
      <c r="Q1132" s="32">
        <f>IF($A1132=1,Expenses!$AE52,"")</f>
        <v/>
      </c>
      <c r="R1132" s="32">
        <f>IF($A1132=1,IF(AND($Q1132=1,COUNTIFS(COA!$A:$A,$G1132,COA!$R:$R,1)=1),1,0),"")</f>
        <v/>
      </c>
      <c r="S1132" s="43">
        <f>IF($A1132=1,IF($R1132=1,N($M1132),0),"")</f>
        <v/>
      </c>
      <c r="T1132" s="43">
        <f>IF($A1132=1,IF($R1132=1,N($N1132),0),"")</f>
        <v/>
      </c>
      <c r="U1132" s="32">
        <f>IF($A1132=1,YEAR($D1132)*100+MONTH($D1132),"")</f>
        <v/>
      </c>
      <c r="V1132" s="32">
        <f>IF($A1132=1,IF(COUNTIF(COA!$A:$A,$G1132)=0,0,INDEX(COA!$H:$H,MATCH($G1132,COA!$A:$A,0))),"")</f>
        <v/>
      </c>
      <c r="W1132" s="32">
        <f>IF($A1132=1,"OPERATING","")</f>
        <v/>
      </c>
      <c r="X1132" s="32">
        <f>IF($A1132=1,IF($R1132=1,"",IF($O1132=ST_POST,IF($P1132&lt;&gt;"",$P1132,"حساب غير صالح أو غير نشط"),IF($O1132=ST_REV,"معكوس: لا أثر على الدفاتر",IF($O1132=ST_CANC,"ملغى",IF($O1132=ST_APPR,"معتمد ولم يُرحَّل","مسودة"))))),"")</f>
        <v/>
      </c>
      <c r="Y1132" s="32">
        <f>IF($A1132=1,IF(AND($R1132=1,OR(LG_Acct="",$G1132=LG_Acct),OR(LG_Party="",$K1132=LG_Party),OR(LG_Loc="ALL",$I1132=LG_Loc),OR(LG_CC="ALL",$J1132=LG_CC),$D1132&gt;=LG_From,$D1132&lt;=LG_To),$D1132+ROW()/1000000,""),"")</f>
        <v/>
      </c>
      <c r="Z1132" s="32">
        <f>IF($A1132=1,IF(Expenses!$N52="","",Expenses!$N52),"")</f>
        <v/>
      </c>
      <c r="AA1132" s="32">
        <f>IF($A1132=1,IF(Expenses!$O52="","",Expenses!$O52),"")</f>
        <v/>
      </c>
      <c r="AB1132" s="32">
        <f>IF($A1132=1,IF(Expenses!$P52="","",Expenses!$P52),"")</f>
        <v/>
      </c>
      <c r="AC1132" s="32">
        <f>IF($A1132=1,IF(Expenses!$Q52="","",Expenses!$Q52),"")</f>
        <v/>
      </c>
      <c r="AD1132" s="32">
        <f>IF($A1132=1,IF(Expenses!$R52="","",Expenses!$R52),"")</f>
        <v/>
      </c>
      <c r="AE1132" s="32">
        <f>IF($A1132=1,0,"")</f>
        <v/>
      </c>
      <c r="AF1132" s="32" t="inlineStr"/>
    </row>
    <row r="1133">
      <c r="A1133" s="32">
        <f>IF(AND(Expenses!$AB53=1,N(Expenses!$F53)&gt;0),1,0)</f>
        <v/>
      </c>
      <c r="B1133" s="32">
        <f>IF($A1133=1,$E1133&amp;"/1","")</f>
        <v/>
      </c>
      <c r="C1133" s="32">
        <f>IF($A1133=1,"J-"&amp;Expenses!$A53,"")</f>
        <v/>
      </c>
      <c r="D1133" s="33">
        <f>IF($A1133=1,Expenses!$B53,"")</f>
        <v/>
      </c>
      <c r="E1133" s="32">
        <f>IF($A1133=1,IF(Expenses!$A53="","",Expenses!$A53),"")</f>
        <v/>
      </c>
      <c r="F1133" s="32">
        <f>IF($A1133=1,"EXP","")</f>
        <v/>
      </c>
      <c r="G1133" s="32">
        <f>IF($A1133=1,IF(Expenses!$E53="","",Expenses!$E53),"")</f>
        <v/>
      </c>
      <c r="H1133" s="32">
        <f>IF($A1133=1,IF(COUNTIF(COA!$A:$A,$G1133)=0,"حساب غير معرف",INDEX(COA!$B:$B,MATCH($G1133,COA!$A:$A,0))),"")</f>
        <v/>
      </c>
      <c r="I1133" s="32">
        <f>IF($A1133=1,IF(Expenses!$C53="","",Expenses!$C53),"")</f>
        <v/>
      </c>
      <c r="J1133" s="32">
        <f>IF($A1133=1,IF(Expenses!$D53="","",Expenses!$D53),"")</f>
        <v/>
      </c>
      <c r="K1133" s="32">
        <f>IF($A1133=1,"-","")</f>
        <v/>
      </c>
      <c r="L1133" s="32">
        <f>IF($A1133=1,IF(Expenses!$L53="","مصروف - "&amp;Expenses!$J53,Expenses!$L53),"")</f>
        <v/>
      </c>
      <c r="M1133" s="43">
        <f>IF($A1133=1,Expenses!$F53,"")</f>
        <v/>
      </c>
      <c r="N1133" s="43">
        <f>IF($A1133=1,0,"")</f>
        <v/>
      </c>
      <c r="O1133" s="32">
        <f>IF($A1133=1,Expenses!$M53,"")</f>
        <v/>
      </c>
      <c r="P1133" s="32">
        <f>IF($A1133=1,IF(Expenses!$AC53="","",Expenses!$AC53),"")</f>
        <v/>
      </c>
      <c r="Q1133" s="32">
        <f>IF($A1133=1,Expenses!$AE53,"")</f>
        <v/>
      </c>
      <c r="R1133" s="32">
        <f>IF($A1133=1,IF(AND($Q1133=1,COUNTIFS(COA!$A:$A,$G1133,COA!$R:$R,1)=1),1,0),"")</f>
        <v/>
      </c>
      <c r="S1133" s="43">
        <f>IF($A1133=1,IF($R1133=1,N($M1133),0),"")</f>
        <v/>
      </c>
      <c r="T1133" s="43">
        <f>IF($A1133=1,IF($R1133=1,N($N1133),0),"")</f>
        <v/>
      </c>
      <c r="U1133" s="32">
        <f>IF($A1133=1,YEAR($D1133)*100+MONTH($D1133),"")</f>
        <v/>
      </c>
      <c r="V1133" s="32">
        <f>IF($A1133=1,IF(COUNTIF(COA!$A:$A,$G1133)=0,0,INDEX(COA!$H:$H,MATCH($G1133,COA!$A:$A,0))),"")</f>
        <v/>
      </c>
      <c r="W1133" s="32">
        <f>IF($A1133=1,"","")</f>
        <v/>
      </c>
      <c r="X1133" s="32">
        <f>IF($A1133=1,IF($R1133=1,"",IF($O1133=ST_POST,IF($P1133&lt;&gt;"",$P1133,"حساب غير صالح أو غير نشط"),IF($O1133=ST_REV,"معكوس: لا أثر على الدفاتر",IF($O1133=ST_CANC,"ملغى",IF($O1133=ST_APPR,"معتمد ولم يُرحَّل","مسودة"))))),"")</f>
        <v/>
      </c>
      <c r="Y1133" s="32">
        <f>IF($A1133=1,IF(AND($R1133=1,OR(LG_Acct="",$G1133=LG_Acct),OR(LG_Party="",$K1133=LG_Party),OR(LG_Loc="ALL",$I1133=LG_Loc),OR(LG_CC="ALL",$J1133=LG_CC),$D1133&gt;=LG_From,$D1133&lt;=LG_To),$D1133+ROW()/1000000,""),"")</f>
        <v/>
      </c>
      <c r="Z1133" s="32">
        <f>IF($A1133=1,IF(Expenses!$N53="","",Expenses!$N53),"")</f>
        <v/>
      </c>
      <c r="AA1133" s="32">
        <f>IF($A1133=1,IF(Expenses!$O53="","",Expenses!$O53),"")</f>
        <v/>
      </c>
      <c r="AB1133" s="32">
        <f>IF($A1133=1,IF(Expenses!$P53="","",Expenses!$P53),"")</f>
        <v/>
      </c>
      <c r="AC1133" s="32">
        <f>IF($A1133=1,IF(Expenses!$Q53="","",Expenses!$Q53),"")</f>
        <v/>
      </c>
      <c r="AD1133" s="32">
        <f>IF($A1133=1,IF(Expenses!$R53="","",Expenses!$R53),"")</f>
        <v/>
      </c>
      <c r="AE1133" s="32">
        <f>IF($A1133=1,0,"")</f>
        <v/>
      </c>
      <c r="AF1133" s="32" t="inlineStr"/>
    </row>
    <row r="1134">
      <c r="A1134" s="32">
        <f>IF(AND(Expenses!$AB53=1,N(Expenses!$G53)&gt;0),1,0)</f>
        <v/>
      </c>
      <c r="B1134" s="32">
        <f>IF($A1134=1,$E1134&amp;"/2","")</f>
        <v/>
      </c>
      <c r="C1134" s="32">
        <f>IF($A1134=1,"J-"&amp;Expenses!$A53,"")</f>
        <v/>
      </c>
      <c r="D1134" s="33">
        <f>IF($A1134=1,Expenses!$B53,"")</f>
        <v/>
      </c>
      <c r="E1134" s="32">
        <f>IF($A1134=1,IF(Expenses!$A53="","",Expenses!$A53),"")</f>
        <v/>
      </c>
      <c r="F1134" s="32">
        <f>IF($A1134=1,"EXP","")</f>
        <v/>
      </c>
      <c r="G1134" s="32">
        <f>IF($A1134=1,ACC_VAT_IN,"")</f>
        <v/>
      </c>
      <c r="H1134" s="32">
        <f>IF($A1134=1,IF(COUNTIF(COA!$A:$A,$G1134)=0,"حساب غير معرف",INDEX(COA!$B:$B,MATCH($G1134,COA!$A:$A,0))),"")</f>
        <v/>
      </c>
      <c r="I1134" s="32">
        <f>IF($A1134=1,IF(Expenses!$C53="","",Expenses!$C53),"")</f>
        <v/>
      </c>
      <c r="J1134" s="32">
        <f>IF($A1134=1,IF(Expenses!$D53="","",Expenses!$D53),"")</f>
        <v/>
      </c>
      <c r="K1134" s="32">
        <f>IF($A1134=1,"-","")</f>
        <v/>
      </c>
      <c r="L1134" s="32">
        <f>IF($A1134=1,"ضريبة قيمة مضافة - مدخلات","")</f>
        <v/>
      </c>
      <c r="M1134" s="43">
        <f>IF($A1134=1,Expenses!$G53,"")</f>
        <v/>
      </c>
      <c r="N1134" s="43">
        <f>IF($A1134=1,0,"")</f>
        <v/>
      </c>
      <c r="O1134" s="32">
        <f>IF($A1134=1,Expenses!$M53,"")</f>
        <v/>
      </c>
      <c r="P1134" s="32">
        <f>IF($A1134=1,IF(Expenses!$AC53="","",Expenses!$AC53),"")</f>
        <v/>
      </c>
      <c r="Q1134" s="32">
        <f>IF($A1134=1,Expenses!$AE53,"")</f>
        <v/>
      </c>
      <c r="R1134" s="32">
        <f>IF($A1134=1,IF(AND($Q1134=1,COUNTIFS(COA!$A:$A,$G1134,COA!$R:$R,1)=1),1,0),"")</f>
        <v/>
      </c>
      <c r="S1134" s="43">
        <f>IF($A1134=1,IF($R1134=1,N($M1134),0),"")</f>
        <v/>
      </c>
      <c r="T1134" s="43">
        <f>IF($A1134=1,IF($R1134=1,N($N1134),0),"")</f>
        <v/>
      </c>
      <c r="U1134" s="32">
        <f>IF($A1134=1,YEAR($D1134)*100+MONTH($D1134),"")</f>
        <v/>
      </c>
      <c r="V1134" s="32">
        <f>IF($A1134=1,IF(COUNTIF(COA!$A:$A,$G1134)=0,0,INDEX(COA!$H:$H,MATCH($G1134,COA!$A:$A,0))),"")</f>
        <v/>
      </c>
      <c r="W1134" s="32">
        <f>IF($A1134=1,"","")</f>
        <v/>
      </c>
      <c r="X1134" s="32">
        <f>IF($A1134=1,IF($R1134=1,"",IF($O1134=ST_POST,IF($P1134&lt;&gt;"",$P1134,"حساب غير صالح أو غير نشط"),IF($O1134=ST_REV,"معكوس: لا أثر على الدفاتر",IF($O1134=ST_CANC,"ملغى",IF($O1134=ST_APPR,"معتمد ولم يُرحَّل","مسودة"))))),"")</f>
        <v/>
      </c>
      <c r="Y1134" s="32">
        <f>IF($A1134=1,IF(AND($R1134=1,OR(LG_Acct="",$G1134=LG_Acct),OR(LG_Party="",$K1134=LG_Party),OR(LG_Loc="ALL",$I1134=LG_Loc),OR(LG_CC="ALL",$J1134=LG_CC),$D1134&gt;=LG_From,$D1134&lt;=LG_To),$D1134+ROW()/1000000,""),"")</f>
        <v/>
      </c>
      <c r="Z1134" s="32">
        <f>IF($A1134=1,IF(Expenses!$N53="","",Expenses!$N53),"")</f>
        <v/>
      </c>
      <c r="AA1134" s="32">
        <f>IF($A1134=1,IF(Expenses!$O53="","",Expenses!$O53),"")</f>
        <v/>
      </c>
      <c r="AB1134" s="32">
        <f>IF($A1134=1,IF(Expenses!$P53="","",Expenses!$P53),"")</f>
        <v/>
      </c>
      <c r="AC1134" s="32">
        <f>IF($A1134=1,IF(Expenses!$Q53="","",Expenses!$Q53),"")</f>
        <v/>
      </c>
      <c r="AD1134" s="32">
        <f>IF($A1134=1,IF(Expenses!$R53="","",Expenses!$R53),"")</f>
        <v/>
      </c>
      <c r="AE1134" s="32">
        <f>IF($A1134=1,0,"")</f>
        <v/>
      </c>
      <c r="AF1134" s="32" t="inlineStr"/>
    </row>
    <row r="1135">
      <c r="A1135" s="32">
        <f>IF(AND(Expenses!$AB53=1,N(Expenses!$W53)&gt;0),1,0)</f>
        <v/>
      </c>
      <c r="B1135" s="32">
        <f>IF($A1135=1,$E1135&amp;"/3","")</f>
        <v/>
      </c>
      <c r="C1135" s="32">
        <f>IF($A1135=1,"J-"&amp;Expenses!$A53,"")</f>
        <v/>
      </c>
      <c r="D1135" s="33">
        <f>IF($A1135=1,Expenses!$B53,"")</f>
        <v/>
      </c>
      <c r="E1135" s="32">
        <f>IF($A1135=1,IF(Expenses!$A53="","",Expenses!$A53),"")</f>
        <v/>
      </c>
      <c r="F1135" s="32">
        <f>IF($A1135=1,"EXP","")</f>
        <v/>
      </c>
      <c r="G1135" s="32">
        <f>IF($A1135=1,IF(Expenses!$V53="","",Expenses!$V53),"")</f>
        <v/>
      </c>
      <c r="H1135" s="32">
        <f>IF($A1135=1,IF(COUNTIF(COA!$A:$A,$G1135)=0,"حساب غير معرف",INDEX(COA!$B:$B,MATCH($G1135,COA!$A:$A,0))),"")</f>
        <v/>
      </c>
      <c r="I1135" s="32">
        <f>IF($A1135=1,IF(Expenses!$C53="","",Expenses!$C53),"")</f>
        <v/>
      </c>
      <c r="J1135" s="32">
        <f>IF($A1135=1,"CC00","")</f>
        <v/>
      </c>
      <c r="K1135" s="32">
        <f>IF($A1135=1,"-","")</f>
        <v/>
      </c>
      <c r="L1135" s="32">
        <f>IF($A1135=1,IF(Expenses!$L53="","مصروف - "&amp;Expenses!$J53,Expenses!$L53),"")</f>
        <v/>
      </c>
      <c r="M1135" s="43">
        <f>IF($A1135=1,0,"")</f>
        <v/>
      </c>
      <c r="N1135" s="43">
        <f>IF($A1135=1,Expenses!$W53,"")</f>
        <v/>
      </c>
      <c r="O1135" s="32">
        <f>IF($A1135=1,Expenses!$M53,"")</f>
        <v/>
      </c>
      <c r="P1135" s="32">
        <f>IF($A1135=1,IF(Expenses!$AC53="","",Expenses!$AC53),"")</f>
        <v/>
      </c>
      <c r="Q1135" s="32">
        <f>IF($A1135=1,Expenses!$AE53,"")</f>
        <v/>
      </c>
      <c r="R1135" s="32">
        <f>IF($A1135=1,IF(AND($Q1135=1,COUNTIFS(COA!$A:$A,$G1135,COA!$R:$R,1)=1),1,0),"")</f>
        <v/>
      </c>
      <c r="S1135" s="43">
        <f>IF($A1135=1,IF($R1135=1,N($M1135),0),"")</f>
        <v/>
      </c>
      <c r="T1135" s="43">
        <f>IF($A1135=1,IF($R1135=1,N($N1135),0),"")</f>
        <v/>
      </c>
      <c r="U1135" s="32">
        <f>IF($A1135=1,YEAR($D1135)*100+MONTH($D1135),"")</f>
        <v/>
      </c>
      <c r="V1135" s="32">
        <f>IF($A1135=1,IF(COUNTIF(COA!$A:$A,$G1135)=0,0,INDEX(COA!$H:$H,MATCH($G1135,COA!$A:$A,0))),"")</f>
        <v/>
      </c>
      <c r="W1135" s="32">
        <f>IF($A1135=1,"OPERATING","")</f>
        <v/>
      </c>
      <c r="X1135" s="32">
        <f>IF($A1135=1,IF($R1135=1,"",IF($O1135=ST_POST,IF($P1135&lt;&gt;"",$P1135,"حساب غير صالح أو غير نشط"),IF($O1135=ST_REV,"معكوس: لا أثر على الدفاتر",IF($O1135=ST_CANC,"ملغى",IF($O1135=ST_APPR,"معتمد ولم يُرحَّل","مسودة"))))),"")</f>
        <v/>
      </c>
      <c r="Y1135" s="32">
        <f>IF($A1135=1,IF(AND($R1135=1,OR(LG_Acct="",$G1135=LG_Acct),OR(LG_Party="",$K1135=LG_Party),OR(LG_Loc="ALL",$I1135=LG_Loc),OR(LG_CC="ALL",$J1135=LG_CC),$D1135&gt;=LG_From,$D1135&lt;=LG_To),$D1135+ROW()/1000000,""),"")</f>
        <v/>
      </c>
      <c r="Z1135" s="32">
        <f>IF($A1135=1,IF(Expenses!$N53="","",Expenses!$N53),"")</f>
        <v/>
      </c>
      <c r="AA1135" s="32">
        <f>IF($A1135=1,IF(Expenses!$O53="","",Expenses!$O53),"")</f>
        <v/>
      </c>
      <c r="AB1135" s="32">
        <f>IF($A1135=1,IF(Expenses!$P53="","",Expenses!$P53),"")</f>
        <v/>
      </c>
      <c r="AC1135" s="32">
        <f>IF($A1135=1,IF(Expenses!$Q53="","",Expenses!$Q53),"")</f>
        <v/>
      </c>
      <c r="AD1135" s="32">
        <f>IF($A1135=1,IF(Expenses!$R53="","",Expenses!$R53),"")</f>
        <v/>
      </c>
      <c r="AE1135" s="32">
        <f>IF($A1135=1,0,"")</f>
        <v/>
      </c>
      <c r="AF1135" s="32" t="inlineStr"/>
    </row>
    <row r="1136">
      <c r="A1136" s="32">
        <f>IF(AND(Expenses!$AB54=1,N(Expenses!$F54)&gt;0),1,0)</f>
        <v/>
      </c>
      <c r="B1136" s="32">
        <f>IF($A1136=1,$E1136&amp;"/1","")</f>
        <v/>
      </c>
      <c r="C1136" s="32">
        <f>IF($A1136=1,"J-"&amp;Expenses!$A54,"")</f>
        <v/>
      </c>
      <c r="D1136" s="33">
        <f>IF($A1136=1,Expenses!$B54,"")</f>
        <v/>
      </c>
      <c r="E1136" s="32">
        <f>IF($A1136=1,IF(Expenses!$A54="","",Expenses!$A54),"")</f>
        <v/>
      </c>
      <c r="F1136" s="32">
        <f>IF($A1136=1,"EXP","")</f>
        <v/>
      </c>
      <c r="G1136" s="32">
        <f>IF($A1136=1,IF(Expenses!$E54="","",Expenses!$E54),"")</f>
        <v/>
      </c>
      <c r="H1136" s="32">
        <f>IF($A1136=1,IF(COUNTIF(COA!$A:$A,$G1136)=0,"حساب غير معرف",INDEX(COA!$B:$B,MATCH($G1136,COA!$A:$A,0))),"")</f>
        <v/>
      </c>
      <c r="I1136" s="32">
        <f>IF($A1136=1,IF(Expenses!$C54="","",Expenses!$C54),"")</f>
        <v/>
      </c>
      <c r="J1136" s="32">
        <f>IF($A1136=1,IF(Expenses!$D54="","",Expenses!$D54),"")</f>
        <v/>
      </c>
      <c r="K1136" s="32">
        <f>IF($A1136=1,"-","")</f>
        <v/>
      </c>
      <c r="L1136" s="32">
        <f>IF($A1136=1,IF(Expenses!$L54="","مصروف - "&amp;Expenses!$J54,Expenses!$L54),"")</f>
        <v/>
      </c>
      <c r="M1136" s="43">
        <f>IF($A1136=1,Expenses!$F54,"")</f>
        <v/>
      </c>
      <c r="N1136" s="43">
        <f>IF($A1136=1,0,"")</f>
        <v/>
      </c>
      <c r="O1136" s="32">
        <f>IF($A1136=1,Expenses!$M54,"")</f>
        <v/>
      </c>
      <c r="P1136" s="32">
        <f>IF($A1136=1,IF(Expenses!$AC54="","",Expenses!$AC54),"")</f>
        <v/>
      </c>
      <c r="Q1136" s="32">
        <f>IF($A1136=1,Expenses!$AE54,"")</f>
        <v/>
      </c>
      <c r="R1136" s="32">
        <f>IF($A1136=1,IF(AND($Q1136=1,COUNTIFS(COA!$A:$A,$G1136,COA!$R:$R,1)=1),1,0),"")</f>
        <v/>
      </c>
      <c r="S1136" s="43">
        <f>IF($A1136=1,IF($R1136=1,N($M1136),0),"")</f>
        <v/>
      </c>
      <c r="T1136" s="43">
        <f>IF($A1136=1,IF($R1136=1,N($N1136),0),"")</f>
        <v/>
      </c>
      <c r="U1136" s="32">
        <f>IF($A1136=1,YEAR($D1136)*100+MONTH($D1136),"")</f>
        <v/>
      </c>
      <c r="V1136" s="32">
        <f>IF($A1136=1,IF(COUNTIF(COA!$A:$A,$G1136)=0,0,INDEX(COA!$H:$H,MATCH($G1136,COA!$A:$A,0))),"")</f>
        <v/>
      </c>
      <c r="W1136" s="32">
        <f>IF($A1136=1,"","")</f>
        <v/>
      </c>
      <c r="X1136" s="32">
        <f>IF($A1136=1,IF($R1136=1,"",IF($O1136=ST_POST,IF($P1136&lt;&gt;"",$P1136,"حساب غير صالح أو غير نشط"),IF($O1136=ST_REV,"معكوس: لا أثر على الدفاتر",IF($O1136=ST_CANC,"ملغى",IF($O1136=ST_APPR,"معتمد ولم يُرحَّل","مسودة"))))),"")</f>
        <v/>
      </c>
      <c r="Y1136" s="32">
        <f>IF($A1136=1,IF(AND($R1136=1,OR(LG_Acct="",$G1136=LG_Acct),OR(LG_Party="",$K1136=LG_Party),OR(LG_Loc="ALL",$I1136=LG_Loc),OR(LG_CC="ALL",$J1136=LG_CC),$D1136&gt;=LG_From,$D1136&lt;=LG_To),$D1136+ROW()/1000000,""),"")</f>
        <v/>
      </c>
      <c r="Z1136" s="32">
        <f>IF($A1136=1,IF(Expenses!$N54="","",Expenses!$N54),"")</f>
        <v/>
      </c>
      <c r="AA1136" s="32">
        <f>IF($A1136=1,IF(Expenses!$O54="","",Expenses!$O54),"")</f>
        <v/>
      </c>
      <c r="AB1136" s="32">
        <f>IF($A1136=1,IF(Expenses!$P54="","",Expenses!$P54),"")</f>
        <v/>
      </c>
      <c r="AC1136" s="32">
        <f>IF($A1136=1,IF(Expenses!$Q54="","",Expenses!$Q54),"")</f>
        <v/>
      </c>
      <c r="AD1136" s="32">
        <f>IF($A1136=1,IF(Expenses!$R54="","",Expenses!$R54),"")</f>
        <v/>
      </c>
      <c r="AE1136" s="32">
        <f>IF($A1136=1,0,"")</f>
        <v/>
      </c>
      <c r="AF1136" s="32" t="inlineStr"/>
    </row>
    <row r="1137">
      <c r="A1137" s="32">
        <f>IF(AND(Expenses!$AB54=1,N(Expenses!$G54)&gt;0),1,0)</f>
        <v/>
      </c>
      <c r="B1137" s="32">
        <f>IF($A1137=1,$E1137&amp;"/2","")</f>
        <v/>
      </c>
      <c r="C1137" s="32">
        <f>IF($A1137=1,"J-"&amp;Expenses!$A54,"")</f>
        <v/>
      </c>
      <c r="D1137" s="33">
        <f>IF($A1137=1,Expenses!$B54,"")</f>
        <v/>
      </c>
      <c r="E1137" s="32">
        <f>IF($A1137=1,IF(Expenses!$A54="","",Expenses!$A54),"")</f>
        <v/>
      </c>
      <c r="F1137" s="32">
        <f>IF($A1137=1,"EXP","")</f>
        <v/>
      </c>
      <c r="G1137" s="32">
        <f>IF($A1137=1,ACC_VAT_IN,"")</f>
        <v/>
      </c>
      <c r="H1137" s="32">
        <f>IF($A1137=1,IF(COUNTIF(COA!$A:$A,$G1137)=0,"حساب غير معرف",INDEX(COA!$B:$B,MATCH($G1137,COA!$A:$A,0))),"")</f>
        <v/>
      </c>
      <c r="I1137" s="32">
        <f>IF($A1137=1,IF(Expenses!$C54="","",Expenses!$C54),"")</f>
        <v/>
      </c>
      <c r="J1137" s="32">
        <f>IF($A1137=1,IF(Expenses!$D54="","",Expenses!$D54),"")</f>
        <v/>
      </c>
      <c r="K1137" s="32">
        <f>IF($A1137=1,"-","")</f>
        <v/>
      </c>
      <c r="L1137" s="32">
        <f>IF($A1137=1,"ضريبة قيمة مضافة - مدخلات","")</f>
        <v/>
      </c>
      <c r="M1137" s="43">
        <f>IF($A1137=1,Expenses!$G54,"")</f>
        <v/>
      </c>
      <c r="N1137" s="43">
        <f>IF($A1137=1,0,"")</f>
        <v/>
      </c>
      <c r="O1137" s="32">
        <f>IF($A1137=1,Expenses!$M54,"")</f>
        <v/>
      </c>
      <c r="P1137" s="32">
        <f>IF($A1137=1,IF(Expenses!$AC54="","",Expenses!$AC54),"")</f>
        <v/>
      </c>
      <c r="Q1137" s="32">
        <f>IF($A1137=1,Expenses!$AE54,"")</f>
        <v/>
      </c>
      <c r="R1137" s="32">
        <f>IF($A1137=1,IF(AND($Q1137=1,COUNTIFS(COA!$A:$A,$G1137,COA!$R:$R,1)=1),1,0),"")</f>
        <v/>
      </c>
      <c r="S1137" s="43">
        <f>IF($A1137=1,IF($R1137=1,N($M1137),0),"")</f>
        <v/>
      </c>
      <c r="T1137" s="43">
        <f>IF($A1137=1,IF($R1137=1,N($N1137),0),"")</f>
        <v/>
      </c>
      <c r="U1137" s="32">
        <f>IF($A1137=1,YEAR($D1137)*100+MONTH($D1137),"")</f>
        <v/>
      </c>
      <c r="V1137" s="32">
        <f>IF($A1137=1,IF(COUNTIF(COA!$A:$A,$G1137)=0,0,INDEX(COA!$H:$H,MATCH($G1137,COA!$A:$A,0))),"")</f>
        <v/>
      </c>
      <c r="W1137" s="32">
        <f>IF($A1137=1,"","")</f>
        <v/>
      </c>
      <c r="X1137" s="32">
        <f>IF($A1137=1,IF($R1137=1,"",IF($O1137=ST_POST,IF($P1137&lt;&gt;"",$P1137,"حساب غير صالح أو غير نشط"),IF($O1137=ST_REV,"معكوس: لا أثر على الدفاتر",IF($O1137=ST_CANC,"ملغى",IF($O1137=ST_APPR,"معتمد ولم يُرحَّل","مسودة"))))),"")</f>
        <v/>
      </c>
      <c r="Y1137" s="32">
        <f>IF($A1137=1,IF(AND($R1137=1,OR(LG_Acct="",$G1137=LG_Acct),OR(LG_Party="",$K1137=LG_Party),OR(LG_Loc="ALL",$I1137=LG_Loc),OR(LG_CC="ALL",$J1137=LG_CC),$D1137&gt;=LG_From,$D1137&lt;=LG_To),$D1137+ROW()/1000000,""),"")</f>
        <v/>
      </c>
      <c r="Z1137" s="32">
        <f>IF($A1137=1,IF(Expenses!$N54="","",Expenses!$N54),"")</f>
        <v/>
      </c>
      <c r="AA1137" s="32">
        <f>IF($A1137=1,IF(Expenses!$O54="","",Expenses!$O54),"")</f>
        <v/>
      </c>
      <c r="AB1137" s="32">
        <f>IF($A1137=1,IF(Expenses!$P54="","",Expenses!$P54),"")</f>
        <v/>
      </c>
      <c r="AC1137" s="32">
        <f>IF($A1137=1,IF(Expenses!$Q54="","",Expenses!$Q54),"")</f>
        <v/>
      </c>
      <c r="AD1137" s="32">
        <f>IF($A1137=1,IF(Expenses!$R54="","",Expenses!$R54),"")</f>
        <v/>
      </c>
      <c r="AE1137" s="32">
        <f>IF($A1137=1,0,"")</f>
        <v/>
      </c>
      <c r="AF1137" s="32" t="inlineStr"/>
    </row>
    <row r="1138">
      <c r="A1138" s="32">
        <f>IF(AND(Expenses!$AB54=1,N(Expenses!$W54)&gt;0),1,0)</f>
        <v/>
      </c>
      <c r="B1138" s="32">
        <f>IF($A1138=1,$E1138&amp;"/3","")</f>
        <v/>
      </c>
      <c r="C1138" s="32">
        <f>IF($A1138=1,"J-"&amp;Expenses!$A54,"")</f>
        <v/>
      </c>
      <c r="D1138" s="33">
        <f>IF($A1138=1,Expenses!$B54,"")</f>
        <v/>
      </c>
      <c r="E1138" s="32">
        <f>IF($A1138=1,IF(Expenses!$A54="","",Expenses!$A54),"")</f>
        <v/>
      </c>
      <c r="F1138" s="32">
        <f>IF($A1138=1,"EXP","")</f>
        <v/>
      </c>
      <c r="G1138" s="32">
        <f>IF($A1138=1,IF(Expenses!$V54="","",Expenses!$V54),"")</f>
        <v/>
      </c>
      <c r="H1138" s="32">
        <f>IF($A1138=1,IF(COUNTIF(COA!$A:$A,$G1138)=0,"حساب غير معرف",INDEX(COA!$B:$B,MATCH($G1138,COA!$A:$A,0))),"")</f>
        <v/>
      </c>
      <c r="I1138" s="32">
        <f>IF($A1138=1,IF(Expenses!$C54="","",Expenses!$C54),"")</f>
        <v/>
      </c>
      <c r="J1138" s="32">
        <f>IF($A1138=1,"CC00","")</f>
        <v/>
      </c>
      <c r="K1138" s="32">
        <f>IF($A1138=1,"-","")</f>
        <v/>
      </c>
      <c r="L1138" s="32">
        <f>IF($A1138=1,IF(Expenses!$L54="","مصروف - "&amp;Expenses!$J54,Expenses!$L54),"")</f>
        <v/>
      </c>
      <c r="M1138" s="43">
        <f>IF($A1138=1,0,"")</f>
        <v/>
      </c>
      <c r="N1138" s="43">
        <f>IF($A1138=1,Expenses!$W54,"")</f>
        <v/>
      </c>
      <c r="O1138" s="32">
        <f>IF($A1138=1,Expenses!$M54,"")</f>
        <v/>
      </c>
      <c r="P1138" s="32">
        <f>IF($A1138=1,IF(Expenses!$AC54="","",Expenses!$AC54),"")</f>
        <v/>
      </c>
      <c r="Q1138" s="32">
        <f>IF($A1138=1,Expenses!$AE54,"")</f>
        <v/>
      </c>
      <c r="R1138" s="32">
        <f>IF($A1138=1,IF(AND($Q1138=1,COUNTIFS(COA!$A:$A,$G1138,COA!$R:$R,1)=1),1,0),"")</f>
        <v/>
      </c>
      <c r="S1138" s="43">
        <f>IF($A1138=1,IF($R1138=1,N($M1138),0),"")</f>
        <v/>
      </c>
      <c r="T1138" s="43">
        <f>IF($A1138=1,IF($R1138=1,N($N1138),0),"")</f>
        <v/>
      </c>
      <c r="U1138" s="32">
        <f>IF($A1138=1,YEAR($D1138)*100+MONTH($D1138),"")</f>
        <v/>
      </c>
      <c r="V1138" s="32">
        <f>IF($A1138=1,IF(COUNTIF(COA!$A:$A,$G1138)=0,0,INDEX(COA!$H:$H,MATCH($G1138,COA!$A:$A,0))),"")</f>
        <v/>
      </c>
      <c r="W1138" s="32">
        <f>IF($A1138=1,"OPERATING","")</f>
        <v/>
      </c>
      <c r="X1138" s="32">
        <f>IF($A1138=1,IF($R1138=1,"",IF($O1138=ST_POST,IF($P1138&lt;&gt;"",$P1138,"حساب غير صالح أو غير نشط"),IF($O1138=ST_REV,"معكوس: لا أثر على الدفاتر",IF($O1138=ST_CANC,"ملغى",IF($O1138=ST_APPR,"معتمد ولم يُرحَّل","مسودة"))))),"")</f>
        <v/>
      </c>
      <c r="Y1138" s="32">
        <f>IF($A1138=1,IF(AND($R1138=1,OR(LG_Acct="",$G1138=LG_Acct),OR(LG_Party="",$K1138=LG_Party),OR(LG_Loc="ALL",$I1138=LG_Loc),OR(LG_CC="ALL",$J1138=LG_CC),$D1138&gt;=LG_From,$D1138&lt;=LG_To),$D1138+ROW()/1000000,""),"")</f>
        <v/>
      </c>
      <c r="Z1138" s="32">
        <f>IF($A1138=1,IF(Expenses!$N54="","",Expenses!$N54),"")</f>
        <v/>
      </c>
      <c r="AA1138" s="32">
        <f>IF($A1138=1,IF(Expenses!$O54="","",Expenses!$O54),"")</f>
        <v/>
      </c>
      <c r="AB1138" s="32">
        <f>IF($A1138=1,IF(Expenses!$P54="","",Expenses!$P54),"")</f>
        <v/>
      </c>
      <c r="AC1138" s="32">
        <f>IF($A1138=1,IF(Expenses!$Q54="","",Expenses!$Q54),"")</f>
        <v/>
      </c>
      <c r="AD1138" s="32">
        <f>IF($A1138=1,IF(Expenses!$R54="","",Expenses!$R54),"")</f>
        <v/>
      </c>
      <c r="AE1138" s="32">
        <f>IF($A1138=1,0,"")</f>
        <v/>
      </c>
      <c r="AF1138" s="32" t="inlineStr"/>
    </row>
    <row r="1139">
      <c r="A1139" s="32">
        <f>IF(AND(Expenses!$AB55=1,N(Expenses!$F55)&gt;0),1,0)</f>
        <v/>
      </c>
      <c r="B1139" s="32">
        <f>IF($A1139=1,$E1139&amp;"/1","")</f>
        <v/>
      </c>
      <c r="C1139" s="32">
        <f>IF($A1139=1,"J-"&amp;Expenses!$A55,"")</f>
        <v/>
      </c>
      <c r="D1139" s="33">
        <f>IF($A1139=1,Expenses!$B55,"")</f>
        <v/>
      </c>
      <c r="E1139" s="32">
        <f>IF($A1139=1,IF(Expenses!$A55="","",Expenses!$A55),"")</f>
        <v/>
      </c>
      <c r="F1139" s="32">
        <f>IF($A1139=1,"EXP","")</f>
        <v/>
      </c>
      <c r="G1139" s="32">
        <f>IF($A1139=1,IF(Expenses!$E55="","",Expenses!$E55),"")</f>
        <v/>
      </c>
      <c r="H1139" s="32">
        <f>IF($A1139=1,IF(COUNTIF(COA!$A:$A,$G1139)=0,"حساب غير معرف",INDEX(COA!$B:$B,MATCH($G1139,COA!$A:$A,0))),"")</f>
        <v/>
      </c>
      <c r="I1139" s="32">
        <f>IF($A1139=1,IF(Expenses!$C55="","",Expenses!$C55),"")</f>
        <v/>
      </c>
      <c r="J1139" s="32">
        <f>IF($A1139=1,IF(Expenses!$D55="","",Expenses!$D55),"")</f>
        <v/>
      </c>
      <c r="K1139" s="32">
        <f>IF($A1139=1,"-","")</f>
        <v/>
      </c>
      <c r="L1139" s="32">
        <f>IF($A1139=1,IF(Expenses!$L55="","مصروف - "&amp;Expenses!$J55,Expenses!$L55),"")</f>
        <v/>
      </c>
      <c r="M1139" s="43">
        <f>IF($A1139=1,Expenses!$F55,"")</f>
        <v/>
      </c>
      <c r="N1139" s="43">
        <f>IF($A1139=1,0,"")</f>
        <v/>
      </c>
      <c r="O1139" s="32">
        <f>IF($A1139=1,Expenses!$M55,"")</f>
        <v/>
      </c>
      <c r="P1139" s="32">
        <f>IF($A1139=1,IF(Expenses!$AC55="","",Expenses!$AC55),"")</f>
        <v/>
      </c>
      <c r="Q1139" s="32">
        <f>IF($A1139=1,Expenses!$AE55,"")</f>
        <v/>
      </c>
      <c r="R1139" s="32">
        <f>IF($A1139=1,IF(AND($Q1139=1,COUNTIFS(COA!$A:$A,$G1139,COA!$R:$R,1)=1),1,0),"")</f>
        <v/>
      </c>
      <c r="S1139" s="43">
        <f>IF($A1139=1,IF($R1139=1,N($M1139),0),"")</f>
        <v/>
      </c>
      <c r="T1139" s="43">
        <f>IF($A1139=1,IF($R1139=1,N($N1139),0),"")</f>
        <v/>
      </c>
      <c r="U1139" s="32">
        <f>IF($A1139=1,YEAR($D1139)*100+MONTH($D1139),"")</f>
        <v/>
      </c>
      <c r="V1139" s="32">
        <f>IF($A1139=1,IF(COUNTIF(COA!$A:$A,$G1139)=0,0,INDEX(COA!$H:$H,MATCH($G1139,COA!$A:$A,0))),"")</f>
        <v/>
      </c>
      <c r="W1139" s="32">
        <f>IF($A1139=1,"","")</f>
        <v/>
      </c>
      <c r="X1139" s="32">
        <f>IF($A1139=1,IF($R1139=1,"",IF($O1139=ST_POST,IF($P1139&lt;&gt;"",$P1139,"حساب غير صالح أو غير نشط"),IF($O1139=ST_REV,"معكوس: لا أثر على الدفاتر",IF($O1139=ST_CANC,"ملغى",IF($O1139=ST_APPR,"معتمد ولم يُرحَّل","مسودة"))))),"")</f>
        <v/>
      </c>
      <c r="Y1139" s="32">
        <f>IF($A1139=1,IF(AND($R1139=1,OR(LG_Acct="",$G1139=LG_Acct),OR(LG_Party="",$K1139=LG_Party),OR(LG_Loc="ALL",$I1139=LG_Loc),OR(LG_CC="ALL",$J1139=LG_CC),$D1139&gt;=LG_From,$D1139&lt;=LG_To),$D1139+ROW()/1000000,""),"")</f>
        <v/>
      </c>
      <c r="Z1139" s="32">
        <f>IF($A1139=1,IF(Expenses!$N55="","",Expenses!$N55),"")</f>
        <v/>
      </c>
      <c r="AA1139" s="32">
        <f>IF($A1139=1,IF(Expenses!$O55="","",Expenses!$O55),"")</f>
        <v/>
      </c>
      <c r="AB1139" s="32">
        <f>IF($A1139=1,IF(Expenses!$P55="","",Expenses!$P55),"")</f>
        <v/>
      </c>
      <c r="AC1139" s="32">
        <f>IF($A1139=1,IF(Expenses!$Q55="","",Expenses!$Q55),"")</f>
        <v/>
      </c>
      <c r="AD1139" s="32">
        <f>IF($A1139=1,IF(Expenses!$R55="","",Expenses!$R55),"")</f>
        <v/>
      </c>
      <c r="AE1139" s="32">
        <f>IF($A1139=1,0,"")</f>
        <v/>
      </c>
      <c r="AF1139" s="32" t="inlineStr"/>
    </row>
    <row r="1140">
      <c r="A1140" s="32">
        <f>IF(AND(Expenses!$AB55=1,N(Expenses!$G55)&gt;0),1,0)</f>
        <v/>
      </c>
      <c r="B1140" s="32">
        <f>IF($A1140=1,$E1140&amp;"/2","")</f>
        <v/>
      </c>
      <c r="C1140" s="32">
        <f>IF($A1140=1,"J-"&amp;Expenses!$A55,"")</f>
        <v/>
      </c>
      <c r="D1140" s="33">
        <f>IF($A1140=1,Expenses!$B55,"")</f>
        <v/>
      </c>
      <c r="E1140" s="32">
        <f>IF($A1140=1,IF(Expenses!$A55="","",Expenses!$A55),"")</f>
        <v/>
      </c>
      <c r="F1140" s="32">
        <f>IF($A1140=1,"EXP","")</f>
        <v/>
      </c>
      <c r="G1140" s="32">
        <f>IF($A1140=1,ACC_VAT_IN,"")</f>
        <v/>
      </c>
      <c r="H1140" s="32">
        <f>IF($A1140=1,IF(COUNTIF(COA!$A:$A,$G1140)=0,"حساب غير معرف",INDEX(COA!$B:$B,MATCH($G1140,COA!$A:$A,0))),"")</f>
        <v/>
      </c>
      <c r="I1140" s="32">
        <f>IF($A1140=1,IF(Expenses!$C55="","",Expenses!$C55),"")</f>
        <v/>
      </c>
      <c r="J1140" s="32">
        <f>IF($A1140=1,IF(Expenses!$D55="","",Expenses!$D55),"")</f>
        <v/>
      </c>
      <c r="K1140" s="32">
        <f>IF($A1140=1,"-","")</f>
        <v/>
      </c>
      <c r="L1140" s="32">
        <f>IF($A1140=1,"ضريبة قيمة مضافة - مدخلات","")</f>
        <v/>
      </c>
      <c r="M1140" s="43">
        <f>IF($A1140=1,Expenses!$G55,"")</f>
        <v/>
      </c>
      <c r="N1140" s="43">
        <f>IF($A1140=1,0,"")</f>
        <v/>
      </c>
      <c r="O1140" s="32">
        <f>IF($A1140=1,Expenses!$M55,"")</f>
        <v/>
      </c>
      <c r="P1140" s="32">
        <f>IF($A1140=1,IF(Expenses!$AC55="","",Expenses!$AC55),"")</f>
        <v/>
      </c>
      <c r="Q1140" s="32">
        <f>IF($A1140=1,Expenses!$AE55,"")</f>
        <v/>
      </c>
      <c r="R1140" s="32">
        <f>IF($A1140=1,IF(AND($Q1140=1,COUNTIFS(COA!$A:$A,$G1140,COA!$R:$R,1)=1),1,0),"")</f>
        <v/>
      </c>
      <c r="S1140" s="43">
        <f>IF($A1140=1,IF($R1140=1,N($M1140),0),"")</f>
        <v/>
      </c>
      <c r="T1140" s="43">
        <f>IF($A1140=1,IF($R1140=1,N($N1140),0),"")</f>
        <v/>
      </c>
      <c r="U1140" s="32">
        <f>IF($A1140=1,YEAR($D1140)*100+MONTH($D1140),"")</f>
        <v/>
      </c>
      <c r="V1140" s="32">
        <f>IF($A1140=1,IF(COUNTIF(COA!$A:$A,$G1140)=0,0,INDEX(COA!$H:$H,MATCH($G1140,COA!$A:$A,0))),"")</f>
        <v/>
      </c>
      <c r="W1140" s="32">
        <f>IF($A1140=1,"","")</f>
        <v/>
      </c>
      <c r="X1140" s="32">
        <f>IF($A1140=1,IF($R1140=1,"",IF($O1140=ST_POST,IF($P1140&lt;&gt;"",$P1140,"حساب غير صالح أو غير نشط"),IF($O1140=ST_REV,"معكوس: لا أثر على الدفاتر",IF($O1140=ST_CANC,"ملغى",IF($O1140=ST_APPR,"معتمد ولم يُرحَّل","مسودة"))))),"")</f>
        <v/>
      </c>
      <c r="Y1140" s="32">
        <f>IF($A1140=1,IF(AND($R1140=1,OR(LG_Acct="",$G1140=LG_Acct),OR(LG_Party="",$K1140=LG_Party),OR(LG_Loc="ALL",$I1140=LG_Loc),OR(LG_CC="ALL",$J1140=LG_CC),$D1140&gt;=LG_From,$D1140&lt;=LG_To),$D1140+ROW()/1000000,""),"")</f>
        <v/>
      </c>
      <c r="Z1140" s="32">
        <f>IF($A1140=1,IF(Expenses!$N55="","",Expenses!$N55),"")</f>
        <v/>
      </c>
      <c r="AA1140" s="32">
        <f>IF($A1140=1,IF(Expenses!$O55="","",Expenses!$O55),"")</f>
        <v/>
      </c>
      <c r="AB1140" s="32">
        <f>IF($A1140=1,IF(Expenses!$P55="","",Expenses!$P55),"")</f>
        <v/>
      </c>
      <c r="AC1140" s="32">
        <f>IF($A1140=1,IF(Expenses!$Q55="","",Expenses!$Q55),"")</f>
        <v/>
      </c>
      <c r="AD1140" s="32">
        <f>IF($A1140=1,IF(Expenses!$R55="","",Expenses!$R55),"")</f>
        <v/>
      </c>
      <c r="AE1140" s="32">
        <f>IF($A1140=1,0,"")</f>
        <v/>
      </c>
      <c r="AF1140" s="32" t="inlineStr"/>
    </row>
    <row r="1141">
      <c r="A1141" s="32">
        <f>IF(AND(Expenses!$AB55=1,N(Expenses!$W55)&gt;0),1,0)</f>
        <v/>
      </c>
      <c r="B1141" s="32">
        <f>IF($A1141=1,$E1141&amp;"/3","")</f>
        <v/>
      </c>
      <c r="C1141" s="32">
        <f>IF($A1141=1,"J-"&amp;Expenses!$A55,"")</f>
        <v/>
      </c>
      <c r="D1141" s="33">
        <f>IF($A1141=1,Expenses!$B55,"")</f>
        <v/>
      </c>
      <c r="E1141" s="32">
        <f>IF($A1141=1,IF(Expenses!$A55="","",Expenses!$A55),"")</f>
        <v/>
      </c>
      <c r="F1141" s="32">
        <f>IF($A1141=1,"EXP","")</f>
        <v/>
      </c>
      <c r="G1141" s="32">
        <f>IF($A1141=1,IF(Expenses!$V55="","",Expenses!$V55),"")</f>
        <v/>
      </c>
      <c r="H1141" s="32">
        <f>IF($A1141=1,IF(COUNTIF(COA!$A:$A,$G1141)=0,"حساب غير معرف",INDEX(COA!$B:$B,MATCH($G1141,COA!$A:$A,0))),"")</f>
        <v/>
      </c>
      <c r="I1141" s="32">
        <f>IF($A1141=1,IF(Expenses!$C55="","",Expenses!$C55),"")</f>
        <v/>
      </c>
      <c r="J1141" s="32">
        <f>IF($A1141=1,"CC00","")</f>
        <v/>
      </c>
      <c r="K1141" s="32">
        <f>IF($A1141=1,"-","")</f>
        <v/>
      </c>
      <c r="L1141" s="32">
        <f>IF($A1141=1,IF(Expenses!$L55="","مصروف - "&amp;Expenses!$J55,Expenses!$L55),"")</f>
        <v/>
      </c>
      <c r="M1141" s="43">
        <f>IF($A1141=1,0,"")</f>
        <v/>
      </c>
      <c r="N1141" s="43">
        <f>IF($A1141=1,Expenses!$W55,"")</f>
        <v/>
      </c>
      <c r="O1141" s="32">
        <f>IF($A1141=1,Expenses!$M55,"")</f>
        <v/>
      </c>
      <c r="P1141" s="32">
        <f>IF($A1141=1,IF(Expenses!$AC55="","",Expenses!$AC55),"")</f>
        <v/>
      </c>
      <c r="Q1141" s="32">
        <f>IF($A1141=1,Expenses!$AE55,"")</f>
        <v/>
      </c>
      <c r="R1141" s="32">
        <f>IF($A1141=1,IF(AND($Q1141=1,COUNTIFS(COA!$A:$A,$G1141,COA!$R:$R,1)=1),1,0),"")</f>
        <v/>
      </c>
      <c r="S1141" s="43">
        <f>IF($A1141=1,IF($R1141=1,N($M1141),0),"")</f>
        <v/>
      </c>
      <c r="T1141" s="43">
        <f>IF($A1141=1,IF($R1141=1,N($N1141),0),"")</f>
        <v/>
      </c>
      <c r="U1141" s="32">
        <f>IF($A1141=1,YEAR($D1141)*100+MONTH($D1141),"")</f>
        <v/>
      </c>
      <c r="V1141" s="32">
        <f>IF($A1141=1,IF(COUNTIF(COA!$A:$A,$G1141)=0,0,INDEX(COA!$H:$H,MATCH($G1141,COA!$A:$A,0))),"")</f>
        <v/>
      </c>
      <c r="W1141" s="32">
        <f>IF($A1141=1,"OPERATING","")</f>
        <v/>
      </c>
      <c r="X1141" s="32">
        <f>IF($A1141=1,IF($R1141=1,"",IF($O1141=ST_POST,IF($P1141&lt;&gt;"",$P1141,"حساب غير صالح أو غير نشط"),IF($O1141=ST_REV,"معكوس: لا أثر على الدفاتر",IF($O1141=ST_CANC,"ملغى",IF($O1141=ST_APPR,"معتمد ولم يُرحَّل","مسودة"))))),"")</f>
        <v/>
      </c>
      <c r="Y1141" s="32">
        <f>IF($A1141=1,IF(AND($R1141=1,OR(LG_Acct="",$G1141=LG_Acct),OR(LG_Party="",$K1141=LG_Party),OR(LG_Loc="ALL",$I1141=LG_Loc),OR(LG_CC="ALL",$J1141=LG_CC),$D1141&gt;=LG_From,$D1141&lt;=LG_To),$D1141+ROW()/1000000,""),"")</f>
        <v/>
      </c>
      <c r="Z1141" s="32">
        <f>IF($A1141=1,IF(Expenses!$N55="","",Expenses!$N55),"")</f>
        <v/>
      </c>
      <c r="AA1141" s="32">
        <f>IF($A1141=1,IF(Expenses!$O55="","",Expenses!$O55),"")</f>
        <v/>
      </c>
      <c r="AB1141" s="32">
        <f>IF($A1141=1,IF(Expenses!$P55="","",Expenses!$P55),"")</f>
        <v/>
      </c>
      <c r="AC1141" s="32">
        <f>IF($A1141=1,IF(Expenses!$Q55="","",Expenses!$Q55),"")</f>
        <v/>
      </c>
      <c r="AD1141" s="32">
        <f>IF($A1141=1,IF(Expenses!$R55="","",Expenses!$R55),"")</f>
        <v/>
      </c>
      <c r="AE1141" s="32">
        <f>IF($A1141=1,0,"")</f>
        <v/>
      </c>
      <c r="AF1141" s="32" t="inlineStr"/>
    </row>
    <row r="1142">
      <c r="A1142" s="32">
        <f>IF(AND(Expenses!$AB56=1,N(Expenses!$F56)&gt;0),1,0)</f>
        <v/>
      </c>
      <c r="B1142" s="32">
        <f>IF($A1142=1,$E1142&amp;"/1","")</f>
        <v/>
      </c>
      <c r="C1142" s="32">
        <f>IF($A1142=1,"J-"&amp;Expenses!$A56,"")</f>
        <v/>
      </c>
      <c r="D1142" s="33">
        <f>IF($A1142=1,Expenses!$B56,"")</f>
        <v/>
      </c>
      <c r="E1142" s="32">
        <f>IF($A1142=1,IF(Expenses!$A56="","",Expenses!$A56),"")</f>
        <v/>
      </c>
      <c r="F1142" s="32">
        <f>IF($A1142=1,"EXP","")</f>
        <v/>
      </c>
      <c r="G1142" s="32">
        <f>IF($A1142=1,IF(Expenses!$E56="","",Expenses!$E56),"")</f>
        <v/>
      </c>
      <c r="H1142" s="32">
        <f>IF($A1142=1,IF(COUNTIF(COA!$A:$A,$G1142)=0,"حساب غير معرف",INDEX(COA!$B:$B,MATCH($G1142,COA!$A:$A,0))),"")</f>
        <v/>
      </c>
      <c r="I1142" s="32">
        <f>IF($A1142=1,IF(Expenses!$C56="","",Expenses!$C56),"")</f>
        <v/>
      </c>
      <c r="J1142" s="32">
        <f>IF($A1142=1,IF(Expenses!$D56="","",Expenses!$D56),"")</f>
        <v/>
      </c>
      <c r="K1142" s="32">
        <f>IF($A1142=1,"-","")</f>
        <v/>
      </c>
      <c r="L1142" s="32">
        <f>IF($A1142=1,IF(Expenses!$L56="","مصروف - "&amp;Expenses!$J56,Expenses!$L56),"")</f>
        <v/>
      </c>
      <c r="M1142" s="43">
        <f>IF($A1142=1,Expenses!$F56,"")</f>
        <v/>
      </c>
      <c r="N1142" s="43">
        <f>IF($A1142=1,0,"")</f>
        <v/>
      </c>
      <c r="O1142" s="32">
        <f>IF($A1142=1,Expenses!$M56,"")</f>
        <v/>
      </c>
      <c r="P1142" s="32">
        <f>IF($A1142=1,IF(Expenses!$AC56="","",Expenses!$AC56),"")</f>
        <v/>
      </c>
      <c r="Q1142" s="32">
        <f>IF($A1142=1,Expenses!$AE56,"")</f>
        <v/>
      </c>
      <c r="R1142" s="32">
        <f>IF($A1142=1,IF(AND($Q1142=1,COUNTIFS(COA!$A:$A,$G1142,COA!$R:$R,1)=1),1,0),"")</f>
        <v/>
      </c>
      <c r="S1142" s="43">
        <f>IF($A1142=1,IF($R1142=1,N($M1142),0),"")</f>
        <v/>
      </c>
      <c r="T1142" s="43">
        <f>IF($A1142=1,IF($R1142=1,N($N1142),0),"")</f>
        <v/>
      </c>
      <c r="U1142" s="32">
        <f>IF($A1142=1,YEAR($D1142)*100+MONTH($D1142),"")</f>
        <v/>
      </c>
      <c r="V1142" s="32">
        <f>IF($A1142=1,IF(COUNTIF(COA!$A:$A,$G1142)=0,0,INDEX(COA!$H:$H,MATCH($G1142,COA!$A:$A,0))),"")</f>
        <v/>
      </c>
      <c r="W1142" s="32">
        <f>IF($A1142=1,"","")</f>
        <v/>
      </c>
      <c r="X1142" s="32">
        <f>IF($A1142=1,IF($R1142=1,"",IF($O1142=ST_POST,IF($P1142&lt;&gt;"",$P1142,"حساب غير صالح أو غير نشط"),IF($O1142=ST_REV,"معكوس: لا أثر على الدفاتر",IF($O1142=ST_CANC,"ملغى",IF($O1142=ST_APPR,"معتمد ولم يُرحَّل","مسودة"))))),"")</f>
        <v/>
      </c>
      <c r="Y1142" s="32">
        <f>IF($A1142=1,IF(AND($R1142=1,OR(LG_Acct="",$G1142=LG_Acct),OR(LG_Party="",$K1142=LG_Party),OR(LG_Loc="ALL",$I1142=LG_Loc),OR(LG_CC="ALL",$J1142=LG_CC),$D1142&gt;=LG_From,$D1142&lt;=LG_To),$D1142+ROW()/1000000,""),"")</f>
        <v/>
      </c>
      <c r="Z1142" s="32">
        <f>IF($A1142=1,IF(Expenses!$N56="","",Expenses!$N56),"")</f>
        <v/>
      </c>
      <c r="AA1142" s="32">
        <f>IF($A1142=1,IF(Expenses!$O56="","",Expenses!$O56),"")</f>
        <v/>
      </c>
      <c r="AB1142" s="32">
        <f>IF($A1142=1,IF(Expenses!$P56="","",Expenses!$P56),"")</f>
        <v/>
      </c>
      <c r="AC1142" s="32">
        <f>IF($A1142=1,IF(Expenses!$Q56="","",Expenses!$Q56),"")</f>
        <v/>
      </c>
      <c r="AD1142" s="32">
        <f>IF($A1142=1,IF(Expenses!$R56="","",Expenses!$R56),"")</f>
        <v/>
      </c>
      <c r="AE1142" s="32">
        <f>IF($A1142=1,0,"")</f>
        <v/>
      </c>
      <c r="AF1142" s="32" t="inlineStr"/>
    </row>
    <row r="1143">
      <c r="A1143" s="32">
        <f>IF(AND(Expenses!$AB56=1,N(Expenses!$G56)&gt;0),1,0)</f>
        <v/>
      </c>
      <c r="B1143" s="32">
        <f>IF($A1143=1,$E1143&amp;"/2","")</f>
        <v/>
      </c>
      <c r="C1143" s="32">
        <f>IF($A1143=1,"J-"&amp;Expenses!$A56,"")</f>
        <v/>
      </c>
      <c r="D1143" s="33">
        <f>IF($A1143=1,Expenses!$B56,"")</f>
        <v/>
      </c>
      <c r="E1143" s="32">
        <f>IF($A1143=1,IF(Expenses!$A56="","",Expenses!$A56),"")</f>
        <v/>
      </c>
      <c r="F1143" s="32">
        <f>IF($A1143=1,"EXP","")</f>
        <v/>
      </c>
      <c r="G1143" s="32">
        <f>IF($A1143=1,ACC_VAT_IN,"")</f>
        <v/>
      </c>
      <c r="H1143" s="32">
        <f>IF($A1143=1,IF(COUNTIF(COA!$A:$A,$G1143)=0,"حساب غير معرف",INDEX(COA!$B:$B,MATCH($G1143,COA!$A:$A,0))),"")</f>
        <v/>
      </c>
      <c r="I1143" s="32">
        <f>IF($A1143=1,IF(Expenses!$C56="","",Expenses!$C56),"")</f>
        <v/>
      </c>
      <c r="J1143" s="32">
        <f>IF($A1143=1,IF(Expenses!$D56="","",Expenses!$D56),"")</f>
        <v/>
      </c>
      <c r="K1143" s="32">
        <f>IF($A1143=1,"-","")</f>
        <v/>
      </c>
      <c r="L1143" s="32">
        <f>IF($A1143=1,"ضريبة قيمة مضافة - مدخلات","")</f>
        <v/>
      </c>
      <c r="M1143" s="43">
        <f>IF($A1143=1,Expenses!$G56,"")</f>
        <v/>
      </c>
      <c r="N1143" s="43">
        <f>IF($A1143=1,0,"")</f>
        <v/>
      </c>
      <c r="O1143" s="32">
        <f>IF($A1143=1,Expenses!$M56,"")</f>
        <v/>
      </c>
      <c r="P1143" s="32">
        <f>IF($A1143=1,IF(Expenses!$AC56="","",Expenses!$AC56),"")</f>
        <v/>
      </c>
      <c r="Q1143" s="32">
        <f>IF($A1143=1,Expenses!$AE56,"")</f>
        <v/>
      </c>
      <c r="R1143" s="32">
        <f>IF($A1143=1,IF(AND($Q1143=1,COUNTIFS(COA!$A:$A,$G1143,COA!$R:$R,1)=1),1,0),"")</f>
        <v/>
      </c>
      <c r="S1143" s="43">
        <f>IF($A1143=1,IF($R1143=1,N($M1143),0),"")</f>
        <v/>
      </c>
      <c r="T1143" s="43">
        <f>IF($A1143=1,IF($R1143=1,N($N1143),0),"")</f>
        <v/>
      </c>
      <c r="U1143" s="32">
        <f>IF($A1143=1,YEAR($D1143)*100+MONTH($D1143),"")</f>
        <v/>
      </c>
      <c r="V1143" s="32">
        <f>IF($A1143=1,IF(COUNTIF(COA!$A:$A,$G1143)=0,0,INDEX(COA!$H:$H,MATCH($G1143,COA!$A:$A,0))),"")</f>
        <v/>
      </c>
      <c r="W1143" s="32">
        <f>IF($A1143=1,"","")</f>
        <v/>
      </c>
      <c r="X1143" s="32">
        <f>IF($A1143=1,IF($R1143=1,"",IF($O1143=ST_POST,IF($P1143&lt;&gt;"",$P1143,"حساب غير صالح أو غير نشط"),IF($O1143=ST_REV,"معكوس: لا أثر على الدفاتر",IF($O1143=ST_CANC,"ملغى",IF($O1143=ST_APPR,"معتمد ولم يُرحَّل","مسودة"))))),"")</f>
        <v/>
      </c>
      <c r="Y1143" s="32">
        <f>IF($A1143=1,IF(AND($R1143=1,OR(LG_Acct="",$G1143=LG_Acct),OR(LG_Party="",$K1143=LG_Party),OR(LG_Loc="ALL",$I1143=LG_Loc),OR(LG_CC="ALL",$J1143=LG_CC),$D1143&gt;=LG_From,$D1143&lt;=LG_To),$D1143+ROW()/1000000,""),"")</f>
        <v/>
      </c>
      <c r="Z1143" s="32">
        <f>IF($A1143=1,IF(Expenses!$N56="","",Expenses!$N56),"")</f>
        <v/>
      </c>
      <c r="AA1143" s="32">
        <f>IF($A1143=1,IF(Expenses!$O56="","",Expenses!$O56),"")</f>
        <v/>
      </c>
      <c r="AB1143" s="32">
        <f>IF($A1143=1,IF(Expenses!$P56="","",Expenses!$P56),"")</f>
        <v/>
      </c>
      <c r="AC1143" s="32">
        <f>IF($A1143=1,IF(Expenses!$Q56="","",Expenses!$Q56),"")</f>
        <v/>
      </c>
      <c r="AD1143" s="32">
        <f>IF($A1143=1,IF(Expenses!$R56="","",Expenses!$R56),"")</f>
        <v/>
      </c>
      <c r="AE1143" s="32">
        <f>IF($A1143=1,0,"")</f>
        <v/>
      </c>
      <c r="AF1143" s="32" t="inlineStr"/>
    </row>
    <row r="1144">
      <c r="A1144" s="32">
        <f>IF(AND(Expenses!$AB56=1,N(Expenses!$W56)&gt;0),1,0)</f>
        <v/>
      </c>
      <c r="B1144" s="32">
        <f>IF($A1144=1,$E1144&amp;"/3","")</f>
        <v/>
      </c>
      <c r="C1144" s="32">
        <f>IF($A1144=1,"J-"&amp;Expenses!$A56,"")</f>
        <v/>
      </c>
      <c r="D1144" s="33">
        <f>IF($A1144=1,Expenses!$B56,"")</f>
        <v/>
      </c>
      <c r="E1144" s="32">
        <f>IF($A1144=1,IF(Expenses!$A56="","",Expenses!$A56),"")</f>
        <v/>
      </c>
      <c r="F1144" s="32">
        <f>IF($A1144=1,"EXP","")</f>
        <v/>
      </c>
      <c r="G1144" s="32">
        <f>IF($A1144=1,IF(Expenses!$V56="","",Expenses!$V56),"")</f>
        <v/>
      </c>
      <c r="H1144" s="32">
        <f>IF($A1144=1,IF(COUNTIF(COA!$A:$A,$G1144)=0,"حساب غير معرف",INDEX(COA!$B:$B,MATCH($G1144,COA!$A:$A,0))),"")</f>
        <v/>
      </c>
      <c r="I1144" s="32">
        <f>IF($A1144=1,IF(Expenses!$C56="","",Expenses!$C56),"")</f>
        <v/>
      </c>
      <c r="J1144" s="32">
        <f>IF($A1144=1,"CC00","")</f>
        <v/>
      </c>
      <c r="K1144" s="32">
        <f>IF($A1144=1,"-","")</f>
        <v/>
      </c>
      <c r="L1144" s="32">
        <f>IF($A1144=1,IF(Expenses!$L56="","مصروف - "&amp;Expenses!$J56,Expenses!$L56),"")</f>
        <v/>
      </c>
      <c r="M1144" s="43">
        <f>IF($A1144=1,0,"")</f>
        <v/>
      </c>
      <c r="N1144" s="43">
        <f>IF($A1144=1,Expenses!$W56,"")</f>
        <v/>
      </c>
      <c r="O1144" s="32">
        <f>IF($A1144=1,Expenses!$M56,"")</f>
        <v/>
      </c>
      <c r="P1144" s="32">
        <f>IF($A1144=1,IF(Expenses!$AC56="","",Expenses!$AC56),"")</f>
        <v/>
      </c>
      <c r="Q1144" s="32">
        <f>IF($A1144=1,Expenses!$AE56,"")</f>
        <v/>
      </c>
      <c r="R1144" s="32">
        <f>IF($A1144=1,IF(AND($Q1144=1,COUNTIFS(COA!$A:$A,$G1144,COA!$R:$R,1)=1),1,0),"")</f>
        <v/>
      </c>
      <c r="S1144" s="43">
        <f>IF($A1144=1,IF($R1144=1,N($M1144),0),"")</f>
        <v/>
      </c>
      <c r="T1144" s="43">
        <f>IF($A1144=1,IF($R1144=1,N($N1144),0),"")</f>
        <v/>
      </c>
      <c r="U1144" s="32">
        <f>IF($A1144=1,YEAR($D1144)*100+MONTH($D1144),"")</f>
        <v/>
      </c>
      <c r="V1144" s="32">
        <f>IF($A1144=1,IF(COUNTIF(COA!$A:$A,$G1144)=0,0,INDEX(COA!$H:$H,MATCH($G1144,COA!$A:$A,0))),"")</f>
        <v/>
      </c>
      <c r="W1144" s="32">
        <f>IF($A1144=1,"OPERATING","")</f>
        <v/>
      </c>
      <c r="X1144" s="32">
        <f>IF($A1144=1,IF($R1144=1,"",IF($O1144=ST_POST,IF($P1144&lt;&gt;"",$P1144,"حساب غير صالح أو غير نشط"),IF($O1144=ST_REV,"معكوس: لا أثر على الدفاتر",IF($O1144=ST_CANC,"ملغى",IF($O1144=ST_APPR,"معتمد ولم يُرحَّل","مسودة"))))),"")</f>
        <v/>
      </c>
      <c r="Y1144" s="32">
        <f>IF($A1144=1,IF(AND($R1144=1,OR(LG_Acct="",$G1144=LG_Acct),OR(LG_Party="",$K1144=LG_Party),OR(LG_Loc="ALL",$I1144=LG_Loc),OR(LG_CC="ALL",$J1144=LG_CC),$D1144&gt;=LG_From,$D1144&lt;=LG_To),$D1144+ROW()/1000000,""),"")</f>
        <v/>
      </c>
      <c r="Z1144" s="32">
        <f>IF($A1144=1,IF(Expenses!$N56="","",Expenses!$N56),"")</f>
        <v/>
      </c>
      <c r="AA1144" s="32">
        <f>IF($A1144=1,IF(Expenses!$O56="","",Expenses!$O56),"")</f>
        <v/>
      </c>
      <c r="AB1144" s="32">
        <f>IF($A1144=1,IF(Expenses!$P56="","",Expenses!$P56),"")</f>
        <v/>
      </c>
      <c r="AC1144" s="32">
        <f>IF($A1144=1,IF(Expenses!$Q56="","",Expenses!$Q56),"")</f>
        <v/>
      </c>
      <c r="AD1144" s="32">
        <f>IF($A1144=1,IF(Expenses!$R56="","",Expenses!$R56),"")</f>
        <v/>
      </c>
      <c r="AE1144" s="32">
        <f>IF($A1144=1,0,"")</f>
        <v/>
      </c>
      <c r="AF1144" s="32" t="inlineStr"/>
    </row>
    <row r="1145">
      <c r="A1145" s="32">
        <f>IF(AND(Expenses!$AB57=1,N(Expenses!$F57)&gt;0),1,0)</f>
        <v/>
      </c>
      <c r="B1145" s="32">
        <f>IF($A1145=1,$E1145&amp;"/1","")</f>
        <v/>
      </c>
      <c r="C1145" s="32">
        <f>IF($A1145=1,"J-"&amp;Expenses!$A57,"")</f>
        <v/>
      </c>
      <c r="D1145" s="33">
        <f>IF($A1145=1,Expenses!$B57,"")</f>
        <v/>
      </c>
      <c r="E1145" s="32">
        <f>IF($A1145=1,IF(Expenses!$A57="","",Expenses!$A57),"")</f>
        <v/>
      </c>
      <c r="F1145" s="32">
        <f>IF($A1145=1,"EXP","")</f>
        <v/>
      </c>
      <c r="G1145" s="32">
        <f>IF($A1145=1,IF(Expenses!$E57="","",Expenses!$E57),"")</f>
        <v/>
      </c>
      <c r="H1145" s="32">
        <f>IF($A1145=1,IF(COUNTIF(COA!$A:$A,$G1145)=0,"حساب غير معرف",INDEX(COA!$B:$B,MATCH($G1145,COA!$A:$A,0))),"")</f>
        <v/>
      </c>
      <c r="I1145" s="32">
        <f>IF($A1145=1,IF(Expenses!$C57="","",Expenses!$C57),"")</f>
        <v/>
      </c>
      <c r="J1145" s="32">
        <f>IF($A1145=1,IF(Expenses!$D57="","",Expenses!$D57),"")</f>
        <v/>
      </c>
      <c r="K1145" s="32">
        <f>IF($A1145=1,"-","")</f>
        <v/>
      </c>
      <c r="L1145" s="32">
        <f>IF($A1145=1,IF(Expenses!$L57="","مصروف - "&amp;Expenses!$J57,Expenses!$L57),"")</f>
        <v/>
      </c>
      <c r="M1145" s="43">
        <f>IF($A1145=1,Expenses!$F57,"")</f>
        <v/>
      </c>
      <c r="N1145" s="43">
        <f>IF($A1145=1,0,"")</f>
        <v/>
      </c>
      <c r="O1145" s="32">
        <f>IF($A1145=1,Expenses!$M57,"")</f>
        <v/>
      </c>
      <c r="P1145" s="32">
        <f>IF($A1145=1,IF(Expenses!$AC57="","",Expenses!$AC57),"")</f>
        <v/>
      </c>
      <c r="Q1145" s="32">
        <f>IF($A1145=1,Expenses!$AE57,"")</f>
        <v/>
      </c>
      <c r="R1145" s="32">
        <f>IF($A1145=1,IF(AND($Q1145=1,COUNTIFS(COA!$A:$A,$G1145,COA!$R:$R,1)=1),1,0),"")</f>
        <v/>
      </c>
      <c r="S1145" s="43">
        <f>IF($A1145=1,IF($R1145=1,N($M1145),0),"")</f>
        <v/>
      </c>
      <c r="T1145" s="43">
        <f>IF($A1145=1,IF($R1145=1,N($N1145),0),"")</f>
        <v/>
      </c>
      <c r="U1145" s="32">
        <f>IF($A1145=1,YEAR($D1145)*100+MONTH($D1145),"")</f>
        <v/>
      </c>
      <c r="V1145" s="32">
        <f>IF($A1145=1,IF(COUNTIF(COA!$A:$A,$G1145)=0,0,INDEX(COA!$H:$H,MATCH($G1145,COA!$A:$A,0))),"")</f>
        <v/>
      </c>
      <c r="W1145" s="32">
        <f>IF($A1145=1,"","")</f>
        <v/>
      </c>
      <c r="X1145" s="32">
        <f>IF($A1145=1,IF($R1145=1,"",IF($O1145=ST_POST,IF($P1145&lt;&gt;"",$P1145,"حساب غير صالح أو غير نشط"),IF($O1145=ST_REV,"معكوس: لا أثر على الدفاتر",IF($O1145=ST_CANC,"ملغى",IF($O1145=ST_APPR,"معتمد ولم يُرحَّل","مسودة"))))),"")</f>
        <v/>
      </c>
      <c r="Y1145" s="32">
        <f>IF($A1145=1,IF(AND($R1145=1,OR(LG_Acct="",$G1145=LG_Acct),OR(LG_Party="",$K1145=LG_Party),OR(LG_Loc="ALL",$I1145=LG_Loc),OR(LG_CC="ALL",$J1145=LG_CC),$D1145&gt;=LG_From,$D1145&lt;=LG_To),$D1145+ROW()/1000000,""),"")</f>
        <v/>
      </c>
      <c r="Z1145" s="32">
        <f>IF($A1145=1,IF(Expenses!$N57="","",Expenses!$N57),"")</f>
        <v/>
      </c>
      <c r="AA1145" s="32">
        <f>IF($A1145=1,IF(Expenses!$O57="","",Expenses!$O57),"")</f>
        <v/>
      </c>
      <c r="AB1145" s="32">
        <f>IF($A1145=1,IF(Expenses!$P57="","",Expenses!$P57),"")</f>
        <v/>
      </c>
      <c r="AC1145" s="32">
        <f>IF($A1145=1,IF(Expenses!$Q57="","",Expenses!$Q57),"")</f>
        <v/>
      </c>
      <c r="AD1145" s="32">
        <f>IF($A1145=1,IF(Expenses!$R57="","",Expenses!$R57),"")</f>
        <v/>
      </c>
      <c r="AE1145" s="32">
        <f>IF($A1145=1,0,"")</f>
        <v/>
      </c>
      <c r="AF1145" s="32" t="inlineStr"/>
    </row>
    <row r="1146">
      <c r="A1146" s="32">
        <f>IF(AND(Expenses!$AB57=1,N(Expenses!$G57)&gt;0),1,0)</f>
        <v/>
      </c>
      <c r="B1146" s="32">
        <f>IF($A1146=1,$E1146&amp;"/2","")</f>
        <v/>
      </c>
      <c r="C1146" s="32">
        <f>IF($A1146=1,"J-"&amp;Expenses!$A57,"")</f>
        <v/>
      </c>
      <c r="D1146" s="33">
        <f>IF($A1146=1,Expenses!$B57,"")</f>
        <v/>
      </c>
      <c r="E1146" s="32">
        <f>IF($A1146=1,IF(Expenses!$A57="","",Expenses!$A57),"")</f>
        <v/>
      </c>
      <c r="F1146" s="32">
        <f>IF($A1146=1,"EXP","")</f>
        <v/>
      </c>
      <c r="G1146" s="32">
        <f>IF($A1146=1,ACC_VAT_IN,"")</f>
        <v/>
      </c>
      <c r="H1146" s="32">
        <f>IF($A1146=1,IF(COUNTIF(COA!$A:$A,$G1146)=0,"حساب غير معرف",INDEX(COA!$B:$B,MATCH($G1146,COA!$A:$A,0))),"")</f>
        <v/>
      </c>
      <c r="I1146" s="32">
        <f>IF($A1146=1,IF(Expenses!$C57="","",Expenses!$C57),"")</f>
        <v/>
      </c>
      <c r="J1146" s="32">
        <f>IF($A1146=1,IF(Expenses!$D57="","",Expenses!$D57),"")</f>
        <v/>
      </c>
      <c r="K1146" s="32">
        <f>IF($A1146=1,"-","")</f>
        <v/>
      </c>
      <c r="L1146" s="32">
        <f>IF($A1146=1,"ضريبة قيمة مضافة - مدخلات","")</f>
        <v/>
      </c>
      <c r="M1146" s="43">
        <f>IF($A1146=1,Expenses!$G57,"")</f>
        <v/>
      </c>
      <c r="N1146" s="43">
        <f>IF($A1146=1,0,"")</f>
        <v/>
      </c>
      <c r="O1146" s="32">
        <f>IF($A1146=1,Expenses!$M57,"")</f>
        <v/>
      </c>
      <c r="P1146" s="32">
        <f>IF($A1146=1,IF(Expenses!$AC57="","",Expenses!$AC57),"")</f>
        <v/>
      </c>
      <c r="Q1146" s="32">
        <f>IF($A1146=1,Expenses!$AE57,"")</f>
        <v/>
      </c>
      <c r="R1146" s="32">
        <f>IF($A1146=1,IF(AND($Q1146=1,COUNTIFS(COA!$A:$A,$G1146,COA!$R:$R,1)=1),1,0),"")</f>
        <v/>
      </c>
      <c r="S1146" s="43">
        <f>IF($A1146=1,IF($R1146=1,N($M1146),0),"")</f>
        <v/>
      </c>
      <c r="T1146" s="43">
        <f>IF($A1146=1,IF($R1146=1,N($N1146),0),"")</f>
        <v/>
      </c>
      <c r="U1146" s="32">
        <f>IF($A1146=1,YEAR($D1146)*100+MONTH($D1146),"")</f>
        <v/>
      </c>
      <c r="V1146" s="32">
        <f>IF($A1146=1,IF(COUNTIF(COA!$A:$A,$G1146)=0,0,INDEX(COA!$H:$H,MATCH($G1146,COA!$A:$A,0))),"")</f>
        <v/>
      </c>
      <c r="W1146" s="32">
        <f>IF($A1146=1,"","")</f>
        <v/>
      </c>
      <c r="X1146" s="32">
        <f>IF($A1146=1,IF($R1146=1,"",IF($O1146=ST_POST,IF($P1146&lt;&gt;"",$P1146,"حساب غير صالح أو غير نشط"),IF($O1146=ST_REV,"معكوس: لا أثر على الدفاتر",IF($O1146=ST_CANC,"ملغى",IF($O1146=ST_APPR,"معتمد ولم يُرحَّل","مسودة"))))),"")</f>
        <v/>
      </c>
      <c r="Y1146" s="32">
        <f>IF($A1146=1,IF(AND($R1146=1,OR(LG_Acct="",$G1146=LG_Acct),OR(LG_Party="",$K1146=LG_Party),OR(LG_Loc="ALL",$I1146=LG_Loc),OR(LG_CC="ALL",$J1146=LG_CC),$D1146&gt;=LG_From,$D1146&lt;=LG_To),$D1146+ROW()/1000000,""),"")</f>
        <v/>
      </c>
      <c r="Z1146" s="32">
        <f>IF($A1146=1,IF(Expenses!$N57="","",Expenses!$N57),"")</f>
        <v/>
      </c>
      <c r="AA1146" s="32">
        <f>IF($A1146=1,IF(Expenses!$O57="","",Expenses!$O57),"")</f>
        <v/>
      </c>
      <c r="AB1146" s="32">
        <f>IF($A1146=1,IF(Expenses!$P57="","",Expenses!$P57),"")</f>
        <v/>
      </c>
      <c r="AC1146" s="32">
        <f>IF($A1146=1,IF(Expenses!$Q57="","",Expenses!$Q57),"")</f>
        <v/>
      </c>
      <c r="AD1146" s="32">
        <f>IF($A1146=1,IF(Expenses!$R57="","",Expenses!$R57),"")</f>
        <v/>
      </c>
      <c r="AE1146" s="32">
        <f>IF($A1146=1,0,"")</f>
        <v/>
      </c>
      <c r="AF1146" s="32" t="inlineStr"/>
    </row>
    <row r="1147">
      <c r="A1147" s="32">
        <f>IF(AND(Expenses!$AB57=1,N(Expenses!$W57)&gt;0),1,0)</f>
        <v/>
      </c>
      <c r="B1147" s="32">
        <f>IF($A1147=1,$E1147&amp;"/3","")</f>
        <v/>
      </c>
      <c r="C1147" s="32">
        <f>IF($A1147=1,"J-"&amp;Expenses!$A57,"")</f>
        <v/>
      </c>
      <c r="D1147" s="33">
        <f>IF($A1147=1,Expenses!$B57,"")</f>
        <v/>
      </c>
      <c r="E1147" s="32">
        <f>IF($A1147=1,IF(Expenses!$A57="","",Expenses!$A57),"")</f>
        <v/>
      </c>
      <c r="F1147" s="32">
        <f>IF($A1147=1,"EXP","")</f>
        <v/>
      </c>
      <c r="G1147" s="32">
        <f>IF($A1147=1,IF(Expenses!$V57="","",Expenses!$V57),"")</f>
        <v/>
      </c>
      <c r="H1147" s="32">
        <f>IF($A1147=1,IF(COUNTIF(COA!$A:$A,$G1147)=0,"حساب غير معرف",INDEX(COA!$B:$B,MATCH($G1147,COA!$A:$A,0))),"")</f>
        <v/>
      </c>
      <c r="I1147" s="32">
        <f>IF($A1147=1,IF(Expenses!$C57="","",Expenses!$C57),"")</f>
        <v/>
      </c>
      <c r="J1147" s="32">
        <f>IF($A1147=1,"CC00","")</f>
        <v/>
      </c>
      <c r="K1147" s="32">
        <f>IF($A1147=1,"-","")</f>
        <v/>
      </c>
      <c r="L1147" s="32">
        <f>IF($A1147=1,IF(Expenses!$L57="","مصروف - "&amp;Expenses!$J57,Expenses!$L57),"")</f>
        <v/>
      </c>
      <c r="M1147" s="43">
        <f>IF($A1147=1,0,"")</f>
        <v/>
      </c>
      <c r="N1147" s="43">
        <f>IF($A1147=1,Expenses!$W57,"")</f>
        <v/>
      </c>
      <c r="O1147" s="32">
        <f>IF($A1147=1,Expenses!$M57,"")</f>
        <v/>
      </c>
      <c r="P1147" s="32">
        <f>IF($A1147=1,IF(Expenses!$AC57="","",Expenses!$AC57),"")</f>
        <v/>
      </c>
      <c r="Q1147" s="32">
        <f>IF($A1147=1,Expenses!$AE57,"")</f>
        <v/>
      </c>
      <c r="R1147" s="32">
        <f>IF($A1147=1,IF(AND($Q1147=1,COUNTIFS(COA!$A:$A,$G1147,COA!$R:$R,1)=1),1,0),"")</f>
        <v/>
      </c>
      <c r="S1147" s="43">
        <f>IF($A1147=1,IF($R1147=1,N($M1147),0),"")</f>
        <v/>
      </c>
      <c r="T1147" s="43">
        <f>IF($A1147=1,IF($R1147=1,N($N1147),0),"")</f>
        <v/>
      </c>
      <c r="U1147" s="32">
        <f>IF($A1147=1,YEAR($D1147)*100+MONTH($D1147),"")</f>
        <v/>
      </c>
      <c r="V1147" s="32">
        <f>IF($A1147=1,IF(COUNTIF(COA!$A:$A,$G1147)=0,0,INDEX(COA!$H:$H,MATCH($G1147,COA!$A:$A,0))),"")</f>
        <v/>
      </c>
      <c r="W1147" s="32">
        <f>IF($A1147=1,"OPERATING","")</f>
        <v/>
      </c>
      <c r="X1147" s="32">
        <f>IF($A1147=1,IF($R1147=1,"",IF($O1147=ST_POST,IF($P1147&lt;&gt;"",$P1147,"حساب غير صالح أو غير نشط"),IF($O1147=ST_REV,"معكوس: لا أثر على الدفاتر",IF($O1147=ST_CANC,"ملغى",IF($O1147=ST_APPR,"معتمد ولم يُرحَّل","مسودة"))))),"")</f>
        <v/>
      </c>
      <c r="Y1147" s="32">
        <f>IF($A1147=1,IF(AND($R1147=1,OR(LG_Acct="",$G1147=LG_Acct),OR(LG_Party="",$K1147=LG_Party),OR(LG_Loc="ALL",$I1147=LG_Loc),OR(LG_CC="ALL",$J1147=LG_CC),$D1147&gt;=LG_From,$D1147&lt;=LG_To),$D1147+ROW()/1000000,""),"")</f>
        <v/>
      </c>
      <c r="Z1147" s="32">
        <f>IF($A1147=1,IF(Expenses!$N57="","",Expenses!$N57),"")</f>
        <v/>
      </c>
      <c r="AA1147" s="32">
        <f>IF($A1147=1,IF(Expenses!$O57="","",Expenses!$O57),"")</f>
        <v/>
      </c>
      <c r="AB1147" s="32">
        <f>IF($A1147=1,IF(Expenses!$P57="","",Expenses!$P57),"")</f>
        <v/>
      </c>
      <c r="AC1147" s="32">
        <f>IF($A1147=1,IF(Expenses!$Q57="","",Expenses!$Q57),"")</f>
        <v/>
      </c>
      <c r="AD1147" s="32">
        <f>IF($A1147=1,IF(Expenses!$R57="","",Expenses!$R57),"")</f>
        <v/>
      </c>
      <c r="AE1147" s="32">
        <f>IF($A1147=1,0,"")</f>
        <v/>
      </c>
      <c r="AF1147" s="32" t="inlineStr"/>
    </row>
    <row r="1148">
      <c r="A1148" s="32">
        <f>IF(AND(Expenses!$AB58=1,N(Expenses!$F58)&gt;0),1,0)</f>
        <v/>
      </c>
      <c r="B1148" s="32">
        <f>IF($A1148=1,$E1148&amp;"/1","")</f>
        <v/>
      </c>
      <c r="C1148" s="32">
        <f>IF($A1148=1,"J-"&amp;Expenses!$A58,"")</f>
        <v/>
      </c>
      <c r="D1148" s="33">
        <f>IF($A1148=1,Expenses!$B58,"")</f>
        <v/>
      </c>
      <c r="E1148" s="32">
        <f>IF($A1148=1,IF(Expenses!$A58="","",Expenses!$A58),"")</f>
        <v/>
      </c>
      <c r="F1148" s="32">
        <f>IF($A1148=1,"EXP","")</f>
        <v/>
      </c>
      <c r="G1148" s="32">
        <f>IF($A1148=1,IF(Expenses!$E58="","",Expenses!$E58),"")</f>
        <v/>
      </c>
      <c r="H1148" s="32">
        <f>IF($A1148=1,IF(COUNTIF(COA!$A:$A,$G1148)=0,"حساب غير معرف",INDEX(COA!$B:$B,MATCH($G1148,COA!$A:$A,0))),"")</f>
        <v/>
      </c>
      <c r="I1148" s="32">
        <f>IF($A1148=1,IF(Expenses!$C58="","",Expenses!$C58),"")</f>
        <v/>
      </c>
      <c r="J1148" s="32">
        <f>IF($A1148=1,IF(Expenses!$D58="","",Expenses!$D58),"")</f>
        <v/>
      </c>
      <c r="K1148" s="32">
        <f>IF($A1148=1,"-","")</f>
        <v/>
      </c>
      <c r="L1148" s="32">
        <f>IF($A1148=1,IF(Expenses!$L58="","مصروف - "&amp;Expenses!$J58,Expenses!$L58),"")</f>
        <v/>
      </c>
      <c r="M1148" s="43">
        <f>IF($A1148=1,Expenses!$F58,"")</f>
        <v/>
      </c>
      <c r="N1148" s="43">
        <f>IF($A1148=1,0,"")</f>
        <v/>
      </c>
      <c r="O1148" s="32">
        <f>IF($A1148=1,Expenses!$M58,"")</f>
        <v/>
      </c>
      <c r="P1148" s="32">
        <f>IF($A1148=1,IF(Expenses!$AC58="","",Expenses!$AC58),"")</f>
        <v/>
      </c>
      <c r="Q1148" s="32">
        <f>IF($A1148=1,Expenses!$AE58,"")</f>
        <v/>
      </c>
      <c r="R1148" s="32">
        <f>IF($A1148=1,IF(AND($Q1148=1,COUNTIFS(COA!$A:$A,$G1148,COA!$R:$R,1)=1),1,0),"")</f>
        <v/>
      </c>
      <c r="S1148" s="43">
        <f>IF($A1148=1,IF($R1148=1,N($M1148),0),"")</f>
        <v/>
      </c>
      <c r="T1148" s="43">
        <f>IF($A1148=1,IF($R1148=1,N($N1148),0),"")</f>
        <v/>
      </c>
      <c r="U1148" s="32">
        <f>IF($A1148=1,YEAR($D1148)*100+MONTH($D1148),"")</f>
        <v/>
      </c>
      <c r="V1148" s="32">
        <f>IF($A1148=1,IF(COUNTIF(COA!$A:$A,$G1148)=0,0,INDEX(COA!$H:$H,MATCH($G1148,COA!$A:$A,0))),"")</f>
        <v/>
      </c>
      <c r="W1148" s="32">
        <f>IF($A1148=1,"","")</f>
        <v/>
      </c>
      <c r="X1148" s="32">
        <f>IF($A1148=1,IF($R1148=1,"",IF($O1148=ST_POST,IF($P1148&lt;&gt;"",$P1148,"حساب غير صالح أو غير نشط"),IF($O1148=ST_REV,"معكوس: لا أثر على الدفاتر",IF($O1148=ST_CANC,"ملغى",IF($O1148=ST_APPR,"معتمد ولم يُرحَّل","مسودة"))))),"")</f>
        <v/>
      </c>
      <c r="Y1148" s="32">
        <f>IF($A1148=1,IF(AND($R1148=1,OR(LG_Acct="",$G1148=LG_Acct),OR(LG_Party="",$K1148=LG_Party),OR(LG_Loc="ALL",$I1148=LG_Loc),OR(LG_CC="ALL",$J1148=LG_CC),$D1148&gt;=LG_From,$D1148&lt;=LG_To),$D1148+ROW()/1000000,""),"")</f>
        <v/>
      </c>
      <c r="Z1148" s="32">
        <f>IF($A1148=1,IF(Expenses!$N58="","",Expenses!$N58),"")</f>
        <v/>
      </c>
      <c r="AA1148" s="32">
        <f>IF($A1148=1,IF(Expenses!$O58="","",Expenses!$O58),"")</f>
        <v/>
      </c>
      <c r="AB1148" s="32">
        <f>IF($A1148=1,IF(Expenses!$P58="","",Expenses!$P58),"")</f>
        <v/>
      </c>
      <c r="AC1148" s="32">
        <f>IF($A1148=1,IF(Expenses!$Q58="","",Expenses!$Q58),"")</f>
        <v/>
      </c>
      <c r="AD1148" s="32">
        <f>IF($A1148=1,IF(Expenses!$R58="","",Expenses!$R58),"")</f>
        <v/>
      </c>
      <c r="AE1148" s="32">
        <f>IF($A1148=1,0,"")</f>
        <v/>
      </c>
      <c r="AF1148" s="32" t="inlineStr"/>
    </row>
    <row r="1149">
      <c r="A1149" s="32">
        <f>IF(AND(Expenses!$AB58=1,N(Expenses!$G58)&gt;0),1,0)</f>
        <v/>
      </c>
      <c r="B1149" s="32">
        <f>IF($A1149=1,$E1149&amp;"/2","")</f>
        <v/>
      </c>
      <c r="C1149" s="32">
        <f>IF($A1149=1,"J-"&amp;Expenses!$A58,"")</f>
        <v/>
      </c>
      <c r="D1149" s="33">
        <f>IF($A1149=1,Expenses!$B58,"")</f>
        <v/>
      </c>
      <c r="E1149" s="32">
        <f>IF($A1149=1,IF(Expenses!$A58="","",Expenses!$A58),"")</f>
        <v/>
      </c>
      <c r="F1149" s="32">
        <f>IF($A1149=1,"EXP","")</f>
        <v/>
      </c>
      <c r="G1149" s="32">
        <f>IF($A1149=1,ACC_VAT_IN,"")</f>
        <v/>
      </c>
      <c r="H1149" s="32">
        <f>IF($A1149=1,IF(COUNTIF(COA!$A:$A,$G1149)=0,"حساب غير معرف",INDEX(COA!$B:$B,MATCH($G1149,COA!$A:$A,0))),"")</f>
        <v/>
      </c>
      <c r="I1149" s="32">
        <f>IF($A1149=1,IF(Expenses!$C58="","",Expenses!$C58),"")</f>
        <v/>
      </c>
      <c r="J1149" s="32">
        <f>IF($A1149=1,IF(Expenses!$D58="","",Expenses!$D58),"")</f>
        <v/>
      </c>
      <c r="K1149" s="32">
        <f>IF($A1149=1,"-","")</f>
        <v/>
      </c>
      <c r="L1149" s="32">
        <f>IF($A1149=1,"ضريبة قيمة مضافة - مدخلات","")</f>
        <v/>
      </c>
      <c r="M1149" s="43">
        <f>IF($A1149=1,Expenses!$G58,"")</f>
        <v/>
      </c>
      <c r="N1149" s="43">
        <f>IF($A1149=1,0,"")</f>
        <v/>
      </c>
      <c r="O1149" s="32">
        <f>IF($A1149=1,Expenses!$M58,"")</f>
        <v/>
      </c>
      <c r="P1149" s="32">
        <f>IF($A1149=1,IF(Expenses!$AC58="","",Expenses!$AC58),"")</f>
        <v/>
      </c>
      <c r="Q1149" s="32">
        <f>IF($A1149=1,Expenses!$AE58,"")</f>
        <v/>
      </c>
      <c r="R1149" s="32">
        <f>IF($A1149=1,IF(AND($Q1149=1,COUNTIFS(COA!$A:$A,$G1149,COA!$R:$R,1)=1),1,0),"")</f>
        <v/>
      </c>
      <c r="S1149" s="43">
        <f>IF($A1149=1,IF($R1149=1,N($M1149),0),"")</f>
        <v/>
      </c>
      <c r="T1149" s="43">
        <f>IF($A1149=1,IF($R1149=1,N($N1149),0),"")</f>
        <v/>
      </c>
      <c r="U1149" s="32">
        <f>IF($A1149=1,YEAR($D1149)*100+MONTH($D1149),"")</f>
        <v/>
      </c>
      <c r="V1149" s="32">
        <f>IF($A1149=1,IF(COUNTIF(COA!$A:$A,$G1149)=0,0,INDEX(COA!$H:$H,MATCH($G1149,COA!$A:$A,0))),"")</f>
        <v/>
      </c>
      <c r="W1149" s="32">
        <f>IF($A1149=1,"","")</f>
        <v/>
      </c>
      <c r="X1149" s="32">
        <f>IF($A1149=1,IF($R1149=1,"",IF($O1149=ST_POST,IF($P1149&lt;&gt;"",$P1149,"حساب غير صالح أو غير نشط"),IF($O1149=ST_REV,"معكوس: لا أثر على الدفاتر",IF($O1149=ST_CANC,"ملغى",IF($O1149=ST_APPR,"معتمد ولم يُرحَّل","مسودة"))))),"")</f>
        <v/>
      </c>
      <c r="Y1149" s="32">
        <f>IF($A1149=1,IF(AND($R1149=1,OR(LG_Acct="",$G1149=LG_Acct),OR(LG_Party="",$K1149=LG_Party),OR(LG_Loc="ALL",$I1149=LG_Loc),OR(LG_CC="ALL",$J1149=LG_CC),$D1149&gt;=LG_From,$D1149&lt;=LG_To),$D1149+ROW()/1000000,""),"")</f>
        <v/>
      </c>
      <c r="Z1149" s="32">
        <f>IF($A1149=1,IF(Expenses!$N58="","",Expenses!$N58),"")</f>
        <v/>
      </c>
      <c r="AA1149" s="32">
        <f>IF($A1149=1,IF(Expenses!$O58="","",Expenses!$O58),"")</f>
        <v/>
      </c>
      <c r="AB1149" s="32">
        <f>IF($A1149=1,IF(Expenses!$P58="","",Expenses!$P58),"")</f>
        <v/>
      </c>
      <c r="AC1149" s="32">
        <f>IF($A1149=1,IF(Expenses!$Q58="","",Expenses!$Q58),"")</f>
        <v/>
      </c>
      <c r="AD1149" s="32">
        <f>IF($A1149=1,IF(Expenses!$R58="","",Expenses!$R58),"")</f>
        <v/>
      </c>
      <c r="AE1149" s="32">
        <f>IF($A1149=1,0,"")</f>
        <v/>
      </c>
      <c r="AF1149" s="32" t="inlineStr"/>
    </row>
    <row r="1150">
      <c r="A1150" s="32">
        <f>IF(AND(Expenses!$AB58=1,N(Expenses!$W58)&gt;0),1,0)</f>
        <v/>
      </c>
      <c r="B1150" s="32">
        <f>IF($A1150=1,$E1150&amp;"/3","")</f>
        <v/>
      </c>
      <c r="C1150" s="32">
        <f>IF($A1150=1,"J-"&amp;Expenses!$A58,"")</f>
        <v/>
      </c>
      <c r="D1150" s="33">
        <f>IF($A1150=1,Expenses!$B58,"")</f>
        <v/>
      </c>
      <c r="E1150" s="32">
        <f>IF($A1150=1,IF(Expenses!$A58="","",Expenses!$A58),"")</f>
        <v/>
      </c>
      <c r="F1150" s="32">
        <f>IF($A1150=1,"EXP","")</f>
        <v/>
      </c>
      <c r="G1150" s="32">
        <f>IF($A1150=1,IF(Expenses!$V58="","",Expenses!$V58),"")</f>
        <v/>
      </c>
      <c r="H1150" s="32">
        <f>IF($A1150=1,IF(COUNTIF(COA!$A:$A,$G1150)=0,"حساب غير معرف",INDEX(COA!$B:$B,MATCH($G1150,COA!$A:$A,0))),"")</f>
        <v/>
      </c>
      <c r="I1150" s="32">
        <f>IF($A1150=1,IF(Expenses!$C58="","",Expenses!$C58),"")</f>
        <v/>
      </c>
      <c r="J1150" s="32">
        <f>IF($A1150=1,"CC00","")</f>
        <v/>
      </c>
      <c r="K1150" s="32">
        <f>IF($A1150=1,"-","")</f>
        <v/>
      </c>
      <c r="L1150" s="32">
        <f>IF($A1150=1,IF(Expenses!$L58="","مصروف - "&amp;Expenses!$J58,Expenses!$L58),"")</f>
        <v/>
      </c>
      <c r="M1150" s="43">
        <f>IF($A1150=1,0,"")</f>
        <v/>
      </c>
      <c r="N1150" s="43">
        <f>IF($A1150=1,Expenses!$W58,"")</f>
        <v/>
      </c>
      <c r="O1150" s="32">
        <f>IF($A1150=1,Expenses!$M58,"")</f>
        <v/>
      </c>
      <c r="P1150" s="32">
        <f>IF($A1150=1,IF(Expenses!$AC58="","",Expenses!$AC58),"")</f>
        <v/>
      </c>
      <c r="Q1150" s="32">
        <f>IF($A1150=1,Expenses!$AE58,"")</f>
        <v/>
      </c>
      <c r="R1150" s="32">
        <f>IF($A1150=1,IF(AND($Q1150=1,COUNTIFS(COA!$A:$A,$G1150,COA!$R:$R,1)=1),1,0),"")</f>
        <v/>
      </c>
      <c r="S1150" s="43">
        <f>IF($A1150=1,IF($R1150=1,N($M1150),0),"")</f>
        <v/>
      </c>
      <c r="T1150" s="43">
        <f>IF($A1150=1,IF($R1150=1,N($N1150),0),"")</f>
        <v/>
      </c>
      <c r="U1150" s="32">
        <f>IF($A1150=1,YEAR($D1150)*100+MONTH($D1150),"")</f>
        <v/>
      </c>
      <c r="V1150" s="32">
        <f>IF($A1150=1,IF(COUNTIF(COA!$A:$A,$G1150)=0,0,INDEX(COA!$H:$H,MATCH($G1150,COA!$A:$A,0))),"")</f>
        <v/>
      </c>
      <c r="W1150" s="32">
        <f>IF($A1150=1,"OPERATING","")</f>
        <v/>
      </c>
      <c r="X1150" s="32">
        <f>IF($A1150=1,IF($R1150=1,"",IF($O1150=ST_POST,IF($P1150&lt;&gt;"",$P1150,"حساب غير صالح أو غير نشط"),IF($O1150=ST_REV,"معكوس: لا أثر على الدفاتر",IF($O1150=ST_CANC,"ملغى",IF($O1150=ST_APPR,"معتمد ولم يُرحَّل","مسودة"))))),"")</f>
        <v/>
      </c>
      <c r="Y1150" s="32">
        <f>IF($A1150=1,IF(AND($R1150=1,OR(LG_Acct="",$G1150=LG_Acct),OR(LG_Party="",$K1150=LG_Party),OR(LG_Loc="ALL",$I1150=LG_Loc),OR(LG_CC="ALL",$J1150=LG_CC),$D1150&gt;=LG_From,$D1150&lt;=LG_To),$D1150+ROW()/1000000,""),"")</f>
        <v/>
      </c>
      <c r="Z1150" s="32">
        <f>IF($A1150=1,IF(Expenses!$N58="","",Expenses!$N58),"")</f>
        <v/>
      </c>
      <c r="AA1150" s="32">
        <f>IF($A1150=1,IF(Expenses!$O58="","",Expenses!$O58),"")</f>
        <v/>
      </c>
      <c r="AB1150" s="32">
        <f>IF($A1150=1,IF(Expenses!$P58="","",Expenses!$P58),"")</f>
        <v/>
      </c>
      <c r="AC1150" s="32">
        <f>IF($A1150=1,IF(Expenses!$Q58="","",Expenses!$Q58),"")</f>
        <v/>
      </c>
      <c r="AD1150" s="32">
        <f>IF($A1150=1,IF(Expenses!$R58="","",Expenses!$R58),"")</f>
        <v/>
      </c>
      <c r="AE1150" s="32">
        <f>IF($A1150=1,0,"")</f>
        <v/>
      </c>
      <c r="AF1150" s="32" t="inlineStr"/>
    </row>
    <row r="1151">
      <c r="A1151" s="32">
        <f>IF(AND(Expenses!$AB59=1,N(Expenses!$F59)&gt;0),1,0)</f>
        <v/>
      </c>
      <c r="B1151" s="32">
        <f>IF($A1151=1,$E1151&amp;"/1","")</f>
        <v/>
      </c>
      <c r="C1151" s="32">
        <f>IF($A1151=1,"J-"&amp;Expenses!$A59,"")</f>
        <v/>
      </c>
      <c r="D1151" s="33">
        <f>IF($A1151=1,Expenses!$B59,"")</f>
        <v/>
      </c>
      <c r="E1151" s="32">
        <f>IF($A1151=1,IF(Expenses!$A59="","",Expenses!$A59),"")</f>
        <v/>
      </c>
      <c r="F1151" s="32">
        <f>IF($A1151=1,"EXP","")</f>
        <v/>
      </c>
      <c r="G1151" s="32">
        <f>IF($A1151=1,IF(Expenses!$E59="","",Expenses!$E59),"")</f>
        <v/>
      </c>
      <c r="H1151" s="32">
        <f>IF($A1151=1,IF(COUNTIF(COA!$A:$A,$G1151)=0,"حساب غير معرف",INDEX(COA!$B:$B,MATCH($G1151,COA!$A:$A,0))),"")</f>
        <v/>
      </c>
      <c r="I1151" s="32">
        <f>IF($A1151=1,IF(Expenses!$C59="","",Expenses!$C59),"")</f>
        <v/>
      </c>
      <c r="J1151" s="32">
        <f>IF($A1151=1,IF(Expenses!$D59="","",Expenses!$D59),"")</f>
        <v/>
      </c>
      <c r="K1151" s="32">
        <f>IF($A1151=1,"-","")</f>
        <v/>
      </c>
      <c r="L1151" s="32">
        <f>IF($A1151=1,IF(Expenses!$L59="","مصروف - "&amp;Expenses!$J59,Expenses!$L59),"")</f>
        <v/>
      </c>
      <c r="M1151" s="43">
        <f>IF($A1151=1,Expenses!$F59,"")</f>
        <v/>
      </c>
      <c r="N1151" s="43">
        <f>IF($A1151=1,0,"")</f>
        <v/>
      </c>
      <c r="O1151" s="32">
        <f>IF($A1151=1,Expenses!$M59,"")</f>
        <v/>
      </c>
      <c r="P1151" s="32">
        <f>IF($A1151=1,IF(Expenses!$AC59="","",Expenses!$AC59),"")</f>
        <v/>
      </c>
      <c r="Q1151" s="32">
        <f>IF($A1151=1,Expenses!$AE59,"")</f>
        <v/>
      </c>
      <c r="R1151" s="32">
        <f>IF($A1151=1,IF(AND($Q1151=1,COUNTIFS(COA!$A:$A,$G1151,COA!$R:$R,1)=1),1,0),"")</f>
        <v/>
      </c>
      <c r="S1151" s="43">
        <f>IF($A1151=1,IF($R1151=1,N($M1151),0),"")</f>
        <v/>
      </c>
      <c r="T1151" s="43">
        <f>IF($A1151=1,IF($R1151=1,N($N1151),0),"")</f>
        <v/>
      </c>
      <c r="U1151" s="32">
        <f>IF($A1151=1,YEAR($D1151)*100+MONTH($D1151),"")</f>
        <v/>
      </c>
      <c r="V1151" s="32">
        <f>IF($A1151=1,IF(COUNTIF(COA!$A:$A,$G1151)=0,0,INDEX(COA!$H:$H,MATCH($G1151,COA!$A:$A,0))),"")</f>
        <v/>
      </c>
      <c r="W1151" s="32">
        <f>IF($A1151=1,"","")</f>
        <v/>
      </c>
      <c r="X1151" s="32">
        <f>IF($A1151=1,IF($R1151=1,"",IF($O1151=ST_POST,IF($P1151&lt;&gt;"",$P1151,"حساب غير صالح أو غير نشط"),IF($O1151=ST_REV,"معكوس: لا أثر على الدفاتر",IF($O1151=ST_CANC,"ملغى",IF($O1151=ST_APPR,"معتمد ولم يُرحَّل","مسودة"))))),"")</f>
        <v/>
      </c>
      <c r="Y1151" s="32">
        <f>IF($A1151=1,IF(AND($R1151=1,OR(LG_Acct="",$G1151=LG_Acct),OR(LG_Party="",$K1151=LG_Party),OR(LG_Loc="ALL",$I1151=LG_Loc),OR(LG_CC="ALL",$J1151=LG_CC),$D1151&gt;=LG_From,$D1151&lt;=LG_To),$D1151+ROW()/1000000,""),"")</f>
        <v/>
      </c>
      <c r="Z1151" s="32">
        <f>IF($A1151=1,IF(Expenses!$N59="","",Expenses!$N59),"")</f>
        <v/>
      </c>
      <c r="AA1151" s="32">
        <f>IF($A1151=1,IF(Expenses!$O59="","",Expenses!$O59),"")</f>
        <v/>
      </c>
      <c r="AB1151" s="32">
        <f>IF($A1151=1,IF(Expenses!$P59="","",Expenses!$P59),"")</f>
        <v/>
      </c>
      <c r="AC1151" s="32">
        <f>IF($A1151=1,IF(Expenses!$Q59="","",Expenses!$Q59),"")</f>
        <v/>
      </c>
      <c r="AD1151" s="32">
        <f>IF($A1151=1,IF(Expenses!$R59="","",Expenses!$R59),"")</f>
        <v/>
      </c>
      <c r="AE1151" s="32">
        <f>IF($A1151=1,0,"")</f>
        <v/>
      </c>
      <c r="AF1151" s="32" t="inlineStr"/>
    </row>
    <row r="1152">
      <c r="A1152" s="32">
        <f>IF(AND(Expenses!$AB59=1,N(Expenses!$G59)&gt;0),1,0)</f>
        <v/>
      </c>
      <c r="B1152" s="32">
        <f>IF($A1152=1,$E1152&amp;"/2","")</f>
        <v/>
      </c>
      <c r="C1152" s="32">
        <f>IF($A1152=1,"J-"&amp;Expenses!$A59,"")</f>
        <v/>
      </c>
      <c r="D1152" s="33">
        <f>IF($A1152=1,Expenses!$B59,"")</f>
        <v/>
      </c>
      <c r="E1152" s="32">
        <f>IF($A1152=1,IF(Expenses!$A59="","",Expenses!$A59),"")</f>
        <v/>
      </c>
      <c r="F1152" s="32">
        <f>IF($A1152=1,"EXP","")</f>
        <v/>
      </c>
      <c r="G1152" s="32">
        <f>IF($A1152=1,ACC_VAT_IN,"")</f>
        <v/>
      </c>
      <c r="H1152" s="32">
        <f>IF($A1152=1,IF(COUNTIF(COA!$A:$A,$G1152)=0,"حساب غير معرف",INDEX(COA!$B:$B,MATCH($G1152,COA!$A:$A,0))),"")</f>
        <v/>
      </c>
      <c r="I1152" s="32">
        <f>IF($A1152=1,IF(Expenses!$C59="","",Expenses!$C59),"")</f>
        <v/>
      </c>
      <c r="J1152" s="32">
        <f>IF($A1152=1,IF(Expenses!$D59="","",Expenses!$D59),"")</f>
        <v/>
      </c>
      <c r="K1152" s="32">
        <f>IF($A1152=1,"-","")</f>
        <v/>
      </c>
      <c r="L1152" s="32">
        <f>IF($A1152=1,"ضريبة قيمة مضافة - مدخلات","")</f>
        <v/>
      </c>
      <c r="M1152" s="43">
        <f>IF($A1152=1,Expenses!$G59,"")</f>
        <v/>
      </c>
      <c r="N1152" s="43">
        <f>IF($A1152=1,0,"")</f>
        <v/>
      </c>
      <c r="O1152" s="32">
        <f>IF($A1152=1,Expenses!$M59,"")</f>
        <v/>
      </c>
      <c r="P1152" s="32">
        <f>IF($A1152=1,IF(Expenses!$AC59="","",Expenses!$AC59),"")</f>
        <v/>
      </c>
      <c r="Q1152" s="32">
        <f>IF($A1152=1,Expenses!$AE59,"")</f>
        <v/>
      </c>
      <c r="R1152" s="32">
        <f>IF($A1152=1,IF(AND($Q1152=1,COUNTIFS(COA!$A:$A,$G1152,COA!$R:$R,1)=1),1,0),"")</f>
        <v/>
      </c>
      <c r="S1152" s="43">
        <f>IF($A1152=1,IF($R1152=1,N($M1152),0),"")</f>
        <v/>
      </c>
      <c r="T1152" s="43">
        <f>IF($A1152=1,IF($R1152=1,N($N1152),0),"")</f>
        <v/>
      </c>
      <c r="U1152" s="32">
        <f>IF($A1152=1,YEAR($D1152)*100+MONTH($D1152),"")</f>
        <v/>
      </c>
      <c r="V1152" s="32">
        <f>IF($A1152=1,IF(COUNTIF(COA!$A:$A,$G1152)=0,0,INDEX(COA!$H:$H,MATCH($G1152,COA!$A:$A,0))),"")</f>
        <v/>
      </c>
      <c r="W1152" s="32">
        <f>IF($A1152=1,"","")</f>
        <v/>
      </c>
      <c r="X1152" s="32">
        <f>IF($A1152=1,IF($R1152=1,"",IF($O1152=ST_POST,IF($P1152&lt;&gt;"",$P1152,"حساب غير صالح أو غير نشط"),IF($O1152=ST_REV,"معكوس: لا أثر على الدفاتر",IF($O1152=ST_CANC,"ملغى",IF($O1152=ST_APPR,"معتمد ولم يُرحَّل","مسودة"))))),"")</f>
        <v/>
      </c>
      <c r="Y1152" s="32">
        <f>IF($A1152=1,IF(AND($R1152=1,OR(LG_Acct="",$G1152=LG_Acct),OR(LG_Party="",$K1152=LG_Party),OR(LG_Loc="ALL",$I1152=LG_Loc),OR(LG_CC="ALL",$J1152=LG_CC),$D1152&gt;=LG_From,$D1152&lt;=LG_To),$D1152+ROW()/1000000,""),"")</f>
        <v/>
      </c>
      <c r="Z1152" s="32">
        <f>IF($A1152=1,IF(Expenses!$N59="","",Expenses!$N59),"")</f>
        <v/>
      </c>
      <c r="AA1152" s="32">
        <f>IF($A1152=1,IF(Expenses!$O59="","",Expenses!$O59),"")</f>
        <v/>
      </c>
      <c r="AB1152" s="32">
        <f>IF($A1152=1,IF(Expenses!$P59="","",Expenses!$P59),"")</f>
        <v/>
      </c>
      <c r="AC1152" s="32">
        <f>IF($A1152=1,IF(Expenses!$Q59="","",Expenses!$Q59),"")</f>
        <v/>
      </c>
      <c r="AD1152" s="32">
        <f>IF($A1152=1,IF(Expenses!$R59="","",Expenses!$R59),"")</f>
        <v/>
      </c>
      <c r="AE1152" s="32">
        <f>IF($A1152=1,0,"")</f>
        <v/>
      </c>
      <c r="AF1152" s="32" t="inlineStr"/>
    </row>
    <row r="1153">
      <c r="A1153" s="32">
        <f>IF(AND(Expenses!$AB59=1,N(Expenses!$W59)&gt;0),1,0)</f>
        <v/>
      </c>
      <c r="B1153" s="32">
        <f>IF($A1153=1,$E1153&amp;"/3","")</f>
        <v/>
      </c>
      <c r="C1153" s="32">
        <f>IF($A1153=1,"J-"&amp;Expenses!$A59,"")</f>
        <v/>
      </c>
      <c r="D1153" s="33">
        <f>IF($A1153=1,Expenses!$B59,"")</f>
        <v/>
      </c>
      <c r="E1153" s="32">
        <f>IF($A1153=1,IF(Expenses!$A59="","",Expenses!$A59),"")</f>
        <v/>
      </c>
      <c r="F1153" s="32">
        <f>IF($A1153=1,"EXP","")</f>
        <v/>
      </c>
      <c r="G1153" s="32">
        <f>IF($A1153=1,IF(Expenses!$V59="","",Expenses!$V59),"")</f>
        <v/>
      </c>
      <c r="H1153" s="32">
        <f>IF($A1153=1,IF(COUNTIF(COA!$A:$A,$G1153)=0,"حساب غير معرف",INDEX(COA!$B:$B,MATCH($G1153,COA!$A:$A,0))),"")</f>
        <v/>
      </c>
      <c r="I1153" s="32">
        <f>IF($A1153=1,IF(Expenses!$C59="","",Expenses!$C59),"")</f>
        <v/>
      </c>
      <c r="J1153" s="32">
        <f>IF($A1153=1,"CC00","")</f>
        <v/>
      </c>
      <c r="K1153" s="32">
        <f>IF($A1153=1,"-","")</f>
        <v/>
      </c>
      <c r="L1153" s="32">
        <f>IF($A1153=1,IF(Expenses!$L59="","مصروف - "&amp;Expenses!$J59,Expenses!$L59),"")</f>
        <v/>
      </c>
      <c r="M1153" s="43">
        <f>IF($A1153=1,0,"")</f>
        <v/>
      </c>
      <c r="N1153" s="43">
        <f>IF($A1153=1,Expenses!$W59,"")</f>
        <v/>
      </c>
      <c r="O1153" s="32">
        <f>IF($A1153=1,Expenses!$M59,"")</f>
        <v/>
      </c>
      <c r="P1153" s="32">
        <f>IF($A1153=1,IF(Expenses!$AC59="","",Expenses!$AC59),"")</f>
        <v/>
      </c>
      <c r="Q1153" s="32">
        <f>IF($A1153=1,Expenses!$AE59,"")</f>
        <v/>
      </c>
      <c r="R1153" s="32">
        <f>IF($A1153=1,IF(AND($Q1153=1,COUNTIFS(COA!$A:$A,$G1153,COA!$R:$R,1)=1),1,0),"")</f>
        <v/>
      </c>
      <c r="S1153" s="43">
        <f>IF($A1153=1,IF($R1153=1,N($M1153),0),"")</f>
        <v/>
      </c>
      <c r="T1153" s="43">
        <f>IF($A1153=1,IF($R1153=1,N($N1153),0),"")</f>
        <v/>
      </c>
      <c r="U1153" s="32">
        <f>IF($A1153=1,YEAR($D1153)*100+MONTH($D1153),"")</f>
        <v/>
      </c>
      <c r="V1153" s="32">
        <f>IF($A1153=1,IF(COUNTIF(COA!$A:$A,$G1153)=0,0,INDEX(COA!$H:$H,MATCH($G1153,COA!$A:$A,0))),"")</f>
        <v/>
      </c>
      <c r="W1153" s="32">
        <f>IF($A1153=1,"OPERATING","")</f>
        <v/>
      </c>
      <c r="X1153" s="32">
        <f>IF($A1153=1,IF($R1153=1,"",IF($O1153=ST_POST,IF($P1153&lt;&gt;"",$P1153,"حساب غير صالح أو غير نشط"),IF($O1153=ST_REV,"معكوس: لا أثر على الدفاتر",IF($O1153=ST_CANC,"ملغى",IF($O1153=ST_APPR,"معتمد ولم يُرحَّل","مسودة"))))),"")</f>
        <v/>
      </c>
      <c r="Y1153" s="32">
        <f>IF($A1153=1,IF(AND($R1153=1,OR(LG_Acct="",$G1153=LG_Acct),OR(LG_Party="",$K1153=LG_Party),OR(LG_Loc="ALL",$I1153=LG_Loc),OR(LG_CC="ALL",$J1153=LG_CC),$D1153&gt;=LG_From,$D1153&lt;=LG_To),$D1153+ROW()/1000000,""),"")</f>
        <v/>
      </c>
      <c r="Z1153" s="32">
        <f>IF($A1153=1,IF(Expenses!$N59="","",Expenses!$N59),"")</f>
        <v/>
      </c>
      <c r="AA1153" s="32">
        <f>IF($A1153=1,IF(Expenses!$O59="","",Expenses!$O59),"")</f>
        <v/>
      </c>
      <c r="AB1153" s="32">
        <f>IF($A1153=1,IF(Expenses!$P59="","",Expenses!$P59),"")</f>
        <v/>
      </c>
      <c r="AC1153" s="32">
        <f>IF($A1153=1,IF(Expenses!$Q59="","",Expenses!$Q59),"")</f>
        <v/>
      </c>
      <c r="AD1153" s="32">
        <f>IF($A1153=1,IF(Expenses!$R59="","",Expenses!$R59),"")</f>
        <v/>
      </c>
      <c r="AE1153" s="32">
        <f>IF($A1153=1,0,"")</f>
        <v/>
      </c>
      <c r="AF1153" s="32" t="inlineStr"/>
    </row>
    <row r="1154">
      <c r="A1154" s="32">
        <f>IF(AND(Expenses!$AB60=1,N(Expenses!$F60)&gt;0),1,0)</f>
        <v/>
      </c>
      <c r="B1154" s="32">
        <f>IF($A1154=1,$E1154&amp;"/1","")</f>
        <v/>
      </c>
      <c r="C1154" s="32">
        <f>IF($A1154=1,"J-"&amp;Expenses!$A60,"")</f>
        <v/>
      </c>
      <c r="D1154" s="33">
        <f>IF($A1154=1,Expenses!$B60,"")</f>
        <v/>
      </c>
      <c r="E1154" s="32">
        <f>IF($A1154=1,IF(Expenses!$A60="","",Expenses!$A60),"")</f>
        <v/>
      </c>
      <c r="F1154" s="32">
        <f>IF($A1154=1,"EXP","")</f>
        <v/>
      </c>
      <c r="G1154" s="32">
        <f>IF($A1154=1,IF(Expenses!$E60="","",Expenses!$E60),"")</f>
        <v/>
      </c>
      <c r="H1154" s="32">
        <f>IF($A1154=1,IF(COUNTIF(COA!$A:$A,$G1154)=0,"حساب غير معرف",INDEX(COA!$B:$B,MATCH($G1154,COA!$A:$A,0))),"")</f>
        <v/>
      </c>
      <c r="I1154" s="32">
        <f>IF($A1154=1,IF(Expenses!$C60="","",Expenses!$C60),"")</f>
        <v/>
      </c>
      <c r="J1154" s="32">
        <f>IF($A1154=1,IF(Expenses!$D60="","",Expenses!$D60),"")</f>
        <v/>
      </c>
      <c r="K1154" s="32">
        <f>IF($A1154=1,"-","")</f>
        <v/>
      </c>
      <c r="L1154" s="32">
        <f>IF($A1154=1,IF(Expenses!$L60="","مصروف - "&amp;Expenses!$J60,Expenses!$L60),"")</f>
        <v/>
      </c>
      <c r="M1154" s="43">
        <f>IF($A1154=1,Expenses!$F60,"")</f>
        <v/>
      </c>
      <c r="N1154" s="43">
        <f>IF($A1154=1,0,"")</f>
        <v/>
      </c>
      <c r="O1154" s="32">
        <f>IF($A1154=1,Expenses!$M60,"")</f>
        <v/>
      </c>
      <c r="P1154" s="32">
        <f>IF($A1154=1,IF(Expenses!$AC60="","",Expenses!$AC60),"")</f>
        <v/>
      </c>
      <c r="Q1154" s="32">
        <f>IF($A1154=1,Expenses!$AE60,"")</f>
        <v/>
      </c>
      <c r="R1154" s="32">
        <f>IF($A1154=1,IF(AND($Q1154=1,COUNTIFS(COA!$A:$A,$G1154,COA!$R:$R,1)=1),1,0),"")</f>
        <v/>
      </c>
      <c r="S1154" s="43">
        <f>IF($A1154=1,IF($R1154=1,N($M1154),0),"")</f>
        <v/>
      </c>
      <c r="T1154" s="43">
        <f>IF($A1154=1,IF($R1154=1,N($N1154),0),"")</f>
        <v/>
      </c>
      <c r="U1154" s="32">
        <f>IF($A1154=1,YEAR($D1154)*100+MONTH($D1154),"")</f>
        <v/>
      </c>
      <c r="V1154" s="32">
        <f>IF($A1154=1,IF(COUNTIF(COA!$A:$A,$G1154)=0,0,INDEX(COA!$H:$H,MATCH($G1154,COA!$A:$A,0))),"")</f>
        <v/>
      </c>
      <c r="W1154" s="32">
        <f>IF($A1154=1,"","")</f>
        <v/>
      </c>
      <c r="X1154" s="32">
        <f>IF($A1154=1,IF($R1154=1,"",IF($O1154=ST_POST,IF($P1154&lt;&gt;"",$P1154,"حساب غير صالح أو غير نشط"),IF($O1154=ST_REV,"معكوس: لا أثر على الدفاتر",IF($O1154=ST_CANC,"ملغى",IF($O1154=ST_APPR,"معتمد ولم يُرحَّل","مسودة"))))),"")</f>
        <v/>
      </c>
      <c r="Y1154" s="32">
        <f>IF($A1154=1,IF(AND($R1154=1,OR(LG_Acct="",$G1154=LG_Acct),OR(LG_Party="",$K1154=LG_Party),OR(LG_Loc="ALL",$I1154=LG_Loc),OR(LG_CC="ALL",$J1154=LG_CC),$D1154&gt;=LG_From,$D1154&lt;=LG_To),$D1154+ROW()/1000000,""),"")</f>
        <v/>
      </c>
      <c r="Z1154" s="32">
        <f>IF($A1154=1,IF(Expenses!$N60="","",Expenses!$N60),"")</f>
        <v/>
      </c>
      <c r="AA1154" s="32">
        <f>IF($A1154=1,IF(Expenses!$O60="","",Expenses!$O60),"")</f>
        <v/>
      </c>
      <c r="AB1154" s="32">
        <f>IF($A1154=1,IF(Expenses!$P60="","",Expenses!$P60),"")</f>
        <v/>
      </c>
      <c r="AC1154" s="32">
        <f>IF($A1154=1,IF(Expenses!$Q60="","",Expenses!$Q60),"")</f>
        <v/>
      </c>
      <c r="AD1154" s="32">
        <f>IF($A1154=1,IF(Expenses!$R60="","",Expenses!$R60),"")</f>
        <v/>
      </c>
      <c r="AE1154" s="32">
        <f>IF($A1154=1,0,"")</f>
        <v/>
      </c>
      <c r="AF1154" s="32" t="inlineStr"/>
    </row>
    <row r="1155">
      <c r="A1155" s="32">
        <f>IF(AND(Expenses!$AB60=1,N(Expenses!$G60)&gt;0),1,0)</f>
        <v/>
      </c>
      <c r="B1155" s="32">
        <f>IF($A1155=1,$E1155&amp;"/2","")</f>
        <v/>
      </c>
      <c r="C1155" s="32">
        <f>IF($A1155=1,"J-"&amp;Expenses!$A60,"")</f>
        <v/>
      </c>
      <c r="D1155" s="33">
        <f>IF($A1155=1,Expenses!$B60,"")</f>
        <v/>
      </c>
      <c r="E1155" s="32">
        <f>IF($A1155=1,IF(Expenses!$A60="","",Expenses!$A60),"")</f>
        <v/>
      </c>
      <c r="F1155" s="32">
        <f>IF($A1155=1,"EXP","")</f>
        <v/>
      </c>
      <c r="G1155" s="32">
        <f>IF($A1155=1,ACC_VAT_IN,"")</f>
        <v/>
      </c>
      <c r="H1155" s="32">
        <f>IF($A1155=1,IF(COUNTIF(COA!$A:$A,$G1155)=0,"حساب غير معرف",INDEX(COA!$B:$B,MATCH($G1155,COA!$A:$A,0))),"")</f>
        <v/>
      </c>
      <c r="I1155" s="32">
        <f>IF($A1155=1,IF(Expenses!$C60="","",Expenses!$C60),"")</f>
        <v/>
      </c>
      <c r="J1155" s="32">
        <f>IF($A1155=1,IF(Expenses!$D60="","",Expenses!$D60),"")</f>
        <v/>
      </c>
      <c r="K1155" s="32">
        <f>IF($A1155=1,"-","")</f>
        <v/>
      </c>
      <c r="L1155" s="32">
        <f>IF($A1155=1,"ضريبة قيمة مضافة - مدخلات","")</f>
        <v/>
      </c>
      <c r="M1155" s="43">
        <f>IF($A1155=1,Expenses!$G60,"")</f>
        <v/>
      </c>
      <c r="N1155" s="43">
        <f>IF($A1155=1,0,"")</f>
        <v/>
      </c>
      <c r="O1155" s="32">
        <f>IF($A1155=1,Expenses!$M60,"")</f>
        <v/>
      </c>
      <c r="P1155" s="32">
        <f>IF($A1155=1,IF(Expenses!$AC60="","",Expenses!$AC60),"")</f>
        <v/>
      </c>
      <c r="Q1155" s="32">
        <f>IF($A1155=1,Expenses!$AE60,"")</f>
        <v/>
      </c>
      <c r="R1155" s="32">
        <f>IF($A1155=1,IF(AND($Q1155=1,COUNTIFS(COA!$A:$A,$G1155,COA!$R:$R,1)=1),1,0),"")</f>
        <v/>
      </c>
      <c r="S1155" s="43">
        <f>IF($A1155=1,IF($R1155=1,N($M1155),0),"")</f>
        <v/>
      </c>
      <c r="T1155" s="43">
        <f>IF($A1155=1,IF($R1155=1,N($N1155),0),"")</f>
        <v/>
      </c>
      <c r="U1155" s="32">
        <f>IF($A1155=1,YEAR($D1155)*100+MONTH($D1155),"")</f>
        <v/>
      </c>
      <c r="V1155" s="32">
        <f>IF($A1155=1,IF(COUNTIF(COA!$A:$A,$G1155)=0,0,INDEX(COA!$H:$H,MATCH($G1155,COA!$A:$A,0))),"")</f>
        <v/>
      </c>
      <c r="W1155" s="32">
        <f>IF($A1155=1,"","")</f>
        <v/>
      </c>
      <c r="X1155" s="32">
        <f>IF($A1155=1,IF($R1155=1,"",IF($O1155=ST_POST,IF($P1155&lt;&gt;"",$P1155,"حساب غير صالح أو غير نشط"),IF($O1155=ST_REV,"معكوس: لا أثر على الدفاتر",IF($O1155=ST_CANC,"ملغى",IF($O1155=ST_APPR,"معتمد ولم يُرحَّل","مسودة"))))),"")</f>
        <v/>
      </c>
      <c r="Y1155" s="32">
        <f>IF($A1155=1,IF(AND($R1155=1,OR(LG_Acct="",$G1155=LG_Acct),OR(LG_Party="",$K1155=LG_Party),OR(LG_Loc="ALL",$I1155=LG_Loc),OR(LG_CC="ALL",$J1155=LG_CC),$D1155&gt;=LG_From,$D1155&lt;=LG_To),$D1155+ROW()/1000000,""),"")</f>
        <v/>
      </c>
      <c r="Z1155" s="32">
        <f>IF($A1155=1,IF(Expenses!$N60="","",Expenses!$N60),"")</f>
        <v/>
      </c>
      <c r="AA1155" s="32">
        <f>IF($A1155=1,IF(Expenses!$O60="","",Expenses!$O60),"")</f>
        <v/>
      </c>
      <c r="AB1155" s="32">
        <f>IF($A1155=1,IF(Expenses!$P60="","",Expenses!$P60),"")</f>
        <v/>
      </c>
      <c r="AC1155" s="32">
        <f>IF($A1155=1,IF(Expenses!$Q60="","",Expenses!$Q60),"")</f>
        <v/>
      </c>
      <c r="AD1155" s="32">
        <f>IF($A1155=1,IF(Expenses!$R60="","",Expenses!$R60),"")</f>
        <v/>
      </c>
      <c r="AE1155" s="32">
        <f>IF($A1155=1,0,"")</f>
        <v/>
      </c>
      <c r="AF1155" s="32" t="inlineStr"/>
    </row>
    <row r="1156">
      <c r="A1156" s="32">
        <f>IF(AND(Expenses!$AB60=1,N(Expenses!$W60)&gt;0),1,0)</f>
        <v/>
      </c>
      <c r="B1156" s="32">
        <f>IF($A1156=1,$E1156&amp;"/3","")</f>
        <v/>
      </c>
      <c r="C1156" s="32">
        <f>IF($A1156=1,"J-"&amp;Expenses!$A60,"")</f>
        <v/>
      </c>
      <c r="D1156" s="33">
        <f>IF($A1156=1,Expenses!$B60,"")</f>
        <v/>
      </c>
      <c r="E1156" s="32">
        <f>IF($A1156=1,IF(Expenses!$A60="","",Expenses!$A60),"")</f>
        <v/>
      </c>
      <c r="F1156" s="32">
        <f>IF($A1156=1,"EXP","")</f>
        <v/>
      </c>
      <c r="G1156" s="32">
        <f>IF($A1156=1,IF(Expenses!$V60="","",Expenses!$V60),"")</f>
        <v/>
      </c>
      <c r="H1156" s="32">
        <f>IF($A1156=1,IF(COUNTIF(COA!$A:$A,$G1156)=0,"حساب غير معرف",INDEX(COA!$B:$B,MATCH($G1156,COA!$A:$A,0))),"")</f>
        <v/>
      </c>
      <c r="I1156" s="32">
        <f>IF($A1156=1,IF(Expenses!$C60="","",Expenses!$C60),"")</f>
        <v/>
      </c>
      <c r="J1156" s="32">
        <f>IF($A1156=1,"CC00","")</f>
        <v/>
      </c>
      <c r="K1156" s="32">
        <f>IF($A1156=1,"-","")</f>
        <v/>
      </c>
      <c r="L1156" s="32">
        <f>IF($A1156=1,IF(Expenses!$L60="","مصروف - "&amp;Expenses!$J60,Expenses!$L60),"")</f>
        <v/>
      </c>
      <c r="M1156" s="43">
        <f>IF($A1156=1,0,"")</f>
        <v/>
      </c>
      <c r="N1156" s="43">
        <f>IF($A1156=1,Expenses!$W60,"")</f>
        <v/>
      </c>
      <c r="O1156" s="32">
        <f>IF($A1156=1,Expenses!$M60,"")</f>
        <v/>
      </c>
      <c r="P1156" s="32">
        <f>IF($A1156=1,IF(Expenses!$AC60="","",Expenses!$AC60),"")</f>
        <v/>
      </c>
      <c r="Q1156" s="32">
        <f>IF($A1156=1,Expenses!$AE60,"")</f>
        <v/>
      </c>
      <c r="R1156" s="32">
        <f>IF($A1156=1,IF(AND($Q1156=1,COUNTIFS(COA!$A:$A,$G1156,COA!$R:$R,1)=1),1,0),"")</f>
        <v/>
      </c>
      <c r="S1156" s="43">
        <f>IF($A1156=1,IF($R1156=1,N($M1156),0),"")</f>
        <v/>
      </c>
      <c r="T1156" s="43">
        <f>IF($A1156=1,IF($R1156=1,N($N1156),0),"")</f>
        <v/>
      </c>
      <c r="U1156" s="32">
        <f>IF($A1156=1,YEAR($D1156)*100+MONTH($D1156),"")</f>
        <v/>
      </c>
      <c r="V1156" s="32">
        <f>IF($A1156=1,IF(COUNTIF(COA!$A:$A,$G1156)=0,0,INDEX(COA!$H:$H,MATCH($G1156,COA!$A:$A,0))),"")</f>
        <v/>
      </c>
      <c r="W1156" s="32">
        <f>IF($A1156=1,"OPERATING","")</f>
        <v/>
      </c>
      <c r="X1156" s="32">
        <f>IF($A1156=1,IF($R1156=1,"",IF($O1156=ST_POST,IF($P1156&lt;&gt;"",$P1156,"حساب غير صالح أو غير نشط"),IF($O1156=ST_REV,"معكوس: لا أثر على الدفاتر",IF($O1156=ST_CANC,"ملغى",IF($O1156=ST_APPR,"معتمد ولم يُرحَّل","مسودة"))))),"")</f>
        <v/>
      </c>
      <c r="Y1156" s="32">
        <f>IF($A1156=1,IF(AND($R1156=1,OR(LG_Acct="",$G1156=LG_Acct),OR(LG_Party="",$K1156=LG_Party),OR(LG_Loc="ALL",$I1156=LG_Loc),OR(LG_CC="ALL",$J1156=LG_CC),$D1156&gt;=LG_From,$D1156&lt;=LG_To),$D1156+ROW()/1000000,""),"")</f>
        <v/>
      </c>
      <c r="Z1156" s="32">
        <f>IF($A1156=1,IF(Expenses!$N60="","",Expenses!$N60),"")</f>
        <v/>
      </c>
      <c r="AA1156" s="32">
        <f>IF($A1156=1,IF(Expenses!$O60="","",Expenses!$O60),"")</f>
        <v/>
      </c>
      <c r="AB1156" s="32">
        <f>IF($A1156=1,IF(Expenses!$P60="","",Expenses!$P60),"")</f>
        <v/>
      </c>
      <c r="AC1156" s="32">
        <f>IF($A1156=1,IF(Expenses!$Q60="","",Expenses!$Q60),"")</f>
        <v/>
      </c>
      <c r="AD1156" s="32">
        <f>IF($A1156=1,IF(Expenses!$R60="","",Expenses!$R60),"")</f>
        <v/>
      </c>
      <c r="AE1156" s="32">
        <f>IF($A1156=1,0,"")</f>
        <v/>
      </c>
      <c r="AF1156" s="32" t="inlineStr"/>
    </row>
    <row r="1157">
      <c r="A1157" s="32">
        <f>IF(AND(Expenses!$AB61=1,N(Expenses!$F61)&gt;0),1,0)</f>
        <v/>
      </c>
      <c r="B1157" s="32">
        <f>IF($A1157=1,$E1157&amp;"/1","")</f>
        <v/>
      </c>
      <c r="C1157" s="32">
        <f>IF($A1157=1,"J-"&amp;Expenses!$A61,"")</f>
        <v/>
      </c>
      <c r="D1157" s="33">
        <f>IF($A1157=1,Expenses!$B61,"")</f>
        <v/>
      </c>
      <c r="E1157" s="32">
        <f>IF($A1157=1,IF(Expenses!$A61="","",Expenses!$A61),"")</f>
        <v/>
      </c>
      <c r="F1157" s="32">
        <f>IF($A1157=1,"EXP","")</f>
        <v/>
      </c>
      <c r="G1157" s="32">
        <f>IF($A1157=1,IF(Expenses!$E61="","",Expenses!$E61),"")</f>
        <v/>
      </c>
      <c r="H1157" s="32">
        <f>IF($A1157=1,IF(COUNTIF(COA!$A:$A,$G1157)=0,"حساب غير معرف",INDEX(COA!$B:$B,MATCH($G1157,COA!$A:$A,0))),"")</f>
        <v/>
      </c>
      <c r="I1157" s="32">
        <f>IF($A1157=1,IF(Expenses!$C61="","",Expenses!$C61),"")</f>
        <v/>
      </c>
      <c r="J1157" s="32">
        <f>IF($A1157=1,IF(Expenses!$D61="","",Expenses!$D61),"")</f>
        <v/>
      </c>
      <c r="K1157" s="32">
        <f>IF($A1157=1,"-","")</f>
        <v/>
      </c>
      <c r="L1157" s="32">
        <f>IF($A1157=1,IF(Expenses!$L61="","مصروف - "&amp;Expenses!$J61,Expenses!$L61),"")</f>
        <v/>
      </c>
      <c r="M1157" s="43">
        <f>IF($A1157=1,Expenses!$F61,"")</f>
        <v/>
      </c>
      <c r="N1157" s="43">
        <f>IF($A1157=1,0,"")</f>
        <v/>
      </c>
      <c r="O1157" s="32">
        <f>IF($A1157=1,Expenses!$M61,"")</f>
        <v/>
      </c>
      <c r="P1157" s="32">
        <f>IF($A1157=1,IF(Expenses!$AC61="","",Expenses!$AC61),"")</f>
        <v/>
      </c>
      <c r="Q1157" s="32">
        <f>IF($A1157=1,Expenses!$AE61,"")</f>
        <v/>
      </c>
      <c r="R1157" s="32">
        <f>IF($A1157=1,IF(AND($Q1157=1,COUNTIFS(COA!$A:$A,$G1157,COA!$R:$R,1)=1),1,0),"")</f>
        <v/>
      </c>
      <c r="S1157" s="43">
        <f>IF($A1157=1,IF($R1157=1,N($M1157),0),"")</f>
        <v/>
      </c>
      <c r="T1157" s="43">
        <f>IF($A1157=1,IF($R1157=1,N($N1157),0),"")</f>
        <v/>
      </c>
      <c r="U1157" s="32">
        <f>IF($A1157=1,YEAR($D1157)*100+MONTH($D1157),"")</f>
        <v/>
      </c>
      <c r="V1157" s="32">
        <f>IF($A1157=1,IF(COUNTIF(COA!$A:$A,$G1157)=0,0,INDEX(COA!$H:$H,MATCH($G1157,COA!$A:$A,0))),"")</f>
        <v/>
      </c>
      <c r="W1157" s="32">
        <f>IF($A1157=1,"","")</f>
        <v/>
      </c>
      <c r="X1157" s="32">
        <f>IF($A1157=1,IF($R1157=1,"",IF($O1157=ST_POST,IF($P1157&lt;&gt;"",$P1157,"حساب غير صالح أو غير نشط"),IF($O1157=ST_REV,"معكوس: لا أثر على الدفاتر",IF($O1157=ST_CANC,"ملغى",IF($O1157=ST_APPR,"معتمد ولم يُرحَّل","مسودة"))))),"")</f>
        <v/>
      </c>
      <c r="Y1157" s="32">
        <f>IF($A1157=1,IF(AND($R1157=1,OR(LG_Acct="",$G1157=LG_Acct),OR(LG_Party="",$K1157=LG_Party),OR(LG_Loc="ALL",$I1157=LG_Loc),OR(LG_CC="ALL",$J1157=LG_CC),$D1157&gt;=LG_From,$D1157&lt;=LG_To),$D1157+ROW()/1000000,""),"")</f>
        <v/>
      </c>
      <c r="Z1157" s="32">
        <f>IF($A1157=1,IF(Expenses!$N61="","",Expenses!$N61),"")</f>
        <v/>
      </c>
      <c r="AA1157" s="32">
        <f>IF($A1157=1,IF(Expenses!$O61="","",Expenses!$O61),"")</f>
        <v/>
      </c>
      <c r="AB1157" s="32">
        <f>IF($A1157=1,IF(Expenses!$P61="","",Expenses!$P61),"")</f>
        <v/>
      </c>
      <c r="AC1157" s="32">
        <f>IF($A1157=1,IF(Expenses!$Q61="","",Expenses!$Q61),"")</f>
        <v/>
      </c>
      <c r="AD1157" s="32">
        <f>IF($A1157=1,IF(Expenses!$R61="","",Expenses!$R61),"")</f>
        <v/>
      </c>
      <c r="AE1157" s="32">
        <f>IF($A1157=1,0,"")</f>
        <v/>
      </c>
      <c r="AF1157" s="32" t="inlineStr"/>
    </row>
    <row r="1158">
      <c r="A1158" s="32">
        <f>IF(AND(Expenses!$AB61=1,N(Expenses!$G61)&gt;0),1,0)</f>
        <v/>
      </c>
      <c r="B1158" s="32">
        <f>IF($A1158=1,$E1158&amp;"/2","")</f>
        <v/>
      </c>
      <c r="C1158" s="32">
        <f>IF($A1158=1,"J-"&amp;Expenses!$A61,"")</f>
        <v/>
      </c>
      <c r="D1158" s="33">
        <f>IF($A1158=1,Expenses!$B61,"")</f>
        <v/>
      </c>
      <c r="E1158" s="32">
        <f>IF($A1158=1,IF(Expenses!$A61="","",Expenses!$A61),"")</f>
        <v/>
      </c>
      <c r="F1158" s="32">
        <f>IF($A1158=1,"EXP","")</f>
        <v/>
      </c>
      <c r="G1158" s="32">
        <f>IF($A1158=1,ACC_VAT_IN,"")</f>
        <v/>
      </c>
      <c r="H1158" s="32">
        <f>IF($A1158=1,IF(COUNTIF(COA!$A:$A,$G1158)=0,"حساب غير معرف",INDEX(COA!$B:$B,MATCH($G1158,COA!$A:$A,0))),"")</f>
        <v/>
      </c>
      <c r="I1158" s="32">
        <f>IF($A1158=1,IF(Expenses!$C61="","",Expenses!$C61),"")</f>
        <v/>
      </c>
      <c r="J1158" s="32">
        <f>IF($A1158=1,IF(Expenses!$D61="","",Expenses!$D61),"")</f>
        <v/>
      </c>
      <c r="K1158" s="32">
        <f>IF($A1158=1,"-","")</f>
        <v/>
      </c>
      <c r="L1158" s="32">
        <f>IF($A1158=1,"ضريبة قيمة مضافة - مدخلات","")</f>
        <v/>
      </c>
      <c r="M1158" s="43">
        <f>IF($A1158=1,Expenses!$G61,"")</f>
        <v/>
      </c>
      <c r="N1158" s="43">
        <f>IF($A1158=1,0,"")</f>
        <v/>
      </c>
      <c r="O1158" s="32">
        <f>IF($A1158=1,Expenses!$M61,"")</f>
        <v/>
      </c>
      <c r="P1158" s="32">
        <f>IF($A1158=1,IF(Expenses!$AC61="","",Expenses!$AC61),"")</f>
        <v/>
      </c>
      <c r="Q1158" s="32">
        <f>IF($A1158=1,Expenses!$AE61,"")</f>
        <v/>
      </c>
      <c r="R1158" s="32">
        <f>IF($A1158=1,IF(AND($Q1158=1,COUNTIFS(COA!$A:$A,$G1158,COA!$R:$R,1)=1),1,0),"")</f>
        <v/>
      </c>
      <c r="S1158" s="43">
        <f>IF($A1158=1,IF($R1158=1,N($M1158),0),"")</f>
        <v/>
      </c>
      <c r="T1158" s="43">
        <f>IF($A1158=1,IF($R1158=1,N($N1158),0),"")</f>
        <v/>
      </c>
      <c r="U1158" s="32">
        <f>IF($A1158=1,YEAR($D1158)*100+MONTH($D1158),"")</f>
        <v/>
      </c>
      <c r="V1158" s="32">
        <f>IF($A1158=1,IF(COUNTIF(COA!$A:$A,$G1158)=0,0,INDEX(COA!$H:$H,MATCH($G1158,COA!$A:$A,0))),"")</f>
        <v/>
      </c>
      <c r="W1158" s="32">
        <f>IF($A1158=1,"","")</f>
        <v/>
      </c>
      <c r="X1158" s="32">
        <f>IF($A1158=1,IF($R1158=1,"",IF($O1158=ST_POST,IF($P1158&lt;&gt;"",$P1158,"حساب غير صالح أو غير نشط"),IF($O1158=ST_REV,"معكوس: لا أثر على الدفاتر",IF($O1158=ST_CANC,"ملغى",IF($O1158=ST_APPR,"معتمد ولم يُرحَّل","مسودة"))))),"")</f>
        <v/>
      </c>
      <c r="Y1158" s="32">
        <f>IF($A1158=1,IF(AND($R1158=1,OR(LG_Acct="",$G1158=LG_Acct),OR(LG_Party="",$K1158=LG_Party),OR(LG_Loc="ALL",$I1158=LG_Loc),OR(LG_CC="ALL",$J1158=LG_CC),$D1158&gt;=LG_From,$D1158&lt;=LG_To),$D1158+ROW()/1000000,""),"")</f>
        <v/>
      </c>
      <c r="Z1158" s="32">
        <f>IF($A1158=1,IF(Expenses!$N61="","",Expenses!$N61),"")</f>
        <v/>
      </c>
      <c r="AA1158" s="32">
        <f>IF($A1158=1,IF(Expenses!$O61="","",Expenses!$O61),"")</f>
        <v/>
      </c>
      <c r="AB1158" s="32">
        <f>IF($A1158=1,IF(Expenses!$P61="","",Expenses!$P61),"")</f>
        <v/>
      </c>
      <c r="AC1158" s="32">
        <f>IF($A1158=1,IF(Expenses!$Q61="","",Expenses!$Q61),"")</f>
        <v/>
      </c>
      <c r="AD1158" s="32">
        <f>IF($A1158=1,IF(Expenses!$R61="","",Expenses!$R61),"")</f>
        <v/>
      </c>
      <c r="AE1158" s="32">
        <f>IF($A1158=1,0,"")</f>
        <v/>
      </c>
      <c r="AF1158" s="32" t="inlineStr"/>
    </row>
    <row r="1159">
      <c r="A1159" s="32">
        <f>IF(AND(Expenses!$AB61=1,N(Expenses!$W61)&gt;0),1,0)</f>
        <v/>
      </c>
      <c r="B1159" s="32">
        <f>IF($A1159=1,$E1159&amp;"/3","")</f>
        <v/>
      </c>
      <c r="C1159" s="32">
        <f>IF($A1159=1,"J-"&amp;Expenses!$A61,"")</f>
        <v/>
      </c>
      <c r="D1159" s="33">
        <f>IF($A1159=1,Expenses!$B61,"")</f>
        <v/>
      </c>
      <c r="E1159" s="32">
        <f>IF($A1159=1,IF(Expenses!$A61="","",Expenses!$A61),"")</f>
        <v/>
      </c>
      <c r="F1159" s="32">
        <f>IF($A1159=1,"EXP","")</f>
        <v/>
      </c>
      <c r="G1159" s="32">
        <f>IF($A1159=1,IF(Expenses!$V61="","",Expenses!$V61),"")</f>
        <v/>
      </c>
      <c r="H1159" s="32">
        <f>IF($A1159=1,IF(COUNTIF(COA!$A:$A,$G1159)=0,"حساب غير معرف",INDEX(COA!$B:$B,MATCH($G1159,COA!$A:$A,0))),"")</f>
        <v/>
      </c>
      <c r="I1159" s="32">
        <f>IF($A1159=1,IF(Expenses!$C61="","",Expenses!$C61),"")</f>
        <v/>
      </c>
      <c r="J1159" s="32">
        <f>IF($A1159=1,"CC00","")</f>
        <v/>
      </c>
      <c r="K1159" s="32">
        <f>IF($A1159=1,"-","")</f>
        <v/>
      </c>
      <c r="L1159" s="32">
        <f>IF($A1159=1,IF(Expenses!$L61="","مصروف - "&amp;Expenses!$J61,Expenses!$L61),"")</f>
        <v/>
      </c>
      <c r="M1159" s="43">
        <f>IF($A1159=1,0,"")</f>
        <v/>
      </c>
      <c r="N1159" s="43">
        <f>IF($A1159=1,Expenses!$W61,"")</f>
        <v/>
      </c>
      <c r="O1159" s="32">
        <f>IF($A1159=1,Expenses!$M61,"")</f>
        <v/>
      </c>
      <c r="P1159" s="32">
        <f>IF($A1159=1,IF(Expenses!$AC61="","",Expenses!$AC61),"")</f>
        <v/>
      </c>
      <c r="Q1159" s="32">
        <f>IF($A1159=1,Expenses!$AE61,"")</f>
        <v/>
      </c>
      <c r="R1159" s="32">
        <f>IF($A1159=1,IF(AND($Q1159=1,COUNTIFS(COA!$A:$A,$G1159,COA!$R:$R,1)=1),1,0),"")</f>
        <v/>
      </c>
      <c r="S1159" s="43">
        <f>IF($A1159=1,IF($R1159=1,N($M1159),0),"")</f>
        <v/>
      </c>
      <c r="T1159" s="43">
        <f>IF($A1159=1,IF($R1159=1,N($N1159),0),"")</f>
        <v/>
      </c>
      <c r="U1159" s="32">
        <f>IF($A1159=1,YEAR($D1159)*100+MONTH($D1159),"")</f>
        <v/>
      </c>
      <c r="V1159" s="32">
        <f>IF($A1159=1,IF(COUNTIF(COA!$A:$A,$G1159)=0,0,INDEX(COA!$H:$H,MATCH($G1159,COA!$A:$A,0))),"")</f>
        <v/>
      </c>
      <c r="W1159" s="32">
        <f>IF($A1159=1,"OPERATING","")</f>
        <v/>
      </c>
      <c r="X1159" s="32">
        <f>IF($A1159=1,IF($R1159=1,"",IF($O1159=ST_POST,IF($P1159&lt;&gt;"",$P1159,"حساب غير صالح أو غير نشط"),IF($O1159=ST_REV,"معكوس: لا أثر على الدفاتر",IF($O1159=ST_CANC,"ملغى",IF($O1159=ST_APPR,"معتمد ولم يُرحَّل","مسودة"))))),"")</f>
        <v/>
      </c>
      <c r="Y1159" s="32">
        <f>IF($A1159=1,IF(AND($R1159=1,OR(LG_Acct="",$G1159=LG_Acct),OR(LG_Party="",$K1159=LG_Party),OR(LG_Loc="ALL",$I1159=LG_Loc),OR(LG_CC="ALL",$J1159=LG_CC),$D1159&gt;=LG_From,$D1159&lt;=LG_To),$D1159+ROW()/1000000,""),"")</f>
        <v/>
      </c>
      <c r="Z1159" s="32">
        <f>IF($A1159=1,IF(Expenses!$N61="","",Expenses!$N61),"")</f>
        <v/>
      </c>
      <c r="AA1159" s="32">
        <f>IF($A1159=1,IF(Expenses!$O61="","",Expenses!$O61),"")</f>
        <v/>
      </c>
      <c r="AB1159" s="32">
        <f>IF($A1159=1,IF(Expenses!$P61="","",Expenses!$P61),"")</f>
        <v/>
      </c>
      <c r="AC1159" s="32">
        <f>IF($A1159=1,IF(Expenses!$Q61="","",Expenses!$Q61),"")</f>
        <v/>
      </c>
      <c r="AD1159" s="32">
        <f>IF($A1159=1,IF(Expenses!$R61="","",Expenses!$R61),"")</f>
        <v/>
      </c>
      <c r="AE1159" s="32">
        <f>IF($A1159=1,0,"")</f>
        <v/>
      </c>
      <c r="AF1159" s="32" t="inlineStr"/>
    </row>
    <row r="1160">
      <c r="A1160" s="32">
        <f>IF(AND(Expenses!$AB62=1,N(Expenses!$F62)&gt;0),1,0)</f>
        <v/>
      </c>
      <c r="B1160" s="32">
        <f>IF($A1160=1,$E1160&amp;"/1","")</f>
        <v/>
      </c>
      <c r="C1160" s="32">
        <f>IF($A1160=1,"J-"&amp;Expenses!$A62,"")</f>
        <v/>
      </c>
      <c r="D1160" s="33">
        <f>IF($A1160=1,Expenses!$B62,"")</f>
        <v/>
      </c>
      <c r="E1160" s="32">
        <f>IF($A1160=1,IF(Expenses!$A62="","",Expenses!$A62),"")</f>
        <v/>
      </c>
      <c r="F1160" s="32">
        <f>IF($A1160=1,"EXP","")</f>
        <v/>
      </c>
      <c r="G1160" s="32">
        <f>IF($A1160=1,IF(Expenses!$E62="","",Expenses!$E62),"")</f>
        <v/>
      </c>
      <c r="H1160" s="32">
        <f>IF($A1160=1,IF(COUNTIF(COA!$A:$A,$G1160)=0,"حساب غير معرف",INDEX(COA!$B:$B,MATCH($G1160,COA!$A:$A,0))),"")</f>
        <v/>
      </c>
      <c r="I1160" s="32">
        <f>IF($A1160=1,IF(Expenses!$C62="","",Expenses!$C62),"")</f>
        <v/>
      </c>
      <c r="J1160" s="32">
        <f>IF($A1160=1,IF(Expenses!$D62="","",Expenses!$D62),"")</f>
        <v/>
      </c>
      <c r="K1160" s="32">
        <f>IF($A1160=1,"-","")</f>
        <v/>
      </c>
      <c r="L1160" s="32">
        <f>IF($A1160=1,IF(Expenses!$L62="","مصروف - "&amp;Expenses!$J62,Expenses!$L62),"")</f>
        <v/>
      </c>
      <c r="M1160" s="43">
        <f>IF($A1160=1,Expenses!$F62,"")</f>
        <v/>
      </c>
      <c r="N1160" s="43">
        <f>IF($A1160=1,0,"")</f>
        <v/>
      </c>
      <c r="O1160" s="32">
        <f>IF($A1160=1,Expenses!$M62,"")</f>
        <v/>
      </c>
      <c r="P1160" s="32">
        <f>IF($A1160=1,IF(Expenses!$AC62="","",Expenses!$AC62),"")</f>
        <v/>
      </c>
      <c r="Q1160" s="32">
        <f>IF($A1160=1,Expenses!$AE62,"")</f>
        <v/>
      </c>
      <c r="R1160" s="32">
        <f>IF($A1160=1,IF(AND($Q1160=1,COUNTIFS(COA!$A:$A,$G1160,COA!$R:$R,1)=1),1,0),"")</f>
        <v/>
      </c>
      <c r="S1160" s="43">
        <f>IF($A1160=1,IF($R1160=1,N($M1160),0),"")</f>
        <v/>
      </c>
      <c r="T1160" s="43">
        <f>IF($A1160=1,IF($R1160=1,N($N1160),0),"")</f>
        <v/>
      </c>
      <c r="U1160" s="32">
        <f>IF($A1160=1,YEAR($D1160)*100+MONTH($D1160),"")</f>
        <v/>
      </c>
      <c r="V1160" s="32">
        <f>IF($A1160=1,IF(COUNTIF(COA!$A:$A,$G1160)=0,0,INDEX(COA!$H:$H,MATCH($G1160,COA!$A:$A,0))),"")</f>
        <v/>
      </c>
      <c r="W1160" s="32">
        <f>IF($A1160=1,"","")</f>
        <v/>
      </c>
      <c r="X1160" s="32">
        <f>IF($A1160=1,IF($R1160=1,"",IF($O1160=ST_POST,IF($P1160&lt;&gt;"",$P1160,"حساب غير صالح أو غير نشط"),IF($O1160=ST_REV,"معكوس: لا أثر على الدفاتر",IF($O1160=ST_CANC,"ملغى",IF($O1160=ST_APPR,"معتمد ولم يُرحَّل","مسودة"))))),"")</f>
        <v/>
      </c>
      <c r="Y1160" s="32">
        <f>IF($A1160=1,IF(AND($R1160=1,OR(LG_Acct="",$G1160=LG_Acct),OR(LG_Party="",$K1160=LG_Party),OR(LG_Loc="ALL",$I1160=LG_Loc),OR(LG_CC="ALL",$J1160=LG_CC),$D1160&gt;=LG_From,$D1160&lt;=LG_To),$D1160+ROW()/1000000,""),"")</f>
        <v/>
      </c>
      <c r="Z1160" s="32">
        <f>IF($A1160=1,IF(Expenses!$N62="","",Expenses!$N62),"")</f>
        <v/>
      </c>
      <c r="AA1160" s="32">
        <f>IF($A1160=1,IF(Expenses!$O62="","",Expenses!$O62),"")</f>
        <v/>
      </c>
      <c r="AB1160" s="32">
        <f>IF($A1160=1,IF(Expenses!$P62="","",Expenses!$P62),"")</f>
        <v/>
      </c>
      <c r="AC1160" s="32">
        <f>IF($A1160=1,IF(Expenses!$Q62="","",Expenses!$Q62),"")</f>
        <v/>
      </c>
      <c r="AD1160" s="32">
        <f>IF($A1160=1,IF(Expenses!$R62="","",Expenses!$R62),"")</f>
        <v/>
      </c>
      <c r="AE1160" s="32">
        <f>IF($A1160=1,0,"")</f>
        <v/>
      </c>
      <c r="AF1160" s="32" t="inlineStr"/>
    </row>
    <row r="1161">
      <c r="A1161" s="32">
        <f>IF(AND(Expenses!$AB62=1,N(Expenses!$G62)&gt;0),1,0)</f>
        <v/>
      </c>
      <c r="B1161" s="32">
        <f>IF($A1161=1,$E1161&amp;"/2","")</f>
        <v/>
      </c>
      <c r="C1161" s="32">
        <f>IF($A1161=1,"J-"&amp;Expenses!$A62,"")</f>
        <v/>
      </c>
      <c r="D1161" s="33">
        <f>IF($A1161=1,Expenses!$B62,"")</f>
        <v/>
      </c>
      <c r="E1161" s="32">
        <f>IF($A1161=1,IF(Expenses!$A62="","",Expenses!$A62),"")</f>
        <v/>
      </c>
      <c r="F1161" s="32">
        <f>IF($A1161=1,"EXP","")</f>
        <v/>
      </c>
      <c r="G1161" s="32">
        <f>IF($A1161=1,ACC_VAT_IN,"")</f>
        <v/>
      </c>
      <c r="H1161" s="32">
        <f>IF($A1161=1,IF(COUNTIF(COA!$A:$A,$G1161)=0,"حساب غير معرف",INDEX(COA!$B:$B,MATCH($G1161,COA!$A:$A,0))),"")</f>
        <v/>
      </c>
      <c r="I1161" s="32">
        <f>IF($A1161=1,IF(Expenses!$C62="","",Expenses!$C62),"")</f>
        <v/>
      </c>
      <c r="J1161" s="32">
        <f>IF($A1161=1,IF(Expenses!$D62="","",Expenses!$D62),"")</f>
        <v/>
      </c>
      <c r="K1161" s="32">
        <f>IF($A1161=1,"-","")</f>
        <v/>
      </c>
      <c r="L1161" s="32">
        <f>IF($A1161=1,"ضريبة قيمة مضافة - مدخلات","")</f>
        <v/>
      </c>
      <c r="M1161" s="43">
        <f>IF($A1161=1,Expenses!$G62,"")</f>
        <v/>
      </c>
      <c r="N1161" s="43">
        <f>IF($A1161=1,0,"")</f>
        <v/>
      </c>
      <c r="O1161" s="32">
        <f>IF($A1161=1,Expenses!$M62,"")</f>
        <v/>
      </c>
      <c r="P1161" s="32">
        <f>IF($A1161=1,IF(Expenses!$AC62="","",Expenses!$AC62),"")</f>
        <v/>
      </c>
      <c r="Q1161" s="32">
        <f>IF($A1161=1,Expenses!$AE62,"")</f>
        <v/>
      </c>
      <c r="R1161" s="32">
        <f>IF($A1161=1,IF(AND($Q1161=1,COUNTIFS(COA!$A:$A,$G1161,COA!$R:$R,1)=1),1,0),"")</f>
        <v/>
      </c>
      <c r="S1161" s="43">
        <f>IF($A1161=1,IF($R1161=1,N($M1161),0),"")</f>
        <v/>
      </c>
      <c r="T1161" s="43">
        <f>IF($A1161=1,IF($R1161=1,N($N1161),0),"")</f>
        <v/>
      </c>
      <c r="U1161" s="32">
        <f>IF($A1161=1,YEAR($D1161)*100+MONTH($D1161),"")</f>
        <v/>
      </c>
      <c r="V1161" s="32">
        <f>IF($A1161=1,IF(COUNTIF(COA!$A:$A,$G1161)=0,0,INDEX(COA!$H:$H,MATCH($G1161,COA!$A:$A,0))),"")</f>
        <v/>
      </c>
      <c r="W1161" s="32">
        <f>IF($A1161=1,"","")</f>
        <v/>
      </c>
      <c r="X1161" s="32">
        <f>IF($A1161=1,IF($R1161=1,"",IF($O1161=ST_POST,IF($P1161&lt;&gt;"",$P1161,"حساب غير صالح أو غير نشط"),IF($O1161=ST_REV,"معكوس: لا أثر على الدفاتر",IF($O1161=ST_CANC,"ملغى",IF($O1161=ST_APPR,"معتمد ولم يُرحَّل","مسودة"))))),"")</f>
        <v/>
      </c>
      <c r="Y1161" s="32">
        <f>IF($A1161=1,IF(AND($R1161=1,OR(LG_Acct="",$G1161=LG_Acct),OR(LG_Party="",$K1161=LG_Party),OR(LG_Loc="ALL",$I1161=LG_Loc),OR(LG_CC="ALL",$J1161=LG_CC),$D1161&gt;=LG_From,$D1161&lt;=LG_To),$D1161+ROW()/1000000,""),"")</f>
        <v/>
      </c>
      <c r="Z1161" s="32">
        <f>IF($A1161=1,IF(Expenses!$N62="","",Expenses!$N62),"")</f>
        <v/>
      </c>
      <c r="AA1161" s="32">
        <f>IF($A1161=1,IF(Expenses!$O62="","",Expenses!$O62),"")</f>
        <v/>
      </c>
      <c r="AB1161" s="32">
        <f>IF($A1161=1,IF(Expenses!$P62="","",Expenses!$P62),"")</f>
        <v/>
      </c>
      <c r="AC1161" s="32">
        <f>IF($A1161=1,IF(Expenses!$Q62="","",Expenses!$Q62),"")</f>
        <v/>
      </c>
      <c r="AD1161" s="32">
        <f>IF($A1161=1,IF(Expenses!$R62="","",Expenses!$R62),"")</f>
        <v/>
      </c>
      <c r="AE1161" s="32">
        <f>IF($A1161=1,0,"")</f>
        <v/>
      </c>
      <c r="AF1161" s="32" t="inlineStr"/>
    </row>
    <row r="1162">
      <c r="A1162" s="32">
        <f>IF(AND(Expenses!$AB62=1,N(Expenses!$W62)&gt;0),1,0)</f>
        <v/>
      </c>
      <c r="B1162" s="32">
        <f>IF($A1162=1,$E1162&amp;"/3","")</f>
        <v/>
      </c>
      <c r="C1162" s="32">
        <f>IF($A1162=1,"J-"&amp;Expenses!$A62,"")</f>
        <v/>
      </c>
      <c r="D1162" s="33">
        <f>IF($A1162=1,Expenses!$B62,"")</f>
        <v/>
      </c>
      <c r="E1162" s="32">
        <f>IF($A1162=1,IF(Expenses!$A62="","",Expenses!$A62),"")</f>
        <v/>
      </c>
      <c r="F1162" s="32">
        <f>IF($A1162=1,"EXP","")</f>
        <v/>
      </c>
      <c r="G1162" s="32">
        <f>IF($A1162=1,IF(Expenses!$V62="","",Expenses!$V62),"")</f>
        <v/>
      </c>
      <c r="H1162" s="32">
        <f>IF($A1162=1,IF(COUNTIF(COA!$A:$A,$G1162)=0,"حساب غير معرف",INDEX(COA!$B:$B,MATCH($G1162,COA!$A:$A,0))),"")</f>
        <v/>
      </c>
      <c r="I1162" s="32">
        <f>IF($A1162=1,IF(Expenses!$C62="","",Expenses!$C62),"")</f>
        <v/>
      </c>
      <c r="J1162" s="32">
        <f>IF($A1162=1,"CC00","")</f>
        <v/>
      </c>
      <c r="K1162" s="32">
        <f>IF($A1162=1,"-","")</f>
        <v/>
      </c>
      <c r="L1162" s="32">
        <f>IF($A1162=1,IF(Expenses!$L62="","مصروف - "&amp;Expenses!$J62,Expenses!$L62),"")</f>
        <v/>
      </c>
      <c r="M1162" s="43">
        <f>IF($A1162=1,0,"")</f>
        <v/>
      </c>
      <c r="N1162" s="43">
        <f>IF($A1162=1,Expenses!$W62,"")</f>
        <v/>
      </c>
      <c r="O1162" s="32">
        <f>IF($A1162=1,Expenses!$M62,"")</f>
        <v/>
      </c>
      <c r="P1162" s="32">
        <f>IF($A1162=1,IF(Expenses!$AC62="","",Expenses!$AC62),"")</f>
        <v/>
      </c>
      <c r="Q1162" s="32">
        <f>IF($A1162=1,Expenses!$AE62,"")</f>
        <v/>
      </c>
      <c r="R1162" s="32">
        <f>IF($A1162=1,IF(AND($Q1162=1,COUNTIFS(COA!$A:$A,$G1162,COA!$R:$R,1)=1),1,0),"")</f>
        <v/>
      </c>
      <c r="S1162" s="43">
        <f>IF($A1162=1,IF($R1162=1,N($M1162),0),"")</f>
        <v/>
      </c>
      <c r="T1162" s="43">
        <f>IF($A1162=1,IF($R1162=1,N($N1162),0),"")</f>
        <v/>
      </c>
      <c r="U1162" s="32">
        <f>IF($A1162=1,YEAR($D1162)*100+MONTH($D1162),"")</f>
        <v/>
      </c>
      <c r="V1162" s="32">
        <f>IF($A1162=1,IF(COUNTIF(COA!$A:$A,$G1162)=0,0,INDEX(COA!$H:$H,MATCH($G1162,COA!$A:$A,0))),"")</f>
        <v/>
      </c>
      <c r="W1162" s="32">
        <f>IF($A1162=1,"OPERATING","")</f>
        <v/>
      </c>
      <c r="X1162" s="32">
        <f>IF($A1162=1,IF($R1162=1,"",IF($O1162=ST_POST,IF($P1162&lt;&gt;"",$P1162,"حساب غير صالح أو غير نشط"),IF($O1162=ST_REV,"معكوس: لا أثر على الدفاتر",IF($O1162=ST_CANC,"ملغى",IF($O1162=ST_APPR,"معتمد ولم يُرحَّل","مسودة"))))),"")</f>
        <v/>
      </c>
      <c r="Y1162" s="32">
        <f>IF($A1162=1,IF(AND($R1162=1,OR(LG_Acct="",$G1162=LG_Acct),OR(LG_Party="",$K1162=LG_Party),OR(LG_Loc="ALL",$I1162=LG_Loc),OR(LG_CC="ALL",$J1162=LG_CC),$D1162&gt;=LG_From,$D1162&lt;=LG_To),$D1162+ROW()/1000000,""),"")</f>
        <v/>
      </c>
      <c r="Z1162" s="32">
        <f>IF($A1162=1,IF(Expenses!$N62="","",Expenses!$N62),"")</f>
        <v/>
      </c>
      <c r="AA1162" s="32">
        <f>IF($A1162=1,IF(Expenses!$O62="","",Expenses!$O62),"")</f>
        <v/>
      </c>
      <c r="AB1162" s="32">
        <f>IF($A1162=1,IF(Expenses!$P62="","",Expenses!$P62),"")</f>
        <v/>
      </c>
      <c r="AC1162" s="32">
        <f>IF($A1162=1,IF(Expenses!$Q62="","",Expenses!$Q62),"")</f>
        <v/>
      </c>
      <c r="AD1162" s="32">
        <f>IF($A1162=1,IF(Expenses!$R62="","",Expenses!$R62),"")</f>
        <v/>
      </c>
      <c r="AE1162" s="32">
        <f>IF($A1162=1,0,"")</f>
        <v/>
      </c>
      <c r="AF1162" s="32" t="inlineStr"/>
    </row>
    <row r="1163">
      <c r="A1163" s="32">
        <f>IF(AND(Expenses!$AB63=1,N(Expenses!$F63)&gt;0),1,0)</f>
        <v/>
      </c>
      <c r="B1163" s="32">
        <f>IF($A1163=1,$E1163&amp;"/1","")</f>
        <v/>
      </c>
      <c r="C1163" s="32">
        <f>IF($A1163=1,"J-"&amp;Expenses!$A63,"")</f>
        <v/>
      </c>
      <c r="D1163" s="33">
        <f>IF($A1163=1,Expenses!$B63,"")</f>
        <v/>
      </c>
      <c r="E1163" s="32">
        <f>IF($A1163=1,IF(Expenses!$A63="","",Expenses!$A63),"")</f>
        <v/>
      </c>
      <c r="F1163" s="32">
        <f>IF($A1163=1,"EXP","")</f>
        <v/>
      </c>
      <c r="G1163" s="32">
        <f>IF($A1163=1,IF(Expenses!$E63="","",Expenses!$E63),"")</f>
        <v/>
      </c>
      <c r="H1163" s="32">
        <f>IF($A1163=1,IF(COUNTIF(COA!$A:$A,$G1163)=0,"حساب غير معرف",INDEX(COA!$B:$B,MATCH($G1163,COA!$A:$A,0))),"")</f>
        <v/>
      </c>
      <c r="I1163" s="32">
        <f>IF($A1163=1,IF(Expenses!$C63="","",Expenses!$C63),"")</f>
        <v/>
      </c>
      <c r="J1163" s="32">
        <f>IF($A1163=1,IF(Expenses!$D63="","",Expenses!$D63),"")</f>
        <v/>
      </c>
      <c r="K1163" s="32">
        <f>IF($A1163=1,"-","")</f>
        <v/>
      </c>
      <c r="L1163" s="32">
        <f>IF($A1163=1,IF(Expenses!$L63="","مصروف - "&amp;Expenses!$J63,Expenses!$L63),"")</f>
        <v/>
      </c>
      <c r="M1163" s="43">
        <f>IF($A1163=1,Expenses!$F63,"")</f>
        <v/>
      </c>
      <c r="N1163" s="43">
        <f>IF($A1163=1,0,"")</f>
        <v/>
      </c>
      <c r="O1163" s="32">
        <f>IF($A1163=1,Expenses!$M63,"")</f>
        <v/>
      </c>
      <c r="P1163" s="32">
        <f>IF($A1163=1,IF(Expenses!$AC63="","",Expenses!$AC63),"")</f>
        <v/>
      </c>
      <c r="Q1163" s="32">
        <f>IF($A1163=1,Expenses!$AE63,"")</f>
        <v/>
      </c>
      <c r="R1163" s="32">
        <f>IF($A1163=1,IF(AND($Q1163=1,COUNTIFS(COA!$A:$A,$G1163,COA!$R:$R,1)=1),1,0),"")</f>
        <v/>
      </c>
      <c r="S1163" s="43">
        <f>IF($A1163=1,IF($R1163=1,N($M1163),0),"")</f>
        <v/>
      </c>
      <c r="T1163" s="43">
        <f>IF($A1163=1,IF($R1163=1,N($N1163),0),"")</f>
        <v/>
      </c>
      <c r="U1163" s="32">
        <f>IF($A1163=1,YEAR($D1163)*100+MONTH($D1163),"")</f>
        <v/>
      </c>
      <c r="V1163" s="32">
        <f>IF($A1163=1,IF(COUNTIF(COA!$A:$A,$G1163)=0,0,INDEX(COA!$H:$H,MATCH($G1163,COA!$A:$A,0))),"")</f>
        <v/>
      </c>
      <c r="W1163" s="32">
        <f>IF($A1163=1,"","")</f>
        <v/>
      </c>
      <c r="X1163" s="32">
        <f>IF($A1163=1,IF($R1163=1,"",IF($O1163=ST_POST,IF($P1163&lt;&gt;"",$P1163,"حساب غير صالح أو غير نشط"),IF($O1163=ST_REV,"معكوس: لا أثر على الدفاتر",IF($O1163=ST_CANC,"ملغى",IF($O1163=ST_APPR,"معتمد ولم يُرحَّل","مسودة"))))),"")</f>
        <v/>
      </c>
      <c r="Y1163" s="32">
        <f>IF($A1163=1,IF(AND($R1163=1,OR(LG_Acct="",$G1163=LG_Acct),OR(LG_Party="",$K1163=LG_Party),OR(LG_Loc="ALL",$I1163=LG_Loc),OR(LG_CC="ALL",$J1163=LG_CC),$D1163&gt;=LG_From,$D1163&lt;=LG_To),$D1163+ROW()/1000000,""),"")</f>
        <v/>
      </c>
      <c r="Z1163" s="32">
        <f>IF($A1163=1,IF(Expenses!$N63="","",Expenses!$N63),"")</f>
        <v/>
      </c>
      <c r="AA1163" s="32">
        <f>IF($A1163=1,IF(Expenses!$O63="","",Expenses!$O63),"")</f>
        <v/>
      </c>
      <c r="AB1163" s="32">
        <f>IF($A1163=1,IF(Expenses!$P63="","",Expenses!$P63),"")</f>
        <v/>
      </c>
      <c r="AC1163" s="32">
        <f>IF($A1163=1,IF(Expenses!$Q63="","",Expenses!$Q63),"")</f>
        <v/>
      </c>
      <c r="AD1163" s="32">
        <f>IF($A1163=1,IF(Expenses!$R63="","",Expenses!$R63),"")</f>
        <v/>
      </c>
      <c r="AE1163" s="32">
        <f>IF($A1163=1,0,"")</f>
        <v/>
      </c>
      <c r="AF1163" s="32" t="inlineStr"/>
    </row>
    <row r="1164">
      <c r="A1164" s="32">
        <f>IF(AND(Expenses!$AB63=1,N(Expenses!$G63)&gt;0),1,0)</f>
        <v/>
      </c>
      <c r="B1164" s="32">
        <f>IF($A1164=1,$E1164&amp;"/2","")</f>
        <v/>
      </c>
      <c r="C1164" s="32">
        <f>IF($A1164=1,"J-"&amp;Expenses!$A63,"")</f>
        <v/>
      </c>
      <c r="D1164" s="33">
        <f>IF($A1164=1,Expenses!$B63,"")</f>
        <v/>
      </c>
      <c r="E1164" s="32">
        <f>IF($A1164=1,IF(Expenses!$A63="","",Expenses!$A63),"")</f>
        <v/>
      </c>
      <c r="F1164" s="32">
        <f>IF($A1164=1,"EXP","")</f>
        <v/>
      </c>
      <c r="G1164" s="32">
        <f>IF($A1164=1,ACC_VAT_IN,"")</f>
        <v/>
      </c>
      <c r="H1164" s="32">
        <f>IF($A1164=1,IF(COUNTIF(COA!$A:$A,$G1164)=0,"حساب غير معرف",INDEX(COA!$B:$B,MATCH($G1164,COA!$A:$A,0))),"")</f>
        <v/>
      </c>
      <c r="I1164" s="32">
        <f>IF($A1164=1,IF(Expenses!$C63="","",Expenses!$C63),"")</f>
        <v/>
      </c>
      <c r="J1164" s="32">
        <f>IF($A1164=1,IF(Expenses!$D63="","",Expenses!$D63),"")</f>
        <v/>
      </c>
      <c r="K1164" s="32">
        <f>IF($A1164=1,"-","")</f>
        <v/>
      </c>
      <c r="L1164" s="32">
        <f>IF($A1164=1,"ضريبة قيمة مضافة - مدخلات","")</f>
        <v/>
      </c>
      <c r="M1164" s="43">
        <f>IF($A1164=1,Expenses!$G63,"")</f>
        <v/>
      </c>
      <c r="N1164" s="43">
        <f>IF($A1164=1,0,"")</f>
        <v/>
      </c>
      <c r="O1164" s="32">
        <f>IF($A1164=1,Expenses!$M63,"")</f>
        <v/>
      </c>
      <c r="P1164" s="32">
        <f>IF($A1164=1,IF(Expenses!$AC63="","",Expenses!$AC63),"")</f>
        <v/>
      </c>
      <c r="Q1164" s="32">
        <f>IF($A1164=1,Expenses!$AE63,"")</f>
        <v/>
      </c>
      <c r="R1164" s="32">
        <f>IF($A1164=1,IF(AND($Q1164=1,COUNTIFS(COA!$A:$A,$G1164,COA!$R:$R,1)=1),1,0),"")</f>
        <v/>
      </c>
      <c r="S1164" s="43">
        <f>IF($A1164=1,IF($R1164=1,N($M1164),0),"")</f>
        <v/>
      </c>
      <c r="T1164" s="43">
        <f>IF($A1164=1,IF($R1164=1,N($N1164),0),"")</f>
        <v/>
      </c>
      <c r="U1164" s="32">
        <f>IF($A1164=1,YEAR($D1164)*100+MONTH($D1164),"")</f>
        <v/>
      </c>
      <c r="V1164" s="32">
        <f>IF($A1164=1,IF(COUNTIF(COA!$A:$A,$G1164)=0,0,INDEX(COA!$H:$H,MATCH($G1164,COA!$A:$A,0))),"")</f>
        <v/>
      </c>
      <c r="W1164" s="32">
        <f>IF($A1164=1,"","")</f>
        <v/>
      </c>
      <c r="X1164" s="32">
        <f>IF($A1164=1,IF($R1164=1,"",IF($O1164=ST_POST,IF($P1164&lt;&gt;"",$P1164,"حساب غير صالح أو غير نشط"),IF($O1164=ST_REV,"معكوس: لا أثر على الدفاتر",IF($O1164=ST_CANC,"ملغى",IF($O1164=ST_APPR,"معتمد ولم يُرحَّل","مسودة"))))),"")</f>
        <v/>
      </c>
      <c r="Y1164" s="32">
        <f>IF($A1164=1,IF(AND($R1164=1,OR(LG_Acct="",$G1164=LG_Acct),OR(LG_Party="",$K1164=LG_Party),OR(LG_Loc="ALL",$I1164=LG_Loc),OR(LG_CC="ALL",$J1164=LG_CC),$D1164&gt;=LG_From,$D1164&lt;=LG_To),$D1164+ROW()/1000000,""),"")</f>
        <v/>
      </c>
      <c r="Z1164" s="32">
        <f>IF($A1164=1,IF(Expenses!$N63="","",Expenses!$N63),"")</f>
        <v/>
      </c>
      <c r="AA1164" s="32">
        <f>IF($A1164=1,IF(Expenses!$O63="","",Expenses!$O63),"")</f>
        <v/>
      </c>
      <c r="AB1164" s="32">
        <f>IF($A1164=1,IF(Expenses!$P63="","",Expenses!$P63),"")</f>
        <v/>
      </c>
      <c r="AC1164" s="32">
        <f>IF($A1164=1,IF(Expenses!$Q63="","",Expenses!$Q63),"")</f>
        <v/>
      </c>
      <c r="AD1164" s="32">
        <f>IF($A1164=1,IF(Expenses!$R63="","",Expenses!$R63),"")</f>
        <v/>
      </c>
      <c r="AE1164" s="32">
        <f>IF($A1164=1,0,"")</f>
        <v/>
      </c>
      <c r="AF1164" s="32" t="inlineStr"/>
    </row>
    <row r="1165">
      <c r="A1165" s="32">
        <f>IF(AND(Expenses!$AB63=1,N(Expenses!$W63)&gt;0),1,0)</f>
        <v/>
      </c>
      <c r="B1165" s="32">
        <f>IF($A1165=1,$E1165&amp;"/3","")</f>
        <v/>
      </c>
      <c r="C1165" s="32">
        <f>IF($A1165=1,"J-"&amp;Expenses!$A63,"")</f>
        <v/>
      </c>
      <c r="D1165" s="33">
        <f>IF($A1165=1,Expenses!$B63,"")</f>
        <v/>
      </c>
      <c r="E1165" s="32">
        <f>IF($A1165=1,IF(Expenses!$A63="","",Expenses!$A63),"")</f>
        <v/>
      </c>
      <c r="F1165" s="32">
        <f>IF($A1165=1,"EXP","")</f>
        <v/>
      </c>
      <c r="G1165" s="32">
        <f>IF($A1165=1,IF(Expenses!$V63="","",Expenses!$V63),"")</f>
        <v/>
      </c>
      <c r="H1165" s="32">
        <f>IF($A1165=1,IF(COUNTIF(COA!$A:$A,$G1165)=0,"حساب غير معرف",INDEX(COA!$B:$B,MATCH($G1165,COA!$A:$A,0))),"")</f>
        <v/>
      </c>
      <c r="I1165" s="32">
        <f>IF($A1165=1,IF(Expenses!$C63="","",Expenses!$C63),"")</f>
        <v/>
      </c>
      <c r="J1165" s="32">
        <f>IF($A1165=1,"CC00","")</f>
        <v/>
      </c>
      <c r="K1165" s="32">
        <f>IF($A1165=1,"-","")</f>
        <v/>
      </c>
      <c r="L1165" s="32">
        <f>IF($A1165=1,IF(Expenses!$L63="","مصروف - "&amp;Expenses!$J63,Expenses!$L63),"")</f>
        <v/>
      </c>
      <c r="M1165" s="43">
        <f>IF($A1165=1,0,"")</f>
        <v/>
      </c>
      <c r="N1165" s="43">
        <f>IF($A1165=1,Expenses!$W63,"")</f>
        <v/>
      </c>
      <c r="O1165" s="32">
        <f>IF($A1165=1,Expenses!$M63,"")</f>
        <v/>
      </c>
      <c r="P1165" s="32">
        <f>IF($A1165=1,IF(Expenses!$AC63="","",Expenses!$AC63),"")</f>
        <v/>
      </c>
      <c r="Q1165" s="32">
        <f>IF($A1165=1,Expenses!$AE63,"")</f>
        <v/>
      </c>
      <c r="R1165" s="32">
        <f>IF($A1165=1,IF(AND($Q1165=1,COUNTIFS(COA!$A:$A,$G1165,COA!$R:$R,1)=1),1,0),"")</f>
        <v/>
      </c>
      <c r="S1165" s="43">
        <f>IF($A1165=1,IF($R1165=1,N($M1165),0),"")</f>
        <v/>
      </c>
      <c r="T1165" s="43">
        <f>IF($A1165=1,IF($R1165=1,N($N1165),0),"")</f>
        <v/>
      </c>
      <c r="U1165" s="32">
        <f>IF($A1165=1,YEAR($D1165)*100+MONTH($D1165),"")</f>
        <v/>
      </c>
      <c r="V1165" s="32">
        <f>IF($A1165=1,IF(COUNTIF(COA!$A:$A,$G1165)=0,0,INDEX(COA!$H:$H,MATCH($G1165,COA!$A:$A,0))),"")</f>
        <v/>
      </c>
      <c r="W1165" s="32">
        <f>IF($A1165=1,"OPERATING","")</f>
        <v/>
      </c>
      <c r="X1165" s="32">
        <f>IF($A1165=1,IF($R1165=1,"",IF($O1165=ST_POST,IF($P1165&lt;&gt;"",$P1165,"حساب غير صالح أو غير نشط"),IF($O1165=ST_REV,"معكوس: لا أثر على الدفاتر",IF($O1165=ST_CANC,"ملغى",IF($O1165=ST_APPR,"معتمد ولم يُرحَّل","مسودة"))))),"")</f>
        <v/>
      </c>
      <c r="Y1165" s="32">
        <f>IF($A1165=1,IF(AND($R1165=1,OR(LG_Acct="",$G1165=LG_Acct),OR(LG_Party="",$K1165=LG_Party),OR(LG_Loc="ALL",$I1165=LG_Loc),OR(LG_CC="ALL",$J1165=LG_CC),$D1165&gt;=LG_From,$D1165&lt;=LG_To),$D1165+ROW()/1000000,""),"")</f>
        <v/>
      </c>
      <c r="Z1165" s="32">
        <f>IF($A1165=1,IF(Expenses!$N63="","",Expenses!$N63),"")</f>
        <v/>
      </c>
      <c r="AA1165" s="32">
        <f>IF($A1165=1,IF(Expenses!$O63="","",Expenses!$O63),"")</f>
        <v/>
      </c>
      <c r="AB1165" s="32">
        <f>IF($A1165=1,IF(Expenses!$P63="","",Expenses!$P63),"")</f>
        <v/>
      </c>
      <c r="AC1165" s="32">
        <f>IF($A1165=1,IF(Expenses!$Q63="","",Expenses!$Q63),"")</f>
        <v/>
      </c>
      <c r="AD1165" s="32">
        <f>IF($A1165=1,IF(Expenses!$R63="","",Expenses!$R63),"")</f>
        <v/>
      </c>
      <c r="AE1165" s="32">
        <f>IF($A1165=1,0,"")</f>
        <v/>
      </c>
      <c r="AF1165" s="32" t="inlineStr"/>
    </row>
    <row r="1166">
      <c r="A1166" s="32">
        <f>IF(AND(Expenses!$AB64=1,N(Expenses!$F64)&gt;0),1,0)</f>
        <v/>
      </c>
      <c r="B1166" s="32">
        <f>IF($A1166=1,$E1166&amp;"/1","")</f>
        <v/>
      </c>
      <c r="C1166" s="32">
        <f>IF($A1166=1,"J-"&amp;Expenses!$A64,"")</f>
        <v/>
      </c>
      <c r="D1166" s="33">
        <f>IF($A1166=1,Expenses!$B64,"")</f>
        <v/>
      </c>
      <c r="E1166" s="32">
        <f>IF($A1166=1,IF(Expenses!$A64="","",Expenses!$A64),"")</f>
        <v/>
      </c>
      <c r="F1166" s="32">
        <f>IF($A1166=1,"EXP","")</f>
        <v/>
      </c>
      <c r="G1166" s="32">
        <f>IF($A1166=1,IF(Expenses!$E64="","",Expenses!$E64),"")</f>
        <v/>
      </c>
      <c r="H1166" s="32">
        <f>IF($A1166=1,IF(COUNTIF(COA!$A:$A,$G1166)=0,"حساب غير معرف",INDEX(COA!$B:$B,MATCH($G1166,COA!$A:$A,0))),"")</f>
        <v/>
      </c>
      <c r="I1166" s="32">
        <f>IF($A1166=1,IF(Expenses!$C64="","",Expenses!$C64),"")</f>
        <v/>
      </c>
      <c r="J1166" s="32">
        <f>IF($A1166=1,IF(Expenses!$D64="","",Expenses!$D64),"")</f>
        <v/>
      </c>
      <c r="K1166" s="32">
        <f>IF($A1166=1,"-","")</f>
        <v/>
      </c>
      <c r="L1166" s="32">
        <f>IF($A1166=1,IF(Expenses!$L64="","مصروف - "&amp;Expenses!$J64,Expenses!$L64),"")</f>
        <v/>
      </c>
      <c r="M1166" s="43">
        <f>IF($A1166=1,Expenses!$F64,"")</f>
        <v/>
      </c>
      <c r="N1166" s="43">
        <f>IF($A1166=1,0,"")</f>
        <v/>
      </c>
      <c r="O1166" s="32">
        <f>IF($A1166=1,Expenses!$M64,"")</f>
        <v/>
      </c>
      <c r="P1166" s="32">
        <f>IF($A1166=1,IF(Expenses!$AC64="","",Expenses!$AC64),"")</f>
        <v/>
      </c>
      <c r="Q1166" s="32">
        <f>IF($A1166=1,Expenses!$AE64,"")</f>
        <v/>
      </c>
      <c r="R1166" s="32">
        <f>IF($A1166=1,IF(AND($Q1166=1,COUNTIFS(COA!$A:$A,$G1166,COA!$R:$R,1)=1),1,0),"")</f>
        <v/>
      </c>
      <c r="S1166" s="43">
        <f>IF($A1166=1,IF($R1166=1,N($M1166),0),"")</f>
        <v/>
      </c>
      <c r="T1166" s="43">
        <f>IF($A1166=1,IF($R1166=1,N($N1166),0),"")</f>
        <v/>
      </c>
      <c r="U1166" s="32">
        <f>IF($A1166=1,YEAR($D1166)*100+MONTH($D1166),"")</f>
        <v/>
      </c>
      <c r="V1166" s="32">
        <f>IF($A1166=1,IF(COUNTIF(COA!$A:$A,$G1166)=0,0,INDEX(COA!$H:$H,MATCH($G1166,COA!$A:$A,0))),"")</f>
        <v/>
      </c>
      <c r="W1166" s="32">
        <f>IF($A1166=1,"","")</f>
        <v/>
      </c>
      <c r="X1166" s="32">
        <f>IF($A1166=1,IF($R1166=1,"",IF($O1166=ST_POST,IF($P1166&lt;&gt;"",$P1166,"حساب غير صالح أو غير نشط"),IF($O1166=ST_REV,"معكوس: لا أثر على الدفاتر",IF($O1166=ST_CANC,"ملغى",IF($O1166=ST_APPR,"معتمد ولم يُرحَّل","مسودة"))))),"")</f>
        <v/>
      </c>
      <c r="Y1166" s="32">
        <f>IF($A1166=1,IF(AND($R1166=1,OR(LG_Acct="",$G1166=LG_Acct),OR(LG_Party="",$K1166=LG_Party),OR(LG_Loc="ALL",$I1166=LG_Loc),OR(LG_CC="ALL",$J1166=LG_CC),$D1166&gt;=LG_From,$D1166&lt;=LG_To),$D1166+ROW()/1000000,""),"")</f>
        <v/>
      </c>
      <c r="Z1166" s="32">
        <f>IF($A1166=1,IF(Expenses!$N64="","",Expenses!$N64),"")</f>
        <v/>
      </c>
      <c r="AA1166" s="32">
        <f>IF($A1166=1,IF(Expenses!$O64="","",Expenses!$O64),"")</f>
        <v/>
      </c>
      <c r="AB1166" s="32">
        <f>IF($A1166=1,IF(Expenses!$P64="","",Expenses!$P64),"")</f>
        <v/>
      </c>
      <c r="AC1166" s="32">
        <f>IF($A1166=1,IF(Expenses!$Q64="","",Expenses!$Q64),"")</f>
        <v/>
      </c>
      <c r="AD1166" s="32">
        <f>IF($A1166=1,IF(Expenses!$R64="","",Expenses!$R64),"")</f>
        <v/>
      </c>
      <c r="AE1166" s="32">
        <f>IF($A1166=1,0,"")</f>
        <v/>
      </c>
      <c r="AF1166" s="32" t="inlineStr"/>
    </row>
    <row r="1167">
      <c r="A1167" s="32">
        <f>IF(AND(Expenses!$AB64=1,N(Expenses!$G64)&gt;0),1,0)</f>
        <v/>
      </c>
      <c r="B1167" s="32">
        <f>IF($A1167=1,$E1167&amp;"/2","")</f>
        <v/>
      </c>
      <c r="C1167" s="32">
        <f>IF($A1167=1,"J-"&amp;Expenses!$A64,"")</f>
        <v/>
      </c>
      <c r="D1167" s="33">
        <f>IF($A1167=1,Expenses!$B64,"")</f>
        <v/>
      </c>
      <c r="E1167" s="32">
        <f>IF($A1167=1,IF(Expenses!$A64="","",Expenses!$A64),"")</f>
        <v/>
      </c>
      <c r="F1167" s="32">
        <f>IF($A1167=1,"EXP","")</f>
        <v/>
      </c>
      <c r="G1167" s="32">
        <f>IF($A1167=1,ACC_VAT_IN,"")</f>
        <v/>
      </c>
      <c r="H1167" s="32">
        <f>IF($A1167=1,IF(COUNTIF(COA!$A:$A,$G1167)=0,"حساب غير معرف",INDEX(COA!$B:$B,MATCH($G1167,COA!$A:$A,0))),"")</f>
        <v/>
      </c>
      <c r="I1167" s="32">
        <f>IF($A1167=1,IF(Expenses!$C64="","",Expenses!$C64),"")</f>
        <v/>
      </c>
      <c r="J1167" s="32">
        <f>IF($A1167=1,IF(Expenses!$D64="","",Expenses!$D64),"")</f>
        <v/>
      </c>
      <c r="K1167" s="32">
        <f>IF($A1167=1,"-","")</f>
        <v/>
      </c>
      <c r="L1167" s="32">
        <f>IF($A1167=1,"ضريبة قيمة مضافة - مدخلات","")</f>
        <v/>
      </c>
      <c r="M1167" s="43">
        <f>IF($A1167=1,Expenses!$G64,"")</f>
        <v/>
      </c>
      <c r="N1167" s="43">
        <f>IF($A1167=1,0,"")</f>
        <v/>
      </c>
      <c r="O1167" s="32">
        <f>IF($A1167=1,Expenses!$M64,"")</f>
        <v/>
      </c>
      <c r="P1167" s="32">
        <f>IF($A1167=1,IF(Expenses!$AC64="","",Expenses!$AC64),"")</f>
        <v/>
      </c>
      <c r="Q1167" s="32">
        <f>IF($A1167=1,Expenses!$AE64,"")</f>
        <v/>
      </c>
      <c r="R1167" s="32">
        <f>IF($A1167=1,IF(AND($Q1167=1,COUNTIFS(COA!$A:$A,$G1167,COA!$R:$R,1)=1),1,0),"")</f>
        <v/>
      </c>
      <c r="S1167" s="43">
        <f>IF($A1167=1,IF($R1167=1,N($M1167),0),"")</f>
        <v/>
      </c>
      <c r="T1167" s="43">
        <f>IF($A1167=1,IF($R1167=1,N($N1167),0),"")</f>
        <v/>
      </c>
      <c r="U1167" s="32">
        <f>IF($A1167=1,YEAR($D1167)*100+MONTH($D1167),"")</f>
        <v/>
      </c>
      <c r="V1167" s="32">
        <f>IF($A1167=1,IF(COUNTIF(COA!$A:$A,$G1167)=0,0,INDEX(COA!$H:$H,MATCH($G1167,COA!$A:$A,0))),"")</f>
        <v/>
      </c>
      <c r="W1167" s="32">
        <f>IF($A1167=1,"","")</f>
        <v/>
      </c>
      <c r="X1167" s="32">
        <f>IF($A1167=1,IF($R1167=1,"",IF($O1167=ST_POST,IF($P1167&lt;&gt;"",$P1167,"حساب غير صالح أو غير نشط"),IF($O1167=ST_REV,"معكوس: لا أثر على الدفاتر",IF($O1167=ST_CANC,"ملغى",IF($O1167=ST_APPR,"معتمد ولم يُرحَّل","مسودة"))))),"")</f>
        <v/>
      </c>
      <c r="Y1167" s="32">
        <f>IF($A1167=1,IF(AND($R1167=1,OR(LG_Acct="",$G1167=LG_Acct),OR(LG_Party="",$K1167=LG_Party),OR(LG_Loc="ALL",$I1167=LG_Loc),OR(LG_CC="ALL",$J1167=LG_CC),$D1167&gt;=LG_From,$D1167&lt;=LG_To),$D1167+ROW()/1000000,""),"")</f>
        <v/>
      </c>
      <c r="Z1167" s="32">
        <f>IF($A1167=1,IF(Expenses!$N64="","",Expenses!$N64),"")</f>
        <v/>
      </c>
      <c r="AA1167" s="32">
        <f>IF($A1167=1,IF(Expenses!$O64="","",Expenses!$O64),"")</f>
        <v/>
      </c>
      <c r="AB1167" s="32">
        <f>IF($A1167=1,IF(Expenses!$P64="","",Expenses!$P64),"")</f>
        <v/>
      </c>
      <c r="AC1167" s="32">
        <f>IF($A1167=1,IF(Expenses!$Q64="","",Expenses!$Q64),"")</f>
        <v/>
      </c>
      <c r="AD1167" s="32">
        <f>IF($A1167=1,IF(Expenses!$R64="","",Expenses!$R64),"")</f>
        <v/>
      </c>
      <c r="AE1167" s="32">
        <f>IF($A1167=1,0,"")</f>
        <v/>
      </c>
      <c r="AF1167" s="32" t="inlineStr"/>
    </row>
    <row r="1168">
      <c r="A1168" s="32">
        <f>IF(AND(Expenses!$AB64=1,N(Expenses!$W64)&gt;0),1,0)</f>
        <v/>
      </c>
      <c r="B1168" s="32">
        <f>IF($A1168=1,$E1168&amp;"/3","")</f>
        <v/>
      </c>
      <c r="C1168" s="32">
        <f>IF($A1168=1,"J-"&amp;Expenses!$A64,"")</f>
        <v/>
      </c>
      <c r="D1168" s="33">
        <f>IF($A1168=1,Expenses!$B64,"")</f>
        <v/>
      </c>
      <c r="E1168" s="32">
        <f>IF($A1168=1,IF(Expenses!$A64="","",Expenses!$A64),"")</f>
        <v/>
      </c>
      <c r="F1168" s="32">
        <f>IF($A1168=1,"EXP","")</f>
        <v/>
      </c>
      <c r="G1168" s="32">
        <f>IF($A1168=1,IF(Expenses!$V64="","",Expenses!$V64),"")</f>
        <v/>
      </c>
      <c r="H1168" s="32">
        <f>IF($A1168=1,IF(COUNTIF(COA!$A:$A,$G1168)=0,"حساب غير معرف",INDEX(COA!$B:$B,MATCH($G1168,COA!$A:$A,0))),"")</f>
        <v/>
      </c>
      <c r="I1168" s="32">
        <f>IF($A1168=1,IF(Expenses!$C64="","",Expenses!$C64),"")</f>
        <v/>
      </c>
      <c r="J1168" s="32">
        <f>IF($A1168=1,"CC00","")</f>
        <v/>
      </c>
      <c r="K1168" s="32">
        <f>IF($A1168=1,"-","")</f>
        <v/>
      </c>
      <c r="L1168" s="32">
        <f>IF($A1168=1,IF(Expenses!$L64="","مصروف - "&amp;Expenses!$J64,Expenses!$L64),"")</f>
        <v/>
      </c>
      <c r="M1168" s="43">
        <f>IF($A1168=1,0,"")</f>
        <v/>
      </c>
      <c r="N1168" s="43">
        <f>IF($A1168=1,Expenses!$W64,"")</f>
        <v/>
      </c>
      <c r="O1168" s="32">
        <f>IF($A1168=1,Expenses!$M64,"")</f>
        <v/>
      </c>
      <c r="P1168" s="32">
        <f>IF($A1168=1,IF(Expenses!$AC64="","",Expenses!$AC64),"")</f>
        <v/>
      </c>
      <c r="Q1168" s="32">
        <f>IF($A1168=1,Expenses!$AE64,"")</f>
        <v/>
      </c>
      <c r="R1168" s="32">
        <f>IF($A1168=1,IF(AND($Q1168=1,COUNTIFS(COA!$A:$A,$G1168,COA!$R:$R,1)=1),1,0),"")</f>
        <v/>
      </c>
      <c r="S1168" s="43">
        <f>IF($A1168=1,IF($R1168=1,N($M1168),0),"")</f>
        <v/>
      </c>
      <c r="T1168" s="43">
        <f>IF($A1168=1,IF($R1168=1,N($N1168),0),"")</f>
        <v/>
      </c>
      <c r="U1168" s="32">
        <f>IF($A1168=1,YEAR($D1168)*100+MONTH($D1168),"")</f>
        <v/>
      </c>
      <c r="V1168" s="32">
        <f>IF($A1168=1,IF(COUNTIF(COA!$A:$A,$G1168)=0,0,INDEX(COA!$H:$H,MATCH($G1168,COA!$A:$A,0))),"")</f>
        <v/>
      </c>
      <c r="W1168" s="32">
        <f>IF($A1168=1,"OPERATING","")</f>
        <v/>
      </c>
      <c r="X1168" s="32">
        <f>IF($A1168=1,IF($R1168=1,"",IF($O1168=ST_POST,IF($P1168&lt;&gt;"",$P1168,"حساب غير صالح أو غير نشط"),IF($O1168=ST_REV,"معكوس: لا أثر على الدفاتر",IF($O1168=ST_CANC,"ملغى",IF($O1168=ST_APPR,"معتمد ولم يُرحَّل","مسودة"))))),"")</f>
        <v/>
      </c>
      <c r="Y1168" s="32">
        <f>IF($A1168=1,IF(AND($R1168=1,OR(LG_Acct="",$G1168=LG_Acct),OR(LG_Party="",$K1168=LG_Party),OR(LG_Loc="ALL",$I1168=LG_Loc),OR(LG_CC="ALL",$J1168=LG_CC),$D1168&gt;=LG_From,$D1168&lt;=LG_To),$D1168+ROW()/1000000,""),"")</f>
        <v/>
      </c>
      <c r="Z1168" s="32">
        <f>IF($A1168=1,IF(Expenses!$N64="","",Expenses!$N64),"")</f>
        <v/>
      </c>
      <c r="AA1168" s="32">
        <f>IF($A1168=1,IF(Expenses!$O64="","",Expenses!$O64),"")</f>
        <v/>
      </c>
      <c r="AB1168" s="32">
        <f>IF($A1168=1,IF(Expenses!$P64="","",Expenses!$P64),"")</f>
        <v/>
      </c>
      <c r="AC1168" s="32">
        <f>IF($A1168=1,IF(Expenses!$Q64="","",Expenses!$Q64),"")</f>
        <v/>
      </c>
      <c r="AD1168" s="32">
        <f>IF($A1168=1,IF(Expenses!$R64="","",Expenses!$R64),"")</f>
        <v/>
      </c>
      <c r="AE1168" s="32">
        <f>IF($A1168=1,0,"")</f>
        <v/>
      </c>
      <c r="AF1168" s="32" t="inlineStr"/>
    </row>
    <row r="1169">
      <c r="A1169" s="32">
        <f>IF(AND(Expenses!$AB65=1,N(Expenses!$F65)&gt;0),1,0)</f>
        <v/>
      </c>
      <c r="B1169" s="32">
        <f>IF($A1169=1,$E1169&amp;"/1","")</f>
        <v/>
      </c>
      <c r="C1169" s="32">
        <f>IF($A1169=1,"J-"&amp;Expenses!$A65,"")</f>
        <v/>
      </c>
      <c r="D1169" s="33">
        <f>IF($A1169=1,Expenses!$B65,"")</f>
        <v/>
      </c>
      <c r="E1169" s="32">
        <f>IF($A1169=1,IF(Expenses!$A65="","",Expenses!$A65),"")</f>
        <v/>
      </c>
      <c r="F1169" s="32">
        <f>IF($A1169=1,"EXP","")</f>
        <v/>
      </c>
      <c r="G1169" s="32">
        <f>IF($A1169=1,IF(Expenses!$E65="","",Expenses!$E65),"")</f>
        <v/>
      </c>
      <c r="H1169" s="32">
        <f>IF($A1169=1,IF(COUNTIF(COA!$A:$A,$G1169)=0,"حساب غير معرف",INDEX(COA!$B:$B,MATCH($G1169,COA!$A:$A,0))),"")</f>
        <v/>
      </c>
      <c r="I1169" s="32">
        <f>IF($A1169=1,IF(Expenses!$C65="","",Expenses!$C65),"")</f>
        <v/>
      </c>
      <c r="J1169" s="32">
        <f>IF($A1169=1,IF(Expenses!$D65="","",Expenses!$D65),"")</f>
        <v/>
      </c>
      <c r="K1169" s="32">
        <f>IF($A1169=1,"-","")</f>
        <v/>
      </c>
      <c r="L1169" s="32">
        <f>IF($A1169=1,IF(Expenses!$L65="","مصروف - "&amp;Expenses!$J65,Expenses!$L65),"")</f>
        <v/>
      </c>
      <c r="M1169" s="43">
        <f>IF($A1169=1,Expenses!$F65,"")</f>
        <v/>
      </c>
      <c r="N1169" s="43">
        <f>IF($A1169=1,0,"")</f>
        <v/>
      </c>
      <c r="O1169" s="32">
        <f>IF($A1169=1,Expenses!$M65,"")</f>
        <v/>
      </c>
      <c r="P1169" s="32">
        <f>IF($A1169=1,IF(Expenses!$AC65="","",Expenses!$AC65),"")</f>
        <v/>
      </c>
      <c r="Q1169" s="32">
        <f>IF($A1169=1,Expenses!$AE65,"")</f>
        <v/>
      </c>
      <c r="R1169" s="32">
        <f>IF($A1169=1,IF(AND($Q1169=1,COUNTIFS(COA!$A:$A,$G1169,COA!$R:$R,1)=1),1,0),"")</f>
        <v/>
      </c>
      <c r="S1169" s="43">
        <f>IF($A1169=1,IF($R1169=1,N($M1169),0),"")</f>
        <v/>
      </c>
      <c r="T1169" s="43">
        <f>IF($A1169=1,IF($R1169=1,N($N1169),0),"")</f>
        <v/>
      </c>
      <c r="U1169" s="32">
        <f>IF($A1169=1,YEAR($D1169)*100+MONTH($D1169),"")</f>
        <v/>
      </c>
      <c r="V1169" s="32">
        <f>IF($A1169=1,IF(COUNTIF(COA!$A:$A,$G1169)=0,0,INDEX(COA!$H:$H,MATCH($G1169,COA!$A:$A,0))),"")</f>
        <v/>
      </c>
      <c r="W1169" s="32">
        <f>IF($A1169=1,"","")</f>
        <v/>
      </c>
      <c r="X1169" s="32">
        <f>IF($A1169=1,IF($R1169=1,"",IF($O1169=ST_POST,IF($P1169&lt;&gt;"",$P1169,"حساب غير صالح أو غير نشط"),IF($O1169=ST_REV,"معكوس: لا أثر على الدفاتر",IF($O1169=ST_CANC,"ملغى",IF($O1169=ST_APPR,"معتمد ولم يُرحَّل","مسودة"))))),"")</f>
        <v/>
      </c>
      <c r="Y1169" s="32">
        <f>IF($A1169=1,IF(AND($R1169=1,OR(LG_Acct="",$G1169=LG_Acct),OR(LG_Party="",$K1169=LG_Party),OR(LG_Loc="ALL",$I1169=LG_Loc),OR(LG_CC="ALL",$J1169=LG_CC),$D1169&gt;=LG_From,$D1169&lt;=LG_To),$D1169+ROW()/1000000,""),"")</f>
        <v/>
      </c>
      <c r="Z1169" s="32">
        <f>IF($A1169=1,IF(Expenses!$N65="","",Expenses!$N65),"")</f>
        <v/>
      </c>
      <c r="AA1169" s="32">
        <f>IF($A1169=1,IF(Expenses!$O65="","",Expenses!$O65),"")</f>
        <v/>
      </c>
      <c r="AB1169" s="32">
        <f>IF($A1169=1,IF(Expenses!$P65="","",Expenses!$P65),"")</f>
        <v/>
      </c>
      <c r="AC1169" s="32">
        <f>IF($A1169=1,IF(Expenses!$Q65="","",Expenses!$Q65),"")</f>
        <v/>
      </c>
      <c r="AD1169" s="32">
        <f>IF($A1169=1,IF(Expenses!$R65="","",Expenses!$R65),"")</f>
        <v/>
      </c>
      <c r="AE1169" s="32">
        <f>IF($A1169=1,0,"")</f>
        <v/>
      </c>
      <c r="AF1169" s="32" t="inlineStr"/>
    </row>
    <row r="1170">
      <c r="A1170" s="32">
        <f>IF(AND(Expenses!$AB65=1,N(Expenses!$G65)&gt;0),1,0)</f>
        <v/>
      </c>
      <c r="B1170" s="32">
        <f>IF($A1170=1,$E1170&amp;"/2","")</f>
        <v/>
      </c>
      <c r="C1170" s="32">
        <f>IF($A1170=1,"J-"&amp;Expenses!$A65,"")</f>
        <v/>
      </c>
      <c r="D1170" s="33">
        <f>IF($A1170=1,Expenses!$B65,"")</f>
        <v/>
      </c>
      <c r="E1170" s="32">
        <f>IF($A1170=1,IF(Expenses!$A65="","",Expenses!$A65),"")</f>
        <v/>
      </c>
      <c r="F1170" s="32">
        <f>IF($A1170=1,"EXP","")</f>
        <v/>
      </c>
      <c r="G1170" s="32">
        <f>IF($A1170=1,ACC_VAT_IN,"")</f>
        <v/>
      </c>
      <c r="H1170" s="32">
        <f>IF($A1170=1,IF(COUNTIF(COA!$A:$A,$G1170)=0,"حساب غير معرف",INDEX(COA!$B:$B,MATCH($G1170,COA!$A:$A,0))),"")</f>
        <v/>
      </c>
      <c r="I1170" s="32">
        <f>IF($A1170=1,IF(Expenses!$C65="","",Expenses!$C65),"")</f>
        <v/>
      </c>
      <c r="J1170" s="32">
        <f>IF($A1170=1,IF(Expenses!$D65="","",Expenses!$D65),"")</f>
        <v/>
      </c>
      <c r="K1170" s="32">
        <f>IF($A1170=1,"-","")</f>
        <v/>
      </c>
      <c r="L1170" s="32">
        <f>IF($A1170=1,"ضريبة قيمة مضافة - مدخلات","")</f>
        <v/>
      </c>
      <c r="M1170" s="43">
        <f>IF($A1170=1,Expenses!$G65,"")</f>
        <v/>
      </c>
      <c r="N1170" s="43">
        <f>IF($A1170=1,0,"")</f>
        <v/>
      </c>
      <c r="O1170" s="32">
        <f>IF($A1170=1,Expenses!$M65,"")</f>
        <v/>
      </c>
      <c r="P1170" s="32">
        <f>IF($A1170=1,IF(Expenses!$AC65="","",Expenses!$AC65),"")</f>
        <v/>
      </c>
      <c r="Q1170" s="32">
        <f>IF($A1170=1,Expenses!$AE65,"")</f>
        <v/>
      </c>
      <c r="R1170" s="32">
        <f>IF($A1170=1,IF(AND($Q1170=1,COUNTIFS(COA!$A:$A,$G1170,COA!$R:$R,1)=1),1,0),"")</f>
        <v/>
      </c>
      <c r="S1170" s="43">
        <f>IF($A1170=1,IF($R1170=1,N($M1170),0),"")</f>
        <v/>
      </c>
      <c r="T1170" s="43">
        <f>IF($A1170=1,IF($R1170=1,N($N1170),0),"")</f>
        <v/>
      </c>
      <c r="U1170" s="32">
        <f>IF($A1170=1,YEAR($D1170)*100+MONTH($D1170),"")</f>
        <v/>
      </c>
      <c r="V1170" s="32">
        <f>IF($A1170=1,IF(COUNTIF(COA!$A:$A,$G1170)=0,0,INDEX(COA!$H:$H,MATCH($G1170,COA!$A:$A,0))),"")</f>
        <v/>
      </c>
      <c r="W1170" s="32">
        <f>IF($A1170=1,"","")</f>
        <v/>
      </c>
      <c r="X1170" s="32">
        <f>IF($A1170=1,IF($R1170=1,"",IF($O1170=ST_POST,IF($P1170&lt;&gt;"",$P1170,"حساب غير صالح أو غير نشط"),IF($O1170=ST_REV,"معكوس: لا أثر على الدفاتر",IF($O1170=ST_CANC,"ملغى",IF($O1170=ST_APPR,"معتمد ولم يُرحَّل","مسودة"))))),"")</f>
        <v/>
      </c>
      <c r="Y1170" s="32">
        <f>IF($A1170=1,IF(AND($R1170=1,OR(LG_Acct="",$G1170=LG_Acct),OR(LG_Party="",$K1170=LG_Party),OR(LG_Loc="ALL",$I1170=LG_Loc),OR(LG_CC="ALL",$J1170=LG_CC),$D1170&gt;=LG_From,$D1170&lt;=LG_To),$D1170+ROW()/1000000,""),"")</f>
        <v/>
      </c>
      <c r="Z1170" s="32">
        <f>IF($A1170=1,IF(Expenses!$N65="","",Expenses!$N65),"")</f>
        <v/>
      </c>
      <c r="AA1170" s="32">
        <f>IF($A1170=1,IF(Expenses!$O65="","",Expenses!$O65),"")</f>
        <v/>
      </c>
      <c r="AB1170" s="32">
        <f>IF($A1170=1,IF(Expenses!$P65="","",Expenses!$P65),"")</f>
        <v/>
      </c>
      <c r="AC1170" s="32">
        <f>IF($A1170=1,IF(Expenses!$Q65="","",Expenses!$Q65),"")</f>
        <v/>
      </c>
      <c r="AD1170" s="32">
        <f>IF($A1170=1,IF(Expenses!$R65="","",Expenses!$R65),"")</f>
        <v/>
      </c>
      <c r="AE1170" s="32">
        <f>IF($A1170=1,0,"")</f>
        <v/>
      </c>
      <c r="AF1170" s="32" t="inlineStr"/>
    </row>
    <row r="1171">
      <c r="A1171" s="32">
        <f>IF(AND(Expenses!$AB65=1,N(Expenses!$W65)&gt;0),1,0)</f>
        <v/>
      </c>
      <c r="B1171" s="32">
        <f>IF($A1171=1,$E1171&amp;"/3","")</f>
        <v/>
      </c>
      <c r="C1171" s="32">
        <f>IF($A1171=1,"J-"&amp;Expenses!$A65,"")</f>
        <v/>
      </c>
      <c r="D1171" s="33">
        <f>IF($A1171=1,Expenses!$B65,"")</f>
        <v/>
      </c>
      <c r="E1171" s="32">
        <f>IF($A1171=1,IF(Expenses!$A65="","",Expenses!$A65),"")</f>
        <v/>
      </c>
      <c r="F1171" s="32">
        <f>IF($A1171=1,"EXP","")</f>
        <v/>
      </c>
      <c r="G1171" s="32">
        <f>IF($A1171=1,IF(Expenses!$V65="","",Expenses!$V65),"")</f>
        <v/>
      </c>
      <c r="H1171" s="32">
        <f>IF($A1171=1,IF(COUNTIF(COA!$A:$A,$G1171)=0,"حساب غير معرف",INDEX(COA!$B:$B,MATCH($G1171,COA!$A:$A,0))),"")</f>
        <v/>
      </c>
      <c r="I1171" s="32">
        <f>IF($A1171=1,IF(Expenses!$C65="","",Expenses!$C65),"")</f>
        <v/>
      </c>
      <c r="J1171" s="32">
        <f>IF($A1171=1,"CC00","")</f>
        <v/>
      </c>
      <c r="K1171" s="32">
        <f>IF($A1171=1,"-","")</f>
        <v/>
      </c>
      <c r="L1171" s="32">
        <f>IF($A1171=1,IF(Expenses!$L65="","مصروف - "&amp;Expenses!$J65,Expenses!$L65),"")</f>
        <v/>
      </c>
      <c r="M1171" s="43">
        <f>IF($A1171=1,0,"")</f>
        <v/>
      </c>
      <c r="N1171" s="43">
        <f>IF($A1171=1,Expenses!$W65,"")</f>
        <v/>
      </c>
      <c r="O1171" s="32">
        <f>IF($A1171=1,Expenses!$M65,"")</f>
        <v/>
      </c>
      <c r="P1171" s="32">
        <f>IF($A1171=1,IF(Expenses!$AC65="","",Expenses!$AC65),"")</f>
        <v/>
      </c>
      <c r="Q1171" s="32">
        <f>IF($A1171=1,Expenses!$AE65,"")</f>
        <v/>
      </c>
      <c r="R1171" s="32">
        <f>IF($A1171=1,IF(AND($Q1171=1,COUNTIFS(COA!$A:$A,$G1171,COA!$R:$R,1)=1),1,0),"")</f>
        <v/>
      </c>
      <c r="S1171" s="43">
        <f>IF($A1171=1,IF($R1171=1,N($M1171),0),"")</f>
        <v/>
      </c>
      <c r="T1171" s="43">
        <f>IF($A1171=1,IF($R1171=1,N($N1171),0),"")</f>
        <v/>
      </c>
      <c r="U1171" s="32">
        <f>IF($A1171=1,YEAR($D1171)*100+MONTH($D1171),"")</f>
        <v/>
      </c>
      <c r="V1171" s="32">
        <f>IF($A1171=1,IF(COUNTIF(COA!$A:$A,$G1171)=0,0,INDEX(COA!$H:$H,MATCH($G1171,COA!$A:$A,0))),"")</f>
        <v/>
      </c>
      <c r="W1171" s="32">
        <f>IF($A1171=1,"OPERATING","")</f>
        <v/>
      </c>
      <c r="X1171" s="32">
        <f>IF($A1171=1,IF($R1171=1,"",IF($O1171=ST_POST,IF($P1171&lt;&gt;"",$P1171,"حساب غير صالح أو غير نشط"),IF($O1171=ST_REV,"معكوس: لا أثر على الدفاتر",IF($O1171=ST_CANC,"ملغى",IF($O1171=ST_APPR,"معتمد ولم يُرحَّل","مسودة"))))),"")</f>
        <v/>
      </c>
      <c r="Y1171" s="32">
        <f>IF($A1171=1,IF(AND($R1171=1,OR(LG_Acct="",$G1171=LG_Acct),OR(LG_Party="",$K1171=LG_Party),OR(LG_Loc="ALL",$I1171=LG_Loc),OR(LG_CC="ALL",$J1171=LG_CC),$D1171&gt;=LG_From,$D1171&lt;=LG_To),$D1171+ROW()/1000000,""),"")</f>
        <v/>
      </c>
      <c r="Z1171" s="32">
        <f>IF($A1171=1,IF(Expenses!$N65="","",Expenses!$N65),"")</f>
        <v/>
      </c>
      <c r="AA1171" s="32">
        <f>IF($A1171=1,IF(Expenses!$O65="","",Expenses!$O65),"")</f>
        <v/>
      </c>
      <c r="AB1171" s="32">
        <f>IF($A1171=1,IF(Expenses!$P65="","",Expenses!$P65),"")</f>
        <v/>
      </c>
      <c r="AC1171" s="32">
        <f>IF($A1171=1,IF(Expenses!$Q65="","",Expenses!$Q65),"")</f>
        <v/>
      </c>
      <c r="AD1171" s="32">
        <f>IF($A1171=1,IF(Expenses!$R65="","",Expenses!$R65),"")</f>
        <v/>
      </c>
      <c r="AE1171" s="32">
        <f>IF($A1171=1,0,"")</f>
        <v/>
      </c>
      <c r="AF1171" s="32" t="inlineStr"/>
    </row>
    <row r="1172">
      <c r="A1172" s="32">
        <f>IF(AND(Expenses!$AB66=1,N(Expenses!$F66)&gt;0),1,0)</f>
        <v/>
      </c>
      <c r="B1172" s="32">
        <f>IF($A1172=1,$E1172&amp;"/1","")</f>
        <v/>
      </c>
      <c r="C1172" s="32">
        <f>IF($A1172=1,"J-"&amp;Expenses!$A66,"")</f>
        <v/>
      </c>
      <c r="D1172" s="33">
        <f>IF($A1172=1,Expenses!$B66,"")</f>
        <v/>
      </c>
      <c r="E1172" s="32">
        <f>IF($A1172=1,IF(Expenses!$A66="","",Expenses!$A66),"")</f>
        <v/>
      </c>
      <c r="F1172" s="32">
        <f>IF($A1172=1,"EXP","")</f>
        <v/>
      </c>
      <c r="G1172" s="32">
        <f>IF($A1172=1,IF(Expenses!$E66="","",Expenses!$E66),"")</f>
        <v/>
      </c>
      <c r="H1172" s="32">
        <f>IF($A1172=1,IF(COUNTIF(COA!$A:$A,$G1172)=0,"حساب غير معرف",INDEX(COA!$B:$B,MATCH($G1172,COA!$A:$A,0))),"")</f>
        <v/>
      </c>
      <c r="I1172" s="32">
        <f>IF($A1172=1,IF(Expenses!$C66="","",Expenses!$C66),"")</f>
        <v/>
      </c>
      <c r="J1172" s="32">
        <f>IF($A1172=1,IF(Expenses!$D66="","",Expenses!$D66),"")</f>
        <v/>
      </c>
      <c r="K1172" s="32">
        <f>IF($A1172=1,"-","")</f>
        <v/>
      </c>
      <c r="L1172" s="32">
        <f>IF($A1172=1,IF(Expenses!$L66="","مصروف - "&amp;Expenses!$J66,Expenses!$L66),"")</f>
        <v/>
      </c>
      <c r="M1172" s="43">
        <f>IF($A1172=1,Expenses!$F66,"")</f>
        <v/>
      </c>
      <c r="N1172" s="43">
        <f>IF($A1172=1,0,"")</f>
        <v/>
      </c>
      <c r="O1172" s="32">
        <f>IF($A1172=1,Expenses!$M66,"")</f>
        <v/>
      </c>
      <c r="P1172" s="32">
        <f>IF($A1172=1,IF(Expenses!$AC66="","",Expenses!$AC66),"")</f>
        <v/>
      </c>
      <c r="Q1172" s="32">
        <f>IF($A1172=1,Expenses!$AE66,"")</f>
        <v/>
      </c>
      <c r="R1172" s="32">
        <f>IF($A1172=1,IF(AND($Q1172=1,COUNTIFS(COA!$A:$A,$G1172,COA!$R:$R,1)=1),1,0),"")</f>
        <v/>
      </c>
      <c r="S1172" s="43">
        <f>IF($A1172=1,IF($R1172=1,N($M1172),0),"")</f>
        <v/>
      </c>
      <c r="T1172" s="43">
        <f>IF($A1172=1,IF($R1172=1,N($N1172),0),"")</f>
        <v/>
      </c>
      <c r="U1172" s="32">
        <f>IF($A1172=1,YEAR($D1172)*100+MONTH($D1172),"")</f>
        <v/>
      </c>
      <c r="V1172" s="32">
        <f>IF($A1172=1,IF(COUNTIF(COA!$A:$A,$G1172)=0,0,INDEX(COA!$H:$H,MATCH($G1172,COA!$A:$A,0))),"")</f>
        <v/>
      </c>
      <c r="W1172" s="32">
        <f>IF($A1172=1,"","")</f>
        <v/>
      </c>
      <c r="X1172" s="32">
        <f>IF($A1172=1,IF($R1172=1,"",IF($O1172=ST_POST,IF($P1172&lt;&gt;"",$P1172,"حساب غير صالح أو غير نشط"),IF($O1172=ST_REV,"معكوس: لا أثر على الدفاتر",IF($O1172=ST_CANC,"ملغى",IF($O1172=ST_APPR,"معتمد ولم يُرحَّل","مسودة"))))),"")</f>
        <v/>
      </c>
      <c r="Y1172" s="32">
        <f>IF($A1172=1,IF(AND($R1172=1,OR(LG_Acct="",$G1172=LG_Acct),OR(LG_Party="",$K1172=LG_Party),OR(LG_Loc="ALL",$I1172=LG_Loc),OR(LG_CC="ALL",$J1172=LG_CC),$D1172&gt;=LG_From,$D1172&lt;=LG_To),$D1172+ROW()/1000000,""),"")</f>
        <v/>
      </c>
      <c r="Z1172" s="32">
        <f>IF($A1172=1,IF(Expenses!$N66="","",Expenses!$N66),"")</f>
        <v/>
      </c>
      <c r="AA1172" s="32">
        <f>IF($A1172=1,IF(Expenses!$O66="","",Expenses!$O66),"")</f>
        <v/>
      </c>
      <c r="AB1172" s="32">
        <f>IF($A1172=1,IF(Expenses!$P66="","",Expenses!$P66),"")</f>
        <v/>
      </c>
      <c r="AC1172" s="32">
        <f>IF($A1172=1,IF(Expenses!$Q66="","",Expenses!$Q66),"")</f>
        <v/>
      </c>
      <c r="AD1172" s="32">
        <f>IF($A1172=1,IF(Expenses!$R66="","",Expenses!$R66),"")</f>
        <v/>
      </c>
      <c r="AE1172" s="32">
        <f>IF($A1172=1,0,"")</f>
        <v/>
      </c>
      <c r="AF1172" s="32" t="inlineStr"/>
    </row>
    <row r="1173">
      <c r="A1173" s="32">
        <f>IF(AND(Expenses!$AB66=1,N(Expenses!$G66)&gt;0),1,0)</f>
        <v/>
      </c>
      <c r="B1173" s="32">
        <f>IF($A1173=1,$E1173&amp;"/2","")</f>
        <v/>
      </c>
      <c r="C1173" s="32">
        <f>IF($A1173=1,"J-"&amp;Expenses!$A66,"")</f>
        <v/>
      </c>
      <c r="D1173" s="33">
        <f>IF($A1173=1,Expenses!$B66,"")</f>
        <v/>
      </c>
      <c r="E1173" s="32">
        <f>IF($A1173=1,IF(Expenses!$A66="","",Expenses!$A66),"")</f>
        <v/>
      </c>
      <c r="F1173" s="32">
        <f>IF($A1173=1,"EXP","")</f>
        <v/>
      </c>
      <c r="G1173" s="32">
        <f>IF($A1173=1,ACC_VAT_IN,"")</f>
        <v/>
      </c>
      <c r="H1173" s="32">
        <f>IF($A1173=1,IF(COUNTIF(COA!$A:$A,$G1173)=0,"حساب غير معرف",INDEX(COA!$B:$B,MATCH($G1173,COA!$A:$A,0))),"")</f>
        <v/>
      </c>
      <c r="I1173" s="32">
        <f>IF($A1173=1,IF(Expenses!$C66="","",Expenses!$C66),"")</f>
        <v/>
      </c>
      <c r="J1173" s="32">
        <f>IF($A1173=1,IF(Expenses!$D66="","",Expenses!$D66),"")</f>
        <v/>
      </c>
      <c r="K1173" s="32">
        <f>IF($A1173=1,"-","")</f>
        <v/>
      </c>
      <c r="L1173" s="32">
        <f>IF($A1173=1,"ضريبة قيمة مضافة - مدخلات","")</f>
        <v/>
      </c>
      <c r="M1173" s="43">
        <f>IF($A1173=1,Expenses!$G66,"")</f>
        <v/>
      </c>
      <c r="N1173" s="43">
        <f>IF($A1173=1,0,"")</f>
        <v/>
      </c>
      <c r="O1173" s="32">
        <f>IF($A1173=1,Expenses!$M66,"")</f>
        <v/>
      </c>
      <c r="P1173" s="32">
        <f>IF($A1173=1,IF(Expenses!$AC66="","",Expenses!$AC66),"")</f>
        <v/>
      </c>
      <c r="Q1173" s="32">
        <f>IF($A1173=1,Expenses!$AE66,"")</f>
        <v/>
      </c>
      <c r="R1173" s="32">
        <f>IF($A1173=1,IF(AND($Q1173=1,COUNTIFS(COA!$A:$A,$G1173,COA!$R:$R,1)=1),1,0),"")</f>
        <v/>
      </c>
      <c r="S1173" s="43">
        <f>IF($A1173=1,IF($R1173=1,N($M1173),0),"")</f>
        <v/>
      </c>
      <c r="T1173" s="43">
        <f>IF($A1173=1,IF($R1173=1,N($N1173),0),"")</f>
        <v/>
      </c>
      <c r="U1173" s="32">
        <f>IF($A1173=1,YEAR($D1173)*100+MONTH($D1173),"")</f>
        <v/>
      </c>
      <c r="V1173" s="32">
        <f>IF($A1173=1,IF(COUNTIF(COA!$A:$A,$G1173)=0,0,INDEX(COA!$H:$H,MATCH($G1173,COA!$A:$A,0))),"")</f>
        <v/>
      </c>
      <c r="W1173" s="32">
        <f>IF($A1173=1,"","")</f>
        <v/>
      </c>
      <c r="X1173" s="32">
        <f>IF($A1173=1,IF($R1173=1,"",IF($O1173=ST_POST,IF($P1173&lt;&gt;"",$P1173,"حساب غير صالح أو غير نشط"),IF($O1173=ST_REV,"معكوس: لا أثر على الدفاتر",IF($O1173=ST_CANC,"ملغى",IF($O1173=ST_APPR,"معتمد ولم يُرحَّل","مسودة"))))),"")</f>
        <v/>
      </c>
      <c r="Y1173" s="32">
        <f>IF($A1173=1,IF(AND($R1173=1,OR(LG_Acct="",$G1173=LG_Acct),OR(LG_Party="",$K1173=LG_Party),OR(LG_Loc="ALL",$I1173=LG_Loc),OR(LG_CC="ALL",$J1173=LG_CC),$D1173&gt;=LG_From,$D1173&lt;=LG_To),$D1173+ROW()/1000000,""),"")</f>
        <v/>
      </c>
      <c r="Z1173" s="32">
        <f>IF($A1173=1,IF(Expenses!$N66="","",Expenses!$N66),"")</f>
        <v/>
      </c>
      <c r="AA1173" s="32">
        <f>IF($A1173=1,IF(Expenses!$O66="","",Expenses!$O66),"")</f>
        <v/>
      </c>
      <c r="AB1173" s="32">
        <f>IF($A1173=1,IF(Expenses!$P66="","",Expenses!$P66),"")</f>
        <v/>
      </c>
      <c r="AC1173" s="32">
        <f>IF($A1173=1,IF(Expenses!$Q66="","",Expenses!$Q66),"")</f>
        <v/>
      </c>
      <c r="AD1173" s="32">
        <f>IF($A1173=1,IF(Expenses!$R66="","",Expenses!$R66),"")</f>
        <v/>
      </c>
      <c r="AE1173" s="32">
        <f>IF($A1173=1,0,"")</f>
        <v/>
      </c>
      <c r="AF1173" s="32" t="inlineStr"/>
    </row>
    <row r="1174">
      <c r="A1174" s="32">
        <f>IF(AND(Expenses!$AB66=1,N(Expenses!$W66)&gt;0),1,0)</f>
        <v/>
      </c>
      <c r="B1174" s="32">
        <f>IF($A1174=1,$E1174&amp;"/3","")</f>
        <v/>
      </c>
      <c r="C1174" s="32">
        <f>IF($A1174=1,"J-"&amp;Expenses!$A66,"")</f>
        <v/>
      </c>
      <c r="D1174" s="33">
        <f>IF($A1174=1,Expenses!$B66,"")</f>
        <v/>
      </c>
      <c r="E1174" s="32">
        <f>IF($A1174=1,IF(Expenses!$A66="","",Expenses!$A66),"")</f>
        <v/>
      </c>
      <c r="F1174" s="32">
        <f>IF($A1174=1,"EXP","")</f>
        <v/>
      </c>
      <c r="G1174" s="32">
        <f>IF($A1174=1,IF(Expenses!$V66="","",Expenses!$V66),"")</f>
        <v/>
      </c>
      <c r="H1174" s="32">
        <f>IF($A1174=1,IF(COUNTIF(COA!$A:$A,$G1174)=0,"حساب غير معرف",INDEX(COA!$B:$B,MATCH($G1174,COA!$A:$A,0))),"")</f>
        <v/>
      </c>
      <c r="I1174" s="32">
        <f>IF($A1174=1,IF(Expenses!$C66="","",Expenses!$C66),"")</f>
        <v/>
      </c>
      <c r="J1174" s="32">
        <f>IF($A1174=1,"CC00","")</f>
        <v/>
      </c>
      <c r="K1174" s="32">
        <f>IF($A1174=1,"-","")</f>
        <v/>
      </c>
      <c r="L1174" s="32">
        <f>IF($A1174=1,IF(Expenses!$L66="","مصروف - "&amp;Expenses!$J66,Expenses!$L66),"")</f>
        <v/>
      </c>
      <c r="M1174" s="43">
        <f>IF($A1174=1,0,"")</f>
        <v/>
      </c>
      <c r="N1174" s="43">
        <f>IF($A1174=1,Expenses!$W66,"")</f>
        <v/>
      </c>
      <c r="O1174" s="32">
        <f>IF($A1174=1,Expenses!$M66,"")</f>
        <v/>
      </c>
      <c r="P1174" s="32">
        <f>IF($A1174=1,IF(Expenses!$AC66="","",Expenses!$AC66),"")</f>
        <v/>
      </c>
      <c r="Q1174" s="32">
        <f>IF($A1174=1,Expenses!$AE66,"")</f>
        <v/>
      </c>
      <c r="R1174" s="32">
        <f>IF($A1174=1,IF(AND($Q1174=1,COUNTIFS(COA!$A:$A,$G1174,COA!$R:$R,1)=1),1,0),"")</f>
        <v/>
      </c>
      <c r="S1174" s="43">
        <f>IF($A1174=1,IF($R1174=1,N($M1174),0),"")</f>
        <v/>
      </c>
      <c r="T1174" s="43">
        <f>IF($A1174=1,IF($R1174=1,N($N1174),0),"")</f>
        <v/>
      </c>
      <c r="U1174" s="32">
        <f>IF($A1174=1,YEAR($D1174)*100+MONTH($D1174),"")</f>
        <v/>
      </c>
      <c r="V1174" s="32">
        <f>IF($A1174=1,IF(COUNTIF(COA!$A:$A,$G1174)=0,0,INDEX(COA!$H:$H,MATCH($G1174,COA!$A:$A,0))),"")</f>
        <v/>
      </c>
      <c r="W1174" s="32">
        <f>IF($A1174=1,"OPERATING","")</f>
        <v/>
      </c>
      <c r="X1174" s="32">
        <f>IF($A1174=1,IF($R1174=1,"",IF($O1174=ST_POST,IF($P1174&lt;&gt;"",$P1174,"حساب غير صالح أو غير نشط"),IF($O1174=ST_REV,"معكوس: لا أثر على الدفاتر",IF($O1174=ST_CANC,"ملغى",IF($O1174=ST_APPR,"معتمد ولم يُرحَّل","مسودة"))))),"")</f>
        <v/>
      </c>
      <c r="Y1174" s="32">
        <f>IF($A1174=1,IF(AND($R1174=1,OR(LG_Acct="",$G1174=LG_Acct),OR(LG_Party="",$K1174=LG_Party),OR(LG_Loc="ALL",$I1174=LG_Loc),OR(LG_CC="ALL",$J1174=LG_CC),$D1174&gt;=LG_From,$D1174&lt;=LG_To),$D1174+ROW()/1000000,""),"")</f>
        <v/>
      </c>
      <c r="Z1174" s="32">
        <f>IF($A1174=1,IF(Expenses!$N66="","",Expenses!$N66),"")</f>
        <v/>
      </c>
      <c r="AA1174" s="32">
        <f>IF($A1174=1,IF(Expenses!$O66="","",Expenses!$O66),"")</f>
        <v/>
      </c>
      <c r="AB1174" s="32">
        <f>IF($A1174=1,IF(Expenses!$P66="","",Expenses!$P66),"")</f>
        <v/>
      </c>
      <c r="AC1174" s="32">
        <f>IF($A1174=1,IF(Expenses!$Q66="","",Expenses!$Q66),"")</f>
        <v/>
      </c>
      <c r="AD1174" s="32">
        <f>IF($A1174=1,IF(Expenses!$R66="","",Expenses!$R66),"")</f>
        <v/>
      </c>
      <c r="AE1174" s="32">
        <f>IF($A1174=1,0,"")</f>
        <v/>
      </c>
      <c r="AF1174" s="32" t="inlineStr"/>
    </row>
    <row r="1175">
      <c r="A1175" s="32">
        <f>IF(AND(Expenses!$AB67=1,N(Expenses!$F67)&gt;0),1,0)</f>
        <v/>
      </c>
      <c r="B1175" s="32">
        <f>IF($A1175=1,$E1175&amp;"/1","")</f>
        <v/>
      </c>
      <c r="C1175" s="32">
        <f>IF($A1175=1,"J-"&amp;Expenses!$A67,"")</f>
        <v/>
      </c>
      <c r="D1175" s="33">
        <f>IF($A1175=1,Expenses!$B67,"")</f>
        <v/>
      </c>
      <c r="E1175" s="32">
        <f>IF($A1175=1,IF(Expenses!$A67="","",Expenses!$A67),"")</f>
        <v/>
      </c>
      <c r="F1175" s="32">
        <f>IF($A1175=1,"EXP","")</f>
        <v/>
      </c>
      <c r="G1175" s="32">
        <f>IF($A1175=1,IF(Expenses!$E67="","",Expenses!$E67),"")</f>
        <v/>
      </c>
      <c r="H1175" s="32">
        <f>IF($A1175=1,IF(COUNTIF(COA!$A:$A,$G1175)=0,"حساب غير معرف",INDEX(COA!$B:$B,MATCH($G1175,COA!$A:$A,0))),"")</f>
        <v/>
      </c>
      <c r="I1175" s="32">
        <f>IF($A1175=1,IF(Expenses!$C67="","",Expenses!$C67),"")</f>
        <v/>
      </c>
      <c r="J1175" s="32">
        <f>IF($A1175=1,IF(Expenses!$D67="","",Expenses!$D67),"")</f>
        <v/>
      </c>
      <c r="K1175" s="32">
        <f>IF($A1175=1,"-","")</f>
        <v/>
      </c>
      <c r="L1175" s="32">
        <f>IF($A1175=1,IF(Expenses!$L67="","مصروف - "&amp;Expenses!$J67,Expenses!$L67),"")</f>
        <v/>
      </c>
      <c r="M1175" s="43">
        <f>IF($A1175=1,Expenses!$F67,"")</f>
        <v/>
      </c>
      <c r="N1175" s="43">
        <f>IF($A1175=1,0,"")</f>
        <v/>
      </c>
      <c r="O1175" s="32">
        <f>IF($A1175=1,Expenses!$M67,"")</f>
        <v/>
      </c>
      <c r="P1175" s="32">
        <f>IF($A1175=1,IF(Expenses!$AC67="","",Expenses!$AC67),"")</f>
        <v/>
      </c>
      <c r="Q1175" s="32">
        <f>IF($A1175=1,Expenses!$AE67,"")</f>
        <v/>
      </c>
      <c r="R1175" s="32">
        <f>IF($A1175=1,IF(AND($Q1175=1,COUNTIFS(COA!$A:$A,$G1175,COA!$R:$R,1)=1),1,0),"")</f>
        <v/>
      </c>
      <c r="S1175" s="43">
        <f>IF($A1175=1,IF($R1175=1,N($M1175),0),"")</f>
        <v/>
      </c>
      <c r="T1175" s="43">
        <f>IF($A1175=1,IF($R1175=1,N($N1175),0),"")</f>
        <v/>
      </c>
      <c r="U1175" s="32">
        <f>IF($A1175=1,YEAR($D1175)*100+MONTH($D1175),"")</f>
        <v/>
      </c>
      <c r="V1175" s="32">
        <f>IF($A1175=1,IF(COUNTIF(COA!$A:$A,$G1175)=0,0,INDEX(COA!$H:$H,MATCH($G1175,COA!$A:$A,0))),"")</f>
        <v/>
      </c>
      <c r="W1175" s="32">
        <f>IF($A1175=1,"","")</f>
        <v/>
      </c>
      <c r="X1175" s="32">
        <f>IF($A1175=1,IF($R1175=1,"",IF($O1175=ST_POST,IF($P1175&lt;&gt;"",$P1175,"حساب غير صالح أو غير نشط"),IF($O1175=ST_REV,"معكوس: لا أثر على الدفاتر",IF($O1175=ST_CANC,"ملغى",IF($O1175=ST_APPR,"معتمد ولم يُرحَّل","مسودة"))))),"")</f>
        <v/>
      </c>
      <c r="Y1175" s="32">
        <f>IF($A1175=1,IF(AND($R1175=1,OR(LG_Acct="",$G1175=LG_Acct),OR(LG_Party="",$K1175=LG_Party),OR(LG_Loc="ALL",$I1175=LG_Loc),OR(LG_CC="ALL",$J1175=LG_CC),$D1175&gt;=LG_From,$D1175&lt;=LG_To),$D1175+ROW()/1000000,""),"")</f>
        <v/>
      </c>
      <c r="Z1175" s="32">
        <f>IF($A1175=1,IF(Expenses!$N67="","",Expenses!$N67),"")</f>
        <v/>
      </c>
      <c r="AA1175" s="32">
        <f>IF($A1175=1,IF(Expenses!$O67="","",Expenses!$O67),"")</f>
        <v/>
      </c>
      <c r="AB1175" s="32">
        <f>IF($A1175=1,IF(Expenses!$P67="","",Expenses!$P67),"")</f>
        <v/>
      </c>
      <c r="AC1175" s="32">
        <f>IF($A1175=1,IF(Expenses!$Q67="","",Expenses!$Q67),"")</f>
        <v/>
      </c>
      <c r="AD1175" s="32">
        <f>IF($A1175=1,IF(Expenses!$R67="","",Expenses!$R67),"")</f>
        <v/>
      </c>
      <c r="AE1175" s="32">
        <f>IF($A1175=1,0,"")</f>
        <v/>
      </c>
      <c r="AF1175" s="32" t="inlineStr"/>
    </row>
    <row r="1176">
      <c r="A1176" s="32">
        <f>IF(AND(Expenses!$AB67=1,N(Expenses!$G67)&gt;0),1,0)</f>
        <v/>
      </c>
      <c r="B1176" s="32">
        <f>IF($A1176=1,$E1176&amp;"/2","")</f>
        <v/>
      </c>
      <c r="C1176" s="32">
        <f>IF($A1176=1,"J-"&amp;Expenses!$A67,"")</f>
        <v/>
      </c>
      <c r="D1176" s="33">
        <f>IF($A1176=1,Expenses!$B67,"")</f>
        <v/>
      </c>
      <c r="E1176" s="32">
        <f>IF($A1176=1,IF(Expenses!$A67="","",Expenses!$A67),"")</f>
        <v/>
      </c>
      <c r="F1176" s="32">
        <f>IF($A1176=1,"EXP","")</f>
        <v/>
      </c>
      <c r="G1176" s="32">
        <f>IF($A1176=1,ACC_VAT_IN,"")</f>
        <v/>
      </c>
      <c r="H1176" s="32">
        <f>IF($A1176=1,IF(COUNTIF(COA!$A:$A,$G1176)=0,"حساب غير معرف",INDEX(COA!$B:$B,MATCH($G1176,COA!$A:$A,0))),"")</f>
        <v/>
      </c>
      <c r="I1176" s="32">
        <f>IF($A1176=1,IF(Expenses!$C67="","",Expenses!$C67),"")</f>
        <v/>
      </c>
      <c r="J1176" s="32">
        <f>IF($A1176=1,IF(Expenses!$D67="","",Expenses!$D67),"")</f>
        <v/>
      </c>
      <c r="K1176" s="32">
        <f>IF($A1176=1,"-","")</f>
        <v/>
      </c>
      <c r="L1176" s="32">
        <f>IF($A1176=1,"ضريبة قيمة مضافة - مدخلات","")</f>
        <v/>
      </c>
      <c r="M1176" s="43">
        <f>IF($A1176=1,Expenses!$G67,"")</f>
        <v/>
      </c>
      <c r="N1176" s="43">
        <f>IF($A1176=1,0,"")</f>
        <v/>
      </c>
      <c r="O1176" s="32">
        <f>IF($A1176=1,Expenses!$M67,"")</f>
        <v/>
      </c>
      <c r="P1176" s="32">
        <f>IF($A1176=1,IF(Expenses!$AC67="","",Expenses!$AC67),"")</f>
        <v/>
      </c>
      <c r="Q1176" s="32">
        <f>IF($A1176=1,Expenses!$AE67,"")</f>
        <v/>
      </c>
      <c r="R1176" s="32">
        <f>IF($A1176=1,IF(AND($Q1176=1,COUNTIFS(COA!$A:$A,$G1176,COA!$R:$R,1)=1),1,0),"")</f>
        <v/>
      </c>
      <c r="S1176" s="43">
        <f>IF($A1176=1,IF($R1176=1,N($M1176),0),"")</f>
        <v/>
      </c>
      <c r="T1176" s="43">
        <f>IF($A1176=1,IF($R1176=1,N($N1176),0),"")</f>
        <v/>
      </c>
      <c r="U1176" s="32">
        <f>IF($A1176=1,YEAR($D1176)*100+MONTH($D1176),"")</f>
        <v/>
      </c>
      <c r="V1176" s="32">
        <f>IF($A1176=1,IF(COUNTIF(COA!$A:$A,$G1176)=0,0,INDEX(COA!$H:$H,MATCH($G1176,COA!$A:$A,0))),"")</f>
        <v/>
      </c>
      <c r="W1176" s="32">
        <f>IF($A1176=1,"","")</f>
        <v/>
      </c>
      <c r="X1176" s="32">
        <f>IF($A1176=1,IF($R1176=1,"",IF($O1176=ST_POST,IF($P1176&lt;&gt;"",$P1176,"حساب غير صالح أو غير نشط"),IF($O1176=ST_REV,"معكوس: لا أثر على الدفاتر",IF($O1176=ST_CANC,"ملغى",IF($O1176=ST_APPR,"معتمد ولم يُرحَّل","مسودة"))))),"")</f>
        <v/>
      </c>
      <c r="Y1176" s="32">
        <f>IF($A1176=1,IF(AND($R1176=1,OR(LG_Acct="",$G1176=LG_Acct),OR(LG_Party="",$K1176=LG_Party),OR(LG_Loc="ALL",$I1176=LG_Loc),OR(LG_CC="ALL",$J1176=LG_CC),$D1176&gt;=LG_From,$D1176&lt;=LG_To),$D1176+ROW()/1000000,""),"")</f>
        <v/>
      </c>
      <c r="Z1176" s="32">
        <f>IF($A1176=1,IF(Expenses!$N67="","",Expenses!$N67),"")</f>
        <v/>
      </c>
      <c r="AA1176" s="32">
        <f>IF($A1176=1,IF(Expenses!$O67="","",Expenses!$O67),"")</f>
        <v/>
      </c>
      <c r="AB1176" s="32">
        <f>IF($A1176=1,IF(Expenses!$P67="","",Expenses!$P67),"")</f>
        <v/>
      </c>
      <c r="AC1176" s="32">
        <f>IF($A1176=1,IF(Expenses!$Q67="","",Expenses!$Q67),"")</f>
        <v/>
      </c>
      <c r="AD1176" s="32">
        <f>IF($A1176=1,IF(Expenses!$R67="","",Expenses!$R67),"")</f>
        <v/>
      </c>
      <c r="AE1176" s="32">
        <f>IF($A1176=1,0,"")</f>
        <v/>
      </c>
      <c r="AF1176" s="32" t="inlineStr"/>
    </row>
    <row r="1177">
      <c r="A1177" s="32">
        <f>IF(AND(Expenses!$AB67=1,N(Expenses!$W67)&gt;0),1,0)</f>
        <v/>
      </c>
      <c r="B1177" s="32">
        <f>IF($A1177=1,$E1177&amp;"/3","")</f>
        <v/>
      </c>
      <c r="C1177" s="32">
        <f>IF($A1177=1,"J-"&amp;Expenses!$A67,"")</f>
        <v/>
      </c>
      <c r="D1177" s="33">
        <f>IF($A1177=1,Expenses!$B67,"")</f>
        <v/>
      </c>
      <c r="E1177" s="32">
        <f>IF($A1177=1,IF(Expenses!$A67="","",Expenses!$A67),"")</f>
        <v/>
      </c>
      <c r="F1177" s="32">
        <f>IF($A1177=1,"EXP","")</f>
        <v/>
      </c>
      <c r="G1177" s="32">
        <f>IF($A1177=1,IF(Expenses!$V67="","",Expenses!$V67),"")</f>
        <v/>
      </c>
      <c r="H1177" s="32">
        <f>IF($A1177=1,IF(COUNTIF(COA!$A:$A,$G1177)=0,"حساب غير معرف",INDEX(COA!$B:$B,MATCH($G1177,COA!$A:$A,0))),"")</f>
        <v/>
      </c>
      <c r="I1177" s="32">
        <f>IF($A1177=1,IF(Expenses!$C67="","",Expenses!$C67),"")</f>
        <v/>
      </c>
      <c r="J1177" s="32">
        <f>IF($A1177=1,"CC00","")</f>
        <v/>
      </c>
      <c r="K1177" s="32">
        <f>IF($A1177=1,"-","")</f>
        <v/>
      </c>
      <c r="L1177" s="32">
        <f>IF($A1177=1,IF(Expenses!$L67="","مصروف - "&amp;Expenses!$J67,Expenses!$L67),"")</f>
        <v/>
      </c>
      <c r="M1177" s="43">
        <f>IF($A1177=1,0,"")</f>
        <v/>
      </c>
      <c r="N1177" s="43">
        <f>IF($A1177=1,Expenses!$W67,"")</f>
        <v/>
      </c>
      <c r="O1177" s="32">
        <f>IF($A1177=1,Expenses!$M67,"")</f>
        <v/>
      </c>
      <c r="P1177" s="32">
        <f>IF($A1177=1,IF(Expenses!$AC67="","",Expenses!$AC67),"")</f>
        <v/>
      </c>
      <c r="Q1177" s="32">
        <f>IF($A1177=1,Expenses!$AE67,"")</f>
        <v/>
      </c>
      <c r="R1177" s="32">
        <f>IF($A1177=1,IF(AND($Q1177=1,COUNTIFS(COA!$A:$A,$G1177,COA!$R:$R,1)=1),1,0),"")</f>
        <v/>
      </c>
      <c r="S1177" s="43">
        <f>IF($A1177=1,IF($R1177=1,N($M1177),0),"")</f>
        <v/>
      </c>
      <c r="T1177" s="43">
        <f>IF($A1177=1,IF($R1177=1,N($N1177),0),"")</f>
        <v/>
      </c>
      <c r="U1177" s="32">
        <f>IF($A1177=1,YEAR($D1177)*100+MONTH($D1177),"")</f>
        <v/>
      </c>
      <c r="V1177" s="32">
        <f>IF($A1177=1,IF(COUNTIF(COA!$A:$A,$G1177)=0,0,INDEX(COA!$H:$H,MATCH($G1177,COA!$A:$A,0))),"")</f>
        <v/>
      </c>
      <c r="W1177" s="32">
        <f>IF($A1177=1,"OPERATING","")</f>
        <v/>
      </c>
      <c r="X1177" s="32">
        <f>IF($A1177=1,IF($R1177=1,"",IF($O1177=ST_POST,IF($P1177&lt;&gt;"",$P1177,"حساب غير صالح أو غير نشط"),IF($O1177=ST_REV,"معكوس: لا أثر على الدفاتر",IF($O1177=ST_CANC,"ملغى",IF($O1177=ST_APPR,"معتمد ولم يُرحَّل","مسودة"))))),"")</f>
        <v/>
      </c>
      <c r="Y1177" s="32">
        <f>IF($A1177=1,IF(AND($R1177=1,OR(LG_Acct="",$G1177=LG_Acct),OR(LG_Party="",$K1177=LG_Party),OR(LG_Loc="ALL",$I1177=LG_Loc),OR(LG_CC="ALL",$J1177=LG_CC),$D1177&gt;=LG_From,$D1177&lt;=LG_To),$D1177+ROW()/1000000,""),"")</f>
        <v/>
      </c>
      <c r="Z1177" s="32">
        <f>IF($A1177=1,IF(Expenses!$N67="","",Expenses!$N67),"")</f>
        <v/>
      </c>
      <c r="AA1177" s="32">
        <f>IF($A1177=1,IF(Expenses!$O67="","",Expenses!$O67),"")</f>
        <v/>
      </c>
      <c r="AB1177" s="32">
        <f>IF($A1177=1,IF(Expenses!$P67="","",Expenses!$P67),"")</f>
        <v/>
      </c>
      <c r="AC1177" s="32">
        <f>IF($A1177=1,IF(Expenses!$Q67="","",Expenses!$Q67),"")</f>
        <v/>
      </c>
      <c r="AD1177" s="32">
        <f>IF($A1177=1,IF(Expenses!$R67="","",Expenses!$R67),"")</f>
        <v/>
      </c>
      <c r="AE1177" s="32">
        <f>IF($A1177=1,0,"")</f>
        <v/>
      </c>
      <c r="AF1177" s="32" t="inlineStr"/>
    </row>
    <row r="1178">
      <c r="A1178" s="32">
        <f>IF(AND(Expenses!$AB68=1,N(Expenses!$F68)&gt;0),1,0)</f>
        <v/>
      </c>
      <c r="B1178" s="32">
        <f>IF($A1178=1,$E1178&amp;"/1","")</f>
        <v/>
      </c>
      <c r="C1178" s="32">
        <f>IF($A1178=1,"J-"&amp;Expenses!$A68,"")</f>
        <v/>
      </c>
      <c r="D1178" s="33">
        <f>IF($A1178=1,Expenses!$B68,"")</f>
        <v/>
      </c>
      <c r="E1178" s="32">
        <f>IF($A1178=1,IF(Expenses!$A68="","",Expenses!$A68),"")</f>
        <v/>
      </c>
      <c r="F1178" s="32">
        <f>IF($A1178=1,"EXP","")</f>
        <v/>
      </c>
      <c r="G1178" s="32">
        <f>IF($A1178=1,IF(Expenses!$E68="","",Expenses!$E68),"")</f>
        <v/>
      </c>
      <c r="H1178" s="32">
        <f>IF($A1178=1,IF(COUNTIF(COA!$A:$A,$G1178)=0,"حساب غير معرف",INDEX(COA!$B:$B,MATCH($G1178,COA!$A:$A,0))),"")</f>
        <v/>
      </c>
      <c r="I1178" s="32">
        <f>IF($A1178=1,IF(Expenses!$C68="","",Expenses!$C68),"")</f>
        <v/>
      </c>
      <c r="J1178" s="32">
        <f>IF($A1178=1,IF(Expenses!$D68="","",Expenses!$D68),"")</f>
        <v/>
      </c>
      <c r="K1178" s="32">
        <f>IF($A1178=1,"-","")</f>
        <v/>
      </c>
      <c r="L1178" s="32">
        <f>IF($A1178=1,IF(Expenses!$L68="","مصروف - "&amp;Expenses!$J68,Expenses!$L68),"")</f>
        <v/>
      </c>
      <c r="M1178" s="43">
        <f>IF($A1178=1,Expenses!$F68,"")</f>
        <v/>
      </c>
      <c r="N1178" s="43">
        <f>IF($A1178=1,0,"")</f>
        <v/>
      </c>
      <c r="O1178" s="32">
        <f>IF($A1178=1,Expenses!$M68,"")</f>
        <v/>
      </c>
      <c r="P1178" s="32">
        <f>IF($A1178=1,IF(Expenses!$AC68="","",Expenses!$AC68),"")</f>
        <v/>
      </c>
      <c r="Q1178" s="32">
        <f>IF($A1178=1,Expenses!$AE68,"")</f>
        <v/>
      </c>
      <c r="R1178" s="32">
        <f>IF($A1178=1,IF(AND($Q1178=1,COUNTIFS(COA!$A:$A,$G1178,COA!$R:$R,1)=1),1,0),"")</f>
        <v/>
      </c>
      <c r="S1178" s="43">
        <f>IF($A1178=1,IF($R1178=1,N($M1178),0),"")</f>
        <v/>
      </c>
      <c r="T1178" s="43">
        <f>IF($A1178=1,IF($R1178=1,N($N1178),0),"")</f>
        <v/>
      </c>
      <c r="U1178" s="32">
        <f>IF($A1178=1,YEAR($D1178)*100+MONTH($D1178),"")</f>
        <v/>
      </c>
      <c r="V1178" s="32">
        <f>IF($A1178=1,IF(COUNTIF(COA!$A:$A,$G1178)=0,0,INDEX(COA!$H:$H,MATCH($G1178,COA!$A:$A,0))),"")</f>
        <v/>
      </c>
      <c r="W1178" s="32">
        <f>IF($A1178=1,"","")</f>
        <v/>
      </c>
      <c r="X1178" s="32">
        <f>IF($A1178=1,IF($R1178=1,"",IF($O1178=ST_POST,IF($P1178&lt;&gt;"",$P1178,"حساب غير صالح أو غير نشط"),IF($O1178=ST_REV,"معكوس: لا أثر على الدفاتر",IF($O1178=ST_CANC,"ملغى",IF($O1178=ST_APPR,"معتمد ولم يُرحَّل","مسودة"))))),"")</f>
        <v/>
      </c>
      <c r="Y1178" s="32">
        <f>IF($A1178=1,IF(AND($R1178=1,OR(LG_Acct="",$G1178=LG_Acct),OR(LG_Party="",$K1178=LG_Party),OR(LG_Loc="ALL",$I1178=LG_Loc),OR(LG_CC="ALL",$J1178=LG_CC),$D1178&gt;=LG_From,$D1178&lt;=LG_To),$D1178+ROW()/1000000,""),"")</f>
        <v/>
      </c>
      <c r="Z1178" s="32">
        <f>IF($A1178=1,IF(Expenses!$N68="","",Expenses!$N68),"")</f>
        <v/>
      </c>
      <c r="AA1178" s="32">
        <f>IF($A1178=1,IF(Expenses!$O68="","",Expenses!$O68),"")</f>
        <v/>
      </c>
      <c r="AB1178" s="32">
        <f>IF($A1178=1,IF(Expenses!$P68="","",Expenses!$P68),"")</f>
        <v/>
      </c>
      <c r="AC1178" s="32">
        <f>IF($A1178=1,IF(Expenses!$Q68="","",Expenses!$Q68),"")</f>
        <v/>
      </c>
      <c r="AD1178" s="32">
        <f>IF($A1178=1,IF(Expenses!$R68="","",Expenses!$R68),"")</f>
        <v/>
      </c>
      <c r="AE1178" s="32">
        <f>IF($A1178=1,0,"")</f>
        <v/>
      </c>
      <c r="AF1178" s="32" t="inlineStr"/>
    </row>
    <row r="1179">
      <c r="A1179" s="32">
        <f>IF(AND(Expenses!$AB68=1,N(Expenses!$G68)&gt;0),1,0)</f>
        <v/>
      </c>
      <c r="B1179" s="32">
        <f>IF($A1179=1,$E1179&amp;"/2","")</f>
        <v/>
      </c>
      <c r="C1179" s="32">
        <f>IF($A1179=1,"J-"&amp;Expenses!$A68,"")</f>
        <v/>
      </c>
      <c r="D1179" s="33">
        <f>IF($A1179=1,Expenses!$B68,"")</f>
        <v/>
      </c>
      <c r="E1179" s="32">
        <f>IF($A1179=1,IF(Expenses!$A68="","",Expenses!$A68),"")</f>
        <v/>
      </c>
      <c r="F1179" s="32">
        <f>IF($A1179=1,"EXP","")</f>
        <v/>
      </c>
      <c r="G1179" s="32">
        <f>IF($A1179=1,ACC_VAT_IN,"")</f>
        <v/>
      </c>
      <c r="H1179" s="32">
        <f>IF($A1179=1,IF(COUNTIF(COA!$A:$A,$G1179)=0,"حساب غير معرف",INDEX(COA!$B:$B,MATCH($G1179,COA!$A:$A,0))),"")</f>
        <v/>
      </c>
      <c r="I1179" s="32">
        <f>IF($A1179=1,IF(Expenses!$C68="","",Expenses!$C68),"")</f>
        <v/>
      </c>
      <c r="J1179" s="32">
        <f>IF($A1179=1,IF(Expenses!$D68="","",Expenses!$D68),"")</f>
        <v/>
      </c>
      <c r="K1179" s="32">
        <f>IF($A1179=1,"-","")</f>
        <v/>
      </c>
      <c r="L1179" s="32">
        <f>IF($A1179=1,"ضريبة قيمة مضافة - مدخلات","")</f>
        <v/>
      </c>
      <c r="M1179" s="43">
        <f>IF($A1179=1,Expenses!$G68,"")</f>
        <v/>
      </c>
      <c r="N1179" s="43">
        <f>IF($A1179=1,0,"")</f>
        <v/>
      </c>
      <c r="O1179" s="32">
        <f>IF($A1179=1,Expenses!$M68,"")</f>
        <v/>
      </c>
      <c r="P1179" s="32">
        <f>IF($A1179=1,IF(Expenses!$AC68="","",Expenses!$AC68),"")</f>
        <v/>
      </c>
      <c r="Q1179" s="32">
        <f>IF($A1179=1,Expenses!$AE68,"")</f>
        <v/>
      </c>
      <c r="R1179" s="32">
        <f>IF($A1179=1,IF(AND($Q1179=1,COUNTIFS(COA!$A:$A,$G1179,COA!$R:$R,1)=1),1,0),"")</f>
        <v/>
      </c>
      <c r="S1179" s="43">
        <f>IF($A1179=1,IF($R1179=1,N($M1179),0),"")</f>
        <v/>
      </c>
      <c r="T1179" s="43">
        <f>IF($A1179=1,IF($R1179=1,N($N1179),0),"")</f>
        <v/>
      </c>
      <c r="U1179" s="32">
        <f>IF($A1179=1,YEAR($D1179)*100+MONTH($D1179),"")</f>
        <v/>
      </c>
      <c r="V1179" s="32">
        <f>IF($A1179=1,IF(COUNTIF(COA!$A:$A,$G1179)=0,0,INDEX(COA!$H:$H,MATCH($G1179,COA!$A:$A,0))),"")</f>
        <v/>
      </c>
      <c r="W1179" s="32">
        <f>IF($A1179=1,"","")</f>
        <v/>
      </c>
      <c r="X1179" s="32">
        <f>IF($A1179=1,IF($R1179=1,"",IF($O1179=ST_POST,IF($P1179&lt;&gt;"",$P1179,"حساب غير صالح أو غير نشط"),IF($O1179=ST_REV,"معكوس: لا أثر على الدفاتر",IF($O1179=ST_CANC,"ملغى",IF($O1179=ST_APPR,"معتمد ولم يُرحَّل","مسودة"))))),"")</f>
        <v/>
      </c>
      <c r="Y1179" s="32">
        <f>IF($A1179=1,IF(AND($R1179=1,OR(LG_Acct="",$G1179=LG_Acct),OR(LG_Party="",$K1179=LG_Party),OR(LG_Loc="ALL",$I1179=LG_Loc),OR(LG_CC="ALL",$J1179=LG_CC),$D1179&gt;=LG_From,$D1179&lt;=LG_To),$D1179+ROW()/1000000,""),"")</f>
        <v/>
      </c>
      <c r="Z1179" s="32">
        <f>IF($A1179=1,IF(Expenses!$N68="","",Expenses!$N68),"")</f>
        <v/>
      </c>
      <c r="AA1179" s="32">
        <f>IF($A1179=1,IF(Expenses!$O68="","",Expenses!$O68),"")</f>
        <v/>
      </c>
      <c r="AB1179" s="32">
        <f>IF($A1179=1,IF(Expenses!$P68="","",Expenses!$P68),"")</f>
        <v/>
      </c>
      <c r="AC1179" s="32">
        <f>IF($A1179=1,IF(Expenses!$Q68="","",Expenses!$Q68),"")</f>
        <v/>
      </c>
      <c r="AD1179" s="32">
        <f>IF($A1179=1,IF(Expenses!$R68="","",Expenses!$R68),"")</f>
        <v/>
      </c>
      <c r="AE1179" s="32">
        <f>IF($A1179=1,0,"")</f>
        <v/>
      </c>
      <c r="AF1179" s="32" t="inlineStr"/>
    </row>
    <row r="1180">
      <c r="A1180" s="32">
        <f>IF(AND(Expenses!$AB68=1,N(Expenses!$W68)&gt;0),1,0)</f>
        <v/>
      </c>
      <c r="B1180" s="32">
        <f>IF($A1180=1,$E1180&amp;"/3","")</f>
        <v/>
      </c>
      <c r="C1180" s="32">
        <f>IF($A1180=1,"J-"&amp;Expenses!$A68,"")</f>
        <v/>
      </c>
      <c r="D1180" s="33">
        <f>IF($A1180=1,Expenses!$B68,"")</f>
        <v/>
      </c>
      <c r="E1180" s="32">
        <f>IF($A1180=1,IF(Expenses!$A68="","",Expenses!$A68),"")</f>
        <v/>
      </c>
      <c r="F1180" s="32">
        <f>IF($A1180=1,"EXP","")</f>
        <v/>
      </c>
      <c r="G1180" s="32">
        <f>IF($A1180=1,IF(Expenses!$V68="","",Expenses!$V68),"")</f>
        <v/>
      </c>
      <c r="H1180" s="32">
        <f>IF($A1180=1,IF(COUNTIF(COA!$A:$A,$G1180)=0,"حساب غير معرف",INDEX(COA!$B:$B,MATCH($G1180,COA!$A:$A,0))),"")</f>
        <v/>
      </c>
      <c r="I1180" s="32">
        <f>IF($A1180=1,IF(Expenses!$C68="","",Expenses!$C68),"")</f>
        <v/>
      </c>
      <c r="J1180" s="32">
        <f>IF($A1180=1,"CC00","")</f>
        <v/>
      </c>
      <c r="K1180" s="32">
        <f>IF($A1180=1,"-","")</f>
        <v/>
      </c>
      <c r="L1180" s="32">
        <f>IF($A1180=1,IF(Expenses!$L68="","مصروف - "&amp;Expenses!$J68,Expenses!$L68),"")</f>
        <v/>
      </c>
      <c r="M1180" s="43">
        <f>IF($A1180=1,0,"")</f>
        <v/>
      </c>
      <c r="N1180" s="43">
        <f>IF($A1180=1,Expenses!$W68,"")</f>
        <v/>
      </c>
      <c r="O1180" s="32">
        <f>IF($A1180=1,Expenses!$M68,"")</f>
        <v/>
      </c>
      <c r="P1180" s="32">
        <f>IF($A1180=1,IF(Expenses!$AC68="","",Expenses!$AC68),"")</f>
        <v/>
      </c>
      <c r="Q1180" s="32">
        <f>IF($A1180=1,Expenses!$AE68,"")</f>
        <v/>
      </c>
      <c r="R1180" s="32">
        <f>IF($A1180=1,IF(AND($Q1180=1,COUNTIFS(COA!$A:$A,$G1180,COA!$R:$R,1)=1),1,0),"")</f>
        <v/>
      </c>
      <c r="S1180" s="43">
        <f>IF($A1180=1,IF($R1180=1,N($M1180),0),"")</f>
        <v/>
      </c>
      <c r="T1180" s="43">
        <f>IF($A1180=1,IF($R1180=1,N($N1180),0),"")</f>
        <v/>
      </c>
      <c r="U1180" s="32">
        <f>IF($A1180=1,YEAR($D1180)*100+MONTH($D1180),"")</f>
        <v/>
      </c>
      <c r="V1180" s="32">
        <f>IF($A1180=1,IF(COUNTIF(COA!$A:$A,$G1180)=0,0,INDEX(COA!$H:$H,MATCH($G1180,COA!$A:$A,0))),"")</f>
        <v/>
      </c>
      <c r="W1180" s="32">
        <f>IF($A1180=1,"OPERATING","")</f>
        <v/>
      </c>
      <c r="X1180" s="32">
        <f>IF($A1180=1,IF($R1180=1,"",IF($O1180=ST_POST,IF($P1180&lt;&gt;"",$P1180,"حساب غير صالح أو غير نشط"),IF($O1180=ST_REV,"معكوس: لا أثر على الدفاتر",IF($O1180=ST_CANC,"ملغى",IF($O1180=ST_APPR,"معتمد ولم يُرحَّل","مسودة"))))),"")</f>
        <v/>
      </c>
      <c r="Y1180" s="32">
        <f>IF($A1180=1,IF(AND($R1180=1,OR(LG_Acct="",$G1180=LG_Acct),OR(LG_Party="",$K1180=LG_Party),OR(LG_Loc="ALL",$I1180=LG_Loc),OR(LG_CC="ALL",$J1180=LG_CC),$D1180&gt;=LG_From,$D1180&lt;=LG_To),$D1180+ROW()/1000000,""),"")</f>
        <v/>
      </c>
      <c r="Z1180" s="32">
        <f>IF($A1180=1,IF(Expenses!$N68="","",Expenses!$N68),"")</f>
        <v/>
      </c>
      <c r="AA1180" s="32">
        <f>IF($A1180=1,IF(Expenses!$O68="","",Expenses!$O68),"")</f>
        <v/>
      </c>
      <c r="AB1180" s="32">
        <f>IF($A1180=1,IF(Expenses!$P68="","",Expenses!$P68),"")</f>
        <v/>
      </c>
      <c r="AC1180" s="32">
        <f>IF($A1180=1,IF(Expenses!$Q68="","",Expenses!$Q68),"")</f>
        <v/>
      </c>
      <c r="AD1180" s="32">
        <f>IF($A1180=1,IF(Expenses!$R68="","",Expenses!$R68),"")</f>
        <v/>
      </c>
      <c r="AE1180" s="32">
        <f>IF($A1180=1,0,"")</f>
        <v/>
      </c>
      <c r="AF1180" s="32" t="inlineStr"/>
    </row>
    <row r="1181">
      <c r="A1181" s="32">
        <f>IF(AND(Expenses!$AB69=1,N(Expenses!$F69)&gt;0),1,0)</f>
        <v/>
      </c>
      <c r="B1181" s="32">
        <f>IF($A1181=1,$E1181&amp;"/1","")</f>
        <v/>
      </c>
      <c r="C1181" s="32">
        <f>IF($A1181=1,"J-"&amp;Expenses!$A69,"")</f>
        <v/>
      </c>
      <c r="D1181" s="33">
        <f>IF($A1181=1,Expenses!$B69,"")</f>
        <v/>
      </c>
      <c r="E1181" s="32">
        <f>IF($A1181=1,IF(Expenses!$A69="","",Expenses!$A69),"")</f>
        <v/>
      </c>
      <c r="F1181" s="32">
        <f>IF($A1181=1,"EXP","")</f>
        <v/>
      </c>
      <c r="G1181" s="32">
        <f>IF($A1181=1,IF(Expenses!$E69="","",Expenses!$E69),"")</f>
        <v/>
      </c>
      <c r="H1181" s="32">
        <f>IF($A1181=1,IF(COUNTIF(COA!$A:$A,$G1181)=0,"حساب غير معرف",INDEX(COA!$B:$B,MATCH($G1181,COA!$A:$A,0))),"")</f>
        <v/>
      </c>
      <c r="I1181" s="32">
        <f>IF($A1181=1,IF(Expenses!$C69="","",Expenses!$C69),"")</f>
        <v/>
      </c>
      <c r="J1181" s="32">
        <f>IF($A1181=1,IF(Expenses!$D69="","",Expenses!$D69),"")</f>
        <v/>
      </c>
      <c r="K1181" s="32">
        <f>IF($A1181=1,"-","")</f>
        <v/>
      </c>
      <c r="L1181" s="32">
        <f>IF($A1181=1,IF(Expenses!$L69="","مصروف - "&amp;Expenses!$J69,Expenses!$L69),"")</f>
        <v/>
      </c>
      <c r="M1181" s="43">
        <f>IF($A1181=1,Expenses!$F69,"")</f>
        <v/>
      </c>
      <c r="N1181" s="43">
        <f>IF($A1181=1,0,"")</f>
        <v/>
      </c>
      <c r="O1181" s="32">
        <f>IF($A1181=1,Expenses!$M69,"")</f>
        <v/>
      </c>
      <c r="P1181" s="32">
        <f>IF($A1181=1,IF(Expenses!$AC69="","",Expenses!$AC69),"")</f>
        <v/>
      </c>
      <c r="Q1181" s="32">
        <f>IF($A1181=1,Expenses!$AE69,"")</f>
        <v/>
      </c>
      <c r="R1181" s="32">
        <f>IF($A1181=1,IF(AND($Q1181=1,COUNTIFS(COA!$A:$A,$G1181,COA!$R:$R,1)=1),1,0),"")</f>
        <v/>
      </c>
      <c r="S1181" s="43">
        <f>IF($A1181=1,IF($R1181=1,N($M1181),0),"")</f>
        <v/>
      </c>
      <c r="T1181" s="43">
        <f>IF($A1181=1,IF($R1181=1,N($N1181),0),"")</f>
        <v/>
      </c>
      <c r="U1181" s="32">
        <f>IF($A1181=1,YEAR($D1181)*100+MONTH($D1181),"")</f>
        <v/>
      </c>
      <c r="V1181" s="32">
        <f>IF($A1181=1,IF(COUNTIF(COA!$A:$A,$G1181)=0,0,INDEX(COA!$H:$H,MATCH($G1181,COA!$A:$A,0))),"")</f>
        <v/>
      </c>
      <c r="W1181" s="32">
        <f>IF($A1181=1,"","")</f>
        <v/>
      </c>
      <c r="X1181" s="32">
        <f>IF($A1181=1,IF($R1181=1,"",IF($O1181=ST_POST,IF($P1181&lt;&gt;"",$P1181,"حساب غير صالح أو غير نشط"),IF($O1181=ST_REV,"معكوس: لا أثر على الدفاتر",IF($O1181=ST_CANC,"ملغى",IF($O1181=ST_APPR,"معتمد ولم يُرحَّل","مسودة"))))),"")</f>
        <v/>
      </c>
      <c r="Y1181" s="32">
        <f>IF($A1181=1,IF(AND($R1181=1,OR(LG_Acct="",$G1181=LG_Acct),OR(LG_Party="",$K1181=LG_Party),OR(LG_Loc="ALL",$I1181=LG_Loc),OR(LG_CC="ALL",$J1181=LG_CC),$D1181&gt;=LG_From,$D1181&lt;=LG_To),$D1181+ROW()/1000000,""),"")</f>
        <v/>
      </c>
      <c r="Z1181" s="32">
        <f>IF($A1181=1,IF(Expenses!$N69="","",Expenses!$N69),"")</f>
        <v/>
      </c>
      <c r="AA1181" s="32">
        <f>IF($A1181=1,IF(Expenses!$O69="","",Expenses!$O69),"")</f>
        <v/>
      </c>
      <c r="AB1181" s="32">
        <f>IF($A1181=1,IF(Expenses!$P69="","",Expenses!$P69),"")</f>
        <v/>
      </c>
      <c r="AC1181" s="32">
        <f>IF($A1181=1,IF(Expenses!$Q69="","",Expenses!$Q69),"")</f>
        <v/>
      </c>
      <c r="AD1181" s="32">
        <f>IF($A1181=1,IF(Expenses!$R69="","",Expenses!$R69),"")</f>
        <v/>
      </c>
      <c r="AE1181" s="32">
        <f>IF($A1181=1,0,"")</f>
        <v/>
      </c>
      <c r="AF1181" s="32" t="inlineStr"/>
    </row>
    <row r="1182">
      <c r="A1182" s="32">
        <f>IF(AND(Expenses!$AB69=1,N(Expenses!$G69)&gt;0),1,0)</f>
        <v/>
      </c>
      <c r="B1182" s="32">
        <f>IF($A1182=1,$E1182&amp;"/2","")</f>
        <v/>
      </c>
      <c r="C1182" s="32">
        <f>IF($A1182=1,"J-"&amp;Expenses!$A69,"")</f>
        <v/>
      </c>
      <c r="D1182" s="33">
        <f>IF($A1182=1,Expenses!$B69,"")</f>
        <v/>
      </c>
      <c r="E1182" s="32">
        <f>IF($A1182=1,IF(Expenses!$A69="","",Expenses!$A69),"")</f>
        <v/>
      </c>
      <c r="F1182" s="32">
        <f>IF($A1182=1,"EXP","")</f>
        <v/>
      </c>
      <c r="G1182" s="32">
        <f>IF($A1182=1,ACC_VAT_IN,"")</f>
        <v/>
      </c>
      <c r="H1182" s="32">
        <f>IF($A1182=1,IF(COUNTIF(COA!$A:$A,$G1182)=0,"حساب غير معرف",INDEX(COA!$B:$B,MATCH($G1182,COA!$A:$A,0))),"")</f>
        <v/>
      </c>
      <c r="I1182" s="32">
        <f>IF($A1182=1,IF(Expenses!$C69="","",Expenses!$C69),"")</f>
        <v/>
      </c>
      <c r="J1182" s="32">
        <f>IF($A1182=1,IF(Expenses!$D69="","",Expenses!$D69),"")</f>
        <v/>
      </c>
      <c r="K1182" s="32">
        <f>IF($A1182=1,"-","")</f>
        <v/>
      </c>
      <c r="L1182" s="32">
        <f>IF($A1182=1,"ضريبة قيمة مضافة - مدخلات","")</f>
        <v/>
      </c>
      <c r="M1182" s="43">
        <f>IF($A1182=1,Expenses!$G69,"")</f>
        <v/>
      </c>
      <c r="N1182" s="43">
        <f>IF($A1182=1,0,"")</f>
        <v/>
      </c>
      <c r="O1182" s="32">
        <f>IF($A1182=1,Expenses!$M69,"")</f>
        <v/>
      </c>
      <c r="P1182" s="32">
        <f>IF($A1182=1,IF(Expenses!$AC69="","",Expenses!$AC69),"")</f>
        <v/>
      </c>
      <c r="Q1182" s="32">
        <f>IF($A1182=1,Expenses!$AE69,"")</f>
        <v/>
      </c>
      <c r="R1182" s="32">
        <f>IF($A1182=1,IF(AND($Q1182=1,COUNTIFS(COA!$A:$A,$G1182,COA!$R:$R,1)=1),1,0),"")</f>
        <v/>
      </c>
      <c r="S1182" s="43">
        <f>IF($A1182=1,IF($R1182=1,N($M1182),0),"")</f>
        <v/>
      </c>
      <c r="T1182" s="43">
        <f>IF($A1182=1,IF($R1182=1,N($N1182),0),"")</f>
        <v/>
      </c>
      <c r="U1182" s="32">
        <f>IF($A1182=1,YEAR($D1182)*100+MONTH($D1182),"")</f>
        <v/>
      </c>
      <c r="V1182" s="32">
        <f>IF($A1182=1,IF(COUNTIF(COA!$A:$A,$G1182)=0,0,INDEX(COA!$H:$H,MATCH($G1182,COA!$A:$A,0))),"")</f>
        <v/>
      </c>
      <c r="W1182" s="32">
        <f>IF($A1182=1,"","")</f>
        <v/>
      </c>
      <c r="X1182" s="32">
        <f>IF($A1182=1,IF($R1182=1,"",IF($O1182=ST_POST,IF($P1182&lt;&gt;"",$P1182,"حساب غير صالح أو غير نشط"),IF($O1182=ST_REV,"معكوس: لا أثر على الدفاتر",IF($O1182=ST_CANC,"ملغى",IF($O1182=ST_APPR,"معتمد ولم يُرحَّل","مسودة"))))),"")</f>
        <v/>
      </c>
      <c r="Y1182" s="32">
        <f>IF($A1182=1,IF(AND($R1182=1,OR(LG_Acct="",$G1182=LG_Acct),OR(LG_Party="",$K1182=LG_Party),OR(LG_Loc="ALL",$I1182=LG_Loc),OR(LG_CC="ALL",$J1182=LG_CC),$D1182&gt;=LG_From,$D1182&lt;=LG_To),$D1182+ROW()/1000000,""),"")</f>
        <v/>
      </c>
      <c r="Z1182" s="32">
        <f>IF($A1182=1,IF(Expenses!$N69="","",Expenses!$N69),"")</f>
        <v/>
      </c>
      <c r="AA1182" s="32">
        <f>IF($A1182=1,IF(Expenses!$O69="","",Expenses!$O69),"")</f>
        <v/>
      </c>
      <c r="AB1182" s="32">
        <f>IF($A1182=1,IF(Expenses!$P69="","",Expenses!$P69),"")</f>
        <v/>
      </c>
      <c r="AC1182" s="32">
        <f>IF($A1182=1,IF(Expenses!$Q69="","",Expenses!$Q69),"")</f>
        <v/>
      </c>
      <c r="AD1182" s="32">
        <f>IF($A1182=1,IF(Expenses!$R69="","",Expenses!$R69),"")</f>
        <v/>
      </c>
      <c r="AE1182" s="32">
        <f>IF($A1182=1,0,"")</f>
        <v/>
      </c>
      <c r="AF1182" s="32" t="inlineStr"/>
    </row>
    <row r="1183">
      <c r="A1183" s="32">
        <f>IF(AND(Expenses!$AB69=1,N(Expenses!$W69)&gt;0),1,0)</f>
        <v/>
      </c>
      <c r="B1183" s="32">
        <f>IF($A1183=1,$E1183&amp;"/3","")</f>
        <v/>
      </c>
      <c r="C1183" s="32">
        <f>IF($A1183=1,"J-"&amp;Expenses!$A69,"")</f>
        <v/>
      </c>
      <c r="D1183" s="33">
        <f>IF($A1183=1,Expenses!$B69,"")</f>
        <v/>
      </c>
      <c r="E1183" s="32">
        <f>IF($A1183=1,IF(Expenses!$A69="","",Expenses!$A69),"")</f>
        <v/>
      </c>
      <c r="F1183" s="32">
        <f>IF($A1183=1,"EXP","")</f>
        <v/>
      </c>
      <c r="G1183" s="32">
        <f>IF($A1183=1,IF(Expenses!$V69="","",Expenses!$V69),"")</f>
        <v/>
      </c>
      <c r="H1183" s="32">
        <f>IF($A1183=1,IF(COUNTIF(COA!$A:$A,$G1183)=0,"حساب غير معرف",INDEX(COA!$B:$B,MATCH($G1183,COA!$A:$A,0))),"")</f>
        <v/>
      </c>
      <c r="I1183" s="32">
        <f>IF($A1183=1,IF(Expenses!$C69="","",Expenses!$C69),"")</f>
        <v/>
      </c>
      <c r="J1183" s="32">
        <f>IF($A1183=1,"CC00","")</f>
        <v/>
      </c>
      <c r="K1183" s="32">
        <f>IF($A1183=1,"-","")</f>
        <v/>
      </c>
      <c r="L1183" s="32">
        <f>IF($A1183=1,IF(Expenses!$L69="","مصروف - "&amp;Expenses!$J69,Expenses!$L69),"")</f>
        <v/>
      </c>
      <c r="M1183" s="43">
        <f>IF($A1183=1,0,"")</f>
        <v/>
      </c>
      <c r="N1183" s="43">
        <f>IF($A1183=1,Expenses!$W69,"")</f>
        <v/>
      </c>
      <c r="O1183" s="32">
        <f>IF($A1183=1,Expenses!$M69,"")</f>
        <v/>
      </c>
      <c r="P1183" s="32">
        <f>IF($A1183=1,IF(Expenses!$AC69="","",Expenses!$AC69),"")</f>
        <v/>
      </c>
      <c r="Q1183" s="32">
        <f>IF($A1183=1,Expenses!$AE69,"")</f>
        <v/>
      </c>
      <c r="R1183" s="32">
        <f>IF($A1183=1,IF(AND($Q1183=1,COUNTIFS(COA!$A:$A,$G1183,COA!$R:$R,1)=1),1,0),"")</f>
        <v/>
      </c>
      <c r="S1183" s="43">
        <f>IF($A1183=1,IF($R1183=1,N($M1183),0),"")</f>
        <v/>
      </c>
      <c r="T1183" s="43">
        <f>IF($A1183=1,IF($R1183=1,N($N1183),0),"")</f>
        <v/>
      </c>
      <c r="U1183" s="32">
        <f>IF($A1183=1,YEAR($D1183)*100+MONTH($D1183),"")</f>
        <v/>
      </c>
      <c r="V1183" s="32">
        <f>IF($A1183=1,IF(COUNTIF(COA!$A:$A,$G1183)=0,0,INDEX(COA!$H:$H,MATCH($G1183,COA!$A:$A,0))),"")</f>
        <v/>
      </c>
      <c r="W1183" s="32">
        <f>IF($A1183=1,"OPERATING","")</f>
        <v/>
      </c>
      <c r="X1183" s="32">
        <f>IF($A1183=1,IF($R1183=1,"",IF($O1183=ST_POST,IF($P1183&lt;&gt;"",$P1183,"حساب غير صالح أو غير نشط"),IF($O1183=ST_REV,"معكوس: لا أثر على الدفاتر",IF($O1183=ST_CANC,"ملغى",IF($O1183=ST_APPR,"معتمد ولم يُرحَّل","مسودة"))))),"")</f>
        <v/>
      </c>
      <c r="Y1183" s="32">
        <f>IF($A1183=1,IF(AND($R1183=1,OR(LG_Acct="",$G1183=LG_Acct),OR(LG_Party="",$K1183=LG_Party),OR(LG_Loc="ALL",$I1183=LG_Loc),OR(LG_CC="ALL",$J1183=LG_CC),$D1183&gt;=LG_From,$D1183&lt;=LG_To),$D1183+ROW()/1000000,""),"")</f>
        <v/>
      </c>
      <c r="Z1183" s="32">
        <f>IF($A1183=1,IF(Expenses!$N69="","",Expenses!$N69),"")</f>
        <v/>
      </c>
      <c r="AA1183" s="32">
        <f>IF($A1183=1,IF(Expenses!$O69="","",Expenses!$O69),"")</f>
        <v/>
      </c>
      <c r="AB1183" s="32">
        <f>IF($A1183=1,IF(Expenses!$P69="","",Expenses!$P69),"")</f>
        <v/>
      </c>
      <c r="AC1183" s="32">
        <f>IF($A1183=1,IF(Expenses!$Q69="","",Expenses!$Q69),"")</f>
        <v/>
      </c>
      <c r="AD1183" s="32">
        <f>IF($A1183=1,IF(Expenses!$R69="","",Expenses!$R69),"")</f>
        <v/>
      </c>
      <c r="AE1183" s="32">
        <f>IF($A1183=1,0,"")</f>
        <v/>
      </c>
      <c r="AF1183" s="32" t="inlineStr"/>
    </row>
    <row r="1184">
      <c r="A1184" s="32">
        <f>IF(AND(Expenses!$AB70=1,N(Expenses!$F70)&gt;0),1,0)</f>
        <v/>
      </c>
      <c r="B1184" s="32">
        <f>IF($A1184=1,$E1184&amp;"/1","")</f>
        <v/>
      </c>
      <c r="C1184" s="32">
        <f>IF($A1184=1,"J-"&amp;Expenses!$A70,"")</f>
        <v/>
      </c>
      <c r="D1184" s="33">
        <f>IF($A1184=1,Expenses!$B70,"")</f>
        <v/>
      </c>
      <c r="E1184" s="32">
        <f>IF($A1184=1,IF(Expenses!$A70="","",Expenses!$A70),"")</f>
        <v/>
      </c>
      <c r="F1184" s="32">
        <f>IF($A1184=1,"EXP","")</f>
        <v/>
      </c>
      <c r="G1184" s="32">
        <f>IF($A1184=1,IF(Expenses!$E70="","",Expenses!$E70),"")</f>
        <v/>
      </c>
      <c r="H1184" s="32">
        <f>IF($A1184=1,IF(COUNTIF(COA!$A:$A,$G1184)=0,"حساب غير معرف",INDEX(COA!$B:$B,MATCH($G1184,COA!$A:$A,0))),"")</f>
        <v/>
      </c>
      <c r="I1184" s="32">
        <f>IF($A1184=1,IF(Expenses!$C70="","",Expenses!$C70),"")</f>
        <v/>
      </c>
      <c r="J1184" s="32">
        <f>IF($A1184=1,IF(Expenses!$D70="","",Expenses!$D70),"")</f>
        <v/>
      </c>
      <c r="K1184" s="32">
        <f>IF($A1184=1,"-","")</f>
        <v/>
      </c>
      <c r="L1184" s="32">
        <f>IF($A1184=1,IF(Expenses!$L70="","مصروف - "&amp;Expenses!$J70,Expenses!$L70),"")</f>
        <v/>
      </c>
      <c r="M1184" s="43">
        <f>IF($A1184=1,Expenses!$F70,"")</f>
        <v/>
      </c>
      <c r="N1184" s="43">
        <f>IF($A1184=1,0,"")</f>
        <v/>
      </c>
      <c r="O1184" s="32">
        <f>IF($A1184=1,Expenses!$M70,"")</f>
        <v/>
      </c>
      <c r="P1184" s="32">
        <f>IF($A1184=1,IF(Expenses!$AC70="","",Expenses!$AC70),"")</f>
        <v/>
      </c>
      <c r="Q1184" s="32">
        <f>IF($A1184=1,Expenses!$AE70,"")</f>
        <v/>
      </c>
      <c r="R1184" s="32">
        <f>IF($A1184=1,IF(AND($Q1184=1,COUNTIFS(COA!$A:$A,$G1184,COA!$R:$R,1)=1),1,0),"")</f>
        <v/>
      </c>
      <c r="S1184" s="43">
        <f>IF($A1184=1,IF($R1184=1,N($M1184),0),"")</f>
        <v/>
      </c>
      <c r="T1184" s="43">
        <f>IF($A1184=1,IF($R1184=1,N($N1184),0),"")</f>
        <v/>
      </c>
      <c r="U1184" s="32">
        <f>IF($A1184=1,YEAR($D1184)*100+MONTH($D1184),"")</f>
        <v/>
      </c>
      <c r="V1184" s="32">
        <f>IF($A1184=1,IF(COUNTIF(COA!$A:$A,$G1184)=0,0,INDEX(COA!$H:$H,MATCH($G1184,COA!$A:$A,0))),"")</f>
        <v/>
      </c>
      <c r="W1184" s="32">
        <f>IF($A1184=1,"","")</f>
        <v/>
      </c>
      <c r="X1184" s="32">
        <f>IF($A1184=1,IF($R1184=1,"",IF($O1184=ST_POST,IF($P1184&lt;&gt;"",$P1184,"حساب غير صالح أو غير نشط"),IF($O1184=ST_REV,"معكوس: لا أثر على الدفاتر",IF($O1184=ST_CANC,"ملغى",IF($O1184=ST_APPR,"معتمد ولم يُرحَّل","مسودة"))))),"")</f>
        <v/>
      </c>
      <c r="Y1184" s="32">
        <f>IF($A1184=1,IF(AND($R1184=1,OR(LG_Acct="",$G1184=LG_Acct),OR(LG_Party="",$K1184=LG_Party),OR(LG_Loc="ALL",$I1184=LG_Loc),OR(LG_CC="ALL",$J1184=LG_CC),$D1184&gt;=LG_From,$D1184&lt;=LG_To),$D1184+ROW()/1000000,""),"")</f>
        <v/>
      </c>
      <c r="Z1184" s="32">
        <f>IF($A1184=1,IF(Expenses!$N70="","",Expenses!$N70),"")</f>
        <v/>
      </c>
      <c r="AA1184" s="32">
        <f>IF($A1184=1,IF(Expenses!$O70="","",Expenses!$O70),"")</f>
        <v/>
      </c>
      <c r="AB1184" s="32">
        <f>IF($A1184=1,IF(Expenses!$P70="","",Expenses!$P70),"")</f>
        <v/>
      </c>
      <c r="AC1184" s="32">
        <f>IF($A1184=1,IF(Expenses!$Q70="","",Expenses!$Q70),"")</f>
        <v/>
      </c>
      <c r="AD1184" s="32">
        <f>IF($A1184=1,IF(Expenses!$R70="","",Expenses!$R70),"")</f>
        <v/>
      </c>
      <c r="AE1184" s="32">
        <f>IF($A1184=1,0,"")</f>
        <v/>
      </c>
      <c r="AF1184" s="32" t="inlineStr"/>
    </row>
    <row r="1185">
      <c r="A1185" s="32">
        <f>IF(AND(Expenses!$AB70=1,N(Expenses!$G70)&gt;0),1,0)</f>
        <v/>
      </c>
      <c r="B1185" s="32">
        <f>IF($A1185=1,$E1185&amp;"/2","")</f>
        <v/>
      </c>
      <c r="C1185" s="32">
        <f>IF($A1185=1,"J-"&amp;Expenses!$A70,"")</f>
        <v/>
      </c>
      <c r="D1185" s="33">
        <f>IF($A1185=1,Expenses!$B70,"")</f>
        <v/>
      </c>
      <c r="E1185" s="32">
        <f>IF($A1185=1,IF(Expenses!$A70="","",Expenses!$A70),"")</f>
        <v/>
      </c>
      <c r="F1185" s="32">
        <f>IF($A1185=1,"EXP","")</f>
        <v/>
      </c>
      <c r="G1185" s="32">
        <f>IF($A1185=1,ACC_VAT_IN,"")</f>
        <v/>
      </c>
      <c r="H1185" s="32">
        <f>IF($A1185=1,IF(COUNTIF(COA!$A:$A,$G1185)=0,"حساب غير معرف",INDEX(COA!$B:$B,MATCH($G1185,COA!$A:$A,0))),"")</f>
        <v/>
      </c>
      <c r="I1185" s="32">
        <f>IF($A1185=1,IF(Expenses!$C70="","",Expenses!$C70),"")</f>
        <v/>
      </c>
      <c r="J1185" s="32">
        <f>IF($A1185=1,IF(Expenses!$D70="","",Expenses!$D70),"")</f>
        <v/>
      </c>
      <c r="K1185" s="32">
        <f>IF($A1185=1,"-","")</f>
        <v/>
      </c>
      <c r="L1185" s="32">
        <f>IF($A1185=1,"ضريبة قيمة مضافة - مدخلات","")</f>
        <v/>
      </c>
      <c r="M1185" s="43">
        <f>IF($A1185=1,Expenses!$G70,"")</f>
        <v/>
      </c>
      <c r="N1185" s="43">
        <f>IF($A1185=1,0,"")</f>
        <v/>
      </c>
      <c r="O1185" s="32">
        <f>IF($A1185=1,Expenses!$M70,"")</f>
        <v/>
      </c>
      <c r="P1185" s="32">
        <f>IF($A1185=1,IF(Expenses!$AC70="","",Expenses!$AC70),"")</f>
        <v/>
      </c>
      <c r="Q1185" s="32">
        <f>IF($A1185=1,Expenses!$AE70,"")</f>
        <v/>
      </c>
      <c r="R1185" s="32">
        <f>IF($A1185=1,IF(AND($Q1185=1,COUNTIFS(COA!$A:$A,$G1185,COA!$R:$R,1)=1),1,0),"")</f>
        <v/>
      </c>
      <c r="S1185" s="43">
        <f>IF($A1185=1,IF($R1185=1,N($M1185),0),"")</f>
        <v/>
      </c>
      <c r="T1185" s="43">
        <f>IF($A1185=1,IF($R1185=1,N($N1185),0),"")</f>
        <v/>
      </c>
      <c r="U1185" s="32">
        <f>IF($A1185=1,YEAR($D1185)*100+MONTH($D1185),"")</f>
        <v/>
      </c>
      <c r="V1185" s="32">
        <f>IF($A1185=1,IF(COUNTIF(COA!$A:$A,$G1185)=0,0,INDEX(COA!$H:$H,MATCH($G1185,COA!$A:$A,0))),"")</f>
        <v/>
      </c>
      <c r="W1185" s="32">
        <f>IF($A1185=1,"","")</f>
        <v/>
      </c>
      <c r="X1185" s="32">
        <f>IF($A1185=1,IF($R1185=1,"",IF($O1185=ST_POST,IF($P1185&lt;&gt;"",$P1185,"حساب غير صالح أو غير نشط"),IF($O1185=ST_REV,"معكوس: لا أثر على الدفاتر",IF($O1185=ST_CANC,"ملغى",IF($O1185=ST_APPR,"معتمد ولم يُرحَّل","مسودة"))))),"")</f>
        <v/>
      </c>
      <c r="Y1185" s="32">
        <f>IF($A1185=1,IF(AND($R1185=1,OR(LG_Acct="",$G1185=LG_Acct),OR(LG_Party="",$K1185=LG_Party),OR(LG_Loc="ALL",$I1185=LG_Loc),OR(LG_CC="ALL",$J1185=LG_CC),$D1185&gt;=LG_From,$D1185&lt;=LG_To),$D1185+ROW()/1000000,""),"")</f>
        <v/>
      </c>
      <c r="Z1185" s="32">
        <f>IF($A1185=1,IF(Expenses!$N70="","",Expenses!$N70),"")</f>
        <v/>
      </c>
      <c r="AA1185" s="32">
        <f>IF($A1185=1,IF(Expenses!$O70="","",Expenses!$O70),"")</f>
        <v/>
      </c>
      <c r="AB1185" s="32">
        <f>IF($A1185=1,IF(Expenses!$P70="","",Expenses!$P70),"")</f>
        <v/>
      </c>
      <c r="AC1185" s="32">
        <f>IF($A1185=1,IF(Expenses!$Q70="","",Expenses!$Q70),"")</f>
        <v/>
      </c>
      <c r="AD1185" s="32">
        <f>IF($A1185=1,IF(Expenses!$R70="","",Expenses!$R70),"")</f>
        <v/>
      </c>
      <c r="AE1185" s="32">
        <f>IF($A1185=1,0,"")</f>
        <v/>
      </c>
      <c r="AF1185" s="32" t="inlineStr"/>
    </row>
    <row r="1186">
      <c r="A1186" s="32">
        <f>IF(AND(Expenses!$AB70=1,N(Expenses!$W70)&gt;0),1,0)</f>
        <v/>
      </c>
      <c r="B1186" s="32">
        <f>IF($A1186=1,$E1186&amp;"/3","")</f>
        <v/>
      </c>
      <c r="C1186" s="32">
        <f>IF($A1186=1,"J-"&amp;Expenses!$A70,"")</f>
        <v/>
      </c>
      <c r="D1186" s="33">
        <f>IF($A1186=1,Expenses!$B70,"")</f>
        <v/>
      </c>
      <c r="E1186" s="32">
        <f>IF($A1186=1,IF(Expenses!$A70="","",Expenses!$A70),"")</f>
        <v/>
      </c>
      <c r="F1186" s="32">
        <f>IF($A1186=1,"EXP","")</f>
        <v/>
      </c>
      <c r="G1186" s="32">
        <f>IF($A1186=1,IF(Expenses!$V70="","",Expenses!$V70),"")</f>
        <v/>
      </c>
      <c r="H1186" s="32">
        <f>IF($A1186=1,IF(COUNTIF(COA!$A:$A,$G1186)=0,"حساب غير معرف",INDEX(COA!$B:$B,MATCH($G1186,COA!$A:$A,0))),"")</f>
        <v/>
      </c>
      <c r="I1186" s="32">
        <f>IF($A1186=1,IF(Expenses!$C70="","",Expenses!$C70),"")</f>
        <v/>
      </c>
      <c r="J1186" s="32">
        <f>IF($A1186=1,"CC00","")</f>
        <v/>
      </c>
      <c r="K1186" s="32">
        <f>IF($A1186=1,"-","")</f>
        <v/>
      </c>
      <c r="L1186" s="32">
        <f>IF($A1186=1,IF(Expenses!$L70="","مصروف - "&amp;Expenses!$J70,Expenses!$L70),"")</f>
        <v/>
      </c>
      <c r="M1186" s="43">
        <f>IF($A1186=1,0,"")</f>
        <v/>
      </c>
      <c r="N1186" s="43">
        <f>IF($A1186=1,Expenses!$W70,"")</f>
        <v/>
      </c>
      <c r="O1186" s="32">
        <f>IF($A1186=1,Expenses!$M70,"")</f>
        <v/>
      </c>
      <c r="P1186" s="32">
        <f>IF($A1186=1,IF(Expenses!$AC70="","",Expenses!$AC70),"")</f>
        <v/>
      </c>
      <c r="Q1186" s="32">
        <f>IF($A1186=1,Expenses!$AE70,"")</f>
        <v/>
      </c>
      <c r="R1186" s="32">
        <f>IF($A1186=1,IF(AND($Q1186=1,COUNTIFS(COA!$A:$A,$G1186,COA!$R:$R,1)=1),1,0),"")</f>
        <v/>
      </c>
      <c r="S1186" s="43">
        <f>IF($A1186=1,IF($R1186=1,N($M1186),0),"")</f>
        <v/>
      </c>
      <c r="T1186" s="43">
        <f>IF($A1186=1,IF($R1186=1,N($N1186),0),"")</f>
        <v/>
      </c>
      <c r="U1186" s="32">
        <f>IF($A1186=1,YEAR($D1186)*100+MONTH($D1186),"")</f>
        <v/>
      </c>
      <c r="V1186" s="32">
        <f>IF($A1186=1,IF(COUNTIF(COA!$A:$A,$G1186)=0,0,INDEX(COA!$H:$H,MATCH($G1186,COA!$A:$A,0))),"")</f>
        <v/>
      </c>
      <c r="W1186" s="32">
        <f>IF($A1186=1,"OPERATING","")</f>
        <v/>
      </c>
      <c r="X1186" s="32">
        <f>IF($A1186=1,IF($R1186=1,"",IF($O1186=ST_POST,IF($P1186&lt;&gt;"",$P1186,"حساب غير صالح أو غير نشط"),IF($O1186=ST_REV,"معكوس: لا أثر على الدفاتر",IF($O1186=ST_CANC,"ملغى",IF($O1186=ST_APPR,"معتمد ولم يُرحَّل","مسودة"))))),"")</f>
        <v/>
      </c>
      <c r="Y1186" s="32">
        <f>IF($A1186=1,IF(AND($R1186=1,OR(LG_Acct="",$G1186=LG_Acct),OR(LG_Party="",$K1186=LG_Party),OR(LG_Loc="ALL",$I1186=LG_Loc),OR(LG_CC="ALL",$J1186=LG_CC),$D1186&gt;=LG_From,$D1186&lt;=LG_To),$D1186+ROW()/1000000,""),"")</f>
        <v/>
      </c>
      <c r="Z1186" s="32">
        <f>IF($A1186=1,IF(Expenses!$N70="","",Expenses!$N70),"")</f>
        <v/>
      </c>
      <c r="AA1186" s="32">
        <f>IF($A1186=1,IF(Expenses!$O70="","",Expenses!$O70),"")</f>
        <v/>
      </c>
      <c r="AB1186" s="32">
        <f>IF($A1186=1,IF(Expenses!$P70="","",Expenses!$P70),"")</f>
        <v/>
      </c>
      <c r="AC1186" s="32">
        <f>IF($A1186=1,IF(Expenses!$Q70="","",Expenses!$Q70),"")</f>
        <v/>
      </c>
      <c r="AD1186" s="32">
        <f>IF($A1186=1,IF(Expenses!$R70="","",Expenses!$R70),"")</f>
        <v/>
      </c>
      <c r="AE1186" s="32">
        <f>IF($A1186=1,0,"")</f>
        <v/>
      </c>
      <c r="AF1186" s="32" t="inlineStr"/>
    </row>
    <row r="1187">
      <c r="A1187" s="32">
        <f>IF(AND(Expenses!$AB71=1,N(Expenses!$F71)&gt;0),1,0)</f>
        <v/>
      </c>
      <c r="B1187" s="32">
        <f>IF($A1187=1,$E1187&amp;"/1","")</f>
        <v/>
      </c>
      <c r="C1187" s="32">
        <f>IF($A1187=1,"J-"&amp;Expenses!$A71,"")</f>
        <v/>
      </c>
      <c r="D1187" s="33">
        <f>IF($A1187=1,Expenses!$B71,"")</f>
        <v/>
      </c>
      <c r="E1187" s="32">
        <f>IF($A1187=1,IF(Expenses!$A71="","",Expenses!$A71),"")</f>
        <v/>
      </c>
      <c r="F1187" s="32">
        <f>IF($A1187=1,"EXP","")</f>
        <v/>
      </c>
      <c r="G1187" s="32">
        <f>IF($A1187=1,IF(Expenses!$E71="","",Expenses!$E71),"")</f>
        <v/>
      </c>
      <c r="H1187" s="32">
        <f>IF($A1187=1,IF(COUNTIF(COA!$A:$A,$G1187)=0,"حساب غير معرف",INDEX(COA!$B:$B,MATCH($G1187,COA!$A:$A,0))),"")</f>
        <v/>
      </c>
      <c r="I1187" s="32">
        <f>IF($A1187=1,IF(Expenses!$C71="","",Expenses!$C71),"")</f>
        <v/>
      </c>
      <c r="J1187" s="32">
        <f>IF($A1187=1,IF(Expenses!$D71="","",Expenses!$D71),"")</f>
        <v/>
      </c>
      <c r="K1187" s="32">
        <f>IF($A1187=1,"-","")</f>
        <v/>
      </c>
      <c r="L1187" s="32">
        <f>IF($A1187=1,IF(Expenses!$L71="","مصروف - "&amp;Expenses!$J71,Expenses!$L71),"")</f>
        <v/>
      </c>
      <c r="M1187" s="43">
        <f>IF($A1187=1,Expenses!$F71,"")</f>
        <v/>
      </c>
      <c r="N1187" s="43">
        <f>IF($A1187=1,0,"")</f>
        <v/>
      </c>
      <c r="O1187" s="32">
        <f>IF($A1187=1,Expenses!$M71,"")</f>
        <v/>
      </c>
      <c r="P1187" s="32">
        <f>IF($A1187=1,IF(Expenses!$AC71="","",Expenses!$AC71),"")</f>
        <v/>
      </c>
      <c r="Q1187" s="32">
        <f>IF($A1187=1,Expenses!$AE71,"")</f>
        <v/>
      </c>
      <c r="R1187" s="32">
        <f>IF($A1187=1,IF(AND($Q1187=1,COUNTIFS(COA!$A:$A,$G1187,COA!$R:$R,1)=1),1,0),"")</f>
        <v/>
      </c>
      <c r="S1187" s="43">
        <f>IF($A1187=1,IF($R1187=1,N($M1187),0),"")</f>
        <v/>
      </c>
      <c r="T1187" s="43">
        <f>IF($A1187=1,IF($R1187=1,N($N1187),0),"")</f>
        <v/>
      </c>
      <c r="U1187" s="32">
        <f>IF($A1187=1,YEAR($D1187)*100+MONTH($D1187),"")</f>
        <v/>
      </c>
      <c r="V1187" s="32">
        <f>IF($A1187=1,IF(COUNTIF(COA!$A:$A,$G1187)=0,0,INDEX(COA!$H:$H,MATCH($G1187,COA!$A:$A,0))),"")</f>
        <v/>
      </c>
      <c r="W1187" s="32">
        <f>IF($A1187=1,"","")</f>
        <v/>
      </c>
      <c r="X1187" s="32">
        <f>IF($A1187=1,IF($R1187=1,"",IF($O1187=ST_POST,IF($P1187&lt;&gt;"",$P1187,"حساب غير صالح أو غير نشط"),IF($O1187=ST_REV,"معكوس: لا أثر على الدفاتر",IF($O1187=ST_CANC,"ملغى",IF($O1187=ST_APPR,"معتمد ولم يُرحَّل","مسودة"))))),"")</f>
        <v/>
      </c>
      <c r="Y1187" s="32">
        <f>IF($A1187=1,IF(AND($R1187=1,OR(LG_Acct="",$G1187=LG_Acct),OR(LG_Party="",$K1187=LG_Party),OR(LG_Loc="ALL",$I1187=LG_Loc),OR(LG_CC="ALL",$J1187=LG_CC),$D1187&gt;=LG_From,$D1187&lt;=LG_To),$D1187+ROW()/1000000,""),"")</f>
        <v/>
      </c>
      <c r="Z1187" s="32">
        <f>IF($A1187=1,IF(Expenses!$N71="","",Expenses!$N71),"")</f>
        <v/>
      </c>
      <c r="AA1187" s="32">
        <f>IF($A1187=1,IF(Expenses!$O71="","",Expenses!$O71),"")</f>
        <v/>
      </c>
      <c r="AB1187" s="32">
        <f>IF($A1187=1,IF(Expenses!$P71="","",Expenses!$P71),"")</f>
        <v/>
      </c>
      <c r="AC1187" s="32">
        <f>IF($A1187=1,IF(Expenses!$Q71="","",Expenses!$Q71),"")</f>
        <v/>
      </c>
      <c r="AD1187" s="32">
        <f>IF($A1187=1,IF(Expenses!$R71="","",Expenses!$R71),"")</f>
        <v/>
      </c>
      <c r="AE1187" s="32">
        <f>IF($A1187=1,0,"")</f>
        <v/>
      </c>
      <c r="AF1187" s="32" t="inlineStr"/>
    </row>
    <row r="1188">
      <c r="A1188" s="32">
        <f>IF(AND(Expenses!$AB71=1,N(Expenses!$G71)&gt;0),1,0)</f>
        <v/>
      </c>
      <c r="B1188" s="32">
        <f>IF($A1188=1,$E1188&amp;"/2","")</f>
        <v/>
      </c>
      <c r="C1188" s="32">
        <f>IF($A1188=1,"J-"&amp;Expenses!$A71,"")</f>
        <v/>
      </c>
      <c r="D1188" s="33">
        <f>IF($A1188=1,Expenses!$B71,"")</f>
        <v/>
      </c>
      <c r="E1188" s="32">
        <f>IF($A1188=1,IF(Expenses!$A71="","",Expenses!$A71),"")</f>
        <v/>
      </c>
      <c r="F1188" s="32">
        <f>IF($A1188=1,"EXP","")</f>
        <v/>
      </c>
      <c r="G1188" s="32">
        <f>IF($A1188=1,ACC_VAT_IN,"")</f>
        <v/>
      </c>
      <c r="H1188" s="32">
        <f>IF($A1188=1,IF(COUNTIF(COA!$A:$A,$G1188)=0,"حساب غير معرف",INDEX(COA!$B:$B,MATCH($G1188,COA!$A:$A,0))),"")</f>
        <v/>
      </c>
      <c r="I1188" s="32">
        <f>IF($A1188=1,IF(Expenses!$C71="","",Expenses!$C71),"")</f>
        <v/>
      </c>
      <c r="J1188" s="32">
        <f>IF($A1188=1,IF(Expenses!$D71="","",Expenses!$D71),"")</f>
        <v/>
      </c>
      <c r="K1188" s="32">
        <f>IF($A1188=1,"-","")</f>
        <v/>
      </c>
      <c r="L1188" s="32">
        <f>IF($A1188=1,"ضريبة قيمة مضافة - مدخلات","")</f>
        <v/>
      </c>
      <c r="M1188" s="43">
        <f>IF($A1188=1,Expenses!$G71,"")</f>
        <v/>
      </c>
      <c r="N1188" s="43">
        <f>IF($A1188=1,0,"")</f>
        <v/>
      </c>
      <c r="O1188" s="32">
        <f>IF($A1188=1,Expenses!$M71,"")</f>
        <v/>
      </c>
      <c r="P1188" s="32">
        <f>IF($A1188=1,IF(Expenses!$AC71="","",Expenses!$AC71),"")</f>
        <v/>
      </c>
      <c r="Q1188" s="32">
        <f>IF($A1188=1,Expenses!$AE71,"")</f>
        <v/>
      </c>
      <c r="R1188" s="32">
        <f>IF($A1188=1,IF(AND($Q1188=1,COUNTIFS(COA!$A:$A,$G1188,COA!$R:$R,1)=1),1,0),"")</f>
        <v/>
      </c>
      <c r="S1188" s="43">
        <f>IF($A1188=1,IF($R1188=1,N($M1188),0),"")</f>
        <v/>
      </c>
      <c r="T1188" s="43">
        <f>IF($A1188=1,IF($R1188=1,N($N1188),0),"")</f>
        <v/>
      </c>
      <c r="U1188" s="32">
        <f>IF($A1188=1,YEAR($D1188)*100+MONTH($D1188),"")</f>
        <v/>
      </c>
      <c r="V1188" s="32">
        <f>IF($A1188=1,IF(COUNTIF(COA!$A:$A,$G1188)=0,0,INDEX(COA!$H:$H,MATCH($G1188,COA!$A:$A,0))),"")</f>
        <v/>
      </c>
      <c r="W1188" s="32">
        <f>IF($A1188=1,"","")</f>
        <v/>
      </c>
      <c r="X1188" s="32">
        <f>IF($A1188=1,IF($R1188=1,"",IF($O1188=ST_POST,IF($P1188&lt;&gt;"",$P1188,"حساب غير صالح أو غير نشط"),IF($O1188=ST_REV,"معكوس: لا أثر على الدفاتر",IF($O1188=ST_CANC,"ملغى",IF($O1188=ST_APPR,"معتمد ولم يُرحَّل","مسودة"))))),"")</f>
        <v/>
      </c>
      <c r="Y1188" s="32">
        <f>IF($A1188=1,IF(AND($R1188=1,OR(LG_Acct="",$G1188=LG_Acct),OR(LG_Party="",$K1188=LG_Party),OR(LG_Loc="ALL",$I1188=LG_Loc),OR(LG_CC="ALL",$J1188=LG_CC),$D1188&gt;=LG_From,$D1188&lt;=LG_To),$D1188+ROW()/1000000,""),"")</f>
        <v/>
      </c>
      <c r="Z1188" s="32">
        <f>IF($A1188=1,IF(Expenses!$N71="","",Expenses!$N71),"")</f>
        <v/>
      </c>
      <c r="AA1188" s="32">
        <f>IF($A1188=1,IF(Expenses!$O71="","",Expenses!$O71),"")</f>
        <v/>
      </c>
      <c r="AB1188" s="32">
        <f>IF($A1188=1,IF(Expenses!$P71="","",Expenses!$P71),"")</f>
        <v/>
      </c>
      <c r="AC1188" s="32">
        <f>IF($A1188=1,IF(Expenses!$Q71="","",Expenses!$Q71),"")</f>
        <v/>
      </c>
      <c r="AD1188" s="32">
        <f>IF($A1188=1,IF(Expenses!$R71="","",Expenses!$R71),"")</f>
        <v/>
      </c>
      <c r="AE1188" s="32">
        <f>IF($A1188=1,0,"")</f>
        <v/>
      </c>
      <c r="AF1188" s="32" t="inlineStr"/>
    </row>
    <row r="1189">
      <c r="A1189" s="32">
        <f>IF(AND(Expenses!$AB71=1,N(Expenses!$W71)&gt;0),1,0)</f>
        <v/>
      </c>
      <c r="B1189" s="32">
        <f>IF($A1189=1,$E1189&amp;"/3","")</f>
        <v/>
      </c>
      <c r="C1189" s="32">
        <f>IF($A1189=1,"J-"&amp;Expenses!$A71,"")</f>
        <v/>
      </c>
      <c r="D1189" s="33">
        <f>IF($A1189=1,Expenses!$B71,"")</f>
        <v/>
      </c>
      <c r="E1189" s="32">
        <f>IF($A1189=1,IF(Expenses!$A71="","",Expenses!$A71),"")</f>
        <v/>
      </c>
      <c r="F1189" s="32">
        <f>IF($A1189=1,"EXP","")</f>
        <v/>
      </c>
      <c r="G1189" s="32">
        <f>IF($A1189=1,IF(Expenses!$V71="","",Expenses!$V71),"")</f>
        <v/>
      </c>
      <c r="H1189" s="32">
        <f>IF($A1189=1,IF(COUNTIF(COA!$A:$A,$G1189)=0,"حساب غير معرف",INDEX(COA!$B:$B,MATCH($G1189,COA!$A:$A,0))),"")</f>
        <v/>
      </c>
      <c r="I1189" s="32">
        <f>IF($A1189=1,IF(Expenses!$C71="","",Expenses!$C71),"")</f>
        <v/>
      </c>
      <c r="J1189" s="32">
        <f>IF($A1189=1,"CC00","")</f>
        <v/>
      </c>
      <c r="K1189" s="32">
        <f>IF($A1189=1,"-","")</f>
        <v/>
      </c>
      <c r="L1189" s="32">
        <f>IF($A1189=1,IF(Expenses!$L71="","مصروف - "&amp;Expenses!$J71,Expenses!$L71),"")</f>
        <v/>
      </c>
      <c r="M1189" s="43">
        <f>IF($A1189=1,0,"")</f>
        <v/>
      </c>
      <c r="N1189" s="43">
        <f>IF($A1189=1,Expenses!$W71,"")</f>
        <v/>
      </c>
      <c r="O1189" s="32">
        <f>IF($A1189=1,Expenses!$M71,"")</f>
        <v/>
      </c>
      <c r="P1189" s="32">
        <f>IF($A1189=1,IF(Expenses!$AC71="","",Expenses!$AC71),"")</f>
        <v/>
      </c>
      <c r="Q1189" s="32">
        <f>IF($A1189=1,Expenses!$AE71,"")</f>
        <v/>
      </c>
      <c r="R1189" s="32">
        <f>IF($A1189=1,IF(AND($Q1189=1,COUNTIFS(COA!$A:$A,$G1189,COA!$R:$R,1)=1),1,0),"")</f>
        <v/>
      </c>
      <c r="S1189" s="43">
        <f>IF($A1189=1,IF($R1189=1,N($M1189),0),"")</f>
        <v/>
      </c>
      <c r="T1189" s="43">
        <f>IF($A1189=1,IF($R1189=1,N($N1189),0),"")</f>
        <v/>
      </c>
      <c r="U1189" s="32">
        <f>IF($A1189=1,YEAR($D1189)*100+MONTH($D1189),"")</f>
        <v/>
      </c>
      <c r="V1189" s="32">
        <f>IF($A1189=1,IF(COUNTIF(COA!$A:$A,$G1189)=0,0,INDEX(COA!$H:$H,MATCH($G1189,COA!$A:$A,0))),"")</f>
        <v/>
      </c>
      <c r="W1189" s="32">
        <f>IF($A1189=1,"OPERATING","")</f>
        <v/>
      </c>
      <c r="X1189" s="32">
        <f>IF($A1189=1,IF($R1189=1,"",IF($O1189=ST_POST,IF($P1189&lt;&gt;"",$P1189,"حساب غير صالح أو غير نشط"),IF($O1189=ST_REV,"معكوس: لا أثر على الدفاتر",IF($O1189=ST_CANC,"ملغى",IF($O1189=ST_APPR,"معتمد ولم يُرحَّل","مسودة"))))),"")</f>
        <v/>
      </c>
      <c r="Y1189" s="32">
        <f>IF($A1189=1,IF(AND($R1189=1,OR(LG_Acct="",$G1189=LG_Acct),OR(LG_Party="",$K1189=LG_Party),OR(LG_Loc="ALL",$I1189=LG_Loc),OR(LG_CC="ALL",$J1189=LG_CC),$D1189&gt;=LG_From,$D1189&lt;=LG_To),$D1189+ROW()/1000000,""),"")</f>
        <v/>
      </c>
      <c r="Z1189" s="32">
        <f>IF($A1189=1,IF(Expenses!$N71="","",Expenses!$N71),"")</f>
        <v/>
      </c>
      <c r="AA1189" s="32">
        <f>IF($A1189=1,IF(Expenses!$O71="","",Expenses!$O71),"")</f>
        <v/>
      </c>
      <c r="AB1189" s="32">
        <f>IF($A1189=1,IF(Expenses!$P71="","",Expenses!$P71),"")</f>
        <v/>
      </c>
      <c r="AC1189" s="32">
        <f>IF($A1189=1,IF(Expenses!$Q71="","",Expenses!$Q71),"")</f>
        <v/>
      </c>
      <c r="AD1189" s="32">
        <f>IF($A1189=1,IF(Expenses!$R71="","",Expenses!$R71),"")</f>
        <v/>
      </c>
      <c r="AE1189" s="32">
        <f>IF($A1189=1,0,"")</f>
        <v/>
      </c>
      <c r="AF1189" s="32" t="inlineStr"/>
    </row>
    <row r="1190">
      <c r="A1190" s="32">
        <f>IF(AND(Expenses!$AB72=1,N(Expenses!$F72)&gt;0),1,0)</f>
        <v/>
      </c>
      <c r="B1190" s="32">
        <f>IF($A1190=1,$E1190&amp;"/1","")</f>
        <v/>
      </c>
      <c r="C1190" s="32">
        <f>IF($A1190=1,"J-"&amp;Expenses!$A72,"")</f>
        <v/>
      </c>
      <c r="D1190" s="33">
        <f>IF($A1190=1,Expenses!$B72,"")</f>
        <v/>
      </c>
      <c r="E1190" s="32">
        <f>IF($A1190=1,IF(Expenses!$A72="","",Expenses!$A72),"")</f>
        <v/>
      </c>
      <c r="F1190" s="32">
        <f>IF($A1190=1,"EXP","")</f>
        <v/>
      </c>
      <c r="G1190" s="32">
        <f>IF($A1190=1,IF(Expenses!$E72="","",Expenses!$E72),"")</f>
        <v/>
      </c>
      <c r="H1190" s="32">
        <f>IF($A1190=1,IF(COUNTIF(COA!$A:$A,$G1190)=0,"حساب غير معرف",INDEX(COA!$B:$B,MATCH($G1190,COA!$A:$A,0))),"")</f>
        <v/>
      </c>
      <c r="I1190" s="32">
        <f>IF($A1190=1,IF(Expenses!$C72="","",Expenses!$C72),"")</f>
        <v/>
      </c>
      <c r="J1190" s="32">
        <f>IF($A1190=1,IF(Expenses!$D72="","",Expenses!$D72),"")</f>
        <v/>
      </c>
      <c r="K1190" s="32">
        <f>IF($A1190=1,"-","")</f>
        <v/>
      </c>
      <c r="L1190" s="32">
        <f>IF($A1190=1,IF(Expenses!$L72="","مصروف - "&amp;Expenses!$J72,Expenses!$L72),"")</f>
        <v/>
      </c>
      <c r="M1190" s="43">
        <f>IF($A1190=1,Expenses!$F72,"")</f>
        <v/>
      </c>
      <c r="N1190" s="43">
        <f>IF($A1190=1,0,"")</f>
        <v/>
      </c>
      <c r="O1190" s="32">
        <f>IF($A1190=1,Expenses!$M72,"")</f>
        <v/>
      </c>
      <c r="P1190" s="32">
        <f>IF($A1190=1,IF(Expenses!$AC72="","",Expenses!$AC72),"")</f>
        <v/>
      </c>
      <c r="Q1190" s="32">
        <f>IF($A1190=1,Expenses!$AE72,"")</f>
        <v/>
      </c>
      <c r="R1190" s="32">
        <f>IF($A1190=1,IF(AND($Q1190=1,COUNTIFS(COA!$A:$A,$G1190,COA!$R:$R,1)=1),1,0),"")</f>
        <v/>
      </c>
      <c r="S1190" s="43">
        <f>IF($A1190=1,IF($R1190=1,N($M1190),0),"")</f>
        <v/>
      </c>
      <c r="T1190" s="43">
        <f>IF($A1190=1,IF($R1190=1,N($N1190),0),"")</f>
        <v/>
      </c>
      <c r="U1190" s="32">
        <f>IF($A1190=1,YEAR($D1190)*100+MONTH($D1190),"")</f>
        <v/>
      </c>
      <c r="V1190" s="32">
        <f>IF($A1190=1,IF(COUNTIF(COA!$A:$A,$G1190)=0,0,INDEX(COA!$H:$H,MATCH($G1190,COA!$A:$A,0))),"")</f>
        <v/>
      </c>
      <c r="W1190" s="32">
        <f>IF($A1190=1,"","")</f>
        <v/>
      </c>
      <c r="X1190" s="32">
        <f>IF($A1190=1,IF($R1190=1,"",IF($O1190=ST_POST,IF($P1190&lt;&gt;"",$P1190,"حساب غير صالح أو غير نشط"),IF($O1190=ST_REV,"معكوس: لا أثر على الدفاتر",IF($O1190=ST_CANC,"ملغى",IF($O1190=ST_APPR,"معتمد ولم يُرحَّل","مسودة"))))),"")</f>
        <v/>
      </c>
      <c r="Y1190" s="32">
        <f>IF($A1190=1,IF(AND($R1190=1,OR(LG_Acct="",$G1190=LG_Acct),OR(LG_Party="",$K1190=LG_Party),OR(LG_Loc="ALL",$I1190=LG_Loc),OR(LG_CC="ALL",$J1190=LG_CC),$D1190&gt;=LG_From,$D1190&lt;=LG_To),$D1190+ROW()/1000000,""),"")</f>
        <v/>
      </c>
      <c r="Z1190" s="32">
        <f>IF($A1190=1,IF(Expenses!$N72="","",Expenses!$N72),"")</f>
        <v/>
      </c>
      <c r="AA1190" s="32">
        <f>IF($A1190=1,IF(Expenses!$O72="","",Expenses!$O72),"")</f>
        <v/>
      </c>
      <c r="AB1190" s="32">
        <f>IF($A1190=1,IF(Expenses!$P72="","",Expenses!$P72),"")</f>
        <v/>
      </c>
      <c r="AC1190" s="32">
        <f>IF($A1190=1,IF(Expenses!$Q72="","",Expenses!$Q72),"")</f>
        <v/>
      </c>
      <c r="AD1190" s="32">
        <f>IF($A1190=1,IF(Expenses!$R72="","",Expenses!$R72),"")</f>
        <v/>
      </c>
      <c r="AE1190" s="32">
        <f>IF($A1190=1,0,"")</f>
        <v/>
      </c>
      <c r="AF1190" s="32" t="inlineStr"/>
    </row>
    <row r="1191">
      <c r="A1191" s="32">
        <f>IF(AND(Expenses!$AB72=1,N(Expenses!$G72)&gt;0),1,0)</f>
        <v/>
      </c>
      <c r="B1191" s="32">
        <f>IF($A1191=1,$E1191&amp;"/2","")</f>
        <v/>
      </c>
      <c r="C1191" s="32">
        <f>IF($A1191=1,"J-"&amp;Expenses!$A72,"")</f>
        <v/>
      </c>
      <c r="D1191" s="33">
        <f>IF($A1191=1,Expenses!$B72,"")</f>
        <v/>
      </c>
      <c r="E1191" s="32">
        <f>IF($A1191=1,IF(Expenses!$A72="","",Expenses!$A72),"")</f>
        <v/>
      </c>
      <c r="F1191" s="32">
        <f>IF($A1191=1,"EXP","")</f>
        <v/>
      </c>
      <c r="G1191" s="32">
        <f>IF($A1191=1,ACC_VAT_IN,"")</f>
        <v/>
      </c>
      <c r="H1191" s="32">
        <f>IF($A1191=1,IF(COUNTIF(COA!$A:$A,$G1191)=0,"حساب غير معرف",INDEX(COA!$B:$B,MATCH($G1191,COA!$A:$A,0))),"")</f>
        <v/>
      </c>
      <c r="I1191" s="32">
        <f>IF($A1191=1,IF(Expenses!$C72="","",Expenses!$C72),"")</f>
        <v/>
      </c>
      <c r="J1191" s="32">
        <f>IF($A1191=1,IF(Expenses!$D72="","",Expenses!$D72),"")</f>
        <v/>
      </c>
      <c r="K1191" s="32">
        <f>IF($A1191=1,"-","")</f>
        <v/>
      </c>
      <c r="L1191" s="32">
        <f>IF($A1191=1,"ضريبة قيمة مضافة - مدخلات","")</f>
        <v/>
      </c>
      <c r="M1191" s="43">
        <f>IF($A1191=1,Expenses!$G72,"")</f>
        <v/>
      </c>
      <c r="N1191" s="43">
        <f>IF($A1191=1,0,"")</f>
        <v/>
      </c>
      <c r="O1191" s="32">
        <f>IF($A1191=1,Expenses!$M72,"")</f>
        <v/>
      </c>
      <c r="P1191" s="32">
        <f>IF($A1191=1,IF(Expenses!$AC72="","",Expenses!$AC72),"")</f>
        <v/>
      </c>
      <c r="Q1191" s="32">
        <f>IF($A1191=1,Expenses!$AE72,"")</f>
        <v/>
      </c>
      <c r="R1191" s="32">
        <f>IF($A1191=1,IF(AND($Q1191=1,COUNTIFS(COA!$A:$A,$G1191,COA!$R:$R,1)=1),1,0),"")</f>
        <v/>
      </c>
      <c r="S1191" s="43">
        <f>IF($A1191=1,IF($R1191=1,N($M1191),0),"")</f>
        <v/>
      </c>
      <c r="T1191" s="43">
        <f>IF($A1191=1,IF($R1191=1,N($N1191),0),"")</f>
        <v/>
      </c>
      <c r="U1191" s="32">
        <f>IF($A1191=1,YEAR($D1191)*100+MONTH($D1191),"")</f>
        <v/>
      </c>
      <c r="V1191" s="32">
        <f>IF($A1191=1,IF(COUNTIF(COA!$A:$A,$G1191)=0,0,INDEX(COA!$H:$H,MATCH($G1191,COA!$A:$A,0))),"")</f>
        <v/>
      </c>
      <c r="W1191" s="32">
        <f>IF($A1191=1,"","")</f>
        <v/>
      </c>
      <c r="X1191" s="32">
        <f>IF($A1191=1,IF($R1191=1,"",IF($O1191=ST_POST,IF($P1191&lt;&gt;"",$P1191,"حساب غير صالح أو غير نشط"),IF($O1191=ST_REV,"معكوس: لا أثر على الدفاتر",IF($O1191=ST_CANC,"ملغى",IF($O1191=ST_APPR,"معتمد ولم يُرحَّل","مسودة"))))),"")</f>
        <v/>
      </c>
      <c r="Y1191" s="32">
        <f>IF($A1191=1,IF(AND($R1191=1,OR(LG_Acct="",$G1191=LG_Acct),OR(LG_Party="",$K1191=LG_Party),OR(LG_Loc="ALL",$I1191=LG_Loc),OR(LG_CC="ALL",$J1191=LG_CC),$D1191&gt;=LG_From,$D1191&lt;=LG_To),$D1191+ROW()/1000000,""),"")</f>
        <v/>
      </c>
      <c r="Z1191" s="32">
        <f>IF($A1191=1,IF(Expenses!$N72="","",Expenses!$N72),"")</f>
        <v/>
      </c>
      <c r="AA1191" s="32">
        <f>IF($A1191=1,IF(Expenses!$O72="","",Expenses!$O72),"")</f>
        <v/>
      </c>
      <c r="AB1191" s="32">
        <f>IF($A1191=1,IF(Expenses!$P72="","",Expenses!$P72),"")</f>
        <v/>
      </c>
      <c r="AC1191" s="32">
        <f>IF($A1191=1,IF(Expenses!$Q72="","",Expenses!$Q72),"")</f>
        <v/>
      </c>
      <c r="AD1191" s="32">
        <f>IF($A1191=1,IF(Expenses!$R72="","",Expenses!$R72),"")</f>
        <v/>
      </c>
      <c r="AE1191" s="32">
        <f>IF($A1191=1,0,"")</f>
        <v/>
      </c>
      <c r="AF1191" s="32" t="inlineStr"/>
    </row>
    <row r="1192">
      <c r="A1192" s="32">
        <f>IF(AND(Expenses!$AB72=1,N(Expenses!$W72)&gt;0),1,0)</f>
        <v/>
      </c>
      <c r="B1192" s="32">
        <f>IF($A1192=1,$E1192&amp;"/3","")</f>
        <v/>
      </c>
      <c r="C1192" s="32">
        <f>IF($A1192=1,"J-"&amp;Expenses!$A72,"")</f>
        <v/>
      </c>
      <c r="D1192" s="33">
        <f>IF($A1192=1,Expenses!$B72,"")</f>
        <v/>
      </c>
      <c r="E1192" s="32">
        <f>IF($A1192=1,IF(Expenses!$A72="","",Expenses!$A72),"")</f>
        <v/>
      </c>
      <c r="F1192" s="32">
        <f>IF($A1192=1,"EXP","")</f>
        <v/>
      </c>
      <c r="G1192" s="32">
        <f>IF($A1192=1,IF(Expenses!$V72="","",Expenses!$V72),"")</f>
        <v/>
      </c>
      <c r="H1192" s="32">
        <f>IF($A1192=1,IF(COUNTIF(COA!$A:$A,$G1192)=0,"حساب غير معرف",INDEX(COA!$B:$B,MATCH($G1192,COA!$A:$A,0))),"")</f>
        <v/>
      </c>
      <c r="I1192" s="32">
        <f>IF($A1192=1,IF(Expenses!$C72="","",Expenses!$C72),"")</f>
        <v/>
      </c>
      <c r="J1192" s="32">
        <f>IF($A1192=1,"CC00","")</f>
        <v/>
      </c>
      <c r="K1192" s="32">
        <f>IF($A1192=1,"-","")</f>
        <v/>
      </c>
      <c r="L1192" s="32">
        <f>IF($A1192=1,IF(Expenses!$L72="","مصروف - "&amp;Expenses!$J72,Expenses!$L72),"")</f>
        <v/>
      </c>
      <c r="M1192" s="43">
        <f>IF($A1192=1,0,"")</f>
        <v/>
      </c>
      <c r="N1192" s="43">
        <f>IF($A1192=1,Expenses!$W72,"")</f>
        <v/>
      </c>
      <c r="O1192" s="32">
        <f>IF($A1192=1,Expenses!$M72,"")</f>
        <v/>
      </c>
      <c r="P1192" s="32">
        <f>IF($A1192=1,IF(Expenses!$AC72="","",Expenses!$AC72),"")</f>
        <v/>
      </c>
      <c r="Q1192" s="32">
        <f>IF($A1192=1,Expenses!$AE72,"")</f>
        <v/>
      </c>
      <c r="R1192" s="32">
        <f>IF($A1192=1,IF(AND($Q1192=1,COUNTIFS(COA!$A:$A,$G1192,COA!$R:$R,1)=1),1,0),"")</f>
        <v/>
      </c>
      <c r="S1192" s="43">
        <f>IF($A1192=1,IF($R1192=1,N($M1192),0),"")</f>
        <v/>
      </c>
      <c r="T1192" s="43">
        <f>IF($A1192=1,IF($R1192=1,N($N1192),0),"")</f>
        <v/>
      </c>
      <c r="U1192" s="32">
        <f>IF($A1192=1,YEAR($D1192)*100+MONTH($D1192),"")</f>
        <v/>
      </c>
      <c r="V1192" s="32">
        <f>IF($A1192=1,IF(COUNTIF(COA!$A:$A,$G1192)=0,0,INDEX(COA!$H:$H,MATCH($G1192,COA!$A:$A,0))),"")</f>
        <v/>
      </c>
      <c r="W1192" s="32">
        <f>IF($A1192=1,"OPERATING","")</f>
        <v/>
      </c>
      <c r="X1192" s="32">
        <f>IF($A1192=1,IF($R1192=1,"",IF($O1192=ST_POST,IF($P1192&lt;&gt;"",$P1192,"حساب غير صالح أو غير نشط"),IF($O1192=ST_REV,"معكوس: لا أثر على الدفاتر",IF($O1192=ST_CANC,"ملغى",IF($O1192=ST_APPR,"معتمد ولم يُرحَّل","مسودة"))))),"")</f>
        <v/>
      </c>
      <c r="Y1192" s="32">
        <f>IF($A1192=1,IF(AND($R1192=1,OR(LG_Acct="",$G1192=LG_Acct),OR(LG_Party="",$K1192=LG_Party),OR(LG_Loc="ALL",$I1192=LG_Loc),OR(LG_CC="ALL",$J1192=LG_CC),$D1192&gt;=LG_From,$D1192&lt;=LG_To),$D1192+ROW()/1000000,""),"")</f>
        <v/>
      </c>
      <c r="Z1192" s="32">
        <f>IF($A1192=1,IF(Expenses!$N72="","",Expenses!$N72),"")</f>
        <v/>
      </c>
      <c r="AA1192" s="32">
        <f>IF($A1192=1,IF(Expenses!$O72="","",Expenses!$O72),"")</f>
        <v/>
      </c>
      <c r="AB1192" s="32">
        <f>IF($A1192=1,IF(Expenses!$P72="","",Expenses!$P72),"")</f>
        <v/>
      </c>
      <c r="AC1192" s="32">
        <f>IF($A1192=1,IF(Expenses!$Q72="","",Expenses!$Q72),"")</f>
        <v/>
      </c>
      <c r="AD1192" s="32">
        <f>IF($A1192=1,IF(Expenses!$R72="","",Expenses!$R72),"")</f>
        <v/>
      </c>
      <c r="AE1192" s="32">
        <f>IF($A1192=1,0,"")</f>
        <v/>
      </c>
      <c r="AF1192" s="32" t="inlineStr"/>
    </row>
    <row r="1193">
      <c r="A1193" s="32">
        <f>IF(AND(Expenses!$AB73=1,N(Expenses!$F73)&gt;0),1,0)</f>
        <v/>
      </c>
      <c r="B1193" s="32">
        <f>IF($A1193=1,$E1193&amp;"/1","")</f>
        <v/>
      </c>
      <c r="C1193" s="32">
        <f>IF($A1193=1,"J-"&amp;Expenses!$A73,"")</f>
        <v/>
      </c>
      <c r="D1193" s="33">
        <f>IF($A1193=1,Expenses!$B73,"")</f>
        <v/>
      </c>
      <c r="E1193" s="32">
        <f>IF($A1193=1,IF(Expenses!$A73="","",Expenses!$A73),"")</f>
        <v/>
      </c>
      <c r="F1193" s="32">
        <f>IF($A1193=1,"EXP","")</f>
        <v/>
      </c>
      <c r="G1193" s="32">
        <f>IF($A1193=1,IF(Expenses!$E73="","",Expenses!$E73),"")</f>
        <v/>
      </c>
      <c r="H1193" s="32">
        <f>IF($A1193=1,IF(COUNTIF(COA!$A:$A,$G1193)=0,"حساب غير معرف",INDEX(COA!$B:$B,MATCH($G1193,COA!$A:$A,0))),"")</f>
        <v/>
      </c>
      <c r="I1193" s="32">
        <f>IF($A1193=1,IF(Expenses!$C73="","",Expenses!$C73),"")</f>
        <v/>
      </c>
      <c r="J1193" s="32">
        <f>IF($A1193=1,IF(Expenses!$D73="","",Expenses!$D73),"")</f>
        <v/>
      </c>
      <c r="K1193" s="32">
        <f>IF($A1193=1,"-","")</f>
        <v/>
      </c>
      <c r="L1193" s="32">
        <f>IF($A1193=1,IF(Expenses!$L73="","مصروف - "&amp;Expenses!$J73,Expenses!$L73),"")</f>
        <v/>
      </c>
      <c r="M1193" s="43">
        <f>IF($A1193=1,Expenses!$F73,"")</f>
        <v/>
      </c>
      <c r="N1193" s="43">
        <f>IF($A1193=1,0,"")</f>
        <v/>
      </c>
      <c r="O1193" s="32">
        <f>IF($A1193=1,Expenses!$M73,"")</f>
        <v/>
      </c>
      <c r="P1193" s="32">
        <f>IF($A1193=1,IF(Expenses!$AC73="","",Expenses!$AC73),"")</f>
        <v/>
      </c>
      <c r="Q1193" s="32">
        <f>IF($A1193=1,Expenses!$AE73,"")</f>
        <v/>
      </c>
      <c r="R1193" s="32">
        <f>IF($A1193=1,IF(AND($Q1193=1,COUNTIFS(COA!$A:$A,$G1193,COA!$R:$R,1)=1),1,0),"")</f>
        <v/>
      </c>
      <c r="S1193" s="43">
        <f>IF($A1193=1,IF($R1193=1,N($M1193),0),"")</f>
        <v/>
      </c>
      <c r="T1193" s="43">
        <f>IF($A1193=1,IF($R1193=1,N($N1193),0),"")</f>
        <v/>
      </c>
      <c r="U1193" s="32">
        <f>IF($A1193=1,YEAR($D1193)*100+MONTH($D1193),"")</f>
        <v/>
      </c>
      <c r="V1193" s="32">
        <f>IF($A1193=1,IF(COUNTIF(COA!$A:$A,$G1193)=0,0,INDEX(COA!$H:$H,MATCH($G1193,COA!$A:$A,0))),"")</f>
        <v/>
      </c>
      <c r="W1193" s="32">
        <f>IF($A1193=1,"","")</f>
        <v/>
      </c>
      <c r="X1193" s="32">
        <f>IF($A1193=1,IF($R1193=1,"",IF($O1193=ST_POST,IF($P1193&lt;&gt;"",$P1193,"حساب غير صالح أو غير نشط"),IF($O1193=ST_REV,"معكوس: لا أثر على الدفاتر",IF($O1193=ST_CANC,"ملغى",IF($O1193=ST_APPR,"معتمد ولم يُرحَّل","مسودة"))))),"")</f>
        <v/>
      </c>
      <c r="Y1193" s="32">
        <f>IF($A1193=1,IF(AND($R1193=1,OR(LG_Acct="",$G1193=LG_Acct),OR(LG_Party="",$K1193=LG_Party),OR(LG_Loc="ALL",$I1193=LG_Loc),OR(LG_CC="ALL",$J1193=LG_CC),$D1193&gt;=LG_From,$D1193&lt;=LG_To),$D1193+ROW()/1000000,""),"")</f>
        <v/>
      </c>
      <c r="Z1193" s="32">
        <f>IF($A1193=1,IF(Expenses!$N73="","",Expenses!$N73),"")</f>
        <v/>
      </c>
      <c r="AA1193" s="32">
        <f>IF($A1193=1,IF(Expenses!$O73="","",Expenses!$O73),"")</f>
        <v/>
      </c>
      <c r="AB1193" s="32">
        <f>IF($A1193=1,IF(Expenses!$P73="","",Expenses!$P73),"")</f>
        <v/>
      </c>
      <c r="AC1193" s="32">
        <f>IF($A1193=1,IF(Expenses!$Q73="","",Expenses!$Q73),"")</f>
        <v/>
      </c>
      <c r="AD1193" s="32">
        <f>IF($A1193=1,IF(Expenses!$R73="","",Expenses!$R73),"")</f>
        <v/>
      </c>
      <c r="AE1193" s="32">
        <f>IF($A1193=1,0,"")</f>
        <v/>
      </c>
      <c r="AF1193" s="32" t="inlineStr"/>
    </row>
    <row r="1194">
      <c r="A1194" s="32">
        <f>IF(AND(Expenses!$AB73=1,N(Expenses!$G73)&gt;0),1,0)</f>
        <v/>
      </c>
      <c r="B1194" s="32">
        <f>IF($A1194=1,$E1194&amp;"/2","")</f>
        <v/>
      </c>
      <c r="C1194" s="32">
        <f>IF($A1194=1,"J-"&amp;Expenses!$A73,"")</f>
        <v/>
      </c>
      <c r="D1194" s="33">
        <f>IF($A1194=1,Expenses!$B73,"")</f>
        <v/>
      </c>
      <c r="E1194" s="32">
        <f>IF($A1194=1,IF(Expenses!$A73="","",Expenses!$A73),"")</f>
        <v/>
      </c>
      <c r="F1194" s="32">
        <f>IF($A1194=1,"EXP","")</f>
        <v/>
      </c>
      <c r="G1194" s="32">
        <f>IF($A1194=1,ACC_VAT_IN,"")</f>
        <v/>
      </c>
      <c r="H1194" s="32">
        <f>IF($A1194=1,IF(COUNTIF(COA!$A:$A,$G1194)=0,"حساب غير معرف",INDEX(COA!$B:$B,MATCH($G1194,COA!$A:$A,0))),"")</f>
        <v/>
      </c>
      <c r="I1194" s="32">
        <f>IF($A1194=1,IF(Expenses!$C73="","",Expenses!$C73),"")</f>
        <v/>
      </c>
      <c r="J1194" s="32">
        <f>IF($A1194=1,IF(Expenses!$D73="","",Expenses!$D73),"")</f>
        <v/>
      </c>
      <c r="K1194" s="32">
        <f>IF($A1194=1,"-","")</f>
        <v/>
      </c>
      <c r="L1194" s="32">
        <f>IF($A1194=1,"ضريبة قيمة مضافة - مدخلات","")</f>
        <v/>
      </c>
      <c r="M1194" s="43">
        <f>IF($A1194=1,Expenses!$G73,"")</f>
        <v/>
      </c>
      <c r="N1194" s="43">
        <f>IF($A1194=1,0,"")</f>
        <v/>
      </c>
      <c r="O1194" s="32">
        <f>IF($A1194=1,Expenses!$M73,"")</f>
        <v/>
      </c>
      <c r="P1194" s="32">
        <f>IF($A1194=1,IF(Expenses!$AC73="","",Expenses!$AC73),"")</f>
        <v/>
      </c>
      <c r="Q1194" s="32">
        <f>IF($A1194=1,Expenses!$AE73,"")</f>
        <v/>
      </c>
      <c r="R1194" s="32">
        <f>IF($A1194=1,IF(AND($Q1194=1,COUNTIFS(COA!$A:$A,$G1194,COA!$R:$R,1)=1),1,0),"")</f>
        <v/>
      </c>
      <c r="S1194" s="43">
        <f>IF($A1194=1,IF($R1194=1,N($M1194),0),"")</f>
        <v/>
      </c>
      <c r="T1194" s="43">
        <f>IF($A1194=1,IF($R1194=1,N($N1194),0),"")</f>
        <v/>
      </c>
      <c r="U1194" s="32">
        <f>IF($A1194=1,YEAR($D1194)*100+MONTH($D1194),"")</f>
        <v/>
      </c>
      <c r="V1194" s="32">
        <f>IF($A1194=1,IF(COUNTIF(COA!$A:$A,$G1194)=0,0,INDEX(COA!$H:$H,MATCH($G1194,COA!$A:$A,0))),"")</f>
        <v/>
      </c>
      <c r="W1194" s="32">
        <f>IF($A1194=1,"","")</f>
        <v/>
      </c>
      <c r="X1194" s="32">
        <f>IF($A1194=1,IF($R1194=1,"",IF($O1194=ST_POST,IF($P1194&lt;&gt;"",$P1194,"حساب غير صالح أو غير نشط"),IF($O1194=ST_REV,"معكوس: لا أثر على الدفاتر",IF($O1194=ST_CANC,"ملغى",IF($O1194=ST_APPR,"معتمد ولم يُرحَّل","مسودة"))))),"")</f>
        <v/>
      </c>
      <c r="Y1194" s="32">
        <f>IF($A1194=1,IF(AND($R1194=1,OR(LG_Acct="",$G1194=LG_Acct),OR(LG_Party="",$K1194=LG_Party),OR(LG_Loc="ALL",$I1194=LG_Loc),OR(LG_CC="ALL",$J1194=LG_CC),$D1194&gt;=LG_From,$D1194&lt;=LG_To),$D1194+ROW()/1000000,""),"")</f>
        <v/>
      </c>
      <c r="Z1194" s="32">
        <f>IF($A1194=1,IF(Expenses!$N73="","",Expenses!$N73),"")</f>
        <v/>
      </c>
      <c r="AA1194" s="32">
        <f>IF($A1194=1,IF(Expenses!$O73="","",Expenses!$O73),"")</f>
        <v/>
      </c>
      <c r="AB1194" s="32">
        <f>IF($A1194=1,IF(Expenses!$P73="","",Expenses!$P73),"")</f>
        <v/>
      </c>
      <c r="AC1194" s="32">
        <f>IF($A1194=1,IF(Expenses!$Q73="","",Expenses!$Q73),"")</f>
        <v/>
      </c>
      <c r="AD1194" s="32">
        <f>IF($A1194=1,IF(Expenses!$R73="","",Expenses!$R73),"")</f>
        <v/>
      </c>
      <c r="AE1194" s="32">
        <f>IF($A1194=1,0,"")</f>
        <v/>
      </c>
      <c r="AF1194" s="32" t="inlineStr"/>
    </row>
    <row r="1195">
      <c r="A1195" s="32">
        <f>IF(AND(Expenses!$AB73=1,N(Expenses!$W73)&gt;0),1,0)</f>
        <v/>
      </c>
      <c r="B1195" s="32">
        <f>IF($A1195=1,$E1195&amp;"/3","")</f>
        <v/>
      </c>
      <c r="C1195" s="32">
        <f>IF($A1195=1,"J-"&amp;Expenses!$A73,"")</f>
        <v/>
      </c>
      <c r="D1195" s="33">
        <f>IF($A1195=1,Expenses!$B73,"")</f>
        <v/>
      </c>
      <c r="E1195" s="32">
        <f>IF($A1195=1,IF(Expenses!$A73="","",Expenses!$A73),"")</f>
        <v/>
      </c>
      <c r="F1195" s="32">
        <f>IF($A1195=1,"EXP","")</f>
        <v/>
      </c>
      <c r="G1195" s="32">
        <f>IF($A1195=1,IF(Expenses!$V73="","",Expenses!$V73),"")</f>
        <v/>
      </c>
      <c r="H1195" s="32">
        <f>IF($A1195=1,IF(COUNTIF(COA!$A:$A,$G1195)=0,"حساب غير معرف",INDEX(COA!$B:$B,MATCH($G1195,COA!$A:$A,0))),"")</f>
        <v/>
      </c>
      <c r="I1195" s="32">
        <f>IF($A1195=1,IF(Expenses!$C73="","",Expenses!$C73),"")</f>
        <v/>
      </c>
      <c r="J1195" s="32">
        <f>IF($A1195=1,"CC00","")</f>
        <v/>
      </c>
      <c r="K1195" s="32">
        <f>IF($A1195=1,"-","")</f>
        <v/>
      </c>
      <c r="L1195" s="32">
        <f>IF($A1195=1,IF(Expenses!$L73="","مصروف - "&amp;Expenses!$J73,Expenses!$L73),"")</f>
        <v/>
      </c>
      <c r="M1195" s="43">
        <f>IF($A1195=1,0,"")</f>
        <v/>
      </c>
      <c r="N1195" s="43">
        <f>IF($A1195=1,Expenses!$W73,"")</f>
        <v/>
      </c>
      <c r="O1195" s="32">
        <f>IF($A1195=1,Expenses!$M73,"")</f>
        <v/>
      </c>
      <c r="P1195" s="32">
        <f>IF($A1195=1,IF(Expenses!$AC73="","",Expenses!$AC73),"")</f>
        <v/>
      </c>
      <c r="Q1195" s="32">
        <f>IF($A1195=1,Expenses!$AE73,"")</f>
        <v/>
      </c>
      <c r="R1195" s="32">
        <f>IF($A1195=1,IF(AND($Q1195=1,COUNTIFS(COA!$A:$A,$G1195,COA!$R:$R,1)=1),1,0),"")</f>
        <v/>
      </c>
      <c r="S1195" s="43">
        <f>IF($A1195=1,IF($R1195=1,N($M1195),0),"")</f>
        <v/>
      </c>
      <c r="T1195" s="43">
        <f>IF($A1195=1,IF($R1195=1,N($N1195),0),"")</f>
        <v/>
      </c>
      <c r="U1195" s="32">
        <f>IF($A1195=1,YEAR($D1195)*100+MONTH($D1195),"")</f>
        <v/>
      </c>
      <c r="V1195" s="32">
        <f>IF($A1195=1,IF(COUNTIF(COA!$A:$A,$G1195)=0,0,INDEX(COA!$H:$H,MATCH($G1195,COA!$A:$A,0))),"")</f>
        <v/>
      </c>
      <c r="W1195" s="32">
        <f>IF($A1195=1,"OPERATING","")</f>
        <v/>
      </c>
      <c r="X1195" s="32">
        <f>IF($A1195=1,IF($R1195=1,"",IF($O1195=ST_POST,IF($P1195&lt;&gt;"",$P1195,"حساب غير صالح أو غير نشط"),IF($O1195=ST_REV,"معكوس: لا أثر على الدفاتر",IF($O1195=ST_CANC,"ملغى",IF($O1195=ST_APPR,"معتمد ولم يُرحَّل","مسودة"))))),"")</f>
        <v/>
      </c>
      <c r="Y1195" s="32">
        <f>IF($A1195=1,IF(AND($R1195=1,OR(LG_Acct="",$G1195=LG_Acct),OR(LG_Party="",$K1195=LG_Party),OR(LG_Loc="ALL",$I1195=LG_Loc),OR(LG_CC="ALL",$J1195=LG_CC),$D1195&gt;=LG_From,$D1195&lt;=LG_To),$D1195+ROW()/1000000,""),"")</f>
        <v/>
      </c>
      <c r="Z1195" s="32">
        <f>IF($A1195=1,IF(Expenses!$N73="","",Expenses!$N73),"")</f>
        <v/>
      </c>
      <c r="AA1195" s="32">
        <f>IF($A1195=1,IF(Expenses!$O73="","",Expenses!$O73),"")</f>
        <v/>
      </c>
      <c r="AB1195" s="32">
        <f>IF($A1195=1,IF(Expenses!$P73="","",Expenses!$P73),"")</f>
        <v/>
      </c>
      <c r="AC1195" s="32">
        <f>IF($A1195=1,IF(Expenses!$Q73="","",Expenses!$Q73),"")</f>
        <v/>
      </c>
      <c r="AD1195" s="32">
        <f>IF($A1195=1,IF(Expenses!$R73="","",Expenses!$R73),"")</f>
        <v/>
      </c>
      <c r="AE1195" s="32">
        <f>IF($A1195=1,0,"")</f>
        <v/>
      </c>
      <c r="AF1195" s="32" t="inlineStr"/>
    </row>
    <row r="1196">
      <c r="A1196" s="32">
        <f>IF(AND(Expenses!$AB74=1,N(Expenses!$F74)&gt;0),1,0)</f>
        <v/>
      </c>
      <c r="B1196" s="32">
        <f>IF($A1196=1,$E1196&amp;"/1","")</f>
        <v/>
      </c>
      <c r="C1196" s="32">
        <f>IF($A1196=1,"J-"&amp;Expenses!$A74,"")</f>
        <v/>
      </c>
      <c r="D1196" s="33">
        <f>IF($A1196=1,Expenses!$B74,"")</f>
        <v/>
      </c>
      <c r="E1196" s="32">
        <f>IF($A1196=1,IF(Expenses!$A74="","",Expenses!$A74),"")</f>
        <v/>
      </c>
      <c r="F1196" s="32">
        <f>IF($A1196=1,"EXP","")</f>
        <v/>
      </c>
      <c r="G1196" s="32">
        <f>IF($A1196=1,IF(Expenses!$E74="","",Expenses!$E74),"")</f>
        <v/>
      </c>
      <c r="H1196" s="32">
        <f>IF($A1196=1,IF(COUNTIF(COA!$A:$A,$G1196)=0,"حساب غير معرف",INDEX(COA!$B:$B,MATCH($G1196,COA!$A:$A,0))),"")</f>
        <v/>
      </c>
      <c r="I1196" s="32">
        <f>IF($A1196=1,IF(Expenses!$C74="","",Expenses!$C74),"")</f>
        <v/>
      </c>
      <c r="J1196" s="32">
        <f>IF($A1196=1,IF(Expenses!$D74="","",Expenses!$D74),"")</f>
        <v/>
      </c>
      <c r="K1196" s="32">
        <f>IF($A1196=1,"-","")</f>
        <v/>
      </c>
      <c r="L1196" s="32">
        <f>IF($A1196=1,IF(Expenses!$L74="","مصروف - "&amp;Expenses!$J74,Expenses!$L74),"")</f>
        <v/>
      </c>
      <c r="M1196" s="43">
        <f>IF($A1196=1,Expenses!$F74,"")</f>
        <v/>
      </c>
      <c r="N1196" s="43">
        <f>IF($A1196=1,0,"")</f>
        <v/>
      </c>
      <c r="O1196" s="32">
        <f>IF($A1196=1,Expenses!$M74,"")</f>
        <v/>
      </c>
      <c r="P1196" s="32">
        <f>IF($A1196=1,IF(Expenses!$AC74="","",Expenses!$AC74),"")</f>
        <v/>
      </c>
      <c r="Q1196" s="32">
        <f>IF($A1196=1,Expenses!$AE74,"")</f>
        <v/>
      </c>
      <c r="R1196" s="32">
        <f>IF($A1196=1,IF(AND($Q1196=1,COUNTIFS(COA!$A:$A,$G1196,COA!$R:$R,1)=1),1,0),"")</f>
        <v/>
      </c>
      <c r="S1196" s="43">
        <f>IF($A1196=1,IF($R1196=1,N($M1196),0),"")</f>
        <v/>
      </c>
      <c r="T1196" s="43">
        <f>IF($A1196=1,IF($R1196=1,N($N1196),0),"")</f>
        <v/>
      </c>
      <c r="U1196" s="32">
        <f>IF($A1196=1,YEAR($D1196)*100+MONTH($D1196),"")</f>
        <v/>
      </c>
      <c r="V1196" s="32">
        <f>IF($A1196=1,IF(COUNTIF(COA!$A:$A,$G1196)=0,0,INDEX(COA!$H:$H,MATCH($G1196,COA!$A:$A,0))),"")</f>
        <v/>
      </c>
      <c r="W1196" s="32">
        <f>IF($A1196=1,"","")</f>
        <v/>
      </c>
      <c r="X1196" s="32">
        <f>IF($A1196=1,IF($R1196=1,"",IF($O1196=ST_POST,IF($P1196&lt;&gt;"",$P1196,"حساب غير صالح أو غير نشط"),IF($O1196=ST_REV,"معكوس: لا أثر على الدفاتر",IF($O1196=ST_CANC,"ملغى",IF($O1196=ST_APPR,"معتمد ولم يُرحَّل","مسودة"))))),"")</f>
        <v/>
      </c>
      <c r="Y1196" s="32">
        <f>IF($A1196=1,IF(AND($R1196=1,OR(LG_Acct="",$G1196=LG_Acct),OR(LG_Party="",$K1196=LG_Party),OR(LG_Loc="ALL",$I1196=LG_Loc),OR(LG_CC="ALL",$J1196=LG_CC),$D1196&gt;=LG_From,$D1196&lt;=LG_To),$D1196+ROW()/1000000,""),"")</f>
        <v/>
      </c>
      <c r="Z1196" s="32">
        <f>IF($A1196=1,IF(Expenses!$N74="","",Expenses!$N74),"")</f>
        <v/>
      </c>
      <c r="AA1196" s="32">
        <f>IF($A1196=1,IF(Expenses!$O74="","",Expenses!$O74),"")</f>
        <v/>
      </c>
      <c r="AB1196" s="32">
        <f>IF($A1196=1,IF(Expenses!$P74="","",Expenses!$P74),"")</f>
        <v/>
      </c>
      <c r="AC1196" s="32">
        <f>IF($A1196=1,IF(Expenses!$Q74="","",Expenses!$Q74),"")</f>
        <v/>
      </c>
      <c r="AD1196" s="32">
        <f>IF($A1196=1,IF(Expenses!$R74="","",Expenses!$R74),"")</f>
        <v/>
      </c>
      <c r="AE1196" s="32">
        <f>IF($A1196=1,0,"")</f>
        <v/>
      </c>
      <c r="AF1196" s="32" t="inlineStr"/>
    </row>
    <row r="1197">
      <c r="A1197" s="32">
        <f>IF(AND(Expenses!$AB74=1,N(Expenses!$G74)&gt;0),1,0)</f>
        <v/>
      </c>
      <c r="B1197" s="32">
        <f>IF($A1197=1,$E1197&amp;"/2","")</f>
        <v/>
      </c>
      <c r="C1197" s="32">
        <f>IF($A1197=1,"J-"&amp;Expenses!$A74,"")</f>
        <v/>
      </c>
      <c r="D1197" s="33">
        <f>IF($A1197=1,Expenses!$B74,"")</f>
        <v/>
      </c>
      <c r="E1197" s="32">
        <f>IF($A1197=1,IF(Expenses!$A74="","",Expenses!$A74),"")</f>
        <v/>
      </c>
      <c r="F1197" s="32">
        <f>IF($A1197=1,"EXP","")</f>
        <v/>
      </c>
      <c r="G1197" s="32">
        <f>IF($A1197=1,ACC_VAT_IN,"")</f>
        <v/>
      </c>
      <c r="H1197" s="32">
        <f>IF($A1197=1,IF(COUNTIF(COA!$A:$A,$G1197)=0,"حساب غير معرف",INDEX(COA!$B:$B,MATCH($G1197,COA!$A:$A,0))),"")</f>
        <v/>
      </c>
      <c r="I1197" s="32">
        <f>IF($A1197=1,IF(Expenses!$C74="","",Expenses!$C74),"")</f>
        <v/>
      </c>
      <c r="J1197" s="32">
        <f>IF($A1197=1,IF(Expenses!$D74="","",Expenses!$D74),"")</f>
        <v/>
      </c>
      <c r="K1197" s="32">
        <f>IF($A1197=1,"-","")</f>
        <v/>
      </c>
      <c r="L1197" s="32">
        <f>IF($A1197=1,"ضريبة قيمة مضافة - مدخلات","")</f>
        <v/>
      </c>
      <c r="M1197" s="43">
        <f>IF($A1197=1,Expenses!$G74,"")</f>
        <v/>
      </c>
      <c r="N1197" s="43">
        <f>IF($A1197=1,0,"")</f>
        <v/>
      </c>
      <c r="O1197" s="32">
        <f>IF($A1197=1,Expenses!$M74,"")</f>
        <v/>
      </c>
      <c r="P1197" s="32">
        <f>IF($A1197=1,IF(Expenses!$AC74="","",Expenses!$AC74),"")</f>
        <v/>
      </c>
      <c r="Q1197" s="32">
        <f>IF($A1197=1,Expenses!$AE74,"")</f>
        <v/>
      </c>
      <c r="R1197" s="32">
        <f>IF($A1197=1,IF(AND($Q1197=1,COUNTIFS(COA!$A:$A,$G1197,COA!$R:$R,1)=1),1,0),"")</f>
        <v/>
      </c>
      <c r="S1197" s="43">
        <f>IF($A1197=1,IF($R1197=1,N($M1197),0),"")</f>
        <v/>
      </c>
      <c r="T1197" s="43">
        <f>IF($A1197=1,IF($R1197=1,N($N1197),0),"")</f>
        <v/>
      </c>
      <c r="U1197" s="32">
        <f>IF($A1197=1,YEAR($D1197)*100+MONTH($D1197),"")</f>
        <v/>
      </c>
      <c r="V1197" s="32">
        <f>IF($A1197=1,IF(COUNTIF(COA!$A:$A,$G1197)=0,0,INDEX(COA!$H:$H,MATCH($G1197,COA!$A:$A,0))),"")</f>
        <v/>
      </c>
      <c r="W1197" s="32">
        <f>IF($A1197=1,"","")</f>
        <v/>
      </c>
      <c r="X1197" s="32">
        <f>IF($A1197=1,IF($R1197=1,"",IF($O1197=ST_POST,IF($P1197&lt;&gt;"",$P1197,"حساب غير صالح أو غير نشط"),IF($O1197=ST_REV,"معكوس: لا أثر على الدفاتر",IF($O1197=ST_CANC,"ملغى",IF($O1197=ST_APPR,"معتمد ولم يُرحَّل","مسودة"))))),"")</f>
        <v/>
      </c>
      <c r="Y1197" s="32">
        <f>IF($A1197=1,IF(AND($R1197=1,OR(LG_Acct="",$G1197=LG_Acct),OR(LG_Party="",$K1197=LG_Party),OR(LG_Loc="ALL",$I1197=LG_Loc),OR(LG_CC="ALL",$J1197=LG_CC),$D1197&gt;=LG_From,$D1197&lt;=LG_To),$D1197+ROW()/1000000,""),"")</f>
        <v/>
      </c>
      <c r="Z1197" s="32">
        <f>IF($A1197=1,IF(Expenses!$N74="","",Expenses!$N74),"")</f>
        <v/>
      </c>
      <c r="AA1197" s="32">
        <f>IF($A1197=1,IF(Expenses!$O74="","",Expenses!$O74),"")</f>
        <v/>
      </c>
      <c r="AB1197" s="32">
        <f>IF($A1197=1,IF(Expenses!$P74="","",Expenses!$P74),"")</f>
        <v/>
      </c>
      <c r="AC1197" s="32">
        <f>IF($A1197=1,IF(Expenses!$Q74="","",Expenses!$Q74),"")</f>
        <v/>
      </c>
      <c r="AD1197" s="32">
        <f>IF($A1197=1,IF(Expenses!$R74="","",Expenses!$R74),"")</f>
        <v/>
      </c>
      <c r="AE1197" s="32">
        <f>IF($A1197=1,0,"")</f>
        <v/>
      </c>
      <c r="AF1197" s="32" t="inlineStr"/>
    </row>
    <row r="1198">
      <c r="A1198" s="32">
        <f>IF(AND(Expenses!$AB74=1,N(Expenses!$W74)&gt;0),1,0)</f>
        <v/>
      </c>
      <c r="B1198" s="32">
        <f>IF($A1198=1,$E1198&amp;"/3","")</f>
        <v/>
      </c>
      <c r="C1198" s="32">
        <f>IF($A1198=1,"J-"&amp;Expenses!$A74,"")</f>
        <v/>
      </c>
      <c r="D1198" s="33">
        <f>IF($A1198=1,Expenses!$B74,"")</f>
        <v/>
      </c>
      <c r="E1198" s="32">
        <f>IF($A1198=1,IF(Expenses!$A74="","",Expenses!$A74),"")</f>
        <v/>
      </c>
      <c r="F1198" s="32">
        <f>IF($A1198=1,"EXP","")</f>
        <v/>
      </c>
      <c r="G1198" s="32">
        <f>IF($A1198=1,IF(Expenses!$V74="","",Expenses!$V74),"")</f>
        <v/>
      </c>
      <c r="H1198" s="32">
        <f>IF($A1198=1,IF(COUNTIF(COA!$A:$A,$G1198)=0,"حساب غير معرف",INDEX(COA!$B:$B,MATCH($G1198,COA!$A:$A,0))),"")</f>
        <v/>
      </c>
      <c r="I1198" s="32">
        <f>IF($A1198=1,IF(Expenses!$C74="","",Expenses!$C74),"")</f>
        <v/>
      </c>
      <c r="J1198" s="32">
        <f>IF($A1198=1,"CC00","")</f>
        <v/>
      </c>
      <c r="K1198" s="32">
        <f>IF($A1198=1,"-","")</f>
        <v/>
      </c>
      <c r="L1198" s="32">
        <f>IF($A1198=1,IF(Expenses!$L74="","مصروف - "&amp;Expenses!$J74,Expenses!$L74),"")</f>
        <v/>
      </c>
      <c r="M1198" s="43">
        <f>IF($A1198=1,0,"")</f>
        <v/>
      </c>
      <c r="N1198" s="43">
        <f>IF($A1198=1,Expenses!$W74,"")</f>
        <v/>
      </c>
      <c r="O1198" s="32">
        <f>IF($A1198=1,Expenses!$M74,"")</f>
        <v/>
      </c>
      <c r="P1198" s="32">
        <f>IF($A1198=1,IF(Expenses!$AC74="","",Expenses!$AC74),"")</f>
        <v/>
      </c>
      <c r="Q1198" s="32">
        <f>IF($A1198=1,Expenses!$AE74,"")</f>
        <v/>
      </c>
      <c r="R1198" s="32">
        <f>IF($A1198=1,IF(AND($Q1198=1,COUNTIFS(COA!$A:$A,$G1198,COA!$R:$R,1)=1),1,0),"")</f>
        <v/>
      </c>
      <c r="S1198" s="43">
        <f>IF($A1198=1,IF($R1198=1,N($M1198),0),"")</f>
        <v/>
      </c>
      <c r="T1198" s="43">
        <f>IF($A1198=1,IF($R1198=1,N($N1198),0),"")</f>
        <v/>
      </c>
      <c r="U1198" s="32">
        <f>IF($A1198=1,YEAR($D1198)*100+MONTH($D1198),"")</f>
        <v/>
      </c>
      <c r="V1198" s="32">
        <f>IF($A1198=1,IF(COUNTIF(COA!$A:$A,$G1198)=0,0,INDEX(COA!$H:$H,MATCH($G1198,COA!$A:$A,0))),"")</f>
        <v/>
      </c>
      <c r="W1198" s="32">
        <f>IF($A1198=1,"OPERATING","")</f>
        <v/>
      </c>
      <c r="X1198" s="32">
        <f>IF($A1198=1,IF($R1198=1,"",IF($O1198=ST_POST,IF($P1198&lt;&gt;"",$P1198,"حساب غير صالح أو غير نشط"),IF($O1198=ST_REV,"معكوس: لا أثر على الدفاتر",IF($O1198=ST_CANC,"ملغى",IF($O1198=ST_APPR,"معتمد ولم يُرحَّل","مسودة"))))),"")</f>
        <v/>
      </c>
      <c r="Y1198" s="32">
        <f>IF($A1198=1,IF(AND($R1198=1,OR(LG_Acct="",$G1198=LG_Acct),OR(LG_Party="",$K1198=LG_Party),OR(LG_Loc="ALL",$I1198=LG_Loc),OR(LG_CC="ALL",$J1198=LG_CC),$D1198&gt;=LG_From,$D1198&lt;=LG_To),$D1198+ROW()/1000000,""),"")</f>
        <v/>
      </c>
      <c r="Z1198" s="32">
        <f>IF($A1198=1,IF(Expenses!$N74="","",Expenses!$N74),"")</f>
        <v/>
      </c>
      <c r="AA1198" s="32">
        <f>IF($A1198=1,IF(Expenses!$O74="","",Expenses!$O74),"")</f>
        <v/>
      </c>
      <c r="AB1198" s="32">
        <f>IF($A1198=1,IF(Expenses!$P74="","",Expenses!$P74),"")</f>
        <v/>
      </c>
      <c r="AC1198" s="32">
        <f>IF($A1198=1,IF(Expenses!$Q74="","",Expenses!$Q74),"")</f>
        <v/>
      </c>
      <c r="AD1198" s="32">
        <f>IF($A1198=1,IF(Expenses!$R74="","",Expenses!$R74),"")</f>
        <v/>
      </c>
      <c r="AE1198" s="32">
        <f>IF($A1198=1,0,"")</f>
        <v/>
      </c>
      <c r="AF1198" s="32" t="inlineStr"/>
    </row>
    <row r="1199">
      <c r="A1199" s="32">
        <f>IF(AND(Expenses!$AB75=1,N(Expenses!$F75)&gt;0),1,0)</f>
        <v/>
      </c>
      <c r="B1199" s="32">
        <f>IF($A1199=1,$E1199&amp;"/1","")</f>
        <v/>
      </c>
      <c r="C1199" s="32">
        <f>IF($A1199=1,"J-"&amp;Expenses!$A75,"")</f>
        <v/>
      </c>
      <c r="D1199" s="33">
        <f>IF($A1199=1,Expenses!$B75,"")</f>
        <v/>
      </c>
      <c r="E1199" s="32">
        <f>IF($A1199=1,IF(Expenses!$A75="","",Expenses!$A75),"")</f>
        <v/>
      </c>
      <c r="F1199" s="32">
        <f>IF($A1199=1,"EXP","")</f>
        <v/>
      </c>
      <c r="G1199" s="32">
        <f>IF($A1199=1,IF(Expenses!$E75="","",Expenses!$E75),"")</f>
        <v/>
      </c>
      <c r="H1199" s="32">
        <f>IF($A1199=1,IF(COUNTIF(COA!$A:$A,$G1199)=0,"حساب غير معرف",INDEX(COA!$B:$B,MATCH($G1199,COA!$A:$A,0))),"")</f>
        <v/>
      </c>
      <c r="I1199" s="32">
        <f>IF($A1199=1,IF(Expenses!$C75="","",Expenses!$C75),"")</f>
        <v/>
      </c>
      <c r="J1199" s="32">
        <f>IF($A1199=1,IF(Expenses!$D75="","",Expenses!$D75),"")</f>
        <v/>
      </c>
      <c r="K1199" s="32">
        <f>IF($A1199=1,"-","")</f>
        <v/>
      </c>
      <c r="L1199" s="32">
        <f>IF($A1199=1,IF(Expenses!$L75="","مصروف - "&amp;Expenses!$J75,Expenses!$L75),"")</f>
        <v/>
      </c>
      <c r="M1199" s="43">
        <f>IF($A1199=1,Expenses!$F75,"")</f>
        <v/>
      </c>
      <c r="N1199" s="43">
        <f>IF($A1199=1,0,"")</f>
        <v/>
      </c>
      <c r="O1199" s="32">
        <f>IF($A1199=1,Expenses!$M75,"")</f>
        <v/>
      </c>
      <c r="P1199" s="32">
        <f>IF($A1199=1,IF(Expenses!$AC75="","",Expenses!$AC75),"")</f>
        <v/>
      </c>
      <c r="Q1199" s="32">
        <f>IF($A1199=1,Expenses!$AE75,"")</f>
        <v/>
      </c>
      <c r="R1199" s="32">
        <f>IF($A1199=1,IF(AND($Q1199=1,COUNTIFS(COA!$A:$A,$G1199,COA!$R:$R,1)=1),1,0),"")</f>
        <v/>
      </c>
      <c r="S1199" s="43">
        <f>IF($A1199=1,IF($R1199=1,N($M1199),0),"")</f>
        <v/>
      </c>
      <c r="T1199" s="43">
        <f>IF($A1199=1,IF($R1199=1,N($N1199),0),"")</f>
        <v/>
      </c>
      <c r="U1199" s="32">
        <f>IF($A1199=1,YEAR($D1199)*100+MONTH($D1199),"")</f>
        <v/>
      </c>
      <c r="V1199" s="32">
        <f>IF($A1199=1,IF(COUNTIF(COA!$A:$A,$G1199)=0,0,INDEX(COA!$H:$H,MATCH($G1199,COA!$A:$A,0))),"")</f>
        <v/>
      </c>
      <c r="W1199" s="32">
        <f>IF($A1199=1,"","")</f>
        <v/>
      </c>
      <c r="X1199" s="32">
        <f>IF($A1199=1,IF($R1199=1,"",IF($O1199=ST_POST,IF($P1199&lt;&gt;"",$P1199,"حساب غير صالح أو غير نشط"),IF($O1199=ST_REV,"معكوس: لا أثر على الدفاتر",IF($O1199=ST_CANC,"ملغى",IF($O1199=ST_APPR,"معتمد ولم يُرحَّل","مسودة"))))),"")</f>
        <v/>
      </c>
      <c r="Y1199" s="32">
        <f>IF($A1199=1,IF(AND($R1199=1,OR(LG_Acct="",$G1199=LG_Acct),OR(LG_Party="",$K1199=LG_Party),OR(LG_Loc="ALL",$I1199=LG_Loc),OR(LG_CC="ALL",$J1199=LG_CC),$D1199&gt;=LG_From,$D1199&lt;=LG_To),$D1199+ROW()/1000000,""),"")</f>
        <v/>
      </c>
      <c r="Z1199" s="32">
        <f>IF($A1199=1,IF(Expenses!$N75="","",Expenses!$N75),"")</f>
        <v/>
      </c>
      <c r="AA1199" s="32">
        <f>IF($A1199=1,IF(Expenses!$O75="","",Expenses!$O75),"")</f>
        <v/>
      </c>
      <c r="AB1199" s="32">
        <f>IF($A1199=1,IF(Expenses!$P75="","",Expenses!$P75),"")</f>
        <v/>
      </c>
      <c r="AC1199" s="32">
        <f>IF($A1199=1,IF(Expenses!$Q75="","",Expenses!$Q75),"")</f>
        <v/>
      </c>
      <c r="AD1199" s="32">
        <f>IF($A1199=1,IF(Expenses!$R75="","",Expenses!$R75),"")</f>
        <v/>
      </c>
      <c r="AE1199" s="32">
        <f>IF($A1199=1,0,"")</f>
        <v/>
      </c>
      <c r="AF1199" s="32" t="inlineStr"/>
    </row>
    <row r="1200">
      <c r="A1200" s="32">
        <f>IF(AND(Expenses!$AB75=1,N(Expenses!$G75)&gt;0),1,0)</f>
        <v/>
      </c>
      <c r="B1200" s="32">
        <f>IF($A1200=1,$E1200&amp;"/2","")</f>
        <v/>
      </c>
      <c r="C1200" s="32">
        <f>IF($A1200=1,"J-"&amp;Expenses!$A75,"")</f>
        <v/>
      </c>
      <c r="D1200" s="33">
        <f>IF($A1200=1,Expenses!$B75,"")</f>
        <v/>
      </c>
      <c r="E1200" s="32">
        <f>IF($A1200=1,IF(Expenses!$A75="","",Expenses!$A75),"")</f>
        <v/>
      </c>
      <c r="F1200" s="32">
        <f>IF($A1200=1,"EXP","")</f>
        <v/>
      </c>
      <c r="G1200" s="32">
        <f>IF($A1200=1,ACC_VAT_IN,"")</f>
        <v/>
      </c>
      <c r="H1200" s="32">
        <f>IF($A1200=1,IF(COUNTIF(COA!$A:$A,$G1200)=0,"حساب غير معرف",INDEX(COA!$B:$B,MATCH($G1200,COA!$A:$A,0))),"")</f>
        <v/>
      </c>
      <c r="I1200" s="32">
        <f>IF($A1200=1,IF(Expenses!$C75="","",Expenses!$C75),"")</f>
        <v/>
      </c>
      <c r="J1200" s="32">
        <f>IF($A1200=1,IF(Expenses!$D75="","",Expenses!$D75),"")</f>
        <v/>
      </c>
      <c r="K1200" s="32">
        <f>IF($A1200=1,"-","")</f>
        <v/>
      </c>
      <c r="L1200" s="32">
        <f>IF($A1200=1,"ضريبة قيمة مضافة - مدخلات","")</f>
        <v/>
      </c>
      <c r="M1200" s="43">
        <f>IF($A1200=1,Expenses!$G75,"")</f>
        <v/>
      </c>
      <c r="N1200" s="43">
        <f>IF($A1200=1,0,"")</f>
        <v/>
      </c>
      <c r="O1200" s="32">
        <f>IF($A1200=1,Expenses!$M75,"")</f>
        <v/>
      </c>
      <c r="P1200" s="32">
        <f>IF($A1200=1,IF(Expenses!$AC75="","",Expenses!$AC75),"")</f>
        <v/>
      </c>
      <c r="Q1200" s="32">
        <f>IF($A1200=1,Expenses!$AE75,"")</f>
        <v/>
      </c>
      <c r="R1200" s="32">
        <f>IF($A1200=1,IF(AND($Q1200=1,COUNTIFS(COA!$A:$A,$G1200,COA!$R:$R,1)=1),1,0),"")</f>
        <v/>
      </c>
      <c r="S1200" s="43">
        <f>IF($A1200=1,IF($R1200=1,N($M1200),0),"")</f>
        <v/>
      </c>
      <c r="T1200" s="43">
        <f>IF($A1200=1,IF($R1200=1,N($N1200),0),"")</f>
        <v/>
      </c>
      <c r="U1200" s="32">
        <f>IF($A1200=1,YEAR($D1200)*100+MONTH($D1200),"")</f>
        <v/>
      </c>
      <c r="V1200" s="32">
        <f>IF($A1200=1,IF(COUNTIF(COA!$A:$A,$G1200)=0,0,INDEX(COA!$H:$H,MATCH($G1200,COA!$A:$A,0))),"")</f>
        <v/>
      </c>
      <c r="W1200" s="32">
        <f>IF($A1200=1,"","")</f>
        <v/>
      </c>
      <c r="X1200" s="32">
        <f>IF($A1200=1,IF($R1200=1,"",IF($O1200=ST_POST,IF($P1200&lt;&gt;"",$P1200,"حساب غير صالح أو غير نشط"),IF($O1200=ST_REV,"معكوس: لا أثر على الدفاتر",IF($O1200=ST_CANC,"ملغى",IF($O1200=ST_APPR,"معتمد ولم يُرحَّل","مسودة"))))),"")</f>
        <v/>
      </c>
      <c r="Y1200" s="32">
        <f>IF($A1200=1,IF(AND($R1200=1,OR(LG_Acct="",$G1200=LG_Acct),OR(LG_Party="",$K1200=LG_Party),OR(LG_Loc="ALL",$I1200=LG_Loc),OR(LG_CC="ALL",$J1200=LG_CC),$D1200&gt;=LG_From,$D1200&lt;=LG_To),$D1200+ROW()/1000000,""),"")</f>
        <v/>
      </c>
      <c r="Z1200" s="32">
        <f>IF($A1200=1,IF(Expenses!$N75="","",Expenses!$N75),"")</f>
        <v/>
      </c>
      <c r="AA1200" s="32">
        <f>IF($A1200=1,IF(Expenses!$O75="","",Expenses!$O75),"")</f>
        <v/>
      </c>
      <c r="AB1200" s="32">
        <f>IF($A1200=1,IF(Expenses!$P75="","",Expenses!$P75),"")</f>
        <v/>
      </c>
      <c r="AC1200" s="32">
        <f>IF($A1200=1,IF(Expenses!$Q75="","",Expenses!$Q75),"")</f>
        <v/>
      </c>
      <c r="AD1200" s="32">
        <f>IF($A1200=1,IF(Expenses!$R75="","",Expenses!$R75),"")</f>
        <v/>
      </c>
      <c r="AE1200" s="32">
        <f>IF($A1200=1,0,"")</f>
        <v/>
      </c>
      <c r="AF1200" s="32" t="inlineStr"/>
    </row>
    <row r="1201">
      <c r="A1201" s="32">
        <f>IF(AND(Expenses!$AB75=1,N(Expenses!$W75)&gt;0),1,0)</f>
        <v/>
      </c>
      <c r="B1201" s="32">
        <f>IF($A1201=1,$E1201&amp;"/3","")</f>
        <v/>
      </c>
      <c r="C1201" s="32">
        <f>IF($A1201=1,"J-"&amp;Expenses!$A75,"")</f>
        <v/>
      </c>
      <c r="D1201" s="33">
        <f>IF($A1201=1,Expenses!$B75,"")</f>
        <v/>
      </c>
      <c r="E1201" s="32">
        <f>IF($A1201=1,IF(Expenses!$A75="","",Expenses!$A75),"")</f>
        <v/>
      </c>
      <c r="F1201" s="32">
        <f>IF($A1201=1,"EXP","")</f>
        <v/>
      </c>
      <c r="G1201" s="32">
        <f>IF($A1201=1,IF(Expenses!$V75="","",Expenses!$V75),"")</f>
        <v/>
      </c>
      <c r="H1201" s="32">
        <f>IF($A1201=1,IF(COUNTIF(COA!$A:$A,$G1201)=0,"حساب غير معرف",INDEX(COA!$B:$B,MATCH($G1201,COA!$A:$A,0))),"")</f>
        <v/>
      </c>
      <c r="I1201" s="32">
        <f>IF($A1201=1,IF(Expenses!$C75="","",Expenses!$C75),"")</f>
        <v/>
      </c>
      <c r="J1201" s="32">
        <f>IF($A1201=1,"CC00","")</f>
        <v/>
      </c>
      <c r="K1201" s="32">
        <f>IF($A1201=1,"-","")</f>
        <v/>
      </c>
      <c r="L1201" s="32">
        <f>IF($A1201=1,IF(Expenses!$L75="","مصروف - "&amp;Expenses!$J75,Expenses!$L75),"")</f>
        <v/>
      </c>
      <c r="M1201" s="43">
        <f>IF($A1201=1,0,"")</f>
        <v/>
      </c>
      <c r="N1201" s="43">
        <f>IF($A1201=1,Expenses!$W75,"")</f>
        <v/>
      </c>
      <c r="O1201" s="32">
        <f>IF($A1201=1,Expenses!$M75,"")</f>
        <v/>
      </c>
      <c r="P1201" s="32">
        <f>IF($A1201=1,IF(Expenses!$AC75="","",Expenses!$AC75),"")</f>
        <v/>
      </c>
      <c r="Q1201" s="32">
        <f>IF($A1201=1,Expenses!$AE75,"")</f>
        <v/>
      </c>
      <c r="R1201" s="32">
        <f>IF($A1201=1,IF(AND($Q1201=1,COUNTIFS(COA!$A:$A,$G1201,COA!$R:$R,1)=1),1,0),"")</f>
        <v/>
      </c>
      <c r="S1201" s="43">
        <f>IF($A1201=1,IF($R1201=1,N($M1201),0),"")</f>
        <v/>
      </c>
      <c r="T1201" s="43">
        <f>IF($A1201=1,IF($R1201=1,N($N1201),0),"")</f>
        <v/>
      </c>
      <c r="U1201" s="32">
        <f>IF($A1201=1,YEAR($D1201)*100+MONTH($D1201),"")</f>
        <v/>
      </c>
      <c r="V1201" s="32">
        <f>IF($A1201=1,IF(COUNTIF(COA!$A:$A,$G1201)=0,0,INDEX(COA!$H:$H,MATCH($G1201,COA!$A:$A,0))),"")</f>
        <v/>
      </c>
      <c r="W1201" s="32">
        <f>IF($A1201=1,"OPERATING","")</f>
        <v/>
      </c>
      <c r="X1201" s="32">
        <f>IF($A1201=1,IF($R1201=1,"",IF($O1201=ST_POST,IF($P1201&lt;&gt;"",$P1201,"حساب غير صالح أو غير نشط"),IF($O1201=ST_REV,"معكوس: لا أثر على الدفاتر",IF($O1201=ST_CANC,"ملغى",IF($O1201=ST_APPR,"معتمد ولم يُرحَّل","مسودة"))))),"")</f>
        <v/>
      </c>
      <c r="Y1201" s="32">
        <f>IF($A1201=1,IF(AND($R1201=1,OR(LG_Acct="",$G1201=LG_Acct),OR(LG_Party="",$K1201=LG_Party),OR(LG_Loc="ALL",$I1201=LG_Loc),OR(LG_CC="ALL",$J1201=LG_CC),$D1201&gt;=LG_From,$D1201&lt;=LG_To),$D1201+ROW()/1000000,""),"")</f>
        <v/>
      </c>
      <c r="Z1201" s="32">
        <f>IF($A1201=1,IF(Expenses!$N75="","",Expenses!$N75),"")</f>
        <v/>
      </c>
      <c r="AA1201" s="32">
        <f>IF($A1201=1,IF(Expenses!$O75="","",Expenses!$O75),"")</f>
        <v/>
      </c>
      <c r="AB1201" s="32">
        <f>IF($A1201=1,IF(Expenses!$P75="","",Expenses!$P75),"")</f>
        <v/>
      </c>
      <c r="AC1201" s="32">
        <f>IF($A1201=1,IF(Expenses!$Q75="","",Expenses!$Q75),"")</f>
        <v/>
      </c>
      <c r="AD1201" s="32">
        <f>IF($A1201=1,IF(Expenses!$R75="","",Expenses!$R75),"")</f>
        <v/>
      </c>
      <c r="AE1201" s="32">
        <f>IF($A1201=1,0,"")</f>
        <v/>
      </c>
      <c r="AF1201" s="32" t="inlineStr"/>
    </row>
    <row r="1202">
      <c r="A1202" s="32">
        <f>IF(AND(Expenses!$AB76=1,N(Expenses!$F76)&gt;0),1,0)</f>
        <v/>
      </c>
      <c r="B1202" s="32">
        <f>IF($A1202=1,$E1202&amp;"/1","")</f>
        <v/>
      </c>
      <c r="C1202" s="32">
        <f>IF($A1202=1,"J-"&amp;Expenses!$A76,"")</f>
        <v/>
      </c>
      <c r="D1202" s="33">
        <f>IF($A1202=1,Expenses!$B76,"")</f>
        <v/>
      </c>
      <c r="E1202" s="32">
        <f>IF($A1202=1,IF(Expenses!$A76="","",Expenses!$A76),"")</f>
        <v/>
      </c>
      <c r="F1202" s="32">
        <f>IF($A1202=1,"EXP","")</f>
        <v/>
      </c>
      <c r="G1202" s="32">
        <f>IF($A1202=1,IF(Expenses!$E76="","",Expenses!$E76),"")</f>
        <v/>
      </c>
      <c r="H1202" s="32">
        <f>IF($A1202=1,IF(COUNTIF(COA!$A:$A,$G1202)=0,"حساب غير معرف",INDEX(COA!$B:$B,MATCH($G1202,COA!$A:$A,0))),"")</f>
        <v/>
      </c>
      <c r="I1202" s="32">
        <f>IF($A1202=1,IF(Expenses!$C76="","",Expenses!$C76),"")</f>
        <v/>
      </c>
      <c r="J1202" s="32">
        <f>IF($A1202=1,IF(Expenses!$D76="","",Expenses!$D76),"")</f>
        <v/>
      </c>
      <c r="K1202" s="32">
        <f>IF($A1202=1,"-","")</f>
        <v/>
      </c>
      <c r="L1202" s="32">
        <f>IF($A1202=1,IF(Expenses!$L76="","مصروف - "&amp;Expenses!$J76,Expenses!$L76),"")</f>
        <v/>
      </c>
      <c r="M1202" s="43">
        <f>IF($A1202=1,Expenses!$F76,"")</f>
        <v/>
      </c>
      <c r="N1202" s="43">
        <f>IF($A1202=1,0,"")</f>
        <v/>
      </c>
      <c r="O1202" s="32">
        <f>IF($A1202=1,Expenses!$M76,"")</f>
        <v/>
      </c>
      <c r="P1202" s="32">
        <f>IF($A1202=1,IF(Expenses!$AC76="","",Expenses!$AC76),"")</f>
        <v/>
      </c>
      <c r="Q1202" s="32">
        <f>IF($A1202=1,Expenses!$AE76,"")</f>
        <v/>
      </c>
      <c r="R1202" s="32">
        <f>IF($A1202=1,IF(AND($Q1202=1,COUNTIFS(COA!$A:$A,$G1202,COA!$R:$R,1)=1),1,0),"")</f>
        <v/>
      </c>
      <c r="S1202" s="43">
        <f>IF($A1202=1,IF($R1202=1,N($M1202),0),"")</f>
        <v/>
      </c>
      <c r="T1202" s="43">
        <f>IF($A1202=1,IF($R1202=1,N($N1202),0),"")</f>
        <v/>
      </c>
      <c r="U1202" s="32">
        <f>IF($A1202=1,YEAR($D1202)*100+MONTH($D1202),"")</f>
        <v/>
      </c>
      <c r="V1202" s="32">
        <f>IF($A1202=1,IF(COUNTIF(COA!$A:$A,$G1202)=0,0,INDEX(COA!$H:$H,MATCH($G1202,COA!$A:$A,0))),"")</f>
        <v/>
      </c>
      <c r="W1202" s="32">
        <f>IF($A1202=1,"","")</f>
        <v/>
      </c>
      <c r="X1202" s="32">
        <f>IF($A1202=1,IF($R1202=1,"",IF($O1202=ST_POST,IF($P1202&lt;&gt;"",$P1202,"حساب غير صالح أو غير نشط"),IF($O1202=ST_REV,"معكوس: لا أثر على الدفاتر",IF($O1202=ST_CANC,"ملغى",IF($O1202=ST_APPR,"معتمد ولم يُرحَّل","مسودة"))))),"")</f>
        <v/>
      </c>
      <c r="Y1202" s="32">
        <f>IF($A1202=1,IF(AND($R1202=1,OR(LG_Acct="",$G1202=LG_Acct),OR(LG_Party="",$K1202=LG_Party),OR(LG_Loc="ALL",$I1202=LG_Loc),OR(LG_CC="ALL",$J1202=LG_CC),$D1202&gt;=LG_From,$D1202&lt;=LG_To),$D1202+ROW()/1000000,""),"")</f>
        <v/>
      </c>
      <c r="Z1202" s="32">
        <f>IF($A1202=1,IF(Expenses!$N76="","",Expenses!$N76),"")</f>
        <v/>
      </c>
      <c r="AA1202" s="32">
        <f>IF($A1202=1,IF(Expenses!$O76="","",Expenses!$O76),"")</f>
        <v/>
      </c>
      <c r="AB1202" s="32">
        <f>IF($A1202=1,IF(Expenses!$P76="","",Expenses!$P76),"")</f>
        <v/>
      </c>
      <c r="AC1202" s="32">
        <f>IF($A1202=1,IF(Expenses!$Q76="","",Expenses!$Q76),"")</f>
        <v/>
      </c>
      <c r="AD1202" s="32">
        <f>IF($A1202=1,IF(Expenses!$R76="","",Expenses!$R76),"")</f>
        <v/>
      </c>
      <c r="AE1202" s="32">
        <f>IF($A1202=1,0,"")</f>
        <v/>
      </c>
      <c r="AF1202" s="32" t="inlineStr"/>
    </row>
    <row r="1203">
      <c r="A1203" s="32">
        <f>IF(AND(Expenses!$AB76=1,N(Expenses!$G76)&gt;0),1,0)</f>
        <v/>
      </c>
      <c r="B1203" s="32">
        <f>IF($A1203=1,$E1203&amp;"/2","")</f>
        <v/>
      </c>
      <c r="C1203" s="32">
        <f>IF($A1203=1,"J-"&amp;Expenses!$A76,"")</f>
        <v/>
      </c>
      <c r="D1203" s="33">
        <f>IF($A1203=1,Expenses!$B76,"")</f>
        <v/>
      </c>
      <c r="E1203" s="32">
        <f>IF($A1203=1,IF(Expenses!$A76="","",Expenses!$A76),"")</f>
        <v/>
      </c>
      <c r="F1203" s="32">
        <f>IF($A1203=1,"EXP","")</f>
        <v/>
      </c>
      <c r="G1203" s="32">
        <f>IF($A1203=1,ACC_VAT_IN,"")</f>
        <v/>
      </c>
      <c r="H1203" s="32">
        <f>IF($A1203=1,IF(COUNTIF(COA!$A:$A,$G1203)=0,"حساب غير معرف",INDEX(COA!$B:$B,MATCH($G1203,COA!$A:$A,0))),"")</f>
        <v/>
      </c>
      <c r="I1203" s="32">
        <f>IF($A1203=1,IF(Expenses!$C76="","",Expenses!$C76),"")</f>
        <v/>
      </c>
      <c r="J1203" s="32">
        <f>IF($A1203=1,IF(Expenses!$D76="","",Expenses!$D76),"")</f>
        <v/>
      </c>
      <c r="K1203" s="32">
        <f>IF($A1203=1,"-","")</f>
        <v/>
      </c>
      <c r="L1203" s="32">
        <f>IF($A1203=1,"ضريبة قيمة مضافة - مدخلات","")</f>
        <v/>
      </c>
      <c r="M1203" s="43">
        <f>IF($A1203=1,Expenses!$G76,"")</f>
        <v/>
      </c>
      <c r="N1203" s="43">
        <f>IF($A1203=1,0,"")</f>
        <v/>
      </c>
      <c r="O1203" s="32">
        <f>IF($A1203=1,Expenses!$M76,"")</f>
        <v/>
      </c>
      <c r="P1203" s="32">
        <f>IF($A1203=1,IF(Expenses!$AC76="","",Expenses!$AC76),"")</f>
        <v/>
      </c>
      <c r="Q1203" s="32">
        <f>IF($A1203=1,Expenses!$AE76,"")</f>
        <v/>
      </c>
      <c r="R1203" s="32">
        <f>IF($A1203=1,IF(AND($Q1203=1,COUNTIFS(COA!$A:$A,$G1203,COA!$R:$R,1)=1),1,0),"")</f>
        <v/>
      </c>
      <c r="S1203" s="43">
        <f>IF($A1203=1,IF($R1203=1,N($M1203),0),"")</f>
        <v/>
      </c>
      <c r="T1203" s="43">
        <f>IF($A1203=1,IF($R1203=1,N($N1203),0),"")</f>
        <v/>
      </c>
      <c r="U1203" s="32">
        <f>IF($A1203=1,YEAR($D1203)*100+MONTH($D1203),"")</f>
        <v/>
      </c>
      <c r="V1203" s="32">
        <f>IF($A1203=1,IF(COUNTIF(COA!$A:$A,$G1203)=0,0,INDEX(COA!$H:$H,MATCH($G1203,COA!$A:$A,0))),"")</f>
        <v/>
      </c>
      <c r="W1203" s="32">
        <f>IF($A1203=1,"","")</f>
        <v/>
      </c>
      <c r="X1203" s="32">
        <f>IF($A1203=1,IF($R1203=1,"",IF($O1203=ST_POST,IF($P1203&lt;&gt;"",$P1203,"حساب غير صالح أو غير نشط"),IF($O1203=ST_REV,"معكوس: لا أثر على الدفاتر",IF($O1203=ST_CANC,"ملغى",IF($O1203=ST_APPR,"معتمد ولم يُرحَّل","مسودة"))))),"")</f>
        <v/>
      </c>
      <c r="Y1203" s="32">
        <f>IF($A1203=1,IF(AND($R1203=1,OR(LG_Acct="",$G1203=LG_Acct),OR(LG_Party="",$K1203=LG_Party),OR(LG_Loc="ALL",$I1203=LG_Loc),OR(LG_CC="ALL",$J1203=LG_CC),$D1203&gt;=LG_From,$D1203&lt;=LG_To),$D1203+ROW()/1000000,""),"")</f>
        <v/>
      </c>
      <c r="Z1203" s="32">
        <f>IF($A1203=1,IF(Expenses!$N76="","",Expenses!$N76),"")</f>
        <v/>
      </c>
      <c r="AA1203" s="32">
        <f>IF($A1203=1,IF(Expenses!$O76="","",Expenses!$O76),"")</f>
        <v/>
      </c>
      <c r="AB1203" s="32">
        <f>IF($A1203=1,IF(Expenses!$P76="","",Expenses!$P76),"")</f>
        <v/>
      </c>
      <c r="AC1203" s="32">
        <f>IF($A1203=1,IF(Expenses!$Q76="","",Expenses!$Q76),"")</f>
        <v/>
      </c>
      <c r="AD1203" s="32">
        <f>IF($A1203=1,IF(Expenses!$R76="","",Expenses!$R76),"")</f>
        <v/>
      </c>
      <c r="AE1203" s="32">
        <f>IF($A1203=1,0,"")</f>
        <v/>
      </c>
      <c r="AF1203" s="32" t="inlineStr"/>
    </row>
    <row r="1204">
      <c r="A1204" s="32">
        <f>IF(AND(Expenses!$AB76=1,N(Expenses!$W76)&gt;0),1,0)</f>
        <v/>
      </c>
      <c r="B1204" s="32">
        <f>IF($A1204=1,$E1204&amp;"/3","")</f>
        <v/>
      </c>
      <c r="C1204" s="32">
        <f>IF($A1204=1,"J-"&amp;Expenses!$A76,"")</f>
        <v/>
      </c>
      <c r="D1204" s="33">
        <f>IF($A1204=1,Expenses!$B76,"")</f>
        <v/>
      </c>
      <c r="E1204" s="32">
        <f>IF($A1204=1,IF(Expenses!$A76="","",Expenses!$A76),"")</f>
        <v/>
      </c>
      <c r="F1204" s="32">
        <f>IF($A1204=1,"EXP","")</f>
        <v/>
      </c>
      <c r="G1204" s="32">
        <f>IF($A1204=1,IF(Expenses!$V76="","",Expenses!$V76),"")</f>
        <v/>
      </c>
      <c r="H1204" s="32">
        <f>IF($A1204=1,IF(COUNTIF(COA!$A:$A,$G1204)=0,"حساب غير معرف",INDEX(COA!$B:$B,MATCH($G1204,COA!$A:$A,0))),"")</f>
        <v/>
      </c>
      <c r="I1204" s="32">
        <f>IF($A1204=1,IF(Expenses!$C76="","",Expenses!$C76),"")</f>
        <v/>
      </c>
      <c r="J1204" s="32">
        <f>IF($A1204=1,"CC00","")</f>
        <v/>
      </c>
      <c r="K1204" s="32">
        <f>IF($A1204=1,"-","")</f>
        <v/>
      </c>
      <c r="L1204" s="32">
        <f>IF($A1204=1,IF(Expenses!$L76="","مصروف - "&amp;Expenses!$J76,Expenses!$L76),"")</f>
        <v/>
      </c>
      <c r="M1204" s="43">
        <f>IF($A1204=1,0,"")</f>
        <v/>
      </c>
      <c r="N1204" s="43">
        <f>IF($A1204=1,Expenses!$W76,"")</f>
        <v/>
      </c>
      <c r="O1204" s="32">
        <f>IF($A1204=1,Expenses!$M76,"")</f>
        <v/>
      </c>
      <c r="P1204" s="32">
        <f>IF($A1204=1,IF(Expenses!$AC76="","",Expenses!$AC76),"")</f>
        <v/>
      </c>
      <c r="Q1204" s="32">
        <f>IF($A1204=1,Expenses!$AE76,"")</f>
        <v/>
      </c>
      <c r="R1204" s="32">
        <f>IF($A1204=1,IF(AND($Q1204=1,COUNTIFS(COA!$A:$A,$G1204,COA!$R:$R,1)=1),1,0),"")</f>
        <v/>
      </c>
      <c r="S1204" s="43">
        <f>IF($A1204=1,IF($R1204=1,N($M1204),0),"")</f>
        <v/>
      </c>
      <c r="T1204" s="43">
        <f>IF($A1204=1,IF($R1204=1,N($N1204),0),"")</f>
        <v/>
      </c>
      <c r="U1204" s="32">
        <f>IF($A1204=1,YEAR($D1204)*100+MONTH($D1204),"")</f>
        <v/>
      </c>
      <c r="V1204" s="32">
        <f>IF($A1204=1,IF(COUNTIF(COA!$A:$A,$G1204)=0,0,INDEX(COA!$H:$H,MATCH($G1204,COA!$A:$A,0))),"")</f>
        <v/>
      </c>
      <c r="W1204" s="32">
        <f>IF($A1204=1,"OPERATING","")</f>
        <v/>
      </c>
      <c r="X1204" s="32">
        <f>IF($A1204=1,IF($R1204=1,"",IF($O1204=ST_POST,IF($P1204&lt;&gt;"",$P1204,"حساب غير صالح أو غير نشط"),IF($O1204=ST_REV,"معكوس: لا أثر على الدفاتر",IF($O1204=ST_CANC,"ملغى",IF($O1204=ST_APPR,"معتمد ولم يُرحَّل","مسودة"))))),"")</f>
        <v/>
      </c>
      <c r="Y1204" s="32">
        <f>IF($A1204=1,IF(AND($R1204=1,OR(LG_Acct="",$G1204=LG_Acct),OR(LG_Party="",$K1204=LG_Party),OR(LG_Loc="ALL",$I1204=LG_Loc),OR(LG_CC="ALL",$J1204=LG_CC),$D1204&gt;=LG_From,$D1204&lt;=LG_To),$D1204+ROW()/1000000,""),"")</f>
        <v/>
      </c>
      <c r="Z1204" s="32">
        <f>IF($A1204=1,IF(Expenses!$N76="","",Expenses!$N76),"")</f>
        <v/>
      </c>
      <c r="AA1204" s="32">
        <f>IF($A1204=1,IF(Expenses!$O76="","",Expenses!$O76),"")</f>
        <v/>
      </c>
      <c r="AB1204" s="32">
        <f>IF($A1204=1,IF(Expenses!$P76="","",Expenses!$P76),"")</f>
        <v/>
      </c>
      <c r="AC1204" s="32">
        <f>IF($A1204=1,IF(Expenses!$Q76="","",Expenses!$Q76),"")</f>
        <v/>
      </c>
      <c r="AD1204" s="32">
        <f>IF($A1204=1,IF(Expenses!$R76="","",Expenses!$R76),"")</f>
        <v/>
      </c>
      <c r="AE1204" s="32">
        <f>IF($A1204=1,0,"")</f>
        <v/>
      </c>
      <c r="AF1204" s="32" t="inlineStr"/>
    </row>
    <row r="1205">
      <c r="A1205" s="32">
        <f>IF(AND(Expenses!$AB77=1,N(Expenses!$F77)&gt;0),1,0)</f>
        <v/>
      </c>
      <c r="B1205" s="32">
        <f>IF($A1205=1,$E1205&amp;"/1","")</f>
        <v/>
      </c>
      <c r="C1205" s="32">
        <f>IF($A1205=1,"J-"&amp;Expenses!$A77,"")</f>
        <v/>
      </c>
      <c r="D1205" s="33">
        <f>IF($A1205=1,Expenses!$B77,"")</f>
        <v/>
      </c>
      <c r="E1205" s="32">
        <f>IF($A1205=1,IF(Expenses!$A77="","",Expenses!$A77),"")</f>
        <v/>
      </c>
      <c r="F1205" s="32">
        <f>IF($A1205=1,"EXP","")</f>
        <v/>
      </c>
      <c r="G1205" s="32">
        <f>IF($A1205=1,IF(Expenses!$E77="","",Expenses!$E77),"")</f>
        <v/>
      </c>
      <c r="H1205" s="32">
        <f>IF($A1205=1,IF(COUNTIF(COA!$A:$A,$G1205)=0,"حساب غير معرف",INDEX(COA!$B:$B,MATCH($G1205,COA!$A:$A,0))),"")</f>
        <v/>
      </c>
      <c r="I1205" s="32">
        <f>IF($A1205=1,IF(Expenses!$C77="","",Expenses!$C77),"")</f>
        <v/>
      </c>
      <c r="J1205" s="32">
        <f>IF($A1205=1,IF(Expenses!$D77="","",Expenses!$D77),"")</f>
        <v/>
      </c>
      <c r="K1205" s="32">
        <f>IF($A1205=1,"-","")</f>
        <v/>
      </c>
      <c r="L1205" s="32">
        <f>IF($A1205=1,IF(Expenses!$L77="","مصروف - "&amp;Expenses!$J77,Expenses!$L77),"")</f>
        <v/>
      </c>
      <c r="M1205" s="43">
        <f>IF($A1205=1,Expenses!$F77,"")</f>
        <v/>
      </c>
      <c r="N1205" s="43">
        <f>IF($A1205=1,0,"")</f>
        <v/>
      </c>
      <c r="O1205" s="32">
        <f>IF($A1205=1,Expenses!$M77,"")</f>
        <v/>
      </c>
      <c r="P1205" s="32">
        <f>IF($A1205=1,IF(Expenses!$AC77="","",Expenses!$AC77),"")</f>
        <v/>
      </c>
      <c r="Q1205" s="32">
        <f>IF($A1205=1,Expenses!$AE77,"")</f>
        <v/>
      </c>
      <c r="R1205" s="32">
        <f>IF($A1205=1,IF(AND($Q1205=1,COUNTIFS(COA!$A:$A,$G1205,COA!$R:$R,1)=1),1,0),"")</f>
        <v/>
      </c>
      <c r="S1205" s="43">
        <f>IF($A1205=1,IF($R1205=1,N($M1205),0),"")</f>
        <v/>
      </c>
      <c r="T1205" s="43">
        <f>IF($A1205=1,IF($R1205=1,N($N1205),0),"")</f>
        <v/>
      </c>
      <c r="U1205" s="32">
        <f>IF($A1205=1,YEAR($D1205)*100+MONTH($D1205),"")</f>
        <v/>
      </c>
      <c r="V1205" s="32">
        <f>IF($A1205=1,IF(COUNTIF(COA!$A:$A,$G1205)=0,0,INDEX(COA!$H:$H,MATCH($G1205,COA!$A:$A,0))),"")</f>
        <v/>
      </c>
      <c r="W1205" s="32">
        <f>IF($A1205=1,"","")</f>
        <v/>
      </c>
      <c r="X1205" s="32">
        <f>IF($A1205=1,IF($R1205=1,"",IF($O1205=ST_POST,IF($P1205&lt;&gt;"",$P1205,"حساب غير صالح أو غير نشط"),IF($O1205=ST_REV,"معكوس: لا أثر على الدفاتر",IF($O1205=ST_CANC,"ملغى",IF($O1205=ST_APPR,"معتمد ولم يُرحَّل","مسودة"))))),"")</f>
        <v/>
      </c>
      <c r="Y1205" s="32">
        <f>IF($A1205=1,IF(AND($R1205=1,OR(LG_Acct="",$G1205=LG_Acct),OR(LG_Party="",$K1205=LG_Party),OR(LG_Loc="ALL",$I1205=LG_Loc),OR(LG_CC="ALL",$J1205=LG_CC),$D1205&gt;=LG_From,$D1205&lt;=LG_To),$D1205+ROW()/1000000,""),"")</f>
        <v/>
      </c>
      <c r="Z1205" s="32">
        <f>IF($A1205=1,IF(Expenses!$N77="","",Expenses!$N77),"")</f>
        <v/>
      </c>
      <c r="AA1205" s="32">
        <f>IF($A1205=1,IF(Expenses!$O77="","",Expenses!$O77),"")</f>
        <v/>
      </c>
      <c r="AB1205" s="32">
        <f>IF($A1205=1,IF(Expenses!$P77="","",Expenses!$P77),"")</f>
        <v/>
      </c>
      <c r="AC1205" s="32">
        <f>IF($A1205=1,IF(Expenses!$Q77="","",Expenses!$Q77),"")</f>
        <v/>
      </c>
      <c r="AD1205" s="32">
        <f>IF($A1205=1,IF(Expenses!$R77="","",Expenses!$R77),"")</f>
        <v/>
      </c>
      <c r="AE1205" s="32">
        <f>IF($A1205=1,0,"")</f>
        <v/>
      </c>
      <c r="AF1205" s="32" t="inlineStr"/>
    </row>
    <row r="1206">
      <c r="A1206" s="32">
        <f>IF(AND(Expenses!$AB77=1,N(Expenses!$G77)&gt;0),1,0)</f>
        <v/>
      </c>
      <c r="B1206" s="32">
        <f>IF($A1206=1,$E1206&amp;"/2","")</f>
        <v/>
      </c>
      <c r="C1206" s="32">
        <f>IF($A1206=1,"J-"&amp;Expenses!$A77,"")</f>
        <v/>
      </c>
      <c r="D1206" s="33">
        <f>IF($A1206=1,Expenses!$B77,"")</f>
        <v/>
      </c>
      <c r="E1206" s="32">
        <f>IF($A1206=1,IF(Expenses!$A77="","",Expenses!$A77),"")</f>
        <v/>
      </c>
      <c r="F1206" s="32">
        <f>IF($A1206=1,"EXP","")</f>
        <v/>
      </c>
      <c r="G1206" s="32">
        <f>IF($A1206=1,ACC_VAT_IN,"")</f>
        <v/>
      </c>
      <c r="H1206" s="32">
        <f>IF($A1206=1,IF(COUNTIF(COA!$A:$A,$G1206)=0,"حساب غير معرف",INDEX(COA!$B:$B,MATCH($G1206,COA!$A:$A,0))),"")</f>
        <v/>
      </c>
      <c r="I1206" s="32">
        <f>IF($A1206=1,IF(Expenses!$C77="","",Expenses!$C77),"")</f>
        <v/>
      </c>
      <c r="J1206" s="32">
        <f>IF($A1206=1,IF(Expenses!$D77="","",Expenses!$D77),"")</f>
        <v/>
      </c>
      <c r="K1206" s="32">
        <f>IF($A1206=1,"-","")</f>
        <v/>
      </c>
      <c r="L1206" s="32">
        <f>IF($A1206=1,"ضريبة قيمة مضافة - مدخلات","")</f>
        <v/>
      </c>
      <c r="M1206" s="43">
        <f>IF($A1206=1,Expenses!$G77,"")</f>
        <v/>
      </c>
      <c r="N1206" s="43">
        <f>IF($A1206=1,0,"")</f>
        <v/>
      </c>
      <c r="O1206" s="32">
        <f>IF($A1206=1,Expenses!$M77,"")</f>
        <v/>
      </c>
      <c r="P1206" s="32">
        <f>IF($A1206=1,IF(Expenses!$AC77="","",Expenses!$AC77),"")</f>
        <v/>
      </c>
      <c r="Q1206" s="32">
        <f>IF($A1206=1,Expenses!$AE77,"")</f>
        <v/>
      </c>
      <c r="R1206" s="32">
        <f>IF($A1206=1,IF(AND($Q1206=1,COUNTIFS(COA!$A:$A,$G1206,COA!$R:$R,1)=1),1,0),"")</f>
        <v/>
      </c>
      <c r="S1206" s="43">
        <f>IF($A1206=1,IF($R1206=1,N($M1206),0),"")</f>
        <v/>
      </c>
      <c r="T1206" s="43">
        <f>IF($A1206=1,IF($R1206=1,N($N1206),0),"")</f>
        <v/>
      </c>
      <c r="U1206" s="32">
        <f>IF($A1206=1,YEAR($D1206)*100+MONTH($D1206),"")</f>
        <v/>
      </c>
      <c r="V1206" s="32">
        <f>IF($A1206=1,IF(COUNTIF(COA!$A:$A,$G1206)=0,0,INDEX(COA!$H:$H,MATCH($G1206,COA!$A:$A,0))),"")</f>
        <v/>
      </c>
      <c r="W1206" s="32">
        <f>IF($A1206=1,"","")</f>
        <v/>
      </c>
      <c r="X1206" s="32">
        <f>IF($A1206=1,IF($R1206=1,"",IF($O1206=ST_POST,IF($P1206&lt;&gt;"",$P1206,"حساب غير صالح أو غير نشط"),IF($O1206=ST_REV,"معكوس: لا أثر على الدفاتر",IF($O1206=ST_CANC,"ملغى",IF($O1206=ST_APPR,"معتمد ولم يُرحَّل","مسودة"))))),"")</f>
        <v/>
      </c>
      <c r="Y1206" s="32">
        <f>IF($A1206=1,IF(AND($R1206=1,OR(LG_Acct="",$G1206=LG_Acct),OR(LG_Party="",$K1206=LG_Party),OR(LG_Loc="ALL",$I1206=LG_Loc),OR(LG_CC="ALL",$J1206=LG_CC),$D1206&gt;=LG_From,$D1206&lt;=LG_To),$D1206+ROW()/1000000,""),"")</f>
        <v/>
      </c>
      <c r="Z1206" s="32">
        <f>IF($A1206=1,IF(Expenses!$N77="","",Expenses!$N77),"")</f>
        <v/>
      </c>
      <c r="AA1206" s="32">
        <f>IF($A1206=1,IF(Expenses!$O77="","",Expenses!$O77),"")</f>
        <v/>
      </c>
      <c r="AB1206" s="32">
        <f>IF($A1206=1,IF(Expenses!$P77="","",Expenses!$P77),"")</f>
        <v/>
      </c>
      <c r="AC1206" s="32">
        <f>IF($A1206=1,IF(Expenses!$Q77="","",Expenses!$Q77),"")</f>
        <v/>
      </c>
      <c r="AD1206" s="32">
        <f>IF($A1206=1,IF(Expenses!$R77="","",Expenses!$R77),"")</f>
        <v/>
      </c>
      <c r="AE1206" s="32">
        <f>IF($A1206=1,0,"")</f>
        <v/>
      </c>
      <c r="AF1206" s="32" t="inlineStr"/>
    </row>
    <row r="1207">
      <c r="A1207" s="32">
        <f>IF(AND(Expenses!$AB77=1,N(Expenses!$W77)&gt;0),1,0)</f>
        <v/>
      </c>
      <c r="B1207" s="32">
        <f>IF($A1207=1,$E1207&amp;"/3","")</f>
        <v/>
      </c>
      <c r="C1207" s="32">
        <f>IF($A1207=1,"J-"&amp;Expenses!$A77,"")</f>
        <v/>
      </c>
      <c r="D1207" s="33">
        <f>IF($A1207=1,Expenses!$B77,"")</f>
        <v/>
      </c>
      <c r="E1207" s="32">
        <f>IF($A1207=1,IF(Expenses!$A77="","",Expenses!$A77),"")</f>
        <v/>
      </c>
      <c r="F1207" s="32">
        <f>IF($A1207=1,"EXP","")</f>
        <v/>
      </c>
      <c r="G1207" s="32">
        <f>IF($A1207=1,IF(Expenses!$V77="","",Expenses!$V77),"")</f>
        <v/>
      </c>
      <c r="H1207" s="32">
        <f>IF($A1207=1,IF(COUNTIF(COA!$A:$A,$G1207)=0,"حساب غير معرف",INDEX(COA!$B:$B,MATCH($G1207,COA!$A:$A,0))),"")</f>
        <v/>
      </c>
      <c r="I1207" s="32">
        <f>IF($A1207=1,IF(Expenses!$C77="","",Expenses!$C77),"")</f>
        <v/>
      </c>
      <c r="J1207" s="32">
        <f>IF($A1207=1,"CC00","")</f>
        <v/>
      </c>
      <c r="K1207" s="32">
        <f>IF($A1207=1,"-","")</f>
        <v/>
      </c>
      <c r="L1207" s="32">
        <f>IF($A1207=1,IF(Expenses!$L77="","مصروف - "&amp;Expenses!$J77,Expenses!$L77),"")</f>
        <v/>
      </c>
      <c r="M1207" s="43">
        <f>IF($A1207=1,0,"")</f>
        <v/>
      </c>
      <c r="N1207" s="43">
        <f>IF($A1207=1,Expenses!$W77,"")</f>
        <v/>
      </c>
      <c r="O1207" s="32">
        <f>IF($A1207=1,Expenses!$M77,"")</f>
        <v/>
      </c>
      <c r="P1207" s="32">
        <f>IF($A1207=1,IF(Expenses!$AC77="","",Expenses!$AC77),"")</f>
        <v/>
      </c>
      <c r="Q1207" s="32">
        <f>IF($A1207=1,Expenses!$AE77,"")</f>
        <v/>
      </c>
      <c r="R1207" s="32">
        <f>IF($A1207=1,IF(AND($Q1207=1,COUNTIFS(COA!$A:$A,$G1207,COA!$R:$R,1)=1),1,0),"")</f>
        <v/>
      </c>
      <c r="S1207" s="43">
        <f>IF($A1207=1,IF($R1207=1,N($M1207),0),"")</f>
        <v/>
      </c>
      <c r="T1207" s="43">
        <f>IF($A1207=1,IF($R1207=1,N($N1207),0),"")</f>
        <v/>
      </c>
      <c r="U1207" s="32">
        <f>IF($A1207=1,YEAR($D1207)*100+MONTH($D1207),"")</f>
        <v/>
      </c>
      <c r="V1207" s="32">
        <f>IF($A1207=1,IF(COUNTIF(COA!$A:$A,$G1207)=0,0,INDEX(COA!$H:$H,MATCH($G1207,COA!$A:$A,0))),"")</f>
        <v/>
      </c>
      <c r="W1207" s="32">
        <f>IF($A1207=1,"OPERATING","")</f>
        <v/>
      </c>
      <c r="X1207" s="32">
        <f>IF($A1207=1,IF($R1207=1,"",IF($O1207=ST_POST,IF($P1207&lt;&gt;"",$P1207,"حساب غير صالح أو غير نشط"),IF($O1207=ST_REV,"معكوس: لا أثر على الدفاتر",IF($O1207=ST_CANC,"ملغى",IF($O1207=ST_APPR,"معتمد ولم يُرحَّل","مسودة"))))),"")</f>
        <v/>
      </c>
      <c r="Y1207" s="32">
        <f>IF($A1207=1,IF(AND($R1207=1,OR(LG_Acct="",$G1207=LG_Acct),OR(LG_Party="",$K1207=LG_Party),OR(LG_Loc="ALL",$I1207=LG_Loc),OR(LG_CC="ALL",$J1207=LG_CC),$D1207&gt;=LG_From,$D1207&lt;=LG_To),$D1207+ROW()/1000000,""),"")</f>
        <v/>
      </c>
      <c r="Z1207" s="32">
        <f>IF($A1207=1,IF(Expenses!$N77="","",Expenses!$N77),"")</f>
        <v/>
      </c>
      <c r="AA1207" s="32">
        <f>IF($A1207=1,IF(Expenses!$O77="","",Expenses!$O77),"")</f>
        <v/>
      </c>
      <c r="AB1207" s="32">
        <f>IF($A1207=1,IF(Expenses!$P77="","",Expenses!$P77),"")</f>
        <v/>
      </c>
      <c r="AC1207" s="32">
        <f>IF($A1207=1,IF(Expenses!$Q77="","",Expenses!$Q77),"")</f>
        <v/>
      </c>
      <c r="AD1207" s="32">
        <f>IF($A1207=1,IF(Expenses!$R77="","",Expenses!$R77),"")</f>
        <v/>
      </c>
      <c r="AE1207" s="32">
        <f>IF($A1207=1,0,"")</f>
        <v/>
      </c>
      <c r="AF1207" s="32" t="inlineStr"/>
    </row>
    <row r="1208">
      <c r="A1208" s="32">
        <f>IF(AND(Expenses!$AB78=1,N(Expenses!$F78)&gt;0),1,0)</f>
        <v/>
      </c>
      <c r="B1208" s="32">
        <f>IF($A1208=1,$E1208&amp;"/1","")</f>
        <v/>
      </c>
      <c r="C1208" s="32">
        <f>IF($A1208=1,"J-"&amp;Expenses!$A78,"")</f>
        <v/>
      </c>
      <c r="D1208" s="33">
        <f>IF($A1208=1,Expenses!$B78,"")</f>
        <v/>
      </c>
      <c r="E1208" s="32">
        <f>IF($A1208=1,IF(Expenses!$A78="","",Expenses!$A78),"")</f>
        <v/>
      </c>
      <c r="F1208" s="32">
        <f>IF($A1208=1,"EXP","")</f>
        <v/>
      </c>
      <c r="G1208" s="32">
        <f>IF($A1208=1,IF(Expenses!$E78="","",Expenses!$E78),"")</f>
        <v/>
      </c>
      <c r="H1208" s="32">
        <f>IF($A1208=1,IF(COUNTIF(COA!$A:$A,$G1208)=0,"حساب غير معرف",INDEX(COA!$B:$B,MATCH($G1208,COA!$A:$A,0))),"")</f>
        <v/>
      </c>
      <c r="I1208" s="32">
        <f>IF($A1208=1,IF(Expenses!$C78="","",Expenses!$C78),"")</f>
        <v/>
      </c>
      <c r="J1208" s="32">
        <f>IF($A1208=1,IF(Expenses!$D78="","",Expenses!$D78),"")</f>
        <v/>
      </c>
      <c r="K1208" s="32">
        <f>IF($A1208=1,"-","")</f>
        <v/>
      </c>
      <c r="L1208" s="32">
        <f>IF($A1208=1,IF(Expenses!$L78="","مصروف - "&amp;Expenses!$J78,Expenses!$L78),"")</f>
        <v/>
      </c>
      <c r="M1208" s="43">
        <f>IF($A1208=1,Expenses!$F78,"")</f>
        <v/>
      </c>
      <c r="N1208" s="43">
        <f>IF($A1208=1,0,"")</f>
        <v/>
      </c>
      <c r="O1208" s="32">
        <f>IF($A1208=1,Expenses!$M78,"")</f>
        <v/>
      </c>
      <c r="P1208" s="32">
        <f>IF($A1208=1,IF(Expenses!$AC78="","",Expenses!$AC78),"")</f>
        <v/>
      </c>
      <c r="Q1208" s="32">
        <f>IF($A1208=1,Expenses!$AE78,"")</f>
        <v/>
      </c>
      <c r="R1208" s="32">
        <f>IF($A1208=1,IF(AND($Q1208=1,COUNTIFS(COA!$A:$A,$G1208,COA!$R:$R,1)=1),1,0),"")</f>
        <v/>
      </c>
      <c r="S1208" s="43">
        <f>IF($A1208=1,IF($R1208=1,N($M1208),0),"")</f>
        <v/>
      </c>
      <c r="T1208" s="43">
        <f>IF($A1208=1,IF($R1208=1,N($N1208),0),"")</f>
        <v/>
      </c>
      <c r="U1208" s="32">
        <f>IF($A1208=1,YEAR($D1208)*100+MONTH($D1208),"")</f>
        <v/>
      </c>
      <c r="V1208" s="32">
        <f>IF($A1208=1,IF(COUNTIF(COA!$A:$A,$G1208)=0,0,INDEX(COA!$H:$H,MATCH($G1208,COA!$A:$A,0))),"")</f>
        <v/>
      </c>
      <c r="W1208" s="32">
        <f>IF($A1208=1,"","")</f>
        <v/>
      </c>
      <c r="X1208" s="32">
        <f>IF($A1208=1,IF($R1208=1,"",IF($O1208=ST_POST,IF($P1208&lt;&gt;"",$P1208,"حساب غير صالح أو غير نشط"),IF($O1208=ST_REV,"معكوس: لا أثر على الدفاتر",IF($O1208=ST_CANC,"ملغى",IF($O1208=ST_APPR,"معتمد ولم يُرحَّل","مسودة"))))),"")</f>
        <v/>
      </c>
      <c r="Y1208" s="32">
        <f>IF($A1208=1,IF(AND($R1208=1,OR(LG_Acct="",$G1208=LG_Acct),OR(LG_Party="",$K1208=LG_Party),OR(LG_Loc="ALL",$I1208=LG_Loc),OR(LG_CC="ALL",$J1208=LG_CC),$D1208&gt;=LG_From,$D1208&lt;=LG_To),$D1208+ROW()/1000000,""),"")</f>
        <v/>
      </c>
      <c r="Z1208" s="32">
        <f>IF($A1208=1,IF(Expenses!$N78="","",Expenses!$N78),"")</f>
        <v/>
      </c>
      <c r="AA1208" s="32">
        <f>IF($A1208=1,IF(Expenses!$O78="","",Expenses!$O78),"")</f>
        <v/>
      </c>
      <c r="AB1208" s="32">
        <f>IF($A1208=1,IF(Expenses!$P78="","",Expenses!$P78),"")</f>
        <v/>
      </c>
      <c r="AC1208" s="32">
        <f>IF($A1208=1,IF(Expenses!$Q78="","",Expenses!$Q78),"")</f>
        <v/>
      </c>
      <c r="AD1208" s="32">
        <f>IF($A1208=1,IF(Expenses!$R78="","",Expenses!$R78),"")</f>
        <v/>
      </c>
      <c r="AE1208" s="32">
        <f>IF($A1208=1,0,"")</f>
        <v/>
      </c>
      <c r="AF1208" s="32" t="inlineStr"/>
    </row>
    <row r="1209">
      <c r="A1209" s="32">
        <f>IF(AND(Expenses!$AB78=1,N(Expenses!$G78)&gt;0),1,0)</f>
        <v/>
      </c>
      <c r="B1209" s="32">
        <f>IF($A1209=1,$E1209&amp;"/2","")</f>
        <v/>
      </c>
      <c r="C1209" s="32">
        <f>IF($A1209=1,"J-"&amp;Expenses!$A78,"")</f>
        <v/>
      </c>
      <c r="D1209" s="33">
        <f>IF($A1209=1,Expenses!$B78,"")</f>
        <v/>
      </c>
      <c r="E1209" s="32">
        <f>IF($A1209=1,IF(Expenses!$A78="","",Expenses!$A78),"")</f>
        <v/>
      </c>
      <c r="F1209" s="32">
        <f>IF($A1209=1,"EXP","")</f>
        <v/>
      </c>
      <c r="G1209" s="32">
        <f>IF($A1209=1,ACC_VAT_IN,"")</f>
        <v/>
      </c>
      <c r="H1209" s="32">
        <f>IF($A1209=1,IF(COUNTIF(COA!$A:$A,$G1209)=0,"حساب غير معرف",INDEX(COA!$B:$B,MATCH($G1209,COA!$A:$A,0))),"")</f>
        <v/>
      </c>
      <c r="I1209" s="32">
        <f>IF($A1209=1,IF(Expenses!$C78="","",Expenses!$C78),"")</f>
        <v/>
      </c>
      <c r="J1209" s="32">
        <f>IF($A1209=1,IF(Expenses!$D78="","",Expenses!$D78),"")</f>
        <v/>
      </c>
      <c r="K1209" s="32">
        <f>IF($A1209=1,"-","")</f>
        <v/>
      </c>
      <c r="L1209" s="32">
        <f>IF($A1209=1,"ضريبة قيمة مضافة - مدخلات","")</f>
        <v/>
      </c>
      <c r="M1209" s="43">
        <f>IF($A1209=1,Expenses!$G78,"")</f>
        <v/>
      </c>
      <c r="N1209" s="43">
        <f>IF($A1209=1,0,"")</f>
        <v/>
      </c>
      <c r="O1209" s="32">
        <f>IF($A1209=1,Expenses!$M78,"")</f>
        <v/>
      </c>
      <c r="P1209" s="32">
        <f>IF($A1209=1,IF(Expenses!$AC78="","",Expenses!$AC78),"")</f>
        <v/>
      </c>
      <c r="Q1209" s="32">
        <f>IF($A1209=1,Expenses!$AE78,"")</f>
        <v/>
      </c>
      <c r="R1209" s="32">
        <f>IF($A1209=1,IF(AND($Q1209=1,COUNTIFS(COA!$A:$A,$G1209,COA!$R:$R,1)=1),1,0),"")</f>
        <v/>
      </c>
      <c r="S1209" s="43">
        <f>IF($A1209=1,IF($R1209=1,N($M1209),0),"")</f>
        <v/>
      </c>
      <c r="T1209" s="43">
        <f>IF($A1209=1,IF($R1209=1,N($N1209),0),"")</f>
        <v/>
      </c>
      <c r="U1209" s="32">
        <f>IF($A1209=1,YEAR($D1209)*100+MONTH($D1209),"")</f>
        <v/>
      </c>
      <c r="V1209" s="32">
        <f>IF($A1209=1,IF(COUNTIF(COA!$A:$A,$G1209)=0,0,INDEX(COA!$H:$H,MATCH($G1209,COA!$A:$A,0))),"")</f>
        <v/>
      </c>
      <c r="W1209" s="32">
        <f>IF($A1209=1,"","")</f>
        <v/>
      </c>
      <c r="X1209" s="32">
        <f>IF($A1209=1,IF($R1209=1,"",IF($O1209=ST_POST,IF($P1209&lt;&gt;"",$P1209,"حساب غير صالح أو غير نشط"),IF($O1209=ST_REV,"معكوس: لا أثر على الدفاتر",IF($O1209=ST_CANC,"ملغى",IF($O1209=ST_APPR,"معتمد ولم يُرحَّل","مسودة"))))),"")</f>
        <v/>
      </c>
      <c r="Y1209" s="32">
        <f>IF($A1209=1,IF(AND($R1209=1,OR(LG_Acct="",$G1209=LG_Acct),OR(LG_Party="",$K1209=LG_Party),OR(LG_Loc="ALL",$I1209=LG_Loc),OR(LG_CC="ALL",$J1209=LG_CC),$D1209&gt;=LG_From,$D1209&lt;=LG_To),$D1209+ROW()/1000000,""),"")</f>
        <v/>
      </c>
      <c r="Z1209" s="32">
        <f>IF($A1209=1,IF(Expenses!$N78="","",Expenses!$N78),"")</f>
        <v/>
      </c>
      <c r="AA1209" s="32">
        <f>IF($A1209=1,IF(Expenses!$O78="","",Expenses!$O78),"")</f>
        <v/>
      </c>
      <c r="AB1209" s="32">
        <f>IF($A1209=1,IF(Expenses!$P78="","",Expenses!$P78),"")</f>
        <v/>
      </c>
      <c r="AC1209" s="32">
        <f>IF($A1209=1,IF(Expenses!$Q78="","",Expenses!$Q78),"")</f>
        <v/>
      </c>
      <c r="AD1209" s="32">
        <f>IF($A1209=1,IF(Expenses!$R78="","",Expenses!$R78),"")</f>
        <v/>
      </c>
      <c r="AE1209" s="32">
        <f>IF($A1209=1,0,"")</f>
        <v/>
      </c>
      <c r="AF1209" s="32" t="inlineStr"/>
    </row>
    <row r="1210">
      <c r="A1210" s="32">
        <f>IF(AND(Expenses!$AB78=1,N(Expenses!$W78)&gt;0),1,0)</f>
        <v/>
      </c>
      <c r="B1210" s="32">
        <f>IF($A1210=1,$E1210&amp;"/3","")</f>
        <v/>
      </c>
      <c r="C1210" s="32">
        <f>IF($A1210=1,"J-"&amp;Expenses!$A78,"")</f>
        <v/>
      </c>
      <c r="D1210" s="33">
        <f>IF($A1210=1,Expenses!$B78,"")</f>
        <v/>
      </c>
      <c r="E1210" s="32">
        <f>IF($A1210=1,IF(Expenses!$A78="","",Expenses!$A78),"")</f>
        <v/>
      </c>
      <c r="F1210" s="32">
        <f>IF($A1210=1,"EXP","")</f>
        <v/>
      </c>
      <c r="G1210" s="32">
        <f>IF($A1210=1,IF(Expenses!$V78="","",Expenses!$V78),"")</f>
        <v/>
      </c>
      <c r="H1210" s="32">
        <f>IF($A1210=1,IF(COUNTIF(COA!$A:$A,$G1210)=0,"حساب غير معرف",INDEX(COA!$B:$B,MATCH($G1210,COA!$A:$A,0))),"")</f>
        <v/>
      </c>
      <c r="I1210" s="32">
        <f>IF($A1210=1,IF(Expenses!$C78="","",Expenses!$C78),"")</f>
        <v/>
      </c>
      <c r="J1210" s="32">
        <f>IF($A1210=1,"CC00","")</f>
        <v/>
      </c>
      <c r="K1210" s="32">
        <f>IF($A1210=1,"-","")</f>
        <v/>
      </c>
      <c r="L1210" s="32">
        <f>IF($A1210=1,IF(Expenses!$L78="","مصروف - "&amp;Expenses!$J78,Expenses!$L78),"")</f>
        <v/>
      </c>
      <c r="M1210" s="43">
        <f>IF($A1210=1,0,"")</f>
        <v/>
      </c>
      <c r="N1210" s="43">
        <f>IF($A1210=1,Expenses!$W78,"")</f>
        <v/>
      </c>
      <c r="O1210" s="32">
        <f>IF($A1210=1,Expenses!$M78,"")</f>
        <v/>
      </c>
      <c r="P1210" s="32">
        <f>IF($A1210=1,IF(Expenses!$AC78="","",Expenses!$AC78),"")</f>
        <v/>
      </c>
      <c r="Q1210" s="32">
        <f>IF($A1210=1,Expenses!$AE78,"")</f>
        <v/>
      </c>
      <c r="R1210" s="32">
        <f>IF($A1210=1,IF(AND($Q1210=1,COUNTIFS(COA!$A:$A,$G1210,COA!$R:$R,1)=1),1,0),"")</f>
        <v/>
      </c>
      <c r="S1210" s="43">
        <f>IF($A1210=1,IF($R1210=1,N($M1210),0),"")</f>
        <v/>
      </c>
      <c r="T1210" s="43">
        <f>IF($A1210=1,IF($R1210=1,N($N1210),0),"")</f>
        <v/>
      </c>
      <c r="U1210" s="32">
        <f>IF($A1210=1,YEAR($D1210)*100+MONTH($D1210),"")</f>
        <v/>
      </c>
      <c r="V1210" s="32">
        <f>IF($A1210=1,IF(COUNTIF(COA!$A:$A,$G1210)=0,0,INDEX(COA!$H:$H,MATCH($G1210,COA!$A:$A,0))),"")</f>
        <v/>
      </c>
      <c r="W1210" s="32">
        <f>IF($A1210=1,"OPERATING","")</f>
        <v/>
      </c>
      <c r="X1210" s="32">
        <f>IF($A1210=1,IF($R1210=1,"",IF($O1210=ST_POST,IF($P1210&lt;&gt;"",$P1210,"حساب غير صالح أو غير نشط"),IF($O1210=ST_REV,"معكوس: لا أثر على الدفاتر",IF($O1210=ST_CANC,"ملغى",IF($O1210=ST_APPR,"معتمد ولم يُرحَّل","مسودة"))))),"")</f>
        <v/>
      </c>
      <c r="Y1210" s="32">
        <f>IF($A1210=1,IF(AND($R1210=1,OR(LG_Acct="",$G1210=LG_Acct),OR(LG_Party="",$K1210=LG_Party),OR(LG_Loc="ALL",$I1210=LG_Loc),OR(LG_CC="ALL",$J1210=LG_CC),$D1210&gt;=LG_From,$D1210&lt;=LG_To),$D1210+ROW()/1000000,""),"")</f>
        <v/>
      </c>
      <c r="Z1210" s="32">
        <f>IF($A1210=1,IF(Expenses!$N78="","",Expenses!$N78),"")</f>
        <v/>
      </c>
      <c r="AA1210" s="32">
        <f>IF($A1210=1,IF(Expenses!$O78="","",Expenses!$O78),"")</f>
        <v/>
      </c>
      <c r="AB1210" s="32">
        <f>IF($A1210=1,IF(Expenses!$P78="","",Expenses!$P78),"")</f>
        <v/>
      </c>
      <c r="AC1210" s="32">
        <f>IF($A1210=1,IF(Expenses!$Q78="","",Expenses!$Q78),"")</f>
        <v/>
      </c>
      <c r="AD1210" s="32">
        <f>IF($A1210=1,IF(Expenses!$R78="","",Expenses!$R78),"")</f>
        <v/>
      </c>
      <c r="AE1210" s="32">
        <f>IF($A1210=1,0,"")</f>
        <v/>
      </c>
      <c r="AF1210" s="32" t="inlineStr"/>
    </row>
    <row r="1211">
      <c r="A1211" s="32">
        <f>IF(AND(Expenses!$AB79=1,N(Expenses!$F79)&gt;0),1,0)</f>
        <v/>
      </c>
      <c r="B1211" s="32">
        <f>IF($A1211=1,$E1211&amp;"/1","")</f>
        <v/>
      </c>
      <c r="C1211" s="32">
        <f>IF($A1211=1,"J-"&amp;Expenses!$A79,"")</f>
        <v/>
      </c>
      <c r="D1211" s="33">
        <f>IF($A1211=1,Expenses!$B79,"")</f>
        <v/>
      </c>
      <c r="E1211" s="32">
        <f>IF($A1211=1,IF(Expenses!$A79="","",Expenses!$A79),"")</f>
        <v/>
      </c>
      <c r="F1211" s="32">
        <f>IF($A1211=1,"EXP","")</f>
        <v/>
      </c>
      <c r="G1211" s="32">
        <f>IF($A1211=1,IF(Expenses!$E79="","",Expenses!$E79),"")</f>
        <v/>
      </c>
      <c r="H1211" s="32">
        <f>IF($A1211=1,IF(COUNTIF(COA!$A:$A,$G1211)=0,"حساب غير معرف",INDEX(COA!$B:$B,MATCH($G1211,COA!$A:$A,0))),"")</f>
        <v/>
      </c>
      <c r="I1211" s="32">
        <f>IF($A1211=1,IF(Expenses!$C79="","",Expenses!$C79),"")</f>
        <v/>
      </c>
      <c r="J1211" s="32">
        <f>IF($A1211=1,IF(Expenses!$D79="","",Expenses!$D79),"")</f>
        <v/>
      </c>
      <c r="K1211" s="32">
        <f>IF($A1211=1,"-","")</f>
        <v/>
      </c>
      <c r="L1211" s="32">
        <f>IF($A1211=1,IF(Expenses!$L79="","مصروف - "&amp;Expenses!$J79,Expenses!$L79),"")</f>
        <v/>
      </c>
      <c r="M1211" s="43">
        <f>IF($A1211=1,Expenses!$F79,"")</f>
        <v/>
      </c>
      <c r="N1211" s="43">
        <f>IF($A1211=1,0,"")</f>
        <v/>
      </c>
      <c r="O1211" s="32">
        <f>IF($A1211=1,Expenses!$M79,"")</f>
        <v/>
      </c>
      <c r="P1211" s="32">
        <f>IF($A1211=1,IF(Expenses!$AC79="","",Expenses!$AC79),"")</f>
        <v/>
      </c>
      <c r="Q1211" s="32">
        <f>IF($A1211=1,Expenses!$AE79,"")</f>
        <v/>
      </c>
      <c r="R1211" s="32">
        <f>IF($A1211=1,IF(AND($Q1211=1,COUNTIFS(COA!$A:$A,$G1211,COA!$R:$R,1)=1),1,0),"")</f>
        <v/>
      </c>
      <c r="S1211" s="43">
        <f>IF($A1211=1,IF($R1211=1,N($M1211),0),"")</f>
        <v/>
      </c>
      <c r="T1211" s="43">
        <f>IF($A1211=1,IF($R1211=1,N($N1211),0),"")</f>
        <v/>
      </c>
      <c r="U1211" s="32">
        <f>IF($A1211=1,YEAR($D1211)*100+MONTH($D1211),"")</f>
        <v/>
      </c>
      <c r="V1211" s="32">
        <f>IF($A1211=1,IF(COUNTIF(COA!$A:$A,$G1211)=0,0,INDEX(COA!$H:$H,MATCH($G1211,COA!$A:$A,0))),"")</f>
        <v/>
      </c>
      <c r="W1211" s="32">
        <f>IF($A1211=1,"","")</f>
        <v/>
      </c>
      <c r="X1211" s="32">
        <f>IF($A1211=1,IF($R1211=1,"",IF($O1211=ST_POST,IF($P1211&lt;&gt;"",$P1211,"حساب غير صالح أو غير نشط"),IF($O1211=ST_REV,"معكوس: لا أثر على الدفاتر",IF($O1211=ST_CANC,"ملغى",IF($O1211=ST_APPR,"معتمد ولم يُرحَّل","مسودة"))))),"")</f>
        <v/>
      </c>
      <c r="Y1211" s="32">
        <f>IF($A1211=1,IF(AND($R1211=1,OR(LG_Acct="",$G1211=LG_Acct),OR(LG_Party="",$K1211=LG_Party),OR(LG_Loc="ALL",$I1211=LG_Loc),OR(LG_CC="ALL",$J1211=LG_CC),$D1211&gt;=LG_From,$D1211&lt;=LG_To),$D1211+ROW()/1000000,""),"")</f>
        <v/>
      </c>
      <c r="Z1211" s="32">
        <f>IF($A1211=1,IF(Expenses!$N79="","",Expenses!$N79),"")</f>
        <v/>
      </c>
      <c r="AA1211" s="32">
        <f>IF($A1211=1,IF(Expenses!$O79="","",Expenses!$O79),"")</f>
        <v/>
      </c>
      <c r="AB1211" s="32">
        <f>IF($A1211=1,IF(Expenses!$P79="","",Expenses!$P79),"")</f>
        <v/>
      </c>
      <c r="AC1211" s="32">
        <f>IF($A1211=1,IF(Expenses!$Q79="","",Expenses!$Q79),"")</f>
        <v/>
      </c>
      <c r="AD1211" s="32">
        <f>IF($A1211=1,IF(Expenses!$R79="","",Expenses!$R79),"")</f>
        <v/>
      </c>
      <c r="AE1211" s="32">
        <f>IF($A1211=1,0,"")</f>
        <v/>
      </c>
      <c r="AF1211" s="32" t="inlineStr"/>
    </row>
    <row r="1212">
      <c r="A1212" s="32">
        <f>IF(AND(Expenses!$AB79=1,N(Expenses!$G79)&gt;0),1,0)</f>
        <v/>
      </c>
      <c r="B1212" s="32">
        <f>IF($A1212=1,$E1212&amp;"/2","")</f>
        <v/>
      </c>
      <c r="C1212" s="32">
        <f>IF($A1212=1,"J-"&amp;Expenses!$A79,"")</f>
        <v/>
      </c>
      <c r="D1212" s="33">
        <f>IF($A1212=1,Expenses!$B79,"")</f>
        <v/>
      </c>
      <c r="E1212" s="32">
        <f>IF($A1212=1,IF(Expenses!$A79="","",Expenses!$A79),"")</f>
        <v/>
      </c>
      <c r="F1212" s="32">
        <f>IF($A1212=1,"EXP","")</f>
        <v/>
      </c>
      <c r="G1212" s="32">
        <f>IF($A1212=1,ACC_VAT_IN,"")</f>
        <v/>
      </c>
      <c r="H1212" s="32">
        <f>IF($A1212=1,IF(COUNTIF(COA!$A:$A,$G1212)=0,"حساب غير معرف",INDEX(COA!$B:$B,MATCH($G1212,COA!$A:$A,0))),"")</f>
        <v/>
      </c>
      <c r="I1212" s="32">
        <f>IF($A1212=1,IF(Expenses!$C79="","",Expenses!$C79),"")</f>
        <v/>
      </c>
      <c r="J1212" s="32">
        <f>IF($A1212=1,IF(Expenses!$D79="","",Expenses!$D79),"")</f>
        <v/>
      </c>
      <c r="K1212" s="32">
        <f>IF($A1212=1,"-","")</f>
        <v/>
      </c>
      <c r="L1212" s="32">
        <f>IF($A1212=1,"ضريبة قيمة مضافة - مدخلات","")</f>
        <v/>
      </c>
      <c r="M1212" s="43">
        <f>IF($A1212=1,Expenses!$G79,"")</f>
        <v/>
      </c>
      <c r="N1212" s="43">
        <f>IF($A1212=1,0,"")</f>
        <v/>
      </c>
      <c r="O1212" s="32">
        <f>IF($A1212=1,Expenses!$M79,"")</f>
        <v/>
      </c>
      <c r="P1212" s="32">
        <f>IF($A1212=1,IF(Expenses!$AC79="","",Expenses!$AC79),"")</f>
        <v/>
      </c>
      <c r="Q1212" s="32">
        <f>IF($A1212=1,Expenses!$AE79,"")</f>
        <v/>
      </c>
      <c r="R1212" s="32">
        <f>IF($A1212=1,IF(AND($Q1212=1,COUNTIFS(COA!$A:$A,$G1212,COA!$R:$R,1)=1),1,0),"")</f>
        <v/>
      </c>
      <c r="S1212" s="43">
        <f>IF($A1212=1,IF($R1212=1,N($M1212),0),"")</f>
        <v/>
      </c>
      <c r="T1212" s="43">
        <f>IF($A1212=1,IF($R1212=1,N($N1212),0),"")</f>
        <v/>
      </c>
      <c r="U1212" s="32">
        <f>IF($A1212=1,YEAR($D1212)*100+MONTH($D1212),"")</f>
        <v/>
      </c>
      <c r="V1212" s="32">
        <f>IF($A1212=1,IF(COUNTIF(COA!$A:$A,$G1212)=0,0,INDEX(COA!$H:$H,MATCH($G1212,COA!$A:$A,0))),"")</f>
        <v/>
      </c>
      <c r="W1212" s="32">
        <f>IF($A1212=1,"","")</f>
        <v/>
      </c>
      <c r="X1212" s="32">
        <f>IF($A1212=1,IF($R1212=1,"",IF($O1212=ST_POST,IF($P1212&lt;&gt;"",$P1212,"حساب غير صالح أو غير نشط"),IF($O1212=ST_REV,"معكوس: لا أثر على الدفاتر",IF($O1212=ST_CANC,"ملغى",IF($O1212=ST_APPR,"معتمد ولم يُرحَّل","مسودة"))))),"")</f>
        <v/>
      </c>
      <c r="Y1212" s="32">
        <f>IF($A1212=1,IF(AND($R1212=1,OR(LG_Acct="",$G1212=LG_Acct),OR(LG_Party="",$K1212=LG_Party),OR(LG_Loc="ALL",$I1212=LG_Loc),OR(LG_CC="ALL",$J1212=LG_CC),$D1212&gt;=LG_From,$D1212&lt;=LG_To),$D1212+ROW()/1000000,""),"")</f>
        <v/>
      </c>
      <c r="Z1212" s="32">
        <f>IF($A1212=1,IF(Expenses!$N79="","",Expenses!$N79),"")</f>
        <v/>
      </c>
      <c r="AA1212" s="32">
        <f>IF($A1212=1,IF(Expenses!$O79="","",Expenses!$O79),"")</f>
        <v/>
      </c>
      <c r="AB1212" s="32">
        <f>IF($A1212=1,IF(Expenses!$P79="","",Expenses!$P79),"")</f>
        <v/>
      </c>
      <c r="AC1212" s="32">
        <f>IF($A1212=1,IF(Expenses!$Q79="","",Expenses!$Q79),"")</f>
        <v/>
      </c>
      <c r="AD1212" s="32">
        <f>IF($A1212=1,IF(Expenses!$R79="","",Expenses!$R79),"")</f>
        <v/>
      </c>
      <c r="AE1212" s="32">
        <f>IF($A1212=1,0,"")</f>
        <v/>
      </c>
      <c r="AF1212" s="32" t="inlineStr"/>
    </row>
    <row r="1213">
      <c r="A1213" s="32">
        <f>IF(AND(Expenses!$AB79=1,N(Expenses!$W79)&gt;0),1,0)</f>
        <v/>
      </c>
      <c r="B1213" s="32">
        <f>IF($A1213=1,$E1213&amp;"/3","")</f>
        <v/>
      </c>
      <c r="C1213" s="32">
        <f>IF($A1213=1,"J-"&amp;Expenses!$A79,"")</f>
        <v/>
      </c>
      <c r="D1213" s="33">
        <f>IF($A1213=1,Expenses!$B79,"")</f>
        <v/>
      </c>
      <c r="E1213" s="32">
        <f>IF($A1213=1,IF(Expenses!$A79="","",Expenses!$A79),"")</f>
        <v/>
      </c>
      <c r="F1213" s="32">
        <f>IF($A1213=1,"EXP","")</f>
        <v/>
      </c>
      <c r="G1213" s="32">
        <f>IF($A1213=1,IF(Expenses!$V79="","",Expenses!$V79),"")</f>
        <v/>
      </c>
      <c r="H1213" s="32">
        <f>IF($A1213=1,IF(COUNTIF(COA!$A:$A,$G1213)=0,"حساب غير معرف",INDEX(COA!$B:$B,MATCH($G1213,COA!$A:$A,0))),"")</f>
        <v/>
      </c>
      <c r="I1213" s="32">
        <f>IF($A1213=1,IF(Expenses!$C79="","",Expenses!$C79),"")</f>
        <v/>
      </c>
      <c r="J1213" s="32">
        <f>IF($A1213=1,"CC00","")</f>
        <v/>
      </c>
      <c r="K1213" s="32">
        <f>IF($A1213=1,"-","")</f>
        <v/>
      </c>
      <c r="L1213" s="32">
        <f>IF($A1213=1,IF(Expenses!$L79="","مصروف - "&amp;Expenses!$J79,Expenses!$L79),"")</f>
        <v/>
      </c>
      <c r="M1213" s="43">
        <f>IF($A1213=1,0,"")</f>
        <v/>
      </c>
      <c r="N1213" s="43">
        <f>IF($A1213=1,Expenses!$W79,"")</f>
        <v/>
      </c>
      <c r="O1213" s="32">
        <f>IF($A1213=1,Expenses!$M79,"")</f>
        <v/>
      </c>
      <c r="P1213" s="32">
        <f>IF($A1213=1,IF(Expenses!$AC79="","",Expenses!$AC79),"")</f>
        <v/>
      </c>
      <c r="Q1213" s="32">
        <f>IF($A1213=1,Expenses!$AE79,"")</f>
        <v/>
      </c>
      <c r="R1213" s="32">
        <f>IF($A1213=1,IF(AND($Q1213=1,COUNTIFS(COA!$A:$A,$G1213,COA!$R:$R,1)=1),1,0),"")</f>
        <v/>
      </c>
      <c r="S1213" s="43">
        <f>IF($A1213=1,IF($R1213=1,N($M1213),0),"")</f>
        <v/>
      </c>
      <c r="T1213" s="43">
        <f>IF($A1213=1,IF($R1213=1,N($N1213),0),"")</f>
        <v/>
      </c>
      <c r="U1213" s="32">
        <f>IF($A1213=1,YEAR($D1213)*100+MONTH($D1213),"")</f>
        <v/>
      </c>
      <c r="V1213" s="32">
        <f>IF($A1213=1,IF(COUNTIF(COA!$A:$A,$G1213)=0,0,INDEX(COA!$H:$H,MATCH($G1213,COA!$A:$A,0))),"")</f>
        <v/>
      </c>
      <c r="W1213" s="32">
        <f>IF($A1213=1,"OPERATING","")</f>
        <v/>
      </c>
      <c r="X1213" s="32">
        <f>IF($A1213=1,IF($R1213=1,"",IF($O1213=ST_POST,IF($P1213&lt;&gt;"",$P1213,"حساب غير صالح أو غير نشط"),IF($O1213=ST_REV,"معكوس: لا أثر على الدفاتر",IF($O1213=ST_CANC,"ملغى",IF($O1213=ST_APPR,"معتمد ولم يُرحَّل","مسودة"))))),"")</f>
        <v/>
      </c>
      <c r="Y1213" s="32">
        <f>IF($A1213=1,IF(AND($R1213=1,OR(LG_Acct="",$G1213=LG_Acct),OR(LG_Party="",$K1213=LG_Party),OR(LG_Loc="ALL",$I1213=LG_Loc),OR(LG_CC="ALL",$J1213=LG_CC),$D1213&gt;=LG_From,$D1213&lt;=LG_To),$D1213+ROW()/1000000,""),"")</f>
        <v/>
      </c>
      <c r="Z1213" s="32">
        <f>IF($A1213=1,IF(Expenses!$N79="","",Expenses!$N79),"")</f>
        <v/>
      </c>
      <c r="AA1213" s="32">
        <f>IF($A1213=1,IF(Expenses!$O79="","",Expenses!$O79),"")</f>
        <v/>
      </c>
      <c r="AB1213" s="32">
        <f>IF($A1213=1,IF(Expenses!$P79="","",Expenses!$P79),"")</f>
        <v/>
      </c>
      <c r="AC1213" s="32">
        <f>IF($A1213=1,IF(Expenses!$Q79="","",Expenses!$Q79),"")</f>
        <v/>
      </c>
      <c r="AD1213" s="32">
        <f>IF($A1213=1,IF(Expenses!$R79="","",Expenses!$R79),"")</f>
        <v/>
      </c>
      <c r="AE1213" s="32">
        <f>IF($A1213=1,0,"")</f>
        <v/>
      </c>
      <c r="AF1213" s="32" t="inlineStr"/>
    </row>
    <row r="1214">
      <c r="A1214" s="32">
        <f>IF(AND(Expenses!$AB80=1,N(Expenses!$F80)&gt;0),1,0)</f>
        <v/>
      </c>
      <c r="B1214" s="32">
        <f>IF($A1214=1,$E1214&amp;"/1","")</f>
        <v/>
      </c>
      <c r="C1214" s="32">
        <f>IF($A1214=1,"J-"&amp;Expenses!$A80,"")</f>
        <v/>
      </c>
      <c r="D1214" s="33">
        <f>IF($A1214=1,Expenses!$B80,"")</f>
        <v/>
      </c>
      <c r="E1214" s="32">
        <f>IF($A1214=1,IF(Expenses!$A80="","",Expenses!$A80),"")</f>
        <v/>
      </c>
      <c r="F1214" s="32">
        <f>IF($A1214=1,"EXP","")</f>
        <v/>
      </c>
      <c r="G1214" s="32">
        <f>IF($A1214=1,IF(Expenses!$E80="","",Expenses!$E80),"")</f>
        <v/>
      </c>
      <c r="H1214" s="32">
        <f>IF($A1214=1,IF(COUNTIF(COA!$A:$A,$G1214)=0,"حساب غير معرف",INDEX(COA!$B:$B,MATCH($G1214,COA!$A:$A,0))),"")</f>
        <v/>
      </c>
      <c r="I1214" s="32">
        <f>IF($A1214=1,IF(Expenses!$C80="","",Expenses!$C80),"")</f>
        <v/>
      </c>
      <c r="J1214" s="32">
        <f>IF($A1214=1,IF(Expenses!$D80="","",Expenses!$D80),"")</f>
        <v/>
      </c>
      <c r="K1214" s="32">
        <f>IF($A1214=1,"-","")</f>
        <v/>
      </c>
      <c r="L1214" s="32">
        <f>IF($A1214=1,IF(Expenses!$L80="","مصروف - "&amp;Expenses!$J80,Expenses!$L80),"")</f>
        <v/>
      </c>
      <c r="M1214" s="43">
        <f>IF($A1214=1,Expenses!$F80,"")</f>
        <v/>
      </c>
      <c r="N1214" s="43">
        <f>IF($A1214=1,0,"")</f>
        <v/>
      </c>
      <c r="O1214" s="32">
        <f>IF($A1214=1,Expenses!$M80,"")</f>
        <v/>
      </c>
      <c r="P1214" s="32">
        <f>IF($A1214=1,IF(Expenses!$AC80="","",Expenses!$AC80),"")</f>
        <v/>
      </c>
      <c r="Q1214" s="32">
        <f>IF($A1214=1,Expenses!$AE80,"")</f>
        <v/>
      </c>
      <c r="R1214" s="32">
        <f>IF($A1214=1,IF(AND($Q1214=1,COUNTIFS(COA!$A:$A,$G1214,COA!$R:$R,1)=1),1,0),"")</f>
        <v/>
      </c>
      <c r="S1214" s="43">
        <f>IF($A1214=1,IF($R1214=1,N($M1214),0),"")</f>
        <v/>
      </c>
      <c r="T1214" s="43">
        <f>IF($A1214=1,IF($R1214=1,N($N1214),0),"")</f>
        <v/>
      </c>
      <c r="U1214" s="32">
        <f>IF($A1214=1,YEAR($D1214)*100+MONTH($D1214),"")</f>
        <v/>
      </c>
      <c r="V1214" s="32">
        <f>IF($A1214=1,IF(COUNTIF(COA!$A:$A,$G1214)=0,0,INDEX(COA!$H:$H,MATCH($G1214,COA!$A:$A,0))),"")</f>
        <v/>
      </c>
      <c r="W1214" s="32">
        <f>IF($A1214=1,"","")</f>
        <v/>
      </c>
      <c r="X1214" s="32">
        <f>IF($A1214=1,IF($R1214=1,"",IF($O1214=ST_POST,IF($P1214&lt;&gt;"",$P1214,"حساب غير صالح أو غير نشط"),IF($O1214=ST_REV,"معكوس: لا أثر على الدفاتر",IF($O1214=ST_CANC,"ملغى",IF($O1214=ST_APPR,"معتمد ولم يُرحَّل","مسودة"))))),"")</f>
        <v/>
      </c>
      <c r="Y1214" s="32">
        <f>IF($A1214=1,IF(AND($R1214=1,OR(LG_Acct="",$G1214=LG_Acct),OR(LG_Party="",$K1214=LG_Party),OR(LG_Loc="ALL",$I1214=LG_Loc),OR(LG_CC="ALL",$J1214=LG_CC),$D1214&gt;=LG_From,$D1214&lt;=LG_To),$D1214+ROW()/1000000,""),"")</f>
        <v/>
      </c>
      <c r="Z1214" s="32">
        <f>IF($A1214=1,IF(Expenses!$N80="","",Expenses!$N80),"")</f>
        <v/>
      </c>
      <c r="AA1214" s="32">
        <f>IF($A1214=1,IF(Expenses!$O80="","",Expenses!$O80),"")</f>
        <v/>
      </c>
      <c r="AB1214" s="32">
        <f>IF($A1214=1,IF(Expenses!$P80="","",Expenses!$P80),"")</f>
        <v/>
      </c>
      <c r="AC1214" s="32">
        <f>IF($A1214=1,IF(Expenses!$Q80="","",Expenses!$Q80),"")</f>
        <v/>
      </c>
      <c r="AD1214" s="32">
        <f>IF($A1214=1,IF(Expenses!$R80="","",Expenses!$R80),"")</f>
        <v/>
      </c>
      <c r="AE1214" s="32">
        <f>IF($A1214=1,0,"")</f>
        <v/>
      </c>
      <c r="AF1214" s="32" t="inlineStr"/>
    </row>
    <row r="1215">
      <c r="A1215" s="32">
        <f>IF(AND(Expenses!$AB80=1,N(Expenses!$G80)&gt;0),1,0)</f>
        <v/>
      </c>
      <c r="B1215" s="32">
        <f>IF($A1215=1,$E1215&amp;"/2","")</f>
        <v/>
      </c>
      <c r="C1215" s="32">
        <f>IF($A1215=1,"J-"&amp;Expenses!$A80,"")</f>
        <v/>
      </c>
      <c r="D1215" s="33">
        <f>IF($A1215=1,Expenses!$B80,"")</f>
        <v/>
      </c>
      <c r="E1215" s="32">
        <f>IF($A1215=1,IF(Expenses!$A80="","",Expenses!$A80),"")</f>
        <v/>
      </c>
      <c r="F1215" s="32">
        <f>IF($A1215=1,"EXP","")</f>
        <v/>
      </c>
      <c r="G1215" s="32">
        <f>IF($A1215=1,ACC_VAT_IN,"")</f>
        <v/>
      </c>
      <c r="H1215" s="32">
        <f>IF($A1215=1,IF(COUNTIF(COA!$A:$A,$G1215)=0,"حساب غير معرف",INDEX(COA!$B:$B,MATCH($G1215,COA!$A:$A,0))),"")</f>
        <v/>
      </c>
      <c r="I1215" s="32">
        <f>IF($A1215=1,IF(Expenses!$C80="","",Expenses!$C80),"")</f>
        <v/>
      </c>
      <c r="J1215" s="32">
        <f>IF($A1215=1,IF(Expenses!$D80="","",Expenses!$D80),"")</f>
        <v/>
      </c>
      <c r="K1215" s="32">
        <f>IF($A1215=1,"-","")</f>
        <v/>
      </c>
      <c r="L1215" s="32">
        <f>IF($A1215=1,"ضريبة قيمة مضافة - مدخلات","")</f>
        <v/>
      </c>
      <c r="M1215" s="43">
        <f>IF($A1215=1,Expenses!$G80,"")</f>
        <v/>
      </c>
      <c r="N1215" s="43">
        <f>IF($A1215=1,0,"")</f>
        <v/>
      </c>
      <c r="O1215" s="32">
        <f>IF($A1215=1,Expenses!$M80,"")</f>
        <v/>
      </c>
      <c r="P1215" s="32">
        <f>IF($A1215=1,IF(Expenses!$AC80="","",Expenses!$AC80),"")</f>
        <v/>
      </c>
      <c r="Q1215" s="32">
        <f>IF($A1215=1,Expenses!$AE80,"")</f>
        <v/>
      </c>
      <c r="R1215" s="32">
        <f>IF($A1215=1,IF(AND($Q1215=1,COUNTIFS(COA!$A:$A,$G1215,COA!$R:$R,1)=1),1,0),"")</f>
        <v/>
      </c>
      <c r="S1215" s="43">
        <f>IF($A1215=1,IF($R1215=1,N($M1215),0),"")</f>
        <v/>
      </c>
      <c r="T1215" s="43">
        <f>IF($A1215=1,IF($R1215=1,N($N1215),0),"")</f>
        <v/>
      </c>
      <c r="U1215" s="32">
        <f>IF($A1215=1,YEAR($D1215)*100+MONTH($D1215),"")</f>
        <v/>
      </c>
      <c r="V1215" s="32">
        <f>IF($A1215=1,IF(COUNTIF(COA!$A:$A,$G1215)=0,0,INDEX(COA!$H:$H,MATCH($G1215,COA!$A:$A,0))),"")</f>
        <v/>
      </c>
      <c r="W1215" s="32">
        <f>IF($A1215=1,"","")</f>
        <v/>
      </c>
      <c r="X1215" s="32">
        <f>IF($A1215=1,IF($R1215=1,"",IF($O1215=ST_POST,IF($P1215&lt;&gt;"",$P1215,"حساب غير صالح أو غير نشط"),IF($O1215=ST_REV,"معكوس: لا أثر على الدفاتر",IF($O1215=ST_CANC,"ملغى",IF($O1215=ST_APPR,"معتمد ولم يُرحَّل","مسودة"))))),"")</f>
        <v/>
      </c>
      <c r="Y1215" s="32">
        <f>IF($A1215=1,IF(AND($R1215=1,OR(LG_Acct="",$G1215=LG_Acct),OR(LG_Party="",$K1215=LG_Party),OR(LG_Loc="ALL",$I1215=LG_Loc),OR(LG_CC="ALL",$J1215=LG_CC),$D1215&gt;=LG_From,$D1215&lt;=LG_To),$D1215+ROW()/1000000,""),"")</f>
        <v/>
      </c>
      <c r="Z1215" s="32">
        <f>IF($A1215=1,IF(Expenses!$N80="","",Expenses!$N80),"")</f>
        <v/>
      </c>
      <c r="AA1215" s="32">
        <f>IF($A1215=1,IF(Expenses!$O80="","",Expenses!$O80),"")</f>
        <v/>
      </c>
      <c r="AB1215" s="32">
        <f>IF($A1215=1,IF(Expenses!$P80="","",Expenses!$P80),"")</f>
        <v/>
      </c>
      <c r="AC1215" s="32">
        <f>IF($A1215=1,IF(Expenses!$Q80="","",Expenses!$Q80),"")</f>
        <v/>
      </c>
      <c r="AD1215" s="32">
        <f>IF($A1215=1,IF(Expenses!$R80="","",Expenses!$R80),"")</f>
        <v/>
      </c>
      <c r="AE1215" s="32">
        <f>IF($A1215=1,0,"")</f>
        <v/>
      </c>
      <c r="AF1215" s="32" t="inlineStr"/>
    </row>
    <row r="1216">
      <c r="A1216" s="32">
        <f>IF(AND(Expenses!$AB80=1,N(Expenses!$W80)&gt;0),1,0)</f>
        <v/>
      </c>
      <c r="B1216" s="32">
        <f>IF($A1216=1,$E1216&amp;"/3","")</f>
        <v/>
      </c>
      <c r="C1216" s="32">
        <f>IF($A1216=1,"J-"&amp;Expenses!$A80,"")</f>
        <v/>
      </c>
      <c r="D1216" s="33">
        <f>IF($A1216=1,Expenses!$B80,"")</f>
        <v/>
      </c>
      <c r="E1216" s="32">
        <f>IF($A1216=1,IF(Expenses!$A80="","",Expenses!$A80),"")</f>
        <v/>
      </c>
      <c r="F1216" s="32">
        <f>IF($A1216=1,"EXP","")</f>
        <v/>
      </c>
      <c r="G1216" s="32">
        <f>IF($A1216=1,IF(Expenses!$V80="","",Expenses!$V80),"")</f>
        <v/>
      </c>
      <c r="H1216" s="32">
        <f>IF($A1216=1,IF(COUNTIF(COA!$A:$A,$G1216)=0,"حساب غير معرف",INDEX(COA!$B:$B,MATCH($G1216,COA!$A:$A,0))),"")</f>
        <v/>
      </c>
      <c r="I1216" s="32">
        <f>IF($A1216=1,IF(Expenses!$C80="","",Expenses!$C80),"")</f>
        <v/>
      </c>
      <c r="J1216" s="32">
        <f>IF($A1216=1,"CC00","")</f>
        <v/>
      </c>
      <c r="K1216" s="32">
        <f>IF($A1216=1,"-","")</f>
        <v/>
      </c>
      <c r="L1216" s="32">
        <f>IF($A1216=1,IF(Expenses!$L80="","مصروف - "&amp;Expenses!$J80,Expenses!$L80),"")</f>
        <v/>
      </c>
      <c r="M1216" s="43">
        <f>IF($A1216=1,0,"")</f>
        <v/>
      </c>
      <c r="N1216" s="43">
        <f>IF($A1216=1,Expenses!$W80,"")</f>
        <v/>
      </c>
      <c r="O1216" s="32">
        <f>IF($A1216=1,Expenses!$M80,"")</f>
        <v/>
      </c>
      <c r="P1216" s="32">
        <f>IF($A1216=1,IF(Expenses!$AC80="","",Expenses!$AC80),"")</f>
        <v/>
      </c>
      <c r="Q1216" s="32">
        <f>IF($A1216=1,Expenses!$AE80,"")</f>
        <v/>
      </c>
      <c r="R1216" s="32">
        <f>IF($A1216=1,IF(AND($Q1216=1,COUNTIFS(COA!$A:$A,$G1216,COA!$R:$R,1)=1),1,0),"")</f>
        <v/>
      </c>
      <c r="S1216" s="43">
        <f>IF($A1216=1,IF($R1216=1,N($M1216),0),"")</f>
        <v/>
      </c>
      <c r="T1216" s="43">
        <f>IF($A1216=1,IF($R1216=1,N($N1216),0),"")</f>
        <v/>
      </c>
      <c r="U1216" s="32">
        <f>IF($A1216=1,YEAR($D1216)*100+MONTH($D1216),"")</f>
        <v/>
      </c>
      <c r="V1216" s="32">
        <f>IF($A1216=1,IF(COUNTIF(COA!$A:$A,$G1216)=0,0,INDEX(COA!$H:$H,MATCH($G1216,COA!$A:$A,0))),"")</f>
        <v/>
      </c>
      <c r="W1216" s="32">
        <f>IF($A1216=1,"OPERATING","")</f>
        <v/>
      </c>
      <c r="X1216" s="32">
        <f>IF($A1216=1,IF($R1216=1,"",IF($O1216=ST_POST,IF($P1216&lt;&gt;"",$P1216,"حساب غير صالح أو غير نشط"),IF($O1216=ST_REV,"معكوس: لا أثر على الدفاتر",IF($O1216=ST_CANC,"ملغى",IF($O1216=ST_APPR,"معتمد ولم يُرحَّل","مسودة"))))),"")</f>
        <v/>
      </c>
      <c r="Y1216" s="32">
        <f>IF($A1216=1,IF(AND($R1216=1,OR(LG_Acct="",$G1216=LG_Acct),OR(LG_Party="",$K1216=LG_Party),OR(LG_Loc="ALL",$I1216=LG_Loc),OR(LG_CC="ALL",$J1216=LG_CC),$D1216&gt;=LG_From,$D1216&lt;=LG_To),$D1216+ROW()/1000000,""),"")</f>
        <v/>
      </c>
      <c r="Z1216" s="32">
        <f>IF($A1216=1,IF(Expenses!$N80="","",Expenses!$N80),"")</f>
        <v/>
      </c>
      <c r="AA1216" s="32">
        <f>IF($A1216=1,IF(Expenses!$O80="","",Expenses!$O80),"")</f>
        <v/>
      </c>
      <c r="AB1216" s="32">
        <f>IF($A1216=1,IF(Expenses!$P80="","",Expenses!$P80),"")</f>
        <v/>
      </c>
      <c r="AC1216" s="32">
        <f>IF($A1216=1,IF(Expenses!$Q80="","",Expenses!$Q80),"")</f>
        <v/>
      </c>
      <c r="AD1216" s="32">
        <f>IF($A1216=1,IF(Expenses!$R80="","",Expenses!$R80),"")</f>
        <v/>
      </c>
      <c r="AE1216" s="32">
        <f>IF($A1216=1,0,"")</f>
        <v/>
      </c>
      <c r="AF1216" s="32" t="inlineStr"/>
    </row>
    <row r="1217">
      <c r="A1217" s="32">
        <f>IF(AND(Expenses!$AB81=1,N(Expenses!$F81)&gt;0),1,0)</f>
        <v/>
      </c>
      <c r="B1217" s="32">
        <f>IF($A1217=1,$E1217&amp;"/1","")</f>
        <v/>
      </c>
      <c r="C1217" s="32">
        <f>IF($A1217=1,"J-"&amp;Expenses!$A81,"")</f>
        <v/>
      </c>
      <c r="D1217" s="33">
        <f>IF($A1217=1,Expenses!$B81,"")</f>
        <v/>
      </c>
      <c r="E1217" s="32">
        <f>IF($A1217=1,IF(Expenses!$A81="","",Expenses!$A81),"")</f>
        <v/>
      </c>
      <c r="F1217" s="32">
        <f>IF($A1217=1,"EXP","")</f>
        <v/>
      </c>
      <c r="G1217" s="32">
        <f>IF($A1217=1,IF(Expenses!$E81="","",Expenses!$E81),"")</f>
        <v/>
      </c>
      <c r="H1217" s="32">
        <f>IF($A1217=1,IF(COUNTIF(COA!$A:$A,$G1217)=0,"حساب غير معرف",INDEX(COA!$B:$B,MATCH($G1217,COA!$A:$A,0))),"")</f>
        <v/>
      </c>
      <c r="I1217" s="32">
        <f>IF($A1217=1,IF(Expenses!$C81="","",Expenses!$C81),"")</f>
        <v/>
      </c>
      <c r="J1217" s="32">
        <f>IF($A1217=1,IF(Expenses!$D81="","",Expenses!$D81),"")</f>
        <v/>
      </c>
      <c r="K1217" s="32">
        <f>IF($A1217=1,"-","")</f>
        <v/>
      </c>
      <c r="L1217" s="32">
        <f>IF($A1217=1,IF(Expenses!$L81="","مصروف - "&amp;Expenses!$J81,Expenses!$L81),"")</f>
        <v/>
      </c>
      <c r="M1217" s="43">
        <f>IF($A1217=1,Expenses!$F81,"")</f>
        <v/>
      </c>
      <c r="N1217" s="43">
        <f>IF($A1217=1,0,"")</f>
        <v/>
      </c>
      <c r="O1217" s="32">
        <f>IF($A1217=1,Expenses!$M81,"")</f>
        <v/>
      </c>
      <c r="P1217" s="32">
        <f>IF($A1217=1,IF(Expenses!$AC81="","",Expenses!$AC81),"")</f>
        <v/>
      </c>
      <c r="Q1217" s="32">
        <f>IF($A1217=1,Expenses!$AE81,"")</f>
        <v/>
      </c>
      <c r="R1217" s="32">
        <f>IF($A1217=1,IF(AND($Q1217=1,COUNTIFS(COA!$A:$A,$G1217,COA!$R:$R,1)=1),1,0),"")</f>
        <v/>
      </c>
      <c r="S1217" s="43">
        <f>IF($A1217=1,IF($R1217=1,N($M1217),0),"")</f>
        <v/>
      </c>
      <c r="T1217" s="43">
        <f>IF($A1217=1,IF($R1217=1,N($N1217),0),"")</f>
        <v/>
      </c>
      <c r="U1217" s="32">
        <f>IF($A1217=1,YEAR($D1217)*100+MONTH($D1217),"")</f>
        <v/>
      </c>
      <c r="V1217" s="32">
        <f>IF($A1217=1,IF(COUNTIF(COA!$A:$A,$G1217)=0,0,INDEX(COA!$H:$H,MATCH($G1217,COA!$A:$A,0))),"")</f>
        <v/>
      </c>
      <c r="W1217" s="32">
        <f>IF($A1217=1,"","")</f>
        <v/>
      </c>
      <c r="X1217" s="32">
        <f>IF($A1217=1,IF($R1217=1,"",IF($O1217=ST_POST,IF($P1217&lt;&gt;"",$P1217,"حساب غير صالح أو غير نشط"),IF($O1217=ST_REV,"معكوس: لا أثر على الدفاتر",IF($O1217=ST_CANC,"ملغى",IF($O1217=ST_APPR,"معتمد ولم يُرحَّل","مسودة"))))),"")</f>
        <v/>
      </c>
      <c r="Y1217" s="32">
        <f>IF($A1217=1,IF(AND($R1217=1,OR(LG_Acct="",$G1217=LG_Acct),OR(LG_Party="",$K1217=LG_Party),OR(LG_Loc="ALL",$I1217=LG_Loc),OR(LG_CC="ALL",$J1217=LG_CC),$D1217&gt;=LG_From,$D1217&lt;=LG_To),$D1217+ROW()/1000000,""),"")</f>
        <v/>
      </c>
      <c r="Z1217" s="32">
        <f>IF($A1217=1,IF(Expenses!$N81="","",Expenses!$N81),"")</f>
        <v/>
      </c>
      <c r="AA1217" s="32">
        <f>IF($A1217=1,IF(Expenses!$O81="","",Expenses!$O81),"")</f>
        <v/>
      </c>
      <c r="AB1217" s="32">
        <f>IF($A1217=1,IF(Expenses!$P81="","",Expenses!$P81),"")</f>
        <v/>
      </c>
      <c r="AC1217" s="32">
        <f>IF($A1217=1,IF(Expenses!$Q81="","",Expenses!$Q81),"")</f>
        <v/>
      </c>
      <c r="AD1217" s="32">
        <f>IF($A1217=1,IF(Expenses!$R81="","",Expenses!$R81),"")</f>
        <v/>
      </c>
      <c r="AE1217" s="32">
        <f>IF($A1217=1,0,"")</f>
        <v/>
      </c>
      <c r="AF1217" s="32" t="inlineStr"/>
    </row>
    <row r="1218">
      <c r="A1218" s="32">
        <f>IF(AND(Expenses!$AB81=1,N(Expenses!$G81)&gt;0),1,0)</f>
        <v/>
      </c>
      <c r="B1218" s="32">
        <f>IF($A1218=1,$E1218&amp;"/2","")</f>
        <v/>
      </c>
      <c r="C1218" s="32">
        <f>IF($A1218=1,"J-"&amp;Expenses!$A81,"")</f>
        <v/>
      </c>
      <c r="D1218" s="33">
        <f>IF($A1218=1,Expenses!$B81,"")</f>
        <v/>
      </c>
      <c r="E1218" s="32">
        <f>IF($A1218=1,IF(Expenses!$A81="","",Expenses!$A81),"")</f>
        <v/>
      </c>
      <c r="F1218" s="32">
        <f>IF($A1218=1,"EXP","")</f>
        <v/>
      </c>
      <c r="G1218" s="32">
        <f>IF($A1218=1,ACC_VAT_IN,"")</f>
        <v/>
      </c>
      <c r="H1218" s="32">
        <f>IF($A1218=1,IF(COUNTIF(COA!$A:$A,$G1218)=0,"حساب غير معرف",INDEX(COA!$B:$B,MATCH($G1218,COA!$A:$A,0))),"")</f>
        <v/>
      </c>
      <c r="I1218" s="32">
        <f>IF($A1218=1,IF(Expenses!$C81="","",Expenses!$C81),"")</f>
        <v/>
      </c>
      <c r="J1218" s="32">
        <f>IF($A1218=1,IF(Expenses!$D81="","",Expenses!$D81),"")</f>
        <v/>
      </c>
      <c r="K1218" s="32">
        <f>IF($A1218=1,"-","")</f>
        <v/>
      </c>
      <c r="L1218" s="32">
        <f>IF($A1218=1,"ضريبة قيمة مضافة - مدخلات","")</f>
        <v/>
      </c>
      <c r="M1218" s="43">
        <f>IF($A1218=1,Expenses!$G81,"")</f>
        <v/>
      </c>
      <c r="N1218" s="43">
        <f>IF($A1218=1,0,"")</f>
        <v/>
      </c>
      <c r="O1218" s="32">
        <f>IF($A1218=1,Expenses!$M81,"")</f>
        <v/>
      </c>
      <c r="P1218" s="32">
        <f>IF($A1218=1,IF(Expenses!$AC81="","",Expenses!$AC81),"")</f>
        <v/>
      </c>
      <c r="Q1218" s="32">
        <f>IF($A1218=1,Expenses!$AE81,"")</f>
        <v/>
      </c>
      <c r="R1218" s="32">
        <f>IF($A1218=1,IF(AND($Q1218=1,COUNTIFS(COA!$A:$A,$G1218,COA!$R:$R,1)=1),1,0),"")</f>
        <v/>
      </c>
      <c r="S1218" s="43">
        <f>IF($A1218=1,IF($R1218=1,N($M1218),0),"")</f>
        <v/>
      </c>
      <c r="T1218" s="43">
        <f>IF($A1218=1,IF($R1218=1,N($N1218),0),"")</f>
        <v/>
      </c>
      <c r="U1218" s="32">
        <f>IF($A1218=1,YEAR($D1218)*100+MONTH($D1218),"")</f>
        <v/>
      </c>
      <c r="V1218" s="32">
        <f>IF($A1218=1,IF(COUNTIF(COA!$A:$A,$G1218)=0,0,INDEX(COA!$H:$H,MATCH($G1218,COA!$A:$A,0))),"")</f>
        <v/>
      </c>
      <c r="W1218" s="32">
        <f>IF($A1218=1,"","")</f>
        <v/>
      </c>
      <c r="X1218" s="32">
        <f>IF($A1218=1,IF($R1218=1,"",IF($O1218=ST_POST,IF($P1218&lt;&gt;"",$P1218,"حساب غير صالح أو غير نشط"),IF($O1218=ST_REV,"معكوس: لا أثر على الدفاتر",IF($O1218=ST_CANC,"ملغى",IF($O1218=ST_APPR,"معتمد ولم يُرحَّل","مسودة"))))),"")</f>
        <v/>
      </c>
      <c r="Y1218" s="32">
        <f>IF($A1218=1,IF(AND($R1218=1,OR(LG_Acct="",$G1218=LG_Acct),OR(LG_Party="",$K1218=LG_Party),OR(LG_Loc="ALL",$I1218=LG_Loc),OR(LG_CC="ALL",$J1218=LG_CC),$D1218&gt;=LG_From,$D1218&lt;=LG_To),$D1218+ROW()/1000000,""),"")</f>
        <v/>
      </c>
      <c r="Z1218" s="32">
        <f>IF($A1218=1,IF(Expenses!$N81="","",Expenses!$N81),"")</f>
        <v/>
      </c>
      <c r="AA1218" s="32">
        <f>IF($A1218=1,IF(Expenses!$O81="","",Expenses!$O81),"")</f>
        <v/>
      </c>
      <c r="AB1218" s="32">
        <f>IF($A1218=1,IF(Expenses!$P81="","",Expenses!$P81),"")</f>
        <v/>
      </c>
      <c r="AC1218" s="32">
        <f>IF($A1218=1,IF(Expenses!$Q81="","",Expenses!$Q81),"")</f>
        <v/>
      </c>
      <c r="AD1218" s="32">
        <f>IF($A1218=1,IF(Expenses!$R81="","",Expenses!$R81),"")</f>
        <v/>
      </c>
      <c r="AE1218" s="32">
        <f>IF($A1218=1,0,"")</f>
        <v/>
      </c>
      <c r="AF1218" s="32" t="inlineStr"/>
    </row>
    <row r="1219">
      <c r="A1219" s="32">
        <f>IF(AND(Expenses!$AB81=1,N(Expenses!$W81)&gt;0),1,0)</f>
        <v/>
      </c>
      <c r="B1219" s="32">
        <f>IF($A1219=1,$E1219&amp;"/3","")</f>
        <v/>
      </c>
      <c r="C1219" s="32">
        <f>IF($A1219=1,"J-"&amp;Expenses!$A81,"")</f>
        <v/>
      </c>
      <c r="D1219" s="33">
        <f>IF($A1219=1,Expenses!$B81,"")</f>
        <v/>
      </c>
      <c r="E1219" s="32">
        <f>IF($A1219=1,IF(Expenses!$A81="","",Expenses!$A81),"")</f>
        <v/>
      </c>
      <c r="F1219" s="32">
        <f>IF($A1219=1,"EXP","")</f>
        <v/>
      </c>
      <c r="G1219" s="32">
        <f>IF($A1219=1,IF(Expenses!$V81="","",Expenses!$V81),"")</f>
        <v/>
      </c>
      <c r="H1219" s="32">
        <f>IF($A1219=1,IF(COUNTIF(COA!$A:$A,$G1219)=0,"حساب غير معرف",INDEX(COA!$B:$B,MATCH($G1219,COA!$A:$A,0))),"")</f>
        <v/>
      </c>
      <c r="I1219" s="32">
        <f>IF($A1219=1,IF(Expenses!$C81="","",Expenses!$C81),"")</f>
        <v/>
      </c>
      <c r="J1219" s="32">
        <f>IF($A1219=1,"CC00","")</f>
        <v/>
      </c>
      <c r="K1219" s="32">
        <f>IF($A1219=1,"-","")</f>
        <v/>
      </c>
      <c r="L1219" s="32">
        <f>IF($A1219=1,IF(Expenses!$L81="","مصروف - "&amp;Expenses!$J81,Expenses!$L81),"")</f>
        <v/>
      </c>
      <c r="M1219" s="43">
        <f>IF($A1219=1,0,"")</f>
        <v/>
      </c>
      <c r="N1219" s="43">
        <f>IF($A1219=1,Expenses!$W81,"")</f>
        <v/>
      </c>
      <c r="O1219" s="32">
        <f>IF($A1219=1,Expenses!$M81,"")</f>
        <v/>
      </c>
      <c r="P1219" s="32">
        <f>IF($A1219=1,IF(Expenses!$AC81="","",Expenses!$AC81),"")</f>
        <v/>
      </c>
      <c r="Q1219" s="32">
        <f>IF($A1219=1,Expenses!$AE81,"")</f>
        <v/>
      </c>
      <c r="R1219" s="32">
        <f>IF($A1219=1,IF(AND($Q1219=1,COUNTIFS(COA!$A:$A,$G1219,COA!$R:$R,1)=1),1,0),"")</f>
        <v/>
      </c>
      <c r="S1219" s="43">
        <f>IF($A1219=1,IF($R1219=1,N($M1219),0),"")</f>
        <v/>
      </c>
      <c r="T1219" s="43">
        <f>IF($A1219=1,IF($R1219=1,N($N1219),0),"")</f>
        <v/>
      </c>
      <c r="U1219" s="32">
        <f>IF($A1219=1,YEAR($D1219)*100+MONTH($D1219),"")</f>
        <v/>
      </c>
      <c r="V1219" s="32">
        <f>IF($A1219=1,IF(COUNTIF(COA!$A:$A,$G1219)=0,0,INDEX(COA!$H:$H,MATCH($G1219,COA!$A:$A,0))),"")</f>
        <v/>
      </c>
      <c r="W1219" s="32">
        <f>IF($A1219=1,"OPERATING","")</f>
        <v/>
      </c>
      <c r="X1219" s="32">
        <f>IF($A1219=1,IF($R1219=1,"",IF($O1219=ST_POST,IF($P1219&lt;&gt;"",$P1219,"حساب غير صالح أو غير نشط"),IF($O1219=ST_REV,"معكوس: لا أثر على الدفاتر",IF($O1219=ST_CANC,"ملغى",IF($O1219=ST_APPR,"معتمد ولم يُرحَّل","مسودة"))))),"")</f>
        <v/>
      </c>
      <c r="Y1219" s="32">
        <f>IF($A1219=1,IF(AND($R1219=1,OR(LG_Acct="",$G1219=LG_Acct),OR(LG_Party="",$K1219=LG_Party),OR(LG_Loc="ALL",$I1219=LG_Loc),OR(LG_CC="ALL",$J1219=LG_CC),$D1219&gt;=LG_From,$D1219&lt;=LG_To),$D1219+ROW()/1000000,""),"")</f>
        <v/>
      </c>
      <c r="Z1219" s="32">
        <f>IF($A1219=1,IF(Expenses!$N81="","",Expenses!$N81),"")</f>
        <v/>
      </c>
      <c r="AA1219" s="32">
        <f>IF($A1219=1,IF(Expenses!$O81="","",Expenses!$O81),"")</f>
        <v/>
      </c>
      <c r="AB1219" s="32">
        <f>IF($A1219=1,IF(Expenses!$P81="","",Expenses!$P81),"")</f>
        <v/>
      </c>
      <c r="AC1219" s="32">
        <f>IF($A1219=1,IF(Expenses!$Q81="","",Expenses!$Q81),"")</f>
        <v/>
      </c>
      <c r="AD1219" s="32">
        <f>IF($A1219=1,IF(Expenses!$R81="","",Expenses!$R81),"")</f>
        <v/>
      </c>
      <c r="AE1219" s="32">
        <f>IF($A1219=1,0,"")</f>
        <v/>
      </c>
      <c r="AF1219" s="32" t="inlineStr"/>
    </row>
    <row r="1220">
      <c r="A1220" s="32">
        <f>IF(AND(Expenses!$AB82=1,N(Expenses!$F82)&gt;0),1,0)</f>
        <v/>
      </c>
      <c r="B1220" s="32">
        <f>IF($A1220=1,$E1220&amp;"/1","")</f>
        <v/>
      </c>
      <c r="C1220" s="32">
        <f>IF($A1220=1,"J-"&amp;Expenses!$A82,"")</f>
        <v/>
      </c>
      <c r="D1220" s="33">
        <f>IF($A1220=1,Expenses!$B82,"")</f>
        <v/>
      </c>
      <c r="E1220" s="32">
        <f>IF($A1220=1,IF(Expenses!$A82="","",Expenses!$A82),"")</f>
        <v/>
      </c>
      <c r="F1220" s="32">
        <f>IF($A1220=1,"EXP","")</f>
        <v/>
      </c>
      <c r="G1220" s="32">
        <f>IF($A1220=1,IF(Expenses!$E82="","",Expenses!$E82),"")</f>
        <v/>
      </c>
      <c r="H1220" s="32">
        <f>IF($A1220=1,IF(COUNTIF(COA!$A:$A,$G1220)=0,"حساب غير معرف",INDEX(COA!$B:$B,MATCH($G1220,COA!$A:$A,0))),"")</f>
        <v/>
      </c>
      <c r="I1220" s="32">
        <f>IF($A1220=1,IF(Expenses!$C82="","",Expenses!$C82),"")</f>
        <v/>
      </c>
      <c r="J1220" s="32">
        <f>IF($A1220=1,IF(Expenses!$D82="","",Expenses!$D82),"")</f>
        <v/>
      </c>
      <c r="K1220" s="32">
        <f>IF($A1220=1,"-","")</f>
        <v/>
      </c>
      <c r="L1220" s="32">
        <f>IF($A1220=1,IF(Expenses!$L82="","مصروف - "&amp;Expenses!$J82,Expenses!$L82),"")</f>
        <v/>
      </c>
      <c r="M1220" s="43">
        <f>IF($A1220=1,Expenses!$F82,"")</f>
        <v/>
      </c>
      <c r="N1220" s="43">
        <f>IF($A1220=1,0,"")</f>
        <v/>
      </c>
      <c r="O1220" s="32">
        <f>IF($A1220=1,Expenses!$M82,"")</f>
        <v/>
      </c>
      <c r="P1220" s="32">
        <f>IF($A1220=1,IF(Expenses!$AC82="","",Expenses!$AC82),"")</f>
        <v/>
      </c>
      <c r="Q1220" s="32">
        <f>IF($A1220=1,Expenses!$AE82,"")</f>
        <v/>
      </c>
      <c r="R1220" s="32">
        <f>IF($A1220=1,IF(AND($Q1220=1,COUNTIFS(COA!$A:$A,$G1220,COA!$R:$R,1)=1),1,0),"")</f>
        <v/>
      </c>
      <c r="S1220" s="43">
        <f>IF($A1220=1,IF($R1220=1,N($M1220),0),"")</f>
        <v/>
      </c>
      <c r="T1220" s="43">
        <f>IF($A1220=1,IF($R1220=1,N($N1220),0),"")</f>
        <v/>
      </c>
      <c r="U1220" s="32">
        <f>IF($A1220=1,YEAR($D1220)*100+MONTH($D1220),"")</f>
        <v/>
      </c>
      <c r="V1220" s="32">
        <f>IF($A1220=1,IF(COUNTIF(COA!$A:$A,$G1220)=0,0,INDEX(COA!$H:$H,MATCH($G1220,COA!$A:$A,0))),"")</f>
        <v/>
      </c>
      <c r="W1220" s="32">
        <f>IF($A1220=1,"","")</f>
        <v/>
      </c>
      <c r="X1220" s="32">
        <f>IF($A1220=1,IF($R1220=1,"",IF($O1220=ST_POST,IF($P1220&lt;&gt;"",$P1220,"حساب غير صالح أو غير نشط"),IF($O1220=ST_REV,"معكوس: لا أثر على الدفاتر",IF($O1220=ST_CANC,"ملغى",IF($O1220=ST_APPR,"معتمد ولم يُرحَّل","مسودة"))))),"")</f>
        <v/>
      </c>
      <c r="Y1220" s="32">
        <f>IF($A1220=1,IF(AND($R1220=1,OR(LG_Acct="",$G1220=LG_Acct),OR(LG_Party="",$K1220=LG_Party),OR(LG_Loc="ALL",$I1220=LG_Loc),OR(LG_CC="ALL",$J1220=LG_CC),$D1220&gt;=LG_From,$D1220&lt;=LG_To),$D1220+ROW()/1000000,""),"")</f>
        <v/>
      </c>
      <c r="Z1220" s="32">
        <f>IF($A1220=1,IF(Expenses!$N82="","",Expenses!$N82),"")</f>
        <v/>
      </c>
      <c r="AA1220" s="32">
        <f>IF($A1220=1,IF(Expenses!$O82="","",Expenses!$O82),"")</f>
        <v/>
      </c>
      <c r="AB1220" s="32">
        <f>IF($A1220=1,IF(Expenses!$P82="","",Expenses!$P82),"")</f>
        <v/>
      </c>
      <c r="AC1220" s="32">
        <f>IF($A1220=1,IF(Expenses!$Q82="","",Expenses!$Q82),"")</f>
        <v/>
      </c>
      <c r="AD1220" s="32">
        <f>IF($A1220=1,IF(Expenses!$R82="","",Expenses!$R82),"")</f>
        <v/>
      </c>
      <c r="AE1220" s="32">
        <f>IF($A1220=1,0,"")</f>
        <v/>
      </c>
      <c r="AF1220" s="32" t="inlineStr"/>
    </row>
    <row r="1221">
      <c r="A1221" s="32">
        <f>IF(AND(Expenses!$AB82=1,N(Expenses!$G82)&gt;0),1,0)</f>
        <v/>
      </c>
      <c r="B1221" s="32">
        <f>IF($A1221=1,$E1221&amp;"/2","")</f>
        <v/>
      </c>
      <c r="C1221" s="32">
        <f>IF($A1221=1,"J-"&amp;Expenses!$A82,"")</f>
        <v/>
      </c>
      <c r="D1221" s="33">
        <f>IF($A1221=1,Expenses!$B82,"")</f>
        <v/>
      </c>
      <c r="E1221" s="32">
        <f>IF($A1221=1,IF(Expenses!$A82="","",Expenses!$A82),"")</f>
        <v/>
      </c>
      <c r="F1221" s="32">
        <f>IF($A1221=1,"EXP","")</f>
        <v/>
      </c>
      <c r="G1221" s="32">
        <f>IF($A1221=1,ACC_VAT_IN,"")</f>
        <v/>
      </c>
      <c r="H1221" s="32">
        <f>IF($A1221=1,IF(COUNTIF(COA!$A:$A,$G1221)=0,"حساب غير معرف",INDEX(COA!$B:$B,MATCH($G1221,COA!$A:$A,0))),"")</f>
        <v/>
      </c>
      <c r="I1221" s="32">
        <f>IF($A1221=1,IF(Expenses!$C82="","",Expenses!$C82),"")</f>
        <v/>
      </c>
      <c r="J1221" s="32">
        <f>IF($A1221=1,IF(Expenses!$D82="","",Expenses!$D82),"")</f>
        <v/>
      </c>
      <c r="K1221" s="32">
        <f>IF($A1221=1,"-","")</f>
        <v/>
      </c>
      <c r="L1221" s="32">
        <f>IF($A1221=1,"ضريبة قيمة مضافة - مدخلات","")</f>
        <v/>
      </c>
      <c r="M1221" s="43">
        <f>IF($A1221=1,Expenses!$G82,"")</f>
        <v/>
      </c>
      <c r="N1221" s="43">
        <f>IF($A1221=1,0,"")</f>
        <v/>
      </c>
      <c r="O1221" s="32">
        <f>IF($A1221=1,Expenses!$M82,"")</f>
        <v/>
      </c>
      <c r="P1221" s="32">
        <f>IF($A1221=1,IF(Expenses!$AC82="","",Expenses!$AC82),"")</f>
        <v/>
      </c>
      <c r="Q1221" s="32">
        <f>IF($A1221=1,Expenses!$AE82,"")</f>
        <v/>
      </c>
      <c r="R1221" s="32">
        <f>IF($A1221=1,IF(AND($Q1221=1,COUNTIFS(COA!$A:$A,$G1221,COA!$R:$R,1)=1),1,0),"")</f>
        <v/>
      </c>
      <c r="S1221" s="43">
        <f>IF($A1221=1,IF($R1221=1,N($M1221),0),"")</f>
        <v/>
      </c>
      <c r="T1221" s="43">
        <f>IF($A1221=1,IF($R1221=1,N($N1221),0),"")</f>
        <v/>
      </c>
      <c r="U1221" s="32">
        <f>IF($A1221=1,YEAR($D1221)*100+MONTH($D1221),"")</f>
        <v/>
      </c>
      <c r="V1221" s="32">
        <f>IF($A1221=1,IF(COUNTIF(COA!$A:$A,$G1221)=0,0,INDEX(COA!$H:$H,MATCH($G1221,COA!$A:$A,0))),"")</f>
        <v/>
      </c>
      <c r="W1221" s="32">
        <f>IF($A1221=1,"","")</f>
        <v/>
      </c>
      <c r="X1221" s="32">
        <f>IF($A1221=1,IF($R1221=1,"",IF($O1221=ST_POST,IF($P1221&lt;&gt;"",$P1221,"حساب غير صالح أو غير نشط"),IF($O1221=ST_REV,"معكوس: لا أثر على الدفاتر",IF($O1221=ST_CANC,"ملغى",IF($O1221=ST_APPR,"معتمد ولم يُرحَّل","مسودة"))))),"")</f>
        <v/>
      </c>
      <c r="Y1221" s="32">
        <f>IF($A1221=1,IF(AND($R1221=1,OR(LG_Acct="",$G1221=LG_Acct),OR(LG_Party="",$K1221=LG_Party),OR(LG_Loc="ALL",$I1221=LG_Loc),OR(LG_CC="ALL",$J1221=LG_CC),$D1221&gt;=LG_From,$D1221&lt;=LG_To),$D1221+ROW()/1000000,""),"")</f>
        <v/>
      </c>
      <c r="Z1221" s="32">
        <f>IF($A1221=1,IF(Expenses!$N82="","",Expenses!$N82),"")</f>
        <v/>
      </c>
      <c r="AA1221" s="32">
        <f>IF($A1221=1,IF(Expenses!$O82="","",Expenses!$O82),"")</f>
        <v/>
      </c>
      <c r="AB1221" s="32">
        <f>IF($A1221=1,IF(Expenses!$P82="","",Expenses!$P82),"")</f>
        <v/>
      </c>
      <c r="AC1221" s="32">
        <f>IF($A1221=1,IF(Expenses!$Q82="","",Expenses!$Q82),"")</f>
        <v/>
      </c>
      <c r="AD1221" s="32">
        <f>IF($A1221=1,IF(Expenses!$R82="","",Expenses!$R82),"")</f>
        <v/>
      </c>
      <c r="AE1221" s="32">
        <f>IF($A1221=1,0,"")</f>
        <v/>
      </c>
      <c r="AF1221" s="32" t="inlineStr"/>
    </row>
    <row r="1222">
      <c r="A1222" s="32">
        <f>IF(AND(Expenses!$AB82=1,N(Expenses!$W82)&gt;0),1,0)</f>
        <v/>
      </c>
      <c r="B1222" s="32">
        <f>IF($A1222=1,$E1222&amp;"/3","")</f>
        <v/>
      </c>
      <c r="C1222" s="32">
        <f>IF($A1222=1,"J-"&amp;Expenses!$A82,"")</f>
        <v/>
      </c>
      <c r="D1222" s="33">
        <f>IF($A1222=1,Expenses!$B82,"")</f>
        <v/>
      </c>
      <c r="E1222" s="32">
        <f>IF($A1222=1,IF(Expenses!$A82="","",Expenses!$A82),"")</f>
        <v/>
      </c>
      <c r="F1222" s="32">
        <f>IF($A1222=1,"EXP","")</f>
        <v/>
      </c>
      <c r="G1222" s="32">
        <f>IF($A1222=1,IF(Expenses!$V82="","",Expenses!$V82),"")</f>
        <v/>
      </c>
      <c r="H1222" s="32">
        <f>IF($A1222=1,IF(COUNTIF(COA!$A:$A,$G1222)=0,"حساب غير معرف",INDEX(COA!$B:$B,MATCH($G1222,COA!$A:$A,0))),"")</f>
        <v/>
      </c>
      <c r="I1222" s="32">
        <f>IF($A1222=1,IF(Expenses!$C82="","",Expenses!$C82),"")</f>
        <v/>
      </c>
      <c r="J1222" s="32">
        <f>IF($A1222=1,"CC00","")</f>
        <v/>
      </c>
      <c r="K1222" s="32">
        <f>IF($A1222=1,"-","")</f>
        <v/>
      </c>
      <c r="L1222" s="32">
        <f>IF($A1222=1,IF(Expenses!$L82="","مصروف - "&amp;Expenses!$J82,Expenses!$L82),"")</f>
        <v/>
      </c>
      <c r="M1222" s="43">
        <f>IF($A1222=1,0,"")</f>
        <v/>
      </c>
      <c r="N1222" s="43">
        <f>IF($A1222=1,Expenses!$W82,"")</f>
        <v/>
      </c>
      <c r="O1222" s="32">
        <f>IF($A1222=1,Expenses!$M82,"")</f>
        <v/>
      </c>
      <c r="P1222" s="32">
        <f>IF($A1222=1,IF(Expenses!$AC82="","",Expenses!$AC82),"")</f>
        <v/>
      </c>
      <c r="Q1222" s="32">
        <f>IF($A1222=1,Expenses!$AE82,"")</f>
        <v/>
      </c>
      <c r="R1222" s="32">
        <f>IF($A1222=1,IF(AND($Q1222=1,COUNTIFS(COA!$A:$A,$G1222,COA!$R:$R,1)=1),1,0),"")</f>
        <v/>
      </c>
      <c r="S1222" s="43">
        <f>IF($A1222=1,IF($R1222=1,N($M1222),0),"")</f>
        <v/>
      </c>
      <c r="T1222" s="43">
        <f>IF($A1222=1,IF($R1222=1,N($N1222),0),"")</f>
        <v/>
      </c>
      <c r="U1222" s="32">
        <f>IF($A1222=1,YEAR($D1222)*100+MONTH($D1222),"")</f>
        <v/>
      </c>
      <c r="V1222" s="32">
        <f>IF($A1222=1,IF(COUNTIF(COA!$A:$A,$G1222)=0,0,INDEX(COA!$H:$H,MATCH($G1222,COA!$A:$A,0))),"")</f>
        <v/>
      </c>
      <c r="W1222" s="32">
        <f>IF($A1222=1,"OPERATING","")</f>
        <v/>
      </c>
      <c r="X1222" s="32">
        <f>IF($A1222=1,IF($R1222=1,"",IF($O1222=ST_POST,IF($P1222&lt;&gt;"",$P1222,"حساب غير صالح أو غير نشط"),IF($O1222=ST_REV,"معكوس: لا أثر على الدفاتر",IF($O1222=ST_CANC,"ملغى",IF($O1222=ST_APPR,"معتمد ولم يُرحَّل","مسودة"))))),"")</f>
        <v/>
      </c>
      <c r="Y1222" s="32">
        <f>IF($A1222=1,IF(AND($R1222=1,OR(LG_Acct="",$G1222=LG_Acct),OR(LG_Party="",$K1222=LG_Party),OR(LG_Loc="ALL",$I1222=LG_Loc),OR(LG_CC="ALL",$J1222=LG_CC),$D1222&gt;=LG_From,$D1222&lt;=LG_To),$D1222+ROW()/1000000,""),"")</f>
        <v/>
      </c>
      <c r="Z1222" s="32">
        <f>IF($A1222=1,IF(Expenses!$N82="","",Expenses!$N82),"")</f>
        <v/>
      </c>
      <c r="AA1222" s="32">
        <f>IF($A1222=1,IF(Expenses!$O82="","",Expenses!$O82),"")</f>
        <v/>
      </c>
      <c r="AB1222" s="32">
        <f>IF($A1222=1,IF(Expenses!$P82="","",Expenses!$P82),"")</f>
        <v/>
      </c>
      <c r="AC1222" s="32">
        <f>IF($A1222=1,IF(Expenses!$Q82="","",Expenses!$Q82),"")</f>
        <v/>
      </c>
      <c r="AD1222" s="32">
        <f>IF($A1222=1,IF(Expenses!$R82="","",Expenses!$R82),"")</f>
        <v/>
      </c>
      <c r="AE1222" s="32">
        <f>IF($A1222=1,0,"")</f>
        <v/>
      </c>
      <c r="AF1222" s="32" t="inlineStr"/>
    </row>
    <row r="1223">
      <c r="A1223" s="32">
        <f>IF(AND(Expenses!$AB83=1,N(Expenses!$F83)&gt;0),1,0)</f>
        <v/>
      </c>
      <c r="B1223" s="32">
        <f>IF($A1223=1,$E1223&amp;"/1","")</f>
        <v/>
      </c>
      <c r="C1223" s="32">
        <f>IF($A1223=1,"J-"&amp;Expenses!$A83,"")</f>
        <v/>
      </c>
      <c r="D1223" s="33">
        <f>IF($A1223=1,Expenses!$B83,"")</f>
        <v/>
      </c>
      <c r="E1223" s="32">
        <f>IF($A1223=1,IF(Expenses!$A83="","",Expenses!$A83),"")</f>
        <v/>
      </c>
      <c r="F1223" s="32">
        <f>IF($A1223=1,"EXP","")</f>
        <v/>
      </c>
      <c r="G1223" s="32">
        <f>IF($A1223=1,IF(Expenses!$E83="","",Expenses!$E83),"")</f>
        <v/>
      </c>
      <c r="H1223" s="32">
        <f>IF($A1223=1,IF(COUNTIF(COA!$A:$A,$G1223)=0,"حساب غير معرف",INDEX(COA!$B:$B,MATCH($G1223,COA!$A:$A,0))),"")</f>
        <v/>
      </c>
      <c r="I1223" s="32">
        <f>IF($A1223=1,IF(Expenses!$C83="","",Expenses!$C83),"")</f>
        <v/>
      </c>
      <c r="J1223" s="32">
        <f>IF($A1223=1,IF(Expenses!$D83="","",Expenses!$D83),"")</f>
        <v/>
      </c>
      <c r="K1223" s="32">
        <f>IF($A1223=1,"-","")</f>
        <v/>
      </c>
      <c r="L1223" s="32">
        <f>IF($A1223=1,IF(Expenses!$L83="","مصروف - "&amp;Expenses!$J83,Expenses!$L83),"")</f>
        <v/>
      </c>
      <c r="M1223" s="43">
        <f>IF($A1223=1,Expenses!$F83,"")</f>
        <v/>
      </c>
      <c r="N1223" s="43">
        <f>IF($A1223=1,0,"")</f>
        <v/>
      </c>
      <c r="O1223" s="32">
        <f>IF($A1223=1,Expenses!$M83,"")</f>
        <v/>
      </c>
      <c r="P1223" s="32">
        <f>IF($A1223=1,IF(Expenses!$AC83="","",Expenses!$AC83),"")</f>
        <v/>
      </c>
      <c r="Q1223" s="32">
        <f>IF($A1223=1,Expenses!$AE83,"")</f>
        <v/>
      </c>
      <c r="R1223" s="32">
        <f>IF($A1223=1,IF(AND($Q1223=1,COUNTIFS(COA!$A:$A,$G1223,COA!$R:$R,1)=1),1,0),"")</f>
        <v/>
      </c>
      <c r="S1223" s="43">
        <f>IF($A1223=1,IF($R1223=1,N($M1223),0),"")</f>
        <v/>
      </c>
      <c r="T1223" s="43">
        <f>IF($A1223=1,IF($R1223=1,N($N1223),0),"")</f>
        <v/>
      </c>
      <c r="U1223" s="32">
        <f>IF($A1223=1,YEAR($D1223)*100+MONTH($D1223),"")</f>
        <v/>
      </c>
      <c r="V1223" s="32">
        <f>IF($A1223=1,IF(COUNTIF(COA!$A:$A,$G1223)=0,0,INDEX(COA!$H:$H,MATCH($G1223,COA!$A:$A,0))),"")</f>
        <v/>
      </c>
      <c r="W1223" s="32">
        <f>IF($A1223=1,"","")</f>
        <v/>
      </c>
      <c r="X1223" s="32">
        <f>IF($A1223=1,IF($R1223=1,"",IF($O1223=ST_POST,IF($P1223&lt;&gt;"",$P1223,"حساب غير صالح أو غير نشط"),IF($O1223=ST_REV,"معكوس: لا أثر على الدفاتر",IF($O1223=ST_CANC,"ملغى",IF($O1223=ST_APPR,"معتمد ولم يُرحَّل","مسودة"))))),"")</f>
        <v/>
      </c>
      <c r="Y1223" s="32">
        <f>IF($A1223=1,IF(AND($R1223=1,OR(LG_Acct="",$G1223=LG_Acct),OR(LG_Party="",$K1223=LG_Party),OR(LG_Loc="ALL",$I1223=LG_Loc),OR(LG_CC="ALL",$J1223=LG_CC),$D1223&gt;=LG_From,$D1223&lt;=LG_To),$D1223+ROW()/1000000,""),"")</f>
        <v/>
      </c>
      <c r="Z1223" s="32">
        <f>IF($A1223=1,IF(Expenses!$N83="","",Expenses!$N83),"")</f>
        <v/>
      </c>
      <c r="AA1223" s="32">
        <f>IF($A1223=1,IF(Expenses!$O83="","",Expenses!$O83),"")</f>
        <v/>
      </c>
      <c r="AB1223" s="32">
        <f>IF($A1223=1,IF(Expenses!$P83="","",Expenses!$P83),"")</f>
        <v/>
      </c>
      <c r="AC1223" s="32">
        <f>IF($A1223=1,IF(Expenses!$Q83="","",Expenses!$Q83),"")</f>
        <v/>
      </c>
      <c r="AD1223" s="32">
        <f>IF($A1223=1,IF(Expenses!$R83="","",Expenses!$R83),"")</f>
        <v/>
      </c>
      <c r="AE1223" s="32">
        <f>IF($A1223=1,0,"")</f>
        <v/>
      </c>
      <c r="AF1223" s="32" t="inlineStr"/>
    </row>
    <row r="1224">
      <c r="A1224" s="32">
        <f>IF(AND(Expenses!$AB83=1,N(Expenses!$G83)&gt;0),1,0)</f>
        <v/>
      </c>
      <c r="B1224" s="32">
        <f>IF($A1224=1,$E1224&amp;"/2","")</f>
        <v/>
      </c>
      <c r="C1224" s="32">
        <f>IF($A1224=1,"J-"&amp;Expenses!$A83,"")</f>
        <v/>
      </c>
      <c r="D1224" s="33">
        <f>IF($A1224=1,Expenses!$B83,"")</f>
        <v/>
      </c>
      <c r="E1224" s="32">
        <f>IF($A1224=1,IF(Expenses!$A83="","",Expenses!$A83),"")</f>
        <v/>
      </c>
      <c r="F1224" s="32">
        <f>IF($A1224=1,"EXP","")</f>
        <v/>
      </c>
      <c r="G1224" s="32">
        <f>IF($A1224=1,ACC_VAT_IN,"")</f>
        <v/>
      </c>
      <c r="H1224" s="32">
        <f>IF($A1224=1,IF(COUNTIF(COA!$A:$A,$G1224)=0,"حساب غير معرف",INDEX(COA!$B:$B,MATCH($G1224,COA!$A:$A,0))),"")</f>
        <v/>
      </c>
      <c r="I1224" s="32">
        <f>IF($A1224=1,IF(Expenses!$C83="","",Expenses!$C83),"")</f>
        <v/>
      </c>
      <c r="J1224" s="32">
        <f>IF($A1224=1,IF(Expenses!$D83="","",Expenses!$D83),"")</f>
        <v/>
      </c>
      <c r="K1224" s="32">
        <f>IF($A1224=1,"-","")</f>
        <v/>
      </c>
      <c r="L1224" s="32">
        <f>IF($A1224=1,"ضريبة قيمة مضافة - مدخلات","")</f>
        <v/>
      </c>
      <c r="M1224" s="43">
        <f>IF($A1224=1,Expenses!$G83,"")</f>
        <v/>
      </c>
      <c r="N1224" s="43">
        <f>IF($A1224=1,0,"")</f>
        <v/>
      </c>
      <c r="O1224" s="32">
        <f>IF($A1224=1,Expenses!$M83,"")</f>
        <v/>
      </c>
      <c r="P1224" s="32">
        <f>IF($A1224=1,IF(Expenses!$AC83="","",Expenses!$AC83),"")</f>
        <v/>
      </c>
      <c r="Q1224" s="32">
        <f>IF($A1224=1,Expenses!$AE83,"")</f>
        <v/>
      </c>
      <c r="R1224" s="32">
        <f>IF($A1224=1,IF(AND($Q1224=1,COUNTIFS(COA!$A:$A,$G1224,COA!$R:$R,1)=1),1,0),"")</f>
        <v/>
      </c>
      <c r="S1224" s="43">
        <f>IF($A1224=1,IF($R1224=1,N($M1224),0),"")</f>
        <v/>
      </c>
      <c r="T1224" s="43">
        <f>IF($A1224=1,IF($R1224=1,N($N1224),0),"")</f>
        <v/>
      </c>
      <c r="U1224" s="32">
        <f>IF($A1224=1,YEAR($D1224)*100+MONTH($D1224),"")</f>
        <v/>
      </c>
      <c r="V1224" s="32">
        <f>IF($A1224=1,IF(COUNTIF(COA!$A:$A,$G1224)=0,0,INDEX(COA!$H:$H,MATCH($G1224,COA!$A:$A,0))),"")</f>
        <v/>
      </c>
      <c r="W1224" s="32">
        <f>IF($A1224=1,"","")</f>
        <v/>
      </c>
      <c r="X1224" s="32">
        <f>IF($A1224=1,IF($R1224=1,"",IF($O1224=ST_POST,IF($P1224&lt;&gt;"",$P1224,"حساب غير صالح أو غير نشط"),IF($O1224=ST_REV,"معكوس: لا أثر على الدفاتر",IF($O1224=ST_CANC,"ملغى",IF($O1224=ST_APPR,"معتمد ولم يُرحَّل","مسودة"))))),"")</f>
        <v/>
      </c>
      <c r="Y1224" s="32">
        <f>IF($A1224=1,IF(AND($R1224=1,OR(LG_Acct="",$G1224=LG_Acct),OR(LG_Party="",$K1224=LG_Party),OR(LG_Loc="ALL",$I1224=LG_Loc),OR(LG_CC="ALL",$J1224=LG_CC),$D1224&gt;=LG_From,$D1224&lt;=LG_To),$D1224+ROW()/1000000,""),"")</f>
        <v/>
      </c>
      <c r="Z1224" s="32">
        <f>IF($A1224=1,IF(Expenses!$N83="","",Expenses!$N83),"")</f>
        <v/>
      </c>
      <c r="AA1224" s="32">
        <f>IF($A1224=1,IF(Expenses!$O83="","",Expenses!$O83),"")</f>
        <v/>
      </c>
      <c r="AB1224" s="32">
        <f>IF($A1224=1,IF(Expenses!$P83="","",Expenses!$P83),"")</f>
        <v/>
      </c>
      <c r="AC1224" s="32">
        <f>IF($A1224=1,IF(Expenses!$Q83="","",Expenses!$Q83),"")</f>
        <v/>
      </c>
      <c r="AD1224" s="32">
        <f>IF($A1224=1,IF(Expenses!$R83="","",Expenses!$R83),"")</f>
        <v/>
      </c>
      <c r="AE1224" s="32">
        <f>IF($A1224=1,0,"")</f>
        <v/>
      </c>
      <c r="AF1224" s="32" t="inlineStr"/>
    </row>
    <row r="1225">
      <c r="A1225" s="32">
        <f>IF(AND(Expenses!$AB83=1,N(Expenses!$W83)&gt;0),1,0)</f>
        <v/>
      </c>
      <c r="B1225" s="32">
        <f>IF($A1225=1,$E1225&amp;"/3","")</f>
        <v/>
      </c>
      <c r="C1225" s="32">
        <f>IF($A1225=1,"J-"&amp;Expenses!$A83,"")</f>
        <v/>
      </c>
      <c r="D1225" s="33">
        <f>IF($A1225=1,Expenses!$B83,"")</f>
        <v/>
      </c>
      <c r="E1225" s="32">
        <f>IF($A1225=1,IF(Expenses!$A83="","",Expenses!$A83),"")</f>
        <v/>
      </c>
      <c r="F1225" s="32">
        <f>IF($A1225=1,"EXP","")</f>
        <v/>
      </c>
      <c r="G1225" s="32">
        <f>IF($A1225=1,IF(Expenses!$V83="","",Expenses!$V83),"")</f>
        <v/>
      </c>
      <c r="H1225" s="32">
        <f>IF($A1225=1,IF(COUNTIF(COA!$A:$A,$G1225)=0,"حساب غير معرف",INDEX(COA!$B:$B,MATCH($G1225,COA!$A:$A,0))),"")</f>
        <v/>
      </c>
      <c r="I1225" s="32">
        <f>IF($A1225=1,IF(Expenses!$C83="","",Expenses!$C83),"")</f>
        <v/>
      </c>
      <c r="J1225" s="32">
        <f>IF($A1225=1,"CC00","")</f>
        <v/>
      </c>
      <c r="K1225" s="32">
        <f>IF($A1225=1,"-","")</f>
        <v/>
      </c>
      <c r="L1225" s="32">
        <f>IF($A1225=1,IF(Expenses!$L83="","مصروف - "&amp;Expenses!$J83,Expenses!$L83),"")</f>
        <v/>
      </c>
      <c r="M1225" s="43">
        <f>IF($A1225=1,0,"")</f>
        <v/>
      </c>
      <c r="N1225" s="43">
        <f>IF($A1225=1,Expenses!$W83,"")</f>
        <v/>
      </c>
      <c r="O1225" s="32">
        <f>IF($A1225=1,Expenses!$M83,"")</f>
        <v/>
      </c>
      <c r="P1225" s="32">
        <f>IF($A1225=1,IF(Expenses!$AC83="","",Expenses!$AC83),"")</f>
        <v/>
      </c>
      <c r="Q1225" s="32">
        <f>IF($A1225=1,Expenses!$AE83,"")</f>
        <v/>
      </c>
      <c r="R1225" s="32">
        <f>IF($A1225=1,IF(AND($Q1225=1,COUNTIFS(COA!$A:$A,$G1225,COA!$R:$R,1)=1),1,0),"")</f>
        <v/>
      </c>
      <c r="S1225" s="43">
        <f>IF($A1225=1,IF($R1225=1,N($M1225),0),"")</f>
        <v/>
      </c>
      <c r="T1225" s="43">
        <f>IF($A1225=1,IF($R1225=1,N($N1225),0),"")</f>
        <v/>
      </c>
      <c r="U1225" s="32">
        <f>IF($A1225=1,YEAR($D1225)*100+MONTH($D1225),"")</f>
        <v/>
      </c>
      <c r="V1225" s="32">
        <f>IF($A1225=1,IF(COUNTIF(COA!$A:$A,$G1225)=0,0,INDEX(COA!$H:$H,MATCH($G1225,COA!$A:$A,0))),"")</f>
        <v/>
      </c>
      <c r="W1225" s="32">
        <f>IF($A1225=1,"OPERATING","")</f>
        <v/>
      </c>
      <c r="X1225" s="32">
        <f>IF($A1225=1,IF($R1225=1,"",IF($O1225=ST_POST,IF($P1225&lt;&gt;"",$P1225,"حساب غير صالح أو غير نشط"),IF($O1225=ST_REV,"معكوس: لا أثر على الدفاتر",IF($O1225=ST_CANC,"ملغى",IF($O1225=ST_APPR,"معتمد ولم يُرحَّل","مسودة"))))),"")</f>
        <v/>
      </c>
      <c r="Y1225" s="32">
        <f>IF($A1225=1,IF(AND($R1225=1,OR(LG_Acct="",$G1225=LG_Acct),OR(LG_Party="",$K1225=LG_Party),OR(LG_Loc="ALL",$I1225=LG_Loc),OR(LG_CC="ALL",$J1225=LG_CC),$D1225&gt;=LG_From,$D1225&lt;=LG_To),$D1225+ROW()/1000000,""),"")</f>
        <v/>
      </c>
      <c r="Z1225" s="32">
        <f>IF($A1225=1,IF(Expenses!$N83="","",Expenses!$N83),"")</f>
        <v/>
      </c>
      <c r="AA1225" s="32">
        <f>IF($A1225=1,IF(Expenses!$O83="","",Expenses!$O83),"")</f>
        <v/>
      </c>
      <c r="AB1225" s="32">
        <f>IF($A1225=1,IF(Expenses!$P83="","",Expenses!$P83),"")</f>
        <v/>
      </c>
      <c r="AC1225" s="32">
        <f>IF($A1225=1,IF(Expenses!$Q83="","",Expenses!$Q83),"")</f>
        <v/>
      </c>
      <c r="AD1225" s="32">
        <f>IF($A1225=1,IF(Expenses!$R83="","",Expenses!$R83),"")</f>
        <v/>
      </c>
      <c r="AE1225" s="32">
        <f>IF($A1225=1,0,"")</f>
        <v/>
      </c>
      <c r="AF1225" s="32" t="inlineStr"/>
    </row>
    <row r="1226">
      <c r="A1226" s="32">
        <f>IF(AND(Expenses!$AB84=1,N(Expenses!$F84)&gt;0),1,0)</f>
        <v/>
      </c>
      <c r="B1226" s="32">
        <f>IF($A1226=1,$E1226&amp;"/1","")</f>
        <v/>
      </c>
      <c r="C1226" s="32">
        <f>IF($A1226=1,"J-"&amp;Expenses!$A84,"")</f>
        <v/>
      </c>
      <c r="D1226" s="33">
        <f>IF($A1226=1,Expenses!$B84,"")</f>
        <v/>
      </c>
      <c r="E1226" s="32">
        <f>IF($A1226=1,IF(Expenses!$A84="","",Expenses!$A84),"")</f>
        <v/>
      </c>
      <c r="F1226" s="32">
        <f>IF($A1226=1,"EXP","")</f>
        <v/>
      </c>
      <c r="G1226" s="32">
        <f>IF($A1226=1,IF(Expenses!$E84="","",Expenses!$E84),"")</f>
        <v/>
      </c>
      <c r="H1226" s="32">
        <f>IF($A1226=1,IF(COUNTIF(COA!$A:$A,$G1226)=0,"حساب غير معرف",INDEX(COA!$B:$B,MATCH($G1226,COA!$A:$A,0))),"")</f>
        <v/>
      </c>
      <c r="I1226" s="32">
        <f>IF($A1226=1,IF(Expenses!$C84="","",Expenses!$C84),"")</f>
        <v/>
      </c>
      <c r="J1226" s="32">
        <f>IF($A1226=1,IF(Expenses!$D84="","",Expenses!$D84),"")</f>
        <v/>
      </c>
      <c r="K1226" s="32">
        <f>IF($A1226=1,"-","")</f>
        <v/>
      </c>
      <c r="L1226" s="32">
        <f>IF($A1226=1,IF(Expenses!$L84="","مصروف - "&amp;Expenses!$J84,Expenses!$L84),"")</f>
        <v/>
      </c>
      <c r="M1226" s="43">
        <f>IF($A1226=1,Expenses!$F84,"")</f>
        <v/>
      </c>
      <c r="N1226" s="43">
        <f>IF($A1226=1,0,"")</f>
        <v/>
      </c>
      <c r="O1226" s="32">
        <f>IF($A1226=1,Expenses!$M84,"")</f>
        <v/>
      </c>
      <c r="P1226" s="32">
        <f>IF($A1226=1,IF(Expenses!$AC84="","",Expenses!$AC84),"")</f>
        <v/>
      </c>
      <c r="Q1226" s="32">
        <f>IF($A1226=1,Expenses!$AE84,"")</f>
        <v/>
      </c>
      <c r="R1226" s="32">
        <f>IF($A1226=1,IF(AND($Q1226=1,COUNTIFS(COA!$A:$A,$G1226,COA!$R:$R,1)=1),1,0),"")</f>
        <v/>
      </c>
      <c r="S1226" s="43">
        <f>IF($A1226=1,IF($R1226=1,N($M1226),0),"")</f>
        <v/>
      </c>
      <c r="T1226" s="43">
        <f>IF($A1226=1,IF($R1226=1,N($N1226),0),"")</f>
        <v/>
      </c>
      <c r="U1226" s="32">
        <f>IF($A1226=1,YEAR($D1226)*100+MONTH($D1226),"")</f>
        <v/>
      </c>
      <c r="V1226" s="32">
        <f>IF($A1226=1,IF(COUNTIF(COA!$A:$A,$G1226)=0,0,INDEX(COA!$H:$H,MATCH($G1226,COA!$A:$A,0))),"")</f>
        <v/>
      </c>
      <c r="W1226" s="32">
        <f>IF($A1226=1,"","")</f>
        <v/>
      </c>
      <c r="X1226" s="32">
        <f>IF($A1226=1,IF($R1226=1,"",IF($O1226=ST_POST,IF($P1226&lt;&gt;"",$P1226,"حساب غير صالح أو غير نشط"),IF($O1226=ST_REV,"معكوس: لا أثر على الدفاتر",IF($O1226=ST_CANC,"ملغى",IF($O1226=ST_APPR,"معتمد ولم يُرحَّل","مسودة"))))),"")</f>
        <v/>
      </c>
      <c r="Y1226" s="32">
        <f>IF($A1226=1,IF(AND($R1226=1,OR(LG_Acct="",$G1226=LG_Acct),OR(LG_Party="",$K1226=LG_Party),OR(LG_Loc="ALL",$I1226=LG_Loc),OR(LG_CC="ALL",$J1226=LG_CC),$D1226&gt;=LG_From,$D1226&lt;=LG_To),$D1226+ROW()/1000000,""),"")</f>
        <v/>
      </c>
      <c r="Z1226" s="32">
        <f>IF($A1226=1,IF(Expenses!$N84="","",Expenses!$N84),"")</f>
        <v/>
      </c>
      <c r="AA1226" s="32">
        <f>IF($A1226=1,IF(Expenses!$O84="","",Expenses!$O84),"")</f>
        <v/>
      </c>
      <c r="AB1226" s="32">
        <f>IF($A1226=1,IF(Expenses!$P84="","",Expenses!$P84),"")</f>
        <v/>
      </c>
      <c r="AC1226" s="32">
        <f>IF($A1226=1,IF(Expenses!$Q84="","",Expenses!$Q84),"")</f>
        <v/>
      </c>
      <c r="AD1226" s="32">
        <f>IF($A1226=1,IF(Expenses!$R84="","",Expenses!$R84),"")</f>
        <v/>
      </c>
      <c r="AE1226" s="32">
        <f>IF($A1226=1,0,"")</f>
        <v/>
      </c>
      <c r="AF1226" s="32" t="inlineStr"/>
    </row>
    <row r="1227">
      <c r="A1227" s="32">
        <f>IF(AND(Expenses!$AB84=1,N(Expenses!$G84)&gt;0),1,0)</f>
        <v/>
      </c>
      <c r="B1227" s="32">
        <f>IF($A1227=1,$E1227&amp;"/2","")</f>
        <v/>
      </c>
      <c r="C1227" s="32">
        <f>IF($A1227=1,"J-"&amp;Expenses!$A84,"")</f>
        <v/>
      </c>
      <c r="D1227" s="33">
        <f>IF($A1227=1,Expenses!$B84,"")</f>
        <v/>
      </c>
      <c r="E1227" s="32">
        <f>IF($A1227=1,IF(Expenses!$A84="","",Expenses!$A84),"")</f>
        <v/>
      </c>
      <c r="F1227" s="32">
        <f>IF($A1227=1,"EXP","")</f>
        <v/>
      </c>
      <c r="G1227" s="32">
        <f>IF($A1227=1,ACC_VAT_IN,"")</f>
        <v/>
      </c>
      <c r="H1227" s="32">
        <f>IF($A1227=1,IF(COUNTIF(COA!$A:$A,$G1227)=0,"حساب غير معرف",INDEX(COA!$B:$B,MATCH($G1227,COA!$A:$A,0))),"")</f>
        <v/>
      </c>
      <c r="I1227" s="32">
        <f>IF($A1227=1,IF(Expenses!$C84="","",Expenses!$C84),"")</f>
        <v/>
      </c>
      <c r="J1227" s="32">
        <f>IF($A1227=1,IF(Expenses!$D84="","",Expenses!$D84),"")</f>
        <v/>
      </c>
      <c r="K1227" s="32">
        <f>IF($A1227=1,"-","")</f>
        <v/>
      </c>
      <c r="L1227" s="32">
        <f>IF($A1227=1,"ضريبة قيمة مضافة - مدخلات","")</f>
        <v/>
      </c>
      <c r="M1227" s="43">
        <f>IF($A1227=1,Expenses!$G84,"")</f>
        <v/>
      </c>
      <c r="N1227" s="43">
        <f>IF($A1227=1,0,"")</f>
        <v/>
      </c>
      <c r="O1227" s="32">
        <f>IF($A1227=1,Expenses!$M84,"")</f>
        <v/>
      </c>
      <c r="P1227" s="32">
        <f>IF($A1227=1,IF(Expenses!$AC84="","",Expenses!$AC84),"")</f>
        <v/>
      </c>
      <c r="Q1227" s="32">
        <f>IF($A1227=1,Expenses!$AE84,"")</f>
        <v/>
      </c>
      <c r="R1227" s="32">
        <f>IF($A1227=1,IF(AND($Q1227=1,COUNTIFS(COA!$A:$A,$G1227,COA!$R:$R,1)=1),1,0),"")</f>
        <v/>
      </c>
      <c r="S1227" s="43">
        <f>IF($A1227=1,IF($R1227=1,N($M1227),0),"")</f>
        <v/>
      </c>
      <c r="T1227" s="43">
        <f>IF($A1227=1,IF($R1227=1,N($N1227),0),"")</f>
        <v/>
      </c>
      <c r="U1227" s="32">
        <f>IF($A1227=1,YEAR($D1227)*100+MONTH($D1227),"")</f>
        <v/>
      </c>
      <c r="V1227" s="32">
        <f>IF($A1227=1,IF(COUNTIF(COA!$A:$A,$G1227)=0,0,INDEX(COA!$H:$H,MATCH($G1227,COA!$A:$A,0))),"")</f>
        <v/>
      </c>
      <c r="W1227" s="32">
        <f>IF($A1227=1,"","")</f>
        <v/>
      </c>
      <c r="X1227" s="32">
        <f>IF($A1227=1,IF($R1227=1,"",IF($O1227=ST_POST,IF($P1227&lt;&gt;"",$P1227,"حساب غير صالح أو غير نشط"),IF($O1227=ST_REV,"معكوس: لا أثر على الدفاتر",IF($O1227=ST_CANC,"ملغى",IF($O1227=ST_APPR,"معتمد ولم يُرحَّل","مسودة"))))),"")</f>
        <v/>
      </c>
      <c r="Y1227" s="32">
        <f>IF($A1227=1,IF(AND($R1227=1,OR(LG_Acct="",$G1227=LG_Acct),OR(LG_Party="",$K1227=LG_Party),OR(LG_Loc="ALL",$I1227=LG_Loc),OR(LG_CC="ALL",$J1227=LG_CC),$D1227&gt;=LG_From,$D1227&lt;=LG_To),$D1227+ROW()/1000000,""),"")</f>
        <v/>
      </c>
      <c r="Z1227" s="32">
        <f>IF($A1227=1,IF(Expenses!$N84="","",Expenses!$N84),"")</f>
        <v/>
      </c>
      <c r="AA1227" s="32">
        <f>IF($A1227=1,IF(Expenses!$O84="","",Expenses!$O84),"")</f>
        <v/>
      </c>
      <c r="AB1227" s="32">
        <f>IF($A1227=1,IF(Expenses!$P84="","",Expenses!$P84),"")</f>
        <v/>
      </c>
      <c r="AC1227" s="32">
        <f>IF($A1227=1,IF(Expenses!$Q84="","",Expenses!$Q84),"")</f>
        <v/>
      </c>
      <c r="AD1227" s="32">
        <f>IF($A1227=1,IF(Expenses!$R84="","",Expenses!$R84),"")</f>
        <v/>
      </c>
      <c r="AE1227" s="32">
        <f>IF($A1227=1,0,"")</f>
        <v/>
      </c>
      <c r="AF1227" s="32" t="inlineStr"/>
    </row>
    <row r="1228">
      <c r="A1228" s="32">
        <f>IF(AND(Expenses!$AB84=1,N(Expenses!$W84)&gt;0),1,0)</f>
        <v/>
      </c>
      <c r="B1228" s="32">
        <f>IF($A1228=1,$E1228&amp;"/3","")</f>
        <v/>
      </c>
      <c r="C1228" s="32">
        <f>IF($A1228=1,"J-"&amp;Expenses!$A84,"")</f>
        <v/>
      </c>
      <c r="D1228" s="33">
        <f>IF($A1228=1,Expenses!$B84,"")</f>
        <v/>
      </c>
      <c r="E1228" s="32">
        <f>IF($A1228=1,IF(Expenses!$A84="","",Expenses!$A84),"")</f>
        <v/>
      </c>
      <c r="F1228" s="32">
        <f>IF($A1228=1,"EXP","")</f>
        <v/>
      </c>
      <c r="G1228" s="32">
        <f>IF($A1228=1,IF(Expenses!$V84="","",Expenses!$V84),"")</f>
        <v/>
      </c>
      <c r="H1228" s="32">
        <f>IF($A1228=1,IF(COUNTIF(COA!$A:$A,$G1228)=0,"حساب غير معرف",INDEX(COA!$B:$B,MATCH($G1228,COA!$A:$A,0))),"")</f>
        <v/>
      </c>
      <c r="I1228" s="32">
        <f>IF($A1228=1,IF(Expenses!$C84="","",Expenses!$C84),"")</f>
        <v/>
      </c>
      <c r="J1228" s="32">
        <f>IF($A1228=1,"CC00","")</f>
        <v/>
      </c>
      <c r="K1228" s="32">
        <f>IF($A1228=1,"-","")</f>
        <v/>
      </c>
      <c r="L1228" s="32">
        <f>IF($A1228=1,IF(Expenses!$L84="","مصروف - "&amp;Expenses!$J84,Expenses!$L84),"")</f>
        <v/>
      </c>
      <c r="M1228" s="43">
        <f>IF($A1228=1,0,"")</f>
        <v/>
      </c>
      <c r="N1228" s="43">
        <f>IF($A1228=1,Expenses!$W84,"")</f>
        <v/>
      </c>
      <c r="O1228" s="32">
        <f>IF($A1228=1,Expenses!$M84,"")</f>
        <v/>
      </c>
      <c r="P1228" s="32">
        <f>IF($A1228=1,IF(Expenses!$AC84="","",Expenses!$AC84),"")</f>
        <v/>
      </c>
      <c r="Q1228" s="32">
        <f>IF($A1228=1,Expenses!$AE84,"")</f>
        <v/>
      </c>
      <c r="R1228" s="32">
        <f>IF($A1228=1,IF(AND($Q1228=1,COUNTIFS(COA!$A:$A,$G1228,COA!$R:$R,1)=1),1,0),"")</f>
        <v/>
      </c>
      <c r="S1228" s="43">
        <f>IF($A1228=1,IF($R1228=1,N($M1228),0),"")</f>
        <v/>
      </c>
      <c r="T1228" s="43">
        <f>IF($A1228=1,IF($R1228=1,N($N1228),0),"")</f>
        <v/>
      </c>
      <c r="U1228" s="32">
        <f>IF($A1228=1,YEAR($D1228)*100+MONTH($D1228),"")</f>
        <v/>
      </c>
      <c r="V1228" s="32">
        <f>IF($A1228=1,IF(COUNTIF(COA!$A:$A,$G1228)=0,0,INDEX(COA!$H:$H,MATCH($G1228,COA!$A:$A,0))),"")</f>
        <v/>
      </c>
      <c r="W1228" s="32">
        <f>IF($A1228=1,"OPERATING","")</f>
        <v/>
      </c>
      <c r="X1228" s="32">
        <f>IF($A1228=1,IF($R1228=1,"",IF($O1228=ST_POST,IF($P1228&lt;&gt;"",$P1228,"حساب غير صالح أو غير نشط"),IF($O1228=ST_REV,"معكوس: لا أثر على الدفاتر",IF($O1228=ST_CANC,"ملغى",IF($O1228=ST_APPR,"معتمد ولم يُرحَّل","مسودة"))))),"")</f>
        <v/>
      </c>
      <c r="Y1228" s="32">
        <f>IF($A1228=1,IF(AND($R1228=1,OR(LG_Acct="",$G1228=LG_Acct),OR(LG_Party="",$K1228=LG_Party),OR(LG_Loc="ALL",$I1228=LG_Loc),OR(LG_CC="ALL",$J1228=LG_CC),$D1228&gt;=LG_From,$D1228&lt;=LG_To),$D1228+ROW()/1000000,""),"")</f>
        <v/>
      </c>
      <c r="Z1228" s="32">
        <f>IF($A1228=1,IF(Expenses!$N84="","",Expenses!$N84),"")</f>
        <v/>
      </c>
      <c r="AA1228" s="32">
        <f>IF($A1228=1,IF(Expenses!$O84="","",Expenses!$O84),"")</f>
        <v/>
      </c>
      <c r="AB1228" s="32">
        <f>IF($A1228=1,IF(Expenses!$P84="","",Expenses!$P84),"")</f>
        <v/>
      </c>
      <c r="AC1228" s="32">
        <f>IF($A1228=1,IF(Expenses!$Q84="","",Expenses!$Q84),"")</f>
        <v/>
      </c>
      <c r="AD1228" s="32">
        <f>IF($A1228=1,IF(Expenses!$R84="","",Expenses!$R84),"")</f>
        <v/>
      </c>
      <c r="AE1228" s="32">
        <f>IF($A1228=1,0,"")</f>
        <v/>
      </c>
      <c r="AF1228" s="32" t="inlineStr"/>
    </row>
    <row r="1229">
      <c r="A1229" s="32">
        <f>IF(AND(Supplier_Invoices!$AD5=1,N(Supplier_Invoices!$J5)&gt;0),1,0)</f>
        <v/>
      </c>
      <c r="B1229" s="32">
        <f>IF($A1229=1,$E1229&amp;"/1","")</f>
        <v/>
      </c>
      <c r="C1229" s="32">
        <f>IF($A1229=1,"J-"&amp;Supplier_Invoices!$A5,"")</f>
        <v/>
      </c>
      <c r="D1229" s="33">
        <f>IF($A1229=1,Supplier_Invoices!$E5,"")</f>
        <v/>
      </c>
      <c r="E1229" s="32">
        <f>IF($A1229=1,IF(Supplier_Invoices!$A5="","",Supplier_Invoices!$A5),"")</f>
        <v/>
      </c>
      <c r="F1229" s="32">
        <f>IF($A1229=1,"SINV","")</f>
        <v/>
      </c>
      <c r="G1229" s="32">
        <f>IF($A1229=1,IF(Supplier_Invoices!$G5="","",Supplier_Invoices!$G5),"")</f>
        <v/>
      </c>
      <c r="H1229" s="32">
        <f>IF($A1229=1,IF(COUNTIF(COA!$A:$A,$G1229)=0,"حساب غير معرف",INDEX(COA!$B:$B,MATCH($G1229,COA!$A:$A,0))),"")</f>
        <v/>
      </c>
      <c r="I1229" s="32">
        <f>IF($A1229=1,IF(Supplier_Invoices!$H5="","",Supplier_Invoices!$H5),"")</f>
        <v/>
      </c>
      <c r="J1229" s="32">
        <f>IF($A1229=1,IF(Supplier_Invoices!$I5="","",Supplier_Invoices!$I5),"")</f>
        <v/>
      </c>
      <c r="K1229" s="32">
        <f>IF($A1229=1,"-","")</f>
        <v/>
      </c>
      <c r="L1229" s="32">
        <f>IF($A1229=1,Supplier_Invoices!$F5&amp;" "&amp;Supplier_Invoices!$B5&amp;" - "&amp;Supplier_Invoices!$C5,"")</f>
        <v/>
      </c>
      <c r="M1229" s="43">
        <f>IF($A1229=1,IF(Supplier_Invoices!$V5="CN",0,Supplier_Invoices!$J5),"")</f>
        <v/>
      </c>
      <c r="N1229" s="43">
        <f>IF($A1229=1,IF(Supplier_Invoices!$V5="CN",Supplier_Invoices!$J5,0),"")</f>
        <v/>
      </c>
      <c r="O1229" s="32">
        <f>IF($A1229=1,Supplier_Invoices!$O5,"")</f>
        <v/>
      </c>
      <c r="P1229" s="32">
        <f>IF($A1229=1,IF(Supplier_Invoices!$AE5="","",Supplier_Invoices!$AE5),"")</f>
        <v/>
      </c>
      <c r="Q1229" s="32">
        <f>IF($A1229=1,Supplier_Invoices!$AG5,"")</f>
        <v/>
      </c>
      <c r="R1229" s="32">
        <f>IF($A1229=1,IF(AND($Q1229=1,COUNTIFS(COA!$A:$A,$G1229,COA!$R:$R,1)=1),1,0),"")</f>
        <v/>
      </c>
      <c r="S1229" s="43">
        <f>IF($A1229=1,IF($R1229=1,N($M1229),0),"")</f>
        <v/>
      </c>
      <c r="T1229" s="43">
        <f>IF($A1229=1,IF($R1229=1,N($N1229),0),"")</f>
        <v/>
      </c>
      <c r="U1229" s="32">
        <f>IF($A1229=1,YEAR($D1229)*100+MONTH($D1229),"")</f>
        <v/>
      </c>
      <c r="V1229" s="32">
        <f>IF($A1229=1,IF(COUNTIF(COA!$A:$A,$G1229)=0,0,INDEX(COA!$H:$H,MATCH($G1229,COA!$A:$A,0))),"")</f>
        <v/>
      </c>
      <c r="W1229" s="32">
        <f>IF($A1229=1,"","")</f>
        <v/>
      </c>
      <c r="X1229" s="32">
        <f>IF($A1229=1,IF($R1229=1,"",IF($O1229=ST_POST,IF($P1229&lt;&gt;"",$P1229,"حساب غير صالح أو غير نشط"),IF($O1229=ST_REV,"معكوس: لا أثر على الدفاتر",IF($O1229=ST_CANC,"ملغى",IF($O1229=ST_APPR,"معتمد ولم يُرحَّل","مسودة"))))),"")</f>
        <v/>
      </c>
      <c r="Y1229" s="32">
        <f>IF($A1229=1,IF(AND($R1229=1,OR(LG_Acct="",$G1229=LG_Acct),OR(LG_Party="",$K1229=LG_Party),OR(LG_Loc="ALL",$I1229=LG_Loc),OR(LG_CC="ALL",$J1229=LG_CC),$D1229&gt;=LG_From,$D1229&lt;=LG_To),$D1229+ROW()/1000000,""),"")</f>
        <v/>
      </c>
      <c r="Z1229" s="32">
        <f>IF($A1229=1,IF(Supplier_Invoices!$P5="","",Supplier_Invoices!$P5),"")</f>
        <v/>
      </c>
      <c r="AA1229" s="32">
        <f>IF($A1229=1,IF(Supplier_Invoices!$Q5="","",Supplier_Invoices!$Q5),"")</f>
        <v/>
      </c>
      <c r="AB1229" s="32">
        <f>IF($A1229=1,IF(Supplier_Invoices!$R5="","",Supplier_Invoices!$R5),"")</f>
        <v/>
      </c>
      <c r="AC1229" s="32">
        <f>IF($A1229=1,IF(Supplier_Invoices!$S5="","",Supplier_Invoices!$S5),"")</f>
        <v/>
      </c>
      <c r="AD1229" s="32">
        <f>IF($A1229=1,IF(Supplier_Invoices!$T5="","",Supplier_Invoices!$T5),"")</f>
        <v/>
      </c>
      <c r="AE1229" s="32">
        <f>IF($A1229=1,0,"")</f>
        <v/>
      </c>
      <c r="AF1229" s="32" t="inlineStr"/>
    </row>
    <row r="1230">
      <c r="A1230" s="32">
        <f>IF(AND(Supplier_Invoices!$AD5=1,N(Supplier_Invoices!$K5)&gt;0),1,0)</f>
        <v/>
      </c>
      <c r="B1230" s="32">
        <f>IF($A1230=1,$E1230&amp;"/2","")</f>
        <v/>
      </c>
      <c r="C1230" s="32">
        <f>IF($A1230=1,"J-"&amp;Supplier_Invoices!$A5,"")</f>
        <v/>
      </c>
      <c r="D1230" s="33">
        <f>IF($A1230=1,Supplier_Invoices!$E5,"")</f>
        <v/>
      </c>
      <c r="E1230" s="32">
        <f>IF($A1230=1,IF(Supplier_Invoices!$A5="","",Supplier_Invoices!$A5),"")</f>
        <v/>
      </c>
      <c r="F1230" s="32">
        <f>IF($A1230=1,"SINV","")</f>
        <v/>
      </c>
      <c r="G1230" s="32">
        <f>IF($A1230=1,ACC_VAT_IN,"")</f>
        <v/>
      </c>
      <c r="H1230" s="32">
        <f>IF($A1230=1,IF(COUNTIF(COA!$A:$A,$G1230)=0,"حساب غير معرف",INDEX(COA!$B:$B,MATCH($G1230,COA!$A:$A,0))),"")</f>
        <v/>
      </c>
      <c r="I1230" s="32">
        <f>IF($A1230=1,IF(Supplier_Invoices!$H5="","",Supplier_Invoices!$H5),"")</f>
        <v/>
      </c>
      <c r="J1230" s="32">
        <f>IF($A1230=1,IF(Supplier_Invoices!$I5="","",Supplier_Invoices!$I5),"")</f>
        <v/>
      </c>
      <c r="K1230" s="32">
        <f>IF($A1230=1,"-","")</f>
        <v/>
      </c>
      <c r="L1230" s="32">
        <f>IF($A1230=1,"ضريبة قيمة مضافة - مدخلات","")</f>
        <v/>
      </c>
      <c r="M1230" s="43">
        <f>IF($A1230=1,IF(Supplier_Invoices!$V5="CN",0,Supplier_Invoices!$K5),"")</f>
        <v/>
      </c>
      <c r="N1230" s="43">
        <f>IF($A1230=1,IF(Supplier_Invoices!$V5="CN",Supplier_Invoices!$K5,0),"")</f>
        <v/>
      </c>
      <c r="O1230" s="32">
        <f>IF($A1230=1,Supplier_Invoices!$O5,"")</f>
        <v/>
      </c>
      <c r="P1230" s="32">
        <f>IF($A1230=1,IF(Supplier_Invoices!$AE5="","",Supplier_Invoices!$AE5),"")</f>
        <v/>
      </c>
      <c r="Q1230" s="32">
        <f>IF($A1230=1,Supplier_Invoices!$AG5,"")</f>
        <v/>
      </c>
      <c r="R1230" s="32">
        <f>IF($A1230=1,IF(AND($Q1230=1,COUNTIFS(COA!$A:$A,$G1230,COA!$R:$R,1)=1),1,0),"")</f>
        <v/>
      </c>
      <c r="S1230" s="43">
        <f>IF($A1230=1,IF($R1230=1,N($M1230),0),"")</f>
        <v/>
      </c>
      <c r="T1230" s="43">
        <f>IF($A1230=1,IF($R1230=1,N($N1230),0),"")</f>
        <v/>
      </c>
      <c r="U1230" s="32">
        <f>IF($A1230=1,YEAR($D1230)*100+MONTH($D1230),"")</f>
        <v/>
      </c>
      <c r="V1230" s="32">
        <f>IF($A1230=1,IF(COUNTIF(COA!$A:$A,$G1230)=0,0,INDEX(COA!$H:$H,MATCH($G1230,COA!$A:$A,0))),"")</f>
        <v/>
      </c>
      <c r="W1230" s="32">
        <f>IF($A1230=1,"","")</f>
        <v/>
      </c>
      <c r="X1230" s="32">
        <f>IF($A1230=1,IF($R1230=1,"",IF($O1230=ST_POST,IF($P1230&lt;&gt;"",$P1230,"حساب غير صالح أو غير نشط"),IF($O1230=ST_REV,"معكوس: لا أثر على الدفاتر",IF($O1230=ST_CANC,"ملغى",IF($O1230=ST_APPR,"معتمد ولم يُرحَّل","مسودة"))))),"")</f>
        <v/>
      </c>
      <c r="Y1230" s="32">
        <f>IF($A1230=1,IF(AND($R1230=1,OR(LG_Acct="",$G1230=LG_Acct),OR(LG_Party="",$K1230=LG_Party),OR(LG_Loc="ALL",$I1230=LG_Loc),OR(LG_CC="ALL",$J1230=LG_CC),$D1230&gt;=LG_From,$D1230&lt;=LG_To),$D1230+ROW()/1000000,""),"")</f>
        <v/>
      </c>
      <c r="Z1230" s="32">
        <f>IF($A1230=1,IF(Supplier_Invoices!$P5="","",Supplier_Invoices!$P5),"")</f>
        <v/>
      </c>
      <c r="AA1230" s="32">
        <f>IF($A1230=1,IF(Supplier_Invoices!$Q5="","",Supplier_Invoices!$Q5),"")</f>
        <v/>
      </c>
      <c r="AB1230" s="32">
        <f>IF($A1230=1,IF(Supplier_Invoices!$R5="","",Supplier_Invoices!$R5),"")</f>
        <v/>
      </c>
      <c r="AC1230" s="32">
        <f>IF($A1230=1,IF(Supplier_Invoices!$S5="","",Supplier_Invoices!$S5),"")</f>
        <v/>
      </c>
      <c r="AD1230" s="32">
        <f>IF($A1230=1,IF(Supplier_Invoices!$T5="","",Supplier_Invoices!$T5),"")</f>
        <v/>
      </c>
      <c r="AE1230" s="32">
        <f>IF($A1230=1,0,"")</f>
        <v/>
      </c>
      <c r="AF1230" s="32" t="inlineStr"/>
    </row>
    <row r="1231">
      <c r="A1231" s="32">
        <f>IF(AND(Supplier_Invoices!$AD5=1,N(Supplier_Invoices!$W5)&gt;0),1,0)</f>
        <v/>
      </c>
      <c r="B1231" s="32">
        <f>IF($A1231=1,$E1231&amp;"/3","")</f>
        <v/>
      </c>
      <c r="C1231" s="32">
        <f>IF($A1231=1,"J-"&amp;Supplier_Invoices!$A5,"")</f>
        <v/>
      </c>
      <c r="D1231" s="33">
        <f>IF($A1231=1,Supplier_Invoices!$E5,"")</f>
        <v/>
      </c>
      <c r="E1231" s="32">
        <f>IF($A1231=1,IF(Supplier_Invoices!$A5="","",Supplier_Invoices!$A5),"")</f>
        <v/>
      </c>
      <c r="F1231" s="32">
        <f>IF($A1231=1,"SINV","")</f>
        <v/>
      </c>
      <c r="G1231" s="32">
        <f>IF($A1231=1,ACC_SUPPLIERS,"")</f>
        <v/>
      </c>
      <c r="H1231" s="32">
        <f>IF($A1231=1,IF(COUNTIF(COA!$A:$A,$G1231)=0,"حساب غير معرف",INDEX(COA!$B:$B,MATCH($G1231,COA!$A:$A,0))),"")</f>
        <v/>
      </c>
      <c r="I1231" s="32">
        <f>IF($A1231=1,IF(Supplier_Invoices!$H5="","",Supplier_Invoices!$H5),"")</f>
        <v/>
      </c>
      <c r="J1231" s="32">
        <f>IF($A1231=1,"CC00","")</f>
        <v/>
      </c>
      <c r="K1231" s="32">
        <f>IF($A1231=1,IF(Supplier_Invoices!$C5="","",Supplier_Invoices!$C5),"")</f>
        <v/>
      </c>
      <c r="L1231" s="32">
        <f>IF($A1231=1,Supplier_Invoices!$F5&amp;" "&amp;Supplier_Invoices!$B5&amp;" - "&amp;Supplier_Invoices!$C5,"")</f>
        <v/>
      </c>
      <c r="M1231" s="43">
        <f>IF($A1231=1,IF(Supplier_Invoices!$V5="CN",Supplier_Invoices!$W5,0),"")</f>
        <v/>
      </c>
      <c r="N1231" s="43">
        <f>IF($A1231=1,IF(Supplier_Invoices!$V5="CN",0,Supplier_Invoices!$W5),"")</f>
        <v/>
      </c>
      <c r="O1231" s="32">
        <f>IF($A1231=1,Supplier_Invoices!$O5,"")</f>
        <v/>
      </c>
      <c r="P1231" s="32">
        <f>IF($A1231=1,IF(Supplier_Invoices!$AE5="","",Supplier_Invoices!$AE5),"")</f>
        <v/>
      </c>
      <c r="Q1231" s="32">
        <f>IF($A1231=1,Supplier_Invoices!$AG5,"")</f>
        <v/>
      </c>
      <c r="R1231" s="32">
        <f>IF($A1231=1,IF(AND($Q1231=1,COUNTIFS(COA!$A:$A,$G1231,COA!$R:$R,1)=1),1,0),"")</f>
        <v/>
      </c>
      <c r="S1231" s="43">
        <f>IF($A1231=1,IF($R1231=1,N($M1231),0),"")</f>
        <v/>
      </c>
      <c r="T1231" s="43">
        <f>IF($A1231=1,IF($R1231=1,N($N1231),0),"")</f>
        <v/>
      </c>
      <c r="U1231" s="32">
        <f>IF($A1231=1,YEAR($D1231)*100+MONTH($D1231),"")</f>
        <v/>
      </c>
      <c r="V1231" s="32">
        <f>IF($A1231=1,IF(COUNTIF(COA!$A:$A,$G1231)=0,0,INDEX(COA!$H:$H,MATCH($G1231,COA!$A:$A,0))),"")</f>
        <v/>
      </c>
      <c r="W1231" s="32">
        <f>IF($A1231=1,"","")</f>
        <v/>
      </c>
      <c r="X1231" s="32">
        <f>IF($A1231=1,IF($R1231=1,"",IF($O1231=ST_POST,IF($P1231&lt;&gt;"",$P1231,"حساب غير صالح أو غير نشط"),IF($O1231=ST_REV,"معكوس: لا أثر على الدفاتر",IF($O1231=ST_CANC,"ملغى",IF($O1231=ST_APPR,"معتمد ولم يُرحَّل","مسودة"))))),"")</f>
        <v/>
      </c>
      <c r="Y1231" s="32">
        <f>IF($A1231=1,IF(AND($R1231=1,OR(LG_Acct="",$G1231=LG_Acct),OR(LG_Party="",$K1231=LG_Party),OR(LG_Loc="ALL",$I1231=LG_Loc),OR(LG_CC="ALL",$J1231=LG_CC),$D1231&gt;=LG_From,$D1231&lt;=LG_To),$D1231+ROW()/1000000,""),"")</f>
        <v/>
      </c>
      <c r="Z1231" s="32">
        <f>IF($A1231=1,IF(Supplier_Invoices!$P5="","",Supplier_Invoices!$P5),"")</f>
        <v/>
      </c>
      <c r="AA1231" s="32">
        <f>IF($A1231=1,IF(Supplier_Invoices!$Q5="","",Supplier_Invoices!$Q5),"")</f>
        <v/>
      </c>
      <c r="AB1231" s="32">
        <f>IF($A1231=1,IF(Supplier_Invoices!$R5="","",Supplier_Invoices!$R5),"")</f>
        <v/>
      </c>
      <c r="AC1231" s="32">
        <f>IF($A1231=1,IF(Supplier_Invoices!$S5="","",Supplier_Invoices!$S5),"")</f>
        <v/>
      </c>
      <c r="AD1231" s="32">
        <f>IF($A1231=1,IF(Supplier_Invoices!$T5="","",Supplier_Invoices!$T5),"")</f>
        <v/>
      </c>
      <c r="AE1231" s="32">
        <f>IF($A1231=1,0,"")</f>
        <v/>
      </c>
      <c r="AF1231" s="32" t="inlineStr"/>
    </row>
    <row r="1232">
      <c r="A1232" s="32">
        <f>IF(AND(Supplier_Invoices!$AD5=1,Supplier_Invoices!$L5&lt;&gt;"",Supplier_Invoices!$V5&lt;&gt;"CN",N(Supplier_Invoices!$W5)&gt;0),1,0)</f>
        <v/>
      </c>
      <c r="B1232" s="32">
        <f>IF($A1232=1,$E1232&amp;"/4","")</f>
        <v/>
      </c>
      <c r="C1232" s="32">
        <f>IF($A1232=1,"J-"&amp;Supplier_Invoices!$A5,"")</f>
        <v/>
      </c>
      <c r="D1232" s="33">
        <f>IF($A1232=1,Supplier_Invoices!$E5,"")</f>
        <v/>
      </c>
      <c r="E1232" s="32">
        <f>IF($A1232=1,IF(Supplier_Invoices!$A5="","",Supplier_Invoices!$A5),"")</f>
        <v/>
      </c>
      <c r="F1232" s="32">
        <f>IF($A1232=1,"SINV","")</f>
        <v/>
      </c>
      <c r="G1232" s="32">
        <f>IF($A1232=1,ACC_SUPPLIERS,"")</f>
        <v/>
      </c>
      <c r="H1232" s="32">
        <f>IF($A1232=1,IF(COUNTIF(COA!$A:$A,$G1232)=0,"حساب غير معرف",INDEX(COA!$B:$B,MATCH($G1232,COA!$A:$A,0))),"")</f>
        <v/>
      </c>
      <c r="I1232" s="32">
        <f>IF($A1232=1,IF(Supplier_Invoices!$H5="","",Supplier_Invoices!$H5),"")</f>
        <v/>
      </c>
      <c r="J1232" s="32">
        <f>IF($A1232=1,"CC00","")</f>
        <v/>
      </c>
      <c r="K1232" s="32">
        <f>IF($A1232=1,IF(Supplier_Invoices!$C5="","",Supplier_Invoices!$C5),"")</f>
        <v/>
      </c>
      <c r="L1232" s="32">
        <f>IF($A1232=1,"سداد فوري - "&amp;Supplier_Invoices!$F5&amp;" "&amp;Supplier_Invoices!$B5&amp;" - "&amp;Supplier_Invoices!$C5,"")</f>
        <v/>
      </c>
      <c r="M1232" s="43">
        <f>IF($A1232=1,Supplier_Invoices!$W5,"")</f>
        <v/>
      </c>
      <c r="N1232" s="43">
        <f>IF($A1232=1,0,"")</f>
        <v/>
      </c>
      <c r="O1232" s="32">
        <f>IF($A1232=1,Supplier_Invoices!$O5,"")</f>
        <v/>
      </c>
      <c r="P1232" s="32">
        <f>IF($A1232=1,IF(Supplier_Invoices!$AE5="","",Supplier_Invoices!$AE5),"")</f>
        <v/>
      </c>
      <c r="Q1232" s="32">
        <f>IF($A1232=1,Supplier_Invoices!$AG5,"")</f>
        <v/>
      </c>
      <c r="R1232" s="32">
        <f>IF($A1232=1,IF(AND($Q1232=1,COUNTIFS(COA!$A:$A,$G1232,COA!$R:$R,1)=1),1,0),"")</f>
        <v/>
      </c>
      <c r="S1232" s="43">
        <f>IF($A1232=1,IF($R1232=1,N($M1232),0),"")</f>
        <v/>
      </c>
      <c r="T1232" s="43">
        <f>IF($A1232=1,IF($R1232=1,N($N1232),0),"")</f>
        <v/>
      </c>
      <c r="U1232" s="32">
        <f>IF($A1232=1,YEAR($D1232)*100+MONTH($D1232),"")</f>
        <v/>
      </c>
      <c r="V1232" s="32">
        <f>IF($A1232=1,IF(COUNTIF(COA!$A:$A,$G1232)=0,0,INDEX(COA!$H:$H,MATCH($G1232,COA!$A:$A,0))),"")</f>
        <v/>
      </c>
      <c r="W1232" s="32">
        <f>IF($A1232=1,"","")</f>
        <v/>
      </c>
      <c r="X1232" s="32">
        <f>IF($A1232=1,IF($R1232=1,"",IF($O1232=ST_POST,IF($P1232&lt;&gt;"",$P1232,"حساب غير صالح أو غير نشط"),IF($O1232=ST_REV,"معكوس: لا أثر على الدفاتر",IF($O1232=ST_CANC,"ملغى",IF($O1232=ST_APPR,"معتمد ولم يُرحَّل","مسودة"))))),"")</f>
        <v/>
      </c>
      <c r="Y1232" s="32">
        <f>IF($A1232=1,IF(AND($R1232=1,OR(LG_Acct="",$G1232=LG_Acct),OR(LG_Party="",$K1232=LG_Party),OR(LG_Loc="ALL",$I1232=LG_Loc),OR(LG_CC="ALL",$J1232=LG_CC),$D1232&gt;=LG_From,$D1232&lt;=LG_To),$D1232+ROW()/1000000,""),"")</f>
        <v/>
      </c>
      <c r="Z1232" s="32">
        <f>IF($A1232=1,IF(Supplier_Invoices!$P5="","",Supplier_Invoices!$P5),"")</f>
        <v/>
      </c>
      <c r="AA1232" s="32">
        <f>IF($A1232=1,IF(Supplier_Invoices!$Q5="","",Supplier_Invoices!$Q5),"")</f>
        <v/>
      </c>
      <c r="AB1232" s="32">
        <f>IF($A1232=1,IF(Supplier_Invoices!$R5="","",Supplier_Invoices!$R5),"")</f>
        <v/>
      </c>
      <c r="AC1232" s="32">
        <f>IF($A1232=1,IF(Supplier_Invoices!$S5="","",Supplier_Invoices!$S5),"")</f>
        <v/>
      </c>
      <c r="AD1232" s="32">
        <f>IF($A1232=1,IF(Supplier_Invoices!$T5="","",Supplier_Invoices!$T5),"")</f>
        <v/>
      </c>
      <c r="AE1232" s="32">
        <f>IF($A1232=1,0,"")</f>
        <v/>
      </c>
      <c r="AF1232" s="32" t="inlineStr"/>
    </row>
    <row r="1233">
      <c r="A1233" s="32">
        <f>IF(AND(Supplier_Invoices!$AD5=1,Supplier_Invoices!$L5&lt;&gt;"",Supplier_Invoices!$V5&lt;&gt;"CN",N(Supplier_Invoices!$W5)&gt;0),1,0)</f>
        <v/>
      </c>
      <c r="B1233" s="32">
        <f>IF($A1233=1,$E1233&amp;"/5","")</f>
        <v/>
      </c>
      <c r="C1233" s="32">
        <f>IF($A1233=1,"J-"&amp;Supplier_Invoices!$A5,"")</f>
        <v/>
      </c>
      <c r="D1233" s="33">
        <f>IF($A1233=1,Supplier_Invoices!$E5,"")</f>
        <v/>
      </c>
      <c r="E1233" s="32">
        <f>IF($A1233=1,IF(Supplier_Invoices!$A5="","",Supplier_Invoices!$A5),"")</f>
        <v/>
      </c>
      <c r="F1233" s="32">
        <f>IF($A1233=1,"SINV","")</f>
        <v/>
      </c>
      <c r="G1233" s="32">
        <f>IF($A1233=1,IF(Supplier_Invoices!$AA5="","",Supplier_Invoices!$AA5),"")</f>
        <v/>
      </c>
      <c r="H1233" s="32">
        <f>IF($A1233=1,IF(COUNTIF(COA!$A:$A,$G1233)=0,"حساب غير معرف",INDEX(COA!$B:$B,MATCH($G1233,COA!$A:$A,0))),"")</f>
        <v/>
      </c>
      <c r="I1233" s="32">
        <f>IF($A1233=1,IF(Supplier_Invoices!$H5="","",Supplier_Invoices!$H5),"")</f>
        <v/>
      </c>
      <c r="J1233" s="32">
        <f>IF($A1233=1,"CC00","")</f>
        <v/>
      </c>
      <c r="K1233" s="32">
        <f>IF($A1233=1,"-","")</f>
        <v/>
      </c>
      <c r="L1233" s="32">
        <f>IF($A1233=1,"سداد فوري - "&amp;Supplier_Invoices!$F5&amp;" "&amp;Supplier_Invoices!$B5&amp;" - "&amp;Supplier_Invoices!$C5,"")</f>
        <v/>
      </c>
      <c r="M1233" s="43">
        <f>IF($A1233=1,0,"")</f>
        <v/>
      </c>
      <c r="N1233" s="43">
        <f>IF($A1233=1,Supplier_Invoices!$W5,"")</f>
        <v/>
      </c>
      <c r="O1233" s="32">
        <f>IF($A1233=1,Supplier_Invoices!$O5,"")</f>
        <v/>
      </c>
      <c r="P1233" s="32">
        <f>IF($A1233=1,IF(Supplier_Invoices!$AE5="","",Supplier_Invoices!$AE5),"")</f>
        <v/>
      </c>
      <c r="Q1233" s="32">
        <f>IF($A1233=1,Supplier_Invoices!$AG5,"")</f>
        <v/>
      </c>
      <c r="R1233" s="32">
        <f>IF($A1233=1,IF(AND($Q1233=1,COUNTIFS(COA!$A:$A,$G1233,COA!$R:$R,1)=1),1,0),"")</f>
        <v/>
      </c>
      <c r="S1233" s="43">
        <f>IF($A1233=1,IF($R1233=1,N($M1233),0),"")</f>
        <v/>
      </c>
      <c r="T1233" s="43">
        <f>IF($A1233=1,IF($R1233=1,N($N1233),0),"")</f>
        <v/>
      </c>
      <c r="U1233" s="32">
        <f>IF($A1233=1,YEAR($D1233)*100+MONTH($D1233),"")</f>
        <v/>
      </c>
      <c r="V1233" s="32">
        <f>IF($A1233=1,IF(COUNTIF(COA!$A:$A,$G1233)=0,0,INDEX(COA!$H:$H,MATCH($G1233,COA!$A:$A,0))),"")</f>
        <v/>
      </c>
      <c r="W1233" s="32">
        <f>IF($A1233=1,IF(Supplier_Invoices!$AB5="","",Supplier_Invoices!$AB5),"")</f>
        <v/>
      </c>
      <c r="X1233" s="32">
        <f>IF($A1233=1,IF($R1233=1,"",IF($O1233=ST_POST,IF($P1233&lt;&gt;"",$P1233,"حساب غير صالح أو غير نشط"),IF($O1233=ST_REV,"معكوس: لا أثر على الدفاتر",IF($O1233=ST_CANC,"ملغى",IF($O1233=ST_APPR,"معتمد ولم يُرحَّل","مسودة"))))),"")</f>
        <v/>
      </c>
      <c r="Y1233" s="32">
        <f>IF($A1233=1,IF(AND($R1233=1,OR(LG_Acct="",$G1233=LG_Acct),OR(LG_Party="",$K1233=LG_Party),OR(LG_Loc="ALL",$I1233=LG_Loc),OR(LG_CC="ALL",$J1233=LG_CC),$D1233&gt;=LG_From,$D1233&lt;=LG_To),$D1233+ROW()/1000000,""),"")</f>
        <v/>
      </c>
      <c r="Z1233" s="32">
        <f>IF($A1233=1,IF(Supplier_Invoices!$P5="","",Supplier_Invoices!$P5),"")</f>
        <v/>
      </c>
      <c r="AA1233" s="32">
        <f>IF($A1233=1,IF(Supplier_Invoices!$Q5="","",Supplier_Invoices!$Q5),"")</f>
        <v/>
      </c>
      <c r="AB1233" s="32">
        <f>IF($A1233=1,IF(Supplier_Invoices!$R5="","",Supplier_Invoices!$R5),"")</f>
        <v/>
      </c>
      <c r="AC1233" s="32">
        <f>IF($A1233=1,IF(Supplier_Invoices!$S5="","",Supplier_Invoices!$S5),"")</f>
        <v/>
      </c>
      <c r="AD1233" s="32">
        <f>IF($A1233=1,IF(Supplier_Invoices!$T5="","",Supplier_Invoices!$T5),"")</f>
        <v/>
      </c>
      <c r="AE1233" s="32">
        <f>IF($A1233=1,0,"")</f>
        <v/>
      </c>
      <c r="AF1233" s="32" t="inlineStr"/>
    </row>
    <row r="1234">
      <c r="A1234" s="32">
        <f>IF(AND(Supplier_Invoices!$AD6=1,N(Supplier_Invoices!$J6)&gt;0),1,0)</f>
        <v/>
      </c>
      <c r="B1234" s="32">
        <f>IF($A1234=1,$E1234&amp;"/1","")</f>
        <v/>
      </c>
      <c r="C1234" s="32">
        <f>IF($A1234=1,"J-"&amp;Supplier_Invoices!$A6,"")</f>
        <v/>
      </c>
      <c r="D1234" s="33">
        <f>IF($A1234=1,Supplier_Invoices!$E6,"")</f>
        <v/>
      </c>
      <c r="E1234" s="32">
        <f>IF($A1234=1,IF(Supplier_Invoices!$A6="","",Supplier_Invoices!$A6),"")</f>
        <v/>
      </c>
      <c r="F1234" s="32">
        <f>IF($A1234=1,"SINV","")</f>
        <v/>
      </c>
      <c r="G1234" s="32">
        <f>IF($A1234=1,IF(Supplier_Invoices!$G6="","",Supplier_Invoices!$G6),"")</f>
        <v/>
      </c>
      <c r="H1234" s="32">
        <f>IF($A1234=1,IF(COUNTIF(COA!$A:$A,$G1234)=0,"حساب غير معرف",INDEX(COA!$B:$B,MATCH($G1234,COA!$A:$A,0))),"")</f>
        <v/>
      </c>
      <c r="I1234" s="32">
        <f>IF($A1234=1,IF(Supplier_Invoices!$H6="","",Supplier_Invoices!$H6),"")</f>
        <v/>
      </c>
      <c r="J1234" s="32">
        <f>IF($A1234=1,IF(Supplier_Invoices!$I6="","",Supplier_Invoices!$I6),"")</f>
        <v/>
      </c>
      <c r="K1234" s="32">
        <f>IF($A1234=1,"-","")</f>
        <v/>
      </c>
      <c r="L1234" s="32">
        <f>IF($A1234=1,Supplier_Invoices!$F6&amp;" "&amp;Supplier_Invoices!$B6&amp;" - "&amp;Supplier_Invoices!$C6,"")</f>
        <v/>
      </c>
      <c r="M1234" s="43">
        <f>IF($A1234=1,IF(Supplier_Invoices!$V6="CN",0,Supplier_Invoices!$J6),"")</f>
        <v/>
      </c>
      <c r="N1234" s="43">
        <f>IF($A1234=1,IF(Supplier_Invoices!$V6="CN",Supplier_Invoices!$J6,0),"")</f>
        <v/>
      </c>
      <c r="O1234" s="32">
        <f>IF($A1234=1,Supplier_Invoices!$O6,"")</f>
        <v/>
      </c>
      <c r="P1234" s="32">
        <f>IF($A1234=1,IF(Supplier_Invoices!$AE6="","",Supplier_Invoices!$AE6),"")</f>
        <v/>
      </c>
      <c r="Q1234" s="32">
        <f>IF($A1234=1,Supplier_Invoices!$AG6,"")</f>
        <v/>
      </c>
      <c r="R1234" s="32">
        <f>IF($A1234=1,IF(AND($Q1234=1,COUNTIFS(COA!$A:$A,$G1234,COA!$R:$R,1)=1),1,0),"")</f>
        <v/>
      </c>
      <c r="S1234" s="43">
        <f>IF($A1234=1,IF($R1234=1,N($M1234),0),"")</f>
        <v/>
      </c>
      <c r="T1234" s="43">
        <f>IF($A1234=1,IF($R1234=1,N($N1234),0),"")</f>
        <v/>
      </c>
      <c r="U1234" s="32">
        <f>IF($A1234=1,YEAR($D1234)*100+MONTH($D1234),"")</f>
        <v/>
      </c>
      <c r="V1234" s="32">
        <f>IF($A1234=1,IF(COUNTIF(COA!$A:$A,$G1234)=0,0,INDEX(COA!$H:$H,MATCH($G1234,COA!$A:$A,0))),"")</f>
        <v/>
      </c>
      <c r="W1234" s="32">
        <f>IF($A1234=1,"","")</f>
        <v/>
      </c>
      <c r="X1234" s="32">
        <f>IF($A1234=1,IF($R1234=1,"",IF($O1234=ST_POST,IF($P1234&lt;&gt;"",$P1234,"حساب غير صالح أو غير نشط"),IF($O1234=ST_REV,"معكوس: لا أثر على الدفاتر",IF($O1234=ST_CANC,"ملغى",IF($O1234=ST_APPR,"معتمد ولم يُرحَّل","مسودة"))))),"")</f>
        <v/>
      </c>
      <c r="Y1234" s="32">
        <f>IF($A1234=1,IF(AND($R1234=1,OR(LG_Acct="",$G1234=LG_Acct),OR(LG_Party="",$K1234=LG_Party),OR(LG_Loc="ALL",$I1234=LG_Loc),OR(LG_CC="ALL",$J1234=LG_CC),$D1234&gt;=LG_From,$D1234&lt;=LG_To),$D1234+ROW()/1000000,""),"")</f>
        <v/>
      </c>
      <c r="Z1234" s="32">
        <f>IF($A1234=1,IF(Supplier_Invoices!$P6="","",Supplier_Invoices!$P6),"")</f>
        <v/>
      </c>
      <c r="AA1234" s="32">
        <f>IF($A1234=1,IF(Supplier_Invoices!$Q6="","",Supplier_Invoices!$Q6),"")</f>
        <v/>
      </c>
      <c r="AB1234" s="32">
        <f>IF($A1234=1,IF(Supplier_Invoices!$R6="","",Supplier_Invoices!$R6),"")</f>
        <v/>
      </c>
      <c r="AC1234" s="32">
        <f>IF($A1234=1,IF(Supplier_Invoices!$S6="","",Supplier_Invoices!$S6),"")</f>
        <v/>
      </c>
      <c r="AD1234" s="32">
        <f>IF($A1234=1,IF(Supplier_Invoices!$T6="","",Supplier_Invoices!$T6),"")</f>
        <v/>
      </c>
      <c r="AE1234" s="32">
        <f>IF($A1234=1,0,"")</f>
        <v/>
      </c>
      <c r="AF1234" s="32" t="inlineStr"/>
    </row>
    <row r="1235">
      <c r="A1235" s="32">
        <f>IF(AND(Supplier_Invoices!$AD6=1,N(Supplier_Invoices!$K6)&gt;0),1,0)</f>
        <v/>
      </c>
      <c r="B1235" s="32">
        <f>IF($A1235=1,$E1235&amp;"/2","")</f>
        <v/>
      </c>
      <c r="C1235" s="32">
        <f>IF($A1235=1,"J-"&amp;Supplier_Invoices!$A6,"")</f>
        <v/>
      </c>
      <c r="D1235" s="33">
        <f>IF($A1235=1,Supplier_Invoices!$E6,"")</f>
        <v/>
      </c>
      <c r="E1235" s="32">
        <f>IF($A1235=1,IF(Supplier_Invoices!$A6="","",Supplier_Invoices!$A6),"")</f>
        <v/>
      </c>
      <c r="F1235" s="32">
        <f>IF($A1235=1,"SINV","")</f>
        <v/>
      </c>
      <c r="G1235" s="32">
        <f>IF($A1235=1,ACC_VAT_IN,"")</f>
        <v/>
      </c>
      <c r="H1235" s="32">
        <f>IF($A1235=1,IF(COUNTIF(COA!$A:$A,$G1235)=0,"حساب غير معرف",INDEX(COA!$B:$B,MATCH($G1235,COA!$A:$A,0))),"")</f>
        <v/>
      </c>
      <c r="I1235" s="32">
        <f>IF($A1235=1,IF(Supplier_Invoices!$H6="","",Supplier_Invoices!$H6),"")</f>
        <v/>
      </c>
      <c r="J1235" s="32">
        <f>IF($A1235=1,IF(Supplier_Invoices!$I6="","",Supplier_Invoices!$I6),"")</f>
        <v/>
      </c>
      <c r="K1235" s="32">
        <f>IF($A1235=1,"-","")</f>
        <v/>
      </c>
      <c r="L1235" s="32">
        <f>IF($A1235=1,"ضريبة قيمة مضافة - مدخلات","")</f>
        <v/>
      </c>
      <c r="M1235" s="43">
        <f>IF($A1235=1,IF(Supplier_Invoices!$V6="CN",0,Supplier_Invoices!$K6),"")</f>
        <v/>
      </c>
      <c r="N1235" s="43">
        <f>IF($A1235=1,IF(Supplier_Invoices!$V6="CN",Supplier_Invoices!$K6,0),"")</f>
        <v/>
      </c>
      <c r="O1235" s="32">
        <f>IF($A1235=1,Supplier_Invoices!$O6,"")</f>
        <v/>
      </c>
      <c r="P1235" s="32">
        <f>IF($A1235=1,IF(Supplier_Invoices!$AE6="","",Supplier_Invoices!$AE6),"")</f>
        <v/>
      </c>
      <c r="Q1235" s="32">
        <f>IF($A1235=1,Supplier_Invoices!$AG6,"")</f>
        <v/>
      </c>
      <c r="R1235" s="32">
        <f>IF($A1235=1,IF(AND($Q1235=1,COUNTIFS(COA!$A:$A,$G1235,COA!$R:$R,1)=1),1,0),"")</f>
        <v/>
      </c>
      <c r="S1235" s="43">
        <f>IF($A1235=1,IF($R1235=1,N($M1235),0),"")</f>
        <v/>
      </c>
      <c r="T1235" s="43">
        <f>IF($A1235=1,IF($R1235=1,N($N1235),0),"")</f>
        <v/>
      </c>
      <c r="U1235" s="32">
        <f>IF($A1235=1,YEAR($D1235)*100+MONTH($D1235),"")</f>
        <v/>
      </c>
      <c r="V1235" s="32">
        <f>IF($A1235=1,IF(COUNTIF(COA!$A:$A,$G1235)=0,0,INDEX(COA!$H:$H,MATCH($G1235,COA!$A:$A,0))),"")</f>
        <v/>
      </c>
      <c r="W1235" s="32">
        <f>IF($A1235=1,"","")</f>
        <v/>
      </c>
      <c r="X1235" s="32">
        <f>IF($A1235=1,IF($R1235=1,"",IF($O1235=ST_POST,IF($P1235&lt;&gt;"",$P1235,"حساب غير صالح أو غير نشط"),IF($O1235=ST_REV,"معكوس: لا أثر على الدفاتر",IF($O1235=ST_CANC,"ملغى",IF($O1235=ST_APPR,"معتمد ولم يُرحَّل","مسودة"))))),"")</f>
        <v/>
      </c>
      <c r="Y1235" s="32">
        <f>IF($A1235=1,IF(AND($R1235=1,OR(LG_Acct="",$G1235=LG_Acct),OR(LG_Party="",$K1235=LG_Party),OR(LG_Loc="ALL",$I1235=LG_Loc),OR(LG_CC="ALL",$J1235=LG_CC),$D1235&gt;=LG_From,$D1235&lt;=LG_To),$D1235+ROW()/1000000,""),"")</f>
        <v/>
      </c>
      <c r="Z1235" s="32">
        <f>IF($A1235=1,IF(Supplier_Invoices!$P6="","",Supplier_Invoices!$P6),"")</f>
        <v/>
      </c>
      <c r="AA1235" s="32">
        <f>IF($A1235=1,IF(Supplier_Invoices!$Q6="","",Supplier_Invoices!$Q6),"")</f>
        <v/>
      </c>
      <c r="AB1235" s="32">
        <f>IF($A1235=1,IF(Supplier_Invoices!$R6="","",Supplier_Invoices!$R6),"")</f>
        <v/>
      </c>
      <c r="AC1235" s="32">
        <f>IF($A1235=1,IF(Supplier_Invoices!$S6="","",Supplier_Invoices!$S6),"")</f>
        <v/>
      </c>
      <c r="AD1235" s="32">
        <f>IF($A1235=1,IF(Supplier_Invoices!$T6="","",Supplier_Invoices!$T6),"")</f>
        <v/>
      </c>
      <c r="AE1235" s="32">
        <f>IF($A1235=1,0,"")</f>
        <v/>
      </c>
      <c r="AF1235" s="32" t="inlineStr"/>
    </row>
    <row r="1236">
      <c r="A1236" s="32">
        <f>IF(AND(Supplier_Invoices!$AD6=1,N(Supplier_Invoices!$W6)&gt;0),1,0)</f>
        <v/>
      </c>
      <c r="B1236" s="32">
        <f>IF($A1236=1,$E1236&amp;"/3","")</f>
        <v/>
      </c>
      <c r="C1236" s="32">
        <f>IF($A1236=1,"J-"&amp;Supplier_Invoices!$A6,"")</f>
        <v/>
      </c>
      <c r="D1236" s="33">
        <f>IF($A1236=1,Supplier_Invoices!$E6,"")</f>
        <v/>
      </c>
      <c r="E1236" s="32">
        <f>IF($A1236=1,IF(Supplier_Invoices!$A6="","",Supplier_Invoices!$A6),"")</f>
        <v/>
      </c>
      <c r="F1236" s="32">
        <f>IF($A1236=1,"SINV","")</f>
        <v/>
      </c>
      <c r="G1236" s="32">
        <f>IF($A1236=1,ACC_SUPPLIERS,"")</f>
        <v/>
      </c>
      <c r="H1236" s="32">
        <f>IF($A1236=1,IF(COUNTIF(COA!$A:$A,$G1236)=0,"حساب غير معرف",INDEX(COA!$B:$B,MATCH($G1236,COA!$A:$A,0))),"")</f>
        <v/>
      </c>
      <c r="I1236" s="32">
        <f>IF($A1236=1,IF(Supplier_Invoices!$H6="","",Supplier_Invoices!$H6),"")</f>
        <v/>
      </c>
      <c r="J1236" s="32">
        <f>IF($A1236=1,"CC00","")</f>
        <v/>
      </c>
      <c r="K1236" s="32">
        <f>IF($A1236=1,IF(Supplier_Invoices!$C6="","",Supplier_Invoices!$C6),"")</f>
        <v/>
      </c>
      <c r="L1236" s="32">
        <f>IF($A1236=1,Supplier_Invoices!$F6&amp;" "&amp;Supplier_Invoices!$B6&amp;" - "&amp;Supplier_Invoices!$C6,"")</f>
        <v/>
      </c>
      <c r="M1236" s="43">
        <f>IF($A1236=1,IF(Supplier_Invoices!$V6="CN",Supplier_Invoices!$W6,0),"")</f>
        <v/>
      </c>
      <c r="N1236" s="43">
        <f>IF($A1236=1,IF(Supplier_Invoices!$V6="CN",0,Supplier_Invoices!$W6),"")</f>
        <v/>
      </c>
      <c r="O1236" s="32">
        <f>IF($A1236=1,Supplier_Invoices!$O6,"")</f>
        <v/>
      </c>
      <c r="P1236" s="32">
        <f>IF($A1236=1,IF(Supplier_Invoices!$AE6="","",Supplier_Invoices!$AE6),"")</f>
        <v/>
      </c>
      <c r="Q1236" s="32">
        <f>IF($A1236=1,Supplier_Invoices!$AG6,"")</f>
        <v/>
      </c>
      <c r="R1236" s="32">
        <f>IF($A1236=1,IF(AND($Q1236=1,COUNTIFS(COA!$A:$A,$G1236,COA!$R:$R,1)=1),1,0),"")</f>
        <v/>
      </c>
      <c r="S1236" s="43">
        <f>IF($A1236=1,IF($R1236=1,N($M1236),0),"")</f>
        <v/>
      </c>
      <c r="T1236" s="43">
        <f>IF($A1236=1,IF($R1236=1,N($N1236),0),"")</f>
        <v/>
      </c>
      <c r="U1236" s="32">
        <f>IF($A1236=1,YEAR($D1236)*100+MONTH($D1236),"")</f>
        <v/>
      </c>
      <c r="V1236" s="32">
        <f>IF($A1236=1,IF(COUNTIF(COA!$A:$A,$G1236)=0,0,INDEX(COA!$H:$H,MATCH($G1236,COA!$A:$A,0))),"")</f>
        <v/>
      </c>
      <c r="W1236" s="32">
        <f>IF($A1236=1,"","")</f>
        <v/>
      </c>
      <c r="X1236" s="32">
        <f>IF($A1236=1,IF($R1236=1,"",IF($O1236=ST_POST,IF($P1236&lt;&gt;"",$P1236,"حساب غير صالح أو غير نشط"),IF($O1236=ST_REV,"معكوس: لا أثر على الدفاتر",IF($O1236=ST_CANC,"ملغى",IF($O1236=ST_APPR,"معتمد ولم يُرحَّل","مسودة"))))),"")</f>
        <v/>
      </c>
      <c r="Y1236" s="32">
        <f>IF($A1236=1,IF(AND($R1236=1,OR(LG_Acct="",$G1236=LG_Acct),OR(LG_Party="",$K1236=LG_Party),OR(LG_Loc="ALL",$I1236=LG_Loc),OR(LG_CC="ALL",$J1236=LG_CC),$D1236&gt;=LG_From,$D1236&lt;=LG_To),$D1236+ROW()/1000000,""),"")</f>
        <v/>
      </c>
      <c r="Z1236" s="32">
        <f>IF($A1236=1,IF(Supplier_Invoices!$P6="","",Supplier_Invoices!$P6),"")</f>
        <v/>
      </c>
      <c r="AA1236" s="32">
        <f>IF($A1236=1,IF(Supplier_Invoices!$Q6="","",Supplier_Invoices!$Q6),"")</f>
        <v/>
      </c>
      <c r="AB1236" s="32">
        <f>IF($A1236=1,IF(Supplier_Invoices!$R6="","",Supplier_Invoices!$R6),"")</f>
        <v/>
      </c>
      <c r="AC1236" s="32">
        <f>IF($A1236=1,IF(Supplier_Invoices!$S6="","",Supplier_Invoices!$S6),"")</f>
        <v/>
      </c>
      <c r="AD1236" s="32">
        <f>IF($A1236=1,IF(Supplier_Invoices!$T6="","",Supplier_Invoices!$T6),"")</f>
        <v/>
      </c>
      <c r="AE1236" s="32">
        <f>IF($A1236=1,0,"")</f>
        <v/>
      </c>
      <c r="AF1236" s="32" t="inlineStr"/>
    </row>
    <row r="1237">
      <c r="A1237" s="32">
        <f>IF(AND(Supplier_Invoices!$AD6=1,Supplier_Invoices!$L6&lt;&gt;"",Supplier_Invoices!$V6&lt;&gt;"CN",N(Supplier_Invoices!$W6)&gt;0),1,0)</f>
        <v/>
      </c>
      <c r="B1237" s="32">
        <f>IF($A1237=1,$E1237&amp;"/4","")</f>
        <v/>
      </c>
      <c r="C1237" s="32">
        <f>IF($A1237=1,"J-"&amp;Supplier_Invoices!$A6,"")</f>
        <v/>
      </c>
      <c r="D1237" s="33">
        <f>IF($A1237=1,Supplier_Invoices!$E6,"")</f>
        <v/>
      </c>
      <c r="E1237" s="32">
        <f>IF($A1237=1,IF(Supplier_Invoices!$A6="","",Supplier_Invoices!$A6),"")</f>
        <v/>
      </c>
      <c r="F1237" s="32">
        <f>IF($A1237=1,"SINV","")</f>
        <v/>
      </c>
      <c r="G1237" s="32">
        <f>IF($A1237=1,ACC_SUPPLIERS,"")</f>
        <v/>
      </c>
      <c r="H1237" s="32">
        <f>IF($A1237=1,IF(COUNTIF(COA!$A:$A,$G1237)=0,"حساب غير معرف",INDEX(COA!$B:$B,MATCH($G1237,COA!$A:$A,0))),"")</f>
        <v/>
      </c>
      <c r="I1237" s="32">
        <f>IF($A1237=1,IF(Supplier_Invoices!$H6="","",Supplier_Invoices!$H6),"")</f>
        <v/>
      </c>
      <c r="J1237" s="32">
        <f>IF($A1237=1,"CC00","")</f>
        <v/>
      </c>
      <c r="K1237" s="32">
        <f>IF($A1237=1,IF(Supplier_Invoices!$C6="","",Supplier_Invoices!$C6),"")</f>
        <v/>
      </c>
      <c r="L1237" s="32">
        <f>IF($A1237=1,"سداد فوري - "&amp;Supplier_Invoices!$F6&amp;" "&amp;Supplier_Invoices!$B6&amp;" - "&amp;Supplier_Invoices!$C6,"")</f>
        <v/>
      </c>
      <c r="M1237" s="43">
        <f>IF($A1237=1,Supplier_Invoices!$W6,"")</f>
        <v/>
      </c>
      <c r="N1237" s="43">
        <f>IF($A1237=1,0,"")</f>
        <v/>
      </c>
      <c r="O1237" s="32">
        <f>IF($A1237=1,Supplier_Invoices!$O6,"")</f>
        <v/>
      </c>
      <c r="P1237" s="32">
        <f>IF($A1237=1,IF(Supplier_Invoices!$AE6="","",Supplier_Invoices!$AE6),"")</f>
        <v/>
      </c>
      <c r="Q1237" s="32">
        <f>IF($A1237=1,Supplier_Invoices!$AG6,"")</f>
        <v/>
      </c>
      <c r="R1237" s="32">
        <f>IF($A1237=1,IF(AND($Q1237=1,COUNTIFS(COA!$A:$A,$G1237,COA!$R:$R,1)=1),1,0),"")</f>
        <v/>
      </c>
      <c r="S1237" s="43">
        <f>IF($A1237=1,IF($R1237=1,N($M1237),0),"")</f>
        <v/>
      </c>
      <c r="T1237" s="43">
        <f>IF($A1237=1,IF($R1237=1,N($N1237),0),"")</f>
        <v/>
      </c>
      <c r="U1237" s="32">
        <f>IF($A1237=1,YEAR($D1237)*100+MONTH($D1237),"")</f>
        <v/>
      </c>
      <c r="V1237" s="32">
        <f>IF($A1237=1,IF(COUNTIF(COA!$A:$A,$G1237)=0,0,INDEX(COA!$H:$H,MATCH($G1237,COA!$A:$A,0))),"")</f>
        <v/>
      </c>
      <c r="W1237" s="32">
        <f>IF($A1237=1,"","")</f>
        <v/>
      </c>
      <c r="X1237" s="32">
        <f>IF($A1237=1,IF($R1237=1,"",IF($O1237=ST_POST,IF($P1237&lt;&gt;"",$P1237,"حساب غير صالح أو غير نشط"),IF($O1237=ST_REV,"معكوس: لا أثر على الدفاتر",IF($O1237=ST_CANC,"ملغى",IF($O1237=ST_APPR,"معتمد ولم يُرحَّل","مسودة"))))),"")</f>
        <v/>
      </c>
      <c r="Y1237" s="32">
        <f>IF($A1237=1,IF(AND($R1237=1,OR(LG_Acct="",$G1237=LG_Acct),OR(LG_Party="",$K1237=LG_Party),OR(LG_Loc="ALL",$I1237=LG_Loc),OR(LG_CC="ALL",$J1237=LG_CC),$D1237&gt;=LG_From,$D1237&lt;=LG_To),$D1237+ROW()/1000000,""),"")</f>
        <v/>
      </c>
      <c r="Z1237" s="32">
        <f>IF($A1237=1,IF(Supplier_Invoices!$P6="","",Supplier_Invoices!$P6),"")</f>
        <v/>
      </c>
      <c r="AA1237" s="32">
        <f>IF($A1237=1,IF(Supplier_Invoices!$Q6="","",Supplier_Invoices!$Q6),"")</f>
        <v/>
      </c>
      <c r="AB1237" s="32">
        <f>IF($A1237=1,IF(Supplier_Invoices!$R6="","",Supplier_Invoices!$R6),"")</f>
        <v/>
      </c>
      <c r="AC1237" s="32">
        <f>IF($A1237=1,IF(Supplier_Invoices!$S6="","",Supplier_Invoices!$S6),"")</f>
        <v/>
      </c>
      <c r="AD1237" s="32">
        <f>IF($A1237=1,IF(Supplier_Invoices!$T6="","",Supplier_Invoices!$T6),"")</f>
        <v/>
      </c>
      <c r="AE1237" s="32">
        <f>IF($A1237=1,0,"")</f>
        <v/>
      </c>
      <c r="AF1237" s="32" t="inlineStr"/>
    </row>
    <row r="1238">
      <c r="A1238" s="32">
        <f>IF(AND(Supplier_Invoices!$AD6=1,Supplier_Invoices!$L6&lt;&gt;"",Supplier_Invoices!$V6&lt;&gt;"CN",N(Supplier_Invoices!$W6)&gt;0),1,0)</f>
        <v/>
      </c>
      <c r="B1238" s="32">
        <f>IF($A1238=1,$E1238&amp;"/5","")</f>
        <v/>
      </c>
      <c r="C1238" s="32">
        <f>IF($A1238=1,"J-"&amp;Supplier_Invoices!$A6,"")</f>
        <v/>
      </c>
      <c r="D1238" s="33">
        <f>IF($A1238=1,Supplier_Invoices!$E6,"")</f>
        <v/>
      </c>
      <c r="E1238" s="32">
        <f>IF($A1238=1,IF(Supplier_Invoices!$A6="","",Supplier_Invoices!$A6),"")</f>
        <v/>
      </c>
      <c r="F1238" s="32">
        <f>IF($A1238=1,"SINV","")</f>
        <v/>
      </c>
      <c r="G1238" s="32">
        <f>IF($A1238=1,IF(Supplier_Invoices!$AA6="","",Supplier_Invoices!$AA6),"")</f>
        <v/>
      </c>
      <c r="H1238" s="32">
        <f>IF($A1238=1,IF(COUNTIF(COA!$A:$A,$G1238)=0,"حساب غير معرف",INDEX(COA!$B:$B,MATCH($G1238,COA!$A:$A,0))),"")</f>
        <v/>
      </c>
      <c r="I1238" s="32">
        <f>IF($A1238=1,IF(Supplier_Invoices!$H6="","",Supplier_Invoices!$H6),"")</f>
        <v/>
      </c>
      <c r="J1238" s="32">
        <f>IF($A1238=1,"CC00","")</f>
        <v/>
      </c>
      <c r="K1238" s="32">
        <f>IF($A1238=1,"-","")</f>
        <v/>
      </c>
      <c r="L1238" s="32">
        <f>IF($A1238=1,"سداد فوري - "&amp;Supplier_Invoices!$F6&amp;" "&amp;Supplier_Invoices!$B6&amp;" - "&amp;Supplier_Invoices!$C6,"")</f>
        <v/>
      </c>
      <c r="M1238" s="43">
        <f>IF($A1238=1,0,"")</f>
        <v/>
      </c>
      <c r="N1238" s="43">
        <f>IF($A1238=1,Supplier_Invoices!$W6,"")</f>
        <v/>
      </c>
      <c r="O1238" s="32">
        <f>IF($A1238=1,Supplier_Invoices!$O6,"")</f>
        <v/>
      </c>
      <c r="P1238" s="32">
        <f>IF($A1238=1,IF(Supplier_Invoices!$AE6="","",Supplier_Invoices!$AE6),"")</f>
        <v/>
      </c>
      <c r="Q1238" s="32">
        <f>IF($A1238=1,Supplier_Invoices!$AG6,"")</f>
        <v/>
      </c>
      <c r="R1238" s="32">
        <f>IF($A1238=1,IF(AND($Q1238=1,COUNTIFS(COA!$A:$A,$G1238,COA!$R:$R,1)=1),1,0),"")</f>
        <v/>
      </c>
      <c r="S1238" s="43">
        <f>IF($A1238=1,IF($R1238=1,N($M1238),0),"")</f>
        <v/>
      </c>
      <c r="T1238" s="43">
        <f>IF($A1238=1,IF($R1238=1,N($N1238),0),"")</f>
        <v/>
      </c>
      <c r="U1238" s="32">
        <f>IF($A1238=1,YEAR($D1238)*100+MONTH($D1238),"")</f>
        <v/>
      </c>
      <c r="V1238" s="32">
        <f>IF($A1238=1,IF(COUNTIF(COA!$A:$A,$G1238)=0,0,INDEX(COA!$H:$H,MATCH($G1238,COA!$A:$A,0))),"")</f>
        <v/>
      </c>
      <c r="W1238" s="32">
        <f>IF($A1238=1,IF(Supplier_Invoices!$AB6="","",Supplier_Invoices!$AB6),"")</f>
        <v/>
      </c>
      <c r="X1238" s="32">
        <f>IF($A1238=1,IF($R1238=1,"",IF($O1238=ST_POST,IF($P1238&lt;&gt;"",$P1238,"حساب غير صالح أو غير نشط"),IF($O1238=ST_REV,"معكوس: لا أثر على الدفاتر",IF($O1238=ST_CANC,"ملغى",IF($O1238=ST_APPR,"معتمد ولم يُرحَّل","مسودة"))))),"")</f>
        <v/>
      </c>
      <c r="Y1238" s="32">
        <f>IF($A1238=1,IF(AND($R1238=1,OR(LG_Acct="",$G1238=LG_Acct),OR(LG_Party="",$K1238=LG_Party),OR(LG_Loc="ALL",$I1238=LG_Loc),OR(LG_CC="ALL",$J1238=LG_CC),$D1238&gt;=LG_From,$D1238&lt;=LG_To),$D1238+ROW()/1000000,""),"")</f>
        <v/>
      </c>
      <c r="Z1238" s="32">
        <f>IF($A1238=1,IF(Supplier_Invoices!$P6="","",Supplier_Invoices!$P6),"")</f>
        <v/>
      </c>
      <c r="AA1238" s="32">
        <f>IF($A1238=1,IF(Supplier_Invoices!$Q6="","",Supplier_Invoices!$Q6),"")</f>
        <v/>
      </c>
      <c r="AB1238" s="32">
        <f>IF($A1238=1,IF(Supplier_Invoices!$R6="","",Supplier_Invoices!$R6),"")</f>
        <v/>
      </c>
      <c r="AC1238" s="32">
        <f>IF($A1238=1,IF(Supplier_Invoices!$S6="","",Supplier_Invoices!$S6),"")</f>
        <v/>
      </c>
      <c r="AD1238" s="32">
        <f>IF($A1238=1,IF(Supplier_Invoices!$T6="","",Supplier_Invoices!$T6),"")</f>
        <v/>
      </c>
      <c r="AE1238" s="32">
        <f>IF($A1238=1,0,"")</f>
        <v/>
      </c>
      <c r="AF1238" s="32" t="inlineStr"/>
    </row>
    <row r="1239">
      <c r="A1239" s="32">
        <f>IF(AND(Supplier_Invoices!$AD7=1,N(Supplier_Invoices!$J7)&gt;0),1,0)</f>
        <v/>
      </c>
      <c r="B1239" s="32">
        <f>IF($A1239=1,$E1239&amp;"/1","")</f>
        <v/>
      </c>
      <c r="C1239" s="32">
        <f>IF($A1239=1,"J-"&amp;Supplier_Invoices!$A7,"")</f>
        <v/>
      </c>
      <c r="D1239" s="33">
        <f>IF($A1239=1,Supplier_Invoices!$E7,"")</f>
        <v/>
      </c>
      <c r="E1239" s="32">
        <f>IF($A1239=1,IF(Supplier_Invoices!$A7="","",Supplier_Invoices!$A7),"")</f>
        <v/>
      </c>
      <c r="F1239" s="32">
        <f>IF($A1239=1,"SINV","")</f>
        <v/>
      </c>
      <c r="G1239" s="32">
        <f>IF($A1239=1,IF(Supplier_Invoices!$G7="","",Supplier_Invoices!$G7),"")</f>
        <v/>
      </c>
      <c r="H1239" s="32">
        <f>IF($A1239=1,IF(COUNTIF(COA!$A:$A,$G1239)=0,"حساب غير معرف",INDEX(COA!$B:$B,MATCH($G1239,COA!$A:$A,0))),"")</f>
        <v/>
      </c>
      <c r="I1239" s="32">
        <f>IF($A1239=1,IF(Supplier_Invoices!$H7="","",Supplier_Invoices!$H7),"")</f>
        <v/>
      </c>
      <c r="J1239" s="32">
        <f>IF($A1239=1,IF(Supplier_Invoices!$I7="","",Supplier_Invoices!$I7),"")</f>
        <v/>
      </c>
      <c r="K1239" s="32">
        <f>IF($A1239=1,"-","")</f>
        <v/>
      </c>
      <c r="L1239" s="32">
        <f>IF($A1239=1,Supplier_Invoices!$F7&amp;" "&amp;Supplier_Invoices!$B7&amp;" - "&amp;Supplier_Invoices!$C7,"")</f>
        <v/>
      </c>
      <c r="M1239" s="43">
        <f>IF($A1239=1,IF(Supplier_Invoices!$V7="CN",0,Supplier_Invoices!$J7),"")</f>
        <v/>
      </c>
      <c r="N1239" s="43">
        <f>IF($A1239=1,IF(Supplier_Invoices!$V7="CN",Supplier_Invoices!$J7,0),"")</f>
        <v/>
      </c>
      <c r="O1239" s="32">
        <f>IF($A1239=1,Supplier_Invoices!$O7,"")</f>
        <v/>
      </c>
      <c r="P1239" s="32">
        <f>IF($A1239=1,IF(Supplier_Invoices!$AE7="","",Supplier_Invoices!$AE7),"")</f>
        <v/>
      </c>
      <c r="Q1239" s="32">
        <f>IF($A1239=1,Supplier_Invoices!$AG7,"")</f>
        <v/>
      </c>
      <c r="R1239" s="32">
        <f>IF($A1239=1,IF(AND($Q1239=1,COUNTIFS(COA!$A:$A,$G1239,COA!$R:$R,1)=1),1,0),"")</f>
        <v/>
      </c>
      <c r="S1239" s="43">
        <f>IF($A1239=1,IF($R1239=1,N($M1239),0),"")</f>
        <v/>
      </c>
      <c r="T1239" s="43">
        <f>IF($A1239=1,IF($R1239=1,N($N1239),0),"")</f>
        <v/>
      </c>
      <c r="U1239" s="32">
        <f>IF($A1239=1,YEAR($D1239)*100+MONTH($D1239),"")</f>
        <v/>
      </c>
      <c r="V1239" s="32">
        <f>IF($A1239=1,IF(COUNTIF(COA!$A:$A,$G1239)=0,0,INDEX(COA!$H:$H,MATCH($G1239,COA!$A:$A,0))),"")</f>
        <v/>
      </c>
      <c r="W1239" s="32">
        <f>IF($A1239=1,"","")</f>
        <v/>
      </c>
      <c r="X1239" s="32">
        <f>IF($A1239=1,IF($R1239=1,"",IF($O1239=ST_POST,IF($P1239&lt;&gt;"",$P1239,"حساب غير صالح أو غير نشط"),IF($O1239=ST_REV,"معكوس: لا أثر على الدفاتر",IF($O1239=ST_CANC,"ملغى",IF($O1239=ST_APPR,"معتمد ولم يُرحَّل","مسودة"))))),"")</f>
        <v/>
      </c>
      <c r="Y1239" s="32">
        <f>IF($A1239=1,IF(AND($R1239=1,OR(LG_Acct="",$G1239=LG_Acct),OR(LG_Party="",$K1239=LG_Party),OR(LG_Loc="ALL",$I1239=LG_Loc),OR(LG_CC="ALL",$J1239=LG_CC),$D1239&gt;=LG_From,$D1239&lt;=LG_To),$D1239+ROW()/1000000,""),"")</f>
        <v/>
      </c>
      <c r="Z1239" s="32">
        <f>IF($A1239=1,IF(Supplier_Invoices!$P7="","",Supplier_Invoices!$P7),"")</f>
        <v/>
      </c>
      <c r="AA1239" s="32">
        <f>IF($A1239=1,IF(Supplier_Invoices!$Q7="","",Supplier_Invoices!$Q7),"")</f>
        <v/>
      </c>
      <c r="AB1239" s="32">
        <f>IF($A1239=1,IF(Supplier_Invoices!$R7="","",Supplier_Invoices!$R7),"")</f>
        <v/>
      </c>
      <c r="AC1239" s="32">
        <f>IF($A1239=1,IF(Supplier_Invoices!$S7="","",Supplier_Invoices!$S7),"")</f>
        <v/>
      </c>
      <c r="AD1239" s="32">
        <f>IF($A1239=1,IF(Supplier_Invoices!$T7="","",Supplier_Invoices!$T7),"")</f>
        <v/>
      </c>
      <c r="AE1239" s="32">
        <f>IF($A1239=1,0,"")</f>
        <v/>
      </c>
      <c r="AF1239" s="32" t="inlineStr"/>
    </row>
    <row r="1240">
      <c r="A1240" s="32">
        <f>IF(AND(Supplier_Invoices!$AD7=1,N(Supplier_Invoices!$K7)&gt;0),1,0)</f>
        <v/>
      </c>
      <c r="B1240" s="32">
        <f>IF($A1240=1,$E1240&amp;"/2","")</f>
        <v/>
      </c>
      <c r="C1240" s="32">
        <f>IF($A1240=1,"J-"&amp;Supplier_Invoices!$A7,"")</f>
        <v/>
      </c>
      <c r="D1240" s="33">
        <f>IF($A1240=1,Supplier_Invoices!$E7,"")</f>
        <v/>
      </c>
      <c r="E1240" s="32">
        <f>IF($A1240=1,IF(Supplier_Invoices!$A7="","",Supplier_Invoices!$A7),"")</f>
        <v/>
      </c>
      <c r="F1240" s="32">
        <f>IF($A1240=1,"SINV","")</f>
        <v/>
      </c>
      <c r="G1240" s="32">
        <f>IF($A1240=1,ACC_VAT_IN,"")</f>
        <v/>
      </c>
      <c r="H1240" s="32">
        <f>IF($A1240=1,IF(COUNTIF(COA!$A:$A,$G1240)=0,"حساب غير معرف",INDEX(COA!$B:$B,MATCH($G1240,COA!$A:$A,0))),"")</f>
        <v/>
      </c>
      <c r="I1240" s="32">
        <f>IF($A1240=1,IF(Supplier_Invoices!$H7="","",Supplier_Invoices!$H7),"")</f>
        <v/>
      </c>
      <c r="J1240" s="32">
        <f>IF($A1240=1,IF(Supplier_Invoices!$I7="","",Supplier_Invoices!$I7),"")</f>
        <v/>
      </c>
      <c r="K1240" s="32">
        <f>IF($A1240=1,"-","")</f>
        <v/>
      </c>
      <c r="L1240" s="32">
        <f>IF($A1240=1,"ضريبة قيمة مضافة - مدخلات","")</f>
        <v/>
      </c>
      <c r="M1240" s="43">
        <f>IF($A1240=1,IF(Supplier_Invoices!$V7="CN",0,Supplier_Invoices!$K7),"")</f>
        <v/>
      </c>
      <c r="N1240" s="43">
        <f>IF($A1240=1,IF(Supplier_Invoices!$V7="CN",Supplier_Invoices!$K7,0),"")</f>
        <v/>
      </c>
      <c r="O1240" s="32">
        <f>IF($A1240=1,Supplier_Invoices!$O7,"")</f>
        <v/>
      </c>
      <c r="P1240" s="32">
        <f>IF($A1240=1,IF(Supplier_Invoices!$AE7="","",Supplier_Invoices!$AE7),"")</f>
        <v/>
      </c>
      <c r="Q1240" s="32">
        <f>IF($A1240=1,Supplier_Invoices!$AG7,"")</f>
        <v/>
      </c>
      <c r="R1240" s="32">
        <f>IF($A1240=1,IF(AND($Q1240=1,COUNTIFS(COA!$A:$A,$G1240,COA!$R:$R,1)=1),1,0),"")</f>
        <v/>
      </c>
      <c r="S1240" s="43">
        <f>IF($A1240=1,IF($R1240=1,N($M1240),0),"")</f>
        <v/>
      </c>
      <c r="T1240" s="43">
        <f>IF($A1240=1,IF($R1240=1,N($N1240),0),"")</f>
        <v/>
      </c>
      <c r="U1240" s="32">
        <f>IF($A1240=1,YEAR($D1240)*100+MONTH($D1240),"")</f>
        <v/>
      </c>
      <c r="V1240" s="32">
        <f>IF($A1240=1,IF(COUNTIF(COA!$A:$A,$G1240)=0,0,INDEX(COA!$H:$H,MATCH($G1240,COA!$A:$A,0))),"")</f>
        <v/>
      </c>
      <c r="W1240" s="32">
        <f>IF($A1240=1,"","")</f>
        <v/>
      </c>
      <c r="X1240" s="32">
        <f>IF($A1240=1,IF($R1240=1,"",IF($O1240=ST_POST,IF($P1240&lt;&gt;"",$P1240,"حساب غير صالح أو غير نشط"),IF($O1240=ST_REV,"معكوس: لا أثر على الدفاتر",IF($O1240=ST_CANC,"ملغى",IF($O1240=ST_APPR,"معتمد ولم يُرحَّل","مسودة"))))),"")</f>
        <v/>
      </c>
      <c r="Y1240" s="32">
        <f>IF($A1240=1,IF(AND($R1240=1,OR(LG_Acct="",$G1240=LG_Acct),OR(LG_Party="",$K1240=LG_Party),OR(LG_Loc="ALL",$I1240=LG_Loc),OR(LG_CC="ALL",$J1240=LG_CC),$D1240&gt;=LG_From,$D1240&lt;=LG_To),$D1240+ROW()/1000000,""),"")</f>
        <v/>
      </c>
      <c r="Z1240" s="32">
        <f>IF($A1240=1,IF(Supplier_Invoices!$P7="","",Supplier_Invoices!$P7),"")</f>
        <v/>
      </c>
      <c r="AA1240" s="32">
        <f>IF($A1240=1,IF(Supplier_Invoices!$Q7="","",Supplier_Invoices!$Q7),"")</f>
        <v/>
      </c>
      <c r="AB1240" s="32">
        <f>IF($A1240=1,IF(Supplier_Invoices!$R7="","",Supplier_Invoices!$R7),"")</f>
        <v/>
      </c>
      <c r="AC1240" s="32">
        <f>IF($A1240=1,IF(Supplier_Invoices!$S7="","",Supplier_Invoices!$S7),"")</f>
        <v/>
      </c>
      <c r="AD1240" s="32">
        <f>IF($A1240=1,IF(Supplier_Invoices!$T7="","",Supplier_Invoices!$T7),"")</f>
        <v/>
      </c>
      <c r="AE1240" s="32">
        <f>IF($A1240=1,0,"")</f>
        <v/>
      </c>
      <c r="AF1240" s="32" t="inlineStr"/>
    </row>
    <row r="1241">
      <c r="A1241" s="32">
        <f>IF(AND(Supplier_Invoices!$AD7=1,N(Supplier_Invoices!$W7)&gt;0),1,0)</f>
        <v/>
      </c>
      <c r="B1241" s="32">
        <f>IF($A1241=1,$E1241&amp;"/3","")</f>
        <v/>
      </c>
      <c r="C1241" s="32">
        <f>IF($A1241=1,"J-"&amp;Supplier_Invoices!$A7,"")</f>
        <v/>
      </c>
      <c r="D1241" s="33">
        <f>IF($A1241=1,Supplier_Invoices!$E7,"")</f>
        <v/>
      </c>
      <c r="E1241" s="32">
        <f>IF($A1241=1,IF(Supplier_Invoices!$A7="","",Supplier_Invoices!$A7),"")</f>
        <v/>
      </c>
      <c r="F1241" s="32">
        <f>IF($A1241=1,"SINV","")</f>
        <v/>
      </c>
      <c r="G1241" s="32">
        <f>IF($A1241=1,ACC_SUPPLIERS,"")</f>
        <v/>
      </c>
      <c r="H1241" s="32">
        <f>IF($A1241=1,IF(COUNTIF(COA!$A:$A,$G1241)=0,"حساب غير معرف",INDEX(COA!$B:$B,MATCH($G1241,COA!$A:$A,0))),"")</f>
        <v/>
      </c>
      <c r="I1241" s="32">
        <f>IF($A1241=1,IF(Supplier_Invoices!$H7="","",Supplier_Invoices!$H7),"")</f>
        <v/>
      </c>
      <c r="J1241" s="32">
        <f>IF($A1241=1,"CC00","")</f>
        <v/>
      </c>
      <c r="K1241" s="32">
        <f>IF($A1241=1,IF(Supplier_Invoices!$C7="","",Supplier_Invoices!$C7),"")</f>
        <v/>
      </c>
      <c r="L1241" s="32">
        <f>IF($A1241=1,Supplier_Invoices!$F7&amp;" "&amp;Supplier_Invoices!$B7&amp;" - "&amp;Supplier_Invoices!$C7,"")</f>
        <v/>
      </c>
      <c r="M1241" s="43">
        <f>IF($A1241=1,IF(Supplier_Invoices!$V7="CN",Supplier_Invoices!$W7,0),"")</f>
        <v/>
      </c>
      <c r="N1241" s="43">
        <f>IF($A1241=1,IF(Supplier_Invoices!$V7="CN",0,Supplier_Invoices!$W7),"")</f>
        <v/>
      </c>
      <c r="O1241" s="32">
        <f>IF($A1241=1,Supplier_Invoices!$O7,"")</f>
        <v/>
      </c>
      <c r="P1241" s="32">
        <f>IF($A1241=1,IF(Supplier_Invoices!$AE7="","",Supplier_Invoices!$AE7),"")</f>
        <v/>
      </c>
      <c r="Q1241" s="32">
        <f>IF($A1241=1,Supplier_Invoices!$AG7,"")</f>
        <v/>
      </c>
      <c r="R1241" s="32">
        <f>IF($A1241=1,IF(AND($Q1241=1,COUNTIFS(COA!$A:$A,$G1241,COA!$R:$R,1)=1),1,0),"")</f>
        <v/>
      </c>
      <c r="S1241" s="43">
        <f>IF($A1241=1,IF($R1241=1,N($M1241),0),"")</f>
        <v/>
      </c>
      <c r="T1241" s="43">
        <f>IF($A1241=1,IF($R1241=1,N($N1241),0),"")</f>
        <v/>
      </c>
      <c r="U1241" s="32">
        <f>IF($A1241=1,YEAR($D1241)*100+MONTH($D1241),"")</f>
        <v/>
      </c>
      <c r="V1241" s="32">
        <f>IF($A1241=1,IF(COUNTIF(COA!$A:$A,$G1241)=0,0,INDEX(COA!$H:$H,MATCH($G1241,COA!$A:$A,0))),"")</f>
        <v/>
      </c>
      <c r="W1241" s="32">
        <f>IF($A1241=1,"","")</f>
        <v/>
      </c>
      <c r="X1241" s="32">
        <f>IF($A1241=1,IF($R1241=1,"",IF($O1241=ST_POST,IF($P1241&lt;&gt;"",$P1241,"حساب غير صالح أو غير نشط"),IF($O1241=ST_REV,"معكوس: لا أثر على الدفاتر",IF($O1241=ST_CANC,"ملغى",IF($O1241=ST_APPR,"معتمد ولم يُرحَّل","مسودة"))))),"")</f>
        <v/>
      </c>
      <c r="Y1241" s="32">
        <f>IF($A1241=1,IF(AND($R1241=1,OR(LG_Acct="",$G1241=LG_Acct),OR(LG_Party="",$K1241=LG_Party),OR(LG_Loc="ALL",$I1241=LG_Loc),OR(LG_CC="ALL",$J1241=LG_CC),$D1241&gt;=LG_From,$D1241&lt;=LG_To),$D1241+ROW()/1000000,""),"")</f>
        <v/>
      </c>
      <c r="Z1241" s="32">
        <f>IF($A1241=1,IF(Supplier_Invoices!$P7="","",Supplier_Invoices!$P7),"")</f>
        <v/>
      </c>
      <c r="AA1241" s="32">
        <f>IF($A1241=1,IF(Supplier_Invoices!$Q7="","",Supplier_Invoices!$Q7),"")</f>
        <v/>
      </c>
      <c r="AB1241" s="32">
        <f>IF($A1241=1,IF(Supplier_Invoices!$R7="","",Supplier_Invoices!$R7),"")</f>
        <v/>
      </c>
      <c r="AC1241" s="32">
        <f>IF($A1241=1,IF(Supplier_Invoices!$S7="","",Supplier_Invoices!$S7),"")</f>
        <v/>
      </c>
      <c r="AD1241" s="32">
        <f>IF($A1241=1,IF(Supplier_Invoices!$T7="","",Supplier_Invoices!$T7),"")</f>
        <v/>
      </c>
      <c r="AE1241" s="32">
        <f>IF($A1241=1,0,"")</f>
        <v/>
      </c>
      <c r="AF1241" s="32" t="inlineStr"/>
    </row>
    <row r="1242">
      <c r="A1242" s="32">
        <f>IF(AND(Supplier_Invoices!$AD7=1,Supplier_Invoices!$L7&lt;&gt;"",Supplier_Invoices!$V7&lt;&gt;"CN",N(Supplier_Invoices!$W7)&gt;0),1,0)</f>
        <v/>
      </c>
      <c r="B1242" s="32">
        <f>IF($A1242=1,$E1242&amp;"/4","")</f>
        <v/>
      </c>
      <c r="C1242" s="32">
        <f>IF($A1242=1,"J-"&amp;Supplier_Invoices!$A7,"")</f>
        <v/>
      </c>
      <c r="D1242" s="33">
        <f>IF($A1242=1,Supplier_Invoices!$E7,"")</f>
        <v/>
      </c>
      <c r="E1242" s="32">
        <f>IF($A1242=1,IF(Supplier_Invoices!$A7="","",Supplier_Invoices!$A7),"")</f>
        <v/>
      </c>
      <c r="F1242" s="32">
        <f>IF($A1242=1,"SINV","")</f>
        <v/>
      </c>
      <c r="G1242" s="32">
        <f>IF($A1242=1,ACC_SUPPLIERS,"")</f>
        <v/>
      </c>
      <c r="H1242" s="32">
        <f>IF($A1242=1,IF(COUNTIF(COA!$A:$A,$G1242)=0,"حساب غير معرف",INDEX(COA!$B:$B,MATCH($G1242,COA!$A:$A,0))),"")</f>
        <v/>
      </c>
      <c r="I1242" s="32">
        <f>IF($A1242=1,IF(Supplier_Invoices!$H7="","",Supplier_Invoices!$H7),"")</f>
        <v/>
      </c>
      <c r="J1242" s="32">
        <f>IF($A1242=1,"CC00","")</f>
        <v/>
      </c>
      <c r="K1242" s="32">
        <f>IF($A1242=1,IF(Supplier_Invoices!$C7="","",Supplier_Invoices!$C7),"")</f>
        <v/>
      </c>
      <c r="L1242" s="32">
        <f>IF($A1242=1,"سداد فوري - "&amp;Supplier_Invoices!$F7&amp;" "&amp;Supplier_Invoices!$B7&amp;" - "&amp;Supplier_Invoices!$C7,"")</f>
        <v/>
      </c>
      <c r="M1242" s="43">
        <f>IF($A1242=1,Supplier_Invoices!$W7,"")</f>
        <v/>
      </c>
      <c r="N1242" s="43">
        <f>IF($A1242=1,0,"")</f>
        <v/>
      </c>
      <c r="O1242" s="32">
        <f>IF($A1242=1,Supplier_Invoices!$O7,"")</f>
        <v/>
      </c>
      <c r="P1242" s="32">
        <f>IF($A1242=1,IF(Supplier_Invoices!$AE7="","",Supplier_Invoices!$AE7),"")</f>
        <v/>
      </c>
      <c r="Q1242" s="32">
        <f>IF($A1242=1,Supplier_Invoices!$AG7,"")</f>
        <v/>
      </c>
      <c r="R1242" s="32">
        <f>IF($A1242=1,IF(AND($Q1242=1,COUNTIFS(COA!$A:$A,$G1242,COA!$R:$R,1)=1),1,0),"")</f>
        <v/>
      </c>
      <c r="S1242" s="43">
        <f>IF($A1242=1,IF($R1242=1,N($M1242),0),"")</f>
        <v/>
      </c>
      <c r="T1242" s="43">
        <f>IF($A1242=1,IF($R1242=1,N($N1242),0),"")</f>
        <v/>
      </c>
      <c r="U1242" s="32">
        <f>IF($A1242=1,YEAR($D1242)*100+MONTH($D1242),"")</f>
        <v/>
      </c>
      <c r="V1242" s="32">
        <f>IF($A1242=1,IF(COUNTIF(COA!$A:$A,$G1242)=0,0,INDEX(COA!$H:$H,MATCH($G1242,COA!$A:$A,0))),"")</f>
        <v/>
      </c>
      <c r="W1242" s="32">
        <f>IF($A1242=1,"","")</f>
        <v/>
      </c>
      <c r="X1242" s="32">
        <f>IF($A1242=1,IF($R1242=1,"",IF($O1242=ST_POST,IF($P1242&lt;&gt;"",$P1242,"حساب غير صالح أو غير نشط"),IF($O1242=ST_REV,"معكوس: لا أثر على الدفاتر",IF($O1242=ST_CANC,"ملغى",IF($O1242=ST_APPR,"معتمد ولم يُرحَّل","مسودة"))))),"")</f>
        <v/>
      </c>
      <c r="Y1242" s="32">
        <f>IF($A1242=1,IF(AND($R1242=1,OR(LG_Acct="",$G1242=LG_Acct),OR(LG_Party="",$K1242=LG_Party),OR(LG_Loc="ALL",$I1242=LG_Loc),OR(LG_CC="ALL",$J1242=LG_CC),$D1242&gt;=LG_From,$D1242&lt;=LG_To),$D1242+ROW()/1000000,""),"")</f>
        <v/>
      </c>
      <c r="Z1242" s="32">
        <f>IF($A1242=1,IF(Supplier_Invoices!$P7="","",Supplier_Invoices!$P7),"")</f>
        <v/>
      </c>
      <c r="AA1242" s="32">
        <f>IF($A1242=1,IF(Supplier_Invoices!$Q7="","",Supplier_Invoices!$Q7),"")</f>
        <v/>
      </c>
      <c r="AB1242" s="32">
        <f>IF($A1242=1,IF(Supplier_Invoices!$R7="","",Supplier_Invoices!$R7),"")</f>
        <v/>
      </c>
      <c r="AC1242" s="32">
        <f>IF($A1242=1,IF(Supplier_Invoices!$S7="","",Supplier_Invoices!$S7),"")</f>
        <v/>
      </c>
      <c r="AD1242" s="32">
        <f>IF($A1242=1,IF(Supplier_Invoices!$T7="","",Supplier_Invoices!$T7),"")</f>
        <v/>
      </c>
      <c r="AE1242" s="32">
        <f>IF($A1242=1,0,"")</f>
        <v/>
      </c>
      <c r="AF1242" s="32" t="inlineStr"/>
    </row>
    <row r="1243">
      <c r="A1243" s="32">
        <f>IF(AND(Supplier_Invoices!$AD7=1,Supplier_Invoices!$L7&lt;&gt;"",Supplier_Invoices!$V7&lt;&gt;"CN",N(Supplier_Invoices!$W7)&gt;0),1,0)</f>
        <v/>
      </c>
      <c r="B1243" s="32">
        <f>IF($A1243=1,$E1243&amp;"/5","")</f>
        <v/>
      </c>
      <c r="C1243" s="32">
        <f>IF($A1243=1,"J-"&amp;Supplier_Invoices!$A7,"")</f>
        <v/>
      </c>
      <c r="D1243" s="33">
        <f>IF($A1243=1,Supplier_Invoices!$E7,"")</f>
        <v/>
      </c>
      <c r="E1243" s="32">
        <f>IF($A1243=1,IF(Supplier_Invoices!$A7="","",Supplier_Invoices!$A7),"")</f>
        <v/>
      </c>
      <c r="F1243" s="32">
        <f>IF($A1243=1,"SINV","")</f>
        <v/>
      </c>
      <c r="G1243" s="32">
        <f>IF($A1243=1,IF(Supplier_Invoices!$AA7="","",Supplier_Invoices!$AA7),"")</f>
        <v/>
      </c>
      <c r="H1243" s="32">
        <f>IF($A1243=1,IF(COUNTIF(COA!$A:$A,$G1243)=0,"حساب غير معرف",INDEX(COA!$B:$B,MATCH($G1243,COA!$A:$A,0))),"")</f>
        <v/>
      </c>
      <c r="I1243" s="32">
        <f>IF($A1243=1,IF(Supplier_Invoices!$H7="","",Supplier_Invoices!$H7),"")</f>
        <v/>
      </c>
      <c r="J1243" s="32">
        <f>IF($A1243=1,"CC00","")</f>
        <v/>
      </c>
      <c r="K1243" s="32">
        <f>IF($A1243=1,"-","")</f>
        <v/>
      </c>
      <c r="L1243" s="32">
        <f>IF($A1243=1,"سداد فوري - "&amp;Supplier_Invoices!$F7&amp;" "&amp;Supplier_Invoices!$B7&amp;" - "&amp;Supplier_Invoices!$C7,"")</f>
        <v/>
      </c>
      <c r="M1243" s="43">
        <f>IF($A1243=1,0,"")</f>
        <v/>
      </c>
      <c r="N1243" s="43">
        <f>IF($A1243=1,Supplier_Invoices!$W7,"")</f>
        <v/>
      </c>
      <c r="O1243" s="32">
        <f>IF($A1243=1,Supplier_Invoices!$O7,"")</f>
        <v/>
      </c>
      <c r="P1243" s="32">
        <f>IF($A1243=1,IF(Supplier_Invoices!$AE7="","",Supplier_Invoices!$AE7),"")</f>
        <v/>
      </c>
      <c r="Q1243" s="32">
        <f>IF($A1243=1,Supplier_Invoices!$AG7,"")</f>
        <v/>
      </c>
      <c r="R1243" s="32">
        <f>IF($A1243=1,IF(AND($Q1243=1,COUNTIFS(COA!$A:$A,$G1243,COA!$R:$R,1)=1),1,0),"")</f>
        <v/>
      </c>
      <c r="S1243" s="43">
        <f>IF($A1243=1,IF($R1243=1,N($M1243),0),"")</f>
        <v/>
      </c>
      <c r="T1243" s="43">
        <f>IF($A1243=1,IF($R1243=1,N($N1243),0),"")</f>
        <v/>
      </c>
      <c r="U1243" s="32">
        <f>IF($A1243=1,YEAR($D1243)*100+MONTH($D1243),"")</f>
        <v/>
      </c>
      <c r="V1243" s="32">
        <f>IF($A1243=1,IF(COUNTIF(COA!$A:$A,$G1243)=0,0,INDEX(COA!$H:$H,MATCH($G1243,COA!$A:$A,0))),"")</f>
        <v/>
      </c>
      <c r="W1243" s="32">
        <f>IF($A1243=1,IF(Supplier_Invoices!$AB7="","",Supplier_Invoices!$AB7),"")</f>
        <v/>
      </c>
      <c r="X1243" s="32">
        <f>IF($A1243=1,IF($R1243=1,"",IF($O1243=ST_POST,IF($P1243&lt;&gt;"",$P1243,"حساب غير صالح أو غير نشط"),IF($O1243=ST_REV,"معكوس: لا أثر على الدفاتر",IF($O1243=ST_CANC,"ملغى",IF($O1243=ST_APPR,"معتمد ولم يُرحَّل","مسودة"))))),"")</f>
        <v/>
      </c>
      <c r="Y1243" s="32">
        <f>IF($A1243=1,IF(AND($R1243=1,OR(LG_Acct="",$G1243=LG_Acct),OR(LG_Party="",$K1243=LG_Party),OR(LG_Loc="ALL",$I1243=LG_Loc),OR(LG_CC="ALL",$J1243=LG_CC),$D1243&gt;=LG_From,$D1243&lt;=LG_To),$D1243+ROW()/1000000,""),"")</f>
        <v/>
      </c>
      <c r="Z1243" s="32">
        <f>IF($A1243=1,IF(Supplier_Invoices!$P7="","",Supplier_Invoices!$P7),"")</f>
        <v/>
      </c>
      <c r="AA1243" s="32">
        <f>IF($A1243=1,IF(Supplier_Invoices!$Q7="","",Supplier_Invoices!$Q7),"")</f>
        <v/>
      </c>
      <c r="AB1243" s="32">
        <f>IF($A1243=1,IF(Supplier_Invoices!$R7="","",Supplier_Invoices!$R7),"")</f>
        <v/>
      </c>
      <c r="AC1243" s="32">
        <f>IF($A1243=1,IF(Supplier_Invoices!$S7="","",Supplier_Invoices!$S7),"")</f>
        <v/>
      </c>
      <c r="AD1243" s="32">
        <f>IF($A1243=1,IF(Supplier_Invoices!$T7="","",Supplier_Invoices!$T7),"")</f>
        <v/>
      </c>
      <c r="AE1243" s="32">
        <f>IF($A1243=1,0,"")</f>
        <v/>
      </c>
      <c r="AF1243" s="32" t="inlineStr"/>
    </row>
    <row r="1244">
      <c r="A1244" s="32">
        <f>IF(AND(Supplier_Invoices!$AD8=1,N(Supplier_Invoices!$J8)&gt;0),1,0)</f>
        <v/>
      </c>
      <c r="B1244" s="32">
        <f>IF($A1244=1,$E1244&amp;"/1","")</f>
        <v/>
      </c>
      <c r="C1244" s="32">
        <f>IF($A1244=1,"J-"&amp;Supplier_Invoices!$A8,"")</f>
        <v/>
      </c>
      <c r="D1244" s="33">
        <f>IF($A1244=1,Supplier_Invoices!$E8,"")</f>
        <v/>
      </c>
      <c r="E1244" s="32">
        <f>IF($A1244=1,IF(Supplier_Invoices!$A8="","",Supplier_Invoices!$A8),"")</f>
        <v/>
      </c>
      <c r="F1244" s="32">
        <f>IF($A1244=1,"SINV","")</f>
        <v/>
      </c>
      <c r="G1244" s="32">
        <f>IF($A1244=1,IF(Supplier_Invoices!$G8="","",Supplier_Invoices!$G8),"")</f>
        <v/>
      </c>
      <c r="H1244" s="32">
        <f>IF($A1244=1,IF(COUNTIF(COA!$A:$A,$G1244)=0,"حساب غير معرف",INDEX(COA!$B:$B,MATCH($G1244,COA!$A:$A,0))),"")</f>
        <v/>
      </c>
      <c r="I1244" s="32">
        <f>IF($A1244=1,IF(Supplier_Invoices!$H8="","",Supplier_Invoices!$H8),"")</f>
        <v/>
      </c>
      <c r="J1244" s="32">
        <f>IF($A1244=1,IF(Supplier_Invoices!$I8="","",Supplier_Invoices!$I8),"")</f>
        <v/>
      </c>
      <c r="K1244" s="32">
        <f>IF($A1244=1,"-","")</f>
        <v/>
      </c>
      <c r="L1244" s="32">
        <f>IF($A1244=1,Supplier_Invoices!$F8&amp;" "&amp;Supplier_Invoices!$B8&amp;" - "&amp;Supplier_Invoices!$C8,"")</f>
        <v/>
      </c>
      <c r="M1244" s="43">
        <f>IF($A1244=1,IF(Supplier_Invoices!$V8="CN",0,Supplier_Invoices!$J8),"")</f>
        <v/>
      </c>
      <c r="N1244" s="43">
        <f>IF($A1244=1,IF(Supplier_Invoices!$V8="CN",Supplier_Invoices!$J8,0),"")</f>
        <v/>
      </c>
      <c r="O1244" s="32">
        <f>IF($A1244=1,Supplier_Invoices!$O8,"")</f>
        <v/>
      </c>
      <c r="P1244" s="32">
        <f>IF($A1244=1,IF(Supplier_Invoices!$AE8="","",Supplier_Invoices!$AE8),"")</f>
        <v/>
      </c>
      <c r="Q1244" s="32">
        <f>IF($A1244=1,Supplier_Invoices!$AG8,"")</f>
        <v/>
      </c>
      <c r="R1244" s="32">
        <f>IF($A1244=1,IF(AND($Q1244=1,COUNTIFS(COA!$A:$A,$G1244,COA!$R:$R,1)=1),1,0),"")</f>
        <v/>
      </c>
      <c r="S1244" s="43">
        <f>IF($A1244=1,IF($R1244=1,N($M1244),0),"")</f>
        <v/>
      </c>
      <c r="T1244" s="43">
        <f>IF($A1244=1,IF($R1244=1,N($N1244),0),"")</f>
        <v/>
      </c>
      <c r="U1244" s="32">
        <f>IF($A1244=1,YEAR($D1244)*100+MONTH($D1244),"")</f>
        <v/>
      </c>
      <c r="V1244" s="32">
        <f>IF($A1244=1,IF(COUNTIF(COA!$A:$A,$G1244)=0,0,INDEX(COA!$H:$H,MATCH($G1244,COA!$A:$A,0))),"")</f>
        <v/>
      </c>
      <c r="W1244" s="32">
        <f>IF($A1244=1,"","")</f>
        <v/>
      </c>
      <c r="X1244" s="32">
        <f>IF($A1244=1,IF($R1244=1,"",IF($O1244=ST_POST,IF($P1244&lt;&gt;"",$P1244,"حساب غير صالح أو غير نشط"),IF($O1244=ST_REV,"معكوس: لا أثر على الدفاتر",IF($O1244=ST_CANC,"ملغى",IF($O1244=ST_APPR,"معتمد ولم يُرحَّل","مسودة"))))),"")</f>
        <v/>
      </c>
      <c r="Y1244" s="32">
        <f>IF($A1244=1,IF(AND($R1244=1,OR(LG_Acct="",$G1244=LG_Acct),OR(LG_Party="",$K1244=LG_Party),OR(LG_Loc="ALL",$I1244=LG_Loc),OR(LG_CC="ALL",$J1244=LG_CC),$D1244&gt;=LG_From,$D1244&lt;=LG_To),$D1244+ROW()/1000000,""),"")</f>
        <v/>
      </c>
      <c r="Z1244" s="32">
        <f>IF($A1244=1,IF(Supplier_Invoices!$P8="","",Supplier_Invoices!$P8),"")</f>
        <v/>
      </c>
      <c r="AA1244" s="32">
        <f>IF($A1244=1,IF(Supplier_Invoices!$Q8="","",Supplier_Invoices!$Q8),"")</f>
        <v/>
      </c>
      <c r="AB1244" s="32">
        <f>IF($A1244=1,IF(Supplier_Invoices!$R8="","",Supplier_Invoices!$R8),"")</f>
        <v/>
      </c>
      <c r="AC1244" s="32">
        <f>IF($A1244=1,IF(Supplier_Invoices!$S8="","",Supplier_Invoices!$S8),"")</f>
        <v/>
      </c>
      <c r="AD1244" s="32">
        <f>IF($A1244=1,IF(Supplier_Invoices!$T8="","",Supplier_Invoices!$T8),"")</f>
        <v/>
      </c>
      <c r="AE1244" s="32">
        <f>IF($A1244=1,0,"")</f>
        <v/>
      </c>
      <c r="AF1244" s="32" t="inlineStr"/>
    </row>
    <row r="1245">
      <c r="A1245" s="32">
        <f>IF(AND(Supplier_Invoices!$AD8=1,N(Supplier_Invoices!$K8)&gt;0),1,0)</f>
        <v/>
      </c>
      <c r="B1245" s="32">
        <f>IF($A1245=1,$E1245&amp;"/2","")</f>
        <v/>
      </c>
      <c r="C1245" s="32">
        <f>IF($A1245=1,"J-"&amp;Supplier_Invoices!$A8,"")</f>
        <v/>
      </c>
      <c r="D1245" s="33">
        <f>IF($A1245=1,Supplier_Invoices!$E8,"")</f>
        <v/>
      </c>
      <c r="E1245" s="32">
        <f>IF($A1245=1,IF(Supplier_Invoices!$A8="","",Supplier_Invoices!$A8),"")</f>
        <v/>
      </c>
      <c r="F1245" s="32">
        <f>IF($A1245=1,"SINV","")</f>
        <v/>
      </c>
      <c r="G1245" s="32">
        <f>IF($A1245=1,ACC_VAT_IN,"")</f>
        <v/>
      </c>
      <c r="H1245" s="32">
        <f>IF($A1245=1,IF(COUNTIF(COA!$A:$A,$G1245)=0,"حساب غير معرف",INDEX(COA!$B:$B,MATCH($G1245,COA!$A:$A,0))),"")</f>
        <v/>
      </c>
      <c r="I1245" s="32">
        <f>IF($A1245=1,IF(Supplier_Invoices!$H8="","",Supplier_Invoices!$H8),"")</f>
        <v/>
      </c>
      <c r="J1245" s="32">
        <f>IF($A1245=1,IF(Supplier_Invoices!$I8="","",Supplier_Invoices!$I8),"")</f>
        <v/>
      </c>
      <c r="K1245" s="32">
        <f>IF($A1245=1,"-","")</f>
        <v/>
      </c>
      <c r="L1245" s="32">
        <f>IF($A1245=1,"ضريبة قيمة مضافة - مدخلات","")</f>
        <v/>
      </c>
      <c r="M1245" s="43">
        <f>IF($A1245=1,IF(Supplier_Invoices!$V8="CN",0,Supplier_Invoices!$K8),"")</f>
        <v/>
      </c>
      <c r="N1245" s="43">
        <f>IF($A1245=1,IF(Supplier_Invoices!$V8="CN",Supplier_Invoices!$K8,0),"")</f>
        <v/>
      </c>
      <c r="O1245" s="32">
        <f>IF($A1245=1,Supplier_Invoices!$O8,"")</f>
        <v/>
      </c>
      <c r="P1245" s="32">
        <f>IF($A1245=1,IF(Supplier_Invoices!$AE8="","",Supplier_Invoices!$AE8),"")</f>
        <v/>
      </c>
      <c r="Q1245" s="32">
        <f>IF($A1245=1,Supplier_Invoices!$AG8,"")</f>
        <v/>
      </c>
      <c r="R1245" s="32">
        <f>IF($A1245=1,IF(AND($Q1245=1,COUNTIFS(COA!$A:$A,$G1245,COA!$R:$R,1)=1),1,0),"")</f>
        <v/>
      </c>
      <c r="S1245" s="43">
        <f>IF($A1245=1,IF($R1245=1,N($M1245),0),"")</f>
        <v/>
      </c>
      <c r="T1245" s="43">
        <f>IF($A1245=1,IF($R1245=1,N($N1245),0),"")</f>
        <v/>
      </c>
      <c r="U1245" s="32">
        <f>IF($A1245=1,YEAR($D1245)*100+MONTH($D1245),"")</f>
        <v/>
      </c>
      <c r="V1245" s="32">
        <f>IF($A1245=1,IF(COUNTIF(COA!$A:$A,$G1245)=0,0,INDEX(COA!$H:$H,MATCH($G1245,COA!$A:$A,0))),"")</f>
        <v/>
      </c>
      <c r="W1245" s="32">
        <f>IF($A1245=1,"","")</f>
        <v/>
      </c>
      <c r="X1245" s="32">
        <f>IF($A1245=1,IF($R1245=1,"",IF($O1245=ST_POST,IF($P1245&lt;&gt;"",$P1245,"حساب غير صالح أو غير نشط"),IF($O1245=ST_REV,"معكوس: لا أثر على الدفاتر",IF($O1245=ST_CANC,"ملغى",IF($O1245=ST_APPR,"معتمد ولم يُرحَّل","مسودة"))))),"")</f>
        <v/>
      </c>
      <c r="Y1245" s="32">
        <f>IF($A1245=1,IF(AND($R1245=1,OR(LG_Acct="",$G1245=LG_Acct),OR(LG_Party="",$K1245=LG_Party),OR(LG_Loc="ALL",$I1245=LG_Loc),OR(LG_CC="ALL",$J1245=LG_CC),$D1245&gt;=LG_From,$D1245&lt;=LG_To),$D1245+ROW()/1000000,""),"")</f>
        <v/>
      </c>
      <c r="Z1245" s="32">
        <f>IF($A1245=1,IF(Supplier_Invoices!$P8="","",Supplier_Invoices!$P8),"")</f>
        <v/>
      </c>
      <c r="AA1245" s="32">
        <f>IF($A1245=1,IF(Supplier_Invoices!$Q8="","",Supplier_Invoices!$Q8),"")</f>
        <v/>
      </c>
      <c r="AB1245" s="32">
        <f>IF($A1245=1,IF(Supplier_Invoices!$R8="","",Supplier_Invoices!$R8),"")</f>
        <v/>
      </c>
      <c r="AC1245" s="32">
        <f>IF($A1245=1,IF(Supplier_Invoices!$S8="","",Supplier_Invoices!$S8),"")</f>
        <v/>
      </c>
      <c r="AD1245" s="32">
        <f>IF($A1245=1,IF(Supplier_Invoices!$T8="","",Supplier_Invoices!$T8),"")</f>
        <v/>
      </c>
      <c r="AE1245" s="32">
        <f>IF($A1245=1,0,"")</f>
        <v/>
      </c>
      <c r="AF1245" s="32" t="inlineStr"/>
    </row>
    <row r="1246">
      <c r="A1246" s="32">
        <f>IF(AND(Supplier_Invoices!$AD8=1,N(Supplier_Invoices!$W8)&gt;0),1,0)</f>
        <v/>
      </c>
      <c r="B1246" s="32">
        <f>IF($A1246=1,$E1246&amp;"/3","")</f>
        <v/>
      </c>
      <c r="C1246" s="32">
        <f>IF($A1246=1,"J-"&amp;Supplier_Invoices!$A8,"")</f>
        <v/>
      </c>
      <c r="D1246" s="33">
        <f>IF($A1246=1,Supplier_Invoices!$E8,"")</f>
        <v/>
      </c>
      <c r="E1246" s="32">
        <f>IF($A1246=1,IF(Supplier_Invoices!$A8="","",Supplier_Invoices!$A8),"")</f>
        <v/>
      </c>
      <c r="F1246" s="32">
        <f>IF($A1246=1,"SINV","")</f>
        <v/>
      </c>
      <c r="G1246" s="32">
        <f>IF($A1246=1,ACC_SUPPLIERS,"")</f>
        <v/>
      </c>
      <c r="H1246" s="32">
        <f>IF($A1246=1,IF(COUNTIF(COA!$A:$A,$G1246)=0,"حساب غير معرف",INDEX(COA!$B:$B,MATCH($G1246,COA!$A:$A,0))),"")</f>
        <v/>
      </c>
      <c r="I1246" s="32">
        <f>IF($A1246=1,IF(Supplier_Invoices!$H8="","",Supplier_Invoices!$H8),"")</f>
        <v/>
      </c>
      <c r="J1246" s="32">
        <f>IF($A1246=1,"CC00","")</f>
        <v/>
      </c>
      <c r="K1246" s="32">
        <f>IF($A1246=1,IF(Supplier_Invoices!$C8="","",Supplier_Invoices!$C8),"")</f>
        <v/>
      </c>
      <c r="L1246" s="32">
        <f>IF($A1246=1,Supplier_Invoices!$F8&amp;" "&amp;Supplier_Invoices!$B8&amp;" - "&amp;Supplier_Invoices!$C8,"")</f>
        <v/>
      </c>
      <c r="M1246" s="43">
        <f>IF($A1246=1,IF(Supplier_Invoices!$V8="CN",Supplier_Invoices!$W8,0),"")</f>
        <v/>
      </c>
      <c r="N1246" s="43">
        <f>IF($A1246=1,IF(Supplier_Invoices!$V8="CN",0,Supplier_Invoices!$W8),"")</f>
        <v/>
      </c>
      <c r="O1246" s="32">
        <f>IF($A1246=1,Supplier_Invoices!$O8,"")</f>
        <v/>
      </c>
      <c r="P1246" s="32">
        <f>IF($A1246=1,IF(Supplier_Invoices!$AE8="","",Supplier_Invoices!$AE8),"")</f>
        <v/>
      </c>
      <c r="Q1246" s="32">
        <f>IF($A1246=1,Supplier_Invoices!$AG8,"")</f>
        <v/>
      </c>
      <c r="R1246" s="32">
        <f>IF($A1246=1,IF(AND($Q1246=1,COUNTIFS(COA!$A:$A,$G1246,COA!$R:$R,1)=1),1,0),"")</f>
        <v/>
      </c>
      <c r="S1246" s="43">
        <f>IF($A1246=1,IF($R1246=1,N($M1246),0),"")</f>
        <v/>
      </c>
      <c r="T1246" s="43">
        <f>IF($A1246=1,IF($R1246=1,N($N1246),0),"")</f>
        <v/>
      </c>
      <c r="U1246" s="32">
        <f>IF($A1246=1,YEAR($D1246)*100+MONTH($D1246),"")</f>
        <v/>
      </c>
      <c r="V1246" s="32">
        <f>IF($A1246=1,IF(COUNTIF(COA!$A:$A,$G1246)=0,0,INDEX(COA!$H:$H,MATCH($G1246,COA!$A:$A,0))),"")</f>
        <v/>
      </c>
      <c r="W1246" s="32">
        <f>IF($A1246=1,"","")</f>
        <v/>
      </c>
      <c r="X1246" s="32">
        <f>IF($A1246=1,IF($R1246=1,"",IF($O1246=ST_POST,IF($P1246&lt;&gt;"",$P1246,"حساب غير صالح أو غير نشط"),IF($O1246=ST_REV,"معكوس: لا أثر على الدفاتر",IF($O1246=ST_CANC,"ملغى",IF($O1246=ST_APPR,"معتمد ولم يُرحَّل","مسودة"))))),"")</f>
        <v/>
      </c>
      <c r="Y1246" s="32">
        <f>IF($A1246=1,IF(AND($R1246=1,OR(LG_Acct="",$G1246=LG_Acct),OR(LG_Party="",$K1246=LG_Party),OR(LG_Loc="ALL",$I1246=LG_Loc),OR(LG_CC="ALL",$J1246=LG_CC),$D1246&gt;=LG_From,$D1246&lt;=LG_To),$D1246+ROW()/1000000,""),"")</f>
        <v/>
      </c>
      <c r="Z1246" s="32">
        <f>IF($A1246=1,IF(Supplier_Invoices!$P8="","",Supplier_Invoices!$P8),"")</f>
        <v/>
      </c>
      <c r="AA1246" s="32">
        <f>IF($A1246=1,IF(Supplier_Invoices!$Q8="","",Supplier_Invoices!$Q8),"")</f>
        <v/>
      </c>
      <c r="AB1246" s="32">
        <f>IF($A1246=1,IF(Supplier_Invoices!$R8="","",Supplier_Invoices!$R8),"")</f>
        <v/>
      </c>
      <c r="AC1246" s="32">
        <f>IF($A1246=1,IF(Supplier_Invoices!$S8="","",Supplier_Invoices!$S8),"")</f>
        <v/>
      </c>
      <c r="AD1246" s="32">
        <f>IF($A1246=1,IF(Supplier_Invoices!$T8="","",Supplier_Invoices!$T8),"")</f>
        <v/>
      </c>
      <c r="AE1246" s="32">
        <f>IF($A1246=1,0,"")</f>
        <v/>
      </c>
      <c r="AF1246" s="32" t="inlineStr"/>
    </row>
    <row r="1247">
      <c r="A1247" s="32">
        <f>IF(AND(Supplier_Invoices!$AD8=1,Supplier_Invoices!$L8&lt;&gt;"",Supplier_Invoices!$V8&lt;&gt;"CN",N(Supplier_Invoices!$W8)&gt;0),1,0)</f>
        <v/>
      </c>
      <c r="B1247" s="32">
        <f>IF($A1247=1,$E1247&amp;"/4","")</f>
        <v/>
      </c>
      <c r="C1247" s="32">
        <f>IF($A1247=1,"J-"&amp;Supplier_Invoices!$A8,"")</f>
        <v/>
      </c>
      <c r="D1247" s="33">
        <f>IF($A1247=1,Supplier_Invoices!$E8,"")</f>
        <v/>
      </c>
      <c r="E1247" s="32">
        <f>IF($A1247=1,IF(Supplier_Invoices!$A8="","",Supplier_Invoices!$A8),"")</f>
        <v/>
      </c>
      <c r="F1247" s="32">
        <f>IF($A1247=1,"SINV","")</f>
        <v/>
      </c>
      <c r="G1247" s="32">
        <f>IF($A1247=1,ACC_SUPPLIERS,"")</f>
        <v/>
      </c>
      <c r="H1247" s="32">
        <f>IF($A1247=1,IF(COUNTIF(COA!$A:$A,$G1247)=0,"حساب غير معرف",INDEX(COA!$B:$B,MATCH($G1247,COA!$A:$A,0))),"")</f>
        <v/>
      </c>
      <c r="I1247" s="32">
        <f>IF($A1247=1,IF(Supplier_Invoices!$H8="","",Supplier_Invoices!$H8),"")</f>
        <v/>
      </c>
      <c r="J1247" s="32">
        <f>IF($A1247=1,"CC00","")</f>
        <v/>
      </c>
      <c r="K1247" s="32">
        <f>IF($A1247=1,IF(Supplier_Invoices!$C8="","",Supplier_Invoices!$C8),"")</f>
        <v/>
      </c>
      <c r="L1247" s="32">
        <f>IF($A1247=1,"سداد فوري - "&amp;Supplier_Invoices!$F8&amp;" "&amp;Supplier_Invoices!$B8&amp;" - "&amp;Supplier_Invoices!$C8,"")</f>
        <v/>
      </c>
      <c r="M1247" s="43">
        <f>IF($A1247=1,Supplier_Invoices!$W8,"")</f>
        <v/>
      </c>
      <c r="N1247" s="43">
        <f>IF($A1247=1,0,"")</f>
        <v/>
      </c>
      <c r="O1247" s="32">
        <f>IF($A1247=1,Supplier_Invoices!$O8,"")</f>
        <v/>
      </c>
      <c r="P1247" s="32">
        <f>IF($A1247=1,IF(Supplier_Invoices!$AE8="","",Supplier_Invoices!$AE8),"")</f>
        <v/>
      </c>
      <c r="Q1247" s="32">
        <f>IF($A1247=1,Supplier_Invoices!$AG8,"")</f>
        <v/>
      </c>
      <c r="R1247" s="32">
        <f>IF($A1247=1,IF(AND($Q1247=1,COUNTIFS(COA!$A:$A,$G1247,COA!$R:$R,1)=1),1,0),"")</f>
        <v/>
      </c>
      <c r="S1247" s="43">
        <f>IF($A1247=1,IF($R1247=1,N($M1247),0),"")</f>
        <v/>
      </c>
      <c r="T1247" s="43">
        <f>IF($A1247=1,IF($R1247=1,N($N1247),0),"")</f>
        <v/>
      </c>
      <c r="U1247" s="32">
        <f>IF($A1247=1,YEAR($D1247)*100+MONTH($D1247),"")</f>
        <v/>
      </c>
      <c r="V1247" s="32">
        <f>IF($A1247=1,IF(COUNTIF(COA!$A:$A,$G1247)=0,0,INDEX(COA!$H:$H,MATCH($G1247,COA!$A:$A,0))),"")</f>
        <v/>
      </c>
      <c r="W1247" s="32">
        <f>IF($A1247=1,"","")</f>
        <v/>
      </c>
      <c r="X1247" s="32">
        <f>IF($A1247=1,IF($R1247=1,"",IF($O1247=ST_POST,IF($P1247&lt;&gt;"",$P1247,"حساب غير صالح أو غير نشط"),IF($O1247=ST_REV,"معكوس: لا أثر على الدفاتر",IF($O1247=ST_CANC,"ملغى",IF($O1247=ST_APPR,"معتمد ولم يُرحَّل","مسودة"))))),"")</f>
        <v/>
      </c>
      <c r="Y1247" s="32">
        <f>IF($A1247=1,IF(AND($R1247=1,OR(LG_Acct="",$G1247=LG_Acct),OR(LG_Party="",$K1247=LG_Party),OR(LG_Loc="ALL",$I1247=LG_Loc),OR(LG_CC="ALL",$J1247=LG_CC),$D1247&gt;=LG_From,$D1247&lt;=LG_To),$D1247+ROW()/1000000,""),"")</f>
        <v/>
      </c>
      <c r="Z1247" s="32">
        <f>IF($A1247=1,IF(Supplier_Invoices!$P8="","",Supplier_Invoices!$P8),"")</f>
        <v/>
      </c>
      <c r="AA1247" s="32">
        <f>IF($A1247=1,IF(Supplier_Invoices!$Q8="","",Supplier_Invoices!$Q8),"")</f>
        <v/>
      </c>
      <c r="AB1247" s="32">
        <f>IF($A1247=1,IF(Supplier_Invoices!$R8="","",Supplier_Invoices!$R8),"")</f>
        <v/>
      </c>
      <c r="AC1247" s="32">
        <f>IF($A1247=1,IF(Supplier_Invoices!$S8="","",Supplier_Invoices!$S8),"")</f>
        <v/>
      </c>
      <c r="AD1247" s="32">
        <f>IF($A1247=1,IF(Supplier_Invoices!$T8="","",Supplier_Invoices!$T8),"")</f>
        <v/>
      </c>
      <c r="AE1247" s="32">
        <f>IF($A1247=1,0,"")</f>
        <v/>
      </c>
      <c r="AF1247" s="32" t="inlineStr"/>
    </row>
    <row r="1248">
      <c r="A1248" s="32">
        <f>IF(AND(Supplier_Invoices!$AD8=1,Supplier_Invoices!$L8&lt;&gt;"",Supplier_Invoices!$V8&lt;&gt;"CN",N(Supplier_Invoices!$W8)&gt;0),1,0)</f>
        <v/>
      </c>
      <c r="B1248" s="32">
        <f>IF($A1248=1,$E1248&amp;"/5","")</f>
        <v/>
      </c>
      <c r="C1248" s="32">
        <f>IF($A1248=1,"J-"&amp;Supplier_Invoices!$A8,"")</f>
        <v/>
      </c>
      <c r="D1248" s="33">
        <f>IF($A1248=1,Supplier_Invoices!$E8,"")</f>
        <v/>
      </c>
      <c r="E1248" s="32">
        <f>IF($A1248=1,IF(Supplier_Invoices!$A8="","",Supplier_Invoices!$A8),"")</f>
        <v/>
      </c>
      <c r="F1248" s="32">
        <f>IF($A1248=1,"SINV","")</f>
        <v/>
      </c>
      <c r="G1248" s="32">
        <f>IF($A1248=1,IF(Supplier_Invoices!$AA8="","",Supplier_Invoices!$AA8),"")</f>
        <v/>
      </c>
      <c r="H1248" s="32">
        <f>IF($A1248=1,IF(COUNTIF(COA!$A:$A,$G1248)=0,"حساب غير معرف",INDEX(COA!$B:$B,MATCH($G1248,COA!$A:$A,0))),"")</f>
        <v/>
      </c>
      <c r="I1248" s="32">
        <f>IF($A1248=1,IF(Supplier_Invoices!$H8="","",Supplier_Invoices!$H8),"")</f>
        <v/>
      </c>
      <c r="J1248" s="32">
        <f>IF($A1248=1,"CC00","")</f>
        <v/>
      </c>
      <c r="K1248" s="32">
        <f>IF($A1248=1,"-","")</f>
        <v/>
      </c>
      <c r="L1248" s="32">
        <f>IF($A1248=1,"سداد فوري - "&amp;Supplier_Invoices!$F8&amp;" "&amp;Supplier_Invoices!$B8&amp;" - "&amp;Supplier_Invoices!$C8,"")</f>
        <v/>
      </c>
      <c r="M1248" s="43">
        <f>IF($A1248=1,0,"")</f>
        <v/>
      </c>
      <c r="N1248" s="43">
        <f>IF($A1248=1,Supplier_Invoices!$W8,"")</f>
        <v/>
      </c>
      <c r="O1248" s="32">
        <f>IF($A1248=1,Supplier_Invoices!$O8,"")</f>
        <v/>
      </c>
      <c r="P1248" s="32">
        <f>IF($A1248=1,IF(Supplier_Invoices!$AE8="","",Supplier_Invoices!$AE8),"")</f>
        <v/>
      </c>
      <c r="Q1248" s="32">
        <f>IF($A1248=1,Supplier_Invoices!$AG8,"")</f>
        <v/>
      </c>
      <c r="R1248" s="32">
        <f>IF($A1248=1,IF(AND($Q1248=1,COUNTIFS(COA!$A:$A,$G1248,COA!$R:$R,1)=1),1,0),"")</f>
        <v/>
      </c>
      <c r="S1248" s="43">
        <f>IF($A1248=1,IF($R1248=1,N($M1248),0),"")</f>
        <v/>
      </c>
      <c r="T1248" s="43">
        <f>IF($A1248=1,IF($R1248=1,N($N1248),0),"")</f>
        <v/>
      </c>
      <c r="U1248" s="32">
        <f>IF($A1248=1,YEAR($D1248)*100+MONTH($D1248),"")</f>
        <v/>
      </c>
      <c r="V1248" s="32">
        <f>IF($A1248=1,IF(COUNTIF(COA!$A:$A,$G1248)=0,0,INDEX(COA!$H:$H,MATCH($G1248,COA!$A:$A,0))),"")</f>
        <v/>
      </c>
      <c r="W1248" s="32">
        <f>IF($A1248=1,IF(Supplier_Invoices!$AB8="","",Supplier_Invoices!$AB8),"")</f>
        <v/>
      </c>
      <c r="X1248" s="32">
        <f>IF($A1248=1,IF($R1248=1,"",IF($O1248=ST_POST,IF($P1248&lt;&gt;"",$P1248,"حساب غير صالح أو غير نشط"),IF($O1248=ST_REV,"معكوس: لا أثر على الدفاتر",IF($O1248=ST_CANC,"ملغى",IF($O1248=ST_APPR,"معتمد ولم يُرحَّل","مسودة"))))),"")</f>
        <v/>
      </c>
      <c r="Y1248" s="32">
        <f>IF($A1248=1,IF(AND($R1248=1,OR(LG_Acct="",$G1248=LG_Acct),OR(LG_Party="",$K1248=LG_Party),OR(LG_Loc="ALL",$I1248=LG_Loc),OR(LG_CC="ALL",$J1248=LG_CC),$D1248&gt;=LG_From,$D1248&lt;=LG_To),$D1248+ROW()/1000000,""),"")</f>
        <v/>
      </c>
      <c r="Z1248" s="32">
        <f>IF($A1248=1,IF(Supplier_Invoices!$P8="","",Supplier_Invoices!$P8),"")</f>
        <v/>
      </c>
      <c r="AA1248" s="32">
        <f>IF($A1248=1,IF(Supplier_Invoices!$Q8="","",Supplier_Invoices!$Q8),"")</f>
        <v/>
      </c>
      <c r="AB1248" s="32">
        <f>IF($A1248=1,IF(Supplier_Invoices!$R8="","",Supplier_Invoices!$R8),"")</f>
        <v/>
      </c>
      <c r="AC1248" s="32">
        <f>IF($A1248=1,IF(Supplier_Invoices!$S8="","",Supplier_Invoices!$S8),"")</f>
        <v/>
      </c>
      <c r="AD1248" s="32">
        <f>IF($A1248=1,IF(Supplier_Invoices!$T8="","",Supplier_Invoices!$T8),"")</f>
        <v/>
      </c>
      <c r="AE1248" s="32">
        <f>IF($A1248=1,0,"")</f>
        <v/>
      </c>
      <c r="AF1248" s="32" t="inlineStr"/>
    </row>
    <row r="1249">
      <c r="A1249" s="32">
        <f>IF(AND(Supplier_Invoices!$AD9=1,N(Supplier_Invoices!$J9)&gt;0),1,0)</f>
        <v/>
      </c>
      <c r="B1249" s="32">
        <f>IF($A1249=1,$E1249&amp;"/1","")</f>
        <v/>
      </c>
      <c r="C1249" s="32">
        <f>IF($A1249=1,"J-"&amp;Supplier_Invoices!$A9,"")</f>
        <v/>
      </c>
      <c r="D1249" s="33">
        <f>IF($A1249=1,Supplier_Invoices!$E9,"")</f>
        <v/>
      </c>
      <c r="E1249" s="32">
        <f>IF($A1249=1,IF(Supplier_Invoices!$A9="","",Supplier_Invoices!$A9),"")</f>
        <v/>
      </c>
      <c r="F1249" s="32">
        <f>IF($A1249=1,"SINV","")</f>
        <v/>
      </c>
      <c r="G1249" s="32">
        <f>IF($A1249=1,IF(Supplier_Invoices!$G9="","",Supplier_Invoices!$G9),"")</f>
        <v/>
      </c>
      <c r="H1249" s="32">
        <f>IF($A1249=1,IF(COUNTIF(COA!$A:$A,$G1249)=0,"حساب غير معرف",INDEX(COA!$B:$B,MATCH($G1249,COA!$A:$A,0))),"")</f>
        <v/>
      </c>
      <c r="I1249" s="32">
        <f>IF($A1249=1,IF(Supplier_Invoices!$H9="","",Supplier_Invoices!$H9),"")</f>
        <v/>
      </c>
      <c r="J1249" s="32">
        <f>IF($A1249=1,IF(Supplier_Invoices!$I9="","",Supplier_Invoices!$I9),"")</f>
        <v/>
      </c>
      <c r="K1249" s="32">
        <f>IF($A1249=1,"-","")</f>
        <v/>
      </c>
      <c r="L1249" s="32">
        <f>IF($A1249=1,Supplier_Invoices!$F9&amp;" "&amp;Supplier_Invoices!$B9&amp;" - "&amp;Supplier_Invoices!$C9,"")</f>
        <v/>
      </c>
      <c r="M1249" s="43">
        <f>IF($A1249=1,IF(Supplier_Invoices!$V9="CN",0,Supplier_Invoices!$J9),"")</f>
        <v/>
      </c>
      <c r="N1249" s="43">
        <f>IF($A1249=1,IF(Supplier_Invoices!$V9="CN",Supplier_Invoices!$J9,0),"")</f>
        <v/>
      </c>
      <c r="O1249" s="32">
        <f>IF($A1249=1,Supplier_Invoices!$O9,"")</f>
        <v/>
      </c>
      <c r="P1249" s="32">
        <f>IF($A1249=1,IF(Supplier_Invoices!$AE9="","",Supplier_Invoices!$AE9),"")</f>
        <v/>
      </c>
      <c r="Q1249" s="32">
        <f>IF($A1249=1,Supplier_Invoices!$AG9,"")</f>
        <v/>
      </c>
      <c r="R1249" s="32">
        <f>IF($A1249=1,IF(AND($Q1249=1,COUNTIFS(COA!$A:$A,$G1249,COA!$R:$R,1)=1),1,0),"")</f>
        <v/>
      </c>
      <c r="S1249" s="43">
        <f>IF($A1249=1,IF($R1249=1,N($M1249),0),"")</f>
        <v/>
      </c>
      <c r="T1249" s="43">
        <f>IF($A1249=1,IF($R1249=1,N($N1249),0),"")</f>
        <v/>
      </c>
      <c r="U1249" s="32">
        <f>IF($A1249=1,YEAR($D1249)*100+MONTH($D1249),"")</f>
        <v/>
      </c>
      <c r="V1249" s="32">
        <f>IF($A1249=1,IF(COUNTIF(COA!$A:$A,$G1249)=0,0,INDEX(COA!$H:$H,MATCH($G1249,COA!$A:$A,0))),"")</f>
        <v/>
      </c>
      <c r="W1249" s="32">
        <f>IF($A1249=1,"","")</f>
        <v/>
      </c>
      <c r="X1249" s="32">
        <f>IF($A1249=1,IF($R1249=1,"",IF($O1249=ST_POST,IF($P1249&lt;&gt;"",$P1249,"حساب غير صالح أو غير نشط"),IF($O1249=ST_REV,"معكوس: لا أثر على الدفاتر",IF($O1249=ST_CANC,"ملغى",IF($O1249=ST_APPR,"معتمد ولم يُرحَّل","مسودة"))))),"")</f>
        <v/>
      </c>
      <c r="Y1249" s="32">
        <f>IF($A1249=1,IF(AND($R1249=1,OR(LG_Acct="",$G1249=LG_Acct),OR(LG_Party="",$K1249=LG_Party),OR(LG_Loc="ALL",$I1249=LG_Loc),OR(LG_CC="ALL",$J1249=LG_CC),$D1249&gt;=LG_From,$D1249&lt;=LG_To),$D1249+ROW()/1000000,""),"")</f>
        <v/>
      </c>
      <c r="Z1249" s="32">
        <f>IF($A1249=1,IF(Supplier_Invoices!$P9="","",Supplier_Invoices!$P9),"")</f>
        <v/>
      </c>
      <c r="AA1249" s="32">
        <f>IF($A1249=1,IF(Supplier_Invoices!$Q9="","",Supplier_Invoices!$Q9),"")</f>
        <v/>
      </c>
      <c r="AB1249" s="32">
        <f>IF($A1249=1,IF(Supplier_Invoices!$R9="","",Supplier_Invoices!$R9),"")</f>
        <v/>
      </c>
      <c r="AC1249" s="32">
        <f>IF($A1249=1,IF(Supplier_Invoices!$S9="","",Supplier_Invoices!$S9),"")</f>
        <v/>
      </c>
      <c r="AD1249" s="32">
        <f>IF($A1249=1,IF(Supplier_Invoices!$T9="","",Supplier_Invoices!$T9),"")</f>
        <v/>
      </c>
      <c r="AE1249" s="32">
        <f>IF($A1249=1,0,"")</f>
        <v/>
      </c>
      <c r="AF1249" s="32" t="inlineStr"/>
    </row>
    <row r="1250">
      <c r="A1250" s="32">
        <f>IF(AND(Supplier_Invoices!$AD9=1,N(Supplier_Invoices!$K9)&gt;0),1,0)</f>
        <v/>
      </c>
      <c r="B1250" s="32">
        <f>IF($A1250=1,$E1250&amp;"/2","")</f>
        <v/>
      </c>
      <c r="C1250" s="32">
        <f>IF($A1250=1,"J-"&amp;Supplier_Invoices!$A9,"")</f>
        <v/>
      </c>
      <c r="D1250" s="33">
        <f>IF($A1250=1,Supplier_Invoices!$E9,"")</f>
        <v/>
      </c>
      <c r="E1250" s="32">
        <f>IF($A1250=1,IF(Supplier_Invoices!$A9="","",Supplier_Invoices!$A9),"")</f>
        <v/>
      </c>
      <c r="F1250" s="32">
        <f>IF($A1250=1,"SINV","")</f>
        <v/>
      </c>
      <c r="G1250" s="32">
        <f>IF($A1250=1,ACC_VAT_IN,"")</f>
        <v/>
      </c>
      <c r="H1250" s="32">
        <f>IF($A1250=1,IF(COUNTIF(COA!$A:$A,$G1250)=0,"حساب غير معرف",INDEX(COA!$B:$B,MATCH($G1250,COA!$A:$A,0))),"")</f>
        <v/>
      </c>
      <c r="I1250" s="32">
        <f>IF($A1250=1,IF(Supplier_Invoices!$H9="","",Supplier_Invoices!$H9),"")</f>
        <v/>
      </c>
      <c r="J1250" s="32">
        <f>IF($A1250=1,IF(Supplier_Invoices!$I9="","",Supplier_Invoices!$I9),"")</f>
        <v/>
      </c>
      <c r="K1250" s="32">
        <f>IF($A1250=1,"-","")</f>
        <v/>
      </c>
      <c r="L1250" s="32">
        <f>IF($A1250=1,"ضريبة قيمة مضافة - مدخلات","")</f>
        <v/>
      </c>
      <c r="M1250" s="43">
        <f>IF($A1250=1,IF(Supplier_Invoices!$V9="CN",0,Supplier_Invoices!$K9),"")</f>
        <v/>
      </c>
      <c r="N1250" s="43">
        <f>IF($A1250=1,IF(Supplier_Invoices!$V9="CN",Supplier_Invoices!$K9,0),"")</f>
        <v/>
      </c>
      <c r="O1250" s="32">
        <f>IF($A1250=1,Supplier_Invoices!$O9,"")</f>
        <v/>
      </c>
      <c r="P1250" s="32">
        <f>IF($A1250=1,IF(Supplier_Invoices!$AE9="","",Supplier_Invoices!$AE9),"")</f>
        <v/>
      </c>
      <c r="Q1250" s="32">
        <f>IF($A1250=1,Supplier_Invoices!$AG9,"")</f>
        <v/>
      </c>
      <c r="R1250" s="32">
        <f>IF($A1250=1,IF(AND($Q1250=1,COUNTIFS(COA!$A:$A,$G1250,COA!$R:$R,1)=1),1,0),"")</f>
        <v/>
      </c>
      <c r="S1250" s="43">
        <f>IF($A1250=1,IF($R1250=1,N($M1250),0),"")</f>
        <v/>
      </c>
      <c r="T1250" s="43">
        <f>IF($A1250=1,IF($R1250=1,N($N1250),0),"")</f>
        <v/>
      </c>
      <c r="U1250" s="32">
        <f>IF($A1250=1,YEAR($D1250)*100+MONTH($D1250),"")</f>
        <v/>
      </c>
      <c r="V1250" s="32">
        <f>IF($A1250=1,IF(COUNTIF(COA!$A:$A,$G1250)=0,0,INDEX(COA!$H:$H,MATCH($G1250,COA!$A:$A,0))),"")</f>
        <v/>
      </c>
      <c r="W1250" s="32">
        <f>IF($A1250=1,"","")</f>
        <v/>
      </c>
      <c r="X1250" s="32">
        <f>IF($A1250=1,IF($R1250=1,"",IF($O1250=ST_POST,IF($P1250&lt;&gt;"",$P1250,"حساب غير صالح أو غير نشط"),IF($O1250=ST_REV,"معكوس: لا أثر على الدفاتر",IF($O1250=ST_CANC,"ملغى",IF($O1250=ST_APPR,"معتمد ولم يُرحَّل","مسودة"))))),"")</f>
        <v/>
      </c>
      <c r="Y1250" s="32">
        <f>IF($A1250=1,IF(AND($R1250=1,OR(LG_Acct="",$G1250=LG_Acct),OR(LG_Party="",$K1250=LG_Party),OR(LG_Loc="ALL",$I1250=LG_Loc),OR(LG_CC="ALL",$J1250=LG_CC),$D1250&gt;=LG_From,$D1250&lt;=LG_To),$D1250+ROW()/1000000,""),"")</f>
        <v/>
      </c>
      <c r="Z1250" s="32">
        <f>IF($A1250=1,IF(Supplier_Invoices!$P9="","",Supplier_Invoices!$P9),"")</f>
        <v/>
      </c>
      <c r="AA1250" s="32">
        <f>IF($A1250=1,IF(Supplier_Invoices!$Q9="","",Supplier_Invoices!$Q9),"")</f>
        <v/>
      </c>
      <c r="AB1250" s="32">
        <f>IF($A1250=1,IF(Supplier_Invoices!$R9="","",Supplier_Invoices!$R9),"")</f>
        <v/>
      </c>
      <c r="AC1250" s="32">
        <f>IF($A1250=1,IF(Supplier_Invoices!$S9="","",Supplier_Invoices!$S9),"")</f>
        <v/>
      </c>
      <c r="AD1250" s="32">
        <f>IF($A1250=1,IF(Supplier_Invoices!$T9="","",Supplier_Invoices!$T9),"")</f>
        <v/>
      </c>
      <c r="AE1250" s="32">
        <f>IF($A1250=1,0,"")</f>
        <v/>
      </c>
      <c r="AF1250" s="32" t="inlineStr"/>
    </row>
    <row r="1251">
      <c r="A1251" s="32">
        <f>IF(AND(Supplier_Invoices!$AD9=1,N(Supplier_Invoices!$W9)&gt;0),1,0)</f>
        <v/>
      </c>
      <c r="B1251" s="32">
        <f>IF($A1251=1,$E1251&amp;"/3","")</f>
        <v/>
      </c>
      <c r="C1251" s="32">
        <f>IF($A1251=1,"J-"&amp;Supplier_Invoices!$A9,"")</f>
        <v/>
      </c>
      <c r="D1251" s="33">
        <f>IF($A1251=1,Supplier_Invoices!$E9,"")</f>
        <v/>
      </c>
      <c r="E1251" s="32">
        <f>IF($A1251=1,IF(Supplier_Invoices!$A9="","",Supplier_Invoices!$A9),"")</f>
        <v/>
      </c>
      <c r="F1251" s="32">
        <f>IF($A1251=1,"SINV","")</f>
        <v/>
      </c>
      <c r="G1251" s="32">
        <f>IF($A1251=1,ACC_SUPPLIERS,"")</f>
        <v/>
      </c>
      <c r="H1251" s="32">
        <f>IF($A1251=1,IF(COUNTIF(COA!$A:$A,$G1251)=0,"حساب غير معرف",INDEX(COA!$B:$B,MATCH($G1251,COA!$A:$A,0))),"")</f>
        <v/>
      </c>
      <c r="I1251" s="32">
        <f>IF($A1251=1,IF(Supplier_Invoices!$H9="","",Supplier_Invoices!$H9),"")</f>
        <v/>
      </c>
      <c r="J1251" s="32">
        <f>IF($A1251=1,"CC00","")</f>
        <v/>
      </c>
      <c r="K1251" s="32">
        <f>IF($A1251=1,IF(Supplier_Invoices!$C9="","",Supplier_Invoices!$C9),"")</f>
        <v/>
      </c>
      <c r="L1251" s="32">
        <f>IF($A1251=1,Supplier_Invoices!$F9&amp;" "&amp;Supplier_Invoices!$B9&amp;" - "&amp;Supplier_Invoices!$C9,"")</f>
        <v/>
      </c>
      <c r="M1251" s="43">
        <f>IF($A1251=1,IF(Supplier_Invoices!$V9="CN",Supplier_Invoices!$W9,0),"")</f>
        <v/>
      </c>
      <c r="N1251" s="43">
        <f>IF($A1251=1,IF(Supplier_Invoices!$V9="CN",0,Supplier_Invoices!$W9),"")</f>
        <v/>
      </c>
      <c r="O1251" s="32">
        <f>IF($A1251=1,Supplier_Invoices!$O9,"")</f>
        <v/>
      </c>
      <c r="P1251" s="32">
        <f>IF($A1251=1,IF(Supplier_Invoices!$AE9="","",Supplier_Invoices!$AE9),"")</f>
        <v/>
      </c>
      <c r="Q1251" s="32">
        <f>IF($A1251=1,Supplier_Invoices!$AG9,"")</f>
        <v/>
      </c>
      <c r="R1251" s="32">
        <f>IF($A1251=1,IF(AND($Q1251=1,COUNTIFS(COA!$A:$A,$G1251,COA!$R:$R,1)=1),1,0),"")</f>
        <v/>
      </c>
      <c r="S1251" s="43">
        <f>IF($A1251=1,IF($R1251=1,N($M1251),0),"")</f>
        <v/>
      </c>
      <c r="T1251" s="43">
        <f>IF($A1251=1,IF($R1251=1,N($N1251),0),"")</f>
        <v/>
      </c>
      <c r="U1251" s="32">
        <f>IF($A1251=1,YEAR($D1251)*100+MONTH($D1251),"")</f>
        <v/>
      </c>
      <c r="V1251" s="32">
        <f>IF($A1251=1,IF(COUNTIF(COA!$A:$A,$G1251)=0,0,INDEX(COA!$H:$H,MATCH($G1251,COA!$A:$A,0))),"")</f>
        <v/>
      </c>
      <c r="W1251" s="32">
        <f>IF($A1251=1,"","")</f>
        <v/>
      </c>
      <c r="X1251" s="32">
        <f>IF($A1251=1,IF($R1251=1,"",IF($O1251=ST_POST,IF($P1251&lt;&gt;"",$P1251,"حساب غير صالح أو غير نشط"),IF($O1251=ST_REV,"معكوس: لا أثر على الدفاتر",IF($O1251=ST_CANC,"ملغى",IF($O1251=ST_APPR,"معتمد ولم يُرحَّل","مسودة"))))),"")</f>
        <v/>
      </c>
      <c r="Y1251" s="32">
        <f>IF($A1251=1,IF(AND($R1251=1,OR(LG_Acct="",$G1251=LG_Acct),OR(LG_Party="",$K1251=LG_Party),OR(LG_Loc="ALL",$I1251=LG_Loc),OR(LG_CC="ALL",$J1251=LG_CC),$D1251&gt;=LG_From,$D1251&lt;=LG_To),$D1251+ROW()/1000000,""),"")</f>
        <v/>
      </c>
      <c r="Z1251" s="32">
        <f>IF($A1251=1,IF(Supplier_Invoices!$P9="","",Supplier_Invoices!$P9),"")</f>
        <v/>
      </c>
      <c r="AA1251" s="32">
        <f>IF($A1251=1,IF(Supplier_Invoices!$Q9="","",Supplier_Invoices!$Q9),"")</f>
        <v/>
      </c>
      <c r="AB1251" s="32">
        <f>IF($A1251=1,IF(Supplier_Invoices!$R9="","",Supplier_Invoices!$R9),"")</f>
        <v/>
      </c>
      <c r="AC1251" s="32">
        <f>IF($A1251=1,IF(Supplier_Invoices!$S9="","",Supplier_Invoices!$S9),"")</f>
        <v/>
      </c>
      <c r="AD1251" s="32">
        <f>IF($A1251=1,IF(Supplier_Invoices!$T9="","",Supplier_Invoices!$T9),"")</f>
        <v/>
      </c>
      <c r="AE1251" s="32">
        <f>IF($A1251=1,0,"")</f>
        <v/>
      </c>
      <c r="AF1251" s="32" t="inlineStr"/>
    </row>
    <row r="1252">
      <c r="A1252" s="32">
        <f>IF(AND(Supplier_Invoices!$AD9=1,Supplier_Invoices!$L9&lt;&gt;"",Supplier_Invoices!$V9&lt;&gt;"CN",N(Supplier_Invoices!$W9)&gt;0),1,0)</f>
        <v/>
      </c>
      <c r="B1252" s="32">
        <f>IF($A1252=1,$E1252&amp;"/4","")</f>
        <v/>
      </c>
      <c r="C1252" s="32">
        <f>IF($A1252=1,"J-"&amp;Supplier_Invoices!$A9,"")</f>
        <v/>
      </c>
      <c r="D1252" s="33">
        <f>IF($A1252=1,Supplier_Invoices!$E9,"")</f>
        <v/>
      </c>
      <c r="E1252" s="32">
        <f>IF($A1252=1,IF(Supplier_Invoices!$A9="","",Supplier_Invoices!$A9),"")</f>
        <v/>
      </c>
      <c r="F1252" s="32">
        <f>IF($A1252=1,"SINV","")</f>
        <v/>
      </c>
      <c r="G1252" s="32">
        <f>IF($A1252=1,ACC_SUPPLIERS,"")</f>
        <v/>
      </c>
      <c r="H1252" s="32">
        <f>IF($A1252=1,IF(COUNTIF(COA!$A:$A,$G1252)=0,"حساب غير معرف",INDEX(COA!$B:$B,MATCH($G1252,COA!$A:$A,0))),"")</f>
        <v/>
      </c>
      <c r="I1252" s="32">
        <f>IF($A1252=1,IF(Supplier_Invoices!$H9="","",Supplier_Invoices!$H9),"")</f>
        <v/>
      </c>
      <c r="J1252" s="32">
        <f>IF($A1252=1,"CC00","")</f>
        <v/>
      </c>
      <c r="K1252" s="32">
        <f>IF($A1252=1,IF(Supplier_Invoices!$C9="","",Supplier_Invoices!$C9),"")</f>
        <v/>
      </c>
      <c r="L1252" s="32">
        <f>IF($A1252=1,"سداد فوري - "&amp;Supplier_Invoices!$F9&amp;" "&amp;Supplier_Invoices!$B9&amp;" - "&amp;Supplier_Invoices!$C9,"")</f>
        <v/>
      </c>
      <c r="M1252" s="43">
        <f>IF($A1252=1,Supplier_Invoices!$W9,"")</f>
        <v/>
      </c>
      <c r="N1252" s="43">
        <f>IF($A1252=1,0,"")</f>
        <v/>
      </c>
      <c r="O1252" s="32">
        <f>IF($A1252=1,Supplier_Invoices!$O9,"")</f>
        <v/>
      </c>
      <c r="P1252" s="32">
        <f>IF($A1252=1,IF(Supplier_Invoices!$AE9="","",Supplier_Invoices!$AE9),"")</f>
        <v/>
      </c>
      <c r="Q1252" s="32">
        <f>IF($A1252=1,Supplier_Invoices!$AG9,"")</f>
        <v/>
      </c>
      <c r="R1252" s="32">
        <f>IF($A1252=1,IF(AND($Q1252=1,COUNTIFS(COA!$A:$A,$G1252,COA!$R:$R,1)=1),1,0),"")</f>
        <v/>
      </c>
      <c r="S1252" s="43">
        <f>IF($A1252=1,IF($R1252=1,N($M1252),0),"")</f>
        <v/>
      </c>
      <c r="T1252" s="43">
        <f>IF($A1252=1,IF($R1252=1,N($N1252),0),"")</f>
        <v/>
      </c>
      <c r="U1252" s="32">
        <f>IF($A1252=1,YEAR($D1252)*100+MONTH($D1252),"")</f>
        <v/>
      </c>
      <c r="V1252" s="32">
        <f>IF($A1252=1,IF(COUNTIF(COA!$A:$A,$G1252)=0,0,INDEX(COA!$H:$H,MATCH($G1252,COA!$A:$A,0))),"")</f>
        <v/>
      </c>
      <c r="W1252" s="32">
        <f>IF($A1252=1,"","")</f>
        <v/>
      </c>
      <c r="X1252" s="32">
        <f>IF($A1252=1,IF($R1252=1,"",IF($O1252=ST_POST,IF($P1252&lt;&gt;"",$P1252,"حساب غير صالح أو غير نشط"),IF($O1252=ST_REV,"معكوس: لا أثر على الدفاتر",IF($O1252=ST_CANC,"ملغى",IF($O1252=ST_APPR,"معتمد ولم يُرحَّل","مسودة"))))),"")</f>
        <v/>
      </c>
      <c r="Y1252" s="32">
        <f>IF($A1252=1,IF(AND($R1252=1,OR(LG_Acct="",$G1252=LG_Acct),OR(LG_Party="",$K1252=LG_Party),OR(LG_Loc="ALL",$I1252=LG_Loc),OR(LG_CC="ALL",$J1252=LG_CC),$D1252&gt;=LG_From,$D1252&lt;=LG_To),$D1252+ROW()/1000000,""),"")</f>
        <v/>
      </c>
      <c r="Z1252" s="32">
        <f>IF($A1252=1,IF(Supplier_Invoices!$P9="","",Supplier_Invoices!$P9),"")</f>
        <v/>
      </c>
      <c r="AA1252" s="32">
        <f>IF($A1252=1,IF(Supplier_Invoices!$Q9="","",Supplier_Invoices!$Q9),"")</f>
        <v/>
      </c>
      <c r="AB1252" s="32">
        <f>IF($A1252=1,IF(Supplier_Invoices!$R9="","",Supplier_Invoices!$R9),"")</f>
        <v/>
      </c>
      <c r="AC1252" s="32">
        <f>IF($A1252=1,IF(Supplier_Invoices!$S9="","",Supplier_Invoices!$S9),"")</f>
        <v/>
      </c>
      <c r="AD1252" s="32">
        <f>IF($A1252=1,IF(Supplier_Invoices!$T9="","",Supplier_Invoices!$T9),"")</f>
        <v/>
      </c>
      <c r="AE1252" s="32">
        <f>IF($A1252=1,0,"")</f>
        <v/>
      </c>
      <c r="AF1252" s="32" t="inlineStr"/>
    </row>
    <row r="1253">
      <c r="A1253" s="32">
        <f>IF(AND(Supplier_Invoices!$AD9=1,Supplier_Invoices!$L9&lt;&gt;"",Supplier_Invoices!$V9&lt;&gt;"CN",N(Supplier_Invoices!$W9)&gt;0),1,0)</f>
        <v/>
      </c>
      <c r="B1253" s="32">
        <f>IF($A1253=1,$E1253&amp;"/5","")</f>
        <v/>
      </c>
      <c r="C1253" s="32">
        <f>IF($A1253=1,"J-"&amp;Supplier_Invoices!$A9,"")</f>
        <v/>
      </c>
      <c r="D1253" s="33">
        <f>IF($A1253=1,Supplier_Invoices!$E9,"")</f>
        <v/>
      </c>
      <c r="E1253" s="32">
        <f>IF($A1253=1,IF(Supplier_Invoices!$A9="","",Supplier_Invoices!$A9),"")</f>
        <v/>
      </c>
      <c r="F1253" s="32">
        <f>IF($A1253=1,"SINV","")</f>
        <v/>
      </c>
      <c r="G1253" s="32">
        <f>IF($A1253=1,IF(Supplier_Invoices!$AA9="","",Supplier_Invoices!$AA9),"")</f>
        <v/>
      </c>
      <c r="H1253" s="32">
        <f>IF($A1253=1,IF(COUNTIF(COA!$A:$A,$G1253)=0,"حساب غير معرف",INDEX(COA!$B:$B,MATCH($G1253,COA!$A:$A,0))),"")</f>
        <v/>
      </c>
      <c r="I1253" s="32">
        <f>IF($A1253=1,IF(Supplier_Invoices!$H9="","",Supplier_Invoices!$H9),"")</f>
        <v/>
      </c>
      <c r="J1253" s="32">
        <f>IF($A1253=1,"CC00","")</f>
        <v/>
      </c>
      <c r="K1253" s="32">
        <f>IF($A1253=1,"-","")</f>
        <v/>
      </c>
      <c r="L1253" s="32">
        <f>IF($A1253=1,"سداد فوري - "&amp;Supplier_Invoices!$F9&amp;" "&amp;Supplier_Invoices!$B9&amp;" - "&amp;Supplier_Invoices!$C9,"")</f>
        <v/>
      </c>
      <c r="M1253" s="43">
        <f>IF($A1253=1,0,"")</f>
        <v/>
      </c>
      <c r="N1253" s="43">
        <f>IF($A1253=1,Supplier_Invoices!$W9,"")</f>
        <v/>
      </c>
      <c r="O1253" s="32">
        <f>IF($A1253=1,Supplier_Invoices!$O9,"")</f>
        <v/>
      </c>
      <c r="P1253" s="32">
        <f>IF($A1253=1,IF(Supplier_Invoices!$AE9="","",Supplier_Invoices!$AE9),"")</f>
        <v/>
      </c>
      <c r="Q1253" s="32">
        <f>IF($A1253=1,Supplier_Invoices!$AG9,"")</f>
        <v/>
      </c>
      <c r="R1253" s="32">
        <f>IF($A1253=1,IF(AND($Q1253=1,COUNTIFS(COA!$A:$A,$G1253,COA!$R:$R,1)=1),1,0),"")</f>
        <v/>
      </c>
      <c r="S1253" s="43">
        <f>IF($A1253=1,IF($R1253=1,N($M1253),0),"")</f>
        <v/>
      </c>
      <c r="T1253" s="43">
        <f>IF($A1253=1,IF($R1253=1,N($N1253),0),"")</f>
        <v/>
      </c>
      <c r="U1253" s="32">
        <f>IF($A1253=1,YEAR($D1253)*100+MONTH($D1253),"")</f>
        <v/>
      </c>
      <c r="V1253" s="32">
        <f>IF($A1253=1,IF(COUNTIF(COA!$A:$A,$G1253)=0,0,INDEX(COA!$H:$H,MATCH($G1253,COA!$A:$A,0))),"")</f>
        <v/>
      </c>
      <c r="W1253" s="32">
        <f>IF($A1253=1,IF(Supplier_Invoices!$AB9="","",Supplier_Invoices!$AB9),"")</f>
        <v/>
      </c>
      <c r="X1253" s="32">
        <f>IF($A1253=1,IF($R1253=1,"",IF($O1253=ST_POST,IF($P1253&lt;&gt;"",$P1253,"حساب غير صالح أو غير نشط"),IF($O1253=ST_REV,"معكوس: لا أثر على الدفاتر",IF($O1253=ST_CANC,"ملغى",IF($O1253=ST_APPR,"معتمد ولم يُرحَّل","مسودة"))))),"")</f>
        <v/>
      </c>
      <c r="Y1253" s="32">
        <f>IF($A1253=1,IF(AND($R1253=1,OR(LG_Acct="",$G1253=LG_Acct),OR(LG_Party="",$K1253=LG_Party),OR(LG_Loc="ALL",$I1253=LG_Loc),OR(LG_CC="ALL",$J1253=LG_CC),$D1253&gt;=LG_From,$D1253&lt;=LG_To),$D1253+ROW()/1000000,""),"")</f>
        <v/>
      </c>
      <c r="Z1253" s="32">
        <f>IF($A1253=1,IF(Supplier_Invoices!$P9="","",Supplier_Invoices!$P9),"")</f>
        <v/>
      </c>
      <c r="AA1253" s="32">
        <f>IF($A1253=1,IF(Supplier_Invoices!$Q9="","",Supplier_Invoices!$Q9),"")</f>
        <v/>
      </c>
      <c r="AB1253" s="32">
        <f>IF($A1253=1,IF(Supplier_Invoices!$R9="","",Supplier_Invoices!$R9),"")</f>
        <v/>
      </c>
      <c r="AC1253" s="32">
        <f>IF($A1253=1,IF(Supplier_Invoices!$S9="","",Supplier_Invoices!$S9),"")</f>
        <v/>
      </c>
      <c r="AD1253" s="32">
        <f>IF($A1253=1,IF(Supplier_Invoices!$T9="","",Supplier_Invoices!$T9),"")</f>
        <v/>
      </c>
      <c r="AE1253" s="32">
        <f>IF($A1253=1,0,"")</f>
        <v/>
      </c>
      <c r="AF1253" s="32" t="inlineStr"/>
    </row>
    <row r="1254">
      <c r="A1254" s="32">
        <f>IF(AND(Supplier_Invoices!$AD10=1,N(Supplier_Invoices!$J10)&gt;0),1,0)</f>
        <v/>
      </c>
      <c r="B1254" s="32">
        <f>IF($A1254=1,$E1254&amp;"/1","")</f>
        <v/>
      </c>
      <c r="C1254" s="32">
        <f>IF($A1254=1,"J-"&amp;Supplier_Invoices!$A10,"")</f>
        <v/>
      </c>
      <c r="D1254" s="33">
        <f>IF($A1254=1,Supplier_Invoices!$E10,"")</f>
        <v/>
      </c>
      <c r="E1254" s="32">
        <f>IF($A1254=1,IF(Supplier_Invoices!$A10="","",Supplier_Invoices!$A10),"")</f>
        <v/>
      </c>
      <c r="F1254" s="32">
        <f>IF($A1254=1,"SINV","")</f>
        <v/>
      </c>
      <c r="G1254" s="32">
        <f>IF($A1254=1,IF(Supplier_Invoices!$G10="","",Supplier_Invoices!$G10),"")</f>
        <v/>
      </c>
      <c r="H1254" s="32">
        <f>IF($A1254=1,IF(COUNTIF(COA!$A:$A,$G1254)=0,"حساب غير معرف",INDEX(COA!$B:$B,MATCH($G1254,COA!$A:$A,0))),"")</f>
        <v/>
      </c>
      <c r="I1254" s="32">
        <f>IF($A1254=1,IF(Supplier_Invoices!$H10="","",Supplier_Invoices!$H10),"")</f>
        <v/>
      </c>
      <c r="J1254" s="32">
        <f>IF($A1254=1,IF(Supplier_Invoices!$I10="","",Supplier_Invoices!$I10),"")</f>
        <v/>
      </c>
      <c r="K1254" s="32">
        <f>IF($A1254=1,"-","")</f>
        <v/>
      </c>
      <c r="L1254" s="32">
        <f>IF($A1254=1,Supplier_Invoices!$F10&amp;" "&amp;Supplier_Invoices!$B10&amp;" - "&amp;Supplier_Invoices!$C10,"")</f>
        <v/>
      </c>
      <c r="M1254" s="43">
        <f>IF($A1254=1,IF(Supplier_Invoices!$V10="CN",0,Supplier_Invoices!$J10),"")</f>
        <v/>
      </c>
      <c r="N1254" s="43">
        <f>IF($A1254=1,IF(Supplier_Invoices!$V10="CN",Supplier_Invoices!$J10,0),"")</f>
        <v/>
      </c>
      <c r="O1254" s="32">
        <f>IF($A1254=1,Supplier_Invoices!$O10,"")</f>
        <v/>
      </c>
      <c r="P1254" s="32">
        <f>IF($A1254=1,IF(Supplier_Invoices!$AE10="","",Supplier_Invoices!$AE10),"")</f>
        <v/>
      </c>
      <c r="Q1254" s="32">
        <f>IF($A1254=1,Supplier_Invoices!$AG10,"")</f>
        <v/>
      </c>
      <c r="R1254" s="32">
        <f>IF($A1254=1,IF(AND($Q1254=1,COUNTIFS(COA!$A:$A,$G1254,COA!$R:$R,1)=1),1,0),"")</f>
        <v/>
      </c>
      <c r="S1254" s="43">
        <f>IF($A1254=1,IF($R1254=1,N($M1254),0),"")</f>
        <v/>
      </c>
      <c r="T1254" s="43">
        <f>IF($A1254=1,IF($R1254=1,N($N1254),0),"")</f>
        <v/>
      </c>
      <c r="U1254" s="32">
        <f>IF($A1254=1,YEAR($D1254)*100+MONTH($D1254),"")</f>
        <v/>
      </c>
      <c r="V1254" s="32">
        <f>IF($A1254=1,IF(COUNTIF(COA!$A:$A,$G1254)=0,0,INDEX(COA!$H:$H,MATCH($G1254,COA!$A:$A,0))),"")</f>
        <v/>
      </c>
      <c r="W1254" s="32">
        <f>IF($A1254=1,"","")</f>
        <v/>
      </c>
      <c r="X1254" s="32">
        <f>IF($A1254=1,IF($R1254=1,"",IF($O1254=ST_POST,IF($P1254&lt;&gt;"",$P1254,"حساب غير صالح أو غير نشط"),IF($O1254=ST_REV,"معكوس: لا أثر على الدفاتر",IF($O1254=ST_CANC,"ملغى",IF($O1254=ST_APPR,"معتمد ولم يُرحَّل","مسودة"))))),"")</f>
        <v/>
      </c>
      <c r="Y1254" s="32">
        <f>IF($A1254=1,IF(AND($R1254=1,OR(LG_Acct="",$G1254=LG_Acct),OR(LG_Party="",$K1254=LG_Party),OR(LG_Loc="ALL",$I1254=LG_Loc),OR(LG_CC="ALL",$J1254=LG_CC),$D1254&gt;=LG_From,$D1254&lt;=LG_To),$D1254+ROW()/1000000,""),"")</f>
        <v/>
      </c>
      <c r="Z1254" s="32">
        <f>IF($A1254=1,IF(Supplier_Invoices!$P10="","",Supplier_Invoices!$P10),"")</f>
        <v/>
      </c>
      <c r="AA1254" s="32">
        <f>IF($A1254=1,IF(Supplier_Invoices!$Q10="","",Supplier_Invoices!$Q10),"")</f>
        <v/>
      </c>
      <c r="AB1254" s="32">
        <f>IF($A1254=1,IF(Supplier_Invoices!$R10="","",Supplier_Invoices!$R10),"")</f>
        <v/>
      </c>
      <c r="AC1254" s="32">
        <f>IF($A1254=1,IF(Supplier_Invoices!$S10="","",Supplier_Invoices!$S10),"")</f>
        <v/>
      </c>
      <c r="AD1254" s="32">
        <f>IF($A1254=1,IF(Supplier_Invoices!$T10="","",Supplier_Invoices!$T10),"")</f>
        <v/>
      </c>
      <c r="AE1254" s="32">
        <f>IF($A1254=1,0,"")</f>
        <v/>
      </c>
      <c r="AF1254" s="32" t="inlineStr"/>
    </row>
    <row r="1255">
      <c r="A1255" s="32">
        <f>IF(AND(Supplier_Invoices!$AD10=1,N(Supplier_Invoices!$K10)&gt;0),1,0)</f>
        <v/>
      </c>
      <c r="B1255" s="32">
        <f>IF($A1255=1,$E1255&amp;"/2","")</f>
        <v/>
      </c>
      <c r="C1255" s="32">
        <f>IF($A1255=1,"J-"&amp;Supplier_Invoices!$A10,"")</f>
        <v/>
      </c>
      <c r="D1255" s="33">
        <f>IF($A1255=1,Supplier_Invoices!$E10,"")</f>
        <v/>
      </c>
      <c r="E1255" s="32">
        <f>IF($A1255=1,IF(Supplier_Invoices!$A10="","",Supplier_Invoices!$A10),"")</f>
        <v/>
      </c>
      <c r="F1255" s="32">
        <f>IF($A1255=1,"SINV","")</f>
        <v/>
      </c>
      <c r="G1255" s="32">
        <f>IF($A1255=1,ACC_VAT_IN,"")</f>
        <v/>
      </c>
      <c r="H1255" s="32">
        <f>IF($A1255=1,IF(COUNTIF(COA!$A:$A,$G1255)=0,"حساب غير معرف",INDEX(COA!$B:$B,MATCH($G1255,COA!$A:$A,0))),"")</f>
        <v/>
      </c>
      <c r="I1255" s="32">
        <f>IF($A1255=1,IF(Supplier_Invoices!$H10="","",Supplier_Invoices!$H10),"")</f>
        <v/>
      </c>
      <c r="J1255" s="32">
        <f>IF($A1255=1,IF(Supplier_Invoices!$I10="","",Supplier_Invoices!$I10),"")</f>
        <v/>
      </c>
      <c r="K1255" s="32">
        <f>IF($A1255=1,"-","")</f>
        <v/>
      </c>
      <c r="L1255" s="32">
        <f>IF($A1255=1,"ضريبة قيمة مضافة - مدخلات","")</f>
        <v/>
      </c>
      <c r="M1255" s="43">
        <f>IF($A1255=1,IF(Supplier_Invoices!$V10="CN",0,Supplier_Invoices!$K10),"")</f>
        <v/>
      </c>
      <c r="N1255" s="43">
        <f>IF($A1255=1,IF(Supplier_Invoices!$V10="CN",Supplier_Invoices!$K10,0),"")</f>
        <v/>
      </c>
      <c r="O1255" s="32">
        <f>IF($A1255=1,Supplier_Invoices!$O10,"")</f>
        <v/>
      </c>
      <c r="P1255" s="32">
        <f>IF($A1255=1,IF(Supplier_Invoices!$AE10="","",Supplier_Invoices!$AE10),"")</f>
        <v/>
      </c>
      <c r="Q1255" s="32">
        <f>IF($A1255=1,Supplier_Invoices!$AG10,"")</f>
        <v/>
      </c>
      <c r="R1255" s="32">
        <f>IF($A1255=1,IF(AND($Q1255=1,COUNTIFS(COA!$A:$A,$G1255,COA!$R:$R,1)=1),1,0),"")</f>
        <v/>
      </c>
      <c r="S1255" s="43">
        <f>IF($A1255=1,IF($R1255=1,N($M1255),0),"")</f>
        <v/>
      </c>
      <c r="T1255" s="43">
        <f>IF($A1255=1,IF($R1255=1,N($N1255),0),"")</f>
        <v/>
      </c>
      <c r="U1255" s="32">
        <f>IF($A1255=1,YEAR($D1255)*100+MONTH($D1255),"")</f>
        <v/>
      </c>
      <c r="V1255" s="32">
        <f>IF($A1255=1,IF(COUNTIF(COA!$A:$A,$G1255)=0,0,INDEX(COA!$H:$H,MATCH($G1255,COA!$A:$A,0))),"")</f>
        <v/>
      </c>
      <c r="W1255" s="32">
        <f>IF($A1255=1,"","")</f>
        <v/>
      </c>
      <c r="X1255" s="32">
        <f>IF($A1255=1,IF($R1255=1,"",IF($O1255=ST_POST,IF($P1255&lt;&gt;"",$P1255,"حساب غير صالح أو غير نشط"),IF($O1255=ST_REV,"معكوس: لا أثر على الدفاتر",IF($O1255=ST_CANC,"ملغى",IF($O1255=ST_APPR,"معتمد ولم يُرحَّل","مسودة"))))),"")</f>
        <v/>
      </c>
      <c r="Y1255" s="32">
        <f>IF($A1255=1,IF(AND($R1255=1,OR(LG_Acct="",$G1255=LG_Acct),OR(LG_Party="",$K1255=LG_Party),OR(LG_Loc="ALL",$I1255=LG_Loc),OR(LG_CC="ALL",$J1255=LG_CC),$D1255&gt;=LG_From,$D1255&lt;=LG_To),$D1255+ROW()/1000000,""),"")</f>
        <v/>
      </c>
      <c r="Z1255" s="32">
        <f>IF($A1255=1,IF(Supplier_Invoices!$P10="","",Supplier_Invoices!$P10),"")</f>
        <v/>
      </c>
      <c r="AA1255" s="32">
        <f>IF($A1255=1,IF(Supplier_Invoices!$Q10="","",Supplier_Invoices!$Q10),"")</f>
        <v/>
      </c>
      <c r="AB1255" s="32">
        <f>IF($A1255=1,IF(Supplier_Invoices!$R10="","",Supplier_Invoices!$R10),"")</f>
        <v/>
      </c>
      <c r="AC1255" s="32">
        <f>IF($A1255=1,IF(Supplier_Invoices!$S10="","",Supplier_Invoices!$S10),"")</f>
        <v/>
      </c>
      <c r="AD1255" s="32">
        <f>IF($A1255=1,IF(Supplier_Invoices!$T10="","",Supplier_Invoices!$T10),"")</f>
        <v/>
      </c>
      <c r="AE1255" s="32">
        <f>IF($A1255=1,0,"")</f>
        <v/>
      </c>
      <c r="AF1255" s="32" t="inlineStr"/>
    </row>
    <row r="1256">
      <c r="A1256" s="32">
        <f>IF(AND(Supplier_Invoices!$AD10=1,N(Supplier_Invoices!$W10)&gt;0),1,0)</f>
        <v/>
      </c>
      <c r="B1256" s="32">
        <f>IF($A1256=1,$E1256&amp;"/3","")</f>
        <v/>
      </c>
      <c r="C1256" s="32">
        <f>IF($A1256=1,"J-"&amp;Supplier_Invoices!$A10,"")</f>
        <v/>
      </c>
      <c r="D1256" s="33">
        <f>IF($A1256=1,Supplier_Invoices!$E10,"")</f>
        <v/>
      </c>
      <c r="E1256" s="32">
        <f>IF($A1256=1,IF(Supplier_Invoices!$A10="","",Supplier_Invoices!$A10),"")</f>
        <v/>
      </c>
      <c r="F1256" s="32">
        <f>IF($A1256=1,"SINV","")</f>
        <v/>
      </c>
      <c r="G1256" s="32">
        <f>IF($A1256=1,ACC_SUPPLIERS,"")</f>
        <v/>
      </c>
      <c r="H1256" s="32">
        <f>IF($A1256=1,IF(COUNTIF(COA!$A:$A,$G1256)=0,"حساب غير معرف",INDEX(COA!$B:$B,MATCH($G1256,COA!$A:$A,0))),"")</f>
        <v/>
      </c>
      <c r="I1256" s="32">
        <f>IF($A1256=1,IF(Supplier_Invoices!$H10="","",Supplier_Invoices!$H10),"")</f>
        <v/>
      </c>
      <c r="J1256" s="32">
        <f>IF($A1256=1,"CC00","")</f>
        <v/>
      </c>
      <c r="K1256" s="32">
        <f>IF($A1256=1,IF(Supplier_Invoices!$C10="","",Supplier_Invoices!$C10),"")</f>
        <v/>
      </c>
      <c r="L1256" s="32">
        <f>IF($A1256=1,Supplier_Invoices!$F10&amp;" "&amp;Supplier_Invoices!$B10&amp;" - "&amp;Supplier_Invoices!$C10,"")</f>
        <v/>
      </c>
      <c r="M1256" s="43">
        <f>IF($A1256=1,IF(Supplier_Invoices!$V10="CN",Supplier_Invoices!$W10,0),"")</f>
        <v/>
      </c>
      <c r="N1256" s="43">
        <f>IF($A1256=1,IF(Supplier_Invoices!$V10="CN",0,Supplier_Invoices!$W10),"")</f>
        <v/>
      </c>
      <c r="O1256" s="32">
        <f>IF($A1256=1,Supplier_Invoices!$O10,"")</f>
        <v/>
      </c>
      <c r="P1256" s="32">
        <f>IF($A1256=1,IF(Supplier_Invoices!$AE10="","",Supplier_Invoices!$AE10),"")</f>
        <v/>
      </c>
      <c r="Q1256" s="32">
        <f>IF($A1256=1,Supplier_Invoices!$AG10,"")</f>
        <v/>
      </c>
      <c r="R1256" s="32">
        <f>IF($A1256=1,IF(AND($Q1256=1,COUNTIFS(COA!$A:$A,$G1256,COA!$R:$R,1)=1),1,0),"")</f>
        <v/>
      </c>
      <c r="S1256" s="43">
        <f>IF($A1256=1,IF($R1256=1,N($M1256),0),"")</f>
        <v/>
      </c>
      <c r="T1256" s="43">
        <f>IF($A1256=1,IF($R1256=1,N($N1256),0),"")</f>
        <v/>
      </c>
      <c r="U1256" s="32">
        <f>IF($A1256=1,YEAR($D1256)*100+MONTH($D1256),"")</f>
        <v/>
      </c>
      <c r="V1256" s="32">
        <f>IF($A1256=1,IF(COUNTIF(COA!$A:$A,$G1256)=0,0,INDEX(COA!$H:$H,MATCH($G1256,COA!$A:$A,0))),"")</f>
        <v/>
      </c>
      <c r="W1256" s="32">
        <f>IF($A1256=1,"","")</f>
        <v/>
      </c>
      <c r="X1256" s="32">
        <f>IF($A1256=1,IF($R1256=1,"",IF($O1256=ST_POST,IF($P1256&lt;&gt;"",$P1256,"حساب غير صالح أو غير نشط"),IF($O1256=ST_REV,"معكوس: لا أثر على الدفاتر",IF($O1256=ST_CANC,"ملغى",IF($O1256=ST_APPR,"معتمد ولم يُرحَّل","مسودة"))))),"")</f>
        <v/>
      </c>
      <c r="Y1256" s="32">
        <f>IF($A1256=1,IF(AND($R1256=1,OR(LG_Acct="",$G1256=LG_Acct),OR(LG_Party="",$K1256=LG_Party),OR(LG_Loc="ALL",$I1256=LG_Loc),OR(LG_CC="ALL",$J1256=LG_CC),$D1256&gt;=LG_From,$D1256&lt;=LG_To),$D1256+ROW()/1000000,""),"")</f>
        <v/>
      </c>
      <c r="Z1256" s="32">
        <f>IF($A1256=1,IF(Supplier_Invoices!$P10="","",Supplier_Invoices!$P10),"")</f>
        <v/>
      </c>
      <c r="AA1256" s="32">
        <f>IF($A1256=1,IF(Supplier_Invoices!$Q10="","",Supplier_Invoices!$Q10),"")</f>
        <v/>
      </c>
      <c r="AB1256" s="32">
        <f>IF($A1256=1,IF(Supplier_Invoices!$R10="","",Supplier_Invoices!$R10),"")</f>
        <v/>
      </c>
      <c r="AC1256" s="32">
        <f>IF($A1256=1,IF(Supplier_Invoices!$S10="","",Supplier_Invoices!$S10),"")</f>
        <v/>
      </c>
      <c r="AD1256" s="32">
        <f>IF($A1256=1,IF(Supplier_Invoices!$T10="","",Supplier_Invoices!$T10),"")</f>
        <v/>
      </c>
      <c r="AE1256" s="32">
        <f>IF($A1256=1,0,"")</f>
        <v/>
      </c>
      <c r="AF1256" s="32" t="inlineStr"/>
    </row>
    <row r="1257">
      <c r="A1257" s="32">
        <f>IF(AND(Supplier_Invoices!$AD10=1,Supplier_Invoices!$L10&lt;&gt;"",Supplier_Invoices!$V10&lt;&gt;"CN",N(Supplier_Invoices!$W10)&gt;0),1,0)</f>
        <v/>
      </c>
      <c r="B1257" s="32">
        <f>IF($A1257=1,$E1257&amp;"/4","")</f>
        <v/>
      </c>
      <c r="C1257" s="32">
        <f>IF($A1257=1,"J-"&amp;Supplier_Invoices!$A10,"")</f>
        <v/>
      </c>
      <c r="D1257" s="33">
        <f>IF($A1257=1,Supplier_Invoices!$E10,"")</f>
        <v/>
      </c>
      <c r="E1257" s="32">
        <f>IF($A1257=1,IF(Supplier_Invoices!$A10="","",Supplier_Invoices!$A10),"")</f>
        <v/>
      </c>
      <c r="F1257" s="32">
        <f>IF($A1257=1,"SINV","")</f>
        <v/>
      </c>
      <c r="G1257" s="32">
        <f>IF($A1257=1,ACC_SUPPLIERS,"")</f>
        <v/>
      </c>
      <c r="H1257" s="32">
        <f>IF($A1257=1,IF(COUNTIF(COA!$A:$A,$G1257)=0,"حساب غير معرف",INDEX(COA!$B:$B,MATCH($G1257,COA!$A:$A,0))),"")</f>
        <v/>
      </c>
      <c r="I1257" s="32">
        <f>IF($A1257=1,IF(Supplier_Invoices!$H10="","",Supplier_Invoices!$H10),"")</f>
        <v/>
      </c>
      <c r="J1257" s="32">
        <f>IF($A1257=1,"CC00","")</f>
        <v/>
      </c>
      <c r="K1257" s="32">
        <f>IF($A1257=1,IF(Supplier_Invoices!$C10="","",Supplier_Invoices!$C10),"")</f>
        <v/>
      </c>
      <c r="L1257" s="32">
        <f>IF($A1257=1,"سداد فوري - "&amp;Supplier_Invoices!$F10&amp;" "&amp;Supplier_Invoices!$B10&amp;" - "&amp;Supplier_Invoices!$C10,"")</f>
        <v/>
      </c>
      <c r="M1257" s="43">
        <f>IF($A1257=1,Supplier_Invoices!$W10,"")</f>
        <v/>
      </c>
      <c r="N1257" s="43">
        <f>IF($A1257=1,0,"")</f>
        <v/>
      </c>
      <c r="O1257" s="32">
        <f>IF($A1257=1,Supplier_Invoices!$O10,"")</f>
        <v/>
      </c>
      <c r="P1257" s="32">
        <f>IF($A1257=1,IF(Supplier_Invoices!$AE10="","",Supplier_Invoices!$AE10),"")</f>
        <v/>
      </c>
      <c r="Q1257" s="32">
        <f>IF($A1257=1,Supplier_Invoices!$AG10,"")</f>
        <v/>
      </c>
      <c r="R1257" s="32">
        <f>IF($A1257=1,IF(AND($Q1257=1,COUNTIFS(COA!$A:$A,$G1257,COA!$R:$R,1)=1),1,0),"")</f>
        <v/>
      </c>
      <c r="S1257" s="43">
        <f>IF($A1257=1,IF($R1257=1,N($M1257),0),"")</f>
        <v/>
      </c>
      <c r="T1257" s="43">
        <f>IF($A1257=1,IF($R1257=1,N($N1257),0),"")</f>
        <v/>
      </c>
      <c r="U1257" s="32">
        <f>IF($A1257=1,YEAR($D1257)*100+MONTH($D1257),"")</f>
        <v/>
      </c>
      <c r="V1257" s="32">
        <f>IF($A1257=1,IF(COUNTIF(COA!$A:$A,$G1257)=0,0,INDEX(COA!$H:$H,MATCH($G1257,COA!$A:$A,0))),"")</f>
        <v/>
      </c>
      <c r="W1257" s="32">
        <f>IF($A1257=1,"","")</f>
        <v/>
      </c>
      <c r="X1257" s="32">
        <f>IF($A1257=1,IF($R1257=1,"",IF($O1257=ST_POST,IF($P1257&lt;&gt;"",$P1257,"حساب غير صالح أو غير نشط"),IF($O1257=ST_REV,"معكوس: لا أثر على الدفاتر",IF($O1257=ST_CANC,"ملغى",IF($O1257=ST_APPR,"معتمد ولم يُرحَّل","مسودة"))))),"")</f>
        <v/>
      </c>
      <c r="Y1257" s="32">
        <f>IF($A1257=1,IF(AND($R1257=1,OR(LG_Acct="",$G1257=LG_Acct),OR(LG_Party="",$K1257=LG_Party),OR(LG_Loc="ALL",$I1257=LG_Loc),OR(LG_CC="ALL",$J1257=LG_CC),$D1257&gt;=LG_From,$D1257&lt;=LG_To),$D1257+ROW()/1000000,""),"")</f>
        <v/>
      </c>
      <c r="Z1257" s="32">
        <f>IF($A1257=1,IF(Supplier_Invoices!$P10="","",Supplier_Invoices!$P10),"")</f>
        <v/>
      </c>
      <c r="AA1257" s="32">
        <f>IF($A1257=1,IF(Supplier_Invoices!$Q10="","",Supplier_Invoices!$Q10),"")</f>
        <v/>
      </c>
      <c r="AB1257" s="32">
        <f>IF($A1257=1,IF(Supplier_Invoices!$R10="","",Supplier_Invoices!$R10),"")</f>
        <v/>
      </c>
      <c r="AC1257" s="32">
        <f>IF($A1257=1,IF(Supplier_Invoices!$S10="","",Supplier_Invoices!$S10),"")</f>
        <v/>
      </c>
      <c r="AD1257" s="32">
        <f>IF($A1257=1,IF(Supplier_Invoices!$T10="","",Supplier_Invoices!$T10),"")</f>
        <v/>
      </c>
      <c r="AE1257" s="32">
        <f>IF($A1257=1,0,"")</f>
        <v/>
      </c>
      <c r="AF1257" s="32" t="inlineStr"/>
    </row>
    <row r="1258">
      <c r="A1258" s="32">
        <f>IF(AND(Supplier_Invoices!$AD10=1,Supplier_Invoices!$L10&lt;&gt;"",Supplier_Invoices!$V10&lt;&gt;"CN",N(Supplier_Invoices!$W10)&gt;0),1,0)</f>
        <v/>
      </c>
      <c r="B1258" s="32">
        <f>IF($A1258=1,$E1258&amp;"/5","")</f>
        <v/>
      </c>
      <c r="C1258" s="32">
        <f>IF($A1258=1,"J-"&amp;Supplier_Invoices!$A10,"")</f>
        <v/>
      </c>
      <c r="D1258" s="33">
        <f>IF($A1258=1,Supplier_Invoices!$E10,"")</f>
        <v/>
      </c>
      <c r="E1258" s="32">
        <f>IF($A1258=1,IF(Supplier_Invoices!$A10="","",Supplier_Invoices!$A10),"")</f>
        <v/>
      </c>
      <c r="F1258" s="32">
        <f>IF($A1258=1,"SINV","")</f>
        <v/>
      </c>
      <c r="G1258" s="32">
        <f>IF($A1258=1,IF(Supplier_Invoices!$AA10="","",Supplier_Invoices!$AA10),"")</f>
        <v/>
      </c>
      <c r="H1258" s="32">
        <f>IF($A1258=1,IF(COUNTIF(COA!$A:$A,$G1258)=0,"حساب غير معرف",INDEX(COA!$B:$B,MATCH($G1258,COA!$A:$A,0))),"")</f>
        <v/>
      </c>
      <c r="I1258" s="32">
        <f>IF($A1258=1,IF(Supplier_Invoices!$H10="","",Supplier_Invoices!$H10),"")</f>
        <v/>
      </c>
      <c r="J1258" s="32">
        <f>IF($A1258=1,"CC00","")</f>
        <v/>
      </c>
      <c r="K1258" s="32">
        <f>IF($A1258=1,"-","")</f>
        <v/>
      </c>
      <c r="L1258" s="32">
        <f>IF($A1258=1,"سداد فوري - "&amp;Supplier_Invoices!$F10&amp;" "&amp;Supplier_Invoices!$B10&amp;" - "&amp;Supplier_Invoices!$C10,"")</f>
        <v/>
      </c>
      <c r="M1258" s="43">
        <f>IF($A1258=1,0,"")</f>
        <v/>
      </c>
      <c r="N1258" s="43">
        <f>IF($A1258=1,Supplier_Invoices!$W10,"")</f>
        <v/>
      </c>
      <c r="O1258" s="32">
        <f>IF($A1258=1,Supplier_Invoices!$O10,"")</f>
        <v/>
      </c>
      <c r="P1258" s="32">
        <f>IF($A1258=1,IF(Supplier_Invoices!$AE10="","",Supplier_Invoices!$AE10),"")</f>
        <v/>
      </c>
      <c r="Q1258" s="32">
        <f>IF($A1258=1,Supplier_Invoices!$AG10,"")</f>
        <v/>
      </c>
      <c r="R1258" s="32">
        <f>IF($A1258=1,IF(AND($Q1258=1,COUNTIFS(COA!$A:$A,$G1258,COA!$R:$R,1)=1),1,0),"")</f>
        <v/>
      </c>
      <c r="S1258" s="43">
        <f>IF($A1258=1,IF($R1258=1,N($M1258),0),"")</f>
        <v/>
      </c>
      <c r="T1258" s="43">
        <f>IF($A1258=1,IF($R1258=1,N($N1258),0),"")</f>
        <v/>
      </c>
      <c r="U1258" s="32">
        <f>IF($A1258=1,YEAR($D1258)*100+MONTH($D1258),"")</f>
        <v/>
      </c>
      <c r="V1258" s="32">
        <f>IF($A1258=1,IF(COUNTIF(COA!$A:$A,$G1258)=0,0,INDEX(COA!$H:$H,MATCH($G1258,COA!$A:$A,0))),"")</f>
        <v/>
      </c>
      <c r="W1258" s="32">
        <f>IF($A1258=1,IF(Supplier_Invoices!$AB10="","",Supplier_Invoices!$AB10),"")</f>
        <v/>
      </c>
      <c r="X1258" s="32">
        <f>IF($A1258=1,IF($R1258=1,"",IF($O1258=ST_POST,IF($P1258&lt;&gt;"",$P1258,"حساب غير صالح أو غير نشط"),IF($O1258=ST_REV,"معكوس: لا أثر على الدفاتر",IF($O1258=ST_CANC,"ملغى",IF($O1258=ST_APPR,"معتمد ولم يُرحَّل","مسودة"))))),"")</f>
        <v/>
      </c>
      <c r="Y1258" s="32">
        <f>IF($A1258=1,IF(AND($R1258=1,OR(LG_Acct="",$G1258=LG_Acct),OR(LG_Party="",$K1258=LG_Party),OR(LG_Loc="ALL",$I1258=LG_Loc),OR(LG_CC="ALL",$J1258=LG_CC),$D1258&gt;=LG_From,$D1258&lt;=LG_To),$D1258+ROW()/1000000,""),"")</f>
        <v/>
      </c>
      <c r="Z1258" s="32">
        <f>IF($A1258=1,IF(Supplier_Invoices!$P10="","",Supplier_Invoices!$P10),"")</f>
        <v/>
      </c>
      <c r="AA1258" s="32">
        <f>IF($A1258=1,IF(Supplier_Invoices!$Q10="","",Supplier_Invoices!$Q10),"")</f>
        <v/>
      </c>
      <c r="AB1258" s="32">
        <f>IF($A1258=1,IF(Supplier_Invoices!$R10="","",Supplier_Invoices!$R10),"")</f>
        <v/>
      </c>
      <c r="AC1258" s="32">
        <f>IF($A1258=1,IF(Supplier_Invoices!$S10="","",Supplier_Invoices!$S10),"")</f>
        <v/>
      </c>
      <c r="AD1258" s="32">
        <f>IF($A1258=1,IF(Supplier_Invoices!$T10="","",Supplier_Invoices!$T10),"")</f>
        <v/>
      </c>
      <c r="AE1258" s="32">
        <f>IF($A1258=1,0,"")</f>
        <v/>
      </c>
      <c r="AF1258" s="32" t="inlineStr"/>
    </row>
    <row r="1259">
      <c r="A1259" s="32">
        <f>IF(AND(Supplier_Invoices!$AD11=1,N(Supplier_Invoices!$J11)&gt;0),1,0)</f>
        <v/>
      </c>
      <c r="B1259" s="32">
        <f>IF($A1259=1,$E1259&amp;"/1","")</f>
        <v/>
      </c>
      <c r="C1259" s="32">
        <f>IF($A1259=1,"J-"&amp;Supplier_Invoices!$A11,"")</f>
        <v/>
      </c>
      <c r="D1259" s="33">
        <f>IF($A1259=1,Supplier_Invoices!$E11,"")</f>
        <v/>
      </c>
      <c r="E1259" s="32">
        <f>IF($A1259=1,IF(Supplier_Invoices!$A11="","",Supplier_Invoices!$A11),"")</f>
        <v/>
      </c>
      <c r="F1259" s="32">
        <f>IF($A1259=1,"SINV","")</f>
        <v/>
      </c>
      <c r="G1259" s="32">
        <f>IF($A1259=1,IF(Supplier_Invoices!$G11="","",Supplier_Invoices!$G11),"")</f>
        <v/>
      </c>
      <c r="H1259" s="32">
        <f>IF($A1259=1,IF(COUNTIF(COA!$A:$A,$G1259)=0,"حساب غير معرف",INDEX(COA!$B:$B,MATCH($G1259,COA!$A:$A,0))),"")</f>
        <v/>
      </c>
      <c r="I1259" s="32">
        <f>IF($A1259=1,IF(Supplier_Invoices!$H11="","",Supplier_Invoices!$H11),"")</f>
        <v/>
      </c>
      <c r="J1259" s="32">
        <f>IF($A1259=1,IF(Supplier_Invoices!$I11="","",Supplier_Invoices!$I11),"")</f>
        <v/>
      </c>
      <c r="K1259" s="32">
        <f>IF($A1259=1,"-","")</f>
        <v/>
      </c>
      <c r="L1259" s="32">
        <f>IF($A1259=1,Supplier_Invoices!$F11&amp;" "&amp;Supplier_Invoices!$B11&amp;" - "&amp;Supplier_Invoices!$C11,"")</f>
        <v/>
      </c>
      <c r="M1259" s="43">
        <f>IF($A1259=1,IF(Supplier_Invoices!$V11="CN",0,Supplier_Invoices!$J11),"")</f>
        <v/>
      </c>
      <c r="N1259" s="43">
        <f>IF($A1259=1,IF(Supplier_Invoices!$V11="CN",Supplier_Invoices!$J11,0),"")</f>
        <v/>
      </c>
      <c r="O1259" s="32">
        <f>IF($A1259=1,Supplier_Invoices!$O11,"")</f>
        <v/>
      </c>
      <c r="P1259" s="32">
        <f>IF($A1259=1,IF(Supplier_Invoices!$AE11="","",Supplier_Invoices!$AE11),"")</f>
        <v/>
      </c>
      <c r="Q1259" s="32">
        <f>IF($A1259=1,Supplier_Invoices!$AG11,"")</f>
        <v/>
      </c>
      <c r="R1259" s="32">
        <f>IF($A1259=1,IF(AND($Q1259=1,COUNTIFS(COA!$A:$A,$G1259,COA!$R:$R,1)=1),1,0),"")</f>
        <v/>
      </c>
      <c r="S1259" s="43">
        <f>IF($A1259=1,IF($R1259=1,N($M1259),0),"")</f>
        <v/>
      </c>
      <c r="T1259" s="43">
        <f>IF($A1259=1,IF($R1259=1,N($N1259),0),"")</f>
        <v/>
      </c>
      <c r="U1259" s="32">
        <f>IF($A1259=1,YEAR($D1259)*100+MONTH($D1259),"")</f>
        <v/>
      </c>
      <c r="V1259" s="32">
        <f>IF($A1259=1,IF(COUNTIF(COA!$A:$A,$G1259)=0,0,INDEX(COA!$H:$H,MATCH($G1259,COA!$A:$A,0))),"")</f>
        <v/>
      </c>
      <c r="W1259" s="32">
        <f>IF($A1259=1,"","")</f>
        <v/>
      </c>
      <c r="X1259" s="32">
        <f>IF($A1259=1,IF($R1259=1,"",IF($O1259=ST_POST,IF($P1259&lt;&gt;"",$P1259,"حساب غير صالح أو غير نشط"),IF($O1259=ST_REV,"معكوس: لا أثر على الدفاتر",IF($O1259=ST_CANC,"ملغى",IF($O1259=ST_APPR,"معتمد ولم يُرحَّل","مسودة"))))),"")</f>
        <v/>
      </c>
      <c r="Y1259" s="32">
        <f>IF($A1259=1,IF(AND($R1259=1,OR(LG_Acct="",$G1259=LG_Acct),OR(LG_Party="",$K1259=LG_Party),OR(LG_Loc="ALL",$I1259=LG_Loc),OR(LG_CC="ALL",$J1259=LG_CC),$D1259&gt;=LG_From,$D1259&lt;=LG_To),$D1259+ROW()/1000000,""),"")</f>
        <v/>
      </c>
      <c r="Z1259" s="32">
        <f>IF($A1259=1,IF(Supplier_Invoices!$P11="","",Supplier_Invoices!$P11),"")</f>
        <v/>
      </c>
      <c r="AA1259" s="32">
        <f>IF($A1259=1,IF(Supplier_Invoices!$Q11="","",Supplier_Invoices!$Q11),"")</f>
        <v/>
      </c>
      <c r="AB1259" s="32">
        <f>IF($A1259=1,IF(Supplier_Invoices!$R11="","",Supplier_Invoices!$R11),"")</f>
        <v/>
      </c>
      <c r="AC1259" s="32">
        <f>IF($A1259=1,IF(Supplier_Invoices!$S11="","",Supplier_Invoices!$S11),"")</f>
        <v/>
      </c>
      <c r="AD1259" s="32">
        <f>IF($A1259=1,IF(Supplier_Invoices!$T11="","",Supplier_Invoices!$T11),"")</f>
        <v/>
      </c>
      <c r="AE1259" s="32">
        <f>IF($A1259=1,0,"")</f>
        <v/>
      </c>
      <c r="AF1259" s="32" t="inlineStr"/>
    </row>
    <row r="1260">
      <c r="A1260" s="32">
        <f>IF(AND(Supplier_Invoices!$AD11=1,N(Supplier_Invoices!$K11)&gt;0),1,0)</f>
        <v/>
      </c>
      <c r="B1260" s="32">
        <f>IF($A1260=1,$E1260&amp;"/2","")</f>
        <v/>
      </c>
      <c r="C1260" s="32">
        <f>IF($A1260=1,"J-"&amp;Supplier_Invoices!$A11,"")</f>
        <v/>
      </c>
      <c r="D1260" s="33">
        <f>IF($A1260=1,Supplier_Invoices!$E11,"")</f>
        <v/>
      </c>
      <c r="E1260" s="32">
        <f>IF($A1260=1,IF(Supplier_Invoices!$A11="","",Supplier_Invoices!$A11),"")</f>
        <v/>
      </c>
      <c r="F1260" s="32">
        <f>IF($A1260=1,"SINV","")</f>
        <v/>
      </c>
      <c r="G1260" s="32">
        <f>IF($A1260=1,ACC_VAT_IN,"")</f>
        <v/>
      </c>
      <c r="H1260" s="32">
        <f>IF($A1260=1,IF(COUNTIF(COA!$A:$A,$G1260)=0,"حساب غير معرف",INDEX(COA!$B:$B,MATCH($G1260,COA!$A:$A,0))),"")</f>
        <v/>
      </c>
      <c r="I1260" s="32">
        <f>IF($A1260=1,IF(Supplier_Invoices!$H11="","",Supplier_Invoices!$H11),"")</f>
        <v/>
      </c>
      <c r="J1260" s="32">
        <f>IF($A1260=1,IF(Supplier_Invoices!$I11="","",Supplier_Invoices!$I11),"")</f>
        <v/>
      </c>
      <c r="K1260" s="32">
        <f>IF($A1260=1,"-","")</f>
        <v/>
      </c>
      <c r="L1260" s="32">
        <f>IF($A1260=1,"ضريبة قيمة مضافة - مدخلات","")</f>
        <v/>
      </c>
      <c r="M1260" s="43">
        <f>IF($A1260=1,IF(Supplier_Invoices!$V11="CN",0,Supplier_Invoices!$K11),"")</f>
        <v/>
      </c>
      <c r="N1260" s="43">
        <f>IF($A1260=1,IF(Supplier_Invoices!$V11="CN",Supplier_Invoices!$K11,0),"")</f>
        <v/>
      </c>
      <c r="O1260" s="32">
        <f>IF($A1260=1,Supplier_Invoices!$O11,"")</f>
        <v/>
      </c>
      <c r="P1260" s="32">
        <f>IF($A1260=1,IF(Supplier_Invoices!$AE11="","",Supplier_Invoices!$AE11),"")</f>
        <v/>
      </c>
      <c r="Q1260" s="32">
        <f>IF($A1260=1,Supplier_Invoices!$AG11,"")</f>
        <v/>
      </c>
      <c r="R1260" s="32">
        <f>IF($A1260=1,IF(AND($Q1260=1,COUNTIFS(COA!$A:$A,$G1260,COA!$R:$R,1)=1),1,0),"")</f>
        <v/>
      </c>
      <c r="S1260" s="43">
        <f>IF($A1260=1,IF($R1260=1,N($M1260),0),"")</f>
        <v/>
      </c>
      <c r="T1260" s="43">
        <f>IF($A1260=1,IF($R1260=1,N($N1260),0),"")</f>
        <v/>
      </c>
      <c r="U1260" s="32">
        <f>IF($A1260=1,YEAR($D1260)*100+MONTH($D1260),"")</f>
        <v/>
      </c>
      <c r="V1260" s="32">
        <f>IF($A1260=1,IF(COUNTIF(COA!$A:$A,$G1260)=0,0,INDEX(COA!$H:$H,MATCH($G1260,COA!$A:$A,0))),"")</f>
        <v/>
      </c>
      <c r="W1260" s="32">
        <f>IF($A1260=1,"","")</f>
        <v/>
      </c>
      <c r="X1260" s="32">
        <f>IF($A1260=1,IF($R1260=1,"",IF($O1260=ST_POST,IF($P1260&lt;&gt;"",$P1260,"حساب غير صالح أو غير نشط"),IF($O1260=ST_REV,"معكوس: لا أثر على الدفاتر",IF($O1260=ST_CANC,"ملغى",IF($O1260=ST_APPR,"معتمد ولم يُرحَّل","مسودة"))))),"")</f>
        <v/>
      </c>
      <c r="Y1260" s="32">
        <f>IF($A1260=1,IF(AND($R1260=1,OR(LG_Acct="",$G1260=LG_Acct),OR(LG_Party="",$K1260=LG_Party),OR(LG_Loc="ALL",$I1260=LG_Loc),OR(LG_CC="ALL",$J1260=LG_CC),$D1260&gt;=LG_From,$D1260&lt;=LG_To),$D1260+ROW()/1000000,""),"")</f>
        <v/>
      </c>
      <c r="Z1260" s="32">
        <f>IF($A1260=1,IF(Supplier_Invoices!$P11="","",Supplier_Invoices!$P11),"")</f>
        <v/>
      </c>
      <c r="AA1260" s="32">
        <f>IF($A1260=1,IF(Supplier_Invoices!$Q11="","",Supplier_Invoices!$Q11),"")</f>
        <v/>
      </c>
      <c r="AB1260" s="32">
        <f>IF($A1260=1,IF(Supplier_Invoices!$R11="","",Supplier_Invoices!$R11),"")</f>
        <v/>
      </c>
      <c r="AC1260" s="32">
        <f>IF($A1260=1,IF(Supplier_Invoices!$S11="","",Supplier_Invoices!$S11),"")</f>
        <v/>
      </c>
      <c r="AD1260" s="32">
        <f>IF($A1260=1,IF(Supplier_Invoices!$T11="","",Supplier_Invoices!$T11),"")</f>
        <v/>
      </c>
      <c r="AE1260" s="32">
        <f>IF($A1260=1,0,"")</f>
        <v/>
      </c>
      <c r="AF1260" s="32" t="inlineStr"/>
    </row>
    <row r="1261">
      <c r="A1261" s="32">
        <f>IF(AND(Supplier_Invoices!$AD11=1,N(Supplier_Invoices!$W11)&gt;0),1,0)</f>
        <v/>
      </c>
      <c r="B1261" s="32">
        <f>IF($A1261=1,$E1261&amp;"/3","")</f>
        <v/>
      </c>
      <c r="C1261" s="32">
        <f>IF($A1261=1,"J-"&amp;Supplier_Invoices!$A11,"")</f>
        <v/>
      </c>
      <c r="D1261" s="33">
        <f>IF($A1261=1,Supplier_Invoices!$E11,"")</f>
        <v/>
      </c>
      <c r="E1261" s="32">
        <f>IF($A1261=1,IF(Supplier_Invoices!$A11="","",Supplier_Invoices!$A11),"")</f>
        <v/>
      </c>
      <c r="F1261" s="32">
        <f>IF($A1261=1,"SINV","")</f>
        <v/>
      </c>
      <c r="G1261" s="32">
        <f>IF($A1261=1,ACC_SUPPLIERS,"")</f>
        <v/>
      </c>
      <c r="H1261" s="32">
        <f>IF($A1261=1,IF(COUNTIF(COA!$A:$A,$G1261)=0,"حساب غير معرف",INDEX(COA!$B:$B,MATCH($G1261,COA!$A:$A,0))),"")</f>
        <v/>
      </c>
      <c r="I1261" s="32">
        <f>IF($A1261=1,IF(Supplier_Invoices!$H11="","",Supplier_Invoices!$H11),"")</f>
        <v/>
      </c>
      <c r="J1261" s="32">
        <f>IF($A1261=1,"CC00","")</f>
        <v/>
      </c>
      <c r="K1261" s="32">
        <f>IF($A1261=1,IF(Supplier_Invoices!$C11="","",Supplier_Invoices!$C11),"")</f>
        <v/>
      </c>
      <c r="L1261" s="32">
        <f>IF($A1261=1,Supplier_Invoices!$F11&amp;" "&amp;Supplier_Invoices!$B11&amp;" - "&amp;Supplier_Invoices!$C11,"")</f>
        <v/>
      </c>
      <c r="M1261" s="43">
        <f>IF($A1261=1,IF(Supplier_Invoices!$V11="CN",Supplier_Invoices!$W11,0),"")</f>
        <v/>
      </c>
      <c r="N1261" s="43">
        <f>IF($A1261=1,IF(Supplier_Invoices!$V11="CN",0,Supplier_Invoices!$W11),"")</f>
        <v/>
      </c>
      <c r="O1261" s="32">
        <f>IF($A1261=1,Supplier_Invoices!$O11,"")</f>
        <v/>
      </c>
      <c r="P1261" s="32">
        <f>IF($A1261=1,IF(Supplier_Invoices!$AE11="","",Supplier_Invoices!$AE11),"")</f>
        <v/>
      </c>
      <c r="Q1261" s="32">
        <f>IF($A1261=1,Supplier_Invoices!$AG11,"")</f>
        <v/>
      </c>
      <c r="R1261" s="32">
        <f>IF($A1261=1,IF(AND($Q1261=1,COUNTIFS(COA!$A:$A,$G1261,COA!$R:$R,1)=1),1,0),"")</f>
        <v/>
      </c>
      <c r="S1261" s="43">
        <f>IF($A1261=1,IF($R1261=1,N($M1261),0),"")</f>
        <v/>
      </c>
      <c r="T1261" s="43">
        <f>IF($A1261=1,IF($R1261=1,N($N1261),0),"")</f>
        <v/>
      </c>
      <c r="U1261" s="32">
        <f>IF($A1261=1,YEAR($D1261)*100+MONTH($D1261),"")</f>
        <v/>
      </c>
      <c r="V1261" s="32">
        <f>IF($A1261=1,IF(COUNTIF(COA!$A:$A,$G1261)=0,0,INDEX(COA!$H:$H,MATCH($G1261,COA!$A:$A,0))),"")</f>
        <v/>
      </c>
      <c r="W1261" s="32">
        <f>IF($A1261=1,"","")</f>
        <v/>
      </c>
      <c r="X1261" s="32">
        <f>IF($A1261=1,IF($R1261=1,"",IF($O1261=ST_POST,IF($P1261&lt;&gt;"",$P1261,"حساب غير صالح أو غير نشط"),IF($O1261=ST_REV,"معكوس: لا أثر على الدفاتر",IF($O1261=ST_CANC,"ملغى",IF($O1261=ST_APPR,"معتمد ولم يُرحَّل","مسودة"))))),"")</f>
        <v/>
      </c>
      <c r="Y1261" s="32">
        <f>IF($A1261=1,IF(AND($R1261=1,OR(LG_Acct="",$G1261=LG_Acct),OR(LG_Party="",$K1261=LG_Party),OR(LG_Loc="ALL",$I1261=LG_Loc),OR(LG_CC="ALL",$J1261=LG_CC),$D1261&gt;=LG_From,$D1261&lt;=LG_To),$D1261+ROW()/1000000,""),"")</f>
        <v/>
      </c>
      <c r="Z1261" s="32">
        <f>IF($A1261=1,IF(Supplier_Invoices!$P11="","",Supplier_Invoices!$P11),"")</f>
        <v/>
      </c>
      <c r="AA1261" s="32">
        <f>IF($A1261=1,IF(Supplier_Invoices!$Q11="","",Supplier_Invoices!$Q11),"")</f>
        <v/>
      </c>
      <c r="AB1261" s="32">
        <f>IF($A1261=1,IF(Supplier_Invoices!$R11="","",Supplier_Invoices!$R11),"")</f>
        <v/>
      </c>
      <c r="AC1261" s="32">
        <f>IF($A1261=1,IF(Supplier_Invoices!$S11="","",Supplier_Invoices!$S11),"")</f>
        <v/>
      </c>
      <c r="AD1261" s="32">
        <f>IF($A1261=1,IF(Supplier_Invoices!$T11="","",Supplier_Invoices!$T11),"")</f>
        <v/>
      </c>
      <c r="AE1261" s="32">
        <f>IF($A1261=1,0,"")</f>
        <v/>
      </c>
      <c r="AF1261" s="32" t="inlineStr"/>
    </row>
    <row r="1262">
      <c r="A1262" s="32">
        <f>IF(AND(Supplier_Invoices!$AD11=1,Supplier_Invoices!$L11&lt;&gt;"",Supplier_Invoices!$V11&lt;&gt;"CN",N(Supplier_Invoices!$W11)&gt;0),1,0)</f>
        <v/>
      </c>
      <c r="B1262" s="32">
        <f>IF($A1262=1,$E1262&amp;"/4","")</f>
        <v/>
      </c>
      <c r="C1262" s="32">
        <f>IF($A1262=1,"J-"&amp;Supplier_Invoices!$A11,"")</f>
        <v/>
      </c>
      <c r="D1262" s="33">
        <f>IF($A1262=1,Supplier_Invoices!$E11,"")</f>
        <v/>
      </c>
      <c r="E1262" s="32">
        <f>IF($A1262=1,IF(Supplier_Invoices!$A11="","",Supplier_Invoices!$A11),"")</f>
        <v/>
      </c>
      <c r="F1262" s="32">
        <f>IF($A1262=1,"SINV","")</f>
        <v/>
      </c>
      <c r="G1262" s="32">
        <f>IF($A1262=1,ACC_SUPPLIERS,"")</f>
        <v/>
      </c>
      <c r="H1262" s="32">
        <f>IF($A1262=1,IF(COUNTIF(COA!$A:$A,$G1262)=0,"حساب غير معرف",INDEX(COA!$B:$B,MATCH($G1262,COA!$A:$A,0))),"")</f>
        <v/>
      </c>
      <c r="I1262" s="32">
        <f>IF($A1262=1,IF(Supplier_Invoices!$H11="","",Supplier_Invoices!$H11),"")</f>
        <v/>
      </c>
      <c r="J1262" s="32">
        <f>IF($A1262=1,"CC00","")</f>
        <v/>
      </c>
      <c r="K1262" s="32">
        <f>IF($A1262=1,IF(Supplier_Invoices!$C11="","",Supplier_Invoices!$C11),"")</f>
        <v/>
      </c>
      <c r="L1262" s="32">
        <f>IF($A1262=1,"سداد فوري - "&amp;Supplier_Invoices!$F11&amp;" "&amp;Supplier_Invoices!$B11&amp;" - "&amp;Supplier_Invoices!$C11,"")</f>
        <v/>
      </c>
      <c r="M1262" s="43">
        <f>IF($A1262=1,Supplier_Invoices!$W11,"")</f>
        <v/>
      </c>
      <c r="N1262" s="43">
        <f>IF($A1262=1,0,"")</f>
        <v/>
      </c>
      <c r="O1262" s="32">
        <f>IF($A1262=1,Supplier_Invoices!$O11,"")</f>
        <v/>
      </c>
      <c r="P1262" s="32">
        <f>IF($A1262=1,IF(Supplier_Invoices!$AE11="","",Supplier_Invoices!$AE11),"")</f>
        <v/>
      </c>
      <c r="Q1262" s="32">
        <f>IF($A1262=1,Supplier_Invoices!$AG11,"")</f>
        <v/>
      </c>
      <c r="R1262" s="32">
        <f>IF($A1262=1,IF(AND($Q1262=1,COUNTIFS(COA!$A:$A,$G1262,COA!$R:$R,1)=1),1,0),"")</f>
        <v/>
      </c>
      <c r="S1262" s="43">
        <f>IF($A1262=1,IF($R1262=1,N($M1262),0),"")</f>
        <v/>
      </c>
      <c r="T1262" s="43">
        <f>IF($A1262=1,IF($R1262=1,N($N1262),0),"")</f>
        <v/>
      </c>
      <c r="U1262" s="32">
        <f>IF($A1262=1,YEAR($D1262)*100+MONTH($D1262),"")</f>
        <v/>
      </c>
      <c r="V1262" s="32">
        <f>IF($A1262=1,IF(COUNTIF(COA!$A:$A,$G1262)=0,0,INDEX(COA!$H:$H,MATCH($G1262,COA!$A:$A,0))),"")</f>
        <v/>
      </c>
      <c r="W1262" s="32">
        <f>IF($A1262=1,"","")</f>
        <v/>
      </c>
      <c r="X1262" s="32">
        <f>IF($A1262=1,IF($R1262=1,"",IF($O1262=ST_POST,IF($P1262&lt;&gt;"",$P1262,"حساب غير صالح أو غير نشط"),IF($O1262=ST_REV,"معكوس: لا أثر على الدفاتر",IF($O1262=ST_CANC,"ملغى",IF($O1262=ST_APPR,"معتمد ولم يُرحَّل","مسودة"))))),"")</f>
        <v/>
      </c>
      <c r="Y1262" s="32">
        <f>IF($A1262=1,IF(AND($R1262=1,OR(LG_Acct="",$G1262=LG_Acct),OR(LG_Party="",$K1262=LG_Party),OR(LG_Loc="ALL",$I1262=LG_Loc),OR(LG_CC="ALL",$J1262=LG_CC),$D1262&gt;=LG_From,$D1262&lt;=LG_To),$D1262+ROW()/1000000,""),"")</f>
        <v/>
      </c>
      <c r="Z1262" s="32">
        <f>IF($A1262=1,IF(Supplier_Invoices!$P11="","",Supplier_Invoices!$P11),"")</f>
        <v/>
      </c>
      <c r="AA1262" s="32">
        <f>IF($A1262=1,IF(Supplier_Invoices!$Q11="","",Supplier_Invoices!$Q11),"")</f>
        <v/>
      </c>
      <c r="AB1262" s="32">
        <f>IF($A1262=1,IF(Supplier_Invoices!$R11="","",Supplier_Invoices!$R11),"")</f>
        <v/>
      </c>
      <c r="AC1262" s="32">
        <f>IF($A1262=1,IF(Supplier_Invoices!$S11="","",Supplier_Invoices!$S11),"")</f>
        <v/>
      </c>
      <c r="AD1262" s="32">
        <f>IF($A1262=1,IF(Supplier_Invoices!$T11="","",Supplier_Invoices!$T11),"")</f>
        <v/>
      </c>
      <c r="AE1262" s="32">
        <f>IF($A1262=1,0,"")</f>
        <v/>
      </c>
      <c r="AF1262" s="32" t="inlineStr"/>
    </row>
    <row r="1263">
      <c r="A1263" s="32">
        <f>IF(AND(Supplier_Invoices!$AD11=1,Supplier_Invoices!$L11&lt;&gt;"",Supplier_Invoices!$V11&lt;&gt;"CN",N(Supplier_Invoices!$W11)&gt;0),1,0)</f>
        <v/>
      </c>
      <c r="B1263" s="32">
        <f>IF($A1263=1,$E1263&amp;"/5","")</f>
        <v/>
      </c>
      <c r="C1263" s="32">
        <f>IF($A1263=1,"J-"&amp;Supplier_Invoices!$A11,"")</f>
        <v/>
      </c>
      <c r="D1263" s="33">
        <f>IF($A1263=1,Supplier_Invoices!$E11,"")</f>
        <v/>
      </c>
      <c r="E1263" s="32">
        <f>IF($A1263=1,IF(Supplier_Invoices!$A11="","",Supplier_Invoices!$A11),"")</f>
        <v/>
      </c>
      <c r="F1263" s="32">
        <f>IF($A1263=1,"SINV","")</f>
        <v/>
      </c>
      <c r="G1263" s="32">
        <f>IF($A1263=1,IF(Supplier_Invoices!$AA11="","",Supplier_Invoices!$AA11),"")</f>
        <v/>
      </c>
      <c r="H1263" s="32">
        <f>IF($A1263=1,IF(COUNTIF(COA!$A:$A,$G1263)=0,"حساب غير معرف",INDEX(COA!$B:$B,MATCH($G1263,COA!$A:$A,0))),"")</f>
        <v/>
      </c>
      <c r="I1263" s="32">
        <f>IF($A1263=1,IF(Supplier_Invoices!$H11="","",Supplier_Invoices!$H11),"")</f>
        <v/>
      </c>
      <c r="J1263" s="32">
        <f>IF($A1263=1,"CC00","")</f>
        <v/>
      </c>
      <c r="K1263" s="32">
        <f>IF($A1263=1,"-","")</f>
        <v/>
      </c>
      <c r="L1263" s="32">
        <f>IF($A1263=1,"سداد فوري - "&amp;Supplier_Invoices!$F11&amp;" "&amp;Supplier_Invoices!$B11&amp;" - "&amp;Supplier_Invoices!$C11,"")</f>
        <v/>
      </c>
      <c r="M1263" s="43">
        <f>IF($A1263=1,0,"")</f>
        <v/>
      </c>
      <c r="N1263" s="43">
        <f>IF($A1263=1,Supplier_Invoices!$W11,"")</f>
        <v/>
      </c>
      <c r="O1263" s="32">
        <f>IF($A1263=1,Supplier_Invoices!$O11,"")</f>
        <v/>
      </c>
      <c r="P1263" s="32">
        <f>IF($A1263=1,IF(Supplier_Invoices!$AE11="","",Supplier_Invoices!$AE11),"")</f>
        <v/>
      </c>
      <c r="Q1263" s="32">
        <f>IF($A1263=1,Supplier_Invoices!$AG11,"")</f>
        <v/>
      </c>
      <c r="R1263" s="32">
        <f>IF($A1263=1,IF(AND($Q1263=1,COUNTIFS(COA!$A:$A,$G1263,COA!$R:$R,1)=1),1,0),"")</f>
        <v/>
      </c>
      <c r="S1263" s="43">
        <f>IF($A1263=1,IF($R1263=1,N($M1263),0),"")</f>
        <v/>
      </c>
      <c r="T1263" s="43">
        <f>IF($A1263=1,IF($R1263=1,N($N1263),0),"")</f>
        <v/>
      </c>
      <c r="U1263" s="32">
        <f>IF($A1263=1,YEAR($D1263)*100+MONTH($D1263),"")</f>
        <v/>
      </c>
      <c r="V1263" s="32">
        <f>IF($A1263=1,IF(COUNTIF(COA!$A:$A,$G1263)=0,0,INDEX(COA!$H:$H,MATCH($G1263,COA!$A:$A,0))),"")</f>
        <v/>
      </c>
      <c r="W1263" s="32">
        <f>IF($A1263=1,IF(Supplier_Invoices!$AB11="","",Supplier_Invoices!$AB11),"")</f>
        <v/>
      </c>
      <c r="X1263" s="32">
        <f>IF($A1263=1,IF($R1263=1,"",IF($O1263=ST_POST,IF($P1263&lt;&gt;"",$P1263,"حساب غير صالح أو غير نشط"),IF($O1263=ST_REV,"معكوس: لا أثر على الدفاتر",IF($O1263=ST_CANC,"ملغى",IF($O1263=ST_APPR,"معتمد ولم يُرحَّل","مسودة"))))),"")</f>
        <v/>
      </c>
      <c r="Y1263" s="32">
        <f>IF($A1263=1,IF(AND($R1263=1,OR(LG_Acct="",$G1263=LG_Acct),OR(LG_Party="",$K1263=LG_Party),OR(LG_Loc="ALL",$I1263=LG_Loc),OR(LG_CC="ALL",$J1263=LG_CC),$D1263&gt;=LG_From,$D1263&lt;=LG_To),$D1263+ROW()/1000000,""),"")</f>
        <v/>
      </c>
      <c r="Z1263" s="32">
        <f>IF($A1263=1,IF(Supplier_Invoices!$P11="","",Supplier_Invoices!$P11),"")</f>
        <v/>
      </c>
      <c r="AA1263" s="32">
        <f>IF($A1263=1,IF(Supplier_Invoices!$Q11="","",Supplier_Invoices!$Q11),"")</f>
        <v/>
      </c>
      <c r="AB1263" s="32">
        <f>IF($A1263=1,IF(Supplier_Invoices!$R11="","",Supplier_Invoices!$R11),"")</f>
        <v/>
      </c>
      <c r="AC1263" s="32">
        <f>IF($A1263=1,IF(Supplier_Invoices!$S11="","",Supplier_Invoices!$S11),"")</f>
        <v/>
      </c>
      <c r="AD1263" s="32">
        <f>IF($A1263=1,IF(Supplier_Invoices!$T11="","",Supplier_Invoices!$T11),"")</f>
        <v/>
      </c>
      <c r="AE1263" s="32">
        <f>IF($A1263=1,0,"")</f>
        <v/>
      </c>
      <c r="AF1263" s="32" t="inlineStr"/>
    </row>
    <row r="1264">
      <c r="A1264" s="32">
        <f>IF(AND(Supplier_Invoices!$AD12=1,N(Supplier_Invoices!$J12)&gt;0),1,0)</f>
        <v/>
      </c>
      <c r="B1264" s="32">
        <f>IF($A1264=1,$E1264&amp;"/1","")</f>
        <v/>
      </c>
      <c r="C1264" s="32">
        <f>IF($A1264=1,"J-"&amp;Supplier_Invoices!$A12,"")</f>
        <v/>
      </c>
      <c r="D1264" s="33">
        <f>IF($A1264=1,Supplier_Invoices!$E12,"")</f>
        <v/>
      </c>
      <c r="E1264" s="32">
        <f>IF($A1264=1,IF(Supplier_Invoices!$A12="","",Supplier_Invoices!$A12),"")</f>
        <v/>
      </c>
      <c r="F1264" s="32">
        <f>IF($A1264=1,"SINV","")</f>
        <v/>
      </c>
      <c r="G1264" s="32">
        <f>IF($A1264=1,IF(Supplier_Invoices!$G12="","",Supplier_Invoices!$G12),"")</f>
        <v/>
      </c>
      <c r="H1264" s="32">
        <f>IF($A1264=1,IF(COUNTIF(COA!$A:$A,$G1264)=0,"حساب غير معرف",INDEX(COA!$B:$B,MATCH($G1264,COA!$A:$A,0))),"")</f>
        <v/>
      </c>
      <c r="I1264" s="32">
        <f>IF($A1264=1,IF(Supplier_Invoices!$H12="","",Supplier_Invoices!$H12),"")</f>
        <v/>
      </c>
      <c r="J1264" s="32">
        <f>IF($A1264=1,IF(Supplier_Invoices!$I12="","",Supplier_Invoices!$I12),"")</f>
        <v/>
      </c>
      <c r="K1264" s="32">
        <f>IF($A1264=1,"-","")</f>
        <v/>
      </c>
      <c r="L1264" s="32">
        <f>IF($A1264=1,Supplier_Invoices!$F12&amp;" "&amp;Supplier_Invoices!$B12&amp;" - "&amp;Supplier_Invoices!$C12,"")</f>
        <v/>
      </c>
      <c r="M1264" s="43">
        <f>IF($A1264=1,IF(Supplier_Invoices!$V12="CN",0,Supplier_Invoices!$J12),"")</f>
        <v/>
      </c>
      <c r="N1264" s="43">
        <f>IF($A1264=1,IF(Supplier_Invoices!$V12="CN",Supplier_Invoices!$J12,0),"")</f>
        <v/>
      </c>
      <c r="O1264" s="32">
        <f>IF($A1264=1,Supplier_Invoices!$O12,"")</f>
        <v/>
      </c>
      <c r="P1264" s="32">
        <f>IF($A1264=1,IF(Supplier_Invoices!$AE12="","",Supplier_Invoices!$AE12),"")</f>
        <v/>
      </c>
      <c r="Q1264" s="32">
        <f>IF($A1264=1,Supplier_Invoices!$AG12,"")</f>
        <v/>
      </c>
      <c r="R1264" s="32">
        <f>IF($A1264=1,IF(AND($Q1264=1,COUNTIFS(COA!$A:$A,$G1264,COA!$R:$R,1)=1),1,0),"")</f>
        <v/>
      </c>
      <c r="S1264" s="43">
        <f>IF($A1264=1,IF($R1264=1,N($M1264),0),"")</f>
        <v/>
      </c>
      <c r="T1264" s="43">
        <f>IF($A1264=1,IF($R1264=1,N($N1264),0),"")</f>
        <v/>
      </c>
      <c r="U1264" s="32">
        <f>IF($A1264=1,YEAR($D1264)*100+MONTH($D1264),"")</f>
        <v/>
      </c>
      <c r="V1264" s="32">
        <f>IF($A1264=1,IF(COUNTIF(COA!$A:$A,$G1264)=0,0,INDEX(COA!$H:$H,MATCH($G1264,COA!$A:$A,0))),"")</f>
        <v/>
      </c>
      <c r="W1264" s="32">
        <f>IF($A1264=1,"","")</f>
        <v/>
      </c>
      <c r="X1264" s="32">
        <f>IF($A1264=1,IF($R1264=1,"",IF($O1264=ST_POST,IF($P1264&lt;&gt;"",$P1264,"حساب غير صالح أو غير نشط"),IF($O1264=ST_REV,"معكوس: لا أثر على الدفاتر",IF($O1264=ST_CANC,"ملغى",IF($O1264=ST_APPR,"معتمد ولم يُرحَّل","مسودة"))))),"")</f>
        <v/>
      </c>
      <c r="Y1264" s="32">
        <f>IF($A1264=1,IF(AND($R1264=1,OR(LG_Acct="",$G1264=LG_Acct),OR(LG_Party="",$K1264=LG_Party),OR(LG_Loc="ALL",$I1264=LG_Loc),OR(LG_CC="ALL",$J1264=LG_CC),$D1264&gt;=LG_From,$D1264&lt;=LG_To),$D1264+ROW()/1000000,""),"")</f>
        <v/>
      </c>
      <c r="Z1264" s="32">
        <f>IF($A1264=1,IF(Supplier_Invoices!$P12="","",Supplier_Invoices!$P12),"")</f>
        <v/>
      </c>
      <c r="AA1264" s="32">
        <f>IF($A1264=1,IF(Supplier_Invoices!$Q12="","",Supplier_Invoices!$Q12),"")</f>
        <v/>
      </c>
      <c r="AB1264" s="32">
        <f>IF($A1264=1,IF(Supplier_Invoices!$R12="","",Supplier_Invoices!$R12),"")</f>
        <v/>
      </c>
      <c r="AC1264" s="32">
        <f>IF($A1264=1,IF(Supplier_Invoices!$S12="","",Supplier_Invoices!$S12),"")</f>
        <v/>
      </c>
      <c r="AD1264" s="32">
        <f>IF($A1264=1,IF(Supplier_Invoices!$T12="","",Supplier_Invoices!$T12),"")</f>
        <v/>
      </c>
      <c r="AE1264" s="32">
        <f>IF($A1264=1,0,"")</f>
        <v/>
      </c>
      <c r="AF1264" s="32" t="inlineStr"/>
    </row>
    <row r="1265">
      <c r="A1265" s="32">
        <f>IF(AND(Supplier_Invoices!$AD12=1,N(Supplier_Invoices!$K12)&gt;0),1,0)</f>
        <v/>
      </c>
      <c r="B1265" s="32">
        <f>IF($A1265=1,$E1265&amp;"/2","")</f>
        <v/>
      </c>
      <c r="C1265" s="32">
        <f>IF($A1265=1,"J-"&amp;Supplier_Invoices!$A12,"")</f>
        <v/>
      </c>
      <c r="D1265" s="33">
        <f>IF($A1265=1,Supplier_Invoices!$E12,"")</f>
        <v/>
      </c>
      <c r="E1265" s="32">
        <f>IF($A1265=1,IF(Supplier_Invoices!$A12="","",Supplier_Invoices!$A12),"")</f>
        <v/>
      </c>
      <c r="F1265" s="32">
        <f>IF($A1265=1,"SINV","")</f>
        <v/>
      </c>
      <c r="G1265" s="32">
        <f>IF($A1265=1,ACC_VAT_IN,"")</f>
        <v/>
      </c>
      <c r="H1265" s="32">
        <f>IF($A1265=1,IF(COUNTIF(COA!$A:$A,$G1265)=0,"حساب غير معرف",INDEX(COA!$B:$B,MATCH($G1265,COA!$A:$A,0))),"")</f>
        <v/>
      </c>
      <c r="I1265" s="32">
        <f>IF($A1265=1,IF(Supplier_Invoices!$H12="","",Supplier_Invoices!$H12),"")</f>
        <v/>
      </c>
      <c r="J1265" s="32">
        <f>IF($A1265=1,IF(Supplier_Invoices!$I12="","",Supplier_Invoices!$I12),"")</f>
        <v/>
      </c>
      <c r="K1265" s="32">
        <f>IF($A1265=1,"-","")</f>
        <v/>
      </c>
      <c r="L1265" s="32">
        <f>IF($A1265=1,"ضريبة قيمة مضافة - مدخلات","")</f>
        <v/>
      </c>
      <c r="M1265" s="43">
        <f>IF($A1265=1,IF(Supplier_Invoices!$V12="CN",0,Supplier_Invoices!$K12),"")</f>
        <v/>
      </c>
      <c r="N1265" s="43">
        <f>IF($A1265=1,IF(Supplier_Invoices!$V12="CN",Supplier_Invoices!$K12,0),"")</f>
        <v/>
      </c>
      <c r="O1265" s="32">
        <f>IF($A1265=1,Supplier_Invoices!$O12,"")</f>
        <v/>
      </c>
      <c r="P1265" s="32">
        <f>IF($A1265=1,IF(Supplier_Invoices!$AE12="","",Supplier_Invoices!$AE12),"")</f>
        <v/>
      </c>
      <c r="Q1265" s="32">
        <f>IF($A1265=1,Supplier_Invoices!$AG12,"")</f>
        <v/>
      </c>
      <c r="R1265" s="32">
        <f>IF($A1265=1,IF(AND($Q1265=1,COUNTIFS(COA!$A:$A,$G1265,COA!$R:$R,1)=1),1,0),"")</f>
        <v/>
      </c>
      <c r="S1265" s="43">
        <f>IF($A1265=1,IF($R1265=1,N($M1265),0),"")</f>
        <v/>
      </c>
      <c r="T1265" s="43">
        <f>IF($A1265=1,IF($R1265=1,N($N1265),0),"")</f>
        <v/>
      </c>
      <c r="U1265" s="32">
        <f>IF($A1265=1,YEAR($D1265)*100+MONTH($D1265),"")</f>
        <v/>
      </c>
      <c r="V1265" s="32">
        <f>IF($A1265=1,IF(COUNTIF(COA!$A:$A,$G1265)=0,0,INDEX(COA!$H:$H,MATCH($G1265,COA!$A:$A,0))),"")</f>
        <v/>
      </c>
      <c r="W1265" s="32">
        <f>IF($A1265=1,"","")</f>
        <v/>
      </c>
      <c r="X1265" s="32">
        <f>IF($A1265=1,IF($R1265=1,"",IF($O1265=ST_POST,IF($P1265&lt;&gt;"",$P1265,"حساب غير صالح أو غير نشط"),IF($O1265=ST_REV,"معكوس: لا أثر على الدفاتر",IF($O1265=ST_CANC,"ملغى",IF($O1265=ST_APPR,"معتمد ولم يُرحَّل","مسودة"))))),"")</f>
        <v/>
      </c>
      <c r="Y1265" s="32">
        <f>IF($A1265=1,IF(AND($R1265=1,OR(LG_Acct="",$G1265=LG_Acct),OR(LG_Party="",$K1265=LG_Party),OR(LG_Loc="ALL",$I1265=LG_Loc),OR(LG_CC="ALL",$J1265=LG_CC),$D1265&gt;=LG_From,$D1265&lt;=LG_To),$D1265+ROW()/1000000,""),"")</f>
        <v/>
      </c>
      <c r="Z1265" s="32">
        <f>IF($A1265=1,IF(Supplier_Invoices!$P12="","",Supplier_Invoices!$P12),"")</f>
        <v/>
      </c>
      <c r="AA1265" s="32">
        <f>IF($A1265=1,IF(Supplier_Invoices!$Q12="","",Supplier_Invoices!$Q12),"")</f>
        <v/>
      </c>
      <c r="AB1265" s="32">
        <f>IF($A1265=1,IF(Supplier_Invoices!$R12="","",Supplier_Invoices!$R12),"")</f>
        <v/>
      </c>
      <c r="AC1265" s="32">
        <f>IF($A1265=1,IF(Supplier_Invoices!$S12="","",Supplier_Invoices!$S12),"")</f>
        <v/>
      </c>
      <c r="AD1265" s="32">
        <f>IF($A1265=1,IF(Supplier_Invoices!$T12="","",Supplier_Invoices!$T12),"")</f>
        <v/>
      </c>
      <c r="AE1265" s="32">
        <f>IF($A1265=1,0,"")</f>
        <v/>
      </c>
      <c r="AF1265" s="32" t="inlineStr"/>
    </row>
    <row r="1266">
      <c r="A1266" s="32">
        <f>IF(AND(Supplier_Invoices!$AD12=1,N(Supplier_Invoices!$W12)&gt;0),1,0)</f>
        <v/>
      </c>
      <c r="B1266" s="32">
        <f>IF($A1266=1,$E1266&amp;"/3","")</f>
        <v/>
      </c>
      <c r="C1266" s="32">
        <f>IF($A1266=1,"J-"&amp;Supplier_Invoices!$A12,"")</f>
        <v/>
      </c>
      <c r="D1266" s="33">
        <f>IF($A1266=1,Supplier_Invoices!$E12,"")</f>
        <v/>
      </c>
      <c r="E1266" s="32">
        <f>IF($A1266=1,IF(Supplier_Invoices!$A12="","",Supplier_Invoices!$A12),"")</f>
        <v/>
      </c>
      <c r="F1266" s="32">
        <f>IF($A1266=1,"SINV","")</f>
        <v/>
      </c>
      <c r="G1266" s="32">
        <f>IF($A1266=1,ACC_SUPPLIERS,"")</f>
        <v/>
      </c>
      <c r="H1266" s="32">
        <f>IF($A1266=1,IF(COUNTIF(COA!$A:$A,$G1266)=0,"حساب غير معرف",INDEX(COA!$B:$B,MATCH($G1266,COA!$A:$A,0))),"")</f>
        <v/>
      </c>
      <c r="I1266" s="32">
        <f>IF($A1266=1,IF(Supplier_Invoices!$H12="","",Supplier_Invoices!$H12),"")</f>
        <v/>
      </c>
      <c r="J1266" s="32">
        <f>IF($A1266=1,"CC00","")</f>
        <v/>
      </c>
      <c r="K1266" s="32">
        <f>IF($A1266=1,IF(Supplier_Invoices!$C12="","",Supplier_Invoices!$C12),"")</f>
        <v/>
      </c>
      <c r="L1266" s="32">
        <f>IF($A1266=1,Supplier_Invoices!$F12&amp;" "&amp;Supplier_Invoices!$B12&amp;" - "&amp;Supplier_Invoices!$C12,"")</f>
        <v/>
      </c>
      <c r="M1266" s="43">
        <f>IF($A1266=1,IF(Supplier_Invoices!$V12="CN",Supplier_Invoices!$W12,0),"")</f>
        <v/>
      </c>
      <c r="N1266" s="43">
        <f>IF($A1266=1,IF(Supplier_Invoices!$V12="CN",0,Supplier_Invoices!$W12),"")</f>
        <v/>
      </c>
      <c r="O1266" s="32">
        <f>IF($A1266=1,Supplier_Invoices!$O12,"")</f>
        <v/>
      </c>
      <c r="P1266" s="32">
        <f>IF($A1266=1,IF(Supplier_Invoices!$AE12="","",Supplier_Invoices!$AE12),"")</f>
        <v/>
      </c>
      <c r="Q1266" s="32">
        <f>IF($A1266=1,Supplier_Invoices!$AG12,"")</f>
        <v/>
      </c>
      <c r="R1266" s="32">
        <f>IF($A1266=1,IF(AND($Q1266=1,COUNTIFS(COA!$A:$A,$G1266,COA!$R:$R,1)=1),1,0),"")</f>
        <v/>
      </c>
      <c r="S1266" s="43">
        <f>IF($A1266=1,IF($R1266=1,N($M1266),0),"")</f>
        <v/>
      </c>
      <c r="T1266" s="43">
        <f>IF($A1266=1,IF($R1266=1,N($N1266),0),"")</f>
        <v/>
      </c>
      <c r="U1266" s="32">
        <f>IF($A1266=1,YEAR($D1266)*100+MONTH($D1266),"")</f>
        <v/>
      </c>
      <c r="V1266" s="32">
        <f>IF($A1266=1,IF(COUNTIF(COA!$A:$A,$G1266)=0,0,INDEX(COA!$H:$H,MATCH($G1266,COA!$A:$A,0))),"")</f>
        <v/>
      </c>
      <c r="W1266" s="32">
        <f>IF($A1266=1,"","")</f>
        <v/>
      </c>
      <c r="X1266" s="32">
        <f>IF($A1266=1,IF($R1266=1,"",IF($O1266=ST_POST,IF($P1266&lt;&gt;"",$P1266,"حساب غير صالح أو غير نشط"),IF($O1266=ST_REV,"معكوس: لا أثر على الدفاتر",IF($O1266=ST_CANC,"ملغى",IF($O1266=ST_APPR,"معتمد ولم يُرحَّل","مسودة"))))),"")</f>
        <v/>
      </c>
      <c r="Y1266" s="32">
        <f>IF($A1266=1,IF(AND($R1266=1,OR(LG_Acct="",$G1266=LG_Acct),OR(LG_Party="",$K1266=LG_Party),OR(LG_Loc="ALL",$I1266=LG_Loc),OR(LG_CC="ALL",$J1266=LG_CC),$D1266&gt;=LG_From,$D1266&lt;=LG_To),$D1266+ROW()/1000000,""),"")</f>
        <v/>
      </c>
      <c r="Z1266" s="32">
        <f>IF($A1266=1,IF(Supplier_Invoices!$P12="","",Supplier_Invoices!$P12),"")</f>
        <v/>
      </c>
      <c r="AA1266" s="32">
        <f>IF($A1266=1,IF(Supplier_Invoices!$Q12="","",Supplier_Invoices!$Q12),"")</f>
        <v/>
      </c>
      <c r="AB1266" s="32">
        <f>IF($A1266=1,IF(Supplier_Invoices!$R12="","",Supplier_Invoices!$R12),"")</f>
        <v/>
      </c>
      <c r="AC1266" s="32">
        <f>IF($A1266=1,IF(Supplier_Invoices!$S12="","",Supplier_Invoices!$S12),"")</f>
        <v/>
      </c>
      <c r="AD1266" s="32">
        <f>IF($A1266=1,IF(Supplier_Invoices!$T12="","",Supplier_Invoices!$T12),"")</f>
        <v/>
      </c>
      <c r="AE1266" s="32">
        <f>IF($A1266=1,0,"")</f>
        <v/>
      </c>
      <c r="AF1266" s="32" t="inlineStr"/>
    </row>
    <row r="1267">
      <c r="A1267" s="32">
        <f>IF(AND(Supplier_Invoices!$AD12=1,Supplier_Invoices!$L12&lt;&gt;"",Supplier_Invoices!$V12&lt;&gt;"CN",N(Supplier_Invoices!$W12)&gt;0),1,0)</f>
        <v/>
      </c>
      <c r="B1267" s="32">
        <f>IF($A1267=1,$E1267&amp;"/4","")</f>
        <v/>
      </c>
      <c r="C1267" s="32">
        <f>IF($A1267=1,"J-"&amp;Supplier_Invoices!$A12,"")</f>
        <v/>
      </c>
      <c r="D1267" s="33">
        <f>IF($A1267=1,Supplier_Invoices!$E12,"")</f>
        <v/>
      </c>
      <c r="E1267" s="32">
        <f>IF($A1267=1,IF(Supplier_Invoices!$A12="","",Supplier_Invoices!$A12),"")</f>
        <v/>
      </c>
      <c r="F1267" s="32">
        <f>IF($A1267=1,"SINV","")</f>
        <v/>
      </c>
      <c r="G1267" s="32">
        <f>IF($A1267=1,ACC_SUPPLIERS,"")</f>
        <v/>
      </c>
      <c r="H1267" s="32">
        <f>IF($A1267=1,IF(COUNTIF(COA!$A:$A,$G1267)=0,"حساب غير معرف",INDEX(COA!$B:$B,MATCH($G1267,COA!$A:$A,0))),"")</f>
        <v/>
      </c>
      <c r="I1267" s="32">
        <f>IF($A1267=1,IF(Supplier_Invoices!$H12="","",Supplier_Invoices!$H12),"")</f>
        <v/>
      </c>
      <c r="J1267" s="32">
        <f>IF($A1267=1,"CC00","")</f>
        <v/>
      </c>
      <c r="K1267" s="32">
        <f>IF($A1267=1,IF(Supplier_Invoices!$C12="","",Supplier_Invoices!$C12),"")</f>
        <v/>
      </c>
      <c r="L1267" s="32">
        <f>IF($A1267=1,"سداد فوري - "&amp;Supplier_Invoices!$F12&amp;" "&amp;Supplier_Invoices!$B12&amp;" - "&amp;Supplier_Invoices!$C12,"")</f>
        <v/>
      </c>
      <c r="M1267" s="43">
        <f>IF($A1267=1,Supplier_Invoices!$W12,"")</f>
        <v/>
      </c>
      <c r="N1267" s="43">
        <f>IF($A1267=1,0,"")</f>
        <v/>
      </c>
      <c r="O1267" s="32">
        <f>IF($A1267=1,Supplier_Invoices!$O12,"")</f>
        <v/>
      </c>
      <c r="P1267" s="32">
        <f>IF($A1267=1,IF(Supplier_Invoices!$AE12="","",Supplier_Invoices!$AE12),"")</f>
        <v/>
      </c>
      <c r="Q1267" s="32">
        <f>IF($A1267=1,Supplier_Invoices!$AG12,"")</f>
        <v/>
      </c>
      <c r="R1267" s="32">
        <f>IF($A1267=1,IF(AND($Q1267=1,COUNTIFS(COA!$A:$A,$G1267,COA!$R:$R,1)=1),1,0),"")</f>
        <v/>
      </c>
      <c r="S1267" s="43">
        <f>IF($A1267=1,IF($R1267=1,N($M1267),0),"")</f>
        <v/>
      </c>
      <c r="T1267" s="43">
        <f>IF($A1267=1,IF($R1267=1,N($N1267),0),"")</f>
        <v/>
      </c>
      <c r="U1267" s="32">
        <f>IF($A1267=1,YEAR($D1267)*100+MONTH($D1267),"")</f>
        <v/>
      </c>
      <c r="V1267" s="32">
        <f>IF($A1267=1,IF(COUNTIF(COA!$A:$A,$G1267)=0,0,INDEX(COA!$H:$H,MATCH($G1267,COA!$A:$A,0))),"")</f>
        <v/>
      </c>
      <c r="W1267" s="32">
        <f>IF($A1267=1,"","")</f>
        <v/>
      </c>
      <c r="X1267" s="32">
        <f>IF($A1267=1,IF($R1267=1,"",IF($O1267=ST_POST,IF($P1267&lt;&gt;"",$P1267,"حساب غير صالح أو غير نشط"),IF($O1267=ST_REV,"معكوس: لا أثر على الدفاتر",IF($O1267=ST_CANC,"ملغى",IF($O1267=ST_APPR,"معتمد ولم يُرحَّل","مسودة"))))),"")</f>
        <v/>
      </c>
      <c r="Y1267" s="32">
        <f>IF($A1267=1,IF(AND($R1267=1,OR(LG_Acct="",$G1267=LG_Acct),OR(LG_Party="",$K1267=LG_Party),OR(LG_Loc="ALL",$I1267=LG_Loc),OR(LG_CC="ALL",$J1267=LG_CC),$D1267&gt;=LG_From,$D1267&lt;=LG_To),$D1267+ROW()/1000000,""),"")</f>
        <v/>
      </c>
      <c r="Z1267" s="32">
        <f>IF($A1267=1,IF(Supplier_Invoices!$P12="","",Supplier_Invoices!$P12),"")</f>
        <v/>
      </c>
      <c r="AA1267" s="32">
        <f>IF($A1267=1,IF(Supplier_Invoices!$Q12="","",Supplier_Invoices!$Q12),"")</f>
        <v/>
      </c>
      <c r="AB1267" s="32">
        <f>IF($A1267=1,IF(Supplier_Invoices!$R12="","",Supplier_Invoices!$R12),"")</f>
        <v/>
      </c>
      <c r="AC1267" s="32">
        <f>IF($A1267=1,IF(Supplier_Invoices!$S12="","",Supplier_Invoices!$S12),"")</f>
        <v/>
      </c>
      <c r="AD1267" s="32">
        <f>IF($A1267=1,IF(Supplier_Invoices!$T12="","",Supplier_Invoices!$T12),"")</f>
        <v/>
      </c>
      <c r="AE1267" s="32">
        <f>IF($A1267=1,0,"")</f>
        <v/>
      </c>
      <c r="AF1267" s="32" t="inlineStr"/>
    </row>
    <row r="1268">
      <c r="A1268" s="32">
        <f>IF(AND(Supplier_Invoices!$AD12=1,Supplier_Invoices!$L12&lt;&gt;"",Supplier_Invoices!$V12&lt;&gt;"CN",N(Supplier_Invoices!$W12)&gt;0),1,0)</f>
        <v/>
      </c>
      <c r="B1268" s="32">
        <f>IF($A1268=1,$E1268&amp;"/5","")</f>
        <v/>
      </c>
      <c r="C1268" s="32">
        <f>IF($A1268=1,"J-"&amp;Supplier_Invoices!$A12,"")</f>
        <v/>
      </c>
      <c r="D1268" s="33">
        <f>IF($A1268=1,Supplier_Invoices!$E12,"")</f>
        <v/>
      </c>
      <c r="E1268" s="32">
        <f>IF($A1268=1,IF(Supplier_Invoices!$A12="","",Supplier_Invoices!$A12),"")</f>
        <v/>
      </c>
      <c r="F1268" s="32">
        <f>IF($A1268=1,"SINV","")</f>
        <v/>
      </c>
      <c r="G1268" s="32">
        <f>IF($A1268=1,IF(Supplier_Invoices!$AA12="","",Supplier_Invoices!$AA12),"")</f>
        <v/>
      </c>
      <c r="H1268" s="32">
        <f>IF($A1268=1,IF(COUNTIF(COA!$A:$A,$G1268)=0,"حساب غير معرف",INDEX(COA!$B:$B,MATCH($G1268,COA!$A:$A,0))),"")</f>
        <v/>
      </c>
      <c r="I1268" s="32">
        <f>IF($A1268=1,IF(Supplier_Invoices!$H12="","",Supplier_Invoices!$H12),"")</f>
        <v/>
      </c>
      <c r="J1268" s="32">
        <f>IF($A1268=1,"CC00","")</f>
        <v/>
      </c>
      <c r="K1268" s="32">
        <f>IF($A1268=1,"-","")</f>
        <v/>
      </c>
      <c r="L1268" s="32">
        <f>IF($A1268=1,"سداد فوري - "&amp;Supplier_Invoices!$F12&amp;" "&amp;Supplier_Invoices!$B12&amp;" - "&amp;Supplier_Invoices!$C12,"")</f>
        <v/>
      </c>
      <c r="M1268" s="43">
        <f>IF($A1268=1,0,"")</f>
        <v/>
      </c>
      <c r="N1268" s="43">
        <f>IF($A1268=1,Supplier_Invoices!$W12,"")</f>
        <v/>
      </c>
      <c r="O1268" s="32">
        <f>IF($A1268=1,Supplier_Invoices!$O12,"")</f>
        <v/>
      </c>
      <c r="P1268" s="32">
        <f>IF($A1268=1,IF(Supplier_Invoices!$AE12="","",Supplier_Invoices!$AE12),"")</f>
        <v/>
      </c>
      <c r="Q1268" s="32">
        <f>IF($A1268=1,Supplier_Invoices!$AG12,"")</f>
        <v/>
      </c>
      <c r="R1268" s="32">
        <f>IF($A1268=1,IF(AND($Q1268=1,COUNTIFS(COA!$A:$A,$G1268,COA!$R:$R,1)=1),1,0),"")</f>
        <v/>
      </c>
      <c r="S1268" s="43">
        <f>IF($A1268=1,IF($R1268=1,N($M1268),0),"")</f>
        <v/>
      </c>
      <c r="T1268" s="43">
        <f>IF($A1268=1,IF($R1268=1,N($N1268),0),"")</f>
        <v/>
      </c>
      <c r="U1268" s="32">
        <f>IF($A1268=1,YEAR($D1268)*100+MONTH($D1268),"")</f>
        <v/>
      </c>
      <c r="V1268" s="32">
        <f>IF($A1268=1,IF(COUNTIF(COA!$A:$A,$G1268)=0,0,INDEX(COA!$H:$H,MATCH($G1268,COA!$A:$A,0))),"")</f>
        <v/>
      </c>
      <c r="W1268" s="32">
        <f>IF($A1268=1,IF(Supplier_Invoices!$AB12="","",Supplier_Invoices!$AB12),"")</f>
        <v/>
      </c>
      <c r="X1268" s="32">
        <f>IF($A1268=1,IF($R1268=1,"",IF($O1268=ST_POST,IF($P1268&lt;&gt;"",$P1268,"حساب غير صالح أو غير نشط"),IF($O1268=ST_REV,"معكوس: لا أثر على الدفاتر",IF($O1268=ST_CANC,"ملغى",IF($O1268=ST_APPR,"معتمد ولم يُرحَّل","مسودة"))))),"")</f>
        <v/>
      </c>
      <c r="Y1268" s="32">
        <f>IF($A1268=1,IF(AND($R1268=1,OR(LG_Acct="",$G1268=LG_Acct),OR(LG_Party="",$K1268=LG_Party),OR(LG_Loc="ALL",$I1268=LG_Loc),OR(LG_CC="ALL",$J1268=LG_CC),$D1268&gt;=LG_From,$D1268&lt;=LG_To),$D1268+ROW()/1000000,""),"")</f>
        <v/>
      </c>
      <c r="Z1268" s="32">
        <f>IF($A1268=1,IF(Supplier_Invoices!$P12="","",Supplier_Invoices!$P12),"")</f>
        <v/>
      </c>
      <c r="AA1268" s="32">
        <f>IF($A1268=1,IF(Supplier_Invoices!$Q12="","",Supplier_Invoices!$Q12),"")</f>
        <v/>
      </c>
      <c r="AB1268" s="32">
        <f>IF($A1268=1,IF(Supplier_Invoices!$R12="","",Supplier_Invoices!$R12),"")</f>
        <v/>
      </c>
      <c r="AC1268" s="32">
        <f>IF($A1268=1,IF(Supplier_Invoices!$S12="","",Supplier_Invoices!$S12),"")</f>
        <v/>
      </c>
      <c r="AD1268" s="32">
        <f>IF($A1268=1,IF(Supplier_Invoices!$T12="","",Supplier_Invoices!$T12),"")</f>
        <v/>
      </c>
      <c r="AE1268" s="32">
        <f>IF($A1268=1,0,"")</f>
        <v/>
      </c>
      <c r="AF1268" s="32" t="inlineStr"/>
    </row>
    <row r="1269">
      <c r="A1269" s="32">
        <f>IF(AND(Supplier_Invoices!$AD13=1,N(Supplier_Invoices!$J13)&gt;0),1,0)</f>
        <v/>
      </c>
      <c r="B1269" s="32">
        <f>IF($A1269=1,$E1269&amp;"/1","")</f>
        <v/>
      </c>
      <c r="C1269" s="32">
        <f>IF($A1269=1,"J-"&amp;Supplier_Invoices!$A13,"")</f>
        <v/>
      </c>
      <c r="D1269" s="33">
        <f>IF($A1269=1,Supplier_Invoices!$E13,"")</f>
        <v/>
      </c>
      <c r="E1269" s="32">
        <f>IF($A1269=1,IF(Supplier_Invoices!$A13="","",Supplier_Invoices!$A13),"")</f>
        <v/>
      </c>
      <c r="F1269" s="32">
        <f>IF($A1269=1,"SINV","")</f>
        <v/>
      </c>
      <c r="G1269" s="32">
        <f>IF($A1269=1,IF(Supplier_Invoices!$G13="","",Supplier_Invoices!$G13),"")</f>
        <v/>
      </c>
      <c r="H1269" s="32">
        <f>IF($A1269=1,IF(COUNTIF(COA!$A:$A,$G1269)=0,"حساب غير معرف",INDEX(COA!$B:$B,MATCH($G1269,COA!$A:$A,0))),"")</f>
        <v/>
      </c>
      <c r="I1269" s="32">
        <f>IF($A1269=1,IF(Supplier_Invoices!$H13="","",Supplier_Invoices!$H13),"")</f>
        <v/>
      </c>
      <c r="J1269" s="32">
        <f>IF($A1269=1,IF(Supplier_Invoices!$I13="","",Supplier_Invoices!$I13),"")</f>
        <v/>
      </c>
      <c r="K1269" s="32">
        <f>IF($A1269=1,"-","")</f>
        <v/>
      </c>
      <c r="L1269" s="32">
        <f>IF($A1269=1,Supplier_Invoices!$F13&amp;" "&amp;Supplier_Invoices!$B13&amp;" - "&amp;Supplier_Invoices!$C13,"")</f>
        <v/>
      </c>
      <c r="M1269" s="43">
        <f>IF($A1269=1,IF(Supplier_Invoices!$V13="CN",0,Supplier_Invoices!$J13),"")</f>
        <v/>
      </c>
      <c r="N1269" s="43">
        <f>IF($A1269=1,IF(Supplier_Invoices!$V13="CN",Supplier_Invoices!$J13,0),"")</f>
        <v/>
      </c>
      <c r="O1269" s="32">
        <f>IF($A1269=1,Supplier_Invoices!$O13,"")</f>
        <v/>
      </c>
      <c r="P1269" s="32">
        <f>IF($A1269=1,IF(Supplier_Invoices!$AE13="","",Supplier_Invoices!$AE13),"")</f>
        <v/>
      </c>
      <c r="Q1269" s="32">
        <f>IF($A1269=1,Supplier_Invoices!$AG13,"")</f>
        <v/>
      </c>
      <c r="R1269" s="32">
        <f>IF($A1269=1,IF(AND($Q1269=1,COUNTIFS(COA!$A:$A,$G1269,COA!$R:$R,1)=1),1,0),"")</f>
        <v/>
      </c>
      <c r="S1269" s="43">
        <f>IF($A1269=1,IF($R1269=1,N($M1269),0),"")</f>
        <v/>
      </c>
      <c r="T1269" s="43">
        <f>IF($A1269=1,IF($R1269=1,N($N1269),0),"")</f>
        <v/>
      </c>
      <c r="U1269" s="32">
        <f>IF($A1269=1,YEAR($D1269)*100+MONTH($D1269),"")</f>
        <v/>
      </c>
      <c r="V1269" s="32">
        <f>IF($A1269=1,IF(COUNTIF(COA!$A:$A,$G1269)=0,0,INDEX(COA!$H:$H,MATCH($G1269,COA!$A:$A,0))),"")</f>
        <v/>
      </c>
      <c r="W1269" s="32">
        <f>IF($A1269=1,"","")</f>
        <v/>
      </c>
      <c r="X1269" s="32">
        <f>IF($A1269=1,IF($R1269=1,"",IF($O1269=ST_POST,IF($P1269&lt;&gt;"",$P1269,"حساب غير صالح أو غير نشط"),IF($O1269=ST_REV,"معكوس: لا أثر على الدفاتر",IF($O1269=ST_CANC,"ملغى",IF($O1269=ST_APPR,"معتمد ولم يُرحَّل","مسودة"))))),"")</f>
        <v/>
      </c>
      <c r="Y1269" s="32">
        <f>IF($A1269=1,IF(AND($R1269=1,OR(LG_Acct="",$G1269=LG_Acct),OR(LG_Party="",$K1269=LG_Party),OR(LG_Loc="ALL",$I1269=LG_Loc),OR(LG_CC="ALL",$J1269=LG_CC),$D1269&gt;=LG_From,$D1269&lt;=LG_To),$D1269+ROW()/1000000,""),"")</f>
        <v/>
      </c>
      <c r="Z1269" s="32">
        <f>IF($A1269=1,IF(Supplier_Invoices!$P13="","",Supplier_Invoices!$P13),"")</f>
        <v/>
      </c>
      <c r="AA1269" s="32">
        <f>IF($A1269=1,IF(Supplier_Invoices!$Q13="","",Supplier_Invoices!$Q13),"")</f>
        <v/>
      </c>
      <c r="AB1269" s="32">
        <f>IF($A1269=1,IF(Supplier_Invoices!$R13="","",Supplier_Invoices!$R13),"")</f>
        <v/>
      </c>
      <c r="AC1269" s="32">
        <f>IF($A1269=1,IF(Supplier_Invoices!$S13="","",Supplier_Invoices!$S13),"")</f>
        <v/>
      </c>
      <c r="AD1269" s="32">
        <f>IF($A1269=1,IF(Supplier_Invoices!$T13="","",Supplier_Invoices!$T13),"")</f>
        <v/>
      </c>
      <c r="AE1269" s="32">
        <f>IF($A1269=1,0,"")</f>
        <v/>
      </c>
      <c r="AF1269" s="32" t="inlineStr"/>
    </row>
    <row r="1270">
      <c r="A1270" s="32">
        <f>IF(AND(Supplier_Invoices!$AD13=1,N(Supplier_Invoices!$K13)&gt;0),1,0)</f>
        <v/>
      </c>
      <c r="B1270" s="32">
        <f>IF($A1270=1,$E1270&amp;"/2","")</f>
        <v/>
      </c>
      <c r="C1270" s="32">
        <f>IF($A1270=1,"J-"&amp;Supplier_Invoices!$A13,"")</f>
        <v/>
      </c>
      <c r="D1270" s="33">
        <f>IF($A1270=1,Supplier_Invoices!$E13,"")</f>
        <v/>
      </c>
      <c r="E1270" s="32">
        <f>IF($A1270=1,IF(Supplier_Invoices!$A13="","",Supplier_Invoices!$A13),"")</f>
        <v/>
      </c>
      <c r="F1270" s="32">
        <f>IF($A1270=1,"SINV","")</f>
        <v/>
      </c>
      <c r="G1270" s="32">
        <f>IF($A1270=1,ACC_VAT_IN,"")</f>
        <v/>
      </c>
      <c r="H1270" s="32">
        <f>IF($A1270=1,IF(COUNTIF(COA!$A:$A,$G1270)=0,"حساب غير معرف",INDEX(COA!$B:$B,MATCH($G1270,COA!$A:$A,0))),"")</f>
        <v/>
      </c>
      <c r="I1270" s="32">
        <f>IF($A1270=1,IF(Supplier_Invoices!$H13="","",Supplier_Invoices!$H13),"")</f>
        <v/>
      </c>
      <c r="J1270" s="32">
        <f>IF($A1270=1,IF(Supplier_Invoices!$I13="","",Supplier_Invoices!$I13),"")</f>
        <v/>
      </c>
      <c r="K1270" s="32">
        <f>IF($A1270=1,"-","")</f>
        <v/>
      </c>
      <c r="L1270" s="32">
        <f>IF($A1270=1,"ضريبة قيمة مضافة - مدخلات","")</f>
        <v/>
      </c>
      <c r="M1270" s="43">
        <f>IF($A1270=1,IF(Supplier_Invoices!$V13="CN",0,Supplier_Invoices!$K13),"")</f>
        <v/>
      </c>
      <c r="N1270" s="43">
        <f>IF($A1270=1,IF(Supplier_Invoices!$V13="CN",Supplier_Invoices!$K13,0),"")</f>
        <v/>
      </c>
      <c r="O1270" s="32">
        <f>IF($A1270=1,Supplier_Invoices!$O13,"")</f>
        <v/>
      </c>
      <c r="P1270" s="32">
        <f>IF($A1270=1,IF(Supplier_Invoices!$AE13="","",Supplier_Invoices!$AE13),"")</f>
        <v/>
      </c>
      <c r="Q1270" s="32">
        <f>IF($A1270=1,Supplier_Invoices!$AG13,"")</f>
        <v/>
      </c>
      <c r="R1270" s="32">
        <f>IF($A1270=1,IF(AND($Q1270=1,COUNTIFS(COA!$A:$A,$G1270,COA!$R:$R,1)=1),1,0),"")</f>
        <v/>
      </c>
      <c r="S1270" s="43">
        <f>IF($A1270=1,IF($R1270=1,N($M1270),0),"")</f>
        <v/>
      </c>
      <c r="T1270" s="43">
        <f>IF($A1270=1,IF($R1270=1,N($N1270),0),"")</f>
        <v/>
      </c>
      <c r="U1270" s="32">
        <f>IF($A1270=1,YEAR($D1270)*100+MONTH($D1270),"")</f>
        <v/>
      </c>
      <c r="V1270" s="32">
        <f>IF($A1270=1,IF(COUNTIF(COA!$A:$A,$G1270)=0,0,INDEX(COA!$H:$H,MATCH($G1270,COA!$A:$A,0))),"")</f>
        <v/>
      </c>
      <c r="W1270" s="32">
        <f>IF($A1270=1,"","")</f>
        <v/>
      </c>
      <c r="X1270" s="32">
        <f>IF($A1270=1,IF($R1270=1,"",IF($O1270=ST_POST,IF($P1270&lt;&gt;"",$P1270,"حساب غير صالح أو غير نشط"),IF($O1270=ST_REV,"معكوس: لا أثر على الدفاتر",IF($O1270=ST_CANC,"ملغى",IF($O1270=ST_APPR,"معتمد ولم يُرحَّل","مسودة"))))),"")</f>
        <v/>
      </c>
      <c r="Y1270" s="32">
        <f>IF($A1270=1,IF(AND($R1270=1,OR(LG_Acct="",$G1270=LG_Acct),OR(LG_Party="",$K1270=LG_Party),OR(LG_Loc="ALL",$I1270=LG_Loc),OR(LG_CC="ALL",$J1270=LG_CC),$D1270&gt;=LG_From,$D1270&lt;=LG_To),$D1270+ROW()/1000000,""),"")</f>
        <v/>
      </c>
      <c r="Z1270" s="32">
        <f>IF($A1270=1,IF(Supplier_Invoices!$P13="","",Supplier_Invoices!$P13),"")</f>
        <v/>
      </c>
      <c r="AA1270" s="32">
        <f>IF($A1270=1,IF(Supplier_Invoices!$Q13="","",Supplier_Invoices!$Q13),"")</f>
        <v/>
      </c>
      <c r="AB1270" s="32">
        <f>IF($A1270=1,IF(Supplier_Invoices!$R13="","",Supplier_Invoices!$R13),"")</f>
        <v/>
      </c>
      <c r="AC1270" s="32">
        <f>IF($A1270=1,IF(Supplier_Invoices!$S13="","",Supplier_Invoices!$S13),"")</f>
        <v/>
      </c>
      <c r="AD1270" s="32">
        <f>IF($A1270=1,IF(Supplier_Invoices!$T13="","",Supplier_Invoices!$T13),"")</f>
        <v/>
      </c>
      <c r="AE1270" s="32">
        <f>IF($A1270=1,0,"")</f>
        <v/>
      </c>
      <c r="AF1270" s="32" t="inlineStr"/>
    </row>
    <row r="1271">
      <c r="A1271" s="32">
        <f>IF(AND(Supplier_Invoices!$AD13=1,N(Supplier_Invoices!$W13)&gt;0),1,0)</f>
        <v/>
      </c>
      <c r="B1271" s="32">
        <f>IF($A1271=1,$E1271&amp;"/3","")</f>
        <v/>
      </c>
      <c r="C1271" s="32">
        <f>IF($A1271=1,"J-"&amp;Supplier_Invoices!$A13,"")</f>
        <v/>
      </c>
      <c r="D1271" s="33">
        <f>IF($A1271=1,Supplier_Invoices!$E13,"")</f>
        <v/>
      </c>
      <c r="E1271" s="32">
        <f>IF($A1271=1,IF(Supplier_Invoices!$A13="","",Supplier_Invoices!$A13),"")</f>
        <v/>
      </c>
      <c r="F1271" s="32">
        <f>IF($A1271=1,"SINV","")</f>
        <v/>
      </c>
      <c r="G1271" s="32">
        <f>IF($A1271=1,ACC_SUPPLIERS,"")</f>
        <v/>
      </c>
      <c r="H1271" s="32">
        <f>IF($A1271=1,IF(COUNTIF(COA!$A:$A,$G1271)=0,"حساب غير معرف",INDEX(COA!$B:$B,MATCH($G1271,COA!$A:$A,0))),"")</f>
        <v/>
      </c>
      <c r="I1271" s="32">
        <f>IF($A1271=1,IF(Supplier_Invoices!$H13="","",Supplier_Invoices!$H13),"")</f>
        <v/>
      </c>
      <c r="J1271" s="32">
        <f>IF($A1271=1,"CC00","")</f>
        <v/>
      </c>
      <c r="K1271" s="32">
        <f>IF($A1271=1,IF(Supplier_Invoices!$C13="","",Supplier_Invoices!$C13),"")</f>
        <v/>
      </c>
      <c r="L1271" s="32">
        <f>IF($A1271=1,Supplier_Invoices!$F13&amp;" "&amp;Supplier_Invoices!$B13&amp;" - "&amp;Supplier_Invoices!$C13,"")</f>
        <v/>
      </c>
      <c r="M1271" s="43">
        <f>IF($A1271=1,IF(Supplier_Invoices!$V13="CN",Supplier_Invoices!$W13,0),"")</f>
        <v/>
      </c>
      <c r="N1271" s="43">
        <f>IF($A1271=1,IF(Supplier_Invoices!$V13="CN",0,Supplier_Invoices!$W13),"")</f>
        <v/>
      </c>
      <c r="O1271" s="32">
        <f>IF($A1271=1,Supplier_Invoices!$O13,"")</f>
        <v/>
      </c>
      <c r="P1271" s="32">
        <f>IF($A1271=1,IF(Supplier_Invoices!$AE13="","",Supplier_Invoices!$AE13),"")</f>
        <v/>
      </c>
      <c r="Q1271" s="32">
        <f>IF($A1271=1,Supplier_Invoices!$AG13,"")</f>
        <v/>
      </c>
      <c r="R1271" s="32">
        <f>IF($A1271=1,IF(AND($Q1271=1,COUNTIFS(COA!$A:$A,$G1271,COA!$R:$R,1)=1),1,0),"")</f>
        <v/>
      </c>
      <c r="S1271" s="43">
        <f>IF($A1271=1,IF($R1271=1,N($M1271),0),"")</f>
        <v/>
      </c>
      <c r="T1271" s="43">
        <f>IF($A1271=1,IF($R1271=1,N($N1271),0),"")</f>
        <v/>
      </c>
      <c r="U1271" s="32">
        <f>IF($A1271=1,YEAR($D1271)*100+MONTH($D1271),"")</f>
        <v/>
      </c>
      <c r="V1271" s="32">
        <f>IF($A1271=1,IF(COUNTIF(COA!$A:$A,$G1271)=0,0,INDEX(COA!$H:$H,MATCH($G1271,COA!$A:$A,0))),"")</f>
        <v/>
      </c>
      <c r="W1271" s="32">
        <f>IF($A1271=1,"","")</f>
        <v/>
      </c>
      <c r="X1271" s="32">
        <f>IF($A1271=1,IF($R1271=1,"",IF($O1271=ST_POST,IF($P1271&lt;&gt;"",$P1271,"حساب غير صالح أو غير نشط"),IF($O1271=ST_REV,"معكوس: لا أثر على الدفاتر",IF($O1271=ST_CANC,"ملغى",IF($O1271=ST_APPR,"معتمد ولم يُرحَّل","مسودة"))))),"")</f>
        <v/>
      </c>
      <c r="Y1271" s="32">
        <f>IF($A1271=1,IF(AND($R1271=1,OR(LG_Acct="",$G1271=LG_Acct),OR(LG_Party="",$K1271=LG_Party),OR(LG_Loc="ALL",$I1271=LG_Loc),OR(LG_CC="ALL",$J1271=LG_CC),$D1271&gt;=LG_From,$D1271&lt;=LG_To),$D1271+ROW()/1000000,""),"")</f>
        <v/>
      </c>
      <c r="Z1271" s="32">
        <f>IF($A1271=1,IF(Supplier_Invoices!$P13="","",Supplier_Invoices!$P13),"")</f>
        <v/>
      </c>
      <c r="AA1271" s="32">
        <f>IF($A1271=1,IF(Supplier_Invoices!$Q13="","",Supplier_Invoices!$Q13),"")</f>
        <v/>
      </c>
      <c r="AB1271" s="32">
        <f>IF($A1271=1,IF(Supplier_Invoices!$R13="","",Supplier_Invoices!$R13),"")</f>
        <v/>
      </c>
      <c r="AC1271" s="32">
        <f>IF($A1271=1,IF(Supplier_Invoices!$S13="","",Supplier_Invoices!$S13),"")</f>
        <v/>
      </c>
      <c r="AD1271" s="32">
        <f>IF($A1271=1,IF(Supplier_Invoices!$T13="","",Supplier_Invoices!$T13),"")</f>
        <v/>
      </c>
      <c r="AE1271" s="32">
        <f>IF($A1271=1,0,"")</f>
        <v/>
      </c>
      <c r="AF1271" s="32" t="inlineStr"/>
    </row>
    <row r="1272">
      <c r="A1272" s="32">
        <f>IF(AND(Supplier_Invoices!$AD13=1,Supplier_Invoices!$L13&lt;&gt;"",Supplier_Invoices!$V13&lt;&gt;"CN",N(Supplier_Invoices!$W13)&gt;0),1,0)</f>
        <v/>
      </c>
      <c r="B1272" s="32">
        <f>IF($A1272=1,$E1272&amp;"/4","")</f>
        <v/>
      </c>
      <c r="C1272" s="32">
        <f>IF($A1272=1,"J-"&amp;Supplier_Invoices!$A13,"")</f>
        <v/>
      </c>
      <c r="D1272" s="33">
        <f>IF($A1272=1,Supplier_Invoices!$E13,"")</f>
        <v/>
      </c>
      <c r="E1272" s="32">
        <f>IF($A1272=1,IF(Supplier_Invoices!$A13="","",Supplier_Invoices!$A13),"")</f>
        <v/>
      </c>
      <c r="F1272" s="32">
        <f>IF($A1272=1,"SINV","")</f>
        <v/>
      </c>
      <c r="G1272" s="32">
        <f>IF($A1272=1,ACC_SUPPLIERS,"")</f>
        <v/>
      </c>
      <c r="H1272" s="32">
        <f>IF($A1272=1,IF(COUNTIF(COA!$A:$A,$G1272)=0,"حساب غير معرف",INDEX(COA!$B:$B,MATCH($G1272,COA!$A:$A,0))),"")</f>
        <v/>
      </c>
      <c r="I1272" s="32">
        <f>IF($A1272=1,IF(Supplier_Invoices!$H13="","",Supplier_Invoices!$H13),"")</f>
        <v/>
      </c>
      <c r="J1272" s="32">
        <f>IF($A1272=1,"CC00","")</f>
        <v/>
      </c>
      <c r="K1272" s="32">
        <f>IF($A1272=1,IF(Supplier_Invoices!$C13="","",Supplier_Invoices!$C13),"")</f>
        <v/>
      </c>
      <c r="L1272" s="32">
        <f>IF($A1272=1,"سداد فوري - "&amp;Supplier_Invoices!$F13&amp;" "&amp;Supplier_Invoices!$B13&amp;" - "&amp;Supplier_Invoices!$C13,"")</f>
        <v/>
      </c>
      <c r="M1272" s="43">
        <f>IF($A1272=1,Supplier_Invoices!$W13,"")</f>
        <v/>
      </c>
      <c r="N1272" s="43">
        <f>IF($A1272=1,0,"")</f>
        <v/>
      </c>
      <c r="O1272" s="32">
        <f>IF($A1272=1,Supplier_Invoices!$O13,"")</f>
        <v/>
      </c>
      <c r="P1272" s="32">
        <f>IF($A1272=1,IF(Supplier_Invoices!$AE13="","",Supplier_Invoices!$AE13),"")</f>
        <v/>
      </c>
      <c r="Q1272" s="32">
        <f>IF($A1272=1,Supplier_Invoices!$AG13,"")</f>
        <v/>
      </c>
      <c r="R1272" s="32">
        <f>IF($A1272=1,IF(AND($Q1272=1,COUNTIFS(COA!$A:$A,$G1272,COA!$R:$R,1)=1),1,0),"")</f>
        <v/>
      </c>
      <c r="S1272" s="43">
        <f>IF($A1272=1,IF($R1272=1,N($M1272),0),"")</f>
        <v/>
      </c>
      <c r="T1272" s="43">
        <f>IF($A1272=1,IF($R1272=1,N($N1272),0),"")</f>
        <v/>
      </c>
      <c r="U1272" s="32">
        <f>IF($A1272=1,YEAR($D1272)*100+MONTH($D1272),"")</f>
        <v/>
      </c>
      <c r="V1272" s="32">
        <f>IF($A1272=1,IF(COUNTIF(COA!$A:$A,$G1272)=0,0,INDEX(COA!$H:$H,MATCH($G1272,COA!$A:$A,0))),"")</f>
        <v/>
      </c>
      <c r="W1272" s="32">
        <f>IF($A1272=1,"","")</f>
        <v/>
      </c>
      <c r="X1272" s="32">
        <f>IF($A1272=1,IF($R1272=1,"",IF($O1272=ST_POST,IF($P1272&lt;&gt;"",$P1272,"حساب غير صالح أو غير نشط"),IF($O1272=ST_REV,"معكوس: لا أثر على الدفاتر",IF($O1272=ST_CANC,"ملغى",IF($O1272=ST_APPR,"معتمد ولم يُرحَّل","مسودة"))))),"")</f>
        <v/>
      </c>
      <c r="Y1272" s="32">
        <f>IF($A1272=1,IF(AND($R1272=1,OR(LG_Acct="",$G1272=LG_Acct),OR(LG_Party="",$K1272=LG_Party),OR(LG_Loc="ALL",$I1272=LG_Loc),OR(LG_CC="ALL",$J1272=LG_CC),$D1272&gt;=LG_From,$D1272&lt;=LG_To),$D1272+ROW()/1000000,""),"")</f>
        <v/>
      </c>
      <c r="Z1272" s="32">
        <f>IF($A1272=1,IF(Supplier_Invoices!$P13="","",Supplier_Invoices!$P13),"")</f>
        <v/>
      </c>
      <c r="AA1272" s="32">
        <f>IF($A1272=1,IF(Supplier_Invoices!$Q13="","",Supplier_Invoices!$Q13),"")</f>
        <v/>
      </c>
      <c r="AB1272" s="32">
        <f>IF($A1272=1,IF(Supplier_Invoices!$R13="","",Supplier_Invoices!$R13),"")</f>
        <v/>
      </c>
      <c r="AC1272" s="32">
        <f>IF($A1272=1,IF(Supplier_Invoices!$S13="","",Supplier_Invoices!$S13),"")</f>
        <v/>
      </c>
      <c r="AD1272" s="32">
        <f>IF($A1272=1,IF(Supplier_Invoices!$T13="","",Supplier_Invoices!$T13),"")</f>
        <v/>
      </c>
      <c r="AE1272" s="32">
        <f>IF($A1272=1,0,"")</f>
        <v/>
      </c>
      <c r="AF1272" s="32" t="inlineStr"/>
    </row>
    <row r="1273">
      <c r="A1273" s="32">
        <f>IF(AND(Supplier_Invoices!$AD13=1,Supplier_Invoices!$L13&lt;&gt;"",Supplier_Invoices!$V13&lt;&gt;"CN",N(Supplier_Invoices!$W13)&gt;0),1,0)</f>
        <v/>
      </c>
      <c r="B1273" s="32">
        <f>IF($A1273=1,$E1273&amp;"/5","")</f>
        <v/>
      </c>
      <c r="C1273" s="32">
        <f>IF($A1273=1,"J-"&amp;Supplier_Invoices!$A13,"")</f>
        <v/>
      </c>
      <c r="D1273" s="33">
        <f>IF($A1273=1,Supplier_Invoices!$E13,"")</f>
        <v/>
      </c>
      <c r="E1273" s="32">
        <f>IF($A1273=1,IF(Supplier_Invoices!$A13="","",Supplier_Invoices!$A13),"")</f>
        <v/>
      </c>
      <c r="F1273" s="32">
        <f>IF($A1273=1,"SINV","")</f>
        <v/>
      </c>
      <c r="G1273" s="32">
        <f>IF($A1273=1,IF(Supplier_Invoices!$AA13="","",Supplier_Invoices!$AA13),"")</f>
        <v/>
      </c>
      <c r="H1273" s="32">
        <f>IF($A1273=1,IF(COUNTIF(COA!$A:$A,$G1273)=0,"حساب غير معرف",INDEX(COA!$B:$B,MATCH($G1273,COA!$A:$A,0))),"")</f>
        <v/>
      </c>
      <c r="I1273" s="32">
        <f>IF($A1273=1,IF(Supplier_Invoices!$H13="","",Supplier_Invoices!$H13),"")</f>
        <v/>
      </c>
      <c r="J1273" s="32">
        <f>IF($A1273=1,"CC00","")</f>
        <v/>
      </c>
      <c r="K1273" s="32">
        <f>IF($A1273=1,"-","")</f>
        <v/>
      </c>
      <c r="L1273" s="32">
        <f>IF($A1273=1,"سداد فوري - "&amp;Supplier_Invoices!$F13&amp;" "&amp;Supplier_Invoices!$B13&amp;" - "&amp;Supplier_Invoices!$C13,"")</f>
        <v/>
      </c>
      <c r="M1273" s="43">
        <f>IF($A1273=1,0,"")</f>
        <v/>
      </c>
      <c r="N1273" s="43">
        <f>IF($A1273=1,Supplier_Invoices!$W13,"")</f>
        <v/>
      </c>
      <c r="O1273" s="32">
        <f>IF($A1273=1,Supplier_Invoices!$O13,"")</f>
        <v/>
      </c>
      <c r="P1273" s="32">
        <f>IF($A1273=1,IF(Supplier_Invoices!$AE13="","",Supplier_Invoices!$AE13),"")</f>
        <v/>
      </c>
      <c r="Q1273" s="32">
        <f>IF($A1273=1,Supplier_Invoices!$AG13,"")</f>
        <v/>
      </c>
      <c r="R1273" s="32">
        <f>IF($A1273=1,IF(AND($Q1273=1,COUNTIFS(COA!$A:$A,$G1273,COA!$R:$R,1)=1),1,0),"")</f>
        <v/>
      </c>
      <c r="S1273" s="43">
        <f>IF($A1273=1,IF($R1273=1,N($M1273),0),"")</f>
        <v/>
      </c>
      <c r="T1273" s="43">
        <f>IF($A1273=1,IF($R1273=1,N($N1273),0),"")</f>
        <v/>
      </c>
      <c r="U1273" s="32">
        <f>IF($A1273=1,YEAR($D1273)*100+MONTH($D1273),"")</f>
        <v/>
      </c>
      <c r="V1273" s="32">
        <f>IF($A1273=1,IF(COUNTIF(COA!$A:$A,$G1273)=0,0,INDEX(COA!$H:$H,MATCH($G1273,COA!$A:$A,0))),"")</f>
        <v/>
      </c>
      <c r="W1273" s="32">
        <f>IF($A1273=1,IF(Supplier_Invoices!$AB13="","",Supplier_Invoices!$AB13),"")</f>
        <v/>
      </c>
      <c r="X1273" s="32">
        <f>IF($A1273=1,IF($R1273=1,"",IF($O1273=ST_POST,IF($P1273&lt;&gt;"",$P1273,"حساب غير صالح أو غير نشط"),IF($O1273=ST_REV,"معكوس: لا أثر على الدفاتر",IF($O1273=ST_CANC,"ملغى",IF($O1273=ST_APPR,"معتمد ولم يُرحَّل","مسودة"))))),"")</f>
        <v/>
      </c>
      <c r="Y1273" s="32">
        <f>IF($A1273=1,IF(AND($R1273=1,OR(LG_Acct="",$G1273=LG_Acct),OR(LG_Party="",$K1273=LG_Party),OR(LG_Loc="ALL",$I1273=LG_Loc),OR(LG_CC="ALL",$J1273=LG_CC),$D1273&gt;=LG_From,$D1273&lt;=LG_To),$D1273+ROW()/1000000,""),"")</f>
        <v/>
      </c>
      <c r="Z1273" s="32">
        <f>IF($A1273=1,IF(Supplier_Invoices!$P13="","",Supplier_Invoices!$P13),"")</f>
        <v/>
      </c>
      <c r="AA1273" s="32">
        <f>IF($A1273=1,IF(Supplier_Invoices!$Q13="","",Supplier_Invoices!$Q13),"")</f>
        <v/>
      </c>
      <c r="AB1273" s="32">
        <f>IF($A1273=1,IF(Supplier_Invoices!$R13="","",Supplier_Invoices!$R13),"")</f>
        <v/>
      </c>
      <c r="AC1273" s="32">
        <f>IF($A1273=1,IF(Supplier_Invoices!$S13="","",Supplier_Invoices!$S13),"")</f>
        <v/>
      </c>
      <c r="AD1273" s="32">
        <f>IF($A1273=1,IF(Supplier_Invoices!$T13="","",Supplier_Invoices!$T13),"")</f>
        <v/>
      </c>
      <c r="AE1273" s="32">
        <f>IF($A1273=1,0,"")</f>
        <v/>
      </c>
      <c r="AF1273" s="32" t="inlineStr"/>
    </row>
    <row r="1274">
      <c r="A1274" s="32">
        <f>IF(AND(Supplier_Invoices!$AD14=1,N(Supplier_Invoices!$J14)&gt;0),1,0)</f>
        <v/>
      </c>
      <c r="B1274" s="32">
        <f>IF($A1274=1,$E1274&amp;"/1","")</f>
        <v/>
      </c>
      <c r="C1274" s="32">
        <f>IF($A1274=1,"J-"&amp;Supplier_Invoices!$A14,"")</f>
        <v/>
      </c>
      <c r="D1274" s="33">
        <f>IF($A1274=1,Supplier_Invoices!$E14,"")</f>
        <v/>
      </c>
      <c r="E1274" s="32">
        <f>IF($A1274=1,IF(Supplier_Invoices!$A14="","",Supplier_Invoices!$A14),"")</f>
        <v/>
      </c>
      <c r="F1274" s="32">
        <f>IF($A1274=1,"SINV","")</f>
        <v/>
      </c>
      <c r="G1274" s="32">
        <f>IF($A1274=1,IF(Supplier_Invoices!$G14="","",Supplier_Invoices!$G14),"")</f>
        <v/>
      </c>
      <c r="H1274" s="32">
        <f>IF($A1274=1,IF(COUNTIF(COA!$A:$A,$G1274)=0,"حساب غير معرف",INDEX(COA!$B:$B,MATCH($G1274,COA!$A:$A,0))),"")</f>
        <v/>
      </c>
      <c r="I1274" s="32">
        <f>IF($A1274=1,IF(Supplier_Invoices!$H14="","",Supplier_Invoices!$H14),"")</f>
        <v/>
      </c>
      <c r="J1274" s="32">
        <f>IF($A1274=1,IF(Supplier_Invoices!$I14="","",Supplier_Invoices!$I14),"")</f>
        <v/>
      </c>
      <c r="K1274" s="32">
        <f>IF($A1274=1,"-","")</f>
        <v/>
      </c>
      <c r="L1274" s="32">
        <f>IF($A1274=1,Supplier_Invoices!$F14&amp;" "&amp;Supplier_Invoices!$B14&amp;" - "&amp;Supplier_Invoices!$C14,"")</f>
        <v/>
      </c>
      <c r="M1274" s="43">
        <f>IF($A1274=1,IF(Supplier_Invoices!$V14="CN",0,Supplier_Invoices!$J14),"")</f>
        <v/>
      </c>
      <c r="N1274" s="43">
        <f>IF($A1274=1,IF(Supplier_Invoices!$V14="CN",Supplier_Invoices!$J14,0),"")</f>
        <v/>
      </c>
      <c r="O1274" s="32">
        <f>IF($A1274=1,Supplier_Invoices!$O14,"")</f>
        <v/>
      </c>
      <c r="P1274" s="32">
        <f>IF($A1274=1,IF(Supplier_Invoices!$AE14="","",Supplier_Invoices!$AE14),"")</f>
        <v/>
      </c>
      <c r="Q1274" s="32">
        <f>IF($A1274=1,Supplier_Invoices!$AG14,"")</f>
        <v/>
      </c>
      <c r="R1274" s="32">
        <f>IF($A1274=1,IF(AND($Q1274=1,COUNTIFS(COA!$A:$A,$G1274,COA!$R:$R,1)=1),1,0),"")</f>
        <v/>
      </c>
      <c r="S1274" s="43">
        <f>IF($A1274=1,IF($R1274=1,N($M1274),0),"")</f>
        <v/>
      </c>
      <c r="T1274" s="43">
        <f>IF($A1274=1,IF($R1274=1,N($N1274),0),"")</f>
        <v/>
      </c>
      <c r="U1274" s="32">
        <f>IF($A1274=1,YEAR($D1274)*100+MONTH($D1274),"")</f>
        <v/>
      </c>
      <c r="V1274" s="32">
        <f>IF($A1274=1,IF(COUNTIF(COA!$A:$A,$G1274)=0,0,INDEX(COA!$H:$H,MATCH($G1274,COA!$A:$A,0))),"")</f>
        <v/>
      </c>
      <c r="W1274" s="32">
        <f>IF($A1274=1,"","")</f>
        <v/>
      </c>
      <c r="X1274" s="32">
        <f>IF($A1274=1,IF($R1274=1,"",IF($O1274=ST_POST,IF($P1274&lt;&gt;"",$P1274,"حساب غير صالح أو غير نشط"),IF($O1274=ST_REV,"معكوس: لا أثر على الدفاتر",IF($O1274=ST_CANC,"ملغى",IF($O1274=ST_APPR,"معتمد ولم يُرحَّل","مسودة"))))),"")</f>
        <v/>
      </c>
      <c r="Y1274" s="32">
        <f>IF($A1274=1,IF(AND($R1274=1,OR(LG_Acct="",$G1274=LG_Acct),OR(LG_Party="",$K1274=LG_Party),OR(LG_Loc="ALL",$I1274=LG_Loc),OR(LG_CC="ALL",$J1274=LG_CC),$D1274&gt;=LG_From,$D1274&lt;=LG_To),$D1274+ROW()/1000000,""),"")</f>
        <v/>
      </c>
      <c r="Z1274" s="32">
        <f>IF($A1274=1,IF(Supplier_Invoices!$P14="","",Supplier_Invoices!$P14),"")</f>
        <v/>
      </c>
      <c r="AA1274" s="32">
        <f>IF($A1274=1,IF(Supplier_Invoices!$Q14="","",Supplier_Invoices!$Q14),"")</f>
        <v/>
      </c>
      <c r="AB1274" s="32">
        <f>IF($A1274=1,IF(Supplier_Invoices!$R14="","",Supplier_Invoices!$R14),"")</f>
        <v/>
      </c>
      <c r="AC1274" s="32">
        <f>IF($A1274=1,IF(Supplier_Invoices!$S14="","",Supplier_Invoices!$S14),"")</f>
        <v/>
      </c>
      <c r="AD1274" s="32">
        <f>IF($A1274=1,IF(Supplier_Invoices!$T14="","",Supplier_Invoices!$T14),"")</f>
        <v/>
      </c>
      <c r="AE1274" s="32">
        <f>IF($A1274=1,0,"")</f>
        <v/>
      </c>
      <c r="AF1274" s="32" t="inlineStr"/>
    </row>
    <row r="1275">
      <c r="A1275" s="32">
        <f>IF(AND(Supplier_Invoices!$AD14=1,N(Supplier_Invoices!$K14)&gt;0),1,0)</f>
        <v/>
      </c>
      <c r="B1275" s="32">
        <f>IF($A1275=1,$E1275&amp;"/2","")</f>
        <v/>
      </c>
      <c r="C1275" s="32">
        <f>IF($A1275=1,"J-"&amp;Supplier_Invoices!$A14,"")</f>
        <v/>
      </c>
      <c r="D1275" s="33">
        <f>IF($A1275=1,Supplier_Invoices!$E14,"")</f>
        <v/>
      </c>
      <c r="E1275" s="32">
        <f>IF($A1275=1,IF(Supplier_Invoices!$A14="","",Supplier_Invoices!$A14),"")</f>
        <v/>
      </c>
      <c r="F1275" s="32">
        <f>IF($A1275=1,"SINV","")</f>
        <v/>
      </c>
      <c r="G1275" s="32">
        <f>IF($A1275=1,ACC_VAT_IN,"")</f>
        <v/>
      </c>
      <c r="H1275" s="32">
        <f>IF($A1275=1,IF(COUNTIF(COA!$A:$A,$G1275)=0,"حساب غير معرف",INDEX(COA!$B:$B,MATCH($G1275,COA!$A:$A,0))),"")</f>
        <v/>
      </c>
      <c r="I1275" s="32">
        <f>IF($A1275=1,IF(Supplier_Invoices!$H14="","",Supplier_Invoices!$H14),"")</f>
        <v/>
      </c>
      <c r="J1275" s="32">
        <f>IF($A1275=1,IF(Supplier_Invoices!$I14="","",Supplier_Invoices!$I14),"")</f>
        <v/>
      </c>
      <c r="K1275" s="32">
        <f>IF($A1275=1,"-","")</f>
        <v/>
      </c>
      <c r="L1275" s="32">
        <f>IF($A1275=1,"ضريبة قيمة مضافة - مدخلات","")</f>
        <v/>
      </c>
      <c r="M1275" s="43">
        <f>IF($A1275=1,IF(Supplier_Invoices!$V14="CN",0,Supplier_Invoices!$K14),"")</f>
        <v/>
      </c>
      <c r="N1275" s="43">
        <f>IF($A1275=1,IF(Supplier_Invoices!$V14="CN",Supplier_Invoices!$K14,0),"")</f>
        <v/>
      </c>
      <c r="O1275" s="32">
        <f>IF($A1275=1,Supplier_Invoices!$O14,"")</f>
        <v/>
      </c>
      <c r="P1275" s="32">
        <f>IF($A1275=1,IF(Supplier_Invoices!$AE14="","",Supplier_Invoices!$AE14),"")</f>
        <v/>
      </c>
      <c r="Q1275" s="32">
        <f>IF($A1275=1,Supplier_Invoices!$AG14,"")</f>
        <v/>
      </c>
      <c r="R1275" s="32">
        <f>IF($A1275=1,IF(AND($Q1275=1,COUNTIFS(COA!$A:$A,$G1275,COA!$R:$R,1)=1),1,0),"")</f>
        <v/>
      </c>
      <c r="S1275" s="43">
        <f>IF($A1275=1,IF($R1275=1,N($M1275),0),"")</f>
        <v/>
      </c>
      <c r="T1275" s="43">
        <f>IF($A1275=1,IF($R1275=1,N($N1275),0),"")</f>
        <v/>
      </c>
      <c r="U1275" s="32">
        <f>IF($A1275=1,YEAR($D1275)*100+MONTH($D1275),"")</f>
        <v/>
      </c>
      <c r="V1275" s="32">
        <f>IF($A1275=1,IF(COUNTIF(COA!$A:$A,$G1275)=0,0,INDEX(COA!$H:$H,MATCH($G1275,COA!$A:$A,0))),"")</f>
        <v/>
      </c>
      <c r="W1275" s="32">
        <f>IF($A1275=1,"","")</f>
        <v/>
      </c>
      <c r="X1275" s="32">
        <f>IF($A1275=1,IF($R1275=1,"",IF($O1275=ST_POST,IF($P1275&lt;&gt;"",$P1275,"حساب غير صالح أو غير نشط"),IF($O1275=ST_REV,"معكوس: لا أثر على الدفاتر",IF($O1275=ST_CANC,"ملغى",IF($O1275=ST_APPR,"معتمد ولم يُرحَّل","مسودة"))))),"")</f>
        <v/>
      </c>
      <c r="Y1275" s="32">
        <f>IF($A1275=1,IF(AND($R1275=1,OR(LG_Acct="",$G1275=LG_Acct),OR(LG_Party="",$K1275=LG_Party),OR(LG_Loc="ALL",$I1275=LG_Loc),OR(LG_CC="ALL",$J1275=LG_CC),$D1275&gt;=LG_From,$D1275&lt;=LG_To),$D1275+ROW()/1000000,""),"")</f>
        <v/>
      </c>
      <c r="Z1275" s="32">
        <f>IF($A1275=1,IF(Supplier_Invoices!$P14="","",Supplier_Invoices!$P14),"")</f>
        <v/>
      </c>
      <c r="AA1275" s="32">
        <f>IF($A1275=1,IF(Supplier_Invoices!$Q14="","",Supplier_Invoices!$Q14),"")</f>
        <v/>
      </c>
      <c r="AB1275" s="32">
        <f>IF($A1275=1,IF(Supplier_Invoices!$R14="","",Supplier_Invoices!$R14),"")</f>
        <v/>
      </c>
      <c r="AC1275" s="32">
        <f>IF($A1275=1,IF(Supplier_Invoices!$S14="","",Supplier_Invoices!$S14),"")</f>
        <v/>
      </c>
      <c r="AD1275" s="32">
        <f>IF($A1275=1,IF(Supplier_Invoices!$T14="","",Supplier_Invoices!$T14),"")</f>
        <v/>
      </c>
      <c r="AE1275" s="32">
        <f>IF($A1275=1,0,"")</f>
        <v/>
      </c>
      <c r="AF1275" s="32" t="inlineStr"/>
    </row>
    <row r="1276">
      <c r="A1276" s="32">
        <f>IF(AND(Supplier_Invoices!$AD14=1,N(Supplier_Invoices!$W14)&gt;0),1,0)</f>
        <v/>
      </c>
      <c r="B1276" s="32">
        <f>IF($A1276=1,$E1276&amp;"/3","")</f>
        <v/>
      </c>
      <c r="C1276" s="32">
        <f>IF($A1276=1,"J-"&amp;Supplier_Invoices!$A14,"")</f>
        <v/>
      </c>
      <c r="D1276" s="33">
        <f>IF($A1276=1,Supplier_Invoices!$E14,"")</f>
        <v/>
      </c>
      <c r="E1276" s="32">
        <f>IF($A1276=1,IF(Supplier_Invoices!$A14="","",Supplier_Invoices!$A14),"")</f>
        <v/>
      </c>
      <c r="F1276" s="32">
        <f>IF($A1276=1,"SINV","")</f>
        <v/>
      </c>
      <c r="G1276" s="32">
        <f>IF($A1276=1,ACC_SUPPLIERS,"")</f>
        <v/>
      </c>
      <c r="H1276" s="32">
        <f>IF($A1276=1,IF(COUNTIF(COA!$A:$A,$G1276)=0,"حساب غير معرف",INDEX(COA!$B:$B,MATCH($G1276,COA!$A:$A,0))),"")</f>
        <v/>
      </c>
      <c r="I1276" s="32">
        <f>IF($A1276=1,IF(Supplier_Invoices!$H14="","",Supplier_Invoices!$H14),"")</f>
        <v/>
      </c>
      <c r="J1276" s="32">
        <f>IF($A1276=1,"CC00","")</f>
        <v/>
      </c>
      <c r="K1276" s="32">
        <f>IF($A1276=1,IF(Supplier_Invoices!$C14="","",Supplier_Invoices!$C14),"")</f>
        <v/>
      </c>
      <c r="L1276" s="32">
        <f>IF($A1276=1,Supplier_Invoices!$F14&amp;" "&amp;Supplier_Invoices!$B14&amp;" - "&amp;Supplier_Invoices!$C14,"")</f>
        <v/>
      </c>
      <c r="M1276" s="43">
        <f>IF($A1276=1,IF(Supplier_Invoices!$V14="CN",Supplier_Invoices!$W14,0),"")</f>
        <v/>
      </c>
      <c r="N1276" s="43">
        <f>IF($A1276=1,IF(Supplier_Invoices!$V14="CN",0,Supplier_Invoices!$W14),"")</f>
        <v/>
      </c>
      <c r="O1276" s="32">
        <f>IF($A1276=1,Supplier_Invoices!$O14,"")</f>
        <v/>
      </c>
      <c r="P1276" s="32">
        <f>IF($A1276=1,IF(Supplier_Invoices!$AE14="","",Supplier_Invoices!$AE14),"")</f>
        <v/>
      </c>
      <c r="Q1276" s="32">
        <f>IF($A1276=1,Supplier_Invoices!$AG14,"")</f>
        <v/>
      </c>
      <c r="R1276" s="32">
        <f>IF($A1276=1,IF(AND($Q1276=1,COUNTIFS(COA!$A:$A,$G1276,COA!$R:$R,1)=1),1,0),"")</f>
        <v/>
      </c>
      <c r="S1276" s="43">
        <f>IF($A1276=1,IF($R1276=1,N($M1276),0),"")</f>
        <v/>
      </c>
      <c r="T1276" s="43">
        <f>IF($A1276=1,IF($R1276=1,N($N1276),0),"")</f>
        <v/>
      </c>
      <c r="U1276" s="32">
        <f>IF($A1276=1,YEAR($D1276)*100+MONTH($D1276),"")</f>
        <v/>
      </c>
      <c r="V1276" s="32">
        <f>IF($A1276=1,IF(COUNTIF(COA!$A:$A,$G1276)=0,0,INDEX(COA!$H:$H,MATCH($G1276,COA!$A:$A,0))),"")</f>
        <v/>
      </c>
      <c r="W1276" s="32">
        <f>IF($A1276=1,"","")</f>
        <v/>
      </c>
      <c r="X1276" s="32">
        <f>IF($A1276=1,IF($R1276=1,"",IF($O1276=ST_POST,IF($P1276&lt;&gt;"",$P1276,"حساب غير صالح أو غير نشط"),IF($O1276=ST_REV,"معكوس: لا أثر على الدفاتر",IF($O1276=ST_CANC,"ملغى",IF($O1276=ST_APPR,"معتمد ولم يُرحَّل","مسودة"))))),"")</f>
        <v/>
      </c>
      <c r="Y1276" s="32">
        <f>IF($A1276=1,IF(AND($R1276=1,OR(LG_Acct="",$G1276=LG_Acct),OR(LG_Party="",$K1276=LG_Party),OR(LG_Loc="ALL",$I1276=LG_Loc),OR(LG_CC="ALL",$J1276=LG_CC),$D1276&gt;=LG_From,$D1276&lt;=LG_To),$D1276+ROW()/1000000,""),"")</f>
        <v/>
      </c>
      <c r="Z1276" s="32">
        <f>IF($A1276=1,IF(Supplier_Invoices!$P14="","",Supplier_Invoices!$P14),"")</f>
        <v/>
      </c>
      <c r="AA1276" s="32">
        <f>IF($A1276=1,IF(Supplier_Invoices!$Q14="","",Supplier_Invoices!$Q14),"")</f>
        <v/>
      </c>
      <c r="AB1276" s="32">
        <f>IF($A1276=1,IF(Supplier_Invoices!$R14="","",Supplier_Invoices!$R14),"")</f>
        <v/>
      </c>
      <c r="AC1276" s="32">
        <f>IF($A1276=1,IF(Supplier_Invoices!$S14="","",Supplier_Invoices!$S14),"")</f>
        <v/>
      </c>
      <c r="AD1276" s="32">
        <f>IF($A1276=1,IF(Supplier_Invoices!$T14="","",Supplier_Invoices!$T14),"")</f>
        <v/>
      </c>
      <c r="AE1276" s="32">
        <f>IF($A1276=1,0,"")</f>
        <v/>
      </c>
      <c r="AF1276" s="32" t="inlineStr"/>
    </row>
    <row r="1277">
      <c r="A1277" s="32">
        <f>IF(AND(Supplier_Invoices!$AD14=1,Supplier_Invoices!$L14&lt;&gt;"",Supplier_Invoices!$V14&lt;&gt;"CN",N(Supplier_Invoices!$W14)&gt;0),1,0)</f>
        <v/>
      </c>
      <c r="B1277" s="32">
        <f>IF($A1277=1,$E1277&amp;"/4","")</f>
        <v/>
      </c>
      <c r="C1277" s="32">
        <f>IF($A1277=1,"J-"&amp;Supplier_Invoices!$A14,"")</f>
        <v/>
      </c>
      <c r="D1277" s="33">
        <f>IF($A1277=1,Supplier_Invoices!$E14,"")</f>
        <v/>
      </c>
      <c r="E1277" s="32">
        <f>IF($A1277=1,IF(Supplier_Invoices!$A14="","",Supplier_Invoices!$A14),"")</f>
        <v/>
      </c>
      <c r="F1277" s="32">
        <f>IF($A1277=1,"SINV","")</f>
        <v/>
      </c>
      <c r="G1277" s="32">
        <f>IF($A1277=1,ACC_SUPPLIERS,"")</f>
        <v/>
      </c>
      <c r="H1277" s="32">
        <f>IF($A1277=1,IF(COUNTIF(COA!$A:$A,$G1277)=0,"حساب غير معرف",INDEX(COA!$B:$B,MATCH($G1277,COA!$A:$A,0))),"")</f>
        <v/>
      </c>
      <c r="I1277" s="32">
        <f>IF($A1277=1,IF(Supplier_Invoices!$H14="","",Supplier_Invoices!$H14),"")</f>
        <v/>
      </c>
      <c r="J1277" s="32">
        <f>IF($A1277=1,"CC00","")</f>
        <v/>
      </c>
      <c r="K1277" s="32">
        <f>IF($A1277=1,IF(Supplier_Invoices!$C14="","",Supplier_Invoices!$C14),"")</f>
        <v/>
      </c>
      <c r="L1277" s="32">
        <f>IF($A1277=1,"سداد فوري - "&amp;Supplier_Invoices!$F14&amp;" "&amp;Supplier_Invoices!$B14&amp;" - "&amp;Supplier_Invoices!$C14,"")</f>
        <v/>
      </c>
      <c r="M1277" s="43">
        <f>IF($A1277=1,Supplier_Invoices!$W14,"")</f>
        <v/>
      </c>
      <c r="N1277" s="43">
        <f>IF($A1277=1,0,"")</f>
        <v/>
      </c>
      <c r="O1277" s="32">
        <f>IF($A1277=1,Supplier_Invoices!$O14,"")</f>
        <v/>
      </c>
      <c r="P1277" s="32">
        <f>IF($A1277=1,IF(Supplier_Invoices!$AE14="","",Supplier_Invoices!$AE14),"")</f>
        <v/>
      </c>
      <c r="Q1277" s="32">
        <f>IF($A1277=1,Supplier_Invoices!$AG14,"")</f>
        <v/>
      </c>
      <c r="R1277" s="32">
        <f>IF($A1277=1,IF(AND($Q1277=1,COUNTIFS(COA!$A:$A,$G1277,COA!$R:$R,1)=1),1,0),"")</f>
        <v/>
      </c>
      <c r="S1277" s="43">
        <f>IF($A1277=1,IF($R1277=1,N($M1277),0),"")</f>
        <v/>
      </c>
      <c r="T1277" s="43">
        <f>IF($A1277=1,IF($R1277=1,N($N1277),0),"")</f>
        <v/>
      </c>
      <c r="U1277" s="32">
        <f>IF($A1277=1,YEAR($D1277)*100+MONTH($D1277),"")</f>
        <v/>
      </c>
      <c r="V1277" s="32">
        <f>IF($A1277=1,IF(COUNTIF(COA!$A:$A,$G1277)=0,0,INDEX(COA!$H:$H,MATCH($G1277,COA!$A:$A,0))),"")</f>
        <v/>
      </c>
      <c r="W1277" s="32">
        <f>IF($A1277=1,"","")</f>
        <v/>
      </c>
      <c r="X1277" s="32">
        <f>IF($A1277=1,IF($R1277=1,"",IF($O1277=ST_POST,IF($P1277&lt;&gt;"",$P1277,"حساب غير صالح أو غير نشط"),IF($O1277=ST_REV,"معكوس: لا أثر على الدفاتر",IF($O1277=ST_CANC,"ملغى",IF($O1277=ST_APPR,"معتمد ولم يُرحَّل","مسودة"))))),"")</f>
        <v/>
      </c>
      <c r="Y1277" s="32">
        <f>IF($A1277=1,IF(AND($R1277=1,OR(LG_Acct="",$G1277=LG_Acct),OR(LG_Party="",$K1277=LG_Party),OR(LG_Loc="ALL",$I1277=LG_Loc),OR(LG_CC="ALL",$J1277=LG_CC),$D1277&gt;=LG_From,$D1277&lt;=LG_To),$D1277+ROW()/1000000,""),"")</f>
        <v/>
      </c>
      <c r="Z1277" s="32">
        <f>IF($A1277=1,IF(Supplier_Invoices!$P14="","",Supplier_Invoices!$P14),"")</f>
        <v/>
      </c>
      <c r="AA1277" s="32">
        <f>IF($A1277=1,IF(Supplier_Invoices!$Q14="","",Supplier_Invoices!$Q14),"")</f>
        <v/>
      </c>
      <c r="AB1277" s="32">
        <f>IF($A1277=1,IF(Supplier_Invoices!$R14="","",Supplier_Invoices!$R14),"")</f>
        <v/>
      </c>
      <c r="AC1277" s="32">
        <f>IF($A1277=1,IF(Supplier_Invoices!$S14="","",Supplier_Invoices!$S14),"")</f>
        <v/>
      </c>
      <c r="AD1277" s="32">
        <f>IF($A1277=1,IF(Supplier_Invoices!$T14="","",Supplier_Invoices!$T14),"")</f>
        <v/>
      </c>
      <c r="AE1277" s="32">
        <f>IF($A1277=1,0,"")</f>
        <v/>
      </c>
      <c r="AF1277" s="32" t="inlineStr"/>
    </row>
    <row r="1278">
      <c r="A1278" s="32">
        <f>IF(AND(Supplier_Invoices!$AD14=1,Supplier_Invoices!$L14&lt;&gt;"",Supplier_Invoices!$V14&lt;&gt;"CN",N(Supplier_Invoices!$W14)&gt;0),1,0)</f>
        <v/>
      </c>
      <c r="B1278" s="32">
        <f>IF($A1278=1,$E1278&amp;"/5","")</f>
        <v/>
      </c>
      <c r="C1278" s="32">
        <f>IF($A1278=1,"J-"&amp;Supplier_Invoices!$A14,"")</f>
        <v/>
      </c>
      <c r="D1278" s="33">
        <f>IF($A1278=1,Supplier_Invoices!$E14,"")</f>
        <v/>
      </c>
      <c r="E1278" s="32">
        <f>IF($A1278=1,IF(Supplier_Invoices!$A14="","",Supplier_Invoices!$A14),"")</f>
        <v/>
      </c>
      <c r="F1278" s="32">
        <f>IF($A1278=1,"SINV","")</f>
        <v/>
      </c>
      <c r="G1278" s="32">
        <f>IF($A1278=1,IF(Supplier_Invoices!$AA14="","",Supplier_Invoices!$AA14),"")</f>
        <v/>
      </c>
      <c r="H1278" s="32">
        <f>IF($A1278=1,IF(COUNTIF(COA!$A:$A,$G1278)=0,"حساب غير معرف",INDEX(COA!$B:$B,MATCH($G1278,COA!$A:$A,0))),"")</f>
        <v/>
      </c>
      <c r="I1278" s="32">
        <f>IF($A1278=1,IF(Supplier_Invoices!$H14="","",Supplier_Invoices!$H14),"")</f>
        <v/>
      </c>
      <c r="J1278" s="32">
        <f>IF($A1278=1,"CC00","")</f>
        <v/>
      </c>
      <c r="K1278" s="32">
        <f>IF($A1278=1,"-","")</f>
        <v/>
      </c>
      <c r="L1278" s="32">
        <f>IF($A1278=1,"سداد فوري - "&amp;Supplier_Invoices!$F14&amp;" "&amp;Supplier_Invoices!$B14&amp;" - "&amp;Supplier_Invoices!$C14,"")</f>
        <v/>
      </c>
      <c r="M1278" s="43">
        <f>IF($A1278=1,0,"")</f>
        <v/>
      </c>
      <c r="N1278" s="43">
        <f>IF($A1278=1,Supplier_Invoices!$W14,"")</f>
        <v/>
      </c>
      <c r="O1278" s="32">
        <f>IF($A1278=1,Supplier_Invoices!$O14,"")</f>
        <v/>
      </c>
      <c r="P1278" s="32">
        <f>IF($A1278=1,IF(Supplier_Invoices!$AE14="","",Supplier_Invoices!$AE14),"")</f>
        <v/>
      </c>
      <c r="Q1278" s="32">
        <f>IF($A1278=1,Supplier_Invoices!$AG14,"")</f>
        <v/>
      </c>
      <c r="R1278" s="32">
        <f>IF($A1278=1,IF(AND($Q1278=1,COUNTIFS(COA!$A:$A,$G1278,COA!$R:$R,1)=1),1,0),"")</f>
        <v/>
      </c>
      <c r="S1278" s="43">
        <f>IF($A1278=1,IF($R1278=1,N($M1278),0),"")</f>
        <v/>
      </c>
      <c r="T1278" s="43">
        <f>IF($A1278=1,IF($R1278=1,N($N1278),0),"")</f>
        <v/>
      </c>
      <c r="U1278" s="32">
        <f>IF($A1278=1,YEAR($D1278)*100+MONTH($D1278),"")</f>
        <v/>
      </c>
      <c r="V1278" s="32">
        <f>IF($A1278=1,IF(COUNTIF(COA!$A:$A,$G1278)=0,0,INDEX(COA!$H:$H,MATCH($G1278,COA!$A:$A,0))),"")</f>
        <v/>
      </c>
      <c r="W1278" s="32">
        <f>IF($A1278=1,IF(Supplier_Invoices!$AB14="","",Supplier_Invoices!$AB14),"")</f>
        <v/>
      </c>
      <c r="X1278" s="32">
        <f>IF($A1278=1,IF($R1278=1,"",IF($O1278=ST_POST,IF($P1278&lt;&gt;"",$P1278,"حساب غير صالح أو غير نشط"),IF($O1278=ST_REV,"معكوس: لا أثر على الدفاتر",IF($O1278=ST_CANC,"ملغى",IF($O1278=ST_APPR,"معتمد ولم يُرحَّل","مسودة"))))),"")</f>
        <v/>
      </c>
      <c r="Y1278" s="32">
        <f>IF($A1278=1,IF(AND($R1278=1,OR(LG_Acct="",$G1278=LG_Acct),OR(LG_Party="",$K1278=LG_Party),OR(LG_Loc="ALL",$I1278=LG_Loc),OR(LG_CC="ALL",$J1278=LG_CC),$D1278&gt;=LG_From,$D1278&lt;=LG_To),$D1278+ROW()/1000000,""),"")</f>
        <v/>
      </c>
      <c r="Z1278" s="32">
        <f>IF($A1278=1,IF(Supplier_Invoices!$P14="","",Supplier_Invoices!$P14),"")</f>
        <v/>
      </c>
      <c r="AA1278" s="32">
        <f>IF($A1278=1,IF(Supplier_Invoices!$Q14="","",Supplier_Invoices!$Q14),"")</f>
        <v/>
      </c>
      <c r="AB1278" s="32">
        <f>IF($A1278=1,IF(Supplier_Invoices!$R14="","",Supplier_Invoices!$R14),"")</f>
        <v/>
      </c>
      <c r="AC1278" s="32">
        <f>IF($A1278=1,IF(Supplier_Invoices!$S14="","",Supplier_Invoices!$S14),"")</f>
        <v/>
      </c>
      <c r="AD1278" s="32">
        <f>IF($A1278=1,IF(Supplier_Invoices!$T14="","",Supplier_Invoices!$T14),"")</f>
        <v/>
      </c>
      <c r="AE1278" s="32">
        <f>IF($A1278=1,0,"")</f>
        <v/>
      </c>
      <c r="AF1278" s="32" t="inlineStr"/>
    </row>
    <row r="1279">
      <c r="A1279" s="32">
        <f>IF(AND(Supplier_Invoices!$AD15=1,N(Supplier_Invoices!$J15)&gt;0),1,0)</f>
        <v/>
      </c>
      <c r="B1279" s="32">
        <f>IF($A1279=1,$E1279&amp;"/1","")</f>
        <v/>
      </c>
      <c r="C1279" s="32">
        <f>IF($A1279=1,"J-"&amp;Supplier_Invoices!$A15,"")</f>
        <v/>
      </c>
      <c r="D1279" s="33">
        <f>IF($A1279=1,Supplier_Invoices!$E15,"")</f>
        <v/>
      </c>
      <c r="E1279" s="32">
        <f>IF($A1279=1,IF(Supplier_Invoices!$A15="","",Supplier_Invoices!$A15),"")</f>
        <v/>
      </c>
      <c r="F1279" s="32">
        <f>IF($A1279=1,"SINV","")</f>
        <v/>
      </c>
      <c r="G1279" s="32">
        <f>IF($A1279=1,IF(Supplier_Invoices!$G15="","",Supplier_Invoices!$G15),"")</f>
        <v/>
      </c>
      <c r="H1279" s="32">
        <f>IF($A1279=1,IF(COUNTIF(COA!$A:$A,$G1279)=0,"حساب غير معرف",INDEX(COA!$B:$B,MATCH($G1279,COA!$A:$A,0))),"")</f>
        <v/>
      </c>
      <c r="I1279" s="32">
        <f>IF($A1279=1,IF(Supplier_Invoices!$H15="","",Supplier_Invoices!$H15),"")</f>
        <v/>
      </c>
      <c r="J1279" s="32">
        <f>IF($A1279=1,IF(Supplier_Invoices!$I15="","",Supplier_Invoices!$I15),"")</f>
        <v/>
      </c>
      <c r="K1279" s="32">
        <f>IF($A1279=1,"-","")</f>
        <v/>
      </c>
      <c r="L1279" s="32">
        <f>IF($A1279=1,Supplier_Invoices!$F15&amp;" "&amp;Supplier_Invoices!$B15&amp;" - "&amp;Supplier_Invoices!$C15,"")</f>
        <v/>
      </c>
      <c r="M1279" s="43">
        <f>IF($A1279=1,IF(Supplier_Invoices!$V15="CN",0,Supplier_Invoices!$J15),"")</f>
        <v/>
      </c>
      <c r="N1279" s="43">
        <f>IF($A1279=1,IF(Supplier_Invoices!$V15="CN",Supplier_Invoices!$J15,0),"")</f>
        <v/>
      </c>
      <c r="O1279" s="32">
        <f>IF($A1279=1,Supplier_Invoices!$O15,"")</f>
        <v/>
      </c>
      <c r="P1279" s="32">
        <f>IF($A1279=1,IF(Supplier_Invoices!$AE15="","",Supplier_Invoices!$AE15),"")</f>
        <v/>
      </c>
      <c r="Q1279" s="32">
        <f>IF($A1279=1,Supplier_Invoices!$AG15,"")</f>
        <v/>
      </c>
      <c r="R1279" s="32">
        <f>IF($A1279=1,IF(AND($Q1279=1,COUNTIFS(COA!$A:$A,$G1279,COA!$R:$R,1)=1),1,0),"")</f>
        <v/>
      </c>
      <c r="S1279" s="43">
        <f>IF($A1279=1,IF($R1279=1,N($M1279),0),"")</f>
        <v/>
      </c>
      <c r="T1279" s="43">
        <f>IF($A1279=1,IF($R1279=1,N($N1279),0),"")</f>
        <v/>
      </c>
      <c r="U1279" s="32">
        <f>IF($A1279=1,YEAR($D1279)*100+MONTH($D1279),"")</f>
        <v/>
      </c>
      <c r="V1279" s="32">
        <f>IF($A1279=1,IF(COUNTIF(COA!$A:$A,$G1279)=0,0,INDEX(COA!$H:$H,MATCH($G1279,COA!$A:$A,0))),"")</f>
        <v/>
      </c>
      <c r="W1279" s="32">
        <f>IF($A1279=1,"","")</f>
        <v/>
      </c>
      <c r="X1279" s="32">
        <f>IF($A1279=1,IF($R1279=1,"",IF($O1279=ST_POST,IF($P1279&lt;&gt;"",$P1279,"حساب غير صالح أو غير نشط"),IF($O1279=ST_REV,"معكوس: لا أثر على الدفاتر",IF($O1279=ST_CANC,"ملغى",IF($O1279=ST_APPR,"معتمد ولم يُرحَّل","مسودة"))))),"")</f>
        <v/>
      </c>
      <c r="Y1279" s="32">
        <f>IF($A1279=1,IF(AND($R1279=1,OR(LG_Acct="",$G1279=LG_Acct),OR(LG_Party="",$K1279=LG_Party),OR(LG_Loc="ALL",$I1279=LG_Loc),OR(LG_CC="ALL",$J1279=LG_CC),$D1279&gt;=LG_From,$D1279&lt;=LG_To),$D1279+ROW()/1000000,""),"")</f>
        <v/>
      </c>
      <c r="Z1279" s="32">
        <f>IF($A1279=1,IF(Supplier_Invoices!$P15="","",Supplier_Invoices!$P15),"")</f>
        <v/>
      </c>
      <c r="AA1279" s="32">
        <f>IF($A1279=1,IF(Supplier_Invoices!$Q15="","",Supplier_Invoices!$Q15),"")</f>
        <v/>
      </c>
      <c r="AB1279" s="32">
        <f>IF($A1279=1,IF(Supplier_Invoices!$R15="","",Supplier_Invoices!$R15),"")</f>
        <v/>
      </c>
      <c r="AC1279" s="32">
        <f>IF($A1279=1,IF(Supplier_Invoices!$S15="","",Supplier_Invoices!$S15),"")</f>
        <v/>
      </c>
      <c r="AD1279" s="32">
        <f>IF($A1279=1,IF(Supplier_Invoices!$T15="","",Supplier_Invoices!$T15),"")</f>
        <v/>
      </c>
      <c r="AE1279" s="32">
        <f>IF($A1279=1,0,"")</f>
        <v/>
      </c>
      <c r="AF1279" s="32" t="inlineStr"/>
    </row>
    <row r="1280">
      <c r="A1280" s="32">
        <f>IF(AND(Supplier_Invoices!$AD15=1,N(Supplier_Invoices!$K15)&gt;0),1,0)</f>
        <v/>
      </c>
      <c r="B1280" s="32">
        <f>IF($A1280=1,$E1280&amp;"/2","")</f>
        <v/>
      </c>
      <c r="C1280" s="32">
        <f>IF($A1280=1,"J-"&amp;Supplier_Invoices!$A15,"")</f>
        <v/>
      </c>
      <c r="D1280" s="33">
        <f>IF($A1280=1,Supplier_Invoices!$E15,"")</f>
        <v/>
      </c>
      <c r="E1280" s="32">
        <f>IF($A1280=1,IF(Supplier_Invoices!$A15="","",Supplier_Invoices!$A15),"")</f>
        <v/>
      </c>
      <c r="F1280" s="32">
        <f>IF($A1280=1,"SINV","")</f>
        <v/>
      </c>
      <c r="G1280" s="32">
        <f>IF($A1280=1,ACC_VAT_IN,"")</f>
        <v/>
      </c>
      <c r="H1280" s="32">
        <f>IF($A1280=1,IF(COUNTIF(COA!$A:$A,$G1280)=0,"حساب غير معرف",INDEX(COA!$B:$B,MATCH($G1280,COA!$A:$A,0))),"")</f>
        <v/>
      </c>
      <c r="I1280" s="32">
        <f>IF($A1280=1,IF(Supplier_Invoices!$H15="","",Supplier_Invoices!$H15),"")</f>
        <v/>
      </c>
      <c r="J1280" s="32">
        <f>IF($A1280=1,IF(Supplier_Invoices!$I15="","",Supplier_Invoices!$I15),"")</f>
        <v/>
      </c>
      <c r="K1280" s="32">
        <f>IF($A1280=1,"-","")</f>
        <v/>
      </c>
      <c r="L1280" s="32">
        <f>IF($A1280=1,"ضريبة قيمة مضافة - مدخلات","")</f>
        <v/>
      </c>
      <c r="M1280" s="43">
        <f>IF($A1280=1,IF(Supplier_Invoices!$V15="CN",0,Supplier_Invoices!$K15),"")</f>
        <v/>
      </c>
      <c r="N1280" s="43">
        <f>IF($A1280=1,IF(Supplier_Invoices!$V15="CN",Supplier_Invoices!$K15,0),"")</f>
        <v/>
      </c>
      <c r="O1280" s="32">
        <f>IF($A1280=1,Supplier_Invoices!$O15,"")</f>
        <v/>
      </c>
      <c r="P1280" s="32">
        <f>IF($A1280=1,IF(Supplier_Invoices!$AE15="","",Supplier_Invoices!$AE15),"")</f>
        <v/>
      </c>
      <c r="Q1280" s="32">
        <f>IF($A1280=1,Supplier_Invoices!$AG15,"")</f>
        <v/>
      </c>
      <c r="R1280" s="32">
        <f>IF($A1280=1,IF(AND($Q1280=1,COUNTIFS(COA!$A:$A,$G1280,COA!$R:$R,1)=1),1,0),"")</f>
        <v/>
      </c>
      <c r="S1280" s="43">
        <f>IF($A1280=1,IF($R1280=1,N($M1280),0),"")</f>
        <v/>
      </c>
      <c r="T1280" s="43">
        <f>IF($A1280=1,IF($R1280=1,N($N1280),0),"")</f>
        <v/>
      </c>
      <c r="U1280" s="32">
        <f>IF($A1280=1,YEAR($D1280)*100+MONTH($D1280),"")</f>
        <v/>
      </c>
      <c r="V1280" s="32">
        <f>IF($A1280=1,IF(COUNTIF(COA!$A:$A,$G1280)=0,0,INDEX(COA!$H:$H,MATCH($G1280,COA!$A:$A,0))),"")</f>
        <v/>
      </c>
      <c r="W1280" s="32">
        <f>IF($A1280=1,"","")</f>
        <v/>
      </c>
      <c r="X1280" s="32">
        <f>IF($A1280=1,IF($R1280=1,"",IF($O1280=ST_POST,IF($P1280&lt;&gt;"",$P1280,"حساب غير صالح أو غير نشط"),IF($O1280=ST_REV,"معكوس: لا أثر على الدفاتر",IF($O1280=ST_CANC,"ملغى",IF($O1280=ST_APPR,"معتمد ولم يُرحَّل","مسودة"))))),"")</f>
        <v/>
      </c>
      <c r="Y1280" s="32">
        <f>IF($A1280=1,IF(AND($R1280=1,OR(LG_Acct="",$G1280=LG_Acct),OR(LG_Party="",$K1280=LG_Party),OR(LG_Loc="ALL",$I1280=LG_Loc),OR(LG_CC="ALL",$J1280=LG_CC),$D1280&gt;=LG_From,$D1280&lt;=LG_To),$D1280+ROW()/1000000,""),"")</f>
        <v/>
      </c>
      <c r="Z1280" s="32">
        <f>IF($A1280=1,IF(Supplier_Invoices!$P15="","",Supplier_Invoices!$P15),"")</f>
        <v/>
      </c>
      <c r="AA1280" s="32">
        <f>IF($A1280=1,IF(Supplier_Invoices!$Q15="","",Supplier_Invoices!$Q15),"")</f>
        <v/>
      </c>
      <c r="AB1280" s="32">
        <f>IF($A1280=1,IF(Supplier_Invoices!$R15="","",Supplier_Invoices!$R15),"")</f>
        <v/>
      </c>
      <c r="AC1280" s="32">
        <f>IF($A1280=1,IF(Supplier_Invoices!$S15="","",Supplier_Invoices!$S15),"")</f>
        <v/>
      </c>
      <c r="AD1280" s="32">
        <f>IF($A1280=1,IF(Supplier_Invoices!$T15="","",Supplier_Invoices!$T15),"")</f>
        <v/>
      </c>
      <c r="AE1280" s="32">
        <f>IF($A1280=1,0,"")</f>
        <v/>
      </c>
      <c r="AF1280" s="32" t="inlineStr"/>
    </row>
    <row r="1281">
      <c r="A1281" s="32">
        <f>IF(AND(Supplier_Invoices!$AD15=1,N(Supplier_Invoices!$W15)&gt;0),1,0)</f>
        <v/>
      </c>
      <c r="B1281" s="32">
        <f>IF($A1281=1,$E1281&amp;"/3","")</f>
        <v/>
      </c>
      <c r="C1281" s="32">
        <f>IF($A1281=1,"J-"&amp;Supplier_Invoices!$A15,"")</f>
        <v/>
      </c>
      <c r="D1281" s="33">
        <f>IF($A1281=1,Supplier_Invoices!$E15,"")</f>
        <v/>
      </c>
      <c r="E1281" s="32">
        <f>IF($A1281=1,IF(Supplier_Invoices!$A15="","",Supplier_Invoices!$A15),"")</f>
        <v/>
      </c>
      <c r="F1281" s="32">
        <f>IF($A1281=1,"SINV","")</f>
        <v/>
      </c>
      <c r="G1281" s="32">
        <f>IF($A1281=1,ACC_SUPPLIERS,"")</f>
        <v/>
      </c>
      <c r="H1281" s="32">
        <f>IF($A1281=1,IF(COUNTIF(COA!$A:$A,$G1281)=0,"حساب غير معرف",INDEX(COA!$B:$B,MATCH($G1281,COA!$A:$A,0))),"")</f>
        <v/>
      </c>
      <c r="I1281" s="32">
        <f>IF($A1281=1,IF(Supplier_Invoices!$H15="","",Supplier_Invoices!$H15),"")</f>
        <v/>
      </c>
      <c r="J1281" s="32">
        <f>IF($A1281=1,"CC00","")</f>
        <v/>
      </c>
      <c r="K1281" s="32">
        <f>IF($A1281=1,IF(Supplier_Invoices!$C15="","",Supplier_Invoices!$C15),"")</f>
        <v/>
      </c>
      <c r="L1281" s="32">
        <f>IF($A1281=1,Supplier_Invoices!$F15&amp;" "&amp;Supplier_Invoices!$B15&amp;" - "&amp;Supplier_Invoices!$C15,"")</f>
        <v/>
      </c>
      <c r="M1281" s="43">
        <f>IF($A1281=1,IF(Supplier_Invoices!$V15="CN",Supplier_Invoices!$W15,0),"")</f>
        <v/>
      </c>
      <c r="N1281" s="43">
        <f>IF($A1281=1,IF(Supplier_Invoices!$V15="CN",0,Supplier_Invoices!$W15),"")</f>
        <v/>
      </c>
      <c r="O1281" s="32">
        <f>IF($A1281=1,Supplier_Invoices!$O15,"")</f>
        <v/>
      </c>
      <c r="P1281" s="32">
        <f>IF($A1281=1,IF(Supplier_Invoices!$AE15="","",Supplier_Invoices!$AE15),"")</f>
        <v/>
      </c>
      <c r="Q1281" s="32">
        <f>IF($A1281=1,Supplier_Invoices!$AG15,"")</f>
        <v/>
      </c>
      <c r="R1281" s="32">
        <f>IF($A1281=1,IF(AND($Q1281=1,COUNTIFS(COA!$A:$A,$G1281,COA!$R:$R,1)=1),1,0),"")</f>
        <v/>
      </c>
      <c r="S1281" s="43">
        <f>IF($A1281=1,IF($R1281=1,N($M1281),0),"")</f>
        <v/>
      </c>
      <c r="T1281" s="43">
        <f>IF($A1281=1,IF($R1281=1,N($N1281),0),"")</f>
        <v/>
      </c>
      <c r="U1281" s="32">
        <f>IF($A1281=1,YEAR($D1281)*100+MONTH($D1281),"")</f>
        <v/>
      </c>
      <c r="V1281" s="32">
        <f>IF($A1281=1,IF(COUNTIF(COA!$A:$A,$G1281)=0,0,INDEX(COA!$H:$H,MATCH($G1281,COA!$A:$A,0))),"")</f>
        <v/>
      </c>
      <c r="W1281" s="32">
        <f>IF($A1281=1,"","")</f>
        <v/>
      </c>
      <c r="X1281" s="32">
        <f>IF($A1281=1,IF($R1281=1,"",IF($O1281=ST_POST,IF($P1281&lt;&gt;"",$P1281,"حساب غير صالح أو غير نشط"),IF($O1281=ST_REV,"معكوس: لا أثر على الدفاتر",IF($O1281=ST_CANC,"ملغى",IF($O1281=ST_APPR,"معتمد ولم يُرحَّل","مسودة"))))),"")</f>
        <v/>
      </c>
      <c r="Y1281" s="32">
        <f>IF($A1281=1,IF(AND($R1281=1,OR(LG_Acct="",$G1281=LG_Acct),OR(LG_Party="",$K1281=LG_Party),OR(LG_Loc="ALL",$I1281=LG_Loc),OR(LG_CC="ALL",$J1281=LG_CC),$D1281&gt;=LG_From,$D1281&lt;=LG_To),$D1281+ROW()/1000000,""),"")</f>
        <v/>
      </c>
      <c r="Z1281" s="32">
        <f>IF($A1281=1,IF(Supplier_Invoices!$P15="","",Supplier_Invoices!$P15),"")</f>
        <v/>
      </c>
      <c r="AA1281" s="32">
        <f>IF($A1281=1,IF(Supplier_Invoices!$Q15="","",Supplier_Invoices!$Q15),"")</f>
        <v/>
      </c>
      <c r="AB1281" s="32">
        <f>IF($A1281=1,IF(Supplier_Invoices!$R15="","",Supplier_Invoices!$R15),"")</f>
        <v/>
      </c>
      <c r="AC1281" s="32">
        <f>IF($A1281=1,IF(Supplier_Invoices!$S15="","",Supplier_Invoices!$S15),"")</f>
        <v/>
      </c>
      <c r="AD1281" s="32">
        <f>IF($A1281=1,IF(Supplier_Invoices!$T15="","",Supplier_Invoices!$T15),"")</f>
        <v/>
      </c>
      <c r="AE1281" s="32">
        <f>IF($A1281=1,0,"")</f>
        <v/>
      </c>
      <c r="AF1281" s="32" t="inlineStr"/>
    </row>
    <row r="1282">
      <c r="A1282" s="32">
        <f>IF(AND(Supplier_Invoices!$AD15=1,Supplier_Invoices!$L15&lt;&gt;"",Supplier_Invoices!$V15&lt;&gt;"CN",N(Supplier_Invoices!$W15)&gt;0),1,0)</f>
        <v/>
      </c>
      <c r="B1282" s="32">
        <f>IF($A1282=1,$E1282&amp;"/4","")</f>
        <v/>
      </c>
      <c r="C1282" s="32">
        <f>IF($A1282=1,"J-"&amp;Supplier_Invoices!$A15,"")</f>
        <v/>
      </c>
      <c r="D1282" s="33">
        <f>IF($A1282=1,Supplier_Invoices!$E15,"")</f>
        <v/>
      </c>
      <c r="E1282" s="32">
        <f>IF($A1282=1,IF(Supplier_Invoices!$A15="","",Supplier_Invoices!$A15),"")</f>
        <v/>
      </c>
      <c r="F1282" s="32">
        <f>IF($A1282=1,"SINV","")</f>
        <v/>
      </c>
      <c r="G1282" s="32">
        <f>IF($A1282=1,ACC_SUPPLIERS,"")</f>
        <v/>
      </c>
      <c r="H1282" s="32">
        <f>IF($A1282=1,IF(COUNTIF(COA!$A:$A,$G1282)=0,"حساب غير معرف",INDEX(COA!$B:$B,MATCH($G1282,COA!$A:$A,0))),"")</f>
        <v/>
      </c>
      <c r="I1282" s="32">
        <f>IF($A1282=1,IF(Supplier_Invoices!$H15="","",Supplier_Invoices!$H15),"")</f>
        <v/>
      </c>
      <c r="J1282" s="32">
        <f>IF($A1282=1,"CC00","")</f>
        <v/>
      </c>
      <c r="K1282" s="32">
        <f>IF($A1282=1,IF(Supplier_Invoices!$C15="","",Supplier_Invoices!$C15),"")</f>
        <v/>
      </c>
      <c r="L1282" s="32">
        <f>IF($A1282=1,"سداد فوري - "&amp;Supplier_Invoices!$F15&amp;" "&amp;Supplier_Invoices!$B15&amp;" - "&amp;Supplier_Invoices!$C15,"")</f>
        <v/>
      </c>
      <c r="M1282" s="43">
        <f>IF($A1282=1,Supplier_Invoices!$W15,"")</f>
        <v/>
      </c>
      <c r="N1282" s="43">
        <f>IF($A1282=1,0,"")</f>
        <v/>
      </c>
      <c r="O1282" s="32">
        <f>IF($A1282=1,Supplier_Invoices!$O15,"")</f>
        <v/>
      </c>
      <c r="P1282" s="32">
        <f>IF($A1282=1,IF(Supplier_Invoices!$AE15="","",Supplier_Invoices!$AE15),"")</f>
        <v/>
      </c>
      <c r="Q1282" s="32">
        <f>IF($A1282=1,Supplier_Invoices!$AG15,"")</f>
        <v/>
      </c>
      <c r="R1282" s="32">
        <f>IF($A1282=1,IF(AND($Q1282=1,COUNTIFS(COA!$A:$A,$G1282,COA!$R:$R,1)=1),1,0),"")</f>
        <v/>
      </c>
      <c r="S1282" s="43">
        <f>IF($A1282=1,IF($R1282=1,N($M1282),0),"")</f>
        <v/>
      </c>
      <c r="T1282" s="43">
        <f>IF($A1282=1,IF($R1282=1,N($N1282),0),"")</f>
        <v/>
      </c>
      <c r="U1282" s="32">
        <f>IF($A1282=1,YEAR($D1282)*100+MONTH($D1282),"")</f>
        <v/>
      </c>
      <c r="V1282" s="32">
        <f>IF($A1282=1,IF(COUNTIF(COA!$A:$A,$G1282)=0,0,INDEX(COA!$H:$H,MATCH($G1282,COA!$A:$A,0))),"")</f>
        <v/>
      </c>
      <c r="W1282" s="32">
        <f>IF($A1282=1,"","")</f>
        <v/>
      </c>
      <c r="X1282" s="32">
        <f>IF($A1282=1,IF($R1282=1,"",IF($O1282=ST_POST,IF($P1282&lt;&gt;"",$P1282,"حساب غير صالح أو غير نشط"),IF($O1282=ST_REV,"معكوس: لا أثر على الدفاتر",IF($O1282=ST_CANC,"ملغى",IF($O1282=ST_APPR,"معتمد ولم يُرحَّل","مسودة"))))),"")</f>
        <v/>
      </c>
      <c r="Y1282" s="32">
        <f>IF($A1282=1,IF(AND($R1282=1,OR(LG_Acct="",$G1282=LG_Acct),OR(LG_Party="",$K1282=LG_Party),OR(LG_Loc="ALL",$I1282=LG_Loc),OR(LG_CC="ALL",$J1282=LG_CC),$D1282&gt;=LG_From,$D1282&lt;=LG_To),$D1282+ROW()/1000000,""),"")</f>
        <v/>
      </c>
      <c r="Z1282" s="32">
        <f>IF($A1282=1,IF(Supplier_Invoices!$P15="","",Supplier_Invoices!$P15),"")</f>
        <v/>
      </c>
      <c r="AA1282" s="32">
        <f>IF($A1282=1,IF(Supplier_Invoices!$Q15="","",Supplier_Invoices!$Q15),"")</f>
        <v/>
      </c>
      <c r="AB1282" s="32">
        <f>IF($A1282=1,IF(Supplier_Invoices!$R15="","",Supplier_Invoices!$R15),"")</f>
        <v/>
      </c>
      <c r="AC1282" s="32">
        <f>IF($A1282=1,IF(Supplier_Invoices!$S15="","",Supplier_Invoices!$S15),"")</f>
        <v/>
      </c>
      <c r="AD1282" s="32">
        <f>IF($A1282=1,IF(Supplier_Invoices!$T15="","",Supplier_Invoices!$T15),"")</f>
        <v/>
      </c>
      <c r="AE1282" s="32">
        <f>IF($A1282=1,0,"")</f>
        <v/>
      </c>
      <c r="AF1282" s="32" t="inlineStr"/>
    </row>
    <row r="1283">
      <c r="A1283" s="32">
        <f>IF(AND(Supplier_Invoices!$AD15=1,Supplier_Invoices!$L15&lt;&gt;"",Supplier_Invoices!$V15&lt;&gt;"CN",N(Supplier_Invoices!$W15)&gt;0),1,0)</f>
        <v/>
      </c>
      <c r="B1283" s="32">
        <f>IF($A1283=1,$E1283&amp;"/5","")</f>
        <v/>
      </c>
      <c r="C1283" s="32">
        <f>IF($A1283=1,"J-"&amp;Supplier_Invoices!$A15,"")</f>
        <v/>
      </c>
      <c r="D1283" s="33">
        <f>IF($A1283=1,Supplier_Invoices!$E15,"")</f>
        <v/>
      </c>
      <c r="E1283" s="32">
        <f>IF($A1283=1,IF(Supplier_Invoices!$A15="","",Supplier_Invoices!$A15),"")</f>
        <v/>
      </c>
      <c r="F1283" s="32">
        <f>IF($A1283=1,"SINV","")</f>
        <v/>
      </c>
      <c r="G1283" s="32">
        <f>IF($A1283=1,IF(Supplier_Invoices!$AA15="","",Supplier_Invoices!$AA15),"")</f>
        <v/>
      </c>
      <c r="H1283" s="32">
        <f>IF($A1283=1,IF(COUNTIF(COA!$A:$A,$G1283)=0,"حساب غير معرف",INDEX(COA!$B:$B,MATCH($G1283,COA!$A:$A,0))),"")</f>
        <v/>
      </c>
      <c r="I1283" s="32">
        <f>IF($A1283=1,IF(Supplier_Invoices!$H15="","",Supplier_Invoices!$H15),"")</f>
        <v/>
      </c>
      <c r="J1283" s="32">
        <f>IF($A1283=1,"CC00","")</f>
        <v/>
      </c>
      <c r="K1283" s="32">
        <f>IF($A1283=1,"-","")</f>
        <v/>
      </c>
      <c r="L1283" s="32">
        <f>IF($A1283=1,"سداد فوري - "&amp;Supplier_Invoices!$F15&amp;" "&amp;Supplier_Invoices!$B15&amp;" - "&amp;Supplier_Invoices!$C15,"")</f>
        <v/>
      </c>
      <c r="M1283" s="43">
        <f>IF($A1283=1,0,"")</f>
        <v/>
      </c>
      <c r="N1283" s="43">
        <f>IF($A1283=1,Supplier_Invoices!$W15,"")</f>
        <v/>
      </c>
      <c r="O1283" s="32">
        <f>IF($A1283=1,Supplier_Invoices!$O15,"")</f>
        <v/>
      </c>
      <c r="P1283" s="32">
        <f>IF($A1283=1,IF(Supplier_Invoices!$AE15="","",Supplier_Invoices!$AE15),"")</f>
        <v/>
      </c>
      <c r="Q1283" s="32">
        <f>IF($A1283=1,Supplier_Invoices!$AG15,"")</f>
        <v/>
      </c>
      <c r="R1283" s="32">
        <f>IF($A1283=1,IF(AND($Q1283=1,COUNTIFS(COA!$A:$A,$G1283,COA!$R:$R,1)=1),1,0),"")</f>
        <v/>
      </c>
      <c r="S1283" s="43">
        <f>IF($A1283=1,IF($R1283=1,N($M1283),0),"")</f>
        <v/>
      </c>
      <c r="T1283" s="43">
        <f>IF($A1283=1,IF($R1283=1,N($N1283),0),"")</f>
        <v/>
      </c>
      <c r="U1283" s="32">
        <f>IF($A1283=1,YEAR($D1283)*100+MONTH($D1283),"")</f>
        <v/>
      </c>
      <c r="V1283" s="32">
        <f>IF($A1283=1,IF(COUNTIF(COA!$A:$A,$G1283)=0,0,INDEX(COA!$H:$H,MATCH($G1283,COA!$A:$A,0))),"")</f>
        <v/>
      </c>
      <c r="W1283" s="32">
        <f>IF($A1283=1,IF(Supplier_Invoices!$AB15="","",Supplier_Invoices!$AB15),"")</f>
        <v/>
      </c>
      <c r="X1283" s="32">
        <f>IF($A1283=1,IF($R1283=1,"",IF($O1283=ST_POST,IF($P1283&lt;&gt;"",$P1283,"حساب غير صالح أو غير نشط"),IF($O1283=ST_REV,"معكوس: لا أثر على الدفاتر",IF($O1283=ST_CANC,"ملغى",IF($O1283=ST_APPR,"معتمد ولم يُرحَّل","مسودة"))))),"")</f>
        <v/>
      </c>
      <c r="Y1283" s="32">
        <f>IF($A1283=1,IF(AND($R1283=1,OR(LG_Acct="",$G1283=LG_Acct),OR(LG_Party="",$K1283=LG_Party),OR(LG_Loc="ALL",$I1283=LG_Loc),OR(LG_CC="ALL",$J1283=LG_CC),$D1283&gt;=LG_From,$D1283&lt;=LG_To),$D1283+ROW()/1000000,""),"")</f>
        <v/>
      </c>
      <c r="Z1283" s="32">
        <f>IF($A1283=1,IF(Supplier_Invoices!$P15="","",Supplier_Invoices!$P15),"")</f>
        <v/>
      </c>
      <c r="AA1283" s="32">
        <f>IF($A1283=1,IF(Supplier_Invoices!$Q15="","",Supplier_Invoices!$Q15),"")</f>
        <v/>
      </c>
      <c r="AB1283" s="32">
        <f>IF($A1283=1,IF(Supplier_Invoices!$R15="","",Supplier_Invoices!$R15),"")</f>
        <v/>
      </c>
      <c r="AC1283" s="32">
        <f>IF($A1283=1,IF(Supplier_Invoices!$S15="","",Supplier_Invoices!$S15),"")</f>
        <v/>
      </c>
      <c r="AD1283" s="32">
        <f>IF($A1283=1,IF(Supplier_Invoices!$T15="","",Supplier_Invoices!$T15),"")</f>
        <v/>
      </c>
      <c r="AE1283" s="32">
        <f>IF($A1283=1,0,"")</f>
        <v/>
      </c>
      <c r="AF1283" s="32" t="inlineStr"/>
    </row>
    <row r="1284">
      <c r="A1284" s="32">
        <f>IF(AND(Supplier_Invoices!$AD16=1,N(Supplier_Invoices!$J16)&gt;0),1,0)</f>
        <v/>
      </c>
      <c r="B1284" s="32">
        <f>IF($A1284=1,$E1284&amp;"/1","")</f>
        <v/>
      </c>
      <c r="C1284" s="32">
        <f>IF($A1284=1,"J-"&amp;Supplier_Invoices!$A16,"")</f>
        <v/>
      </c>
      <c r="D1284" s="33">
        <f>IF($A1284=1,Supplier_Invoices!$E16,"")</f>
        <v/>
      </c>
      <c r="E1284" s="32">
        <f>IF($A1284=1,IF(Supplier_Invoices!$A16="","",Supplier_Invoices!$A16),"")</f>
        <v/>
      </c>
      <c r="F1284" s="32">
        <f>IF($A1284=1,"SINV","")</f>
        <v/>
      </c>
      <c r="G1284" s="32">
        <f>IF($A1284=1,IF(Supplier_Invoices!$G16="","",Supplier_Invoices!$G16),"")</f>
        <v/>
      </c>
      <c r="H1284" s="32">
        <f>IF($A1284=1,IF(COUNTIF(COA!$A:$A,$G1284)=0,"حساب غير معرف",INDEX(COA!$B:$B,MATCH($G1284,COA!$A:$A,0))),"")</f>
        <v/>
      </c>
      <c r="I1284" s="32">
        <f>IF($A1284=1,IF(Supplier_Invoices!$H16="","",Supplier_Invoices!$H16),"")</f>
        <v/>
      </c>
      <c r="J1284" s="32">
        <f>IF($A1284=1,IF(Supplier_Invoices!$I16="","",Supplier_Invoices!$I16),"")</f>
        <v/>
      </c>
      <c r="K1284" s="32">
        <f>IF($A1284=1,"-","")</f>
        <v/>
      </c>
      <c r="L1284" s="32">
        <f>IF($A1284=1,Supplier_Invoices!$F16&amp;" "&amp;Supplier_Invoices!$B16&amp;" - "&amp;Supplier_Invoices!$C16,"")</f>
        <v/>
      </c>
      <c r="M1284" s="43">
        <f>IF($A1284=1,IF(Supplier_Invoices!$V16="CN",0,Supplier_Invoices!$J16),"")</f>
        <v/>
      </c>
      <c r="N1284" s="43">
        <f>IF($A1284=1,IF(Supplier_Invoices!$V16="CN",Supplier_Invoices!$J16,0),"")</f>
        <v/>
      </c>
      <c r="O1284" s="32">
        <f>IF($A1284=1,Supplier_Invoices!$O16,"")</f>
        <v/>
      </c>
      <c r="P1284" s="32">
        <f>IF($A1284=1,IF(Supplier_Invoices!$AE16="","",Supplier_Invoices!$AE16),"")</f>
        <v/>
      </c>
      <c r="Q1284" s="32">
        <f>IF($A1284=1,Supplier_Invoices!$AG16,"")</f>
        <v/>
      </c>
      <c r="R1284" s="32">
        <f>IF($A1284=1,IF(AND($Q1284=1,COUNTIFS(COA!$A:$A,$G1284,COA!$R:$R,1)=1),1,0),"")</f>
        <v/>
      </c>
      <c r="S1284" s="43">
        <f>IF($A1284=1,IF($R1284=1,N($M1284),0),"")</f>
        <v/>
      </c>
      <c r="T1284" s="43">
        <f>IF($A1284=1,IF($R1284=1,N($N1284),0),"")</f>
        <v/>
      </c>
      <c r="U1284" s="32">
        <f>IF($A1284=1,YEAR($D1284)*100+MONTH($D1284),"")</f>
        <v/>
      </c>
      <c r="V1284" s="32">
        <f>IF($A1284=1,IF(COUNTIF(COA!$A:$A,$G1284)=0,0,INDEX(COA!$H:$H,MATCH($G1284,COA!$A:$A,0))),"")</f>
        <v/>
      </c>
      <c r="W1284" s="32">
        <f>IF($A1284=1,"","")</f>
        <v/>
      </c>
      <c r="X1284" s="32">
        <f>IF($A1284=1,IF($R1284=1,"",IF($O1284=ST_POST,IF($P1284&lt;&gt;"",$P1284,"حساب غير صالح أو غير نشط"),IF($O1284=ST_REV,"معكوس: لا أثر على الدفاتر",IF($O1284=ST_CANC,"ملغى",IF($O1284=ST_APPR,"معتمد ولم يُرحَّل","مسودة"))))),"")</f>
        <v/>
      </c>
      <c r="Y1284" s="32">
        <f>IF($A1284=1,IF(AND($R1284=1,OR(LG_Acct="",$G1284=LG_Acct),OR(LG_Party="",$K1284=LG_Party),OR(LG_Loc="ALL",$I1284=LG_Loc),OR(LG_CC="ALL",$J1284=LG_CC),$D1284&gt;=LG_From,$D1284&lt;=LG_To),$D1284+ROW()/1000000,""),"")</f>
        <v/>
      </c>
      <c r="Z1284" s="32">
        <f>IF($A1284=1,IF(Supplier_Invoices!$P16="","",Supplier_Invoices!$P16),"")</f>
        <v/>
      </c>
      <c r="AA1284" s="32">
        <f>IF($A1284=1,IF(Supplier_Invoices!$Q16="","",Supplier_Invoices!$Q16),"")</f>
        <v/>
      </c>
      <c r="AB1284" s="32">
        <f>IF($A1284=1,IF(Supplier_Invoices!$R16="","",Supplier_Invoices!$R16),"")</f>
        <v/>
      </c>
      <c r="AC1284" s="32">
        <f>IF($A1284=1,IF(Supplier_Invoices!$S16="","",Supplier_Invoices!$S16),"")</f>
        <v/>
      </c>
      <c r="AD1284" s="32">
        <f>IF($A1284=1,IF(Supplier_Invoices!$T16="","",Supplier_Invoices!$T16),"")</f>
        <v/>
      </c>
      <c r="AE1284" s="32">
        <f>IF($A1284=1,0,"")</f>
        <v/>
      </c>
      <c r="AF1284" s="32" t="inlineStr"/>
    </row>
    <row r="1285">
      <c r="A1285" s="32">
        <f>IF(AND(Supplier_Invoices!$AD16=1,N(Supplier_Invoices!$K16)&gt;0),1,0)</f>
        <v/>
      </c>
      <c r="B1285" s="32">
        <f>IF($A1285=1,$E1285&amp;"/2","")</f>
        <v/>
      </c>
      <c r="C1285" s="32">
        <f>IF($A1285=1,"J-"&amp;Supplier_Invoices!$A16,"")</f>
        <v/>
      </c>
      <c r="D1285" s="33">
        <f>IF($A1285=1,Supplier_Invoices!$E16,"")</f>
        <v/>
      </c>
      <c r="E1285" s="32">
        <f>IF($A1285=1,IF(Supplier_Invoices!$A16="","",Supplier_Invoices!$A16),"")</f>
        <v/>
      </c>
      <c r="F1285" s="32">
        <f>IF($A1285=1,"SINV","")</f>
        <v/>
      </c>
      <c r="G1285" s="32">
        <f>IF($A1285=1,ACC_VAT_IN,"")</f>
        <v/>
      </c>
      <c r="H1285" s="32">
        <f>IF($A1285=1,IF(COUNTIF(COA!$A:$A,$G1285)=0,"حساب غير معرف",INDEX(COA!$B:$B,MATCH($G1285,COA!$A:$A,0))),"")</f>
        <v/>
      </c>
      <c r="I1285" s="32">
        <f>IF($A1285=1,IF(Supplier_Invoices!$H16="","",Supplier_Invoices!$H16),"")</f>
        <v/>
      </c>
      <c r="J1285" s="32">
        <f>IF($A1285=1,IF(Supplier_Invoices!$I16="","",Supplier_Invoices!$I16),"")</f>
        <v/>
      </c>
      <c r="K1285" s="32">
        <f>IF($A1285=1,"-","")</f>
        <v/>
      </c>
      <c r="L1285" s="32">
        <f>IF($A1285=1,"ضريبة قيمة مضافة - مدخلات","")</f>
        <v/>
      </c>
      <c r="M1285" s="43">
        <f>IF($A1285=1,IF(Supplier_Invoices!$V16="CN",0,Supplier_Invoices!$K16),"")</f>
        <v/>
      </c>
      <c r="N1285" s="43">
        <f>IF($A1285=1,IF(Supplier_Invoices!$V16="CN",Supplier_Invoices!$K16,0),"")</f>
        <v/>
      </c>
      <c r="O1285" s="32">
        <f>IF($A1285=1,Supplier_Invoices!$O16,"")</f>
        <v/>
      </c>
      <c r="P1285" s="32">
        <f>IF($A1285=1,IF(Supplier_Invoices!$AE16="","",Supplier_Invoices!$AE16),"")</f>
        <v/>
      </c>
      <c r="Q1285" s="32">
        <f>IF($A1285=1,Supplier_Invoices!$AG16,"")</f>
        <v/>
      </c>
      <c r="R1285" s="32">
        <f>IF($A1285=1,IF(AND($Q1285=1,COUNTIFS(COA!$A:$A,$G1285,COA!$R:$R,1)=1),1,0),"")</f>
        <v/>
      </c>
      <c r="S1285" s="43">
        <f>IF($A1285=1,IF($R1285=1,N($M1285),0),"")</f>
        <v/>
      </c>
      <c r="T1285" s="43">
        <f>IF($A1285=1,IF($R1285=1,N($N1285),0),"")</f>
        <v/>
      </c>
      <c r="U1285" s="32">
        <f>IF($A1285=1,YEAR($D1285)*100+MONTH($D1285),"")</f>
        <v/>
      </c>
      <c r="V1285" s="32">
        <f>IF($A1285=1,IF(COUNTIF(COA!$A:$A,$G1285)=0,0,INDEX(COA!$H:$H,MATCH($G1285,COA!$A:$A,0))),"")</f>
        <v/>
      </c>
      <c r="W1285" s="32">
        <f>IF($A1285=1,"","")</f>
        <v/>
      </c>
      <c r="X1285" s="32">
        <f>IF($A1285=1,IF($R1285=1,"",IF($O1285=ST_POST,IF($P1285&lt;&gt;"",$P1285,"حساب غير صالح أو غير نشط"),IF($O1285=ST_REV,"معكوس: لا أثر على الدفاتر",IF($O1285=ST_CANC,"ملغى",IF($O1285=ST_APPR,"معتمد ولم يُرحَّل","مسودة"))))),"")</f>
        <v/>
      </c>
      <c r="Y1285" s="32">
        <f>IF($A1285=1,IF(AND($R1285=1,OR(LG_Acct="",$G1285=LG_Acct),OR(LG_Party="",$K1285=LG_Party),OR(LG_Loc="ALL",$I1285=LG_Loc),OR(LG_CC="ALL",$J1285=LG_CC),$D1285&gt;=LG_From,$D1285&lt;=LG_To),$D1285+ROW()/1000000,""),"")</f>
        <v/>
      </c>
      <c r="Z1285" s="32">
        <f>IF($A1285=1,IF(Supplier_Invoices!$P16="","",Supplier_Invoices!$P16),"")</f>
        <v/>
      </c>
      <c r="AA1285" s="32">
        <f>IF($A1285=1,IF(Supplier_Invoices!$Q16="","",Supplier_Invoices!$Q16),"")</f>
        <v/>
      </c>
      <c r="AB1285" s="32">
        <f>IF($A1285=1,IF(Supplier_Invoices!$R16="","",Supplier_Invoices!$R16),"")</f>
        <v/>
      </c>
      <c r="AC1285" s="32">
        <f>IF($A1285=1,IF(Supplier_Invoices!$S16="","",Supplier_Invoices!$S16),"")</f>
        <v/>
      </c>
      <c r="AD1285" s="32">
        <f>IF($A1285=1,IF(Supplier_Invoices!$T16="","",Supplier_Invoices!$T16),"")</f>
        <v/>
      </c>
      <c r="AE1285" s="32">
        <f>IF($A1285=1,0,"")</f>
        <v/>
      </c>
      <c r="AF1285" s="32" t="inlineStr"/>
    </row>
    <row r="1286">
      <c r="A1286" s="32">
        <f>IF(AND(Supplier_Invoices!$AD16=1,N(Supplier_Invoices!$W16)&gt;0),1,0)</f>
        <v/>
      </c>
      <c r="B1286" s="32">
        <f>IF($A1286=1,$E1286&amp;"/3","")</f>
        <v/>
      </c>
      <c r="C1286" s="32">
        <f>IF($A1286=1,"J-"&amp;Supplier_Invoices!$A16,"")</f>
        <v/>
      </c>
      <c r="D1286" s="33">
        <f>IF($A1286=1,Supplier_Invoices!$E16,"")</f>
        <v/>
      </c>
      <c r="E1286" s="32">
        <f>IF($A1286=1,IF(Supplier_Invoices!$A16="","",Supplier_Invoices!$A16),"")</f>
        <v/>
      </c>
      <c r="F1286" s="32">
        <f>IF($A1286=1,"SINV","")</f>
        <v/>
      </c>
      <c r="G1286" s="32">
        <f>IF($A1286=1,ACC_SUPPLIERS,"")</f>
        <v/>
      </c>
      <c r="H1286" s="32">
        <f>IF($A1286=1,IF(COUNTIF(COA!$A:$A,$G1286)=0,"حساب غير معرف",INDEX(COA!$B:$B,MATCH($G1286,COA!$A:$A,0))),"")</f>
        <v/>
      </c>
      <c r="I1286" s="32">
        <f>IF($A1286=1,IF(Supplier_Invoices!$H16="","",Supplier_Invoices!$H16),"")</f>
        <v/>
      </c>
      <c r="J1286" s="32">
        <f>IF($A1286=1,"CC00","")</f>
        <v/>
      </c>
      <c r="K1286" s="32">
        <f>IF($A1286=1,IF(Supplier_Invoices!$C16="","",Supplier_Invoices!$C16),"")</f>
        <v/>
      </c>
      <c r="L1286" s="32">
        <f>IF($A1286=1,Supplier_Invoices!$F16&amp;" "&amp;Supplier_Invoices!$B16&amp;" - "&amp;Supplier_Invoices!$C16,"")</f>
        <v/>
      </c>
      <c r="M1286" s="43">
        <f>IF($A1286=1,IF(Supplier_Invoices!$V16="CN",Supplier_Invoices!$W16,0),"")</f>
        <v/>
      </c>
      <c r="N1286" s="43">
        <f>IF($A1286=1,IF(Supplier_Invoices!$V16="CN",0,Supplier_Invoices!$W16),"")</f>
        <v/>
      </c>
      <c r="O1286" s="32">
        <f>IF($A1286=1,Supplier_Invoices!$O16,"")</f>
        <v/>
      </c>
      <c r="P1286" s="32">
        <f>IF($A1286=1,IF(Supplier_Invoices!$AE16="","",Supplier_Invoices!$AE16),"")</f>
        <v/>
      </c>
      <c r="Q1286" s="32">
        <f>IF($A1286=1,Supplier_Invoices!$AG16,"")</f>
        <v/>
      </c>
      <c r="R1286" s="32">
        <f>IF($A1286=1,IF(AND($Q1286=1,COUNTIFS(COA!$A:$A,$G1286,COA!$R:$R,1)=1),1,0),"")</f>
        <v/>
      </c>
      <c r="S1286" s="43">
        <f>IF($A1286=1,IF($R1286=1,N($M1286),0),"")</f>
        <v/>
      </c>
      <c r="T1286" s="43">
        <f>IF($A1286=1,IF($R1286=1,N($N1286),0),"")</f>
        <v/>
      </c>
      <c r="U1286" s="32">
        <f>IF($A1286=1,YEAR($D1286)*100+MONTH($D1286),"")</f>
        <v/>
      </c>
      <c r="V1286" s="32">
        <f>IF($A1286=1,IF(COUNTIF(COA!$A:$A,$G1286)=0,0,INDEX(COA!$H:$H,MATCH($G1286,COA!$A:$A,0))),"")</f>
        <v/>
      </c>
      <c r="W1286" s="32">
        <f>IF($A1286=1,"","")</f>
        <v/>
      </c>
      <c r="X1286" s="32">
        <f>IF($A1286=1,IF($R1286=1,"",IF($O1286=ST_POST,IF($P1286&lt;&gt;"",$P1286,"حساب غير صالح أو غير نشط"),IF($O1286=ST_REV,"معكوس: لا أثر على الدفاتر",IF($O1286=ST_CANC,"ملغى",IF($O1286=ST_APPR,"معتمد ولم يُرحَّل","مسودة"))))),"")</f>
        <v/>
      </c>
      <c r="Y1286" s="32">
        <f>IF($A1286=1,IF(AND($R1286=1,OR(LG_Acct="",$G1286=LG_Acct),OR(LG_Party="",$K1286=LG_Party),OR(LG_Loc="ALL",$I1286=LG_Loc),OR(LG_CC="ALL",$J1286=LG_CC),$D1286&gt;=LG_From,$D1286&lt;=LG_To),$D1286+ROW()/1000000,""),"")</f>
        <v/>
      </c>
      <c r="Z1286" s="32">
        <f>IF($A1286=1,IF(Supplier_Invoices!$P16="","",Supplier_Invoices!$P16),"")</f>
        <v/>
      </c>
      <c r="AA1286" s="32">
        <f>IF($A1286=1,IF(Supplier_Invoices!$Q16="","",Supplier_Invoices!$Q16),"")</f>
        <v/>
      </c>
      <c r="AB1286" s="32">
        <f>IF($A1286=1,IF(Supplier_Invoices!$R16="","",Supplier_Invoices!$R16),"")</f>
        <v/>
      </c>
      <c r="AC1286" s="32">
        <f>IF($A1286=1,IF(Supplier_Invoices!$S16="","",Supplier_Invoices!$S16),"")</f>
        <v/>
      </c>
      <c r="AD1286" s="32">
        <f>IF($A1286=1,IF(Supplier_Invoices!$T16="","",Supplier_Invoices!$T16),"")</f>
        <v/>
      </c>
      <c r="AE1286" s="32">
        <f>IF($A1286=1,0,"")</f>
        <v/>
      </c>
      <c r="AF1286" s="32" t="inlineStr"/>
    </row>
    <row r="1287">
      <c r="A1287" s="32">
        <f>IF(AND(Supplier_Invoices!$AD16=1,Supplier_Invoices!$L16&lt;&gt;"",Supplier_Invoices!$V16&lt;&gt;"CN",N(Supplier_Invoices!$W16)&gt;0),1,0)</f>
        <v/>
      </c>
      <c r="B1287" s="32">
        <f>IF($A1287=1,$E1287&amp;"/4","")</f>
        <v/>
      </c>
      <c r="C1287" s="32">
        <f>IF($A1287=1,"J-"&amp;Supplier_Invoices!$A16,"")</f>
        <v/>
      </c>
      <c r="D1287" s="33">
        <f>IF($A1287=1,Supplier_Invoices!$E16,"")</f>
        <v/>
      </c>
      <c r="E1287" s="32">
        <f>IF($A1287=1,IF(Supplier_Invoices!$A16="","",Supplier_Invoices!$A16),"")</f>
        <v/>
      </c>
      <c r="F1287" s="32">
        <f>IF($A1287=1,"SINV","")</f>
        <v/>
      </c>
      <c r="G1287" s="32">
        <f>IF($A1287=1,ACC_SUPPLIERS,"")</f>
        <v/>
      </c>
      <c r="H1287" s="32">
        <f>IF($A1287=1,IF(COUNTIF(COA!$A:$A,$G1287)=0,"حساب غير معرف",INDEX(COA!$B:$B,MATCH($G1287,COA!$A:$A,0))),"")</f>
        <v/>
      </c>
      <c r="I1287" s="32">
        <f>IF($A1287=1,IF(Supplier_Invoices!$H16="","",Supplier_Invoices!$H16),"")</f>
        <v/>
      </c>
      <c r="J1287" s="32">
        <f>IF($A1287=1,"CC00","")</f>
        <v/>
      </c>
      <c r="K1287" s="32">
        <f>IF($A1287=1,IF(Supplier_Invoices!$C16="","",Supplier_Invoices!$C16),"")</f>
        <v/>
      </c>
      <c r="L1287" s="32">
        <f>IF($A1287=1,"سداد فوري - "&amp;Supplier_Invoices!$F16&amp;" "&amp;Supplier_Invoices!$B16&amp;" - "&amp;Supplier_Invoices!$C16,"")</f>
        <v/>
      </c>
      <c r="M1287" s="43">
        <f>IF($A1287=1,Supplier_Invoices!$W16,"")</f>
        <v/>
      </c>
      <c r="N1287" s="43">
        <f>IF($A1287=1,0,"")</f>
        <v/>
      </c>
      <c r="O1287" s="32">
        <f>IF($A1287=1,Supplier_Invoices!$O16,"")</f>
        <v/>
      </c>
      <c r="P1287" s="32">
        <f>IF($A1287=1,IF(Supplier_Invoices!$AE16="","",Supplier_Invoices!$AE16),"")</f>
        <v/>
      </c>
      <c r="Q1287" s="32">
        <f>IF($A1287=1,Supplier_Invoices!$AG16,"")</f>
        <v/>
      </c>
      <c r="R1287" s="32">
        <f>IF($A1287=1,IF(AND($Q1287=1,COUNTIFS(COA!$A:$A,$G1287,COA!$R:$R,1)=1),1,0),"")</f>
        <v/>
      </c>
      <c r="S1287" s="43">
        <f>IF($A1287=1,IF($R1287=1,N($M1287),0),"")</f>
        <v/>
      </c>
      <c r="T1287" s="43">
        <f>IF($A1287=1,IF($R1287=1,N($N1287),0),"")</f>
        <v/>
      </c>
      <c r="U1287" s="32">
        <f>IF($A1287=1,YEAR($D1287)*100+MONTH($D1287),"")</f>
        <v/>
      </c>
      <c r="V1287" s="32">
        <f>IF($A1287=1,IF(COUNTIF(COA!$A:$A,$G1287)=0,0,INDEX(COA!$H:$H,MATCH($G1287,COA!$A:$A,0))),"")</f>
        <v/>
      </c>
      <c r="W1287" s="32">
        <f>IF($A1287=1,"","")</f>
        <v/>
      </c>
      <c r="X1287" s="32">
        <f>IF($A1287=1,IF($R1287=1,"",IF($O1287=ST_POST,IF($P1287&lt;&gt;"",$P1287,"حساب غير صالح أو غير نشط"),IF($O1287=ST_REV,"معكوس: لا أثر على الدفاتر",IF($O1287=ST_CANC,"ملغى",IF($O1287=ST_APPR,"معتمد ولم يُرحَّل","مسودة"))))),"")</f>
        <v/>
      </c>
      <c r="Y1287" s="32">
        <f>IF($A1287=1,IF(AND($R1287=1,OR(LG_Acct="",$G1287=LG_Acct),OR(LG_Party="",$K1287=LG_Party),OR(LG_Loc="ALL",$I1287=LG_Loc),OR(LG_CC="ALL",$J1287=LG_CC),$D1287&gt;=LG_From,$D1287&lt;=LG_To),$D1287+ROW()/1000000,""),"")</f>
        <v/>
      </c>
      <c r="Z1287" s="32">
        <f>IF($A1287=1,IF(Supplier_Invoices!$P16="","",Supplier_Invoices!$P16),"")</f>
        <v/>
      </c>
      <c r="AA1287" s="32">
        <f>IF($A1287=1,IF(Supplier_Invoices!$Q16="","",Supplier_Invoices!$Q16),"")</f>
        <v/>
      </c>
      <c r="AB1287" s="32">
        <f>IF($A1287=1,IF(Supplier_Invoices!$R16="","",Supplier_Invoices!$R16),"")</f>
        <v/>
      </c>
      <c r="AC1287" s="32">
        <f>IF($A1287=1,IF(Supplier_Invoices!$S16="","",Supplier_Invoices!$S16),"")</f>
        <v/>
      </c>
      <c r="AD1287" s="32">
        <f>IF($A1287=1,IF(Supplier_Invoices!$T16="","",Supplier_Invoices!$T16),"")</f>
        <v/>
      </c>
      <c r="AE1287" s="32">
        <f>IF($A1287=1,0,"")</f>
        <v/>
      </c>
      <c r="AF1287" s="32" t="inlineStr"/>
    </row>
    <row r="1288">
      <c r="A1288" s="32">
        <f>IF(AND(Supplier_Invoices!$AD16=1,Supplier_Invoices!$L16&lt;&gt;"",Supplier_Invoices!$V16&lt;&gt;"CN",N(Supplier_Invoices!$W16)&gt;0),1,0)</f>
        <v/>
      </c>
      <c r="B1288" s="32">
        <f>IF($A1288=1,$E1288&amp;"/5","")</f>
        <v/>
      </c>
      <c r="C1288" s="32">
        <f>IF($A1288=1,"J-"&amp;Supplier_Invoices!$A16,"")</f>
        <v/>
      </c>
      <c r="D1288" s="33">
        <f>IF($A1288=1,Supplier_Invoices!$E16,"")</f>
        <v/>
      </c>
      <c r="E1288" s="32">
        <f>IF($A1288=1,IF(Supplier_Invoices!$A16="","",Supplier_Invoices!$A16),"")</f>
        <v/>
      </c>
      <c r="F1288" s="32">
        <f>IF($A1288=1,"SINV","")</f>
        <v/>
      </c>
      <c r="G1288" s="32">
        <f>IF($A1288=1,IF(Supplier_Invoices!$AA16="","",Supplier_Invoices!$AA16),"")</f>
        <v/>
      </c>
      <c r="H1288" s="32">
        <f>IF($A1288=1,IF(COUNTIF(COA!$A:$A,$G1288)=0,"حساب غير معرف",INDEX(COA!$B:$B,MATCH($G1288,COA!$A:$A,0))),"")</f>
        <v/>
      </c>
      <c r="I1288" s="32">
        <f>IF($A1288=1,IF(Supplier_Invoices!$H16="","",Supplier_Invoices!$H16),"")</f>
        <v/>
      </c>
      <c r="J1288" s="32">
        <f>IF($A1288=1,"CC00","")</f>
        <v/>
      </c>
      <c r="K1288" s="32">
        <f>IF($A1288=1,"-","")</f>
        <v/>
      </c>
      <c r="L1288" s="32">
        <f>IF($A1288=1,"سداد فوري - "&amp;Supplier_Invoices!$F16&amp;" "&amp;Supplier_Invoices!$B16&amp;" - "&amp;Supplier_Invoices!$C16,"")</f>
        <v/>
      </c>
      <c r="M1288" s="43">
        <f>IF($A1288=1,0,"")</f>
        <v/>
      </c>
      <c r="N1288" s="43">
        <f>IF($A1288=1,Supplier_Invoices!$W16,"")</f>
        <v/>
      </c>
      <c r="O1288" s="32">
        <f>IF($A1288=1,Supplier_Invoices!$O16,"")</f>
        <v/>
      </c>
      <c r="P1288" s="32">
        <f>IF($A1288=1,IF(Supplier_Invoices!$AE16="","",Supplier_Invoices!$AE16),"")</f>
        <v/>
      </c>
      <c r="Q1288" s="32">
        <f>IF($A1288=1,Supplier_Invoices!$AG16,"")</f>
        <v/>
      </c>
      <c r="R1288" s="32">
        <f>IF($A1288=1,IF(AND($Q1288=1,COUNTIFS(COA!$A:$A,$G1288,COA!$R:$R,1)=1),1,0),"")</f>
        <v/>
      </c>
      <c r="S1288" s="43">
        <f>IF($A1288=1,IF($R1288=1,N($M1288),0),"")</f>
        <v/>
      </c>
      <c r="T1288" s="43">
        <f>IF($A1288=1,IF($R1288=1,N($N1288),0),"")</f>
        <v/>
      </c>
      <c r="U1288" s="32">
        <f>IF($A1288=1,YEAR($D1288)*100+MONTH($D1288),"")</f>
        <v/>
      </c>
      <c r="V1288" s="32">
        <f>IF($A1288=1,IF(COUNTIF(COA!$A:$A,$G1288)=0,0,INDEX(COA!$H:$H,MATCH($G1288,COA!$A:$A,0))),"")</f>
        <v/>
      </c>
      <c r="W1288" s="32">
        <f>IF($A1288=1,IF(Supplier_Invoices!$AB16="","",Supplier_Invoices!$AB16),"")</f>
        <v/>
      </c>
      <c r="X1288" s="32">
        <f>IF($A1288=1,IF($R1288=1,"",IF($O1288=ST_POST,IF($P1288&lt;&gt;"",$P1288,"حساب غير صالح أو غير نشط"),IF($O1288=ST_REV,"معكوس: لا أثر على الدفاتر",IF($O1288=ST_CANC,"ملغى",IF($O1288=ST_APPR,"معتمد ولم يُرحَّل","مسودة"))))),"")</f>
        <v/>
      </c>
      <c r="Y1288" s="32">
        <f>IF($A1288=1,IF(AND($R1288=1,OR(LG_Acct="",$G1288=LG_Acct),OR(LG_Party="",$K1288=LG_Party),OR(LG_Loc="ALL",$I1288=LG_Loc),OR(LG_CC="ALL",$J1288=LG_CC),$D1288&gt;=LG_From,$D1288&lt;=LG_To),$D1288+ROW()/1000000,""),"")</f>
        <v/>
      </c>
      <c r="Z1288" s="32">
        <f>IF($A1288=1,IF(Supplier_Invoices!$P16="","",Supplier_Invoices!$P16),"")</f>
        <v/>
      </c>
      <c r="AA1288" s="32">
        <f>IF($A1288=1,IF(Supplier_Invoices!$Q16="","",Supplier_Invoices!$Q16),"")</f>
        <v/>
      </c>
      <c r="AB1288" s="32">
        <f>IF($A1288=1,IF(Supplier_Invoices!$R16="","",Supplier_Invoices!$R16),"")</f>
        <v/>
      </c>
      <c r="AC1288" s="32">
        <f>IF($A1288=1,IF(Supplier_Invoices!$S16="","",Supplier_Invoices!$S16),"")</f>
        <v/>
      </c>
      <c r="AD1288" s="32">
        <f>IF($A1288=1,IF(Supplier_Invoices!$T16="","",Supplier_Invoices!$T16),"")</f>
        <v/>
      </c>
      <c r="AE1288" s="32">
        <f>IF($A1288=1,0,"")</f>
        <v/>
      </c>
      <c r="AF1288" s="32" t="inlineStr"/>
    </row>
    <row r="1289">
      <c r="A1289" s="32">
        <f>IF(AND(Supplier_Invoices!$AD17=1,N(Supplier_Invoices!$J17)&gt;0),1,0)</f>
        <v/>
      </c>
      <c r="B1289" s="32">
        <f>IF($A1289=1,$E1289&amp;"/1","")</f>
        <v/>
      </c>
      <c r="C1289" s="32">
        <f>IF($A1289=1,"J-"&amp;Supplier_Invoices!$A17,"")</f>
        <v/>
      </c>
      <c r="D1289" s="33">
        <f>IF($A1289=1,Supplier_Invoices!$E17,"")</f>
        <v/>
      </c>
      <c r="E1289" s="32">
        <f>IF($A1289=1,IF(Supplier_Invoices!$A17="","",Supplier_Invoices!$A17),"")</f>
        <v/>
      </c>
      <c r="F1289" s="32">
        <f>IF($A1289=1,"SINV","")</f>
        <v/>
      </c>
      <c r="G1289" s="32">
        <f>IF($A1289=1,IF(Supplier_Invoices!$G17="","",Supplier_Invoices!$G17),"")</f>
        <v/>
      </c>
      <c r="H1289" s="32">
        <f>IF($A1289=1,IF(COUNTIF(COA!$A:$A,$G1289)=0,"حساب غير معرف",INDEX(COA!$B:$B,MATCH($G1289,COA!$A:$A,0))),"")</f>
        <v/>
      </c>
      <c r="I1289" s="32">
        <f>IF($A1289=1,IF(Supplier_Invoices!$H17="","",Supplier_Invoices!$H17),"")</f>
        <v/>
      </c>
      <c r="J1289" s="32">
        <f>IF($A1289=1,IF(Supplier_Invoices!$I17="","",Supplier_Invoices!$I17),"")</f>
        <v/>
      </c>
      <c r="K1289" s="32">
        <f>IF($A1289=1,"-","")</f>
        <v/>
      </c>
      <c r="L1289" s="32">
        <f>IF($A1289=1,Supplier_Invoices!$F17&amp;" "&amp;Supplier_Invoices!$B17&amp;" - "&amp;Supplier_Invoices!$C17,"")</f>
        <v/>
      </c>
      <c r="M1289" s="43">
        <f>IF($A1289=1,IF(Supplier_Invoices!$V17="CN",0,Supplier_Invoices!$J17),"")</f>
        <v/>
      </c>
      <c r="N1289" s="43">
        <f>IF($A1289=1,IF(Supplier_Invoices!$V17="CN",Supplier_Invoices!$J17,0),"")</f>
        <v/>
      </c>
      <c r="O1289" s="32">
        <f>IF($A1289=1,Supplier_Invoices!$O17,"")</f>
        <v/>
      </c>
      <c r="P1289" s="32">
        <f>IF($A1289=1,IF(Supplier_Invoices!$AE17="","",Supplier_Invoices!$AE17),"")</f>
        <v/>
      </c>
      <c r="Q1289" s="32">
        <f>IF($A1289=1,Supplier_Invoices!$AG17,"")</f>
        <v/>
      </c>
      <c r="R1289" s="32">
        <f>IF($A1289=1,IF(AND($Q1289=1,COUNTIFS(COA!$A:$A,$G1289,COA!$R:$R,1)=1),1,0),"")</f>
        <v/>
      </c>
      <c r="S1289" s="43">
        <f>IF($A1289=1,IF($R1289=1,N($M1289),0),"")</f>
        <v/>
      </c>
      <c r="T1289" s="43">
        <f>IF($A1289=1,IF($R1289=1,N($N1289),0),"")</f>
        <v/>
      </c>
      <c r="U1289" s="32">
        <f>IF($A1289=1,YEAR($D1289)*100+MONTH($D1289),"")</f>
        <v/>
      </c>
      <c r="V1289" s="32">
        <f>IF($A1289=1,IF(COUNTIF(COA!$A:$A,$G1289)=0,0,INDEX(COA!$H:$H,MATCH($G1289,COA!$A:$A,0))),"")</f>
        <v/>
      </c>
      <c r="W1289" s="32">
        <f>IF($A1289=1,"","")</f>
        <v/>
      </c>
      <c r="X1289" s="32">
        <f>IF($A1289=1,IF($R1289=1,"",IF($O1289=ST_POST,IF($P1289&lt;&gt;"",$P1289,"حساب غير صالح أو غير نشط"),IF($O1289=ST_REV,"معكوس: لا أثر على الدفاتر",IF($O1289=ST_CANC,"ملغى",IF($O1289=ST_APPR,"معتمد ولم يُرحَّل","مسودة"))))),"")</f>
        <v/>
      </c>
      <c r="Y1289" s="32">
        <f>IF($A1289=1,IF(AND($R1289=1,OR(LG_Acct="",$G1289=LG_Acct),OR(LG_Party="",$K1289=LG_Party),OR(LG_Loc="ALL",$I1289=LG_Loc),OR(LG_CC="ALL",$J1289=LG_CC),$D1289&gt;=LG_From,$D1289&lt;=LG_To),$D1289+ROW()/1000000,""),"")</f>
        <v/>
      </c>
      <c r="Z1289" s="32">
        <f>IF($A1289=1,IF(Supplier_Invoices!$P17="","",Supplier_Invoices!$P17),"")</f>
        <v/>
      </c>
      <c r="AA1289" s="32">
        <f>IF($A1289=1,IF(Supplier_Invoices!$Q17="","",Supplier_Invoices!$Q17),"")</f>
        <v/>
      </c>
      <c r="AB1289" s="32">
        <f>IF($A1289=1,IF(Supplier_Invoices!$R17="","",Supplier_Invoices!$R17),"")</f>
        <v/>
      </c>
      <c r="AC1289" s="32">
        <f>IF($A1289=1,IF(Supplier_Invoices!$S17="","",Supplier_Invoices!$S17),"")</f>
        <v/>
      </c>
      <c r="AD1289" s="32">
        <f>IF($A1289=1,IF(Supplier_Invoices!$T17="","",Supplier_Invoices!$T17),"")</f>
        <v/>
      </c>
      <c r="AE1289" s="32">
        <f>IF($A1289=1,0,"")</f>
        <v/>
      </c>
      <c r="AF1289" s="32" t="inlineStr"/>
    </row>
    <row r="1290">
      <c r="A1290" s="32">
        <f>IF(AND(Supplier_Invoices!$AD17=1,N(Supplier_Invoices!$K17)&gt;0),1,0)</f>
        <v/>
      </c>
      <c r="B1290" s="32">
        <f>IF($A1290=1,$E1290&amp;"/2","")</f>
        <v/>
      </c>
      <c r="C1290" s="32">
        <f>IF($A1290=1,"J-"&amp;Supplier_Invoices!$A17,"")</f>
        <v/>
      </c>
      <c r="D1290" s="33">
        <f>IF($A1290=1,Supplier_Invoices!$E17,"")</f>
        <v/>
      </c>
      <c r="E1290" s="32">
        <f>IF($A1290=1,IF(Supplier_Invoices!$A17="","",Supplier_Invoices!$A17),"")</f>
        <v/>
      </c>
      <c r="F1290" s="32">
        <f>IF($A1290=1,"SINV","")</f>
        <v/>
      </c>
      <c r="G1290" s="32">
        <f>IF($A1290=1,ACC_VAT_IN,"")</f>
        <v/>
      </c>
      <c r="H1290" s="32">
        <f>IF($A1290=1,IF(COUNTIF(COA!$A:$A,$G1290)=0,"حساب غير معرف",INDEX(COA!$B:$B,MATCH($G1290,COA!$A:$A,0))),"")</f>
        <v/>
      </c>
      <c r="I1290" s="32">
        <f>IF($A1290=1,IF(Supplier_Invoices!$H17="","",Supplier_Invoices!$H17),"")</f>
        <v/>
      </c>
      <c r="J1290" s="32">
        <f>IF($A1290=1,IF(Supplier_Invoices!$I17="","",Supplier_Invoices!$I17),"")</f>
        <v/>
      </c>
      <c r="K1290" s="32">
        <f>IF($A1290=1,"-","")</f>
        <v/>
      </c>
      <c r="L1290" s="32">
        <f>IF($A1290=1,"ضريبة قيمة مضافة - مدخلات","")</f>
        <v/>
      </c>
      <c r="M1290" s="43">
        <f>IF($A1290=1,IF(Supplier_Invoices!$V17="CN",0,Supplier_Invoices!$K17),"")</f>
        <v/>
      </c>
      <c r="N1290" s="43">
        <f>IF($A1290=1,IF(Supplier_Invoices!$V17="CN",Supplier_Invoices!$K17,0),"")</f>
        <v/>
      </c>
      <c r="O1290" s="32">
        <f>IF($A1290=1,Supplier_Invoices!$O17,"")</f>
        <v/>
      </c>
      <c r="P1290" s="32">
        <f>IF($A1290=1,IF(Supplier_Invoices!$AE17="","",Supplier_Invoices!$AE17),"")</f>
        <v/>
      </c>
      <c r="Q1290" s="32">
        <f>IF($A1290=1,Supplier_Invoices!$AG17,"")</f>
        <v/>
      </c>
      <c r="R1290" s="32">
        <f>IF($A1290=1,IF(AND($Q1290=1,COUNTIFS(COA!$A:$A,$G1290,COA!$R:$R,1)=1),1,0),"")</f>
        <v/>
      </c>
      <c r="S1290" s="43">
        <f>IF($A1290=1,IF($R1290=1,N($M1290),0),"")</f>
        <v/>
      </c>
      <c r="T1290" s="43">
        <f>IF($A1290=1,IF($R1290=1,N($N1290),0),"")</f>
        <v/>
      </c>
      <c r="U1290" s="32">
        <f>IF($A1290=1,YEAR($D1290)*100+MONTH($D1290),"")</f>
        <v/>
      </c>
      <c r="V1290" s="32">
        <f>IF($A1290=1,IF(COUNTIF(COA!$A:$A,$G1290)=0,0,INDEX(COA!$H:$H,MATCH($G1290,COA!$A:$A,0))),"")</f>
        <v/>
      </c>
      <c r="W1290" s="32">
        <f>IF($A1290=1,"","")</f>
        <v/>
      </c>
      <c r="X1290" s="32">
        <f>IF($A1290=1,IF($R1290=1,"",IF($O1290=ST_POST,IF($P1290&lt;&gt;"",$P1290,"حساب غير صالح أو غير نشط"),IF($O1290=ST_REV,"معكوس: لا أثر على الدفاتر",IF($O1290=ST_CANC,"ملغى",IF($O1290=ST_APPR,"معتمد ولم يُرحَّل","مسودة"))))),"")</f>
        <v/>
      </c>
      <c r="Y1290" s="32">
        <f>IF($A1290=1,IF(AND($R1290=1,OR(LG_Acct="",$G1290=LG_Acct),OR(LG_Party="",$K1290=LG_Party),OR(LG_Loc="ALL",$I1290=LG_Loc),OR(LG_CC="ALL",$J1290=LG_CC),$D1290&gt;=LG_From,$D1290&lt;=LG_To),$D1290+ROW()/1000000,""),"")</f>
        <v/>
      </c>
      <c r="Z1290" s="32">
        <f>IF($A1290=1,IF(Supplier_Invoices!$P17="","",Supplier_Invoices!$P17),"")</f>
        <v/>
      </c>
      <c r="AA1290" s="32">
        <f>IF($A1290=1,IF(Supplier_Invoices!$Q17="","",Supplier_Invoices!$Q17),"")</f>
        <v/>
      </c>
      <c r="AB1290" s="32">
        <f>IF($A1290=1,IF(Supplier_Invoices!$R17="","",Supplier_Invoices!$R17),"")</f>
        <v/>
      </c>
      <c r="AC1290" s="32">
        <f>IF($A1290=1,IF(Supplier_Invoices!$S17="","",Supplier_Invoices!$S17),"")</f>
        <v/>
      </c>
      <c r="AD1290" s="32">
        <f>IF($A1290=1,IF(Supplier_Invoices!$T17="","",Supplier_Invoices!$T17),"")</f>
        <v/>
      </c>
      <c r="AE1290" s="32">
        <f>IF($A1290=1,0,"")</f>
        <v/>
      </c>
      <c r="AF1290" s="32" t="inlineStr"/>
    </row>
    <row r="1291">
      <c r="A1291" s="32">
        <f>IF(AND(Supplier_Invoices!$AD17=1,N(Supplier_Invoices!$W17)&gt;0),1,0)</f>
        <v/>
      </c>
      <c r="B1291" s="32">
        <f>IF($A1291=1,$E1291&amp;"/3","")</f>
        <v/>
      </c>
      <c r="C1291" s="32">
        <f>IF($A1291=1,"J-"&amp;Supplier_Invoices!$A17,"")</f>
        <v/>
      </c>
      <c r="D1291" s="33">
        <f>IF($A1291=1,Supplier_Invoices!$E17,"")</f>
        <v/>
      </c>
      <c r="E1291" s="32">
        <f>IF($A1291=1,IF(Supplier_Invoices!$A17="","",Supplier_Invoices!$A17),"")</f>
        <v/>
      </c>
      <c r="F1291" s="32">
        <f>IF($A1291=1,"SINV","")</f>
        <v/>
      </c>
      <c r="G1291" s="32">
        <f>IF($A1291=1,ACC_SUPPLIERS,"")</f>
        <v/>
      </c>
      <c r="H1291" s="32">
        <f>IF($A1291=1,IF(COUNTIF(COA!$A:$A,$G1291)=0,"حساب غير معرف",INDEX(COA!$B:$B,MATCH($G1291,COA!$A:$A,0))),"")</f>
        <v/>
      </c>
      <c r="I1291" s="32">
        <f>IF($A1291=1,IF(Supplier_Invoices!$H17="","",Supplier_Invoices!$H17),"")</f>
        <v/>
      </c>
      <c r="J1291" s="32">
        <f>IF($A1291=1,"CC00","")</f>
        <v/>
      </c>
      <c r="K1291" s="32">
        <f>IF($A1291=1,IF(Supplier_Invoices!$C17="","",Supplier_Invoices!$C17),"")</f>
        <v/>
      </c>
      <c r="L1291" s="32">
        <f>IF($A1291=1,Supplier_Invoices!$F17&amp;" "&amp;Supplier_Invoices!$B17&amp;" - "&amp;Supplier_Invoices!$C17,"")</f>
        <v/>
      </c>
      <c r="M1291" s="43">
        <f>IF($A1291=1,IF(Supplier_Invoices!$V17="CN",Supplier_Invoices!$W17,0),"")</f>
        <v/>
      </c>
      <c r="N1291" s="43">
        <f>IF($A1291=1,IF(Supplier_Invoices!$V17="CN",0,Supplier_Invoices!$W17),"")</f>
        <v/>
      </c>
      <c r="O1291" s="32">
        <f>IF($A1291=1,Supplier_Invoices!$O17,"")</f>
        <v/>
      </c>
      <c r="P1291" s="32">
        <f>IF($A1291=1,IF(Supplier_Invoices!$AE17="","",Supplier_Invoices!$AE17),"")</f>
        <v/>
      </c>
      <c r="Q1291" s="32">
        <f>IF($A1291=1,Supplier_Invoices!$AG17,"")</f>
        <v/>
      </c>
      <c r="R1291" s="32">
        <f>IF($A1291=1,IF(AND($Q1291=1,COUNTIFS(COA!$A:$A,$G1291,COA!$R:$R,1)=1),1,0),"")</f>
        <v/>
      </c>
      <c r="S1291" s="43">
        <f>IF($A1291=1,IF($R1291=1,N($M1291),0),"")</f>
        <v/>
      </c>
      <c r="T1291" s="43">
        <f>IF($A1291=1,IF($R1291=1,N($N1291),0),"")</f>
        <v/>
      </c>
      <c r="U1291" s="32">
        <f>IF($A1291=1,YEAR($D1291)*100+MONTH($D1291),"")</f>
        <v/>
      </c>
      <c r="V1291" s="32">
        <f>IF($A1291=1,IF(COUNTIF(COA!$A:$A,$G1291)=0,0,INDEX(COA!$H:$H,MATCH($G1291,COA!$A:$A,0))),"")</f>
        <v/>
      </c>
      <c r="W1291" s="32">
        <f>IF($A1291=1,"","")</f>
        <v/>
      </c>
      <c r="X1291" s="32">
        <f>IF($A1291=1,IF($R1291=1,"",IF($O1291=ST_POST,IF($P1291&lt;&gt;"",$P1291,"حساب غير صالح أو غير نشط"),IF($O1291=ST_REV,"معكوس: لا أثر على الدفاتر",IF($O1291=ST_CANC,"ملغى",IF($O1291=ST_APPR,"معتمد ولم يُرحَّل","مسودة"))))),"")</f>
        <v/>
      </c>
      <c r="Y1291" s="32">
        <f>IF($A1291=1,IF(AND($R1291=1,OR(LG_Acct="",$G1291=LG_Acct),OR(LG_Party="",$K1291=LG_Party),OR(LG_Loc="ALL",$I1291=LG_Loc),OR(LG_CC="ALL",$J1291=LG_CC),$D1291&gt;=LG_From,$D1291&lt;=LG_To),$D1291+ROW()/1000000,""),"")</f>
        <v/>
      </c>
      <c r="Z1291" s="32">
        <f>IF($A1291=1,IF(Supplier_Invoices!$P17="","",Supplier_Invoices!$P17),"")</f>
        <v/>
      </c>
      <c r="AA1291" s="32">
        <f>IF($A1291=1,IF(Supplier_Invoices!$Q17="","",Supplier_Invoices!$Q17),"")</f>
        <v/>
      </c>
      <c r="AB1291" s="32">
        <f>IF($A1291=1,IF(Supplier_Invoices!$R17="","",Supplier_Invoices!$R17),"")</f>
        <v/>
      </c>
      <c r="AC1291" s="32">
        <f>IF($A1291=1,IF(Supplier_Invoices!$S17="","",Supplier_Invoices!$S17),"")</f>
        <v/>
      </c>
      <c r="AD1291" s="32">
        <f>IF($A1291=1,IF(Supplier_Invoices!$T17="","",Supplier_Invoices!$T17),"")</f>
        <v/>
      </c>
      <c r="AE1291" s="32">
        <f>IF($A1291=1,0,"")</f>
        <v/>
      </c>
      <c r="AF1291" s="32" t="inlineStr"/>
    </row>
    <row r="1292">
      <c r="A1292" s="32">
        <f>IF(AND(Supplier_Invoices!$AD17=1,Supplier_Invoices!$L17&lt;&gt;"",Supplier_Invoices!$V17&lt;&gt;"CN",N(Supplier_Invoices!$W17)&gt;0),1,0)</f>
        <v/>
      </c>
      <c r="B1292" s="32">
        <f>IF($A1292=1,$E1292&amp;"/4","")</f>
        <v/>
      </c>
      <c r="C1292" s="32">
        <f>IF($A1292=1,"J-"&amp;Supplier_Invoices!$A17,"")</f>
        <v/>
      </c>
      <c r="D1292" s="33">
        <f>IF($A1292=1,Supplier_Invoices!$E17,"")</f>
        <v/>
      </c>
      <c r="E1292" s="32">
        <f>IF($A1292=1,IF(Supplier_Invoices!$A17="","",Supplier_Invoices!$A17),"")</f>
        <v/>
      </c>
      <c r="F1292" s="32">
        <f>IF($A1292=1,"SINV","")</f>
        <v/>
      </c>
      <c r="G1292" s="32">
        <f>IF($A1292=1,ACC_SUPPLIERS,"")</f>
        <v/>
      </c>
      <c r="H1292" s="32">
        <f>IF($A1292=1,IF(COUNTIF(COA!$A:$A,$G1292)=0,"حساب غير معرف",INDEX(COA!$B:$B,MATCH($G1292,COA!$A:$A,0))),"")</f>
        <v/>
      </c>
      <c r="I1292" s="32">
        <f>IF($A1292=1,IF(Supplier_Invoices!$H17="","",Supplier_Invoices!$H17),"")</f>
        <v/>
      </c>
      <c r="J1292" s="32">
        <f>IF($A1292=1,"CC00","")</f>
        <v/>
      </c>
      <c r="K1292" s="32">
        <f>IF($A1292=1,IF(Supplier_Invoices!$C17="","",Supplier_Invoices!$C17),"")</f>
        <v/>
      </c>
      <c r="L1292" s="32">
        <f>IF($A1292=1,"سداد فوري - "&amp;Supplier_Invoices!$F17&amp;" "&amp;Supplier_Invoices!$B17&amp;" - "&amp;Supplier_Invoices!$C17,"")</f>
        <v/>
      </c>
      <c r="M1292" s="43">
        <f>IF($A1292=1,Supplier_Invoices!$W17,"")</f>
        <v/>
      </c>
      <c r="N1292" s="43">
        <f>IF($A1292=1,0,"")</f>
        <v/>
      </c>
      <c r="O1292" s="32">
        <f>IF($A1292=1,Supplier_Invoices!$O17,"")</f>
        <v/>
      </c>
      <c r="P1292" s="32">
        <f>IF($A1292=1,IF(Supplier_Invoices!$AE17="","",Supplier_Invoices!$AE17),"")</f>
        <v/>
      </c>
      <c r="Q1292" s="32">
        <f>IF($A1292=1,Supplier_Invoices!$AG17,"")</f>
        <v/>
      </c>
      <c r="R1292" s="32">
        <f>IF($A1292=1,IF(AND($Q1292=1,COUNTIFS(COA!$A:$A,$G1292,COA!$R:$R,1)=1),1,0),"")</f>
        <v/>
      </c>
      <c r="S1292" s="43">
        <f>IF($A1292=1,IF($R1292=1,N($M1292),0),"")</f>
        <v/>
      </c>
      <c r="T1292" s="43">
        <f>IF($A1292=1,IF($R1292=1,N($N1292),0),"")</f>
        <v/>
      </c>
      <c r="U1292" s="32">
        <f>IF($A1292=1,YEAR($D1292)*100+MONTH($D1292),"")</f>
        <v/>
      </c>
      <c r="V1292" s="32">
        <f>IF($A1292=1,IF(COUNTIF(COA!$A:$A,$G1292)=0,0,INDEX(COA!$H:$H,MATCH($G1292,COA!$A:$A,0))),"")</f>
        <v/>
      </c>
      <c r="W1292" s="32">
        <f>IF($A1292=1,"","")</f>
        <v/>
      </c>
      <c r="X1292" s="32">
        <f>IF($A1292=1,IF($R1292=1,"",IF($O1292=ST_POST,IF($P1292&lt;&gt;"",$P1292,"حساب غير صالح أو غير نشط"),IF($O1292=ST_REV,"معكوس: لا أثر على الدفاتر",IF($O1292=ST_CANC,"ملغى",IF($O1292=ST_APPR,"معتمد ولم يُرحَّل","مسودة"))))),"")</f>
        <v/>
      </c>
      <c r="Y1292" s="32">
        <f>IF($A1292=1,IF(AND($R1292=1,OR(LG_Acct="",$G1292=LG_Acct),OR(LG_Party="",$K1292=LG_Party),OR(LG_Loc="ALL",$I1292=LG_Loc),OR(LG_CC="ALL",$J1292=LG_CC),$D1292&gt;=LG_From,$D1292&lt;=LG_To),$D1292+ROW()/1000000,""),"")</f>
        <v/>
      </c>
      <c r="Z1292" s="32">
        <f>IF($A1292=1,IF(Supplier_Invoices!$P17="","",Supplier_Invoices!$P17),"")</f>
        <v/>
      </c>
      <c r="AA1292" s="32">
        <f>IF($A1292=1,IF(Supplier_Invoices!$Q17="","",Supplier_Invoices!$Q17),"")</f>
        <v/>
      </c>
      <c r="AB1292" s="32">
        <f>IF($A1292=1,IF(Supplier_Invoices!$R17="","",Supplier_Invoices!$R17),"")</f>
        <v/>
      </c>
      <c r="AC1292" s="32">
        <f>IF($A1292=1,IF(Supplier_Invoices!$S17="","",Supplier_Invoices!$S17),"")</f>
        <v/>
      </c>
      <c r="AD1292" s="32">
        <f>IF($A1292=1,IF(Supplier_Invoices!$T17="","",Supplier_Invoices!$T17),"")</f>
        <v/>
      </c>
      <c r="AE1292" s="32">
        <f>IF($A1292=1,0,"")</f>
        <v/>
      </c>
      <c r="AF1292" s="32" t="inlineStr"/>
    </row>
    <row r="1293">
      <c r="A1293" s="32">
        <f>IF(AND(Supplier_Invoices!$AD17=1,Supplier_Invoices!$L17&lt;&gt;"",Supplier_Invoices!$V17&lt;&gt;"CN",N(Supplier_Invoices!$W17)&gt;0),1,0)</f>
        <v/>
      </c>
      <c r="B1293" s="32">
        <f>IF($A1293=1,$E1293&amp;"/5","")</f>
        <v/>
      </c>
      <c r="C1293" s="32">
        <f>IF($A1293=1,"J-"&amp;Supplier_Invoices!$A17,"")</f>
        <v/>
      </c>
      <c r="D1293" s="33">
        <f>IF($A1293=1,Supplier_Invoices!$E17,"")</f>
        <v/>
      </c>
      <c r="E1293" s="32">
        <f>IF($A1293=1,IF(Supplier_Invoices!$A17="","",Supplier_Invoices!$A17),"")</f>
        <v/>
      </c>
      <c r="F1293" s="32">
        <f>IF($A1293=1,"SINV","")</f>
        <v/>
      </c>
      <c r="G1293" s="32">
        <f>IF($A1293=1,IF(Supplier_Invoices!$AA17="","",Supplier_Invoices!$AA17),"")</f>
        <v/>
      </c>
      <c r="H1293" s="32">
        <f>IF($A1293=1,IF(COUNTIF(COA!$A:$A,$G1293)=0,"حساب غير معرف",INDEX(COA!$B:$B,MATCH($G1293,COA!$A:$A,0))),"")</f>
        <v/>
      </c>
      <c r="I1293" s="32">
        <f>IF($A1293=1,IF(Supplier_Invoices!$H17="","",Supplier_Invoices!$H17),"")</f>
        <v/>
      </c>
      <c r="J1293" s="32">
        <f>IF($A1293=1,"CC00","")</f>
        <v/>
      </c>
      <c r="K1293" s="32">
        <f>IF($A1293=1,"-","")</f>
        <v/>
      </c>
      <c r="L1293" s="32">
        <f>IF($A1293=1,"سداد فوري - "&amp;Supplier_Invoices!$F17&amp;" "&amp;Supplier_Invoices!$B17&amp;" - "&amp;Supplier_Invoices!$C17,"")</f>
        <v/>
      </c>
      <c r="M1293" s="43">
        <f>IF($A1293=1,0,"")</f>
        <v/>
      </c>
      <c r="N1293" s="43">
        <f>IF($A1293=1,Supplier_Invoices!$W17,"")</f>
        <v/>
      </c>
      <c r="O1293" s="32">
        <f>IF($A1293=1,Supplier_Invoices!$O17,"")</f>
        <v/>
      </c>
      <c r="P1293" s="32">
        <f>IF($A1293=1,IF(Supplier_Invoices!$AE17="","",Supplier_Invoices!$AE17),"")</f>
        <v/>
      </c>
      <c r="Q1293" s="32">
        <f>IF($A1293=1,Supplier_Invoices!$AG17,"")</f>
        <v/>
      </c>
      <c r="R1293" s="32">
        <f>IF($A1293=1,IF(AND($Q1293=1,COUNTIFS(COA!$A:$A,$G1293,COA!$R:$R,1)=1),1,0),"")</f>
        <v/>
      </c>
      <c r="S1293" s="43">
        <f>IF($A1293=1,IF($R1293=1,N($M1293),0),"")</f>
        <v/>
      </c>
      <c r="T1293" s="43">
        <f>IF($A1293=1,IF($R1293=1,N($N1293),0),"")</f>
        <v/>
      </c>
      <c r="U1293" s="32">
        <f>IF($A1293=1,YEAR($D1293)*100+MONTH($D1293),"")</f>
        <v/>
      </c>
      <c r="V1293" s="32">
        <f>IF($A1293=1,IF(COUNTIF(COA!$A:$A,$G1293)=0,0,INDEX(COA!$H:$H,MATCH($G1293,COA!$A:$A,0))),"")</f>
        <v/>
      </c>
      <c r="W1293" s="32">
        <f>IF($A1293=1,IF(Supplier_Invoices!$AB17="","",Supplier_Invoices!$AB17),"")</f>
        <v/>
      </c>
      <c r="X1293" s="32">
        <f>IF($A1293=1,IF($R1293=1,"",IF($O1293=ST_POST,IF($P1293&lt;&gt;"",$P1293,"حساب غير صالح أو غير نشط"),IF($O1293=ST_REV,"معكوس: لا أثر على الدفاتر",IF($O1293=ST_CANC,"ملغى",IF($O1293=ST_APPR,"معتمد ولم يُرحَّل","مسودة"))))),"")</f>
        <v/>
      </c>
      <c r="Y1293" s="32">
        <f>IF($A1293=1,IF(AND($R1293=1,OR(LG_Acct="",$G1293=LG_Acct),OR(LG_Party="",$K1293=LG_Party),OR(LG_Loc="ALL",$I1293=LG_Loc),OR(LG_CC="ALL",$J1293=LG_CC),$D1293&gt;=LG_From,$D1293&lt;=LG_To),$D1293+ROW()/1000000,""),"")</f>
        <v/>
      </c>
      <c r="Z1293" s="32">
        <f>IF($A1293=1,IF(Supplier_Invoices!$P17="","",Supplier_Invoices!$P17),"")</f>
        <v/>
      </c>
      <c r="AA1293" s="32">
        <f>IF($A1293=1,IF(Supplier_Invoices!$Q17="","",Supplier_Invoices!$Q17),"")</f>
        <v/>
      </c>
      <c r="AB1293" s="32">
        <f>IF($A1293=1,IF(Supplier_Invoices!$R17="","",Supplier_Invoices!$R17),"")</f>
        <v/>
      </c>
      <c r="AC1293" s="32">
        <f>IF($A1293=1,IF(Supplier_Invoices!$S17="","",Supplier_Invoices!$S17),"")</f>
        <v/>
      </c>
      <c r="AD1293" s="32">
        <f>IF($A1293=1,IF(Supplier_Invoices!$T17="","",Supplier_Invoices!$T17),"")</f>
        <v/>
      </c>
      <c r="AE1293" s="32">
        <f>IF($A1293=1,0,"")</f>
        <v/>
      </c>
      <c r="AF1293" s="32" t="inlineStr"/>
    </row>
    <row r="1294">
      <c r="A1294" s="32">
        <f>IF(AND(Supplier_Invoices!$AD18=1,N(Supplier_Invoices!$J18)&gt;0),1,0)</f>
        <v/>
      </c>
      <c r="B1294" s="32">
        <f>IF($A1294=1,$E1294&amp;"/1","")</f>
        <v/>
      </c>
      <c r="C1294" s="32">
        <f>IF($A1294=1,"J-"&amp;Supplier_Invoices!$A18,"")</f>
        <v/>
      </c>
      <c r="D1294" s="33">
        <f>IF($A1294=1,Supplier_Invoices!$E18,"")</f>
        <v/>
      </c>
      <c r="E1294" s="32">
        <f>IF($A1294=1,IF(Supplier_Invoices!$A18="","",Supplier_Invoices!$A18),"")</f>
        <v/>
      </c>
      <c r="F1294" s="32">
        <f>IF($A1294=1,"SINV","")</f>
        <v/>
      </c>
      <c r="G1294" s="32">
        <f>IF($A1294=1,IF(Supplier_Invoices!$G18="","",Supplier_Invoices!$G18),"")</f>
        <v/>
      </c>
      <c r="H1294" s="32">
        <f>IF($A1294=1,IF(COUNTIF(COA!$A:$A,$G1294)=0,"حساب غير معرف",INDEX(COA!$B:$B,MATCH($G1294,COA!$A:$A,0))),"")</f>
        <v/>
      </c>
      <c r="I1294" s="32">
        <f>IF($A1294=1,IF(Supplier_Invoices!$H18="","",Supplier_Invoices!$H18),"")</f>
        <v/>
      </c>
      <c r="J1294" s="32">
        <f>IF($A1294=1,IF(Supplier_Invoices!$I18="","",Supplier_Invoices!$I18),"")</f>
        <v/>
      </c>
      <c r="K1294" s="32">
        <f>IF($A1294=1,"-","")</f>
        <v/>
      </c>
      <c r="L1294" s="32">
        <f>IF($A1294=1,Supplier_Invoices!$F18&amp;" "&amp;Supplier_Invoices!$B18&amp;" - "&amp;Supplier_Invoices!$C18,"")</f>
        <v/>
      </c>
      <c r="M1294" s="43">
        <f>IF($A1294=1,IF(Supplier_Invoices!$V18="CN",0,Supplier_Invoices!$J18),"")</f>
        <v/>
      </c>
      <c r="N1294" s="43">
        <f>IF($A1294=1,IF(Supplier_Invoices!$V18="CN",Supplier_Invoices!$J18,0),"")</f>
        <v/>
      </c>
      <c r="O1294" s="32">
        <f>IF($A1294=1,Supplier_Invoices!$O18,"")</f>
        <v/>
      </c>
      <c r="P1294" s="32">
        <f>IF($A1294=1,IF(Supplier_Invoices!$AE18="","",Supplier_Invoices!$AE18),"")</f>
        <v/>
      </c>
      <c r="Q1294" s="32">
        <f>IF($A1294=1,Supplier_Invoices!$AG18,"")</f>
        <v/>
      </c>
      <c r="R1294" s="32">
        <f>IF($A1294=1,IF(AND($Q1294=1,COUNTIFS(COA!$A:$A,$G1294,COA!$R:$R,1)=1),1,0),"")</f>
        <v/>
      </c>
      <c r="S1294" s="43">
        <f>IF($A1294=1,IF($R1294=1,N($M1294),0),"")</f>
        <v/>
      </c>
      <c r="T1294" s="43">
        <f>IF($A1294=1,IF($R1294=1,N($N1294),0),"")</f>
        <v/>
      </c>
      <c r="U1294" s="32">
        <f>IF($A1294=1,YEAR($D1294)*100+MONTH($D1294),"")</f>
        <v/>
      </c>
      <c r="V1294" s="32">
        <f>IF($A1294=1,IF(COUNTIF(COA!$A:$A,$G1294)=0,0,INDEX(COA!$H:$H,MATCH($G1294,COA!$A:$A,0))),"")</f>
        <v/>
      </c>
      <c r="W1294" s="32">
        <f>IF($A1294=1,"","")</f>
        <v/>
      </c>
      <c r="X1294" s="32">
        <f>IF($A1294=1,IF($R1294=1,"",IF($O1294=ST_POST,IF($P1294&lt;&gt;"",$P1294,"حساب غير صالح أو غير نشط"),IF($O1294=ST_REV,"معكوس: لا أثر على الدفاتر",IF($O1294=ST_CANC,"ملغى",IF($O1294=ST_APPR,"معتمد ولم يُرحَّل","مسودة"))))),"")</f>
        <v/>
      </c>
      <c r="Y1294" s="32">
        <f>IF($A1294=1,IF(AND($R1294=1,OR(LG_Acct="",$G1294=LG_Acct),OR(LG_Party="",$K1294=LG_Party),OR(LG_Loc="ALL",$I1294=LG_Loc),OR(LG_CC="ALL",$J1294=LG_CC),$D1294&gt;=LG_From,$D1294&lt;=LG_To),$D1294+ROW()/1000000,""),"")</f>
        <v/>
      </c>
      <c r="Z1294" s="32">
        <f>IF($A1294=1,IF(Supplier_Invoices!$P18="","",Supplier_Invoices!$P18),"")</f>
        <v/>
      </c>
      <c r="AA1294" s="32">
        <f>IF($A1294=1,IF(Supplier_Invoices!$Q18="","",Supplier_Invoices!$Q18),"")</f>
        <v/>
      </c>
      <c r="AB1294" s="32">
        <f>IF($A1294=1,IF(Supplier_Invoices!$R18="","",Supplier_Invoices!$R18),"")</f>
        <v/>
      </c>
      <c r="AC1294" s="32">
        <f>IF($A1294=1,IF(Supplier_Invoices!$S18="","",Supplier_Invoices!$S18),"")</f>
        <v/>
      </c>
      <c r="AD1294" s="32">
        <f>IF($A1294=1,IF(Supplier_Invoices!$T18="","",Supplier_Invoices!$T18),"")</f>
        <v/>
      </c>
      <c r="AE1294" s="32">
        <f>IF($A1294=1,0,"")</f>
        <v/>
      </c>
      <c r="AF1294" s="32" t="inlineStr"/>
    </row>
    <row r="1295">
      <c r="A1295" s="32">
        <f>IF(AND(Supplier_Invoices!$AD18=1,N(Supplier_Invoices!$K18)&gt;0),1,0)</f>
        <v/>
      </c>
      <c r="B1295" s="32">
        <f>IF($A1295=1,$E1295&amp;"/2","")</f>
        <v/>
      </c>
      <c r="C1295" s="32">
        <f>IF($A1295=1,"J-"&amp;Supplier_Invoices!$A18,"")</f>
        <v/>
      </c>
      <c r="D1295" s="33">
        <f>IF($A1295=1,Supplier_Invoices!$E18,"")</f>
        <v/>
      </c>
      <c r="E1295" s="32">
        <f>IF($A1295=1,IF(Supplier_Invoices!$A18="","",Supplier_Invoices!$A18),"")</f>
        <v/>
      </c>
      <c r="F1295" s="32">
        <f>IF($A1295=1,"SINV","")</f>
        <v/>
      </c>
      <c r="G1295" s="32">
        <f>IF($A1295=1,ACC_VAT_IN,"")</f>
        <v/>
      </c>
      <c r="H1295" s="32">
        <f>IF($A1295=1,IF(COUNTIF(COA!$A:$A,$G1295)=0,"حساب غير معرف",INDEX(COA!$B:$B,MATCH($G1295,COA!$A:$A,0))),"")</f>
        <v/>
      </c>
      <c r="I1295" s="32">
        <f>IF($A1295=1,IF(Supplier_Invoices!$H18="","",Supplier_Invoices!$H18),"")</f>
        <v/>
      </c>
      <c r="J1295" s="32">
        <f>IF($A1295=1,IF(Supplier_Invoices!$I18="","",Supplier_Invoices!$I18),"")</f>
        <v/>
      </c>
      <c r="K1295" s="32">
        <f>IF($A1295=1,"-","")</f>
        <v/>
      </c>
      <c r="L1295" s="32">
        <f>IF($A1295=1,"ضريبة قيمة مضافة - مدخلات","")</f>
        <v/>
      </c>
      <c r="M1295" s="43">
        <f>IF($A1295=1,IF(Supplier_Invoices!$V18="CN",0,Supplier_Invoices!$K18),"")</f>
        <v/>
      </c>
      <c r="N1295" s="43">
        <f>IF($A1295=1,IF(Supplier_Invoices!$V18="CN",Supplier_Invoices!$K18,0),"")</f>
        <v/>
      </c>
      <c r="O1295" s="32">
        <f>IF($A1295=1,Supplier_Invoices!$O18,"")</f>
        <v/>
      </c>
      <c r="P1295" s="32">
        <f>IF($A1295=1,IF(Supplier_Invoices!$AE18="","",Supplier_Invoices!$AE18),"")</f>
        <v/>
      </c>
      <c r="Q1295" s="32">
        <f>IF($A1295=1,Supplier_Invoices!$AG18,"")</f>
        <v/>
      </c>
      <c r="R1295" s="32">
        <f>IF($A1295=1,IF(AND($Q1295=1,COUNTIFS(COA!$A:$A,$G1295,COA!$R:$R,1)=1),1,0),"")</f>
        <v/>
      </c>
      <c r="S1295" s="43">
        <f>IF($A1295=1,IF($R1295=1,N($M1295),0),"")</f>
        <v/>
      </c>
      <c r="T1295" s="43">
        <f>IF($A1295=1,IF($R1295=1,N($N1295),0),"")</f>
        <v/>
      </c>
      <c r="U1295" s="32">
        <f>IF($A1295=1,YEAR($D1295)*100+MONTH($D1295),"")</f>
        <v/>
      </c>
      <c r="V1295" s="32">
        <f>IF($A1295=1,IF(COUNTIF(COA!$A:$A,$G1295)=0,0,INDEX(COA!$H:$H,MATCH($G1295,COA!$A:$A,0))),"")</f>
        <v/>
      </c>
      <c r="W1295" s="32">
        <f>IF($A1295=1,"","")</f>
        <v/>
      </c>
      <c r="X1295" s="32">
        <f>IF($A1295=1,IF($R1295=1,"",IF($O1295=ST_POST,IF($P1295&lt;&gt;"",$P1295,"حساب غير صالح أو غير نشط"),IF($O1295=ST_REV,"معكوس: لا أثر على الدفاتر",IF($O1295=ST_CANC,"ملغى",IF($O1295=ST_APPR,"معتمد ولم يُرحَّل","مسودة"))))),"")</f>
        <v/>
      </c>
      <c r="Y1295" s="32">
        <f>IF($A1295=1,IF(AND($R1295=1,OR(LG_Acct="",$G1295=LG_Acct),OR(LG_Party="",$K1295=LG_Party),OR(LG_Loc="ALL",$I1295=LG_Loc),OR(LG_CC="ALL",$J1295=LG_CC),$D1295&gt;=LG_From,$D1295&lt;=LG_To),$D1295+ROW()/1000000,""),"")</f>
        <v/>
      </c>
      <c r="Z1295" s="32">
        <f>IF($A1295=1,IF(Supplier_Invoices!$P18="","",Supplier_Invoices!$P18),"")</f>
        <v/>
      </c>
      <c r="AA1295" s="32">
        <f>IF($A1295=1,IF(Supplier_Invoices!$Q18="","",Supplier_Invoices!$Q18),"")</f>
        <v/>
      </c>
      <c r="AB1295" s="32">
        <f>IF($A1295=1,IF(Supplier_Invoices!$R18="","",Supplier_Invoices!$R18),"")</f>
        <v/>
      </c>
      <c r="AC1295" s="32">
        <f>IF($A1295=1,IF(Supplier_Invoices!$S18="","",Supplier_Invoices!$S18),"")</f>
        <v/>
      </c>
      <c r="AD1295" s="32">
        <f>IF($A1295=1,IF(Supplier_Invoices!$T18="","",Supplier_Invoices!$T18),"")</f>
        <v/>
      </c>
      <c r="AE1295" s="32">
        <f>IF($A1295=1,0,"")</f>
        <v/>
      </c>
      <c r="AF1295" s="32" t="inlineStr"/>
    </row>
    <row r="1296">
      <c r="A1296" s="32">
        <f>IF(AND(Supplier_Invoices!$AD18=1,N(Supplier_Invoices!$W18)&gt;0),1,0)</f>
        <v/>
      </c>
      <c r="B1296" s="32">
        <f>IF($A1296=1,$E1296&amp;"/3","")</f>
        <v/>
      </c>
      <c r="C1296" s="32">
        <f>IF($A1296=1,"J-"&amp;Supplier_Invoices!$A18,"")</f>
        <v/>
      </c>
      <c r="D1296" s="33">
        <f>IF($A1296=1,Supplier_Invoices!$E18,"")</f>
        <v/>
      </c>
      <c r="E1296" s="32">
        <f>IF($A1296=1,IF(Supplier_Invoices!$A18="","",Supplier_Invoices!$A18),"")</f>
        <v/>
      </c>
      <c r="F1296" s="32">
        <f>IF($A1296=1,"SINV","")</f>
        <v/>
      </c>
      <c r="G1296" s="32">
        <f>IF($A1296=1,ACC_SUPPLIERS,"")</f>
        <v/>
      </c>
      <c r="H1296" s="32">
        <f>IF($A1296=1,IF(COUNTIF(COA!$A:$A,$G1296)=0,"حساب غير معرف",INDEX(COA!$B:$B,MATCH($G1296,COA!$A:$A,0))),"")</f>
        <v/>
      </c>
      <c r="I1296" s="32">
        <f>IF($A1296=1,IF(Supplier_Invoices!$H18="","",Supplier_Invoices!$H18),"")</f>
        <v/>
      </c>
      <c r="J1296" s="32">
        <f>IF($A1296=1,"CC00","")</f>
        <v/>
      </c>
      <c r="K1296" s="32">
        <f>IF($A1296=1,IF(Supplier_Invoices!$C18="","",Supplier_Invoices!$C18),"")</f>
        <v/>
      </c>
      <c r="L1296" s="32">
        <f>IF($A1296=1,Supplier_Invoices!$F18&amp;" "&amp;Supplier_Invoices!$B18&amp;" - "&amp;Supplier_Invoices!$C18,"")</f>
        <v/>
      </c>
      <c r="M1296" s="43">
        <f>IF($A1296=1,IF(Supplier_Invoices!$V18="CN",Supplier_Invoices!$W18,0),"")</f>
        <v/>
      </c>
      <c r="N1296" s="43">
        <f>IF($A1296=1,IF(Supplier_Invoices!$V18="CN",0,Supplier_Invoices!$W18),"")</f>
        <v/>
      </c>
      <c r="O1296" s="32">
        <f>IF($A1296=1,Supplier_Invoices!$O18,"")</f>
        <v/>
      </c>
      <c r="P1296" s="32">
        <f>IF($A1296=1,IF(Supplier_Invoices!$AE18="","",Supplier_Invoices!$AE18),"")</f>
        <v/>
      </c>
      <c r="Q1296" s="32">
        <f>IF($A1296=1,Supplier_Invoices!$AG18,"")</f>
        <v/>
      </c>
      <c r="R1296" s="32">
        <f>IF($A1296=1,IF(AND($Q1296=1,COUNTIFS(COA!$A:$A,$G1296,COA!$R:$R,1)=1),1,0),"")</f>
        <v/>
      </c>
      <c r="S1296" s="43">
        <f>IF($A1296=1,IF($R1296=1,N($M1296),0),"")</f>
        <v/>
      </c>
      <c r="T1296" s="43">
        <f>IF($A1296=1,IF($R1296=1,N($N1296),0),"")</f>
        <v/>
      </c>
      <c r="U1296" s="32">
        <f>IF($A1296=1,YEAR($D1296)*100+MONTH($D1296),"")</f>
        <v/>
      </c>
      <c r="V1296" s="32">
        <f>IF($A1296=1,IF(COUNTIF(COA!$A:$A,$G1296)=0,0,INDEX(COA!$H:$H,MATCH($G1296,COA!$A:$A,0))),"")</f>
        <v/>
      </c>
      <c r="W1296" s="32">
        <f>IF($A1296=1,"","")</f>
        <v/>
      </c>
      <c r="X1296" s="32">
        <f>IF($A1296=1,IF($R1296=1,"",IF($O1296=ST_POST,IF($P1296&lt;&gt;"",$P1296,"حساب غير صالح أو غير نشط"),IF($O1296=ST_REV,"معكوس: لا أثر على الدفاتر",IF($O1296=ST_CANC,"ملغى",IF($O1296=ST_APPR,"معتمد ولم يُرحَّل","مسودة"))))),"")</f>
        <v/>
      </c>
      <c r="Y1296" s="32">
        <f>IF($A1296=1,IF(AND($R1296=1,OR(LG_Acct="",$G1296=LG_Acct),OR(LG_Party="",$K1296=LG_Party),OR(LG_Loc="ALL",$I1296=LG_Loc),OR(LG_CC="ALL",$J1296=LG_CC),$D1296&gt;=LG_From,$D1296&lt;=LG_To),$D1296+ROW()/1000000,""),"")</f>
        <v/>
      </c>
      <c r="Z1296" s="32">
        <f>IF($A1296=1,IF(Supplier_Invoices!$P18="","",Supplier_Invoices!$P18),"")</f>
        <v/>
      </c>
      <c r="AA1296" s="32">
        <f>IF($A1296=1,IF(Supplier_Invoices!$Q18="","",Supplier_Invoices!$Q18),"")</f>
        <v/>
      </c>
      <c r="AB1296" s="32">
        <f>IF($A1296=1,IF(Supplier_Invoices!$R18="","",Supplier_Invoices!$R18),"")</f>
        <v/>
      </c>
      <c r="AC1296" s="32">
        <f>IF($A1296=1,IF(Supplier_Invoices!$S18="","",Supplier_Invoices!$S18),"")</f>
        <v/>
      </c>
      <c r="AD1296" s="32">
        <f>IF($A1296=1,IF(Supplier_Invoices!$T18="","",Supplier_Invoices!$T18),"")</f>
        <v/>
      </c>
      <c r="AE1296" s="32">
        <f>IF($A1296=1,0,"")</f>
        <v/>
      </c>
      <c r="AF1296" s="32" t="inlineStr"/>
    </row>
    <row r="1297">
      <c r="A1297" s="32">
        <f>IF(AND(Supplier_Invoices!$AD18=1,Supplier_Invoices!$L18&lt;&gt;"",Supplier_Invoices!$V18&lt;&gt;"CN",N(Supplier_Invoices!$W18)&gt;0),1,0)</f>
        <v/>
      </c>
      <c r="B1297" s="32">
        <f>IF($A1297=1,$E1297&amp;"/4","")</f>
        <v/>
      </c>
      <c r="C1297" s="32">
        <f>IF($A1297=1,"J-"&amp;Supplier_Invoices!$A18,"")</f>
        <v/>
      </c>
      <c r="D1297" s="33">
        <f>IF($A1297=1,Supplier_Invoices!$E18,"")</f>
        <v/>
      </c>
      <c r="E1297" s="32">
        <f>IF($A1297=1,IF(Supplier_Invoices!$A18="","",Supplier_Invoices!$A18),"")</f>
        <v/>
      </c>
      <c r="F1297" s="32">
        <f>IF($A1297=1,"SINV","")</f>
        <v/>
      </c>
      <c r="G1297" s="32">
        <f>IF($A1297=1,ACC_SUPPLIERS,"")</f>
        <v/>
      </c>
      <c r="H1297" s="32">
        <f>IF($A1297=1,IF(COUNTIF(COA!$A:$A,$G1297)=0,"حساب غير معرف",INDEX(COA!$B:$B,MATCH($G1297,COA!$A:$A,0))),"")</f>
        <v/>
      </c>
      <c r="I1297" s="32">
        <f>IF($A1297=1,IF(Supplier_Invoices!$H18="","",Supplier_Invoices!$H18),"")</f>
        <v/>
      </c>
      <c r="J1297" s="32">
        <f>IF($A1297=1,"CC00","")</f>
        <v/>
      </c>
      <c r="K1297" s="32">
        <f>IF($A1297=1,IF(Supplier_Invoices!$C18="","",Supplier_Invoices!$C18),"")</f>
        <v/>
      </c>
      <c r="L1297" s="32">
        <f>IF($A1297=1,"سداد فوري - "&amp;Supplier_Invoices!$F18&amp;" "&amp;Supplier_Invoices!$B18&amp;" - "&amp;Supplier_Invoices!$C18,"")</f>
        <v/>
      </c>
      <c r="M1297" s="43">
        <f>IF($A1297=1,Supplier_Invoices!$W18,"")</f>
        <v/>
      </c>
      <c r="N1297" s="43">
        <f>IF($A1297=1,0,"")</f>
        <v/>
      </c>
      <c r="O1297" s="32">
        <f>IF($A1297=1,Supplier_Invoices!$O18,"")</f>
        <v/>
      </c>
      <c r="P1297" s="32">
        <f>IF($A1297=1,IF(Supplier_Invoices!$AE18="","",Supplier_Invoices!$AE18),"")</f>
        <v/>
      </c>
      <c r="Q1297" s="32">
        <f>IF($A1297=1,Supplier_Invoices!$AG18,"")</f>
        <v/>
      </c>
      <c r="R1297" s="32">
        <f>IF($A1297=1,IF(AND($Q1297=1,COUNTIFS(COA!$A:$A,$G1297,COA!$R:$R,1)=1),1,0),"")</f>
        <v/>
      </c>
      <c r="S1297" s="43">
        <f>IF($A1297=1,IF($R1297=1,N($M1297),0),"")</f>
        <v/>
      </c>
      <c r="T1297" s="43">
        <f>IF($A1297=1,IF($R1297=1,N($N1297),0),"")</f>
        <v/>
      </c>
      <c r="U1297" s="32">
        <f>IF($A1297=1,YEAR($D1297)*100+MONTH($D1297),"")</f>
        <v/>
      </c>
      <c r="V1297" s="32">
        <f>IF($A1297=1,IF(COUNTIF(COA!$A:$A,$G1297)=0,0,INDEX(COA!$H:$H,MATCH($G1297,COA!$A:$A,0))),"")</f>
        <v/>
      </c>
      <c r="W1297" s="32">
        <f>IF($A1297=1,"","")</f>
        <v/>
      </c>
      <c r="X1297" s="32">
        <f>IF($A1297=1,IF($R1297=1,"",IF($O1297=ST_POST,IF($P1297&lt;&gt;"",$P1297,"حساب غير صالح أو غير نشط"),IF($O1297=ST_REV,"معكوس: لا أثر على الدفاتر",IF($O1297=ST_CANC,"ملغى",IF($O1297=ST_APPR,"معتمد ولم يُرحَّل","مسودة"))))),"")</f>
        <v/>
      </c>
      <c r="Y1297" s="32">
        <f>IF($A1297=1,IF(AND($R1297=1,OR(LG_Acct="",$G1297=LG_Acct),OR(LG_Party="",$K1297=LG_Party),OR(LG_Loc="ALL",$I1297=LG_Loc),OR(LG_CC="ALL",$J1297=LG_CC),$D1297&gt;=LG_From,$D1297&lt;=LG_To),$D1297+ROW()/1000000,""),"")</f>
        <v/>
      </c>
      <c r="Z1297" s="32">
        <f>IF($A1297=1,IF(Supplier_Invoices!$P18="","",Supplier_Invoices!$P18),"")</f>
        <v/>
      </c>
      <c r="AA1297" s="32">
        <f>IF($A1297=1,IF(Supplier_Invoices!$Q18="","",Supplier_Invoices!$Q18),"")</f>
        <v/>
      </c>
      <c r="AB1297" s="32">
        <f>IF($A1297=1,IF(Supplier_Invoices!$R18="","",Supplier_Invoices!$R18),"")</f>
        <v/>
      </c>
      <c r="AC1297" s="32">
        <f>IF($A1297=1,IF(Supplier_Invoices!$S18="","",Supplier_Invoices!$S18),"")</f>
        <v/>
      </c>
      <c r="AD1297" s="32">
        <f>IF($A1297=1,IF(Supplier_Invoices!$T18="","",Supplier_Invoices!$T18),"")</f>
        <v/>
      </c>
      <c r="AE1297" s="32">
        <f>IF($A1297=1,0,"")</f>
        <v/>
      </c>
      <c r="AF1297" s="32" t="inlineStr"/>
    </row>
    <row r="1298">
      <c r="A1298" s="32">
        <f>IF(AND(Supplier_Invoices!$AD18=1,Supplier_Invoices!$L18&lt;&gt;"",Supplier_Invoices!$V18&lt;&gt;"CN",N(Supplier_Invoices!$W18)&gt;0),1,0)</f>
        <v/>
      </c>
      <c r="B1298" s="32">
        <f>IF($A1298=1,$E1298&amp;"/5","")</f>
        <v/>
      </c>
      <c r="C1298" s="32">
        <f>IF($A1298=1,"J-"&amp;Supplier_Invoices!$A18,"")</f>
        <v/>
      </c>
      <c r="D1298" s="33">
        <f>IF($A1298=1,Supplier_Invoices!$E18,"")</f>
        <v/>
      </c>
      <c r="E1298" s="32">
        <f>IF($A1298=1,IF(Supplier_Invoices!$A18="","",Supplier_Invoices!$A18),"")</f>
        <v/>
      </c>
      <c r="F1298" s="32">
        <f>IF($A1298=1,"SINV","")</f>
        <v/>
      </c>
      <c r="G1298" s="32">
        <f>IF($A1298=1,IF(Supplier_Invoices!$AA18="","",Supplier_Invoices!$AA18),"")</f>
        <v/>
      </c>
      <c r="H1298" s="32">
        <f>IF($A1298=1,IF(COUNTIF(COA!$A:$A,$G1298)=0,"حساب غير معرف",INDEX(COA!$B:$B,MATCH($G1298,COA!$A:$A,0))),"")</f>
        <v/>
      </c>
      <c r="I1298" s="32">
        <f>IF($A1298=1,IF(Supplier_Invoices!$H18="","",Supplier_Invoices!$H18),"")</f>
        <v/>
      </c>
      <c r="J1298" s="32">
        <f>IF($A1298=1,"CC00","")</f>
        <v/>
      </c>
      <c r="K1298" s="32">
        <f>IF($A1298=1,"-","")</f>
        <v/>
      </c>
      <c r="L1298" s="32">
        <f>IF($A1298=1,"سداد فوري - "&amp;Supplier_Invoices!$F18&amp;" "&amp;Supplier_Invoices!$B18&amp;" - "&amp;Supplier_Invoices!$C18,"")</f>
        <v/>
      </c>
      <c r="M1298" s="43">
        <f>IF($A1298=1,0,"")</f>
        <v/>
      </c>
      <c r="N1298" s="43">
        <f>IF($A1298=1,Supplier_Invoices!$W18,"")</f>
        <v/>
      </c>
      <c r="O1298" s="32">
        <f>IF($A1298=1,Supplier_Invoices!$O18,"")</f>
        <v/>
      </c>
      <c r="P1298" s="32">
        <f>IF($A1298=1,IF(Supplier_Invoices!$AE18="","",Supplier_Invoices!$AE18),"")</f>
        <v/>
      </c>
      <c r="Q1298" s="32">
        <f>IF($A1298=1,Supplier_Invoices!$AG18,"")</f>
        <v/>
      </c>
      <c r="R1298" s="32">
        <f>IF($A1298=1,IF(AND($Q1298=1,COUNTIFS(COA!$A:$A,$G1298,COA!$R:$R,1)=1),1,0),"")</f>
        <v/>
      </c>
      <c r="S1298" s="43">
        <f>IF($A1298=1,IF($R1298=1,N($M1298),0),"")</f>
        <v/>
      </c>
      <c r="T1298" s="43">
        <f>IF($A1298=1,IF($R1298=1,N($N1298),0),"")</f>
        <v/>
      </c>
      <c r="U1298" s="32">
        <f>IF($A1298=1,YEAR($D1298)*100+MONTH($D1298),"")</f>
        <v/>
      </c>
      <c r="V1298" s="32">
        <f>IF($A1298=1,IF(COUNTIF(COA!$A:$A,$G1298)=0,0,INDEX(COA!$H:$H,MATCH($G1298,COA!$A:$A,0))),"")</f>
        <v/>
      </c>
      <c r="W1298" s="32">
        <f>IF($A1298=1,IF(Supplier_Invoices!$AB18="","",Supplier_Invoices!$AB18),"")</f>
        <v/>
      </c>
      <c r="X1298" s="32">
        <f>IF($A1298=1,IF($R1298=1,"",IF($O1298=ST_POST,IF($P1298&lt;&gt;"",$P1298,"حساب غير صالح أو غير نشط"),IF($O1298=ST_REV,"معكوس: لا أثر على الدفاتر",IF($O1298=ST_CANC,"ملغى",IF($O1298=ST_APPR,"معتمد ولم يُرحَّل","مسودة"))))),"")</f>
        <v/>
      </c>
      <c r="Y1298" s="32">
        <f>IF($A1298=1,IF(AND($R1298=1,OR(LG_Acct="",$G1298=LG_Acct),OR(LG_Party="",$K1298=LG_Party),OR(LG_Loc="ALL",$I1298=LG_Loc),OR(LG_CC="ALL",$J1298=LG_CC),$D1298&gt;=LG_From,$D1298&lt;=LG_To),$D1298+ROW()/1000000,""),"")</f>
        <v/>
      </c>
      <c r="Z1298" s="32">
        <f>IF($A1298=1,IF(Supplier_Invoices!$P18="","",Supplier_Invoices!$P18),"")</f>
        <v/>
      </c>
      <c r="AA1298" s="32">
        <f>IF($A1298=1,IF(Supplier_Invoices!$Q18="","",Supplier_Invoices!$Q18),"")</f>
        <v/>
      </c>
      <c r="AB1298" s="32">
        <f>IF($A1298=1,IF(Supplier_Invoices!$R18="","",Supplier_Invoices!$R18),"")</f>
        <v/>
      </c>
      <c r="AC1298" s="32">
        <f>IF($A1298=1,IF(Supplier_Invoices!$S18="","",Supplier_Invoices!$S18),"")</f>
        <v/>
      </c>
      <c r="AD1298" s="32">
        <f>IF($A1298=1,IF(Supplier_Invoices!$T18="","",Supplier_Invoices!$T18),"")</f>
        <v/>
      </c>
      <c r="AE1298" s="32">
        <f>IF($A1298=1,0,"")</f>
        <v/>
      </c>
      <c r="AF1298" s="32" t="inlineStr"/>
    </row>
    <row r="1299">
      <c r="A1299" s="32">
        <f>IF(AND(Supplier_Invoices!$AD19=1,N(Supplier_Invoices!$J19)&gt;0),1,0)</f>
        <v/>
      </c>
      <c r="B1299" s="32">
        <f>IF($A1299=1,$E1299&amp;"/1","")</f>
        <v/>
      </c>
      <c r="C1299" s="32">
        <f>IF($A1299=1,"J-"&amp;Supplier_Invoices!$A19,"")</f>
        <v/>
      </c>
      <c r="D1299" s="33">
        <f>IF($A1299=1,Supplier_Invoices!$E19,"")</f>
        <v/>
      </c>
      <c r="E1299" s="32">
        <f>IF($A1299=1,IF(Supplier_Invoices!$A19="","",Supplier_Invoices!$A19),"")</f>
        <v/>
      </c>
      <c r="F1299" s="32">
        <f>IF($A1299=1,"SINV","")</f>
        <v/>
      </c>
      <c r="G1299" s="32">
        <f>IF($A1299=1,IF(Supplier_Invoices!$G19="","",Supplier_Invoices!$G19),"")</f>
        <v/>
      </c>
      <c r="H1299" s="32">
        <f>IF($A1299=1,IF(COUNTIF(COA!$A:$A,$G1299)=0,"حساب غير معرف",INDEX(COA!$B:$B,MATCH($G1299,COA!$A:$A,0))),"")</f>
        <v/>
      </c>
      <c r="I1299" s="32">
        <f>IF($A1299=1,IF(Supplier_Invoices!$H19="","",Supplier_Invoices!$H19),"")</f>
        <v/>
      </c>
      <c r="J1299" s="32">
        <f>IF($A1299=1,IF(Supplier_Invoices!$I19="","",Supplier_Invoices!$I19),"")</f>
        <v/>
      </c>
      <c r="K1299" s="32">
        <f>IF($A1299=1,"-","")</f>
        <v/>
      </c>
      <c r="L1299" s="32">
        <f>IF($A1299=1,Supplier_Invoices!$F19&amp;" "&amp;Supplier_Invoices!$B19&amp;" - "&amp;Supplier_Invoices!$C19,"")</f>
        <v/>
      </c>
      <c r="M1299" s="43">
        <f>IF($A1299=1,IF(Supplier_Invoices!$V19="CN",0,Supplier_Invoices!$J19),"")</f>
        <v/>
      </c>
      <c r="N1299" s="43">
        <f>IF($A1299=1,IF(Supplier_Invoices!$V19="CN",Supplier_Invoices!$J19,0),"")</f>
        <v/>
      </c>
      <c r="O1299" s="32">
        <f>IF($A1299=1,Supplier_Invoices!$O19,"")</f>
        <v/>
      </c>
      <c r="P1299" s="32">
        <f>IF($A1299=1,IF(Supplier_Invoices!$AE19="","",Supplier_Invoices!$AE19),"")</f>
        <v/>
      </c>
      <c r="Q1299" s="32">
        <f>IF($A1299=1,Supplier_Invoices!$AG19,"")</f>
        <v/>
      </c>
      <c r="R1299" s="32">
        <f>IF($A1299=1,IF(AND($Q1299=1,COUNTIFS(COA!$A:$A,$G1299,COA!$R:$R,1)=1),1,0),"")</f>
        <v/>
      </c>
      <c r="S1299" s="43">
        <f>IF($A1299=1,IF($R1299=1,N($M1299),0),"")</f>
        <v/>
      </c>
      <c r="T1299" s="43">
        <f>IF($A1299=1,IF($R1299=1,N($N1299),0),"")</f>
        <v/>
      </c>
      <c r="U1299" s="32">
        <f>IF($A1299=1,YEAR($D1299)*100+MONTH($D1299),"")</f>
        <v/>
      </c>
      <c r="V1299" s="32">
        <f>IF($A1299=1,IF(COUNTIF(COA!$A:$A,$G1299)=0,0,INDEX(COA!$H:$H,MATCH($G1299,COA!$A:$A,0))),"")</f>
        <v/>
      </c>
      <c r="W1299" s="32">
        <f>IF($A1299=1,"","")</f>
        <v/>
      </c>
      <c r="X1299" s="32">
        <f>IF($A1299=1,IF($R1299=1,"",IF($O1299=ST_POST,IF($P1299&lt;&gt;"",$P1299,"حساب غير صالح أو غير نشط"),IF($O1299=ST_REV,"معكوس: لا أثر على الدفاتر",IF($O1299=ST_CANC,"ملغى",IF($O1299=ST_APPR,"معتمد ولم يُرحَّل","مسودة"))))),"")</f>
        <v/>
      </c>
      <c r="Y1299" s="32">
        <f>IF($A1299=1,IF(AND($R1299=1,OR(LG_Acct="",$G1299=LG_Acct),OR(LG_Party="",$K1299=LG_Party),OR(LG_Loc="ALL",$I1299=LG_Loc),OR(LG_CC="ALL",$J1299=LG_CC),$D1299&gt;=LG_From,$D1299&lt;=LG_To),$D1299+ROW()/1000000,""),"")</f>
        <v/>
      </c>
      <c r="Z1299" s="32">
        <f>IF($A1299=1,IF(Supplier_Invoices!$P19="","",Supplier_Invoices!$P19),"")</f>
        <v/>
      </c>
      <c r="AA1299" s="32">
        <f>IF($A1299=1,IF(Supplier_Invoices!$Q19="","",Supplier_Invoices!$Q19),"")</f>
        <v/>
      </c>
      <c r="AB1299" s="32">
        <f>IF($A1299=1,IF(Supplier_Invoices!$R19="","",Supplier_Invoices!$R19),"")</f>
        <v/>
      </c>
      <c r="AC1299" s="32">
        <f>IF($A1299=1,IF(Supplier_Invoices!$S19="","",Supplier_Invoices!$S19),"")</f>
        <v/>
      </c>
      <c r="AD1299" s="32">
        <f>IF($A1299=1,IF(Supplier_Invoices!$T19="","",Supplier_Invoices!$T19),"")</f>
        <v/>
      </c>
      <c r="AE1299" s="32">
        <f>IF($A1299=1,0,"")</f>
        <v/>
      </c>
      <c r="AF1299" s="32" t="inlineStr"/>
    </row>
    <row r="1300">
      <c r="A1300" s="32">
        <f>IF(AND(Supplier_Invoices!$AD19=1,N(Supplier_Invoices!$K19)&gt;0),1,0)</f>
        <v/>
      </c>
      <c r="B1300" s="32">
        <f>IF($A1300=1,$E1300&amp;"/2","")</f>
        <v/>
      </c>
      <c r="C1300" s="32">
        <f>IF($A1300=1,"J-"&amp;Supplier_Invoices!$A19,"")</f>
        <v/>
      </c>
      <c r="D1300" s="33">
        <f>IF($A1300=1,Supplier_Invoices!$E19,"")</f>
        <v/>
      </c>
      <c r="E1300" s="32">
        <f>IF($A1300=1,IF(Supplier_Invoices!$A19="","",Supplier_Invoices!$A19),"")</f>
        <v/>
      </c>
      <c r="F1300" s="32">
        <f>IF($A1300=1,"SINV","")</f>
        <v/>
      </c>
      <c r="G1300" s="32">
        <f>IF($A1300=1,ACC_VAT_IN,"")</f>
        <v/>
      </c>
      <c r="H1300" s="32">
        <f>IF($A1300=1,IF(COUNTIF(COA!$A:$A,$G1300)=0,"حساب غير معرف",INDEX(COA!$B:$B,MATCH($G1300,COA!$A:$A,0))),"")</f>
        <v/>
      </c>
      <c r="I1300" s="32">
        <f>IF($A1300=1,IF(Supplier_Invoices!$H19="","",Supplier_Invoices!$H19),"")</f>
        <v/>
      </c>
      <c r="J1300" s="32">
        <f>IF($A1300=1,IF(Supplier_Invoices!$I19="","",Supplier_Invoices!$I19),"")</f>
        <v/>
      </c>
      <c r="K1300" s="32">
        <f>IF($A1300=1,"-","")</f>
        <v/>
      </c>
      <c r="L1300" s="32">
        <f>IF($A1300=1,"ضريبة قيمة مضافة - مدخلات","")</f>
        <v/>
      </c>
      <c r="M1300" s="43">
        <f>IF($A1300=1,IF(Supplier_Invoices!$V19="CN",0,Supplier_Invoices!$K19),"")</f>
        <v/>
      </c>
      <c r="N1300" s="43">
        <f>IF($A1300=1,IF(Supplier_Invoices!$V19="CN",Supplier_Invoices!$K19,0),"")</f>
        <v/>
      </c>
      <c r="O1300" s="32">
        <f>IF($A1300=1,Supplier_Invoices!$O19,"")</f>
        <v/>
      </c>
      <c r="P1300" s="32">
        <f>IF($A1300=1,IF(Supplier_Invoices!$AE19="","",Supplier_Invoices!$AE19),"")</f>
        <v/>
      </c>
      <c r="Q1300" s="32">
        <f>IF($A1300=1,Supplier_Invoices!$AG19,"")</f>
        <v/>
      </c>
      <c r="R1300" s="32">
        <f>IF($A1300=1,IF(AND($Q1300=1,COUNTIFS(COA!$A:$A,$G1300,COA!$R:$R,1)=1),1,0),"")</f>
        <v/>
      </c>
      <c r="S1300" s="43">
        <f>IF($A1300=1,IF($R1300=1,N($M1300),0),"")</f>
        <v/>
      </c>
      <c r="T1300" s="43">
        <f>IF($A1300=1,IF($R1300=1,N($N1300),0),"")</f>
        <v/>
      </c>
      <c r="U1300" s="32">
        <f>IF($A1300=1,YEAR($D1300)*100+MONTH($D1300),"")</f>
        <v/>
      </c>
      <c r="V1300" s="32">
        <f>IF($A1300=1,IF(COUNTIF(COA!$A:$A,$G1300)=0,0,INDEX(COA!$H:$H,MATCH($G1300,COA!$A:$A,0))),"")</f>
        <v/>
      </c>
      <c r="W1300" s="32">
        <f>IF($A1300=1,"","")</f>
        <v/>
      </c>
      <c r="X1300" s="32">
        <f>IF($A1300=1,IF($R1300=1,"",IF($O1300=ST_POST,IF($P1300&lt;&gt;"",$P1300,"حساب غير صالح أو غير نشط"),IF($O1300=ST_REV,"معكوس: لا أثر على الدفاتر",IF($O1300=ST_CANC,"ملغى",IF($O1300=ST_APPR,"معتمد ولم يُرحَّل","مسودة"))))),"")</f>
        <v/>
      </c>
      <c r="Y1300" s="32">
        <f>IF($A1300=1,IF(AND($R1300=1,OR(LG_Acct="",$G1300=LG_Acct),OR(LG_Party="",$K1300=LG_Party),OR(LG_Loc="ALL",$I1300=LG_Loc),OR(LG_CC="ALL",$J1300=LG_CC),$D1300&gt;=LG_From,$D1300&lt;=LG_To),$D1300+ROW()/1000000,""),"")</f>
        <v/>
      </c>
      <c r="Z1300" s="32">
        <f>IF($A1300=1,IF(Supplier_Invoices!$P19="","",Supplier_Invoices!$P19),"")</f>
        <v/>
      </c>
      <c r="AA1300" s="32">
        <f>IF($A1300=1,IF(Supplier_Invoices!$Q19="","",Supplier_Invoices!$Q19),"")</f>
        <v/>
      </c>
      <c r="AB1300" s="32">
        <f>IF($A1300=1,IF(Supplier_Invoices!$R19="","",Supplier_Invoices!$R19),"")</f>
        <v/>
      </c>
      <c r="AC1300" s="32">
        <f>IF($A1300=1,IF(Supplier_Invoices!$S19="","",Supplier_Invoices!$S19),"")</f>
        <v/>
      </c>
      <c r="AD1300" s="32">
        <f>IF($A1300=1,IF(Supplier_Invoices!$T19="","",Supplier_Invoices!$T19),"")</f>
        <v/>
      </c>
      <c r="AE1300" s="32">
        <f>IF($A1300=1,0,"")</f>
        <v/>
      </c>
      <c r="AF1300" s="32" t="inlineStr"/>
    </row>
    <row r="1301">
      <c r="A1301" s="32">
        <f>IF(AND(Supplier_Invoices!$AD19=1,N(Supplier_Invoices!$W19)&gt;0),1,0)</f>
        <v/>
      </c>
      <c r="B1301" s="32">
        <f>IF($A1301=1,$E1301&amp;"/3","")</f>
        <v/>
      </c>
      <c r="C1301" s="32">
        <f>IF($A1301=1,"J-"&amp;Supplier_Invoices!$A19,"")</f>
        <v/>
      </c>
      <c r="D1301" s="33">
        <f>IF($A1301=1,Supplier_Invoices!$E19,"")</f>
        <v/>
      </c>
      <c r="E1301" s="32">
        <f>IF($A1301=1,IF(Supplier_Invoices!$A19="","",Supplier_Invoices!$A19),"")</f>
        <v/>
      </c>
      <c r="F1301" s="32">
        <f>IF($A1301=1,"SINV","")</f>
        <v/>
      </c>
      <c r="G1301" s="32">
        <f>IF($A1301=1,ACC_SUPPLIERS,"")</f>
        <v/>
      </c>
      <c r="H1301" s="32">
        <f>IF($A1301=1,IF(COUNTIF(COA!$A:$A,$G1301)=0,"حساب غير معرف",INDEX(COA!$B:$B,MATCH($G1301,COA!$A:$A,0))),"")</f>
        <v/>
      </c>
      <c r="I1301" s="32">
        <f>IF($A1301=1,IF(Supplier_Invoices!$H19="","",Supplier_Invoices!$H19),"")</f>
        <v/>
      </c>
      <c r="J1301" s="32">
        <f>IF($A1301=1,"CC00","")</f>
        <v/>
      </c>
      <c r="K1301" s="32">
        <f>IF($A1301=1,IF(Supplier_Invoices!$C19="","",Supplier_Invoices!$C19),"")</f>
        <v/>
      </c>
      <c r="L1301" s="32">
        <f>IF($A1301=1,Supplier_Invoices!$F19&amp;" "&amp;Supplier_Invoices!$B19&amp;" - "&amp;Supplier_Invoices!$C19,"")</f>
        <v/>
      </c>
      <c r="M1301" s="43">
        <f>IF($A1301=1,IF(Supplier_Invoices!$V19="CN",Supplier_Invoices!$W19,0),"")</f>
        <v/>
      </c>
      <c r="N1301" s="43">
        <f>IF($A1301=1,IF(Supplier_Invoices!$V19="CN",0,Supplier_Invoices!$W19),"")</f>
        <v/>
      </c>
      <c r="O1301" s="32">
        <f>IF($A1301=1,Supplier_Invoices!$O19,"")</f>
        <v/>
      </c>
      <c r="P1301" s="32">
        <f>IF($A1301=1,IF(Supplier_Invoices!$AE19="","",Supplier_Invoices!$AE19),"")</f>
        <v/>
      </c>
      <c r="Q1301" s="32">
        <f>IF($A1301=1,Supplier_Invoices!$AG19,"")</f>
        <v/>
      </c>
      <c r="R1301" s="32">
        <f>IF($A1301=1,IF(AND($Q1301=1,COUNTIFS(COA!$A:$A,$G1301,COA!$R:$R,1)=1),1,0),"")</f>
        <v/>
      </c>
      <c r="S1301" s="43">
        <f>IF($A1301=1,IF($R1301=1,N($M1301),0),"")</f>
        <v/>
      </c>
      <c r="T1301" s="43">
        <f>IF($A1301=1,IF($R1301=1,N($N1301),0),"")</f>
        <v/>
      </c>
      <c r="U1301" s="32">
        <f>IF($A1301=1,YEAR($D1301)*100+MONTH($D1301),"")</f>
        <v/>
      </c>
      <c r="V1301" s="32">
        <f>IF($A1301=1,IF(COUNTIF(COA!$A:$A,$G1301)=0,0,INDEX(COA!$H:$H,MATCH($G1301,COA!$A:$A,0))),"")</f>
        <v/>
      </c>
      <c r="W1301" s="32">
        <f>IF($A1301=1,"","")</f>
        <v/>
      </c>
      <c r="X1301" s="32">
        <f>IF($A1301=1,IF($R1301=1,"",IF($O1301=ST_POST,IF($P1301&lt;&gt;"",$P1301,"حساب غير صالح أو غير نشط"),IF($O1301=ST_REV,"معكوس: لا أثر على الدفاتر",IF($O1301=ST_CANC,"ملغى",IF($O1301=ST_APPR,"معتمد ولم يُرحَّل","مسودة"))))),"")</f>
        <v/>
      </c>
      <c r="Y1301" s="32">
        <f>IF($A1301=1,IF(AND($R1301=1,OR(LG_Acct="",$G1301=LG_Acct),OR(LG_Party="",$K1301=LG_Party),OR(LG_Loc="ALL",$I1301=LG_Loc),OR(LG_CC="ALL",$J1301=LG_CC),$D1301&gt;=LG_From,$D1301&lt;=LG_To),$D1301+ROW()/1000000,""),"")</f>
        <v/>
      </c>
      <c r="Z1301" s="32">
        <f>IF($A1301=1,IF(Supplier_Invoices!$P19="","",Supplier_Invoices!$P19),"")</f>
        <v/>
      </c>
      <c r="AA1301" s="32">
        <f>IF($A1301=1,IF(Supplier_Invoices!$Q19="","",Supplier_Invoices!$Q19),"")</f>
        <v/>
      </c>
      <c r="AB1301" s="32">
        <f>IF($A1301=1,IF(Supplier_Invoices!$R19="","",Supplier_Invoices!$R19),"")</f>
        <v/>
      </c>
      <c r="AC1301" s="32">
        <f>IF($A1301=1,IF(Supplier_Invoices!$S19="","",Supplier_Invoices!$S19),"")</f>
        <v/>
      </c>
      <c r="AD1301" s="32">
        <f>IF($A1301=1,IF(Supplier_Invoices!$T19="","",Supplier_Invoices!$T19),"")</f>
        <v/>
      </c>
      <c r="AE1301" s="32">
        <f>IF($A1301=1,0,"")</f>
        <v/>
      </c>
      <c r="AF1301" s="32" t="inlineStr"/>
    </row>
    <row r="1302">
      <c r="A1302" s="32">
        <f>IF(AND(Supplier_Invoices!$AD19=1,Supplier_Invoices!$L19&lt;&gt;"",Supplier_Invoices!$V19&lt;&gt;"CN",N(Supplier_Invoices!$W19)&gt;0),1,0)</f>
        <v/>
      </c>
      <c r="B1302" s="32">
        <f>IF($A1302=1,$E1302&amp;"/4","")</f>
        <v/>
      </c>
      <c r="C1302" s="32">
        <f>IF($A1302=1,"J-"&amp;Supplier_Invoices!$A19,"")</f>
        <v/>
      </c>
      <c r="D1302" s="33">
        <f>IF($A1302=1,Supplier_Invoices!$E19,"")</f>
        <v/>
      </c>
      <c r="E1302" s="32">
        <f>IF($A1302=1,IF(Supplier_Invoices!$A19="","",Supplier_Invoices!$A19),"")</f>
        <v/>
      </c>
      <c r="F1302" s="32">
        <f>IF($A1302=1,"SINV","")</f>
        <v/>
      </c>
      <c r="G1302" s="32">
        <f>IF($A1302=1,ACC_SUPPLIERS,"")</f>
        <v/>
      </c>
      <c r="H1302" s="32">
        <f>IF($A1302=1,IF(COUNTIF(COA!$A:$A,$G1302)=0,"حساب غير معرف",INDEX(COA!$B:$B,MATCH($G1302,COA!$A:$A,0))),"")</f>
        <v/>
      </c>
      <c r="I1302" s="32">
        <f>IF($A1302=1,IF(Supplier_Invoices!$H19="","",Supplier_Invoices!$H19),"")</f>
        <v/>
      </c>
      <c r="J1302" s="32">
        <f>IF($A1302=1,"CC00","")</f>
        <v/>
      </c>
      <c r="K1302" s="32">
        <f>IF($A1302=1,IF(Supplier_Invoices!$C19="","",Supplier_Invoices!$C19),"")</f>
        <v/>
      </c>
      <c r="L1302" s="32">
        <f>IF($A1302=1,"سداد فوري - "&amp;Supplier_Invoices!$F19&amp;" "&amp;Supplier_Invoices!$B19&amp;" - "&amp;Supplier_Invoices!$C19,"")</f>
        <v/>
      </c>
      <c r="M1302" s="43">
        <f>IF($A1302=1,Supplier_Invoices!$W19,"")</f>
        <v/>
      </c>
      <c r="N1302" s="43">
        <f>IF($A1302=1,0,"")</f>
        <v/>
      </c>
      <c r="O1302" s="32">
        <f>IF($A1302=1,Supplier_Invoices!$O19,"")</f>
        <v/>
      </c>
      <c r="P1302" s="32">
        <f>IF($A1302=1,IF(Supplier_Invoices!$AE19="","",Supplier_Invoices!$AE19),"")</f>
        <v/>
      </c>
      <c r="Q1302" s="32">
        <f>IF($A1302=1,Supplier_Invoices!$AG19,"")</f>
        <v/>
      </c>
      <c r="R1302" s="32">
        <f>IF($A1302=1,IF(AND($Q1302=1,COUNTIFS(COA!$A:$A,$G1302,COA!$R:$R,1)=1),1,0),"")</f>
        <v/>
      </c>
      <c r="S1302" s="43">
        <f>IF($A1302=1,IF($R1302=1,N($M1302),0),"")</f>
        <v/>
      </c>
      <c r="T1302" s="43">
        <f>IF($A1302=1,IF($R1302=1,N($N1302),0),"")</f>
        <v/>
      </c>
      <c r="U1302" s="32">
        <f>IF($A1302=1,YEAR($D1302)*100+MONTH($D1302),"")</f>
        <v/>
      </c>
      <c r="V1302" s="32">
        <f>IF($A1302=1,IF(COUNTIF(COA!$A:$A,$G1302)=0,0,INDEX(COA!$H:$H,MATCH($G1302,COA!$A:$A,0))),"")</f>
        <v/>
      </c>
      <c r="W1302" s="32">
        <f>IF($A1302=1,"","")</f>
        <v/>
      </c>
      <c r="X1302" s="32">
        <f>IF($A1302=1,IF($R1302=1,"",IF($O1302=ST_POST,IF($P1302&lt;&gt;"",$P1302,"حساب غير صالح أو غير نشط"),IF($O1302=ST_REV,"معكوس: لا أثر على الدفاتر",IF($O1302=ST_CANC,"ملغى",IF($O1302=ST_APPR,"معتمد ولم يُرحَّل","مسودة"))))),"")</f>
        <v/>
      </c>
      <c r="Y1302" s="32">
        <f>IF($A1302=1,IF(AND($R1302=1,OR(LG_Acct="",$G1302=LG_Acct),OR(LG_Party="",$K1302=LG_Party),OR(LG_Loc="ALL",$I1302=LG_Loc),OR(LG_CC="ALL",$J1302=LG_CC),$D1302&gt;=LG_From,$D1302&lt;=LG_To),$D1302+ROW()/1000000,""),"")</f>
        <v/>
      </c>
      <c r="Z1302" s="32">
        <f>IF($A1302=1,IF(Supplier_Invoices!$P19="","",Supplier_Invoices!$P19),"")</f>
        <v/>
      </c>
      <c r="AA1302" s="32">
        <f>IF($A1302=1,IF(Supplier_Invoices!$Q19="","",Supplier_Invoices!$Q19),"")</f>
        <v/>
      </c>
      <c r="AB1302" s="32">
        <f>IF($A1302=1,IF(Supplier_Invoices!$R19="","",Supplier_Invoices!$R19),"")</f>
        <v/>
      </c>
      <c r="AC1302" s="32">
        <f>IF($A1302=1,IF(Supplier_Invoices!$S19="","",Supplier_Invoices!$S19),"")</f>
        <v/>
      </c>
      <c r="AD1302" s="32">
        <f>IF($A1302=1,IF(Supplier_Invoices!$T19="","",Supplier_Invoices!$T19),"")</f>
        <v/>
      </c>
      <c r="AE1302" s="32">
        <f>IF($A1302=1,0,"")</f>
        <v/>
      </c>
      <c r="AF1302" s="32" t="inlineStr"/>
    </row>
    <row r="1303">
      <c r="A1303" s="32">
        <f>IF(AND(Supplier_Invoices!$AD19=1,Supplier_Invoices!$L19&lt;&gt;"",Supplier_Invoices!$V19&lt;&gt;"CN",N(Supplier_Invoices!$W19)&gt;0),1,0)</f>
        <v/>
      </c>
      <c r="B1303" s="32">
        <f>IF($A1303=1,$E1303&amp;"/5","")</f>
        <v/>
      </c>
      <c r="C1303" s="32">
        <f>IF($A1303=1,"J-"&amp;Supplier_Invoices!$A19,"")</f>
        <v/>
      </c>
      <c r="D1303" s="33">
        <f>IF($A1303=1,Supplier_Invoices!$E19,"")</f>
        <v/>
      </c>
      <c r="E1303" s="32">
        <f>IF($A1303=1,IF(Supplier_Invoices!$A19="","",Supplier_Invoices!$A19),"")</f>
        <v/>
      </c>
      <c r="F1303" s="32">
        <f>IF($A1303=1,"SINV","")</f>
        <v/>
      </c>
      <c r="G1303" s="32">
        <f>IF($A1303=1,IF(Supplier_Invoices!$AA19="","",Supplier_Invoices!$AA19),"")</f>
        <v/>
      </c>
      <c r="H1303" s="32">
        <f>IF($A1303=1,IF(COUNTIF(COA!$A:$A,$G1303)=0,"حساب غير معرف",INDEX(COA!$B:$B,MATCH($G1303,COA!$A:$A,0))),"")</f>
        <v/>
      </c>
      <c r="I1303" s="32">
        <f>IF($A1303=1,IF(Supplier_Invoices!$H19="","",Supplier_Invoices!$H19),"")</f>
        <v/>
      </c>
      <c r="J1303" s="32">
        <f>IF($A1303=1,"CC00","")</f>
        <v/>
      </c>
      <c r="K1303" s="32">
        <f>IF($A1303=1,"-","")</f>
        <v/>
      </c>
      <c r="L1303" s="32">
        <f>IF($A1303=1,"سداد فوري - "&amp;Supplier_Invoices!$F19&amp;" "&amp;Supplier_Invoices!$B19&amp;" - "&amp;Supplier_Invoices!$C19,"")</f>
        <v/>
      </c>
      <c r="M1303" s="43">
        <f>IF($A1303=1,0,"")</f>
        <v/>
      </c>
      <c r="N1303" s="43">
        <f>IF($A1303=1,Supplier_Invoices!$W19,"")</f>
        <v/>
      </c>
      <c r="O1303" s="32">
        <f>IF($A1303=1,Supplier_Invoices!$O19,"")</f>
        <v/>
      </c>
      <c r="P1303" s="32">
        <f>IF($A1303=1,IF(Supplier_Invoices!$AE19="","",Supplier_Invoices!$AE19),"")</f>
        <v/>
      </c>
      <c r="Q1303" s="32">
        <f>IF($A1303=1,Supplier_Invoices!$AG19,"")</f>
        <v/>
      </c>
      <c r="R1303" s="32">
        <f>IF($A1303=1,IF(AND($Q1303=1,COUNTIFS(COA!$A:$A,$G1303,COA!$R:$R,1)=1),1,0),"")</f>
        <v/>
      </c>
      <c r="S1303" s="43">
        <f>IF($A1303=1,IF($R1303=1,N($M1303),0),"")</f>
        <v/>
      </c>
      <c r="T1303" s="43">
        <f>IF($A1303=1,IF($R1303=1,N($N1303),0),"")</f>
        <v/>
      </c>
      <c r="U1303" s="32">
        <f>IF($A1303=1,YEAR($D1303)*100+MONTH($D1303),"")</f>
        <v/>
      </c>
      <c r="V1303" s="32">
        <f>IF($A1303=1,IF(COUNTIF(COA!$A:$A,$G1303)=0,0,INDEX(COA!$H:$H,MATCH($G1303,COA!$A:$A,0))),"")</f>
        <v/>
      </c>
      <c r="W1303" s="32">
        <f>IF($A1303=1,IF(Supplier_Invoices!$AB19="","",Supplier_Invoices!$AB19),"")</f>
        <v/>
      </c>
      <c r="X1303" s="32">
        <f>IF($A1303=1,IF($R1303=1,"",IF($O1303=ST_POST,IF($P1303&lt;&gt;"",$P1303,"حساب غير صالح أو غير نشط"),IF($O1303=ST_REV,"معكوس: لا أثر على الدفاتر",IF($O1303=ST_CANC,"ملغى",IF($O1303=ST_APPR,"معتمد ولم يُرحَّل","مسودة"))))),"")</f>
        <v/>
      </c>
      <c r="Y1303" s="32">
        <f>IF($A1303=1,IF(AND($R1303=1,OR(LG_Acct="",$G1303=LG_Acct),OR(LG_Party="",$K1303=LG_Party),OR(LG_Loc="ALL",$I1303=LG_Loc),OR(LG_CC="ALL",$J1303=LG_CC),$D1303&gt;=LG_From,$D1303&lt;=LG_To),$D1303+ROW()/1000000,""),"")</f>
        <v/>
      </c>
      <c r="Z1303" s="32">
        <f>IF($A1303=1,IF(Supplier_Invoices!$P19="","",Supplier_Invoices!$P19),"")</f>
        <v/>
      </c>
      <c r="AA1303" s="32">
        <f>IF($A1303=1,IF(Supplier_Invoices!$Q19="","",Supplier_Invoices!$Q19),"")</f>
        <v/>
      </c>
      <c r="AB1303" s="32">
        <f>IF($A1303=1,IF(Supplier_Invoices!$R19="","",Supplier_Invoices!$R19),"")</f>
        <v/>
      </c>
      <c r="AC1303" s="32">
        <f>IF($A1303=1,IF(Supplier_Invoices!$S19="","",Supplier_Invoices!$S19),"")</f>
        <v/>
      </c>
      <c r="AD1303" s="32">
        <f>IF($A1303=1,IF(Supplier_Invoices!$T19="","",Supplier_Invoices!$T19),"")</f>
        <v/>
      </c>
      <c r="AE1303" s="32">
        <f>IF($A1303=1,0,"")</f>
        <v/>
      </c>
      <c r="AF1303" s="32" t="inlineStr"/>
    </row>
    <row r="1304">
      <c r="A1304" s="32">
        <f>IF(AND(Supplier_Invoices!$AD20=1,N(Supplier_Invoices!$J20)&gt;0),1,0)</f>
        <v/>
      </c>
      <c r="B1304" s="32">
        <f>IF($A1304=1,$E1304&amp;"/1","")</f>
        <v/>
      </c>
      <c r="C1304" s="32">
        <f>IF($A1304=1,"J-"&amp;Supplier_Invoices!$A20,"")</f>
        <v/>
      </c>
      <c r="D1304" s="33">
        <f>IF($A1304=1,Supplier_Invoices!$E20,"")</f>
        <v/>
      </c>
      <c r="E1304" s="32">
        <f>IF($A1304=1,IF(Supplier_Invoices!$A20="","",Supplier_Invoices!$A20),"")</f>
        <v/>
      </c>
      <c r="F1304" s="32">
        <f>IF($A1304=1,"SINV","")</f>
        <v/>
      </c>
      <c r="G1304" s="32">
        <f>IF($A1304=1,IF(Supplier_Invoices!$G20="","",Supplier_Invoices!$G20),"")</f>
        <v/>
      </c>
      <c r="H1304" s="32">
        <f>IF($A1304=1,IF(COUNTIF(COA!$A:$A,$G1304)=0,"حساب غير معرف",INDEX(COA!$B:$B,MATCH($G1304,COA!$A:$A,0))),"")</f>
        <v/>
      </c>
      <c r="I1304" s="32">
        <f>IF($A1304=1,IF(Supplier_Invoices!$H20="","",Supplier_Invoices!$H20),"")</f>
        <v/>
      </c>
      <c r="J1304" s="32">
        <f>IF($A1304=1,IF(Supplier_Invoices!$I20="","",Supplier_Invoices!$I20),"")</f>
        <v/>
      </c>
      <c r="K1304" s="32">
        <f>IF($A1304=1,"-","")</f>
        <v/>
      </c>
      <c r="L1304" s="32">
        <f>IF($A1304=1,Supplier_Invoices!$F20&amp;" "&amp;Supplier_Invoices!$B20&amp;" - "&amp;Supplier_Invoices!$C20,"")</f>
        <v/>
      </c>
      <c r="M1304" s="43">
        <f>IF($A1304=1,IF(Supplier_Invoices!$V20="CN",0,Supplier_Invoices!$J20),"")</f>
        <v/>
      </c>
      <c r="N1304" s="43">
        <f>IF($A1304=1,IF(Supplier_Invoices!$V20="CN",Supplier_Invoices!$J20,0),"")</f>
        <v/>
      </c>
      <c r="O1304" s="32">
        <f>IF($A1304=1,Supplier_Invoices!$O20,"")</f>
        <v/>
      </c>
      <c r="P1304" s="32">
        <f>IF($A1304=1,IF(Supplier_Invoices!$AE20="","",Supplier_Invoices!$AE20),"")</f>
        <v/>
      </c>
      <c r="Q1304" s="32">
        <f>IF($A1304=1,Supplier_Invoices!$AG20,"")</f>
        <v/>
      </c>
      <c r="R1304" s="32">
        <f>IF($A1304=1,IF(AND($Q1304=1,COUNTIFS(COA!$A:$A,$G1304,COA!$R:$R,1)=1),1,0),"")</f>
        <v/>
      </c>
      <c r="S1304" s="43">
        <f>IF($A1304=1,IF($R1304=1,N($M1304),0),"")</f>
        <v/>
      </c>
      <c r="T1304" s="43">
        <f>IF($A1304=1,IF($R1304=1,N($N1304),0),"")</f>
        <v/>
      </c>
      <c r="U1304" s="32">
        <f>IF($A1304=1,YEAR($D1304)*100+MONTH($D1304),"")</f>
        <v/>
      </c>
      <c r="V1304" s="32">
        <f>IF($A1304=1,IF(COUNTIF(COA!$A:$A,$G1304)=0,0,INDEX(COA!$H:$H,MATCH($G1304,COA!$A:$A,0))),"")</f>
        <v/>
      </c>
      <c r="W1304" s="32">
        <f>IF($A1304=1,"","")</f>
        <v/>
      </c>
      <c r="X1304" s="32">
        <f>IF($A1304=1,IF($R1304=1,"",IF($O1304=ST_POST,IF($P1304&lt;&gt;"",$P1304,"حساب غير صالح أو غير نشط"),IF($O1304=ST_REV,"معكوس: لا أثر على الدفاتر",IF($O1304=ST_CANC,"ملغى",IF($O1304=ST_APPR,"معتمد ولم يُرحَّل","مسودة"))))),"")</f>
        <v/>
      </c>
      <c r="Y1304" s="32">
        <f>IF($A1304=1,IF(AND($R1304=1,OR(LG_Acct="",$G1304=LG_Acct),OR(LG_Party="",$K1304=LG_Party),OR(LG_Loc="ALL",$I1304=LG_Loc),OR(LG_CC="ALL",$J1304=LG_CC),$D1304&gt;=LG_From,$D1304&lt;=LG_To),$D1304+ROW()/1000000,""),"")</f>
        <v/>
      </c>
      <c r="Z1304" s="32">
        <f>IF($A1304=1,IF(Supplier_Invoices!$P20="","",Supplier_Invoices!$P20),"")</f>
        <v/>
      </c>
      <c r="AA1304" s="32">
        <f>IF($A1304=1,IF(Supplier_Invoices!$Q20="","",Supplier_Invoices!$Q20),"")</f>
        <v/>
      </c>
      <c r="AB1304" s="32">
        <f>IF($A1304=1,IF(Supplier_Invoices!$R20="","",Supplier_Invoices!$R20),"")</f>
        <v/>
      </c>
      <c r="AC1304" s="32">
        <f>IF($A1304=1,IF(Supplier_Invoices!$S20="","",Supplier_Invoices!$S20),"")</f>
        <v/>
      </c>
      <c r="AD1304" s="32">
        <f>IF($A1304=1,IF(Supplier_Invoices!$T20="","",Supplier_Invoices!$T20),"")</f>
        <v/>
      </c>
      <c r="AE1304" s="32">
        <f>IF($A1304=1,0,"")</f>
        <v/>
      </c>
      <c r="AF1304" s="32" t="inlineStr"/>
    </row>
    <row r="1305">
      <c r="A1305" s="32">
        <f>IF(AND(Supplier_Invoices!$AD20=1,N(Supplier_Invoices!$K20)&gt;0),1,0)</f>
        <v/>
      </c>
      <c r="B1305" s="32">
        <f>IF($A1305=1,$E1305&amp;"/2","")</f>
        <v/>
      </c>
      <c r="C1305" s="32">
        <f>IF($A1305=1,"J-"&amp;Supplier_Invoices!$A20,"")</f>
        <v/>
      </c>
      <c r="D1305" s="33">
        <f>IF($A1305=1,Supplier_Invoices!$E20,"")</f>
        <v/>
      </c>
      <c r="E1305" s="32">
        <f>IF($A1305=1,IF(Supplier_Invoices!$A20="","",Supplier_Invoices!$A20),"")</f>
        <v/>
      </c>
      <c r="F1305" s="32">
        <f>IF($A1305=1,"SINV","")</f>
        <v/>
      </c>
      <c r="G1305" s="32">
        <f>IF($A1305=1,ACC_VAT_IN,"")</f>
        <v/>
      </c>
      <c r="H1305" s="32">
        <f>IF($A1305=1,IF(COUNTIF(COA!$A:$A,$G1305)=0,"حساب غير معرف",INDEX(COA!$B:$B,MATCH($G1305,COA!$A:$A,0))),"")</f>
        <v/>
      </c>
      <c r="I1305" s="32">
        <f>IF($A1305=1,IF(Supplier_Invoices!$H20="","",Supplier_Invoices!$H20),"")</f>
        <v/>
      </c>
      <c r="J1305" s="32">
        <f>IF($A1305=1,IF(Supplier_Invoices!$I20="","",Supplier_Invoices!$I20),"")</f>
        <v/>
      </c>
      <c r="K1305" s="32">
        <f>IF($A1305=1,"-","")</f>
        <v/>
      </c>
      <c r="L1305" s="32">
        <f>IF($A1305=1,"ضريبة قيمة مضافة - مدخلات","")</f>
        <v/>
      </c>
      <c r="M1305" s="43">
        <f>IF($A1305=1,IF(Supplier_Invoices!$V20="CN",0,Supplier_Invoices!$K20),"")</f>
        <v/>
      </c>
      <c r="N1305" s="43">
        <f>IF($A1305=1,IF(Supplier_Invoices!$V20="CN",Supplier_Invoices!$K20,0),"")</f>
        <v/>
      </c>
      <c r="O1305" s="32">
        <f>IF($A1305=1,Supplier_Invoices!$O20,"")</f>
        <v/>
      </c>
      <c r="P1305" s="32">
        <f>IF($A1305=1,IF(Supplier_Invoices!$AE20="","",Supplier_Invoices!$AE20),"")</f>
        <v/>
      </c>
      <c r="Q1305" s="32">
        <f>IF($A1305=1,Supplier_Invoices!$AG20,"")</f>
        <v/>
      </c>
      <c r="R1305" s="32">
        <f>IF($A1305=1,IF(AND($Q1305=1,COUNTIFS(COA!$A:$A,$G1305,COA!$R:$R,1)=1),1,0),"")</f>
        <v/>
      </c>
      <c r="S1305" s="43">
        <f>IF($A1305=1,IF($R1305=1,N($M1305),0),"")</f>
        <v/>
      </c>
      <c r="T1305" s="43">
        <f>IF($A1305=1,IF($R1305=1,N($N1305),0),"")</f>
        <v/>
      </c>
      <c r="U1305" s="32">
        <f>IF($A1305=1,YEAR($D1305)*100+MONTH($D1305),"")</f>
        <v/>
      </c>
      <c r="V1305" s="32">
        <f>IF($A1305=1,IF(COUNTIF(COA!$A:$A,$G1305)=0,0,INDEX(COA!$H:$H,MATCH($G1305,COA!$A:$A,0))),"")</f>
        <v/>
      </c>
      <c r="W1305" s="32">
        <f>IF($A1305=1,"","")</f>
        <v/>
      </c>
      <c r="X1305" s="32">
        <f>IF($A1305=1,IF($R1305=1,"",IF($O1305=ST_POST,IF($P1305&lt;&gt;"",$P1305,"حساب غير صالح أو غير نشط"),IF($O1305=ST_REV,"معكوس: لا أثر على الدفاتر",IF($O1305=ST_CANC,"ملغى",IF($O1305=ST_APPR,"معتمد ولم يُرحَّل","مسودة"))))),"")</f>
        <v/>
      </c>
      <c r="Y1305" s="32">
        <f>IF($A1305=1,IF(AND($R1305=1,OR(LG_Acct="",$G1305=LG_Acct),OR(LG_Party="",$K1305=LG_Party),OR(LG_Loc="ALL",$I1305=LG_Loc),OR(LG_CC="ALL",$J1305=LG_CC),$D1305&gt;=LG_From,$D1305&lt;=LG_To),$D1305+ROW()/1000000,""),"")</f>
        <v/>
      </c>
      <c r="Z1305" s="32">
        <f>IF($A1305=1,IF(Supplier_Invoices!$P20="","",Supplier_Invoices!$P20),"")</f>
        <v/>
      </c>
      <c r="AA1305" s="32">
        <f>IF($A1305=1,IF(Supplier_Invoices!$Q20="","",Supplier_Invoices!$Q20),"")</f>
        <v/>
      </c>
      <c r="AB1305" s="32">
        <f>IF($A1305=1,IF(Supplier_Invoices!$R20="","",Supplier_Invoices!$R20),"")</f>
        <v/>
      </c>
      <c r="AC1305" s="32">
        <f>IF($A1305=1,IF(Supplier_Invoices!$S20="","",Supplier_Invoices!$S20),"")</f>
        <v/>
      </c>
      <c r="AD1305" s="32">
        <f>IF($A1305=1,IF(Supplier_Invoices!$T20="","",Supplier_Invoices!$T20),"")</f>
        <v/>
      </c>
      <c r="AE1305" s="32">
        <f>IF($A1305=1,0,"")</f>
        <v/>
      </c>
      <c r="AF1305" s="32" t="inlineStr"/>
    </row>
    <row r="1306">
      <c r="A1306" s="32">
        <f>IF(AND(Supplier_Invoices!$AD20=1,N(Supplier_Invoices!$W20)&gt;0),1,0)</f>
        <v/>
      </c>
      <c r="B1306" s="32">
        <f>IF($A1306=1,$E1306&amp;"/3","")</f>
        <v/>
      </c>
      <c r="C1306" s="32">
        <f>IF($A1306=1,"J-"&amp;Supplier_Invoices!$A20,"")</f>
        <v/>
      </c>
      <c r="D1306" s="33">
        <f>IF($A1306=1,Supplier_Invoices!$E20,"")</f>
        <v/>
      </c>
      <c r="E1306" s="32">
        <f>IF($A1306=1,IF(Supplier_Invoices!$A20="","",Supplier_Invoices!$A20),"")</f>
        <v/>
      </c>
      <c r="F1306" s="32">
        <f>IF($A1306=1,"SINV","")</f>
        <v/>
      </c>
      <c r="G1306" s="32">
        <f>IF($A1306=1,ACC_SUPPLIERS,"")</f>
        <v/>
      </c>
      <c r="H1306" s="32">
        <f>IF($A1306=1,IF(COUNTIF(COA!$A:$A,$G1306)=0,"حساب غير معرف",INDEX(COA!$B:$B,MATCH($G1306,COA!$A:$A,0))),"")</f>
        <v/>
      </c>
      <c r="I1306" s="32">
        <f>IF($A1306=1,IF(Supplier_Invoices!$H20="","",Supplier_Invoices!$H20),"")</f>
        <v/>
      </c>
      <c r="J1306" s="32">
        <f>IF($A1306=1,"CC00","")</f>
        <v/>
      </c>
      <c r="K1306" s="32">
        <f>IF($A1306=1,IF(Supplier_Invoices!$C20="","",Supplier_Invoices!$C20),"")</f>
        <v/>
      </c>
      <c r="L1306" s="32">
        <f>IF($A1306=1,Supplier_Invoices!$F20&amp;" "&amp;Supplier_Invoices!$B20&amp;" - "&amp;Supplier_Invoices!$C20,"")</f>
        <v/>
      </c>
      <c r="M1306" s="43">
        <f>IF($A1306=1,IF(Supplier_Invoices!$V20="CN",Supplier_Invoices!$W20,0),"")</f>
        <v/>
      </c>
      <c r="N1306" s="43">
        <f>IF($A1306=1,IF(Supplier_Invoices!$V20="CN",0,Supplier_Invoices!$W20),"")</f>
        <v/>
      </c>
      <c r="O1306" s="32">
        <f>IF($A1306=1,Supplier_Invoices!$O20,"")</f>
        <v/>
      </c>
      <c r="P1306" s="32">
        <f>IF($A1306=1,IF(Supplier_Invoices!$AE20="","",Supplier_Invoices!$AE20),"")</f>
        <v/>
      </c>
      <c r="Q1306" s="32">
        <f>IF($A1306=1,Supplier_Invoices!$AG20,"")</f>
        <v/>
      </c>
      <c r="R1306" s="32">
        <f>IF($A1306=1,IF(AND($Q1306=1,COUNTIFS(COA!$A:$A,$G1306,COA!$R:$R,1)=1),1,0),"")</f>
        <v/>
      </c>
      <c r="S1306" s="43">
        <f>IF($A1306=1,IF($R1306=1,N($M1306),0),"")</f>
        <v/>
      </c>
      <c r="T1306" s="43">
        <f>IF($A1306=1,IF($R1306=1,N($N1306),0),"")</f>
        <v/>
      </c>
      <c r="U1306" s="32">
        <f>IF($A1306=1,YEAR($D1306)*100+MONTH($D1306),"")</f>
        <v/>
      </c>
      <c r="V1306" s="32">
        <f>IF($A1306=1,IF(COUNTIF(COA!$A:$A,$G1306)=0,0,INDEX(COA!$H:$H,MATCH($G1306,COA!$A:$A,0))),"")</f>
        <v/>
      </c>
      <c r="W1306" s="32">
        <f>IF($A1306=1,"","")</f>
        <v/>
      </c>
      <c r="X1306" s="32">
        <f>IF($A1306=1,IF($R1306=1,"",IF($O1306=ST_POST,IF($P1306&lt;&gt;"",$P1306,"حساب غير صالح أو غير نشط"),IF($O1306=ST_REV,"معكوس: لا أثر على الدفاتر",IF($O1306=ST_CANC,"ملغى",IF($O1306=ST_APPR,"معتمد ولم يُرحَّل","مسودة"))))),"")</f>
        <v/>
      </c>
      <c r="Y1306" s="32">
        <f>IF($A1306=1,IF(AND($R1306=1,OR(LG_Acct="",$G1306=LG_Acct),OR(LG_Party="",$K1306=LG_Party),OR(LG_Loc="ALL",$I1306=LG_Loc),OR(LG_CC="ALL",$J1306=LG_CC),$D1306&gt;=LG_From,$D1306&lt;=LG_To),$D1306+ROW()/1000000,""),"")</f>
        <v/>
      </c>
      <c r="Z1306" s="32">
        <f>IF($A1306=1,IF(Supplier_Invoices!$P20="","",Supplier_Invoices!$P20),"")</f>
        <v/>
      </c>
      <c r="AA1306" s="32">
        <f>IF($A1306=1,IF(Supplier_Invoices!$Q20="","",Supplier_Invoices!$Q20),"")</f>
        <v/>
      </c>
      <c r="AB1306" s="32">
        <f>IF($A1306=1,IF(Supplier_Invoices!$R20="","",Supplier_Invoices!$R20),"")</f>
        <v/>
      </c>
      <c r="AC1306" s="32">
        <f>IF($A1306=1,IF(Supplier_Invoices!$S20="","",Supplier_Invoices!$S20),"")</f>
        <v/>
      </c>
      <c r="AD1306" s="32">
        <f>IF($A1306=1,IF(Supplier_Invoices!$T20="","",Supplier_Invoices!$T20),"")</f>
        <v/>
      </c>
      <c r="AE1306" s="32">
        <f>IF($A1306=1,0,"")</f>
        <v/>
      </c>
      <c r="AF1306" s="32" t="inlineStr"/>
    </row>
    <row r="1307">
      <c r="A1307" s="32">
        <f>IF(AND(Supplier_Invoices!$AD20=1,Supplier_Invoices!$L20&lt;&gt;"",Supplier_Invoices!$V20&lt;&gt;"CN",N(Supplier_Invoices!$W20)&gt;0),1,0)</f>
        <v/>
      </c>
      <c r="B1307" s="32">
        <f>IF($A1307=1,$E1307&amp;"/4","")</f>
        <v/>
      </c>
      <c r="C1307" s="32">
        <f>IF($A1307=1,"J-"&amp;Supplier_Invoices!$A20,"")</f>
        <v/>
      </c>
      <c r="D1307" s="33">
        <f>IF($A1307=1,Supplier_Invoices!$E20,"")</f>
        <v/>
      </c>
      <c r="E1307" s="32">
        <f>IF($A1307=1,IF(Supplier_Invoices!$A20="","",Supplier_Invoices!$A20),"")</f>
        <v/>
      </c>
      <c r="F1307" s="32">
        <f>IF($A1307=1,"SINV","")</f>
        <v/>
      </c>
      <c r="G1307" s="32">
        <f>IF($A1307=1,ACC_SUPPLIERS,"")</f>
        <v/>
      </c>
      <c r="H1307" s="32">
        <f>IF($A1307=1,IF(COUNTIF(COA!$A:$A,$G1307)=0,"حساب غير معرف",INDEX(COA!$B:$B,MATCH($G1307,COA!$A:$A,0))),"")</f>
        <v/>
      </c>
      <c r="I1307" s="32">
        <f>IF($A1307=1,IF(Supplier_Invoices!$H20="","",Supplier_Invoices!$H20),"")</f>
        <v/>
      </c>
      <c r="J1307" s="32">
        <f>IF($A1307=1,"CC00","")</f>
        <v/>
      </c>
      <c r="K1307" s="32">
        <f>IF($A1307=1,IF(Supplier_Invoices!$C20="","",Supplier_Invoices!$C20),"")</f>
        <v/>
      </c>
      <c r="L1307" s="32">
        <f>IF($A1307=1,"سداد فوري - "&amp;Supplier_Invoices!$F20&amp;" "&amp;Supplier_Invoices!$B20&amp;" - "&amp;Supplier_Invoices!$C20,"")</f>
        <v/>
      </c>
      <c r="M1307" s="43">
        <f>IF($A1307=1,Supplier_Invoices!$W20,"")</f>
        <v/>
      </c>
      <c r="N1307" s="43">
        <f>IF($A1307=1,0,"")</f>
        <v/>
      </c>
      <c r="O1307" s="32">
        <f>IF($A1307=1,Supplier_Invoices!$O20,"")</f>
        <v/>
      </c>
      <c r="P1307" s="32">
        <f>IF($A1307=1,IF(Supplier_Invoices!$AE20="","",Supplier_Invoices!$AE20),"")</f>
        <v/>
      </c>
      <c r="Q1307" s="32">
        <f>IF($A1307=1,Supplier_Invoices!$AG20,"")</f>
        <v/>
      </c>
      <c r="R1307" s="32">
        <f>IF($A1307=1,IF(AND($Q1307=1,COUNTIFS(COA!$A:$A,$G1307,COA!$R:$R,1)=1),1,0),"")</f>
        <v/>
      </c>
      <c r="S1307" s="43">
        <f>IF($A1307=1,IF($R1307=1,N($M1307),0),"")</f>
        <v/>
      </c>
      <c r="T1307" s="43">
        <f>IF($A1307=1,IF($R1307=1,N($N1307),0),"")</f>
        <v/>
      </c>
      <c r="U1307" s="32">
        <f>IF($A1307=1,YEAR($D1307)*100+MONTH($D1307),"")</f>
        <v/>
      </c>
      <c r="V1307" s="32">
        <f>IF($A1307=1,IF(COUNTIF(COA!$A:$A,$G1307)=0,0,INDEX(COA!$H:$H,MATCH($G1307,COA!$A:$A,0))),"")</f>
        <v/>
      </c>
      <c r="W1307" s="32">
        <f>IF($A1307=1,"","")</f>
        <v/>
      </c>
      <c r="X1307" s="32">
        <f>IF($A1307=1,IF($R1307=1,"",IF($O1307=ST_POST,IF($P1307&lt;&gt;"",$P1307,"حساب غير صالح أو غير نشط"),IF($O1307=ST_REV,"معكوس: لا أثر على الدفاتر",IF($O1307=ST_CANC,"ملغى",IF($O1307=ST_APPR,"معتمد ولم يُرحَّل","مسودة"))))),"")</f>
        <v/>
      </c>
      <c r="Y1307" s="32">
        <f>IF($A1307=1,IF(AND($R1307=1,OR(LG_Acct="",$G1307=LG_Acct),OR(LG_Party="",$K1307=LG_Party),OR(LG_Loc="ALL",$I1307=LG_Loc),OR(LG_CC="ALL",$J1307=LG_CC),$D1307&gt;=LG_From,$D1307&lt;=LG_To),$D1307+ROW()/1000000,""),"")</f>
        <v/>
      </c>
      <c r="Z1307" s="32">
        <f>IF($A1307=1,IF(Supplier_Invoices!$P20="","",Supplier_Invoices!$P20),"")</f>
        <v/>
      </c>
      <c r="AA1307" s="32">
        <f>IF($A1307=1,IF(Supplier_Invoices!$Q20="","",Supplier_Invoices!$Q20),"")</f>
        <v/>
      </c>
      <c r="AB1307" s="32">
        <f>IF($A1307=1,IF(Supplier_Invoices!$R20="","",Supplier_Invoices!$R20),"")</f>
        <v/>
      </c>
      <c r="AC1307" s="32">
        <f>IF($A1307=1,IF(Supplier_Invoices!$S20="","",Supplier_Invoices!$S20),"")</f>
        <v/>
      </c>
      <c r="AD1307" s="32">
        <f>IF($A1307=1,IF(Supplier_Invoices!$T20="","",Supplier_Invoices!$T20),"")</f>
        <v/>
      </c>
      <c r="AE1307" s="32">
        <f>IF($A1307=1,0,"")</f>
        <v/>
      </c>
      <c r="AF1307" s="32" t="inlineStr"/>
    </row>
    <row r="1308">
      <c r="A1308" s="32">
        <f>IF(AND(Supplier_Invoices!$AD20=1,Supplier_Invoices!$L20&lt;&gt;"",Supplier_Invoices!$V20&lt;&gt;"CN",N(Supplier_Invoices!$W20)&gt;0),1,0)</f>
        <v/>
      </c>
      <c r="B1308" s="32">
        <f>IF($A1308=1,$E1308&amp;"/5","")</f>
        <v/>
      </c>
      <c r="C1308" s="32">
        <f>IF($A1308=1,"J-"&amp;Supplier_Invoices!$A20,"")</f>
        <v/>
      </c>
      <c r="D1308" s="33">
        <f>IF($A1308=1,Supplier_Invoices!$E20,"")</f>
        <v/>
      </c>
      <c r="E1308" s="32">
        <f>IF($A1308=1,IF(Supplier_Invoices!$A20="","",Supplier_Invoices!$A20),"")</f>
        <v/>
      </c>
      <c r="F1308" s="32">
        <f>IF($A1308=1,"SINV","")</f>
        <v/>
      </c>
      <c r="G1308" s="32">
        <f>IF($A1308=1,IF(Supplier_Invoices!$AA20="","",Supplier_Invoices!$AA20),"")</f>
        <v/>
      </c>
      <c r="H1308" s="32">
        <f>IF($A1308=1,IF(COUNTIF(COA!$A:$A,$G1308)=0,"حساب غير معرف",INDEX(COA!$B:$B,MATCH($G1308,COA!$A:$A,0))),"")</f>
        <v/>
      </c>
      <c r="I1308" s="32">
        <f>IF($A1308=1,IF(Supplier_Invoices!$H20="","",Supplier_Invoices!$H20),"")</f>
        <v/>
      </c>
      <c r="J1308" s="32">
        <f>IF($A1308=1,"CC00","")</f>
        <v/>
      </c>
      <c r="K1308" s="32">
        <f>IF($A1308=1,"-","")</f>
        <v/>
      </c>
      <c r="L1308" s="32">
        <f>IF($A1308=1,"سداد فوري - "&amp;Supplier_Invoices!$F20&amp;" "&amp;Supplier_Invoices!$B20&amp;" - "&amp;Supplier_Invoices!$C20,"")</f>
        <v/>
      </c>
      <c r="M1308" s="43">
        <f>IF($A1308=1,0,"")</f>
        <v/>
      </c>
      <c r="N1308" s="43">
        <f>IF($A1308=1,Supplier_Invoices!$W20,"")</f>
        <v/>
      </c>
      <c r="O1308" s="32">
        <f>IF($A1308=1,Supplier_Invoices!$O20,"")</f>
        <v/>
      </c>
      <c r="P1308" s="32">
        <f>IF($A1308=1,IF(Supplier_Invoices!$AE20="","",Supplier_Invoices!$AE20),"")</f>
        <v/>
      </c>
      <c r="Q1308" s="32">
        <f>IF($A1308=1,Supplier_Invoices!$AG20,"")</f>
        <v/>
      </c>
      <c r="R1308" s="32">
        <f>IF($A1308=1,IF(AND($Q1308=1,COUNTIFS(COA!$A:$A,$G1308,COA!$R:$R,1)=1),1,0),"")</f>
        <v/>
      </c>
      <c r="S1308" s="43">
        <f>IF($A1308=1,IF($R1308=1,N($M1308),0),"")</f>
        <v/>
      </c>
      <c r="T1308" s="43">
        <f>IF($A1308=1,IF($R1308=1,N($N1308),0),"")</f>
        <v/>
      </c>
      <c r="U1308" s="32">
        <f>IF($A1308=1,YEAR($D1308)*100+MONTH($D1308),"")</f>
        <v/>
      </c>
      <c r="V1308" s="32">
        <f>IF($A1308=1,IF(COUNTIF(COA!$A:$A,$G1308)=0,0,INDEX(COA!$H:$H,MATCH($G1308,COA!$A:$A,0))),"")</f>
        <v/>
      </c>
      <c r="W1308" s="32">
        <f>IF($A1308=1,IF(Supplier_Invoices!$AB20="","",Supplier_Invoices!$AB20),"")</f>
        <v/>
      </c>
      <c r="X1308" s="32">
        <f>IF($A1308=1,IF($R1308=1,"",IF($O1308=ST_POST,IF($P1308&lt;&gt;"",$P1308,"حساب غير صالح أو غير نشط"),IF($O1308=ST_REV,"معكوس: لا أثر على الدفاتر",IF($O1308=ST_CANC,"ملغى",IF($O1308=ST_APPR,"معتمد ولم يُرحَّل","مسودة"))))),"")</f>
        <v/>
      </c>
      <c r="Y1308" s="32">
        <f>IF($A1308=1,IF(AND($R1308=1,OR(LG_Acct="",$G1308=LG_Acct),OR(LG_Party="",$K1308=LG_Party),OR(LG_Loc="ALL",$I1308=LG_Loc),OR(LG_CC="ALL",$J1308=LG_CC),$D1308&gt;=LG_From,$D1308&lt;=LG_To),$D1308+ROW()/1000000,""),"")</f>
        <v/>
      </c>
      <c r="Z1308" s="32">
        <f>IF($A1308=1,IF(Supplier_Invoices!$P20="","",Supplier_Invoices!$P20),"")</f>
        <v/>
      </c>
      <c r="AA1308" s="32">
        <f>IF($A1308=1,IF(Supplier_Invoices!$Q20="","",Supplier_Invoices!$Q20),"")</f>
        <v/>
      </c>
      <c r="AB1308" s="32">
        <f>IF($A1308=1,IF(Supplier_Invoices!$R20="","",Supplier_Invoices!$R20),"")</f>
        <v/>
      </c>
      <c r="AC1308" s="32">
        <f>IF($A1308=1,IF(Supplier_Invoices!$S20="","",Supplier_Invoices!$S20),"")</f>
        <v/>
      </c>
      <c r="AD1308" s="32">
        <f>IF($A1308=1,IF(Supplier_Invoices!$T20="","",Supplier_Invoices!$T20),"")</f>
        <v/>
      </c>
      <c r="AE1308" s="32">
        <f>IF($A1308=1,0,"")</f>
        <v/>
      </c>
      <c r="AF1308" s="32" t="inlineStr"/>
    </row>
    <row r="1309">
      <c r="A1309" s="32">
        <f>IF(AND(Supplier_Invoices!$AD21=1,N(Supplier_Invoices!$J21)&gt;0),1,0)</f>
        <v/>
      </c>
      <c r="B1309" s="32">
        <f>IF($A1309=1,$E1309&amp;"/1","")</f>
        <v/>
      </c>
      <c r="C1309" s="32">
        <f>IF($A1309=1,"J-"&amp;Supplier_Invoices!$A21,"")</f>
        <v/>
      </c>
      <c r="D1309" s="33">
        <f>IF($A1309=1,Supplier_Invoices!$E21,"")</f>
        <v/>
      </c>
      <c r="E1309" s="32">
        <f>IF($A1309=1,IF(Supplier_Invoices!$A21="","",Supplier_Invoices!$A21),"")</f>
        <v/>
      </c>
      <c r="F1309" s="32">
        <f>IF($A1309=1,"SINV","")</f>
        <v/>
      </c>
      <c r="G1309" s="32">
        <f>IF($A1309=1,IF(Supplier_Invoices!$G21="","",Supplier_Invoices!$G21),"")</f>
        <v/>
      </c>
      <c r="H1309" s="32">
        <f>IF($A1309=1,IF(COUNTIF(COA!$A:$A,$G1309)=0,"حساب غير معرف",INDEX(COA!$B:$B,MATCH($G1309,COA!$A:$A,0))),"")</f>
        <v/>
      </c>
      <c r="I1309" s="32">
        <f>IF($A1309=1,IF(Supplier_Invoices!$H21="","",Supplier_Invoices!$H21),"")</f>
        <v/>
      </c>
      <c r="J1309" s="32">
        <f>IF($A1309=1,IF(Supplier_Invoices!$I21="","",Supplier_Invoices!$I21),"")</f>
        <v/>
      </c>
      <c r="K1309" s="32">
        <f>IF($A1309=1,"-","")</f>
        <v/>
      </c>
      <c r="L1309" s="32">
        <f>IF($A1309=1,Supplier_Invoices!$F21&amp;" "&amp;Supplier_Invoices!$B21&amp;" - "&amp;Supplier_Invoices!$C21,"")</f>
        <v/>
      </c>
      <c r="M1309" s="43">
        <f>IF($A1309=1,IF(Supplier_Invoices!$V21="CN",0,Supplier_Invoices!$J21),"")</f>
        <v/>
      </c>
      <c r="N1309" s="43">
        <f>IF($A1309=1,IF(Supplier_Invoices!$V21="CN",Supplier_Invoices!$J21,0),"")</f>
        <v/>
      </c>
      <c r="O1309" s="32">
        <f>IF($A1309=1,Supplier_Invoices!$O21,"")</f>
        <v/>
      </c>
      <c r="P1309" s="32">
        <f>IF($A1309=1,IF(Supplier_Invoices!$AE21="","",Supplier_Invoices!$AE21),"")</f>
        <v/>
      </c>
      <c r="Q1309" s="32">
        <f>IF($A1309=1,Supplier_Invoices!$AG21,"")</f>
        <v/>
      </c>
      <c r="R1309" s="32">
        <f>IF($A1309=1,IF(AND($Q1309=1,COUNTIFS(COA!$A:$A,$G1309,COA!$R:$R,1)=1),1,0),"")</f>
        <v/>
      </c>
      <c r="S1309" s="43">
        <f>IF($A1309=1,IF($R1309=1,N($M1309),0),"")</f>
        <v/>
      </c>
      <c r="T1309" s="43">
        <f>IF($A1309=1,IF($R1309=1,N($N1309),0),"")</f>
        <v/>
      </c>
      <c r="U1309" s="32">
        <f>IF($A1309=1,YEAR($D1309)*100+MONTH($D1309),"")</f>
        <v/>
      </c>
      <c r="V1309" s="32">
        <f>IF($A1309=1,IF(COUNTIF(COA!$A:$A,$G1309)=0,0,INDEX(COA!$H:$H,MATCH($G1309,COA!$A:$A,0))),"")</f>
        <v/>
      </c>
      <c r="W1309" s="32">
        <f>IF($A1309=1,"","")</f>
        <v/>
      </c>
      <c r="X1309" s="32">
        <f>IF($A1309=1,IF($R1309=1,"",IF($O1309=ST_POST,IF($P1309&lt;&gt;"",$P1309,"حساب غير صالح أو غير نشط"),IF($O1309=ST_REV,"معكوس: لا أثر على الدفاتر",IF($O1309=ST_CANC,"ملغى",IF($O1309=ST_APPR,"معتمد ولم يُرحَّل","مسودة"))))),"")</f>
        <v/>
      </c>
      <c r="Y1309" s="32">
        <f>IF($A1309=1,IF(AND($R1309=1,OR(LG_Acct="",$G1309=LG_Acct),OR(LG_Party="",$K1309=LG_Party),OR(LG_Loc="ALL",$I1309=LG_Loc),OR(LG_CC="ALL",$J1309=LG_CC),$D1309&gt;=LG_From,$D1309&lt;=LG_To),$D1309+ROW()/1000000,""),"")</f>
        <v/>
      </c>
      <c r="Z1309" s="32">
        <f>IF($A1309=1,IF(Supplier_Invoices!$P21="","",Supplier_Invoices!$P21),"")</f>
        <v/>
      </c>
      <c r="AA1309" s="32">
        <f>IF($A1309=1,IF(Supplier_Invoices!$Q21="","",Supplier_Invoices!$Q21),"")</f>
        <v/>
      </c>
      <c r="AB1309" s="32">
        <f>IF($A1309=1,IF(Supplier_Invoices!$R21="","",Supplier_Invoices!$R21),"")</f>
        <v/>
      </c>
      <c r="AC1309" s="32">
        <f>IF($A1309=1,IF(Supplier_Invoices!$S21="","",Supplier_Invoices!$S21),"")</f>
        <v/>
      </c>
      <c r="AD1309" s="32">
        <f>IF($A1309=1,IF(Supplier_Invoices!$T21="","",Supplier_Invoices!$T21),"")</f>
        <v/>
      </c>
      <c r="AE1309" s="32">
        <f>IF($A1309=1,0,"")</f>
        <v/>
      </c>
      <c r="AF1309" s="32" t="inlineStr"/>
    </row>
    <row r="1310">
      <c r="A1310" s="32">
        <f>IF(AND(Supplier_Invoices!$AD21=1,N(Supplier_Invoices!$K21)&gt;0),1,0)</f>
        <v/>
      </c>
      <c r="B1310" s="32">
        <f>IF($A1310=1,$E1310&amp;"/2","")</f>
        <v/>
      </c>
      <c r="C1310" s="32">
        <f>IF($A1310=1,"J-"&amp;Supplier_Invoices!$A21,"")</f>
        <v/>
      </c>
      <c r="D1310" s="33">
        <f>IF($A1310=1,Supplier_Invoices!$E21,"")</f>
        <v/>
      </c>
      <c r="E1310" s="32">
        <f>IF($A1310=1,IF(Supplier_Invoices!$A21="","",Supplier_Invoices!$A21),"")</f>
        <v/>
      </c>
      <c r="F1310" s="32">
        <f>IF($A1310=1,"SINV","")</f>
        <v/>
      </c>
      <c r="G1310" s="32">
        <f>IF($A1310=1,ACC_VAT_IN,"")</f>
        <v/>
      </c>
      <c r="H1310" s="32">
        <f>IF($A1310=1,IF(COUNTIF(COA!$A:$A,$G1310)=0,"حساب غير معرف",INDEX(COA!$B:$B,MATCH($G1310,COA!$A:$A,0))),"")</f>
        <v/>
      </c>
      <c r="I1310" s="32">
        <f>IF($A1310=1,IF(Supplier_Invoices!$H21="","",Supplier_Invoices!$H21),"")</f>
        <v/>
      </c>
      <c r="J1310" s="32">
        <f>IF($A1310=1,IF(Supplier_Invoices!$I21="","",Supplier_Invoices!$I21),"")</f>
        <v/>
      </c>
      <c r="K1310" s="32">
        <f>IF($A1310=1,"-","")</f>
        <v/>
      </c>
      <c r="L1310" s="32">
        <f>IF($A1310=1,"ضريبة قيمة مضافة - مدخلات","")</f>
        <v/>
      </c>
      <c r="M1310" s="43">
        <f>IF($A1310=1,IF(Supplier_Invoices!$V21="CN",0,Supplier_Invoices!$K21),"")</f>
        <v/>
      </c>
      <c r="N1310" s="43">
        <f>IF($A1310=1,IF(Supplier_Invoices!$V21="CN",Supplier_Invoices!$K21,0),"")</f>
        <v/>
      </c>
      <c r="O1310" s="32">
        <f>IF($A1310=1,Supplier_Invoices!$O21,"")</f>
        <v/>
      </c>
      <c r="P1310" s="32">
        <f>IF($A1310=1,IF(Supplier_Invoices!$AE21="","",Supplier_Invoices!$AE21),"")</f>
        <v/>
      </c>
      <c r="Q1310" s="32">
        <f>IF($A1310=1,Supplier_Invoices!$AG21,"")</f>
        <v/>
      </c>
      <c r="R1310" s="32">
        <f>IF($A1310=1,IF(AND($Q1310=1,COUNTIFS(COA!$A:$A,$G1310,COA!$R:$R,1)=1),1,0),"")</f>
        <v/>
      </c>
      <c r="S1310" s="43">
        <f>IF($A1310=1,IF($R1310=1,N($M1310),0),"")</f>
        <v/>
      </c>
      <c r="T1310" s="43">
        <f>IF($A1310=1,IF($R1310=1,N($N1310),0),"")</f>
        <v/>
      </c>
      <c r="U1310" s="32">
        <f>IF($A1310=1,YEAR($D1310)*100+MONTH($D1310),"")</f>
        <v/>
      </c>
      <c r="V1310" s="32">
        <f>IF($A1310=1,IF(COUNTIF(COA!$A:$A,$G1310)=0,0,INDEX(COA!$H:$H,MATCH($G1310,COA!$A:$A,0))),"")</f>
        <v/>
      </c>
      <c r="W1310" s="32">
        <f>IF($A1310=1,"","")</f>
        <v/>
      </c>
      <c r="X1310" s="32">
        <f>IF($A1310=1,IF($R1310=1,"",IF($O1310=ST_POST,IF($P1310&lt;&gt;"",$P1310,"حساب غير صالح أو غير نشط"),IF($O1310=ST_REV,"معكوس: لا أثر على الدفاتر",IF($O1310=ST_CANC,"ملغى",IF($O1310=ST_APPR,"معتمد ولم يُرحَّل","مسودة"))))),"")</f>
        <v/>
      </c>
      <c r="Y1310" s="32">
        <f>IF($A1310=1,IF(AND($R1310=1,OR(LG_Acct="",$G1310=LG_Acct),OR(LG_Party="",$K1310=LG_Party),OR(LG_Loc="ALL",$I1310=LG_Loc),OR(LG_CC="ALL",$J1310=LG_CC),$D1310&gt;=LG_From,$D1310&lt;=LG_To),$D1310+ROW()/1000000,""),"")</f>
        <v/>
      </c>
      <c r="Z1310" s="32">
        <f>IF($A1310=1,IF(Supplier_Invoices!$P21="","",Supplier_Invoices!$P21),"")</f>
        <v/>
      </c>
      <c r="AA1310" s="32">
        <f>IF($A1310=1,IF(Supplier_Invoices!$Q21="","",Supplier_Invoices!$Q21),"")</f>
        <v/>
      </c>
      <c r="AB1310" s="32">
        <f>IF($A1310=1,IF(Supplier_Invoices!$R21="","",Supplier_Invoices!$R21),"")</f>
        <v/>
      </c>
      <c r="AC1310" s="32">
        <f>IF($A1310=1,IF(Supplier_Invoices!$S21="","",Supplier_Invoices!$S21),"")</f>
        <v/>
      </c>
      <c r="AD1310" s="32">
        <f>IF($A1310=1,IF(Supplier_Invoices!$T21="","",Supplier_Invoices!$T21),"")</f>
        <v/>
      </c>
      <c r="AE1310" s="32">
        <f>IF($A1310=1,0,"")</f>
        <v/>
      </c>
      <c r="AF1310" s="32" t="inlineStr"/>
    </row>
    <row r="1311">
      <c r="A1311" s="32">
        <f>IF(AND(Supplier_Invoices!$AD21=1,N(Supplier_Invoices!$W21)&gt;0),1,0)</f>
        <v/>
      </c>
      <c r="B1311" s="32">
        <f>IF($A1311=1,$E1311&amp;"/3","")</f>
        <v/>
      </c>
      <c r="C1311" s="32">
        <f>IF($A1311=1,"J-"&amp;Supplier_Invoices!$A21,"")</f>
        <v/>
      </c>
      <c r="D1311" s="33">
        <f>IF($A1311=1,Supplier_Invoices!$E21,"")</f>
        <v/>
      </c>
      <c r="E1311" s="32">
        <f>IF($A1311=1,IF(Supplier_Invoices!$A21="","",Supplier_Invoices!$A21),"")</f>
        <v/>
      </c>
      <c r="F1311" s="32">
        <f>IF($A1311=1,"SINV","")</f>
        <v/>
      </c>
      <c r="G1311" s="32">
        <f>IF($A1311=1,ACC_SUPPLIERS,"")</f>
        <v/>
      </c>
      <c r="H1311" s="32">
        <f>IF($A1311=1,IF(COUNTIF(COA!$A:$A,$G1311)=0,"حساب غير معرف",INDEX(COA!$B:$B,MATCH($G1311,COA!$A:$A,0))),"")</f>
        <v/>
      </c>
      <c r="I1311" s="32">
        <f>IF($A1311=1,IF(Supplier_Invoices!$H21="","",Supplier_Invoices!$H21),"")</f>
        <v/>
      </c>
      <c r="J1311" s="32">
        <f>IF($A1311=1,"CC00","")</f>
        <v/>
      </c>
      <c r="K1311" s="32">
        <f>IF($A1311=1,IF(Supplier_Invoices!$C21="","",Supplier_Invoices!$C21),"")</f>
        <v/>
      </c>
      <c r="L1311" s="32">
        <f>IF($A1311=1,Supplier_Invoices!$F21&amp;" "&amp;Supplier_Invoices!$B21&amp;" - "&amp;Supplier_Invoices!$C21,"")</f>
        <v/>
      </c>
      <c r="M1311" s="43">
        <f>IF($A1311=1,IF(Supplier_Invoices!$V21="CN",Supplier_Invoices!$W21,0),"")</f>
        <v/>
      </c>
      <c r="N1311" s="43">
        <f>IF($A1311=1,IF(Supplier_Invoices!$V21="CN",0,Supplier_Invoices!$W21),"")</f>
        <v/>
      </c>
      <c r="O1311" s="32">
        <f>IF($A1311=1,Supplier_Invoices!$O21,"")</f>
        <v/>
      </c>
      <c r="P1311" s="32">
        <f>IF($A1311=1,IF(Supplier_Invoices!$AE21="","",Supplier_Invoices!$AE21),"")</f>
        <v/>
      </c>
      <c r="Q1311" s="32">
        <f>IF($A1311=1,Supplier_Invoices!$AG21,"")</f>
        <v/>
      </c>
      <c r="R1311" s="32">
        <f>IF($A1311=1,IF(AND($Q1311=1,COUNTIFS(COA!$A:$A,$G1311,COA!$R:$R,1)=1),1,0),"")</f>
        <v/>
      </c>
      <c r="S1311" s="43">
        <f>IF($A1311=1,IF($R1311=1,N($M1311),0),"")</f>
        <v/>
      </c>
      <c r="T1311" s="43">
        <f>IF($A1311=1,IF($R1311=1,N($N1311),0),"")</f>
        <v/>
      </c>
      <c r="U1311" s="32">
        <f>IF($A1311=1,YEAR($D1311)*100+MONTH($D1311),"")</f>
        <v/>
      </c>
      <c r="V1311" s="32">
        <f>IF($A1311=1,IF(COUNTIF(COA!$A:$A,$G1311)=0,0,INDEX(COA!$H:$H,MATCH($G1311,COA!$A:$A,0))),"")</f>
        <v/>
      </c>
      <c r="W1311" s="32">
        <f>IF($A1311=1,"","")</f>
        <v/>
      </c>
      <c r="X1311" s="32">
        <f>IF($A1311=1,IF($R1311=1,"",IF($O1311=ST_POST,IF($P1311&lt;&gt;"",$P1311,"حساب غير صالح أو غير نشط"),IF($O1311=ST_REV,"معكوس: لا أثر على الدفاتر",IF($O1311=ST_CANC,"ملغى",IF($O1311=ST_APPR,"معتمد ولم يُرحَّل","مسودة"))))),"")</f>
        <v/>
      </c>
      <c r="Y1311" s="32">
        <f>IF($A1311=1,IF(AND($R1311=1,OR(LG_Acct="",$G1311=LG_Acct),OR(LG_Party="",$K1311=LG_Party),OR(LG_Loc="ALL",$I1311=LG_Loc),OR(LG_CC="ALL",$J1311=LG_CC),$D1311&gt;=LG_From,$D1311&lt;=LG_To),$D1311+ROW()/1000000,""),"")</f>
        <v/>
      </c>
      <c r="Z1311" s="32">
        <f>IF($A1311=1,IF(Supplier_Invoices!$P21="","",Supplier_Invoices!$P21),"")</f>
        <v/>
      </c>
      <c r="AA1311" s="32">
        <f>IF($A1311=1,IF(Supplier_Invoices!$Q21="","",Supplier_Invoices!$Q21),"")</f>
        <v/>
      </c>
      <c r="AB1311" s="32">
        <f>IF($A1311=1,IF(Supplier_Invoices!$R21="","",Supplier_Invoices!$R21),"")</f>
        <v/>
      </c>
      <c r="AC1311" s="32">
        <f>IF($A1311=1,IF(Supplier_Invoices!$S21="","",Supplier_Invoices!$S21),"")</f>
        <v/>
      </c>
      <c r="AD1311" s="32">
        <f>IF($A1311=1,IF(Supplier_Invoices!$T21="","",Supplier_Invoices!$T21),"")</f>
        <v/>
      </c>
      <c r="AE1311" s="32">
        <f>IF($A1311=1,0,"")</f>
        <v/>
      </c>
      <c r="AF1311" s="32" t="inlineStr"/>
    </row>
    <row r="1312">
      <c r="A1312" s="32">
        <f>IF(AND(Supplier_Invoices!$AD21=1,Supplier_Invoices!$L21&lt;&gt;"",Supplier_Invoices!$V21&lt;&gt;"CN",N(Supplier_Invoices!$W21)&gt;0),1,0)</f>
        <v/>
      </c>
      <c r="B1312" s="32">
        <f>IF($A1312=1,$E1312&amp;"/4","")</f>
        <v/>
      </c>
      <c r="C1312" s="32">
        <f>IF($A1312=1,"J-"&amp;Supplier_Invoices!$A21,"")</f>
        <v/>
      </c>
      <c r="D1312" s="33">
        <f>IF($A1312=1,Supplier_Invoices!$E21,"")</f>
        <v/>
      </c>
      <c r="E1312" s="32">
        <f>IF($A1312=1,IF(Supplier_Invoices!$A21="","",Supplier_Invoices!$A21),"")</f>
        <v/>
      </c>
      <c r="F1312" s="32">
        <f>IF($A1312=1,"SINV","")</f>
        <v/>
      </c>
      <c r="G1312" s="32">
        <f>IF($A1312=1,ACC_SUPPLIERS,"")</f>
        <v/>
      </c>
      <c r="H1312" s="32">
        <f>IF($A1312=1,IF(COUNTIF(COA!$A:$A,$G1312)=0,"حساب غير معرف",INDEX(COA!$B:$B,MATCH($G1312,COA!$A:$A,0))),"")</f>
        <v/>
      </c>
      <c r="I1312" s="32">
        <f>IF($A1312=1,IF(Supplier_Invoices!$H21="","",Supplier_Invoices!$H21),"")</f>
        <v/>
      </c>
      <c r="J1312" s="32">
        <f>IF($A1312=1,"CC00","")</f>
        <v/>
      </c>
      <c r="K1312" s="32">
        <f>IF($A1312=1,IF(Supplier_Invoices!$C21="","",Supplier_Invoices!$C21),"")</f>
        <v/>
      </c>
      <c r="L1312" s="32">
        <f>IF($A1312=1,"سداد فوري - "&amp;Supplier_Invoices!$F21&amp;" "&amp;Supplier_Invoices!$B21&amp;" - "&amp;Supplier_Invoices!$C21,"")</f>
        <v/>
      </c>
      <c r="M1312" s="43">
        <f>IF($A1312=1,Supplier_Invoices!$W21,"")</f>
        <v/>
      </c>
      <c r="N1312" s="43">
        <f>IF($A1312=1,0,"")</f>
        <v/>
      </c>
      <c r="O1312" s="32">
        <f>IF($A1312=1,Supplier_Invoices!$O21,"")</f>
        <v/>
      </c>
      <c r="P1312" s="32">
        <f>IF($A1312=1,IF(Supplier_Invoices!$AE21="","",Supplier_Invoices!$AE21),"")</f>
        <v/>
      </c>
      <c r="Q1312" s="32">
        <f>IF($A1312=1,Supplier_Invoices!$AG21,"")</f>
        <v/>
      </c>
      <c r="R1312" s="32">
        <f>IF($A1312=1,IF(AND($Q1312=1,COUNTIFS(COA!$A:$A,$G1312,COA!$R:$R,1)=1),1,0),"")</f>
        <v/>
      </c>
      <c r="S1312" s="43">
        <f>IF($A1312=1,IF($R1312=1,N($M1312),0),"")</f>
        <v/>
      </c>
      <c r="T1312" s="43">
        <f>IF($A1312=1,IF($R1312=1,N($N1312),0),"")</f>
        <v/>
      </c>
      <c r="U1312" s="32">
        <f>IF($A1312=1,YEAR($D1312)*100+MONTH($D1312),"")</f>
        <v/>
      </c>
      <c r="V1312" s="32">
        <f>IF($A1312=1,IF(COUNTIF(COA!$A:$A,$G1312)=0,0,INDEX(COA!$H:$H,MATCH($G1312,COA!$A:$A,0))),"")</f>
        <v/>
      </c>
      <c r="W1312" s="32">
        <f>IF($A1312=1,"","")</f>
        <v/>
      </c>
      <c r="X1312" s="32">
        <f>IF($A1312=1,IF($R1312=1,"",IF($O1312=ST_POST,IF($P1312&lt;&gt;"",$P1312,"حساب غير صالح أو غير نشط"),IF($O1312=ST_REV,"معكوس: لا أثر على الدفاتر",IF($O1312=ST_CANC,"ملغى",IF($O1312=ST_APPR,"معتمد ولم يُرحَّل","مسودة"))))),"")</f>
        <v/>
      </c>
      <c r="Y1312" s="32">
        <f>IF($A1312=1,IF(AND($R1312=1,OR(LG_Acct="",$G1312=LG_Acct),OR(LG_Party="",$K1312=LG_Party),OR(LG_Loc="ALL",$I1312=LG_Loc),OR(LG_CC="ALL",$J1312=LG_CC),$D1312&gt;=LG_From,$D1312&lt;=LG_To),$D1312+ROW()/1000000,""),"")</f>
        <v/>
      </c>
      <c r="Z1312" s="32">
        <f>IF($A1312=1,IF(Supplier_Invoices!$P21="","",Supplier_Invoices!$P21),"")</f>
        <v/>
      </c>
      <c r="AA1312" s="32">
        <f>IF($A1312=1,IF(Supplier_Invoices!$Q21="","",Supplier_Invoices!$Q21),"")</f>
        <v/>
      </c>
      <c r="AB1312" s="32">
        <f>IF($A1312=1,IF(Supplier_Invoices!$R21="","",Supplier_Invoices!$R21),"")</f>
        <v/>
      </c>
      <c r="AC1312" s="32">
        <f>IF($A1312=1,IF(Supplier_Invoices!$S21="","",Supplier_Invoices!$S21),"")</f>
        <v/>
      </c>
      <c r="AD1312" s="32">
        <f>IF($A1312=1,IF(Supplier_Invoices!$T21="","",Supplier_Invoices!$T21),"")</f>
        <v/>
      </c>
      <c r="AE1312" s="32">
        <f>IF($A1312=1,0,"")</f>
        <v/>
      </c>
      <c r="AF1312" s="32" t="inlineStr"/>
    </row>
    <row r="1313">
      <c r="A1313" s="32">
        <f>IF(AND(Supplier_Invoices!$AD21=1,Supplier_Invoices!$L21&lt;&gt;"",Supplier_Invoices!$V21&lt;&gt;"CN",N(Supplier_Invoices!$W21)&gt;0),1,0)</f>
        <v/>
      </c>
      <c r="B1313" s="32">
        <f>IF($A1313=1,$E1313&amp;"/5","")</f>
        <v/>
      </c>
      <c r="C1313" s="32">
        <f>IF($A1313=1,"J-"&amp;Supplier_Invoices!$A21,"")</f>
        <v/>
      </c>
      <c r="D1313" s="33">
        <f>IF($A1313=1,Supplier_Invoices!$E21,"")</f>
        <v/>
      </c>
      <c r="E1313" s="32">
        <f>IF($A1313=1,IF(Supplier_Invoices!$A21="","",Supplier_Invoices!$A21),"")</f>
        <v/>
      </c>
      <c r="F1313" s="32">
        <f>IF($A1313=1,"SINV","")</f>
        <v/>
      </c>
      <c r="G1313" s="32">
        <f>IF($A1313=1,IF(Supplier_Invoices!$AA21="","",Supplier_Invoices!$AA21),"")</f>
        <v/>
      </c>
      <c r="H1313" s="32">
        <f>IF($A1313=1,IF(COUNTIF(COA!$A:$A,$G1313)=0,"حساب غير معرف",INDEX(COA!$B:$B,MATCH($G1313,COA!$A:$A,0))),"")</f>
        <v/>
      </c>
      <c r="I1313" s="32">
        <f>IF($A1313=1,IF(Supplier_Invoices!$H21="","",Supplier_Invoices!$H21),"")</f>
        <v/>
      </c>
      <c r="J1313" s="32">
        <f>IF($A1313=1,"CC00","")</f>
        <v/>
      </c>
      <c r="K1313" s="32">
        <f>IF($A1313=1,"-","")</f>
        <v/>
      </c>
      <c r="L1313" s="32">
        <f>IF($A1313=1,"سداد فوري - "&amp;Supplier_Invoices!$F21&amp;" "&amp;Supplier_Invoices!$B21&amp;" - "&amp;Supplier_Invoices!$C21,"")</f>
        <v/>
      </c>
      <c r="M1313" s="43">
        <f>IF($A1313=1,0,"")</f>
        <v/>
      </c>
      <c r="N1313" s="43">
        <f>IF($A1313=1,Supplier_Invoices!$W21,"")</f>
        <v/>
      </c>
      <c r="O1313" s="32">
        <f>IF($A1313=1,Supplier_Invoices!$O21,"")</f>
        <v/>
      </c>
      <c r="P1313" s="32">
        <f>IF($A1313=1,IF(Supplier_Invoices!$AE21="","",Supplier_Invoices!$AE21),"")</f>
        <v/>
      </c>
      <c r="Q1313" s="32">
        <f>IF($A1313=1,Supplier_Invoices!$AG21,"")</f>
        <v/>
      </c>
      <c r="R1313" s="32">
        <f>IF($A1313=1,IF(AND($Q1313=1,COUNTIFS(COA!$A:$A,$G1313,COA!$R:$R,1)=1),1,0),"")</f>
        <v/>
      </c>
      <c r="S1313" s="43">
        <f>IF($A1313=1,IF($R1313=1,N($M1313),0),"")</f>
        <v/>
      </c>
      <c r="T1313" s="43">
        <f>IF($A1313=1,IF($R1313=1,N($N1313),0),"")</f>
        <v/>
      </c>
      <c r="U1313" s="32">
        <f>IF($A1313=1,YEAR($D1313)*100+MONTH($D1313),"")</f>
        <v/>
      </c>
      <c r="V1313" s="32">
        <f>IF($A1313=1,IF(COUNTIF(COA!$A:$A,$G1313)=0,0,INDEX(COA!$H:$H,MATCH($G1313,COA!$A:$A,0))),"")</f>
        <v/>
      </c>
      <c r="W1313" s="32">
        <f>IF($A1313=1,IF(Supplier_Invoices!$AB21="","",Supplier_Invoices!$AB21),"")</f>
        <v/>
      </c>
      <c r="X1313" s="32">
        <f>IF($A1313=1,IF($R1313=1,"",IF($O1313=ST_POST,IF($P1313&lt;&gt;"",$P1313,"حساب غير صالح أو غير نشط"),IF($O1313=ST_REV,"معكوس: لا أثر على الدفاتر",IF($O1313=ST_CANC,"ملغى",IF($O1313=ST_APPR,"معتمد ولم يُرحَّل","مسودة"))))),"")</f>
        <v/>
      </c>
      <c r="Y1313" s="32">
        <f>IF($A1313=1,IF(AND($R1313=1,OR(LG_Acct="",$G1313=LG_Acct),OR(LG_Party="",$K1313=LG_Party),OR(LG_Loc="ALL",$I1313=LG_Loc),OR(LG_CC="ALL",$J1313=LG_CC),$D1313&gt;=LG_From,$D1313&lt;=LG_To),$D1313+ROW()/1000000,""),"")</f>
        <v/>
      </c>
      <c r="Z1313" s="32">
        <f>IF($A1313=1,IF(Supplier_Invoices!$P21="","",Supplier_Invoices!$P21),"")</f>
        <v/>
      </c>
      <c r="AA1313" s="32">
        <f>IF($A1313=1,IF(Supplier_Invoices!$Q21="","",Supplier_Invoices!$Q21),"")</f>
        <v/>
      </c>
      <c r="AB1313" s="32">
        <f>IF($A1313=1,IF(Supplier_Invoices!$R21="","",Supplier_Invoices!$R21),"")</f>
        <v/>
      </c>
      <c r="AC1313" s="32">
        <f>IF($A1313=1,IF(Supplier_Invoices!$S21="","",Supplier_Invoices!$S21),"")</f>
        <v/>
      </c>
      <c r="AD1313" s="32">
        <f>IF($A1313=1,IF(Supplier_Invoices!$T21="","",Supplier_Invoices!$T21),"")</f>
        <v/>
      </c>
      <c r="AE1313" s="32">
        <f>IF($A1313=1,0,"")</f>
        <v/>
      </c>
      <c r="AF1313" s="32" t="inlineStr"/>
    </row>
    <row r="1314">
      <c r="A1314" s="32">
        <f>IF(AND(Supplier_Invoices!$AD22=1,N(Supplier_Invoices!$J22)&gt;0),1,0)</f>
        <v/>
      </c>
      <c r="B1314" s="32">
        <f>IF($A1314=1,$E1314&amp;"/1","")</f>
        <v/>
      </c>
      <c r="C1314" s="32">
        <f>IF($A1314=1,"J-"&amp;Supplier_Invoices!$A22,"")</f>
        <v/>
      </c>
      <c r="D1314" s="33">
        <f>IF($A1314=1,Supplier_Invoices!$E22,"")</f>
        <v/>
      </c>
      <c r="E1314" s="32">
        <f>IF($A1314=1,IF(Supplier_Invoices!$A22="","",Supplier_Invoices!$A22),"")</f>
        <v/>
      </c>
      <c r="F1314" s="32">
        <f>IF($A1314=1,"SINV","")</f>
        <v/>
      </c>
      <c r="G1314" s="32">
        <f>IF($A1314=1,IF(Supplier_Invoices!$G22="","",Supplier_Invoices!$G22),"")</f>
        <v/>
      </c>
      <c r="H1314" s="32">
        <f>IF($A1314=1,IF(COUNTIF(COA!$A:$A,$G1314)=0,"حساب غير معرف",INDEX(COA!$B:$B,MATCH($G1314,COA!$A:$A,0))),"")</f>
        <v/>
      </c>
      <c r="I1314" s="32">
        <f>IF($A1314=1,IF(Supplier_Invoices!$H22="","",Supplier_Invoices!$H22),"")</f>
        <v/>
      </c>
      <c r="J1314" s="32">
        <f>IF($A1314=1,IF(Supplier_Invoices!$I22="","",Supplier_Invoices!$I22),"")</f>
        <v/>
      </c>
      <c r="K1314" s="32">
        <f>IF($A1314=1,"-","")</f>
        <v/>
      </c>
      <c r="L1314" s="32">
        <f>IF($A1314=1,Supplier_Invoices!$F22&amp;" "&amp;Supplier_Invoices!$B22&amp;" - "&amp;Supplier_Invoices!$C22,"")</f>
        <v/>
      </c>
      <c r="M1314" s="43">
        <f>IF($A1314=1,IF(Supplier_Invoices!$V22="CN",0,Supplier_Invoices!$J22),"")</f>
        <v/>
      </c>
      <c r="N1314" s="43">
        <f>IF($A1314=1,IF(Supplier_Invoices!$V22="CN",Supplier_Invoices!$J22,0),"")</f>
        <v/>
      </c>
      <c r="O1314" s="32">
        <f>IF($A1314=1,Supplier_Invoices!$O22,"")</f>
        <v/>
      </c>
      <c r="P1314" s="32">
        <f>IF($A1314=1,IF(Supplier_Invoices!$AE22="","",Supplier_Invoices!$AE22),"")</f>
        <v/>
      </c>
      <c r="Q1314" s="32">
        <f>IF($A1314=1,Supplier_Invoices!$AG22,"")</f>
        <v/>
      </c>
      <c r="R1314" s="32">
        <f>IF($A1314=1,IF(AND($Q1314=1,COUNTIFS(COA!$A:$A,$G1314,COA!$R:$R,1)=1),1,0),"")</f>
        <v/>
      </c>
      <c r="S1314" s="43">
        <f>IF($A1314=1,IF($R1314=1,N($M1314),0),"")</f>
        <v/>
      </c>
      <c r="T1314" s="43">
        <f>IF($A1314=1,IF($R1314=1,N($N1314),0),"")</f>
        <v/>
      </c>
      <c r="U1314" s="32">
        <f>IF($A1314=1,YEAR($D1314)*100+MONTH($D1314),"")</f>
        <v/>
      </c>
      <c r="V1314" s="32">
        <f>IF($A1314=1,IF(COUNTIF(COA!$A:$A,$G1314)=0,0,INDEX(COA!$H:$H,MATCH($G1314,COA!$A:$A,0))),"")</f>
        <v/>
      </c>
      <c r="W1314" s="32">
        <f>IF($A1314=1,"","")</f>
        <v/>
      </c>
      <c r="X1314" s="32">
        <f>IF($A1314=1,IF($R1314=1,"",IF($O1314=ST_POST,IF($P1314&lt;&gt;"",$P1314,"حساب غير صالح أو غير نشط"),IF($O1314=ST_REV,"معكوس: لا أثر على الدفاتر",IF($O1314=ST_CANC,"ملغى",IF($O1314=ST_APPR,"معتمد ولم يُرحَّل","مسودة"))))),"")</f>
        <v/>
      </c>
      <c r="Y1314" s="32">
        <f>IF($A1314=1,IF(AND($R1314=1,OR(LG_Acct="",$G1314=LG_Acct),OR(LG_Party="",$K1314=LG_Party),OR(LG_Loc="ALL",$I1314=LG_Loc),OR(LG_CC="ALL",$J1314=LG_CC),$D1314&gt;=LG_From,$D1314&lt;=LG_To),$D1314+ROW()/1000000,""),"")</f>
        <v/>
      </c>
      <c r="Z1314" s="32">
        <f>IF($A1314=1,IF(Supplier_Invoices!$P22="","",Supplier_Invoices!$P22),"")</f>
        <v/>
      </c>
      <c r="AA1314" s="32">
        <f>IF($A1314=1,IF(Supplier_Invoices!$Q22="","",Supplier_Invoices!$Q22),"")</f>
        <v/>
      </c>
      <c r="AB1314" s="32">
        <f>IF($A1314=1,IF(Supplier_Invoices!$R22="","",Supplier_Invoices!$R22),"")</f>
        <v/>
      </c>
      <c r="AC1314" s="32">
        <f>IF($A1314=1,IF(Supplier_Invoices!$S22="","",Supplier_Invoices!$S22),"")</f>
        <v/>
      </c>
      <c r="AD1314" s="32">
        <f>IF($A1314=1,IF(Supplier_Invoices!$T22="","",Supplier_Invoices!$T22),"")</f>
        <v/>
      </c>
      <c r="AE1314" s="32">
        <f>IF($A1314=1,0,"")</f>
        <v/>
      </c>
      <c r="AF1314" s="32" t="inlineStr"/>
    </row>
    <row r="1315">
      <c r="A1315" s="32">
        <f>IF(AND(Supplier_Invoices!$AD22=1,N(Supplier_Invoices!$K22)&gt;0),1,0)</f>
        <v/>
      </c>
      <c r="B1315" s="32">
        <f>IF($A1315=1,$E1315&amp;"/2","")</f>
        <v/>
      </c>
      <c r="C1315" s="32">
        <f>IF($A1315=1,"J-"&amp;Supplier_Invoices!$A22,"")</f>
        <v/>
      </c>
      <c r="D1315" s="33">
        <f>IF($A1315=1,Supplier_Invoices!$E22,"")</f>
        <v/>
      </c>
      <c r="E1315" s="32">
        <f>IF($A1315=1,IF(Supplier_Invoices!$A22="","",Supplier_Invoices!$A22),"")</f>
        <v/>
      </c>
      <c r="F1315" s="32">
        <f>IF($A1315=1,"SINV","")</f>
        <v/>
      </c>
      <c r="G1315" s="32">
        <f>IF($A1315=1,ACC_VAT_IN,"")</f>
        <v/>
      </c>
      <c r="H1315" s="32">
        <f>IF($A1315=1,IF(COUNTIF(COA!$A:$A,$G1315)=0,"حساب غير معرف",INDEX(COA!$B:$B,MATCH($G1315,COA!$A:$A,0))),"")</f>
        <v/>
      </c>
      <c r="I1315" s="32">
        <f>IF($A1315=1,IF(Supplier_Invoices!$H22="","",Supplier_Invoices!$H22),"")</f>
        <v/>
      </c>
      <c r="J1315" s="32">
        <f>IF($A1315=1,IF(Supplier_Invoices!$I22="","",Supplier_Invoices!$I22),"")</f>
        <v/>
      </c>
      <c r="K1315" s="32">
        <f>IF($A1315=1,"-","")</f>
        <v/>
      </c>
      <c r="L1315" s="32">
        <f>IF($A1315=1,"ضريبة قيمة مضافة - مدخلات","")</f>
        <v/>
      </c>
      <c r="M1315" s="43">
        <f>IF($A1315=1,IF(Supplier_Invoices!$V22="CN",0,Supplier_Invoices!$K22),"")</f>
        <v/>
      </c>
      <c r="N1315" s="43">
        <f>IF($A1315=1,IF(Supplier_Invoices!$V22="CN",Supplier_Invoices!$K22,0),"")</f>
        <v/>
      </c>
      <c r="O1315" s="32">
        <f>IF($A1315=1,Supplier_Invoices!$O22,"")</f>
        <v/>
      </c>
      <c r="P1315" s="32">
        <f>IF($A1315=1,IF(Supplier_Invoices!$AE22="","",Supplier_Invoices!$AE22),"")</f>
        <v/>
      </c>
      <c r="Q1315" s="32">
        <f>IF($A1315=1,Supplier_Invoices!$AG22,"")</f>
        <v/>
      </c>
      <c r="R1315" s="32">
        <f>IF($A1315=1,IF(AND($Q1315=1,COUNTIFS(COA!$A:$A,$G1315,COA!$R:$R,1)=1),1,0),"")</f>
        <v/>
      </c>
      <c r="S1315" s="43">
        <f>IF($A1315=1,IF($R1315=1,N($M1315),0),"")</f>
        <v/>
      </c>
      <c r="T1315" s="43">
        <f>IF($A1315=1,IF($R1315=1,N($N1315),0),"")</f>
        <v/>
      </c>
      <c r="U1315" s="32">
        <f>IF($A1315=1,YEAR($D1315)*100+MONTH($D1315),"")</f>
        <v/>
      </c>
      <c r="V1315" s="32">
        <f>IF($A1315=1,IF(COUNTIF(COA!$A:$A,$G1315)=0,0,INDEX(COA!$H:$H,MATCH($G1315,COA!$A:$A,0))),"")</f>
        <v/>
      </c>
      <c r="W1315" s="32">
        <f>IF($A1315=1,"","")</f>
        <v/>
      </c>
      <c r="X1315" s="32">
        <f>IF($A1315=1,IF($R1315=1,"",IF($O1315=ST_POST,IF($P1315&lt;&gt;"",$P1315,"حساب غير صالح أو غير نشط"),IF($O1315=ST_REV,"معكوس: لا أثر على الدفاتر",IF($O1315=ST_CANC,"ملغى",IF($O1315=ST_APPR,"معتمد ولم يُرحَّل","مسودة"))))),"")</f>
        <v/>
      </c>
      <c r="Y1315" s="32">
        <f>IF($A1315=1,IF(AND($R1315=1,OR(LG_Acct="",$G1315=LG_Acct),OR(LG_Party="",$K1315=LG_Party),OR(LG_Loc="ALL",$I1315=LG_Loc),OR(LG_CC="ALL",$J1315=LG_CC),$D1315&gt;=LG_From,$D1315&lt;=LG_To),$D1315+ROW()/1000000,""),"")</f>
        <v/>
      </c>
      <c r="Z1315" s="32">
        <f>IF($A1315=1,IF(Supplier_Invoices!$P22="","",Supplier_Invoices!$P22),"")</f>
        <v/>
      </c>
      <c r="AA1315" s="32">
        <f>IF($A1315=1,IF(Supplier_Invoices!$Q22="","",Supplier_Invoices!$Q22),"")</f>
        <v/>
      </c>
      <c r="AB1315" s="32">
        <f>IF($A1315=1,IF(Supplier_Invoices!$R22="","",Supplier_Invoices!$R22),"")</f>
        <v/>
      </c>
      <c r="AC1315" s="32">
        <f>IF($A1315=1,IF(Supplier_Invoices!$S22="","",Supplier_Invoices!$S22),"")</f>
        <v/>
      </c>
      <c r="AD1315" s="32">
        <f>IF($A1315=1,IF(Supplier_Invoices!$T22="","",Supplier_Invoices!$T22),"")</f>
        <v/>
      </c>
      <c r="AE1315" s="32">
        <f>IF($A1315=1,0,"")</f>
        <v/>
      </c>
      <c r="AF1315" s="32" t="inlineStr"/>
    </row>
    <row r="1316">
      <c r="A1316" s="32">
        <f>IF(AND(Supplier_Invoices!$AD22=1,N(Supplier_Invoices!$W22)&gt;0),1,0)</f>
        <v/>
      </c>
      <c r="B1316" s="32">
        <f>IF($A1316=1,$E1316&amp;"/3","")</f>
        <v/>
      </c>
      <c r="C1316" s="32">
        <f>IF($A1316=1,"J-"&amp;Supplier_Invoices!$A22,"")</f>
        <v/>
      </c>
      <c r="D1316" s="33">
        <f>IF($A1316=1,Supplier_Invoices!$E22,"")</f>
        <v/>
      </c>
      <c r="E1316" s="32">
        <f>IF($A1316=1,IF(Supplier_Invoices!$A22="","",Supplier_Invoices!$A22),"")</f>
        <v/>
      </c>
      <c r="F1316" s="32">
        <f>IF($A1316=1,"SINV","")</f>
        <v/>
      </c>
      <c r="G1316" s="32">
        <f>IF($A1316=1,ACC_SUPPLIERS,"")</f>
        <v/>
      </c>
      <c r="H1316" s="32">
        <f>IF($A1316=1,IF(COUNTIF(COA!$A:$A,$G1316)=0,"حساب غير معرف",INDEX(COA!$B:$B,MATCH($G1316,COA!$A:$A,0))),"")</f>
        <v/>
      </c>
      <c r="I1316" s="32">
        <f>IF($A1316=1,IF(Supplier_Invoices!$H22="","",Supplier_Invoices!$H22),"")</f>
        <v/>
      </c>
      <c r="J1316" s="32">
        <f>IF($A1316=1,"CC00","")</f>
        <v/>
      </c>
      <c r="K1316" s="32">
        <f>IF($A1316=1,IF(Supplier_Invoices!$C22="","",Supplier_Invoices!$C22),"")</f>
        <v/>
      </c>
      <c r="L1316" s="32">
        <f>IF($A1316=1,Supplier_Invoices!$F22&amp;" "&amp;Supplier_Invoices!$B22&amp;" - "&amp;Supplier_Invoices!$C22,"")</f>
        <v/>
      </c>
      <c r="M1316" s="43">
        <f>IF($A1316=1,IF(Supplier_Invoices!$V22="CN",Supplier_Invoices!$W22,0),"")</f>
        <v/>
      </c>
      <c r="N1316" s="43">
        <f>IF($A1316=1,IF(Supplier_Invoices!$V22="CN",0,Supplier_Invoices!$W22),"")</f>
        <v/>
      </c>
      <c r="O1316" s="32">
        <f>IF($A1316=1,Supplier_Invoices!$O22,"")</f>
        <v/>
      </c>
      <c r="P1316" s="32">
        <f>IF($A1316=1,IF(Supplier_Invoices!$AE22="","",Supplier_Invoices!$AE22),"")</f>
        <v/>
      </c>
      <c r="Q1316" s="32">
        <f>IF($A1316=1,Supplier_Invoices!$AG22,"")</f>
        <v/>
      </c>
      <c r="R1316" s="32">
        <f>IF($A1316=1,IF(AND($Q1316=1,COUNTIFS(COA!$A:$A,$G1316,COA!$R:$R,1)=1),1,0),"")</f>
        <v/>
      </c>
      <c r="S1316" s="43">
        <f>IF($A1316=1,IF($R1316=1,N($M1316),0),"")</f>
        <v/>
      </c>
      <c r="T1316" s="43">
        <f>IF($A1316=1,IF($R1316=1,N($N1316),0),"")</f>
        <v/>
      </c>
      <c r="U1316" s="32">
        <f>IF($A1316=1,YEAR($D1316)*100+MONTH($D1316),"")</f>
        <v/>
      </c>
      <c r="V1316" s="32">
        <f>IF($A1316=1,IF(COUNTIF(COA!$A:$A,$G1316)=0,0,INDEX(COA!$H:$H,MATCH($G1316,COA!$A:$A,0))),"")</f>
        <v/>
      </c>
      <c r="W1316" s="32">
        <f>IF($A1316=1,"","")</f>
        <v/>
      </c>
      <c r="X1316" s="32">
        <f>IF($A1316=1,IF($R1316=1,"",IF($O1316=ST_POST,IF($P1316&lt;&gt;"",$P1316,"حساب غير صالح أو غير نشط"),IF($O1316=ST_REV,"معكوس: لا أثر على الدفاتر",IF($O1316=ST_CANC,"ملغى",IF($O1316=ST_APPR,"معتمد ولم يُرحَّل","مسودة"))))),"")</f>
        <v/>
      </c>
      <c r="Y1316" s="32">
        <f>IF($A1316=1,IF(AND($R1316=1,OR(LG_Acct="",$G1316=LG_Acct),OR(LG_Party="",$K1316=LG_Party),OR(LG_Loc="ALL",$I1316=LG_Loc),OR(LG_CC="ALL",$J1316=LG_CC),$D1316&gt;=LG_From,$D1316&lt;=LG_To),$D1316+ROW()/1000000,""),"")</f>
        <v/>
      </c>
      <c r="Z1316" s="32">
        <f>IF($A1316=1,IF(Supplier_Invoices!$P22="","",Supplier_Invoices!$P22),"")</f>
        <v/>
      </c>
      <c r="AA1316" s="32">
        <f>IF($A1316=1,IF(Supplier_Invoices!$Q22="","",Supplier_Invoices!$Q22),"")</f>
        <v/>
      </c>
      <c r="AB1316" s="32">
        <f>IF($A1316=1,IF(Supplier_Invoices!$R22="","",Supplier_Invoices!$R22),"")</f>
        <v/>
      </c>
      <c r="AC1316" s="32">
        <f>IF($A1316=1,IF(Supplier_Invoices!$S22="","",Supplier_Invoices!$S22),"")</f>
        <v/>
      </c>
      <c r="AD1316" s="32">
        <f>IF($A1316=1,IF(Supplier_Invoices!$T22="","",Supplier_Invoices!$T22),"")</f>
        <v/>
      </c>
      <c r="AE1316" s="32">
        <f>IF($A1316=1,0,"")</f>
        <v/>
      </c>
      <c r="AF1316" s="32" t="inlineStr"/>
    </row>
    <row r="1317">
      <c r="A1317" s="32">
        <f>IF(AND(Supplier_Invoices!$AD22=1,Supplier_Invoices!$L22&lt;&gt;"",Supplier_Invoices!$V22&lt;&gt;"CN",N(Supplier_Invoices!$W22)&gt;0),1,0)</f>
        <v/>
      </c>
      <c r="B1317" s="32">
        <f>IF($A1317=1,$E1317&amp;"/4","")</f>
        <v/>
      </c>
      <c r="C1317" s="32">
        <f>IF($A1317=1,"J-"&amp;Supplier_Invoices!$A22,"")</f>
        <v/>
      </c>
      <c r="D1317" s="33">
        <f>IF($A1317=1,Supplier_Invoices!$E22,"")</f>
        <v/>
      </c>
      <c r="E1317" s="32">
        <f>IF($A1317=1,IF(Supplier_Invoices!$A22="","",Supplier_Invoices!$A22),"")</f>
        <v/>
      </c>
      <c r="F1317" s="32">
        <f>IF($A1317=1,"SINV","")</f>
        <v/>
      </c>
      <c r="G1317" s="32">
        <f>IF($A1317=1,ACC_SUPPLIERS,"")</f>
        <v/>
      </c>
      <c r="H1317" s="32">
        <f>IF($A1317=1,IF(COUNTIF(COA!$A:$A,$G1317)=0,"حساب غير معرف",INDEX(COA!$B:$B,MATCH($G1317,COA!$A:$A,0))),"")</f>
        <v/>
      </c>
      <c r="I1317" s="32">
        <f>IF($A1317=1,IF(Supplier_Invoices!$H22="","",Supplier_Invoices!$H22),"")</f>
        <v/>
      </c>
      <c r="J1317" s="32">
        <f>IF($A1317=1,"CC00","")</f>
        <v/>
      </c>
      <c r="K1317" s="32">
        <f>IF($A1317=1,IF(Supplier_Invoices!$C22="","",Supplier_Invoices!$C22),"")</f>
        <v/>
      </c>
      <c r="L1317" s="32">
        <f>IF($A1317=1,"سداد فوري - "&amp;Supplier_Invoices!$F22&amp;" "&amp;Supplier_Invoices!$B22&amp;" - "&amp;Supplier_Invoices!$C22,"")</f>
        <v/>
      </c>
      <c r="M1317" s="43">
        <f>IF($A1317=1,Supplier_Invoices!$W22,"")</f>
        <v/>
      </c>
      <c r="N1317" s="43">
        <f>IF($A1317=1,0,"")</f>
        <v/>
      </c>
      <c r="O1317" s="32">
        <f>IF($A1317=1,Supplier_Invoices!$O22,"")</f>
        <v/>
      </c>
      <c r="P1317" s="32">
        <f>IF($A1317=1,IF(Supplier_Invoices!$AE22="","",Supplier_Invoices!$AE22),"")</f>
        <v/>
      </c>
      <c r="Q1317" s="32">
        <f>IF($A1317=1,Supplier_Invoices!$AG22,"")</f>
        <v/>
      </c>
      <c r="R1317" s="32">
        <f>IF($A1317=1,IF(AND($Q1317=1,COUNTIFS(COA!$A:$A,$G1317,COA!$R:$R,1)=1),1,0),"")</f>
        <v/>
      </c>
      <c r="S1317" s="43">
        <f>IF($A1317=1,IF($R1317=1,N($M1317),0),"")</f>
        <v/>
      </c>
      <c r="T1317" s="43">
        <f>IF($A1317=1,IF($R1317=1,N($N1317),0),"")</f>
        <v/>
      </c>
      <c r="U1317" s="32">
        <f>IF($A1317=1,YEAR($D1317)*100+MONTH($D1317),"")</f>
        <v/>
      </c>
      <c r="V1317" s="32">
        <f>IF($A1317=1,IF(COUNTIF(COA!$A:$A,$G1317)=0,0,INDEX(COA!$H:$H,MATCH($G1317,COA!$A:$A,0))),"")</f>
        <v/>
      </c>
      <c r="W1317" s="32">
        <f>IF($A1317=1,"","")</f>
        <v/>
      </c>
      <c r="X1317" s="32">
        <f>IF($A1317=1,IF($R1317=1,"",IF($O1317=ST_POST,IF($P1317&lt;&gt;"",$P1317,"حساب غير صالح أو غير نشط"),IF($O1317=ST_REV,"معكوس: لا أثر على الدفاتر",IF($O1317=ST_CANC,"ملغى",IF($O1317=ST_APPR,"معتمد ولم يُرحَّل","مسودة"))))),"")</f>
        <v/>
      </c>
      <c r="Y1317" s="32">
        <f>IF($A1317=1,IF(AND($R1317=1,OR(LG_Acct="",$G1317=LG_Acct),OR(LG_Party="",$K1317=LG_Party),OR(LG_Loc="ALL",$I1317=LG_Loc),OR(LG_CC="ALL",$J1317=LG_CC),$D1317&gt;=LG_From,$D1317&lt;=LG_To),$D1317+ROW()/1000000,""),"")</f>
        <v/>
      </c>
      <c r="Z1317" s="32">
        <f>IF($A1317=1,IF(Supplier_Invoices!$P22="","",Supplier_Invoices!$P22),"")</f>
        <v/>
      </c>
      <c r="AA1317" s="32">
        <f>IF($A1317=1,IF(Supplier_Invoices!$Q22="","",Supplier_Invoices!$Q22),"")</f>
        <v/>
      </c>
      <c r="AB1317" s="32">
        <f>IF($A1317=1,IF(Supplier_Invoices!$R22="","",Supplier_Invoices!$R22),"")</f>
        <v/>
      </c>
      <c r="AC1317" s="32">
        <f>IF($A1317=1,IF(Supplier_Invoices!$S22="","",Supplier_Invoices!$S22),"")</f>
        <v/>
      </c>
      <c r="AD1317" s="32">
        <f>IF($A1317=1,IF(Supplier_Invoices!$T22="","",Supplier_Invoices!$T22),"")</f>
        <v/>
      </c>
      <c r="AE1317" s="32">
        <f>IF($A1317=1,0,"")</f>
        <v/>
      </c>
      <c r="AF1317" s="32" t="inlineStr"/>
    </row>
    <row r="1318">
      <c r="A1318" s="32">
        <f>IF(AND(Supplier_Invoices!$AD22=1,Supplier_Invoices!$L22&lt;&gt;"",Supplier_Invoices!$V22&lt;&gt;"CN",N(Supplier_Invoices!$W22)&gt;0),1,0)</f>
        <v/>
      </c>
      <c r="B1318" s="32">
        <f>IF($A1318=1,$E1318&amp;"/5","")</f>
        <v/>
      </c>
      <c r="C1318" s="32">
        <f>IF($A1318=1,"J-"&amp;Supplier_Invoices!$A22,"")</f>
        <v/>
      </c>
      <c r="D1318" s="33">
        <f>IF($A1318=1,Supplier_Invoices!$E22,"")</f>
        <v/>
      </c>
      <c r="E1318" s="32">
        <f>IF($A1318=1,IF(Supplier_Invoices!$A22="","",Supplier_Invoices!$A22),"")</f>
        <v/>
      </c>
      <c r="F1318" s="32">
        <f>IF($A1318=1,"SINV","")</f>
        <v/>
      </c>
      <c r="G1318" s="32">
        <f>IF($A1318=1,IF(Supplier_Invoices!$AA22="","",Supplier_Invoices!$AA22),"")</f>
        <v/>
      </c>
      <c r="H1318" s="32">
        <f>IF($A1318=1,IF(COUNTIF(COA!$A:$A,$G1318)=0,"حساب غير معرف",INDEX(COA!$B:$B,MATCH($G1318,COA!$A:$A,0))),"")</f>
        <v/>
      </c>
      <c r="I1318" s="32">
        <f>IF($A1318=1,IF(Supplier_Invoices!$H22="","",Supplier_Invoices!$H22),"")</f>
        <v/>
      </c>
      <c r="J1318" s="32">
        <f>IF($A1318=1,"CC00","")</f>
        <v/>
      </c>
      <c r="K1318" s="32">
        <f>IF($A1318=1,"-","")</f>
        <v/>
      </c>
      <c r="L1318" s="32">
        <f>IF($A1318=1,"سداد فوري - "&amp;Supplier_Invoices!$F22&amp;" "&amp;Supplier_Invoices!$B22&amp;" - "&amp;Supplier_Invoices!$C22,"")</f>
        <v/>
      </c>
      <c r="M1318" s="43">
        <f>IF($A1318=1,0,"")</f>
        <v/>
      </c>
      <c r="N1318" s="43">
        <f>IF($A1318=1,Supplier_Invoices!$W22,"")</f>
        <v/>
      </c>
      <c r="O1318" s="32">
        <f>IF($A1318=1,Supplier_Invoices!$O22,"")</f>
        <v/>
      </c>
      <c r="P1318" s="32">
        <f>IF($A1318=1,IF(Supplier_Invoices!$AE22="","",Supplier_Invoices!$AE22),"")</f>
        <v/>
      </c>
      <c r="Q1318" s="32">
        <f>IF($A1318=1,Supplier_Invoices!$AG22,"")</f>
        <v/>
      </c>
      <c r="R1318" s="32">
        <f>IF($A1318=1,IF(AND($Q1318=1,COUNTIFS(COA!$A:$A,$G1318,COA!$R:$R,1)=1),1,0),"")</f>
        <v/>
      </c>
      <c r="S1318" s="43">
        <f>IF($A1318=1,IF($R1318=1,N($M1318),0),"")</f>
        <v/>
      </c>
      <c r="T1318" s="43">
        <f>IF($A1318=1,IF($R1318=1,N($N1318),0),"")</f>
        <v/>
      </c>
      <c r="U1318" s="32">
        <f>IF($A1318=1,YEAR($D1318)*100+MONTH($D1318),"")</f>
        <v/>
      </c>
      <c r="V1318" s="32">
        <f>IF($A1318=1,IF(COUNTIF(COA!$A:$A,$G1318)=0,0,INDEX(COA!$H:$H,MATCH($G1318,COA!$A:$A,0))),"")</f>
        <v/>
      </c>
      <c r="W1318" s="32">
        <f>IF($A1318=1,IF(Supplier_Invoices!$AB22="","",Supplier_Invoices!$AB22),"")</f>
        <v/>
      </c>
      <c r="X1318" s="32">
        <f>IF($A1318=1,IF($R1318=1,"",IF($O1318=ST_POST,IF($P1318&lt;&gt;"",$P1318,"حساب غير صالح أو غير نشط"),IF($O1318=ST_REV,"معكوس: لا أثر على الدفاتر",IF($O1318=ST_CANC,"ملغى",IF($O1318=ST_APPR,"معتمد ولم يُرحَّل","مسودة"))))),"")</f>
        <v/>
      </c>
      <c r="Y1318" s="32">
        <f>IF($A1318=1,IF(AND($R1318=1,OR(LG_Acct="",$G1318=LG_Acct),OR(LG_Party="",$K1318=LG_Party),OR(LG_Loc="ALL",$I1318=LG_Loc),OR(LG_CC="ALL",$J1318=LG_CC),$D1318&gt;=LG_From,$D1318&lt;=LG_To),$D1318+ROW()/1000000,""),"")</f>
        <v/>
      </c>
      <c r="Z1318" s="32">
        <f>IF($A1318=1,IF(Supplier_Invoices!$P22="","",Supplier_Invoices!$P22),"")</f>
        <v/>
      </c>
      <c r="AA1318" s="32">
        <f>IF($A1318=1,IF(Supplier_Invoices!$Q22="","",Supplier_Invoices!$Q22),"")</f>
        <v/>
      </c>
      <c r="AB1318" s="32">
        <f>IF($A1318=1,IF(Supplier_Invoices!$R22="","",Supplier_Invoices!$R22),"")</f>
        <v/>
      </c>
      <c r="AC1318" s="32">
        <f>IF($A1318=1,IF(Supplier_Invoices!$S22="","",Supplier_Invoices!$S22),"")</f>
        <v/>
      </c>
      <c r="AD1318" s="32">
        <f>IF($A1318=1,IF(Supplier_Invoices!$T22="","",Supplier_Invoices!$T22),"")</f>
        <v/>
      </c>
      <c r="AE1318" s="32">
        <f>IF($A1318=1,0,"")</f>
        <v/>
      </c>
      <c r="AF1318" s="32" t="inlineStr"/>
    </row>
    <row r="1319">
      <c r="A1319" s="32">
        <f>IF(AND(Supplier_Invoices!$AD23=1,N(Supplier_Invoices!$J23)&gt;0),1,0)</f>
        <v/>
      </c>
      <c r="B1319" s="32">
        <f>IF($A1319=1,$E1319&amp;"/1","")</f>
        <v/>
      </c>
      <c r="C1319" s="32">
        <f>IF($A1319=1,"J-"&amp;Supplier_Invoices!$A23,"")</f>
        <v/>
      </c>
      <c r="D1319" s="33">
        <f>IF($A1319=1,Supplier_Invoices!$E23,"")</f>
        <v/>
      </c>
      <c r="E1319" s="32">
        <f>IF($A1319=1,IF(Supplier_Invoices!$A23="","",Supplier_Invoices!$A23),"")</f>
        <v/>
      </c>
      <c r="F1319" s="32">
        <f>IF($A1319=1,"SINV","")</f>
        <v/>
      </c>
      <c r="G1319" s="32">
        <f>IF($A1319=1,IF(Supplier_Invoices!$G23="","",Supplier_Invoices!$G23),"")</f>
        <v/>
      </c>
      <c r="H1319" s="32">
        <f>IF($A1319=1,IF(COUNTIF(COA!$A:$A,$G1319)=0,"حساب غير معرف",INDEX(COA!$B:$B,MATCH($G1319,COA!$A:$A,0))),"")</f>
        <v/>
      </c>
      <c r="I1319" s="32">
        <f>IF($A1319=1,IF(Supplier_Invoices!$H23="","",Supplier_Invoices!$H23),"")</f>
        <v/>
      </c>
      <c r="J1319" s="32">
        <f>IF($A1319=1,IF(Supplier_Invoices!$I23="","",Supplier_Invoices!$I23),"")</f>
        <v/>
      </c>
      <c r="K1319" s="32">
        <f>IF($A1319=1,"-","")</f>
        <v/>
      </c>
      <c r="L1319" s="32">
        <f>IF($A1319=1,Supplier_Invoices!$F23&amp;" "&amp;Supplier_Invoices!$B23&amp;" - "&amp;Supplier_Invoices!$C23,"")</f>
        <v/>
      </c>
      <c r="M1319" s="43">
        <f>IF($A1319=1,IF(Supplier_Invoices!$V23="CN",0,Supplier_Invoices!$J23),"")</f>
        <v/>
      </c>
      <c r="N1319" s="43">
        <f>IF($A1319=1,IF(Supplier_Invoices!$V23="CN",Supplier_Invoices!$J23,0),"")</f>
        <v/>
      </c>
      <c r="O1319" s="32">
        <f>IF($A1319=1,Supplier_Invoices!$O23,"")</f>
        <v/>
      </c>
      <c r="P1319" s="32">
        <f>IF($A1319=1,IF(Supplier_Invoices!$AE23="","",Supplier_Invoices!$AE23),"")</f>
        <v/>
      </c>
      <c r="Q1319" s="32">
        <f>IF($A1319=1,Supplier_Invoices!$AG23,"")</f>
        <v/>
      </c>
      <c r="R1319" s="32">
        <f>IF($A1319=1,IF(AND($Q1319=1,COUNTIFS(COA!$A:$A,$G1319,COA!$R:$R,1)=1),1,0),"")</f>
        <v/>
      </c>
      <c r="S1319" s="43">
        <f>IF($A1319=1,IF($R1319=1,N($M1319),0),"")</f>
        <v/>
      </c>
      <c r="T1319" s="43">
        <f>IF($A1319=1,IF($R1319=1,N($N1319),0),"")</f>
        <v/>
      </c>
      <c r="U1319" s="32">
        <f>IF($A1319=1,YEAR($D1319)*100+MONTH($D1319),"")</f>
        <v/>
      </c>
      <c r="V1319" s="32">
        <f>IF($A1319=1,IF(COUNTIF(COA!$A:$A,$G1319)=0,0,INDEX(COA!$H:$H,MATCH($G1319,COA!$A:$A,0))),"")</f>
        <v/>
      </c>
      <c r="W1319" s="32">
        <f>IF($A1319=1,"","")</f>
        <v/>
      </c>
      <c r="X1319" s="32">
        <f>IF($A1319=1,IF($R1319=1,"",IF($O1319=ST_POST,IF($P1319&lt;&gt;"",$P1319,"حساب غير صالح أو غير نشط"),IF($O1319=ST_REV,"معكوس: لا أثر على الدفاتر",IF($O1319=ST_CANC,"ملغى",IF($O1319=ST_APPR,"معتمد ولم يُرحَّل","مسودة"))))),"")</f>
        <v/>
      </c>
      <c r="Y1319" s="32">
        <f>IF($A1319=1,IF(AND($R1319=1,OR(LG_Acct="",$G1319=LG_Acct),OR(LG_Party="",$K1319=LG_Party),OR(LG_Loc="ALL",$I1319=LG_Loc),OR(LG_CC="ALL",$J1319=LG_CC),$D1319&gt;=LG_From,$D1319&lt;=LG_To),$D1319+ROW()/1000000,""),"")</f>
        <v/>
      </c>
      <c r="Z1319" s="32">
        <f>IF($A1319=1,IF(Supplier_Invoices!$P23="","",Supplier_Invoices!$P23),"")</f>
        <v/>
      </c>
      <c r="AA1319" s="32">
        <f>IF($A1319=1,IF(Supplier_Invoices!$Q23="","",Supplier_Invoices!$Q23),"")</f>
        <v/>
      </c>
      <c r="AB1319" s="32">
        <f>IF($A1319=1,IF(Supplier_Invoices!$R23="","",Supplier_Invoices!$R23),"")</f>
        <v/>
      </c>
      <c r="AC1319" s="32">
        <f>IF($A1319=1,IF(Supplier_Invoices!$S23="","",Supplier_Invoices!$S23),"")</f>
        <v/>
      </c>
      <c r="AD1319" s="32">
        <f>IF($A1319=1,IF(Supplier_Invoices!$T23="","",Supplier_Invoices!$T23),"")</f>
        <v/>
      </c>
      <c r="AE1319" s="32">
        <f>IF($A1319=1,0,"")</f>
        <v/>
      </c>
      <c r="AF1319" s="32" t="inlineStr"/>
    </row>
    <row r="1320">
      <c r="A1320" s="32">
        <f>IF(AND(Supplier_Invoices!$AD23=1,N(Supplier_Invoices!$K23)&gt;0),1,0)</f>
        <v/>
      </c>
      <c r="B1320" s="32">
        <f>IF($A1320=1,$E1320&amp;"/2","")</f>
        <v/>
      </c>
      <c r="C1320" s="32">
        <f>IF($A1320=1,"J-"&amp;Supplier_Invoices!$A23,"")</f>
        <v/>
      </c>
      <c r="D1320" s="33">
        <f>IF($A1320=1,Supplier_Invoices!$E23,"")</f>
        <v/>
      </c>
      <c r="E1320" s="32">
        <f>IF($A1320=1,IF(Supplier_Invoices!$A23="","",Supplier_Invoices!$A23),"")</f>
        <v/>
      </c>
      <c r="F1320" s="32">
        <f>IF($A1320=1,"SINV","")</f>
        <v/>
      </c>
      <c r="G1320" s="32">
        <f>IF($A1320=1,ACC_VAT_IN,"")</f>
        <v/>
      </c>
      <c r="H1320" s="32">
        <f>IF($A1320=1,IF(COUNTIF(COA!$A:$A,$G1320)=0,"حساب غير معرف",INDEX(COA!$B:$B,MATCH($G1320,COA!$A:$A,0))),"")</f>
        <v/>
      </c>
      <c r="I1320" s="32">
        <f>IF($A1320=1,IF(Supplier_Invoices!$H23="","",Supplier_Invoices!$H23),"")</f>
        <v/>
      </c>
      <c r="J1320" s="32">
        <f>IF($A1320=1,IF(Supplier_Invoices!$I23="","",Supplier_Invoices!$I23),"")</f>
        <v/>
      </c>
      <c r="K1320" s="32">
        <f>IF($A1320=1,"-","")</f>
        <v/>
      </c>
      <c r="L1320" s="32">
        <f>IF($A1320=1,"ضريبة قيمة مضافة - مدخلات","")</f>
        <v/>
      </c>
      <c r="M1320" s="43">
        <f>IF($A1320=1,IF(Supplier_Invoices!$V23="CN",0,Supplier_Invoices!$K23),"")</f>
        <v/>
      </c>
      <c r="N1320" s="43">
        <f>IF($A1320=1,IF(Supplier_Invoices!$V23="CN",Supplier_Invoices!$K23,0),"")</f>
        <v/>
      </c>
      <c r="O1320" s="32">
        <f>IF($A1320=1,Supplier_Invoices!$O23,"")</f>
        <v/>
      </c>
      <c r="P1320" s="32">
        <f>IF($A1320=1,IF(Supplier_Invoices!$AE23="","",Supplier_Invoices!$AE23),"")</f>
        <v/>
      </c>
      <c r="Q1320" s="32">
        <f>IF($A1320=1,Supplier_Invoices!$AG23,"")</f>
        <v/>
      </c>
      <c r="R1320" s="32">
        <f>IF($A1320=1,IF(AND($Q1320=1,COUNTIFS(COA!$A:$A,$G1320,COA!$R:$R,1)=1),1,0),"")</f>
        <v/>
      </c>
      <c r="S1320" s="43">
        <f>IF($A1320=1,IF($R1320=1,N($M1320),0),"")</f>
        <v/>
      </c>
      <c r="T1320" s="43">
        <f>IF($A1320=1,IF($R1320=1,N($N1320),0),"")</f>
        <v/>
      </c>
      <c r="U1320" s="32">
        <f>IF($A1320=1,YEAR($D1320)*100+MONTH($D1320),"")</f>
        <v/>
      </c>
      <c r="V1320" s="32">
        <f>IF($A1320=1,IF(COUNTIF(COA!$A:$A,$G1320)=0,0,INDEX(COA!$H:$H,MATCH($G1320,COA!$A:$A,0))),"")</f>
        <v/>
      </c>
      <c r="W1320" s="32">
        <f>IF($A1320=1,"","")</f>
        <v/>
      </c>
      <c r="X1320" s="32">
        <f>IF($A1320=1,IF($R1320=1,"",IF($O1320=ST_POST,IF($P1320&lt;&gt;"",$P1320,"حساب غير صالح أو غير نشط"),IF($O1320=ST_REV,"معكوس: لا أثر على الدفاتر",IF($O1320=ST_CANC,"ملغى",IF($O1320=ST_APPR,"معتمد ولم يُرحَّل","مسودة"))))),"")</f>
        <v/>
      </c>
      <c r="Y1320" s="32">
        <f>IF($A1320=1,IF(AND($R1320=1,OR(LG_Acct="",$G1320=LG_Acct),OR(LG_Party="",$K1320=LG_Party),OR(LG_Loc="ALL",$I1320=LG_Loc),OR(LG_CC="ALL",$J1320=LG_CC),$D1320&gt;=LG_From,$D1320&lt;=LG_To),$D1320+ROW()/1000000,""),"")</f>
        <v/>
      </c>
      <c r="Z1320" s="32">
        <f>IF($A1320=1,IF(Supplier_Invoices!$P23="","",Supplier_Invoices!$P23),"")</f>
        <v/>
      </c>
      <c r="AA1320" s="32">
        <f>IF($A1320=1,IF(Supplier_Invoices!$Q23="","",Supplier_Invoices!$Q23),"")</f>
        <v/>
      </c>
      <c r="AB1320" s="32">
        <f>IF($A1320=1,IF(Supplier_Invoices!$R23="","",Supplier_Invoices!$R23),"")</f>
        <v/>
      </c>
      <c r="AC1320" s="32">
        <f>IF($A1320=1,IF(Supplier_Invoices!$S23="","",Supplier_Invoices!$S23),"")</f>
        <v/>
      </c>
      <c r="AD1320" s="32">
        <f>IF($A1320=1,IF(Supplier_Invoices!$T23="","",Supplier_Invoices!$T23),"")</f>
        <v/>
      </c>
      <c r="AE1320" s="32">
        <f>IF($A1320=1,0,"")</f>
        <v/>
      </c>
      <c r="AF1320" s="32" t="inlineStr"/>
    </row>
    <row r="1321">
      <c r="A1321" s="32">
        <f>IF(AND(Supplier_Invoices!$AD23=1,N(Supplier_Invoices!$W23)&gt;0),1,0)</f>
        <v/>
      </c>
      <c r="B1321" s="32">
        <f>IF($A1321=1,$E1321&amp;"/3","")</f>
        <v/>
      </c>
      <c r="C1321" s="32">
        <f>IF($A1321=1,"J-"&amp;Supplier_Invoices!$A23,"")</f>
        <v/>
      </c>
      <c r="D1321" s="33">
        <f>IF($A1321=1,Supplier_Invoices!$E23,"")</f>
        <v/>
      </c>
      <c r="E1321" s="32">
        <f>IF($A1321=1,IF(Supplier_Invoices!$A23="","",Supplier_Invoices!$A23),"")</f>
        <v/>
      </c>
      <c r="F1321" s="32">
        <f>IF($A1321=1,"SINV","")</f>
        <v/>
      </c>
      <c r="G1321" s="32">
        <f>IF($A1321=1,ACC_SUPPLIERS,"")</f>
        <v/>
      </c>
      <c r="H1321" s="32">
        <f>IF($A1321=1,IF(COUNTIF(COA!$A:$A,$G1321)=0,"حساب غير معرف",INDEX(COA!$B:$B,MATCH($G1321,COA!$A:$A,0))),"")</f>
        <v/>
      </c>
      <c r="I1321" s="32">
        <f>IF($A1321=1,IF(Supplier_Invoices!$H23="","",Supplier_Invoices!$H23),"")</f>
        <v/>
      </c>
      <c r="J1321" s="32">
        <f>IF($A1321=1,"CC00","")</f>
        <v/>
      </c>
      <c r="K1321" s="32">
        <f>IF($A1321=1,IF(Supplier_Invoices!$C23="","",Supplier_Invoices!$C23),"")</f>
        <v/>
      </c>
      <c r="L1321" s="32">
        <f>IF($A1321=1,Supplier_Invoices!$F23&amp;" "&amp;Supplier_Invoices!$B23&amp;" - "&amp;Supplier_Invoices!$C23,"")</f>
        <v/>
      </c>
      <c r="M1321" s="43">
        <f>IF($A1321=1,IF(Supplier_Invoices!$V23="CN",Supplier_Invoices!$W23,0),"")</f>
        <v/>
      </c>
      <c r="N1321" s="43">
        <f>IF($A1321=1,IF(Supplier_Invoices!$V23="CN",0,Supplier_Invoices!$W23),"")</f>
        <v/>
      </c>
      <c r="O1321" s="32">
        <f>IF($A1321=1,Supplier_Invoices!$O23,"")</f>
        <v/>
      </c>
      <c r="P1321" s="32">
        <f>IF($A1321=1,IF(Supplier_Invoices!$AE23="","",Supplier_Invoices!$AE23),"")</f>
        <v/>
      </c>
      <c r="Q1321" s="32">
        <f>IF($A1321=1,Supplier_Invoices!$AG23,"")</f>
        <v/>
      </c>
      <c r="R1321" s="32">
        <f>IF($A1321=1,IF(AND($Q1321=1,COUNTIFS(COA!$A:$A,$G1321,COA!$R:$R,1)=1),1,0),"")</f>
        <v/>
      </c>
      <c r="S1321" s="43">
        <f>IF($A1321=1,IF($R1321=1,N($M1321),0),"")</f>
        <v/>
      </c>
      <c r="T1321" s="43">
        <f>IF($A1321=1,IF($R1321=1,N($N1321),0),"")</f>
        <v/>
      </c>
      <c r="U1321" s="32">
        <f>IF($A1321=1,YEAR($D1321)*100+MONTH($D1321),"")</f>
        <v/>
      </c>
      <c r="V1321" s="32">
        <f>IF($A1321=1,IF(COUNTIF(COA!$A:$A,$G1321)=0,0,INDEX(COA!$H:$H,MATCH($G1321,COA!$A:$A,0))),"")</f>
        <v/>
      </c>
      <c r="W1321" s="32">
        <f>IF($A1321=1,"","")</f>
        <v/>
      </c>
      <c r="X1321" s="32">
        <f>IF($A1321=1,IF($R1321=1,"",IF($O1321=ST_POST,IF($P1321&lt;&gt;"",$P1321,"حساب غير صالح أو غير نشط"),IF($O1321=ST_REV,"معكوس: لا أثر على الدفاتر",IF($O1321=ST_CANC,"ملغى",IF($O1321=ST_APPR,"معتمد ولم يُرحَّل","مسودة"))))),"")</f>
        <v/>
      </c>
      <c r="Y1321" s="32">
        <f>IF($A1321=1,IF(AND($R1321=1,OR(LG_Acct="",$G1321=LG_Acct),OR(LG_Party="",$K1321=LG_Party),OR(LG_Loc="ALL",$I1321=LG_Loc),OR(LG_CC="ALL",$J1321=LG_CC),$D1321&gt;=LG_From,$D1321&lt;=LG_To),$D1321+ROW()/1000000,""),"")</f>
        <v/>
      </c>
      <c r="Z1321" s="32">
        <f>IF($A1321=1,IF(Supplier_Invoices!$P23="","",Supplier_Invoices!$P23),"")</f>
        <v/>
      </c>
      <c r="AA1321" s="32">
        <f>IF($A1321=1,IF(Supplier_Invoices!$Q23="","",Supplier_Invoices!$Q23),"")</f>
        <v/>
      </c>
      <c r="AB1321" s="32">
        <f>IF($A1321=1,IF(Supplier_Invoices!$R23="","",Supplier_Invoices!$R23),"")</f>
        <v/>
      </c>
      <c r="AC1321" s="32">
        <f>IF($A1321=1,IF(Supplier_Invoices!$S23="","",Supplier_Invoices!$S23),"")</f>
        <v/>
      </c>
      <c r="AD1321" s="32">
        <f>IF($A1321=1,IF(Supplier_Invoices!$T23="","",Supplier_Invoices!$T23),"")</f>
        <v/>
      </c>
      <c r="AE1321" s="32">
        <f>IF($A1321=1,0,"")</f>
        <v/>
      </c>
      <c r="AF1321" s="32" t="inlineStr"/>
    </row>
    <row r="1322">
      <c r="A1322" s="32">
        <f>IF(AND(Supplier_Invoices!$AD23=1,Supplier_Invoices!$L23&lt;&gt;"",Supplier_Invoices!$V23&lt;&gt;"CN",N(Supplier_Invoices!$W23)&gt;0),1,0)</f>
        <v/>
      </c>
      <c r="B1322" s="32">
        <f>IF($A1322=1,$E1322&amp;"/4","")</f>
        <v/>
      </c>
      <c r="C1322" s="32">
        <f>IF($A1322=1,"J-"&amp;Supplier_Invoices!$A23,"")</f>
        <v/>
      </c>
      <c r="D1322" s="33">
        <f>IF($A1322=1,Supplier_Invoices!$E23,"")</f>
        <v/>
      </c>
      <c r="E1322" s="32">
        <f>IF($A1322=1,IF(Supplier_Invoices!$A23="","",Supplier_Invoices!$A23),"")</f>
        <v/>
      </c>
      <c r="F1322" s="32">
        <f>IF($A1322=1,"SINV","")</f>
        <v/>
      </c>
      <c r="G1322" s="32">
        <f>IF($A1322=1,ACC_SUPPLIERS,"")</f>
        <v/>
      </c>
      <c r="H1322" s="32">
        <f>IF($A1322=1,IF(COUNTIF(COA!$A:$A,$G1322)=0,"حساب غير معرف",INDEX(COA!$B:$B,MATCH($G1322,COA!$A:$A,0))),"")</f>
        <v/>
      </c>
      <c r="I1322" s="32">
        <f>IF($A1322=1,IF(Supplier_Invoices!$H23="","",Supplier_Invoices!$H23),"")</f>
        <v/>
      </c>
      <c r="J1322" s="32">
        <f>IF($A1322=1,"CC00","")</f>
        <v/>
      </c>
      <c r="K1322" s="32">
        <f>IF($A1322=1,IF(Supplier_Invoices!$C23="","",Supplier_Invoices!$C23),"")</f>
        <v/>
      </c>
      <c r="L1322" s="32">
        <f>IF($A1322=1,"سداد فوري - "&amp;Supplier_Invoices!$F23&amp;" "&amp;Supplier_Invoices!$B23&amp;" - "&amp;Supplier_Invoices!$C23,"")</f>
        <v/>
      </c>
      <c r="M1322" s="43">
        <f>IF($A1322=1,Supplier_Invoices!$W23,"")</f>
        <v/>
      </c>
      <c r="N1322" s="43">
        <f>IF($A1322=1,0,"")</f>
        <v/>
      </c>
      <c r="O1322" s="32">
        <f>IF($A1322=1,Supplier_Invoices!$O23,"")</f>
        <v/>
      </c>
      <c r="P1322" s="32">
        <f>IF($A1322=1,IF(Supplier_Invoices!$AE23="","",Supplier_Invoices!$AE23),"")</f>
        <v/>
      </c>
      <c r="Q1322" s="32">
        <f>IF($A1322=1,Supplier_Invoices!$AG23,"")</f>
        <v/>
      </c>
      <c r="R1322" s="32">
        <f>IF($A1322=1,IF(AND($Q1322=1,COUNTIFS(COA!$A:$A,$G1322,COA!$R:$R,1)=1),1,0),"")</f>
        <v/>
      </c>
      <c r="S1322" s="43">
        <f>IF($A1322=1,IF($R1322=1,N($M1322),0),"")</f>
        <v/>
      </c>
      <c r="T1322" s="43">
        <f>IF($A1322=1,IF($R1322=1,N($N1322),0),"")</f>
        <v/>
      </c>
      <c r="U1322" s="32">
        <f>IF($A1322=1,YEAR($D1322)*100+MONTH($D1322),"")</f>
        <v/>
      </c>
      <c r="V1322" s="32">
        <f>IF($A1322=1,IF(COUNTIF(COA!$A:$A,$G1322)=0,0,INDEX(COA!$H:$H,MATCH($G1322,COA!$A:$A,0))),"")</f>
        <v/>
      </c>
      <c r="W1322" s="32">
        <f>IF($A1322=1,"","")</f>
        <v/>
      </c>
      <c r="X1322" s="32">
        <f>IF($A1322=1,IF($R1322=1,"",IF($O1322=ST_POST,IF($P1322&lt;&gt;"",$P1322,"حساب غير صالح أو غير نشط"),IF($O1322=ST_REV,"معكوس: لا أثر على الدفاتر",IF($O1322=ST_CANC,"ملغى",IF($O1322=ST_APPR,"معتمد ولم يُرحَّل","مسودة"))))),"")</f>
        <v/>
      </c>
      <c r="Y1322" s="32">
        <f>IF($A1322=1,IF(AND($R1322=1,OR(LG_Acct="",$G1322=LG_Acct),OR(LG_Party="",$K1322=LG_Party),OR(LG_Loc="ALL",$I1322=LG_Loc),OR(LG_CC="ALL",$J1322=LG_CC),$D1322&gt;=LG_From,$D1322&lt;=LG_To),$D1322+ROW()/1000000,""),"")</f>
        <v/>
      </c>
      <c r="Z1322" s="32">
        <f>IF($A1322=1,IF(Supplier_Invoices!$P23="","",Supplier_Invoices!$P23),"")</f>
        <v/>
      </c>
      <c r="AA1322" s="32">
        <f>IF($A1322=1,IF(Supplier_Invoices!$Q23="","",Supplier_Invoices!$Q23),"")</f>
        <v/>
      </c>
      <c r="AB1322" s="32">
        <f>IF($A1322=1,IF(Supplier_Invoices!$R23="","",Supplier_Invoices!$R23),"")</f>
        <v/>
      </c>
      <c r="AC1322" s="32">
        <f>IF($A1322=1,IF(Supplier_Invoices!$S23="","",Supplier_Invoices!$S23),"")</f>
        <v/>
      </c>
      <c r="AD1322" s="32">
        <f>IF($A1322=1,IF(Supplier_Invoices!$T23="","",Supplier_Invoices!$T23),"")</f>
        <v/>
      </c>
      <c r="AE1322" s="32">
        <f>IF($A1322=1,0,"")</f>
        <v/>
      </c>
      <c r="AF1322" s="32" t="inlineStr"/>
    </row>
    <row r="1323">
      <c r="A1323" s="32">
        <f>IF(AND(Supplier_Invoices!$AD23=1,Supplier_Invoices!$L23&lt;&gt;"",Supplier_Invoices!$V23&lt;&gt;"CN",N(Supplier_Invoices!$W23)&gt;0),1,0)</f>
        <v/>
      </c>
      <c r="B1323" s="32">
        <f>IF($A1323=1,$E1323&amp;"/5","")</f>
        <v/>
      </c>
      <c r="C1323" s="32">
        <f>IF($A1323=1,"J-"&amp;Supplier_Invoices!$A23,"")</f>
        <v/>
      </c>
      <c r="D1323" s="33">
        <f>IF($A1323=1,Supplier_Invoices!$E23,"")</f>
        <v/>
      </c>
      <c r="E1323" s="32">
        <f>IF($A1323=1,IF(Supplier_Invoices!$A23="","",Supplier_Invoices!$A23),"")</f>
        <v/>
      </c>
      <c r="F1323" s="32">
        <f>IF($A1323=1,"SINV","")</f>
        <v/>
      </c>
      <c r="G1323" s="32">
        <f>IF($A1323=1,IF(Supplier_Invoices!$AA23="","",Supplier_Invoices!$AA23),"")</f>
        <v/>
      </c>
      <c r="H1323" s="32">
        <f>IF($A1323=1,IF(COUNTIF(COA!$A:$A,$G1323)=0,"حساب غير معرف",INDEX(COA!$B:$B,MATCH($G1323,COA!$A:$A,0))),"")</f>
        <v/>
      </c>
      <c r="I1323" s="32">
        <f>IF($A1323=1,IF(Supplier_Invoices!$H23="","",Supplier_Invoices!$H23),"")</f>
        <v/>
      </c>
      <c r="J1323" s="32">
        <f>IF($A1323=1,"CC00","")</f>
        <v/>
      </c>
      <c r="K1323" s="32">
        <f>IF($A1323=1,"-","")</f>
        <v/>
      </c>
      <c r="L1323" s="32">
        <f>IF($A1323=1,"سداد فوري - "&amp;Supplier_Invoices!$F23&amp;" "&amp;Supplier_Invoices!$B23&amp;" - "&amp;Supplier_Invoices!$C23,"")</f>
        <v/>
      </c>
      <c r="M1323" s="43">
        <f>IF($A1323=1,0,"")</f>
        <v/>
      </c>
      <c r="N1323" s="43">
        <f>IF($A1323=1,Supplier_Invoices!$W23,"")</f>
        <v/>
      </c>
      <c r="O1323" s="32">
        <f>IF($A1323=1,Supplier_Invoices!$O23,"")</f>
        <v/>
      </c>
      <c r="P1323" s="32">
        <f>IF($A1323=1,IF(Supplier_Invoices!$AE23="","",Supplier_Invoices!$AE23),"")</f>
        <v/>
      </c>
      <c r="Q1323" s="32">
        <f>IF($A1323=1,Supplier_Invoices!$AG23,"")</f>
        <v/>
      </c>
      <c r="R1323" s="32">
        <f>IF($A1323=1,IF(AND($Q1323=1,COUNTIFS(COA!$A:$A,$G1323,COA!$R:$R,1)=1),1,0),"")</f>
        <v/>
      </c>
      <c r="S1323" s="43">
        <f>IF($A1323=1,IF($R1323=1,N($M1323),0),"")</f>
        <v/>
      </c>
      <c r="T1323" s="43">
        <f>IF($A1323=1,IF($R1323=1,N($N1323),0),"")</f>
        <v/>
      </c>
      <c r="U1323" s="32">
        <f>IF($A1323=1,YEAR($D1323)*100+MONTH($D1323),"")</f>
        <v/>
      </c>
      <c r="V1323" s="32">
        <f>IF($A1323=1,IF(COUNTIF(COA!$A:$A,$G1323)=0,0,INDEX(COA!$H:$H,MATCH($G1323,COA!$A:$A,0))),"")</f>
        <v/>
      </c>
      <c r="W1323" s="32">
        <f>IF($A1323=1,IF(Supplier_Invoices!$AB23="","",Supplier_Invoices!$AB23),"")</f>
        <v/>
      </c>
      <c r="X1323" s="32">
        <f>IF($A1323=1,IF($R1323=1,"",IF($O1323=ST_POST,IF($P1323&lt;&gt;"",$P1323,"حساب غير صالح أو غير نشط"),IF($O1323=ST_REV,"معكوس: لا أثر على الدفاتر",IF($O1323=ST_CANC,"ملغى",IF($O1323=ST_APPR,"معتمد ولم يُرحَّل","مسودة"))))),"")</f>
        <v/>
      </c>
      <c r="Y1323" s="32">
        <f>IF($A1323=1,IF(AND($R1323=1,OR(LG_Acct="",$G1323=LG_Acct),OR(LG_Party="",$K1323=LG_Party),OR(LG_Loc="ALL",$I1323=LG_Loc),OR(LG_CC="ALL",$J1323=LG_CC),$D1323&gt;=LG_From,$D1323&lt;=LG_To),$D1323+ROW()/1000000,""),"")</f>
        <v/>
      </c>
      <c r="Z1323" s="32">
        <f>IF($A1323=1,IF(Supplier_Invoices!$P23="","",Supplier_Invoices!$P23),"")</f>
        <v/>
      </c>
      <c r="AA1323" s="32">
        <f>IF($A1323=1,IF(Supplier_Invoices!$Q23="","",Supplier_Invoices!$Q23),"")</f>
        <v/>
      </c>
      <c r="AB1323" s="32">
        <f>IF($A1323=1,IF(Supplier_Invoices!$R23="","",Supplier_Invoices!$R23),"")</f>
        <v/>
      </c>
      <c r="AC1323" s="32">
        <f>IF($A1323=1,IF(Supplier_Invoices!$S23="","",Supplier_Invoices!$S23),"")</f>
        <v/>
      </c>
      <c r="AD1323" s="32">
        <f>IF($A1323=1,IF(Supplier_Invoices!$T23="","",Supplier_Invoices!$T23),"")</f>
        <v/>
      </c>
      <c r="AE1323" s="32">
        <f>IF($A1323=1,0,"")</f>
        <v/>
      </c>
      <c r="AF1323" s="32" t="inlineStr"/>
    </row>
    <row r="1324">
      <c r="A1324" s="32">
        <f>IF(AND(Supplier_Invoices!$AD24=1,N(Supplier_Invoices!$J24)&gt;0),1,0)</f>
        <v/>
      </c>
      <c r="B1324" s="32">
        <f>IF($A1324=1,$E1324&amp;"/1","")</f>
        <v/>
      </c>
      <c r="C1324" s="32">
        <f>IF($A1324=1,"J-"&amp;Supplier_Invoices!$A24,"")</f>
        <v/>
      </c>
      <c r="D1324" s="33">
        <f>IF($A1324=1,Supplier_Invoices!$E24,"")</f>
        <v/>
      </c>
      <c r="E1324" s="32">
        <f>IF($A1324=1,IF(Supplier_Invoices!$A24="","",Supplier_Invoices!$A24),"")</f>
        <v/>
      </c>
      <c r="F1324" s="32">
        <f>IF($A1324=1,"SINV","")</f>
        <v/>
      </c>
      <c r="G1324" s="32">
        <f>IF($A1324=1,IF(Supplier_Invoices!$G24="","",Supplier_Invoices!$G24),"")</f>
        <v/>
      </c>
      <c r="H1324" s="32">
        <f>IF($A1324=1,IF(COUNTIF(COA!$A:$A,$G1324)=0,"حساب غير معرف",INDEX(COA!$B:$B,MATCH($G1324,COA!$A:$A,0))),"")</f>
        <v/>
      </c>
      <c r="I1324" s="32">
        <f>IF($A1324=1,IF(Supplier_Invoices!$H24="","",Supplier_Invoices!$H24),"")</f>
        <v/>
      </c>
      <c r="J1324" s="32">
        <f>IF($A1324=1,IF(Supplier_Invoices!$I24="","",Supplier_Invoices!$I24),"")</f>
        <v/>
      </c>
      <c r="K1324" s="32">
        <f>IF($A1324=1,"-","")</f>
        <v/>
      </c>
      <c r="L1324" s="32">
        <f>IF($A1324=1,Supplier_Invoices!$F24&amp;" "&amp;Supplier_Invoices!$B24&amp;" - "&amp;Supplier_Invoices!$C24,"")</f>
        <v/>
      </c>
      <c r="M1324" s="43">
        <f>IF($A1324=1,IF(Supplier_Invoices!$V24="CN",0,Supplier_Invoices!$J24),"")</f>
        <v/>
      </c>
      <c r="N1324" s="43">
        <f>IF($A1324=1,IF(Supplier_Invoices!$V24="CN",Supplier_Invoices!$J24,0),"")</f>
        <v/>
      </c>
      <c r="O1324" s="32">
        <f>IF($A1324=1,Supplier_Invoices!$O24,"")</f>
        <v/>
      </c>
      <c r="P1324" s="32">
        <f>IF($A1324=1,IF(Supplier_Invoices!$AE24="","",Supplier_Invoices!$AE24),"")</f>
        <v/>
      </c>
      <c r="Q1324" s="32">
        <f>IF($A1324=1,Supplier_Invoices!$AG24,"")</f>
        <v/>
      </c>
      <c r="R1324" s="32">
        <f>IF($A1324=1,IF(AND($Q1324=1,COUNTIFS(COA!$A:$A,$G1324,COA!$R:$R,1)=1),1,0),"")</f>
        <v/>
      </c>
      <c r="S1324" s="43">
        <f>IF($A1324=1,IF($R1324=1,N($M1324),0),"")</f>
        <v/>
      </c>
      <c r="T1324" s="43">
        <f>IF($A1324=1,IF($R1324=1,N($N1324),0),"")</f>
        <v/>
      </c>
      <c r="U1324" s="32">
        <f>IF($A1324=1,YEAR($D1324)*100+MONTH($D1324),"")</f>
        <v/>
      </c>
      <c r="V1324" s="32">
        <f>IF($A1324=1,IF(COUNTIF(COA!$A:$A,$G1324)=0,0,INDEX(COA!$H:$H,MATCH($G1324,COA!$A:$A,0))),"")</f>
        <v/>
      </c>
      <c r="W1324" s="32">
        <f>IF($A1324=1,"","")</f>
        <v/>
      </c>
      <c r="X1324" s="32">
        <f>IF($A1324=1,IF($R1324=1,"",IF($O1324=ST_POST,IF($P1324&lt;&gt;"",$P1324,"حساب غير صالح أو غير نشط"),IF($O1324=ST_REV,"معكوس: لا أثر على الدفاتر",IF($O1324=ST_CANC,"ملغى",IF($O1324=ST_APPR,"معتمد ولم يُرحَّل","مسودة"))))),"")</f>
        <v/>
      </c>
      <c r="Y1324" s="32">
        <f>IF($A1324=1,IF(AND($R1324=1,OR(LG_Acct="",$G1324=LG_Acct),OR(LG_Party="",$K1324=LG_Party),OR(LG_Loc="ALL",$I1324=LG_Loc),OR(LG_CC="ALL",$J1324=LG_CC),$D1324&gt;=LG_From,$D1324&lt;=LG_To),$D1324+ROW()/1000000,""),"")</f>
        <v/>
      </c>
      <c r="Z1324" s="32">
        <f>IF($A1324=1,IF(Supplier_Invoices!$P24="","",Supplier_Invoices!$P24),"")</f>
        <v/>
      </c>
      <c r="AA1324" s="32">
        <f>IF($A1324=1,IF(Supplier_Invoices!$Q24="","",Supplier_Invoices!$Q24),"")</f>
        <v/>
      </c>
      <c r="AB1324" s="32">
        <f>IF($A1324=1,IF(Supplier_Invoices!$R24="","",Supplier_Invoices!$R24),"")</f>
        <v/>
      </c>
      <c r="AC1324" s="32">
        <f>IF($A1324=1,IF(Supplier_Invoices!$S24="","",Supplier_Invoices!$S24),"")</f>
        <v/>
      </c>
      <c r="AD1324" s="32">
        <f>IF($A1324=1,IF(Supplier_Invoices!$T24="","",Supplier_Invoices!$T24),"")</f>
        <v/>
      </c>
      <c r="AE1324" s="32">
        <f>IF($A1324=1,0,"")</f>
        <v/>
      </c>
      <c r="AF1324" s="32" t="inlineStr"/>
    </row>
    <row r="1325">
      <c r="A1325" s="32">
        <f>IF(AND(Supplier_Invoices!$AD24=1,N(Supplier_Invoices!$K24)&gt;0),1,0)</f>
        <v/>
      </c>
      <c r="B1325" s="32">
        <f>IF($A1325=1,$E1325&amp;"/2","")</f>
        <v/>
      </c>
      <c r="C1325" s="32">
        <f>IF($A1325=1,"J-"&amp;Supplier_Invoices!$A24,"")</f>
        <v/>
      </c>
      <c r="D1325" s="33">
        <f>IF($A1325=1,Supplier_Invoices!$E24,"")</f>
        <v/>
      </c>
      <c r="E1325" s="32">
        <f>IF($A1325=1,IF(Supplier_Invoices!$A24="","",Supplier_Invoices!$A24),"")</f>
        <v/>
      </c>
      <c r="F1325" s="32">
        <f>IF($A1325=1,"SINV","")</f>
        <v/>
      </c>
      <c r="G1325" s="32">
        <f>IF($A1325=1,ACC_VAT_IN,"")</f>
        <v/>
      </c>
      <c r="H1325" s="32">
        <f>IF($A1325=1,IF(COUNTIF(COA!$A:$A,$G1325)=0,"حساب غير معرف",INDEX(COA!$B:$B,MATCH($G1325,COA!$A:$A,0))),"")</f>
        <v/>
      </c>
      <c r="I1325" s="32">
        <f>IF($A1325=1,IF(Supplier_Invoices!$H24="","",Supplier_Invoices!$H24),"")</f>
        <v/>
      </c>
      <c r="J1325" s="32">
        <f>IF($A1325=1,IF(Supplier_Invoices!$I24="","",Supplier_Invoices!$I24),"")</f>
        <v/>
      </c>
      <c r="K1325" s="32">
        <f>IF($A1325=1,"-","")</f>
        <v/>
      </c>
      <c r="L1325" s="32">
        <f>IF($A1325=1,"ضريبة قيمة مضافة - مدخلات","")</f>
        <v/>
      </c>
      <c r="M1325" s="43">
        <f>IF($A1325=1,IF(Supplier_Invoices!$V24="CN",0,Supplier_Invoices!$K24),"")</f>
        <v/>
      </c>
      <c r="N1325" s="43">
        <f>IF($A1325=1,IF(Supplier_Invoices!$V24="CN",Supplier_Invoices!$K24,0),"")</f>
        <v/>
      </c>
      <c r="O1325" s="32">
        <f>IF($A1325=1,Supplier_Invoices!$O24,"")</f>
        <v/>
      </c>
      <c r="P1325" s="32">
        <f>IF($A1325=1,IF(Supplier_Invoices!$AE24="","",Supplier_Invoices!$AE24),"")</f>
        <v/>
      </c>
      <c r="Q1325" s="32">
        <f>IF($A1325=1,Supplier_Invoices!$AG24,"")</f>
        <v/>
      </c>
      <c r="R1325" s="32">
        <f>IF($A1325=1,IF(AND($Q1325=1,COUNTIFS(COA!$A:$A,$G1325,COA!$R:$R,1)=1),1,0),"")</f>
        <v/>
      </c>
      <c r="S1325" s="43">
        <f>IF($A1325=1,IF($R1325=1,N($M1325),0),"")</f>
        <v/>
      </c>
      <c r="T1325" s="43">
        <f>IF($A1325=1,IF($R1325=1,N($N1325),0),"")</f>
        <v/>
      </c>
      <c r="U1325" s="32">
        <f>IF($A1325=1,YEAR($D1325)*100+MONTH($D1325),"")</f>
        <v/>
      </c>
      <c r="V1325" s="32">
        <f>IF($A1325=1,IF(COUNTIF(COA!$A:$A,$G1325)=0,0,INDEX(COA!$H:$H,MATCH($G1325,COA!$A:$A,0))),"")</f>
        <v/>
      </c>
      <c r="W1325" s="32">
        <f>IF($A1325=1,"","")</f>
        <v/>
      </c>
      <c r="X1325" s="32">
        <f>IF($A1325=1,IF($R1325=1,"",IF($O1325=ST_POST,IF($P1325&lt;&gt;"",$P1325,"حساب غير صالح أو غير نشط"),IF($O1325=ST_REV,"معكوس: لا أثر على الدفاتر",IF($O1325=ST_CANC,"ملغى",IF($O1325=ST_APPR,"معتمد ولم يُرحَّل","مسودة"))))),"")</f>
        <v/>
      </c>
      <c r="Y1325" s="32">
        <f>IF($A1325=1,IF(AND($R1325=1,OR(LG_Acct="",$G1325=LG_Acct),OR(LG_Party="",$K1325=LG_Party),OR(LG_Loc="ALL",$I1325=LG_Loc),OR(LG_CC="ALL",$J1325=LG_CC),$D1325&gt;=LG_From,$D1325&lt;=LG_To),$D1325+ROW()/1000000,""),"")</f>
        <v/>
      </c>
      <c r="Z1325" s="32">
        <f>IF($A1325=1,IF(Supplier_Invoices!$P24="","",Supplier_Invoices!$P24),"")</f>
        <v/>
      </c>
      <c r="AA1325" s="32">
        <f>IF($A1325=1,IF(Supplier_Invoices!$Q24="","",Supplier_Invoices!$Q24),"")</f>
        <v/>
      </c>
      <c r="AB1325" s="32">
        <f>IF($A1325=1,IF(Supplier_Invoices!$R24="","",Supplier_Invoices!$R24),"")</f>
        <v/>
      </c>
      <c r="AC1325" s="32">
        <f>IF($A1325=1,IF(Supplier_Invoices!$S24="","",Supplier_Invoices!$S24),"")</f>
        <v/>
      </c>
      <c r="AD1325" s="32">
        <f>IF($A1325=1,IF(Supplier_Invoices!$T24="","",Supplier_Invoices!$T24),"")</f>
        <v/>
      </c>
      <c r="AE1325" s="32">
        <f>IF($A1325=1,0,"")</f>
        <v/>
      </c>
      <c r="AF1325" s="32" t="inlineStr"/>
    </row>
    <row r="1326">
      <c r="A1326" s="32">
        <f>IF(AND(Supplier_Invoices!$AD24=1,N(Supplier_Invoices!$W24)&gt;0),1,0)</f>
        <v/>
      </c>
      <c r="B1326" s="32">
        <f>IF($A1326=1,$E1326&amp;"/3","")</f>
        <v/>
      </c>
      <c r="C1326" s="32">
        <f>IF($A1326=1,"J-"&amp;Supplier_Invoices!$A24,"")</f>
        <v/>
      </c>
      <c r="D1326" s="33">
        <f>IF($A1326=1,Supplier_Invoices!$E24,"")</f>
        <v/>
      </c>
      <c r="E1326" s="32">
        <f>IF($A1326=1,IF(Supplier_Invoices!$A24="","",Supplier_Invoices!$A24),"")</f>
        <v/>
      </c>
      <c r="F1326" s="32">
        <f>IF($A1326=1,"SINV","")</f>
        <v/>
      </c>
      <c r="G1326" s="32">
        <f>IF($A1326=1,ACC_SUPPLIERS,"")</f>
        <v/>
      </c>
      <c r="H1326" s="32">
        <f>IF($A1326=1,IF(COUNTIF(COA!$A:$A,$G1326)=0,"حساب غير معرف",INDEX(COA!$B:$B,MATCH($G1326,COA!$A:$A,0))),"")</f>
        <v/>
      </c>
      <c r="I1326" s="32">
        <f>IF($A1326=1,IF(Supplier_Invoices!$H24="","",Supplier_Invoices!$H24),"")</f>
        <v/>
      </c>
      <c r="J1326" s="32">
        <f>IF($A1326=1,"CC00","")</f>
        <v/>
      </c>
      <c r="K1326" s="32">
        <f>IF($A1326=1,IF(Supplier_Invoices!$C24="","",Supplier_Invoices!$C24),"")</f>
        <v/>
      </c>
      <c r="L1326" s="32">
        <f>IF($A1326=1,Supplier_Invoices!$F24&amp;" "&amp;Supplier_Invoices!$B24&amp;" - "&amp;Supplier_Invoices!$C24,"")</f>
        <v/>
      </c>
      <c r="M1326" s="43">
        <f>IF($A1326=1,IF(Supplier_Invoices!$V24="CN",Supplier_Invoices!$W24,0),"")</f>
        <v/>
      </c>
      <c r="N1326" s="43">
        <f>IF($A1326=1,IF(Supplier_Invoices!$V24="CN",0,Supplier_Invoices!$W24),"")</f>
        <v/>
      </c>
      <c r="O1326" s="32">
        <f>IF($A1326=1,Supplier_Invoices!$O24,"")</f>
        <v/>
      </c>
      <c r="P1326" s="32">
        <f>IF($A1326=1,IF(Supplier_Invoices!$AE24="","",Supplier_Invoices!$AE24),"")</f>
        <v/>
      </c>
      <c r="Q1326" s="32">
        <f>IF($A1326=1,Supplier_Invoices!$AG24,"")</f>
        <v/>
      </c>
      <c r="R1326" s="32">
        <f>IF($A1326=1,IF(AND($Q1326=1,COUNTIFS(COA!$A:$A,$G1326,COA!$R:$R,1)=1),1,0),"")</f>
        <v/>
      </c>
      <c r="S1326" s="43">
        <f>IF($A1326=1,IF($R1326=1,N($M1326),0),"")</f>
        <v/>
      </c>
      <c r="T1326" s="43">
        <f>IF($A1326=1,IF($R1326=1,N($N1326),0),"")</f>
        <v/>
      </c>
      <c r="U1326" s="32">
        <f>IF($A1326=1,YEAR($D1326)*100+MONTH($D1326),"")</f>
        <v/>
      </c>
      <c r="V1326" s="32">
        <f>IF($A1326=1,IF(COUNTIF(COA!$A:$A,$G1326)=0,0,INDEX(COA!$H:$H,MATCH($G1326,COA!$A:$A,0))),"")</f>
        <v/>
      </c>
      <c r="W1326" s="32">
        <f>IF($A1326=1,"","")</f>
        <v/>
      </c>
      <c r="X1326" s="32">
        <f>IF($A1326=1,IF($R1326=1,"",IF($O1326=ST_POST,IF($P1326&lt;&gt;"",$P1326,"حساب غير صالح أو غير نشط"),IF($O1326=ST_REV,"معكوس: لا أثر على الدفاتر",IF($O1326=ST_CANC,"ملغى",IF($O1326=ST_APPR,"معتمد ولم يُرحَّل","مسودة"))))),"")</f>
        <v/>
      </c>
      <c r="Y1326" s="32">
        <f>IF($A1326=1,IF(AND($R1326=1,OR(LG_Acct="",$G1326=LG_Acct),OR(LG_Party="",$K1326=LG_Party),OR(LG_Loc="ALL",$I1326=LG_Loc),OR(LG_CC="ALL",$J1326=LG_CC),$D1326&gt;=LG_From,$D1326&lt;=LG_To),$D1326+ROW()/1000000,""),"")</f>
        <v/>
      </c>
      <c r="Z1326" s="32">
        <f>IF($A1326=1,IF(Supplier_Invoices!$P24="","",Supplier_Invoices!$P24),"")</f>
        <v/>
      </c>
      <c r="AA1326" s="32">
        <f>IF($A1326=1,IF(Supplier_Invoices!$Q24="","",Supplier_Invoices!$Q24),"")</f>
        <v/>
      </c>
      <c r="AB1326" s="32">
        <f>IF($A1326=1,IF(Supplier_Invoices!$R24="","",Supplier_Invoices!$R24),"")</f>
        <v/>
      </c>
      <c r="AC1326" s="32">
        <f>IF($A1326=1,IF(Supplier_Invoices!$S24="","",Supplier_Invoices!$S24),"")</f>
        <v/>
      </c>
      <c r="AD1326" s="32">
        <f>IF($A1326=1,IF(Supplier_Invoices!$T24="","",Supplier_Invoices!$T24),"")</f>
        <v/>
      </c>
      <c r="AE1326" s="32">
        <f>IF($A1326=1,0,"")</f>
        <v/>
      </c>
      <c r="AF1326" s="32" t="inlineStr"/>
    </row>
    <row r="1327">
      <c r="A1327" s="32">
        <f>IF(AND(Supplier_Invoices!$AD24=1,Supplier_Invoices!$L24&lt;&gt;"",Supplier_Invoices!$V24&lt;&gt;"CN",N(Supplier_Invoices!$W24)&gt;0),1,0)</f>
        <v/>
      </c>
      <c r="B1327" s="32">
        <f>IF($A1327=1,$E1327&amp;"/4","")</f>
        <v/>
      </c>
      <c r="C1327" s="32">
        <f>IF($A1327=1,"J-"&amp;Supplier_Invoices!$A24,"")</f>
        <v/>
      </c>
      <c r="D1327" s="33">
        <f>IF($A1327=1,Supplier_Invoices!$E24,"")</f>
        <v/>
      </c>
      <c r="E1327" s="32">
        <f>IF($A1327=1,IF(Supplier_Invoices!$A24="","",Supplier_Invoices!$A24),"")</f>
        <v/>
      </c>
      <c r="F1327" s="32">
        <f>IF($A1327=1,"SINV","")</f>
        <v/>
      </c>
      <c r="G1327" s="32">
        <f>IF($A1327=1,ACC_SUPPLIERS,"")</f>
        <v/>
      </c>
      <c r="H1327" s="32">
        <f>IF($A1327=1,IF(COUNTIF(COA!$A:$A,$G1327)=0,"حساب غير معرف",INDEX(COA!$B:$B,MATCH($G1327,COA!$A:$A,0))),"")</f>
        <v/>
      </c>
      <c r="I1327" s="32">
        <f>IF($A1327=1,IF(Supplier_Invoices!$H24="","",Supplier_Invoices!$H24),"")</f>
        <v/>
      </c>
      <c r="J1327" s="32">
        <f>IF($A1327=1,"CC00","")</f>
        <v/>
      </c>
      <c r="K1327" s="32">
        <f>IF($A1327=1,IF(Supplier_Invoices!$C24="","",Supplier_Invoices!$C24),"")</f>
        <v/>
      </c>
      <c r="L1327" s="32">
        <f>IF($A1327=1,"سداد فوري - "&amp;Supplier_Invoices!$F24&amp;" "&amp;Supplier_Invoices!$B24&amp;" - "&amp;Supplier_Invoices!$C24,"")</f>
        <v/>
      </c>
      <c r="M1327" s="43">
        <f>IF($A1327=1,Supplier_Invoices!$W24,"")</f>
        <v/>
      </c>
      <c r="N1327" s="43">
        <f>IF($A1327=1,0,"")</f>
        <v/>
      </c>
      <c r="O1327" s="32">
        <f>IF($A1327=1,Supplier_Invoices!$O24,"")</f>
        <v/>
      </c>
      <c r="P1327" s="32">
        <f>IF($A1327=1,IF(Supplier_Invoices!$AE24="","",Supplier_Invoices!$AE24),"")</f>
        <v/>
      </c>
      <c r="Q1327" s="32">
        <f>IF($A1327=1,Supplier_Invoices!$AG24,"")</f>
        <v/>
      </c>
      <c r="R1327" s="32">
        <f>IF($A1327=1,IF(AND($Q1327=1,COUNTIFS(COA!$A:$A,$G1327,COA!$R:$R,1)=1),1,0),"")</f>
        <v/>
      </c>
      <c r="S1327" s="43">
        <f>IF($A1327=1,IF($R1327=1,N($M1327),0),"")</f>
        <v/>
      </c>
      <c r="T1327" s="43">
        <f>IF($A1327=1,IF($R1327=1,N($N1327),0),"")</f>
        <v/>
      </c>
      <c r="U1327" s="32">
        <f>IF($A1327=1,YEAR($D1327)*100+MONTH($D1327),"")</f>
        <v/>
      </c>
      <c r="V1327" s="32">
        <f>IF($A1327=1,IF(COUNTIF(COA!$A:$A,$G1327)=0,0,INDEX(COA!$H:$H,MATCH($G1327,COA!$A:$A,0))),"")</f>
        <v/>
      </c>
      <c r="W1327" s="32">
        <f>IF($A1327=1,"","")</f>
        <v/>
      </c>
      <c r="X1327" s="32">
        <f>IF($A1327=1,IF($R1327=1,"",IF($O1327=ST_POST,IF($P1327&lt;&gt;"",$P1327,"حساب غير صالح أو غير نشط"),IF($O1327=ST_REV,"معكوس: لا أثر على الدفاتر",IF($O1327=ST_CANC,"ملغى",IF($O1327=ST_APPR,"معتمد ولم يُرحَّل","مسودة"))))),"")</f>
        <v/>
      </c>
      <c r="Y1327" s="32">
        <f>IF($A1327=1,IF(AND($R1327=1,OR(LG_Acct="",$G1327=LG_Acct),OR(LG_Party="",$K1327=LG_Party),OR(LG_Loc="ALL",$I1327=LG_Loc),OR(LG_CC="ALL",$J1327=LG_CC),$D1327&gt;=LG_From,$D1327&lt;=LG_To),$D1327+ROW()/1000000,""),"")</f>
        <v/>
      </c>
      <c r="Z1327" s="32">
        <f>IF($A1327=1,IF(Supplier_Invoices!$P24="","",Supplier_Invoices!$P24),"")</f>
        <v/>
      </c>
      <c r="AA1327" s="32">
        <f>IF($A1327=1,IF(Supplier_Invoices!$Q24="","",Supplier_Invoices!$Q24),"")</f>
        <v/>
      </c>
      <c r="AB1327" s="32">
        <f>IF($A1327=1,IF(Supplier_Invoices!$R24="","",Supplier_Invoices!$R24),"")</f>
        <v/>
      </c>
      <c r="AC1327" s="32">
        <f>IF($A1327=1,IF(Supplier_Invoices!$S24="","",Supplier_Invoices!$S24),"")</f>
        <v/>
      </c>
      <c r="AD1327" s="32">
        <f>IF($A1327=1,IF(Supplier_Invoices!$T24="","",Supplier_Invoices!$T24),"")</f>
        <v/>
      </c>
      <c r="AE1327" s="32">
        <f>IF($A1327=1,0,"")</f>
        <v/>
      </c>
      <c r="AF1327" s="32" t="inlineStr"/>
    </row>
    <row r="1328">
      <c r="A1328" s="32">
        <f>IF(AND(Supplier_Invoices!$AD24=1,Supplier_Invoices!$L24&lt;&gt;"",Supplier_Invoices!$V24&lt;&gt;"CN",N(Supplier_Invoices!$W24)&gt;0),1,0)</f>
        <v/>
      </c>
      <c r="B1328" s="32">
        <f>IF($A1328=1,$E1328&amp;"/5","")</f>
        <v/>
      </c>
      <c r="C1328" s="32">
        <f>IF($A1328=1,"J-"&amp;Supplier_Invoices!$A24,"")</f>
        <v/>
      </c>
      <c r="D1328" s="33">
        <f>IF($A1328=1,Supplier_Invoices!$E24,"")</f>
        <v/>
      </c>
      <c r="E1328" s="32">
        <f>IF($A1328=1,IF(Supplier_Invoices!$A24="","",Supplier_Invoices!$A24),"")</f>
        <v/>
      </c>
      <c r="F1328" s="32">
        <f>IF($A1328=1,"SINV","")</f>
        <v/>
      </c>
      <c r="G1328" s="32">
        <f>IF($A1328=1,IF(Supplier_Invoices!$AA24="","",Supplier_Invoices!$AA24),"")</f>
        <v/>
      </c>
      <c r="H1328" s="32">
        <f>IF($A1328=1,IF(COUNTIF(COA!$A:$A,$G1328)=0,"حساب غير معرف",INDEX(COA!$B:$B,MATCH($G1328,COA!$A:$A,0))),"")</f>
        <v/>
      </c>
      <c r="I1328" s="32">
        <f>IF($A1328=1,IF(Supplier_Invoices!$H24="","",Supplier_Invoices!$H24),"")</f>
        <v/>
      </c>
      <c r="J1328" s="32">
        <f>IF($A1328=1,"CC00","")</f>
        <v/>
      </c>
      <c r="K1328" s="32">
        <f>IF($A1328=1,"-","")</f>
        <v/>
      </c>
      <c r="L1328" s="32">
        <f>IF($A1328=1,"سداد فوري - "&amp;Supplier_Invoices!$F24&amp;" "&amp;Supplier_Invoices!$B24&amp;" - "&amp;Supplier_Invoices!$C24,"")</f>
        <v/>
      </c>
      <c r="M1328" s="43">
        <f>IF($A1328=1,0,"")</f>
        <v/>
      </c>
      <c r="N1328" s="43">
        <f>IF($A1328=1,Supplier_Invoices!$W24,"")</f>
        <v/>
      </c>
      <c r="O1328" s="32">
        <f>IF($A1328=1,Supplier_Invoices!$O24,"")</f>
        <v/>
      </c>
      <c r="P1328" s="32">
        <f>IF($A1328=1,IF(Supplier_Invoices!$AE24="","",Supplier_Invoices!$AE24),"")</f>
        <v/>
      </c>
      <c r="Q1328" s="32">
        <f>IF($A1328=1,Supplier_Invoices!$AG24,"")</f>
        <v/>
      </c>
      <c r="R1328" s="32">
        <f>IF($A1328=1,IF(AND($Q1328=1,COUNTIFS(COA!$A:$A,$G1328,COA!$R:$R,1)=1),1,0),"")</f>
        <v/>
      </c>
      <c r="S1328" s="43">
        <f>IF($A1328=1,IF($R1328=1,N($M1328),0),"")</f>
        <v/>
      </c>
      <c r="T1328" s="43">
        <f>IF($A1328=1,IF($R1328=1,N($N1328),0),"")</f>
        <v/>
      </c>
      <c r="U1328" s="32">
        <f>IF($A1328=1,YEAR($D1328)*100+MONTH($D1328),"")</f>
        <v/>
      </c>
      <c r="V1328" s="32">
        <f>IF($A1328=1,IF(COUNTIF(COA!$A:$A,$G1328)=0,0,INDEX(COA!$H:$H,MATCH($G1328,COA!$A:$A,0))),"")</f>
        <v/>
      </c>
      <c r="W1328" s="32">
        <f>IF($A1328=1,IF(Supplier_Invoices!$AB24="","",Supplier_Invoices!$AB24),"")</f>
        <v/>
      </c>
      <c r="X1328" s="32">
        <f>IF($A1328=1,IF($R1328=1,"",IF($O1328=ST_POST,IF($P1328&lt;&gt;"",$P1328,"حساب غير صالح أو غير نشط"),IF($O1328=ST_REV,"معكوس: لا أثر على الدفاتر",IF($O1328=ST_CANC,"ملغى",IF($O1328=ST_APPR,"معتمد ولم يُرحَّل","مسودة"))))),"")</f>
        <v/>
      </c>
      <c r="Y1328" s="32">
        <f>IF($A1328=1,IF(AND($R1328=1,OR(LG_Acct="",$G1328=LG_Acct),OR(LG_Party="",$K1328=LG_Party),OR(LG_Loc="ALL",$I1328=LG_Loc),OR(LG_CC="ALL",$J1328=LG_CC),$D1328&gt;=LG_From,$D1328&lt;=LG_To),$D1328+ROW()/1000000,""),"")</f>
        <v/>
      </c>
      <c r="Z1328" s="32">
        <f>IF($A1328=1,IF(Supplier_Invoices!$P24="","",Supplier_Invoices!$P24),"")</f>
        <v/>
      </c>
      <c r="AA1328" s="32">
        <f>IF($A1328=1,IF(Supplier_Invoices!$Q24="","",Supplier_Invoices!$Q24),"")</f>
        <v/>
      </c>
      <c r="AB1328" s="32">
        <f>IF($A1328=1,IF(Supplier_Invoices!$R24="","",Supplier_Invoices!$R24),"")</f>
        <v/>
      </c>
      <c r="AC1328" s="32">
        <f>IF($A1328=1,IF(Supplier_Invoices!$S24="","",Supplier_Invoices!$S24),"")</f>
        <v/>
      </c>
      <c r="AD1328" s="32">
        <f>IF($A1328=1,IF(Supplier_Invoices!$T24="","",Supplier_Invoices!$T24),"")</f>
        <v/>
      </c>
      <c r="AE1328" s="32">
        <f>IF($A1328=1,0,"")</f>
        <v/>
      </c>
      <c r="AF1328" s="32" t="inlineStr"/>
    </row>
    <row r="1329">
      <c r="A1329" s="32">
        <f>IF(AND(Supplier_Invoices!$AD25=1,N(Supplier_Invoices!$J25)&gt;0),1,0)</f>
        <v/>
      </c>
      <c r="B1329" s="32">
        <f>IF($A1329=1,$E1329&amp;"/1","")</f>
        <v/>
      </c>
      <c r="C1329" s="32">
        <f>IF($A1329=1,"J-"&amp;Supplier_Invoices!$A25,"")</f>
        <v/>
      </c>
      <c r="D1329" s="33">
        <f>IF($A1329=1,Supplier_Invoices!$E25,"")</f>
        <v/>
      </c>
      <c r="E1329" s="32">
        <f>IF($A1329=1,IF(Supplier_Invoices!$A25="","",Supplier_Invoices!$A25),"")</f>
        <v/>
      </c>
      <c r="F1329" s="32">
        <f>IF($A1329=1,"SINV","")</f>
        <v/>
      </c>
      <c r="G1329" s="32">
        <f>IF($A1329=1,IF(Supplier_Invoices!$G25="","",Supplier_Invoices!$G25),"")</f>
        <v/>
      </c>
      <c r="H1329" s="32">
        <f>IF($A1329=1,IF(COUNTIF(COA!$A:$A,$G1329)=0,"حساب غير معرف",INDEX(COA!$B:$B,MATCH($G1329,COA!$A:$A,0))),"")</f>
        <v/>
      </c>
      <c r="I1329" s="32">
        <f>IF($A1329=1,IF(Supplier_Invoices!$H25="","",Supplier_Invoices!$H25),"")</f>
        <v/>
      </c>
      <c r="J1329" s="32">
        <f>IF($A1329=1,IF(Supplier_Invoices!$I25="","",Supplier_Invoices!$I25),"")</f>
        <v/>
      </c>
      <c r="K1329" s="32">
        <f>IF($A1329=1,"-","")</f>
        <v/>
      </c>
      <c r="L1329" s="32">
        <f>IF($A1329=1,Supplier_Invoices!$F25&amp;" "&amp;Supplier_Invoices!$B25&amp;" - "&amp;Supplier_Invoices!$C25,"")</f>
        <v/>
      </c>
      <c r="M1329" s="43">
        <f>IF($A1329=1,IF(Supplier_Invoices!$V25="CN",0,Supplier_Invoices!$J25),"")</f>
        <v/>
      </c>
      <c r="N1329" s="43">
        <f>IF($A1329=1,IF(Supplier_Invoices!$V25="CN",Supplier_Invoices!$J25,0),"")</f>
        <v/>
      </c>
      <c r="O1329" s="32">
        <f>IF($A1329=1,Supplier_Invoices!$O25,"")</f>
        <v/>
      </c>
      <c r="P1329" s="32">
        <f>IF($A1329=1,IF(Supplier_Invoices!$AE25="","",Supplier_Invoices!$AE25),"")</f>
        <v/>
      </c>
      <c r="Q1329" s="32">
        <f>IF($A1329=1,Supplier_Invoices!$AG25,"")</f>
        <v/>
      </c>
      <c r="R1329" s="32">
        <f>IF($A1329=1,IF(AND($Q1329=1,COUNTIFS(COA!$A:$A,$G1329,COA!$R:$R,1)=1),1,0),"")</f>
        <v/>
      </c>
      <c r="S1329" s="43">
        <f>IF($A1329=1,IF($R1329=1,N($M1329),0),"")</f>
        <v/>
      </c>
      <c r="T1329" s="43">
        <f>IF($A1329=1,IF($R1329=1,N($N1329),0),"")</f>
        <v/>
      </c>
      <c r="U1329" s="32">
        <f>IF($A1329=1,YEAR($D1329)*100+MONTH($D1329),"")</f>
        <v/>
      </c>
      <c r="V1329" s="32">
        <f>IF($A1329=1,IF(COUNTIF(COA!$A:$A,$G1329)=0,0,INDEX(COA!$H:$H,MATCH($G1329,COA!$A:$A,0))),"")</f>
        <v/>
      </c>
      <c r="W1329" s="32">
        <f>IF($A1329=1,"","")</f>
        <v/>
      </c>
      <c r="X1329" s="32">
        <f>IF($A1329=1,IF($R1329=1,"",IF($O1329=ST_POST,IF($P1329&lt;&gt;"",$P1329,"حساب غير صالح أو غير نشط"),IF($O1329=ST_REV,"معكوس: لا أثر على الدفاتر",IF($O1329=ST_CANC,"ملغى",IF($O1329=ST_APPR,"معتمد ولم يُرحَّل","مسودة"))))),"")</f>
        <v/>
      </c>
      <c r="Y1329" s="32">
        <f>IF($A1329=1,IF(AND($R1329=1,OR(LG_Acct="",$G1329=LG_Acct),OR(LG_Party="",$K1329=LG_Party),OR(LG_Loc="ALL",$I1329=LG_Loc),OR(LG_CC="ALL",$J1329=LG_CC),$D1329&gt;=LG_From,$D1329&lt;=LG_To),$D1329+ROW()/1000000,""),"")</f>
        <v/>
      </c>
      <c r="Z1329" s="32">
        <f>IF($A1329=1,IF(Supplier_Invoices!$P25="","",Supplier_Invoices!$P25),"")</f>
        <v/>
      </c>
      <c r="AA1329" s="32">
        <f>IF($A1329=1,IF(Supplier_Invoices!$Q25="","",Supplier_Invoices!$Q25),"")</f>
        <v/>
      </c>
      <c r="AB1329" s="32">
        <f>IF($A1329=1,IF(Supplier_Invoices!$R25="","",Supplier_Invoices!$R25),"")</f>
        <v/>
      </c>
      <c r="AC1329" s="32">
        <f>IF($A1329=1,IF(Supplier_Invoices!$S25="","",Supplier_Invoices!$S25),"")</f>
        <v/>
      </c>
      <c r="AD1329" s="32">
        <f>IF($A1329=1,IF(Supplier_Invoices!$T25="","",Supplier_Invoices!$T25),"")</f>
        <v/>
      </c>
      <c r="AE1329" s="32">
        <f>IF($A1329=1,0,"")</f>
        <v/>
      </c>
      <c r="AF1329" s="32" t="inlineStr"/>
    </row>
    <row r="1330">
      <c r="A1330" s="32">
        <f>IF(AND(Supplier_Invoices!$AD25=1,N(Supplier_Invoices!$K25)&gt;0),1,0)</f>
        <v/>
      </c>
      <c r="B1330" s="32">
        <f>IF($A1330=1,$E1330&amp;"/2","")</f>
        <v/>
      </c>
      <c r="C1330" s="32">
        <f>IF($A1330=1,"J-"&amp;Supplier_Invoices!$A25,"")</f>
        <v/>
      </c>
      <c r="D1330" s="33">
        <f>IF($A1330=1,Supplier_Invoices!$E25,"")</f>
        <v/>
      </c>
      <c r="E1330" s="32">
        <f>IF($A1330=1,IF(Supplier_Invoices!$A25="","",Supplier_Invoices!$A25),"")</f>
        <v/>
      </c>
      <c r="F1330" s="32">
        <f>IF($A1330=1,"SINV","")</f>
        <v/>
      </c>
      <c r="G1330" s="32">
        <f>IF($A1330=1,ACC_VAT_IN,"")</f>
        <v/>
      </c>
      <c r="H1330" s="32">
        <f>IF($A1330=1,IF(COUNTIF(COA!$A:$A,$G1330)=0,"حساب غير معرف",INDEX(COA!$B:$B,MATCH($G1330,COA!$A:$A,0))),"")</f>
        <v/>
      </c>
      <c r="I1330" s="32">
        <f>IF($A1330=1,IF(Supplier_Invoices!$H25="","",Supplier_Invoices!$H25),"")</f>
        <v/>
      </c>
      <c r="J1330" s="32">
        <f>IF($A1330=1,IF(Supplier_Invoices!$I25="","",Supplier_Invoices!$I25),"")</f>
        <v/>
      </c>
      <c r="K1330" s="32">
        <f>IF($A1330=1,"-","")</f>
        <v/>
      </c>
      <c r="L1330" s="32">
        <f>IF($A1330=1,"ضريبة قيمة مضافة - مدخلات","")</f>
        <v/>
      </c>
      <c r="M1330" s="43">
        <f>IF($A1330=1,IF(Supplier_Invoices!$V25="CN",0,Supplier_Invoices!$K25),"")</f>
        <v/>
      </c>
      <c r="N1330" s="43">
        <f>IF($A1330=1,IF(Supplier_Invoices!$V25="CN",Supplier_Invoices!$K25,0),"")</f>
        <v/>
      </c>
      <c r="O1330" s="32">
        <f>IF($A1330=1,Supplier_Invoices!$O25,"")</f>
        <v/>
      </c>
      <c r="P1330" s="32">
        <f>IF($A1330=1,IF(Supplier_Invoices!$AE25="","",Supplier_Invoices!$AE25),"")</f>
        <v/>
      </c>
      <c r="Q1330" s="32">
        <f>IF($A1330=1,Supplier_Invoices!$AG25,"")</f>
        <v/>
      </c>
      <c r="R1330" s="32">
        <f>IF($A1330=1,IF(AND($Q1330=1,COUNTIFS(COA!$A:$A,$G1330,COA!$R:$R,1)=1),1,0),"")</f>
        <v/>
      </c>
      <c r="S1330" s="43">
        <f>IF($A1330=1,IF($R1330=1,N($M1330),0),"")</f>
        <v/>
      </c>
      <c r="T1330" s="43">
        <f>IF($A1330=1,IF($R1330=1,N($N1330),0),"")</f>
        <v/>
      </c>
      <c r="U1330" s="32">
        <f>IF($A1330=1,YEAR($D1330)*100+MONTH($D1330),"")</f>
        <v/>
      </c>
      <c r="V1330" s="32">
        <f>IF($A1330=1,IF(COUNTIF(COA!$A:$A,$G1330)=0,0,INDEX(COA!$H:$H,MATCH($G1330,COA!$A:$A,0))),"")</f>
        <v/>
      </c>
      <c r="W1330" s="32">
        <f>IF($A1330=1,"","")</f>
        <v/>
      </c>
      <c r="X1330" s="32">
        <f>IF($A1330=1,IF($R1330=1,"",IF($O1330=ST_POST,IF($P1330&lt;&gt;"",$P1330,"حساب غير صالح أو غير نشط"),IF($O1330=ST_REV,"معكوس: لا أثر على الدفاتر",IF($O1330=ST_CANC,"ملغى",IF($O1330=ST_APPR,"معتمد ولم يُرحَّل","مسودة"))))),"")</f>
        <v/>
      </c>
      <c r="Y1330" s="32">
        <f>IF($A1330=1,IF(AND($R1330=1,OR(LG_Acct="",$G1330=LG_Acct),OR(LG_Party="",$K1330=LG_Party),OR(LG_Loc="ALL",$I1330=LG_Loc),OR(LG_CC="ALL",$J1330=LG_CC),$D1330&gt;=LG_From,$D1330&lt;=LG_To),$D1330+ROW()/1000000,""),"")</f>
        <v/>
      </c>
      <c r="Z1330" s="32">
        <f>IF($A1330=1,IF(Supplier_Invoices!$P25="","",Supplier_Invoices!$P25),"")</f>
        <v/>
      </c>
      <c r="AA1330" s="32">
        <f>IF($A1330=1,IF(Supplier_Invoices!$Q25="","",Supplier_Invoices!$Q25),"")</f>
        <v/>
      </c>
      <c r="AB1330" s="32">
        <f>IF($A1330=1,IF(Supplier_Invoices!$R25="","",Supplier_Invoices!$R25),"")</f>
        <v/>
      </c>
      <c r="AC1330" s="32">
        <f>IF($A1330=1,IF(Supplier_Invoices!$S25="","",Supplier_Invoices!$S25),"")</f>
        <v/>
      </c>
      <c r="AD1330" s="32">
        <f>IF($A1330=1,IF(Supplier_Invoices!$T25="","",Supplier_Invoices!$T25),"")</f>
        <v/>
      </c>
      <c r="AE1330" s="32">
        <f>IF($A1330=1,0,"")</f>
        <v/>
      </c>
      <c r="AF1330" s="32" t="inlineStr"/>
    </row>
    <row r="1331">
      <c r="A1331" s="32">
        <f>IF(AND(Supplier_Invoices!$AD25=1,N(Supplier_Invoices!$W25)&gt;0),1,0)</f>
        <v/>
      </c>
      <c r="B1331" s="32">
        <f>IF($A1331=1,$E1331&amp;"/3","")</f>
        <v/>
      </c>
      <c r="C1331" s="32">
        <f>IF($A1331=1,"J-"&amp;Supplier_Invoices!$A25,"")</f>
        <v/>
      </c>
      <c r="D1331" s="33">
        <f>IF($A1331=1,Supplier_Invoices!$E25,"")</f>
        <v/>
      </c>
      <c r="E1331" s="32">
        <f>IF($A1331=1,IF(Supplier_Invoices!$A25="","",Supplier_Invoices!$A25),"")</f>
        <v/>
      </c>
      <c r="F1331" s="32">
        <f>IF($A1331=1,"SINV","")</f>
        <v/>
      </c>
      <c r="G1331" s="32">
        <f>IF($A1331=1,ACC_SUPPLIERS,"")</f>
        <v/>
      </c>
      <c r="H1331" s="32">
        <f>IF($A1331=1,IF(COUNTIF(COA!$A:$A,$G1331)=0,"حساب غير معرف",INDEX(COA!$B:$B,MATCH($G1331,COA!$A:$A,0))),"")</f>
        <v/>
      </c>
      <c r="I1331" s="32">
        <f>IF($A1331=1,IF(Supplier_Invoices!$H25="","",Supplier_Invoices!$H25),"")</f>
        <v/>
      </c>
      <c r="J1331" s="32">
        <f>IF($A1331=1,"CC00","")</f>
        <v/>
      </c>
      <c r="K1331" s="32">
        <f>IF($A1331=1,IF(Supplier_Invoices!$C25="","",Supplier_Invoices!$C25),"")</f>
        <v/>
      </c>
      <c r="L1331" s="32">
        <f>IF($A1331=1,Supplier_Invoices!$F25&amp;" "&amp;Supplier_Invoices!$B25&amp;" - "&amp;Supplier_Invoices!$C25,"")</f>
        <v/>
      </c>
      <c r="M1331" s="43">
        <f>IF($A1331=1,IF(Supplier_Invoices!$V25="CN",Supplier_Invoices!$W25,0),"")</f>
        <v/>
      </c>
      <c r="N1331" s="43">
        <f>IF($A1331=1,IF(Supplier_Invoices!$V25="CN",0,Supplier_Invoices!$W25),"")</f>
        <v/>
      </c>
      <c r="O1331" s="32">
        <f>IF($A1331=1,Supplier_Invoices!$O25,"")</f>
        <v/>
      </c>
      <c r="P1331" s="32">
        <f>IF($A1331=1,IF(Supplier_Invoices!$AE25="","",Supplier_Invoices!$AE25),"")</f>
        <v/>
      </c>
      <c r="Q1331" s="32">
        <f>IF($A1331=1,Supplier_Invoices!$AG25,"")</f>
        <v/>
      </c>
      <c r="R1331" s="32">
        <f>IF($A1331=1,IF(AND($Q1331=1,COUNTIFS(COA!$A:$A,$G1331,COA!$R:$R,1)=1),1,0),"")</f>
        <v/>
      </c>
      <c r="S1331" s="43">
        <f>IF($A1331=1,IF($R1331=1,N($M1331),0),"")</f>
        <v/>
      </c>
      <c r="T1331" s="43">
        <f>IF($A1331=1,IF($R1331=1,N($N1331),0),"")</f>
        <v/>
      </c>
      <c r="U1331" s="32">
        <f>IF($A1331=1,YEAR($D1331)*100+MONTH($D1331),"")</f>
        <v/>
      </c>
      <c r="V1331" s="32">
        <f>IF($A1331=1,IF(COUNTIF(COA!$A:$A,$G1331)=0,0,INDEX(COA!$H:$H,MATCH($G1331,COA!$A:$A,0))),"")</f>
        <v/>
      </c>
      <c r="W1331" s="32">
        <f>IF($A1331=1,"","")</f>
        <v/>
      </c>
      <c r="X1331" s="32">
        <f>IF($A1331=1,IF($R1331=1,"",IF($O1331=ST_POST,IF($P1331&lt;&gt;"",$P1331,"حساب غير صالح أو غير نشط"),IF($O1331=ST_REV,"معكوس: لا أثر على الدفاتر",IF($O1331=ST_CANC,"ملغى",IF($O1331=ST_APPR,"معتمد ولم يُرحَّل","مسودة"))))),"")</f>
        <v/>
      </c>
      <c r="Y1331" s="32">
        <f>IF($A1331=1,IF(AND($R1331=1,OR(LG_Acct="",$G1331=LG_Acct),OR(LG_Party="",$K1331=LG_Party),OR(LG_Loc="ALL",$I1331=LG_Loc),OR(LG_CC="ALL",$J1331=LG_CC),$D1331&gt;=LG_From,$D1331&lt;=LG_To),$D1331+ROW()/1000000,""),"")</f>
        <v/>
      </c>
      <c r="Z1331" s="32">
        <f>IF($A1331=1,IF(Supplier_Invoices!$P25="","",Supplier_Invoices!$P25),"")</f>
        <v/>
      </c>
      <c r="AA1331" s="32">
        <f>IF($A1331=1,IF(Supplier_Invoices!$Q25="","",Supplier_Invoices!$Q25),"")</f>
        <v/>
      </c>
      <c r="AB1331" s="32">
        <f>IF($A1331=1,IF(Supplier_Invoices!$R25="","",Supplier_Invoices!$R25),"")</f>
        <v/>
      </c>
      <c r="AC1331" s="32">
        <f>IF($A1331=1,IF(Supplier_Invoices!$S25="","",Supplier_Invoices!$S25),"")</f>
        <v/>
      </c>
      <c r="AD1331" s="32">
        <f>IF($A1331=1,IF(Supplier_Invoices!$T25="","",Supplier_Invoices!$T25),"")</f>
        <v/>
      </c>
      <c r="AE1331" s="32">
        <f>IF($A1331=1,0,"")</f>
        <v/>
      </c>
      <c r="AF1331" s="32" t="inlineStr"/>
    </row>
    <row r="1332">
      <c r="A1332" s="32">
        <f>IF(AND(Supplier_Invoices!$AD25=1,Supplier_Invoices!$L25&lt;&gt;"",Supplier_Invoices!$V25&lt;&gt;"CN",N(Supplier_Invoices!$W25)&gt;0),1,0)</f>
        <v/>
      </c>
      <c r="B1332" s="32">
        <f>IF($A1332=1,$E1332&amp;"/4","")</f>
        <v/>
      </c>
      <c r="C1332" s="32">
        <f>IF($A1332=1,"J-"&amp;Supplier_Invoices!$A25,"")</f>
        <v/>
      </c>
      <c r="D1332" s="33">
        <f>IF($A1332=1,Supplier_Invoices!$E25,"")</f>
        <v/>
      </c>
      <c r="E1332" s="32">
        <f>IF($A1332=1,IF(Supplier_Invoices!$A25="","",Supplier_Invoices!$A25),"")</f>
        <v/>
      </c>
      <c r="F1332" s="32">
        <f>IF($A1332=1,"SINV","")</f>
        <v/>
      </c>
      <c r="G1332" s="32">
        <f>IF($A1332=1,ACC_SUPPLIERS,"")</f>
        <v/>
      </c>
      <c r="H1332" s="32">
        <f>IF($A1332=1,IF(COUNTIF(COA!$A:$A,$G1332)=0,"حساب غير معرف",INDEX(COA!$B:$B,MATCH($G1332,COA!$A:$A,0))),"")</f>
        <v/>
      </c>
      <c r="I1332" s="32">
        <f>IF($A1332=1,IF(Supplier_Invoices!$H25="","",Supplier_Invoices!$H25),"")</f>
        <v/>
      </c>
      <c r="J1332" s="32">
        <f>IF($A1332=1,"CC00","")</f>
        <v/>
      </c>
      <c r="K1332" s="32">
        <f>IF($A1332=1,IF(Supplier_Invoices!$C25="","",Supplier_Invoices!$C25),"")</f>
        <v/>
      </c>
      <c r="L1332" s="32">
        <f>IF($A1332=1,"سداد فوري - "&amp;Supplier_Invoices!$F25&amp;" "&amp;Supplier_Invoices!$B25&amp;" - "&amp;Supplier_Invoices!$C25,"")</f>
        <v/>
      </c>
      <c r="M1332" s="43">
        <f>IF($A1332=1,Supplier_Invoices!$W25,"")</f>
        <v/>
      </c>
      <c r="N1332" s="43">
        <f>IF($A1332=1,0,"")</f>
        <v/>
      </c>
      <c r="O1332" s="32">
        <f>IF($A1332=1,Supplier_Invoices!$O25,"")</f>
        <v/>
      </c>
      <c r="P1332" s="32">
        <f>IF($A1332=1,IF(Supplier_Invoices!$AE25="","",Supplier_Invoices!$AE25),"")</f>
        <v/>
      </c>
      <c r="Q1332" s="32">
        <f>IF($A1332=1,Supplier_Invoices!$AG25,"")</f>
        <v/>
      </c>
      <c r="R1332" s="32">
        <f>IF($A1332=1,IF(AND($Q1332=1,COUNTIFS(COA!$A:$A,$G1332,COA!$R:$R,1)=1),1,0),"")</f>
        <v/>
      </c>
      <c r="S1332" s="43">
        <f>IF($A1332=1,IF($R1332=1,N($M1332),0),"")</f>
        <v/>
      </c>
      <c r="T1332" s="43">
        <f>IF($A1332=1,IF($R1332=1,N($N1332),0),"")</f>
        <v/>
      </c>
      <c r="U1332" s="32">
        <f>IF($A1332=1,YEAR($D1332)*100+MONTH($D1332),"")</f>
        <v/>
      </c>
      <c r="V1332" s="32">
        <f>IF($A1332=1,IF(COUNTIF(COA!$A:$A,$G1332)=0,0,INDEX(COA!$H:$H,MATCH($G1332,COA!$A:$A,0))),"")</f>
        <v/>
      </c>
      <c r="W1332" s="32">
        <f>IF($A1332=1,"","")</f>
        <v/>
      </c>
      <c r="X1332" s="32">
        <f>IF($A1332=1,IF($R1332=1,"",IF($O1332=ST_POST,IF($P1332&lt;&gt;"",$P1332,"حساب غير صالح أو غير نشط"),IF($O1332=ST_REV,"معكوس: لا أثر على الدفاتر",IF($O1332=ST_CANC,"ملغى",IF($O1332=ST_APPR,"معتمد ولم يُرحَّل","مسودة"))))),"")</f>
        <v/>
      </c>
      <c r="Y1332" s="32">
        <f>IF($A1332=1,IF(AND($R1332=1,OR(LG_Acct="",$G1332=LG_Acct),OR(LG_Party="",$K1332=LG_Party),OR(LG_Loc="ALL",$I1332=LG_Loc),OR(LG_CC="ALL",$J1332=LG_CC),$D1332&gt;=LG_From,$D1332&lt;=LG_To),$D1332+ROW()/1000000,""),"")</f>
        <v/>
      </c>
      <c r="Z1332" s="32">
        <f>IF($A1332=1,IF(Supplier_Invoices!$P25="","",Supplier_Invoices!$P25),"")</f>
        <v/>
      </c>
      <c r="AA1332" s="32">
        <f>IF($A1332=1,IF(Supplier_Invoices!$Q25="","",Supplier_Invoices!$Q25),"")</f>
        <v/>
      </c>
      <c r="AB1332" s="32">
        <f>IF($A1332=1,IF(Supplier_Invoices!$R25="","",Supplier_Invoices!$R25),"")</f>
        <v/>
      </c>
      <c r="AC1332" s="32">
        <f>IF($A1332=1,IF(Supplier_Invoices!$S25="","",Supplier_Invoices!$S25),"")</f>
        <v/>
      </c>
      <c r="AD1332" s="32">
        <f>IF($A1332=1,IF(Supplier_Invoices!$T25="","",Supplier_Invoices!$T25),"")</f>
        <v/>
      </c>
      <c r="AE1332" s="32">
        <f>IF($A1332=1,0,"")</f>
        <v/>
      </c>
      <c r="AF1332" s="32" t="inlineStr"/>
    </row>
    <row r="1333">
      <c r="A1333" s="32">
        <f>IF(AND(Supplier_Invoices!$AD25=1,Supplier_Invoices!$L25&lt;&gt;"",Supplier_Invoices!$V25&lt;&gt;"CN",N(Supplier_Invoices!$W25)&gt;0),1,0)</f>
        <v/>
      </c>
      <c r="B1333" s="32">
        <f>IF($A1333=1,$E1333&amp;"/5","")</f>
        <v/>
      </c>
      <c r="C1333" s="32">
        <f>IF($A1333=1,"J-"&amp;Supplier_Invoices!$A25,"")</f>
        <v/>
      </c>
      <c r="D1333" s="33">
        <f>IF($A1333=1,Supplier_Invoices!$E25,"")</f>
        <v/>
      </c>
      <c r="E1333" s="32">
        <f>IF($A1333=1,IF(Supplier_Invoices!$A25="","",Supplier_Invoices!$A25),"")</f>
        <v/>
      </c>
      <c r="F1333" s="32">
        <f>IF($A1333=1,"SINV","")</f>
        <v/>
      </c>
      <c r="G1333" s="32">
        <f>IF($A1333=1,IF(Supplier_Invoices!$AA25="","",Supplier_Invoices!$AA25),"")</f>
        <v/>
      </c>
      <c r="H1333" s="32">
        <f>IF($A1333=1,IF(COUNTIF(COA!$A:$A,$G1333)=0,"حساب غير معرف",INDEX(COA!$B:$B,MATCH($G1333,COA!$A:$A,0))),"")</f>
        <v/>
      </c>
      <c r="I1333" s="32">
        <f>IF($A1333=1,IF(Supplier_Invoices!$H25="","",Supplier_Invoices!$H25),"")</f>
        <v/>
      </c>
      <c r="J1333" s="32">
        <f>IF($A1333=1,"CC00","")</f>
        <v/>
      </c>
      <c r="K1333" s="32">
        <f>IF($A1333=1,"-","")</f>
        <v/>
      </c>
      <c r="L1333" s="32">
        <f>IF($A1333=1,"سداد فوري - "&amp;Supplier_Invoices!$F25&amp;" "&amp;Supplier_Invoices!$B25&amp;" - "&amp;Supplier_Invoices!$C25,"")</f>
        <v/>
      </c>
      <c r="M1333" s="43">
        <f>IF($A1333=1,0,"")</f>
        <v/>
      </c>
      <c r="N1333" s="43">
        <f>IF($A1333=1,Supplier_Invoices!$W25,"")</f>
        <v/>
      </c>
      <c r="O1333" s="32">
        <f>IF($A1333=1,Supplier_Invoices!$O25,"")</f>
        <v/>
      </c>
      <c r="P1333" s="32">
        <f>IF($A1333=1,IF(Supplier_Invoices!$AE25="","",Supplier_Invoices!$AE25),"")</f>
        <v/>
      </c>
      <c r="Q1333" s="32">
        <f>IF($A1333=1,Supplier_Invoices!$AG25,"")</f>
        <v/>
      </c>
      <c r="R1333" s="32">
        <f>IF($A1333=1,IF(AND($Q1333=1,COUNTIFS(COA!$A:$A,$G1333,COA!$R:$R,1)=1),1,0),"")</f>
        <v/>
      </c>
      <c r="S1333" s="43">
        <f>IF($A1333=1,IF($R1333=1,N($M1333),0),"")</f>
        <v/>
      </c>
      <c r="T1333" s="43">
        <f>IF($A1333=1,IF($R1333=1,N($N1333),0),"")</f>
        <v/>
      </c>
      <c r="U1333" s="32">
        <f>IF($A1333=1,YEAR($D1333)*100+MONTH($D1333),"")</f>
        <v/>
      </c>
      <c r="V1333" s="32">
        <f>IF($A1333=1,IF(COUNTIF(COA!$A:$A,$G1333)=0,0,INDEX(COA!$H:$H,MATCH($G1333,COA!$A:$A,0))),"")</f>
        <v/>
      </c>
      <c r="W1333" s="32">
        <f>IF($A1333=1,IF(Supplier_Invoices!$AB25="","",Supplier_Invoices!$AB25),"")</f>
        <v/>
      </c>
      <c r="X1333" s="32">
        <f>IF($A1333=1,IF($R1333=1,"",IF($O1333=ST_POST,IF($P1333&lt;&gt;"",$P1333,"حساب غير صالح أو غير نشط"),IF($O1333=ST_REV,"معكوس: لا أثر على الدفاتر",IF($O1333=ST_CANC,"ملغى",IF($O1333=ST_APPR,"معتمد ولم يُرحَّل","مسودة"))))),"")</f>
        <v/>
      </c>
      <c r="Y1333" s="32">
        <f>IF($A1333=1,IF(AND($R1333=1,OR(LG_Acct="",$G1333=LG_Acct),OR(LG_Party="",$K1333=LG_Party),OR(LG_Loc="ALL",$I1333=LG_Loc),OR(LG_CC="ALL",$J1333=LG_CC),$D1333&gt;=LG_From,$D1333&lt;=LG_To),$D1333+ROW()/1000000,""),"")</f>
        <v/>
      </c>
      <c r="Z1333" s="32">
        <f>IF($A1333=1,IF(Supplier_Invoices!$P25="","",Supplier_Invoices!$P25),"")</f>
        <v/>
      </c>
      <c r="AA1333" s="32">
        <f>IF($A1333=1,IF(Supplier_Invoices!$Q25="","",Supplier_Invoices!$Q25),"")</f>
        <v/>
      </c>
      <c r="AB1333" s="32">
        <f>IF($A1333=1,IF(Supplier_Invoices!$R25="","",Supplier_Invoices!$R25),"")</f>
        <v/>
      </c>
      <c r="AC1333" s="32">
        <f>IF($A1333=1,IF(Supplier_Invoices!$S25="","",Supplier_Invoices!$S25),"")</f>
        <v/>
      </c>
      <c r="AD1333" s="32">
        <f>IF($A1333=1,IF(Supplier_Invoices!$T25="","",Supplier_Invoices!$T25),"")</f>
        <v/>
      </c>
      <c r="AE1333" s="32">
        <f>IF($A1333=1,0,"")</f>
        <v/>
      </c>
      <c r="AF1333" s="32" t="inlineStr"/>
    </row>
    <row r="1334">
      <c r="A1334" s="32">
        <f>IF(AND(Supplier_Invoices!$AD26=1,N(Supplier_Invoices!$J26)&gt;0),1,0)</f>
        <v/>
      </c>
      <c r="B1334" s="32">
        <f>IF($A1334=1,$E1334&amp;"/1","")</f>
        <v/>
      </c>
      <c r="C1334" s="32">
        <f>IF($A1334=1,"J-"&amp;Supplier_Invoices!$A26,"")</f>
        <v/>
      </c>
      <c r="D1334" s="33">
        <f>IF($A1334=1,Supplier_Invoices!$E26,"")</f>
        <v/>
      </c>
      <c r="E1334" s="32">
        <f>IF($A1334=1,IF(Supplier_Invoices!$A26="","",Supplier_Invoices!$A26),"")</f>
        <v/>
      </c>
      <c r="F1334" s="32">
        <f>IF($A1334=1,"SINV","")</f>
        <v/>
      </c>
      <c r="G1334" s="32">
        <f>IF($A1334=1,IF(Supplier_Invoices!$G26="","",Supplier_Invoices!$G26),"")</f>
        <v/>
      </c>
      <c r="H1334" s="32">
        <f>IF($A1334=1,IF(COUNTIF(COA!$A:$A,$G1334)=0,"حساب غير معرف",INDEX(COA!$B:$B,MATCH($G1334,COA!$A:$A,0))),"")</f>
        <v/>
      </c>
      <c r="I1334" s="32">
        <f>IF($A1334=1,IF(Supplier_Invoices!$H26="","",Supplier_Invoices!$H26),"")</f>
        <v/>
      </c>
      <c r="J1334" s="32">
        <f>IF($A1334=1,IF(Supplier_Invoices!$I26="","",Supplier_Invoices!$I26),"")</f>
        <v/>
      </c>
      <c r="K1334" s="32">
        <f>IF($A1334=1,"-","")</f>
        <v/>
      </c>
      <c r="L1334" s="32">
        <f>IF($A1334=1,Supplier_Invoices!$F26&amp;" "&amp;Supplier_Invoices!$B26&amp;" - "&amp;Supplier_Invoices!$C26,"")</f>
        <v/>
      </c>
      <c r="M1334" s="43">
        <f>IF($A1334=1,IF(Supplier_Invoices!$V26="CN",0,Supplier_Invoices!$J26),"")</f>
        <v/>
      </c>
      <c r="N1334" s="43">
        <f>IF($A1334=1,IF(Supplier_Invoices!$V26="CN",Supplier_Invoices!$J26,0),"")</f>
        <v/>
      </c>
      <c r="O1334" s="32">
        <f>IF($A1334=1,Supplier_Invoices!$O26,"")</f>
        <v/>
      </c>
      <c r="P1334" s="32">
        <f>IF($A1334=1,IF(Supplier_Invoices!$AE26="","",Supplier_Invoices!$AE26),"")</f>
        <v/>
      </c>
      <c r="Q1334" s="32">
        <f>IF($A1334=1,Supplier_Invoices!$AG26,"")</f>
        <v/>
      </c>
      <c r="R1334" s="32">
        <f>IF($A1334=1,IF(AND($Q1334=1,COUNTIFS(COA!$A:$A,$G1334,COA!$R:$R,1)=1),1,0),"")</f>
        <v/>
      </c>
      <c r="S1334" s="43">
        <f>IF($A1334=1,IF($R1334=1,N($M1334),0),"")</f>
        <v/>
      </c>
      <c r="T1334" s="43">
        <f>IF($A1334=1,IF($R1334=1,N($N1334),0),"")</f>
        <v/>
      </c>
      <c r="U1334" s="32">
        <f>IF($A1334=1,YEAR($D1334)*100+MONTH($D1334),"")</f>
        <v/>
      </c>
      <c r="V1334" s="32">
        <f>IF($A1334=1,IF(COUNTIF(COA!$A:$A,$G1334)=0,0,INDEX(COA!$H:$H,MATCH($G1334,COA!$A:$A,0))),"")</f>
        <v/>
      </c>
      <c r="W1334" s="32">
        <f>IF($A1334=1,"","")</f>
        <v/>
      </c>
      <c r="X1334" s="32">
        <f>IF($A1334=1,IF($R1334=1,"",IF($O1334=ST_POST,IF($P1334&lt;&gt;"",$P1334,"حساب غير صالح أو غير نشط"),IF($O1334=ST_REV,"معكوس: لا أثر على الدفاتر",IF($O1334=ST_CANC,"ملغى",IF($O1334=ST_APPR,"معتمد ولم يُرحَّل","مسودة"))))),"")</f>
        <v/>
      </c>
      <c r="Y1334" s="32">
        <f>IF($A1334=1,IF(AND($R1334=1,OR(LG_Acct="",$G1334=LG_Acct),OR(LG_Party="",$K1334=LG_Party),OR(LG_Loc="ALL",$I1334=LG_Loc),OR(LG_CC="ALL",$J1334=LG_CC),$D1334&gt;=LG_From,$D1334&lt;=LG_To),$D1334+ROW()/1000000,""),"")</f>
        <v/>
      </c>
      <c r="Z1334" s="32">
        <f>IF($A1334=1,IF(Supplier_Invoices!$P26="","",Supplier_Invoices!$P26),"")</f>
        <v/>
      </c>
      <c r="AA1334" s="32">
        <f>IF($A1334=1,IF(Supplier_Invoices!$Q26="","",Supplier_Invoices!$Q26),"")</f>
        <v/>
      </c>
      <c r="AB1334" s="32">
        <f>IF($A1334=1,IF(Supplier_Invoices!$R26="","",Supplier_Invoices!$R26),"")</f>
        <v/>
      </c>
      <c r="AC1334" s="32">
        <f>IF($A1334=1,IF(Supplier_Invoices!$S26="","",Supplier_Invoices!$S26),"")</f>
        <v/>
      </c>
      <c r="AD1334" s="32">
        <f>IF($A1334=1,IF(Supplier_Invoices!$T26="","",Supplier_Invoices!$T26),"")</f>
        <v/>
      </c>
      <c r="AE1334" s="32">
        <f>IF($A1334=1,0,"")</f>
        <v/>
      </c>
      <c r="AF1334" s="32" t="inlineStr"/>
    </row>
    <row r="1335">
      <c r="A1335" s="32">
        <f>IF(AND(Supplier_Invoices!$AD26=1,N(Supplier_Invoices!$K26)&gt;0),1,0)</f>
        <v/>
      </c>
      <c r="B1335" s="32">
        <f>IF($A1335=1,$E1335&amp;"/2","")</f>
        <v/>
      </c>
      <c r="C1335" s="32">
        <f>IF($A1335=1,"J-"&amp;Supplier_Invoices!$A26,"")</f>
        <v/>
      </c>
      <c r="D1335" s="33">
        <f>IF($A1335=1,Supplier_Invoices!$E26,"")</f>
        <v/>
      </c>
      <c r="E1335" s="32">
        <f>IF($A1335=1,IF(Supplier_Invoices!$A26="","",Supplier_Invoices!$A26),"")</f>
        <v/>
      </c>
      <c r="F1335" s="32">
        <f>IF($A1335=1,"SINV","")</f>
        <v/>
      </c>
      <c r="G1335" s="32">
        <f>IF($A1335=1,ACC_VAT_IN,"")</f>
        <v/>
      </c>
      <c r="H1335" s="32">
        <f>IF($A1335=1,IF(COUNTIF(COA!$A:$A,$G1335)=0,"حساب غير معرف",INDEX(COA!$B:$B,MATCH($G1335,COA!$A:$A,0))),"")</f>
        <v/>
      </c>
      <c r="I1335" s="32">
        <f>IF($A1335=1,IF(Supplier_Invoices!$H26="","",Supplier_Invoices!$H26),"")</f>
        <v/>
      </c>
      <c r="J1335" s="32">
        <f>IF($A1335=1,IF(Supplier_Invoices!$I26="","",Supplier_Invoices!$I26),"")</f>
        <v/>
      </c>
      <c r="K1335" s="32">
        <f>IF($A1335=1,"-","")</f>
        <v/>
      </c>
      <c r="L1335" s="32">
        <f>IF($A1335=1,"ضريبة قيمة مضافة - مدخلات","")</f>
        <v/>
      </c>
      <c r="M1335" s="43">
        <f>IF($A1335=1,IF(Supplier_Invoices!$V26="CN",0,Supplier_Invoices!$K26),"")</f>
        <v/>
      </c>
      <c r="N1335" s="43">
        <f>IF($A1335=1,IF(Supplier_Invoices!$V26="CN",Supplier_Invoices!$K26,0),"")</f>
        <v/>
      </c>
      <c r="O1335" s="32">
        <f>IF($A1335=1,Supplier_Invoices!$O26,"")</f>
        <v/>
      </c>
      <c r="P1335" s="32">
        <f>IF($A1335=1,IF(Supplier_Invoices!$AE26="","",Supplier_Invoices!$AE26),"")</f>
        <v/>
      </c>
      <c r="Q1335" s="32">
        <f>IF($A1335=1,Supplier_Invoices!$AG26,"")</f>
        <v/>
      </c>
      <c r="R1335" s="32">
        <f>IF($A1335=1,IF(AND($Q1335=1,COUNTIFS(COA!$A:$A,$G1335,COA!$R:$R,1)=1),1,0),"")</f>
        <v/>
      </c>
      <c r="S1335" s="43">
        <f>IF($A1335=1,IF($R1335=1,N($M1335),0),"")</f>
        <v/>
      </c>
      <c r="T1335" s="43">
        <f>IF($A1335=1,IF($R1335=1,N($N1335),0),"")</f>
        <v/>
      </c>
      <c r="U1335" s="32">
        <f>IF($A1335=1,YEAR($D1335)*100+MONTH($D1335),"")</f>
        <v/>
      </c>
      <c r="V1335" s="32">
        <f>IF($A1335=1,IF(COUNTIF(COA!$A:$A,$G1335)=0,0,INDEX(COA!$H:$H,MATCH($G1335,COA!$A:$A,0))),"")</f>
        <v/>
      </c>
      <c r="W1335" s="32">
        <f>IF($A1335=1,"","")</f>
        <v/>
      </c>
      <c r="X1335" s="32">
        <f>IF($A1335=1,IF($R1335=1,"",IF($O1335=ST_POST,IF($P1335&lt;&gt;"",$P1335,"حساب غير صالح أو غير نشط"),IF($O1335=ST_REV,"معكوس: لا أثر على الدفاتر",IF($O1335=ST_CANC,"ملغى",IF($O1335=ST_APPR,"معتمد ولم يُرحَّل","مسودة"))))),"")</f>
        <v/>
      </c>
      <c r="Y1335" s="32">
        <f>IF($A1335=1,IF(AND($R1335=1,OR(LG_Acct="",$G1335=LG_Acct),OR(LG_Party="",$K1335=LG_Party),OR(LG_Loc="ALL",$I1335=LG_Loc),OR(LG_CC="ALL",$J1335=LG_CC),$D1335&gt;=LG_From,$D1335&lt;=LG_To),$D1335+ROW()/1000000,""),"")</f>
        <v/>
      </c>
      <c r="Z1335" s="32">
        <f>IF($A1335=1,IF(Supplier_Invoices!$P26="","",Supplier_Invoices!$P26),"")</f>
        <v/>
      </c>
      <c r="AA1335" s="32">
        <f>IF($A1335=1,IF(Supplier_Invoices!$Q26="","",Supplier_Invoices!$Q26),"")</f>
        <v/>
      </c>
      <c r="AB1335" s="32">
        <f>IF($A1335=1,IF(Supplier_Invoices!$R26="","",Supplier_Invoices!$R26),"")</f>
        <v/>
      </c>
      <c r="AC1335" s="32">
        <f>IF($A1335=1,IF(Supplier_Invoices!$S26="","",Supplier_Invoices!$S26),"")</f>
        <v/>
      </c>
      <c r="AD1335" s="32">
        <f>IF($A1335=1,IF(Supplier_Invoices!$T26="","",Supplier_Invoices!$T26),"")</f>
        <v/>
      </c>
      <c r="AE1335" s="32">
        <f>IF($A1335=1,0,"")</f>
        <v/>
      </c>
      <c r="AF1335" s="32" t="inlineStr"/>
    </row>
    <row r="1336">
      <c r="A1336" s="32">
        <f>IF(AND(Supplier_Invoices!$AD26=1,N(Supplier_Invoices!$W26)&gt;0),1,0)</f>
        <v/>
      </c>
      <c r="B1336" s="32">
        <f>IF($A1336=1,$E1336&amp;"/3","")</f>
        <v/>
      </c>
      <c r="C1336" s="32">
        <f>IF($A1336=1,"J-"&amp;Supplier_Invoices!$A26,"")</f>
        <v/>
      </c>
      <c r="D1336" s="33">
        <f>IF($A1336=1,Supplier_Invoices!$E26,"")</f>
        <v/>
      </c>
      <c r="E1336" s="32">
        <f>IF($A1336=1,IF(Supplier_Invoices!$A26="","",Supplier_Invoices!$A26),"")</f>
        <v/>
      </c>
      <c r="F1336" s="32">
        <f>IF($A1336=1,"SINV","")</f>
        <v/>
      </c>
      <c r="G1336" s="32">
        <f>IF($A1336=1,ACC_SUPPLIERS,"")</f>
        <v/>
      </c>
      <c r="H1336" s="32">
        <f>IF($A1336=1,IF(COUNTIF(COA!$A:$A,$G1336)=0,"حساب غير معرف",INDEX(COA!$B:$B,MATCH($G1336,COA!$A:$A,0))),"")</f>
        <v/>
      </c>
      <c r="I1336" s="32">
        <f>IF($A1336=1,IF(Supplier_Invoices!$H26="","",Supplier_Invoices!$H26),"")</f>
        <v/>
      </c>
      <c r="J1336" s="32">
        <f>IF($A1336=1,"CC00","")</f>
        <v/>
      </c>
      <c r="K1336" s="32">
        <f>IF($A1336=1,IF(Supplier_Invoices!$C26="","",Supplier_Invoices!$C26),"")</f>
        <v/>
      </c>
      <c r="L1336" s="32">
        <f>IF($A1336=1,Supplier_Invoices!$F26&amp;" "&amp;Supplier_Invoices!$B26&amp;" - "&amp;Supplier_Invoices!$C26,"")</f>
        <v/>
      </c>
      <c r="M1336" s="43">
        <f>IF($A1336=1,IF(Supplier_Invoices!$V26="CN",Supplier_Invoices!$W26,0),"")</f>
        <v/>
      </c>
      <c r="N1336" s="43">
        <f>IF($A1336=1,IF(Supplier_Invoices!$V26="CN",0,Supplier_Invoices!$W26),"")</f>
        <v/>
      </c>
      <c r="O1336" s="32">
        <f>IF($A1336=1,Supplier_Invoices!$O26,"")</f>
        <v/>
      </c>
      <c r="P1336" s="32">
        <f>IF($A1336=1,IF(Supplier_Invoices!$AE26="","",Supplier_Invoices!$AE26),"")</f>
        <v/>
      </c>
      <c r="Q1336" s="32">
        <f>IF($A1336=1,Supplier_Invoices!$AG26,"")</f>
        <v/>
      </c>
      <c r="R1336" s="32">
        <f>IF($A1336=1,IF(AND($Q1336=1,COUNTIFS(COA!$A:$A,$G1336,COA!$R:$R,1)=1),1,0),"")</f>
        <v/>
      </c>
      <c r="S1336" s="43">
        <f>IF($A1336=1,IF($R1336=1,N($M1336),0),"")</f>
        <v/>
      </c>
      <c r="T1336" s="43">
        <f>IF($A1336=1,IF($R1336=1,N($N1336),0),"")</f>
        <v/>
      </c>
      <c r="U1336" s="32">
        <f>IF($A1336=1,YEAR($D1336)*100+MONTH($D1336),"")</f>
        <v/>
      </c>
      <c r="V1336" s="32">
        <f>IF($A1336=1,IF(COUNTIF(COA!$A:$A,$G1336)=0,0,INDEX(COA!$H:$H,MATCH($G1336,COA!$A:$A,0))),"")</f>
        <v/>
      </c>
      <c r="W1336" s="32">
        <f>IF($A1336=1,"","")</f>
        <v/>
      </c>
      <c r="X1336" s="32">
        <f>IF($A1336=1,IF($R1336=1,"",IF($O1336=ST_POST,IF($P1336&lt;&gt;"",$P1336,"حساب غير صالح أو غير نشط"),IF($O1336=ST_REV,"معكوس: لا أثر على الدفاتر",IF($O1336=ST_CANC,"ملغى",IF($O1336=ST_APPR,"معتمد ولم يُرحَّل","مسودة"))))),"")</f>
        <v/>
      </c>
      <c r="Y1336" s="32">
        <f>IF($A1336=1,IF(AND($R1336=1,OR(LG_Acct="",$G1336=LG_Acct),OR(LG_Party="",$K1336=LG_Party),OR(LG_Loc="ALL",$I1336=LG_Loc),OR(LG_CC="ALL",$J1336=LG_CC),$D1336&gt;=LG_From,$D1336&lt;=LG_To),$D1336+ROW()/1000000,""),"")</f>
        <v/>
      </c>
      <c r="Z1336" s="32">
        <f>IF($A1336=1,IF(Supplier_Invoices!$P26="","",Supplier_Invoices!$P26),"")</f>
        <v/>
      </c>
      <c r="AA1336" s="32">
        <f>IF($A1336=1,IF(Supplier_Invoices!$Q26="","",Supplier_Invoices!$Q26),"")</f>
        <v/>
      </c>
      <c r="AB1336" s="32">
        <f>IF($A1336=1,IF(Supplier_Invoices!$R26="","",Supplier_Invoices!$R26),"")</f>
        <v/>
      </c>
      <c r="AC1336" s="32">
        <f>IF($A1336=1,IF(Supplier_Invoices!$S26="","",Supplier_Invoices!$S26),"")</f>
        <v/>
      </c>
      <c r="AD1336" s="32">
        <f>IF($A1336=1,IF(Supplier_Invoices!$T26="","",Supplier_Invoices!$T26),"")</f>
        <v/>
      </c>
      <c r="AE1336" s="32">
        <f>IF($A1336=1,0,"")</f>
        <v/>
      </c>
      <c r="AF1336" s="32" t="inlineStr"/>
    </row>
    <row r="1337">
      <c r="A1337" s="32">
        <f>IF(AND(Supplier_Invoices!$AD26=1,Supplier_Invoices!$L26&lt;&gt;"",Supplier_Invoices!$V26&lt;&gt;"CN",N(Supplier_Invoices!$W26)&gt;0),1,0)</f>
        <v/>
      </c>
      <c r="B1337" s="32">
        <f>IF($A1337=1,$E1337&amp;"/4","")</f>
        <v/>
      </c>
      <c r="C1337" s="32">
        <f>IF($A1337=1,"J-"&amp;Supplier_Invoices!$A26,"")</f>
        <v/>
      </c>
      <c r="D1337" s="33">
        <f>IF($A1337=1,Supplier_Invoices!$E26,"")</f>
        <v/>
      </c>
      <c r="E1337" s="32">
        <f>IF($A1337=1,IF(Supplier_Invoices!$A26="","",Supplier_Invoices!$A26),"")</f>
        <v/>
      </c>
      <c r="F1337" s="32">
        <f>IF($A1337=1,"SINV","")</f>
        <v/>
      </c>
      <c r="G1337" s="32">
        <f>IF($A1337=1,ACC_SUPPLIERS,"")</f>
        <v/>
      </c>
      <c r="H1337" s="32">
        <f>IF($A1337=1,IF(COUNTIF(COA!$A:$A,$G1337)=0,"حساب غير معرف",INDEX(COA!$B:$B,MATCH($G1337,COA!$A:$A,0))),"")</f>
        <v/>
      </c>
      <c r="I1337" s="32">
        <f>IF($A1337=1,IF(Supplier_Invoices!$H26="","",Supplier_Invoices!$H26),"")</f>
        <v/>
      </c>
      <c r="J1337" s="32">
        <f>IF($A1337=1,"CC00","")</f>
        <v/>
      </c>
      <c r="K1337" s="32">
        <f>IF($A1337=1,IF(Supplier_Invoices!$C26="","",Supplier_Invoices!$C26),"")</f>
        <v/>
      </c>
      <c r="L1337" s="32">
        <f>IF($A1337=1,"سداد فوري - "&amp;Supplier_Invoices!$F26&amp;" "&amp;Supplier_Invoices!$B26&amp;" - "&amp;Supplier_Invoices!$C26,"")</f>
        <v/>
      </c>
      <c r="M1337" s="43">
        <f>IF($A1337=1,Supplier_Invoices!$W26,"")</f>
        <v/>
      </c>
      <c r="N1337" s="43">
        <f>IF($A1337=1,0,"")</f>
        <v/>
      </c>
      <c r="O1337" s="32">
        <f>IF($A1337=1,Supplier_Invoices!$O26,"")</f>
        <v/>
      </c>
      <c r="P1337" s="32">
        <f>IF($A1337=1,IF(Supplier_Invoices!$AE26="","",Supplier_Invoices!$AE26),"")</f>
        <v/>
      </c>
      <c r="Q1337" s="32">
        <f>IF($A1337=1,Supplier_Invoices!$AG26,"")</f>
        <v/>
      </c>
      <c r="R1337" s="32">
        <f>IF($A1337=1,IF(AND($Q1337=1,COUNTIFS(COA!$A:$A,$G1337,COA!$R:$R,1)=1),1,0),"")</f>
        <v/>
      </c>
      <c r="S1337" s="43">
        <f>IF($A1337=1,IF($R1337=1,N($M1337),0),"")</f>
        <v/>
      </c>
      <c r="T1337" s="43">
        <f>IF($A1337=1,IF($R1337=1,N($N1337),0),"")</f>
        <v/>
      </c>
      <c r="U1337" s="32">
        <f>IF($A1337=1,YEAR($D1337)*100+MONTH($D1337),"")</f>
        <v/>
      </c>
      <c r="V1337" s="32">
        <f>IF($A1337=1,IF(COUNTIF(COA!$A:$A,$G1337)=0,0,INDEX(COA!$H:$H,MATCH($G1337,COA!$A:$A,0))),"")</f>
        <v/>
      </c>
      <c r="W1337" s="32">
        <f>IF($A1337=1,"","")</f>
        <v/>
      </c>
      <c r="X1337" s="32">
        <f>IF($A1337=1,IF($R1337=1,"",IF($O1337=ST_POST,IF($P1337&lt;&gt;"",$P1337,"حساب غير صالح أو غير نشط"),IF($O1337=ST_REV,"معكوس: لا أثر على الدفاتر",IF($O1337=ST_CANC,"ملغى",IF($O1337=ST_APPR,"معتمد ولم يُرحَّل","مسودة"))))),"")</f>
        <v/>
      </c>
      <c r="Y1337" s="32">
        <f>IF($A1337=1,IF(AND($R1337=1,OR(LG_Acct="",$G1337=LG_Acct),OR(LG_Party="",$K1337=LG_Party),OR(LG_Loc="ALL",$I1337=LG_Loc),OR(LG_CC="ALL",$J1337=LG_CC),$D1337&gt;=LG_From,$D1337&lt;=LG_To),$D1337+ROW()/1000000,""),"")</f>
        <v/>
      </c>
      <c r="Z1337" s="32">
        <f>IF($A1337=1,IF(Supplier_Invoices!$P26="","",Supplier_Invoices!$P26),"")</f>
        <v/>
      </c>
      <c r="AA1337" s="32">
        <f>IF($A1337=1,IF(Supplier_Invoices!$Q26="","",Supplier_Invoices!$Q26),"")</f>
        <v/>
      </c>
      <c r="AB1337" s="32">
        <f>IF($A1337=1,IF(Supplier_Invoices!$R26="","",Supplier_Invoices!$R26),"")</f>
        <v/>
      </c>
      <c r="AC1337" s="32">
        <f>IF($A1337=1,IF(Supplier_Invoices!$S26="","",Supplier_Invoices!$S26),"")</f>
        <v/>
      </c>
      <c r="AD1337" s="32">
        <f>IF($A1337=1,IF(Supplier_Invoices!$T26="","",Supplier_Invoices!$T26),"")</f>
        <v/>
      </c>
      <c r="AE1337" s="32">
        <f>IF($A1337=1,0,"")</f>
        <v/>
      </c>
      <c r="AF1337" s="32" t="inlineStr"/>
    </row>
    <row r="1338">
      <c r="A1338" s="32">
        <f>IF(AND(Supplier_Invoices!$AD26=1,Supplier_Invoices!$L26&lt;&gt;"",Supplier_Invoices!$V26&lt;&gt;"CN",N(Supplier_Invoices!$W26)&gt;0),1,0)</f>
        <v/>
      </c>
      <c r="B1338" s="32">
        <f>IF($A1338=1,$E1338&amp;"/5","")</f>
        <v/>
      </c>
      <c r="C1338" s="32">
        <f>IF($A1338=1,"J-"&amp;Supplier_Invoices!$A26,"")</f>
        <v/>
      </c>
      <c r="D1338" s="33">
        <f>IF($A1338=1,Supplier_Invoices!$E26,"")</f>
        <v/>
      </c>
      <c r="E1338" s="32">
        <f>IF($A1338=1,IF(Supplier_Invoices!$A26="","",Supplier_Invoices!$A26),"")</f>
        <v/>
      </c>
      <c r="F1338" s="32">
        <f>IF($A1338=1,"SINV","")</f>
        <v/>
      </c>
      <c r="G1338" s="32">
        <f>IF($A1338=1,IF(Supplier_Invoices!$AA26="","",Supplier_Invoices!$AA26),"")</f>
        <v/>
      </c>
      <c r="H1338" s="32">
        <f>IF($A1338=1,IF(COUNTIF(COA!$A:$A,$G1338)=0,"حساب غير معرف",INDEX(COA!$B:$B,MATCH($G1338,COA!$A:$A,0))),"")</f>
        <v/>
      </c>
      <c r="I1338" s="32">
        <f>IF($A1338=1,IF(Supplier_Invoices!$H26="","",Supplier_Invoices!$H26),"")</f>
        <v/>
      </c>
      <c r="J1338" s="32">
        <f>IF($A1338=1,"CC00","")</f>
        <v/>
      </c>
      <c r="K1338" s="32">
        <f>IF($A1338=1,"-","")</f>
        <v/>
      </c>
      <c r="L1338" s="32">
        <f>IF($A1338=1,"سداد فوري - "&amp;Supplier_Invoices!$F26&amp;" "&amp;Supplier_Invoices!$B26&amp;" - "&amp;Supplier_Invoices!$C26,"")</f>
        <v/>
      </c>
      <c r="M1338" s="43">
        <f>IF($A1338=1,0,"")</f>
        <v/>
      </c>
      <c r="N1338" s="43">
        <f>IF($A1338=1,Supplier_Invoices!$W26,"")</f>
        <v/>
      </c>
      <c r="O1338" s="32">
        <f>IF($A1338=1,Supplier_Invoices!$O26,"")</f>
        <v/>
      </c>
      <c r="P1338" s="32">
        <f>IF($A1338=1,IF(Supplier_Invoices!$AE26="","",Supplier_Invoices!$AE26),"")</f>
        <v/>
      </c>
      <c r="Q1338" s="32">
        <f>IF($A1338=1,Supplier_Invoices!$AG26,"")</f>
        <v/>
      </c>
      <c r="R1338" s="32">
        <f>IF($A1338=1,IF(AND($Q1338=1,COUNTIFS(COA!$A:$A,$G1338,COA!$R:$R,1)=1),1,0),"")</f>
        <v/>
      </c>
      <c r="S1338" s="43">
        <f>IF($A1338=1,IF($R1338=1,N($M1338),0),"")</f>
        <v/>
      </c>
      <c r="T1338" s="43">
        <f>IF($A1338=1,IF($R1338=1,N($N1338),0),"")</f>
        <v/>
      </c>
      <c r="U1338" s="32">
        <f>IF($A1338=1,YEAR($D1338)*100+MONTH($D1338),"")</f>
        <v/>
      </c>
      <c r="V1338" s="32">
        <f>IF($A1338=1,IF(COUNTIF(COA!$A:$A,$G1338)=0,0,INDEX(COA!$H:$H,MATCH($G1338,COA!$A:$A,0))),"")</f>
        <v/>
      </c>
      <c r="W1338" s="32">
        <f>IF($A1338=1,IF(Supplier_Invoices!$AB26="","",Supplier_Invoices!$AB26),"")</f>
        <v/>
      </c>
      <c r="X1338" s="32">
        <f>IF($A1338=1,IF($R1338=1,"",IF($O1338=ST_POST,IF($P1338&lt;&gt;"",$P1338,"حساب غير صالح أو غير نشط"),IF($O1338=ST_REV,"معكوس: لا أثر على الدفاتر",IF($O1338=ST_CANC,"ملغى",IF($O1338=ST_APPR,"معتمد ولم يُرحَّل","مسودة"))))),"")</f>
        <v/>
      </c>
      <c r="Y1338" s="32">
        <f>IF($A1338=1,IF(AND($R1338=1,OR(LG_Acct="",$G1338=LG_Acct),OR(LG_Party="",$K1338=LG_Party),OR(LG_Loc="ALL",$I1338=LG_Loc),OR(LG_CC="ALL",$J1338=LG_CC),$D1338&gt;=LG_From,$D1338&lt;=LG_To),$D1338+ROW()/1000000,""),"")</f>
        <v/>
      </c>
      <c r="Z1338" s="32">
        <f>IF($A1338=1,IF(Supplier_Invoices!$P26="","",Supplier_Invoices!$P26),"")</f>
        <v/>
      </c>
      <c r="AA1338" s="32">
        <f>IF($A1338=1,IF(Supplier_Invoices!$Q26="","",Supplier_Invoices!$Q26),"")</f>
        <v/>
      </c>
      <c r="AB1338" s="32">
        <f>IF($A1338=1,IF(Supplier_Invoices!$R26="","",Supplier_Invoices!$R26),"")</f>
        <v/>
      </c>
      <c r="AC1338" s="32">
        <f>IF($A1338=1,IF(Supplier_Invoices!$S26="","",Supplier_Invoices!$S26),"")</f>
        <v/>
      </c>
      <c r="AD1338" s="32">
        <f>IF($A1338=1,IF(Supplier_Invoices!$T26="","",Supplier_Invoices!$T26),"")</f>
        <v/>
      </c>
      <c r="AE1338" s="32">
        <f>IF($A1338=1,0,"")</f>
        <v/>
      </c>
      <c r="AF1338" s="32" t="inlineStr"/>
    </row>
    <row r="1339">
      <c r="A1339" s="32">
        <f>IF(AND(Supplier_Invoices!$AD27=1,N(Supplier_Invoices!$J27)&gt;0),1,0)</f>
        <v/>
      </c>
      <c r="B1339" s="32">
        <f>IF($A1339=1,$E1339&amp;"/1","")</f>
        <v/>
      </c>
      <c r="C1339" s="32">
        <f>IF($A1339=1,"J-"&amp;Supplier_Invoices!$A27,"")</f>
        <v/>
      </c>
      <c r="D1339" s="33">
        <f>IF($A1339=1,Supplier_Invoices!$E27,"")</f>
        <v/>
      </c>
      <c r="E1339" s="32">
        <f>IF($A1339=1,IF(Supplier_Invoices!$A27="","",Supplier_Invoices!$A27),"")</f>
        <v/>
      </c>
      <c r="F1339" s="32">
        <f>IF($A1339=1,"SINV","")</f>
        <v/>
      </c>
      <c r="G1339" s="32">
        <f>IF($A1339=1,IF(Supplier_Invoices!$G27="","",Supplier_Invoices!$G27),"")</f>
        <v/>
      </c>
      <c r="H1339" s="32">
        <f>IF($A1339=1,IF(COUNTIF(COA!$A:$A,$G1339)=0,"حساب غير معرف",INDEX(COA!$B:$B,MATCH($G1339,COA!$A:$A,0))),"")</f>
        <v/>
      </c>
      <c r="I1339" s="32">
        <f>IF($A1339=1,IF(Supplier_Invoices!$H27="","",Supplier_Invoices!$H27),"")</f>
        <v/>
      </c>
      <c r="J1339" s="32">
        <f>IF($A1339=1,IF(Supplier_Invoices!$I27="","",Supplier_Invoices!$I27),"")</f>
        <v/>
      </c>
      <c r="K1339" s="32">
        <f>IF($A1339=1,"-","")</f>
        <v/>
      </c>
      <c r="L1339" s="32">
        <f>IF($A1339=1,Supplier_Invoices!$F27&amp;" "&amp;Supplier_Invoices!$B27&amp;" - "&amp;Supplier_Invoices!$C27,"")</f>
        <v/>
      </c>
      <c r="M1339" s="43">
        <f>IF($A1339=1,IF(Supplier_Invoices!$V27="CN",0,Supplier_Invoices!$J27),"")</f>
        <v/>
      </c>
      <c r="N1339" s="43">
        <f>IF($A1339=1,IF(Supplier_Invoices!$V27="CN",Supplier_Invoices!$J27,0),"")</f>
        <v/>
      </c>
      <c r="O1339" s="32">
        <f>IF($A1339=1,Supplier_Invoices!$O27,"")</f>
        <v/>
      </c>
      <c r="P1339" s="32">
        <f>IF($A1339=1,IF(Supplier_Invoices!$AE27="","",Supplier_Invoices!$AE27),"")</f>
        <v/>
      </c>
      <c r="Q1339" s="32">
        <f>IF($A1339=1,Supplier_Invoices!$AG27,"")</f>
        <v/>
      </c>
      <c r="R1339" s="32">
        <f>IF($A1339=1,IF(AND($Q1339=1,COUNTIFS(COA!$A:$A,$G1339,COA!$R:$R,1)=1),1,0),"")</f>
        <v/>
      </c>
      <c r="S1339" s="43">
        <f>IF($A1339=1,IF($R1339=1,N($M1339),0),"")</f>
        <v/>
      </c>
      <c r="T1339" s="43">
        <f>IF($A1339=1,IF($R1339=1,N($N1339),0),"")</f>
        <v/>
      </c>
      <c r="U1339" s="32">
        <f>IF($A1339=1,YEAR($D1339)*100+MONTH($D1339),"")</f>
        <v/>
      </c>
      <c r="V1339" s="32">
        <f>IF($A1339=1,IF(COUNTIF(COA!$A:$A,$G1339)=0,0,INDEX(COA!$H:$H,MATCH($G1339,COA!$A:$A,0))),"")</f>
        <v/>
      </c>
      <c r="W1339" s="32">
        <f>IF($A1339=1,"","")</f>
        <v/>
      </c>
      <c r="X1339" s="32">
        <f>IF($A1339=1,IF($R1339=1,"",IF($O1339=ST_POST,IF($P1339&lt;&gt;"",$P1339,"حساب غير صالح أو غير نشط"),IF($O1339=ST_REV,"معكوس: لا أثر على الدفاتر",IF($O1339=ST_CANC,"ملغى",IF($O1339=ST_APPR,"معتمد ولم يُرحَّل","مسودة"))))),"")</f>
        <v/>
      </c>
      <c r="Y1339" s="32">
        <f>IF($A1339=1,IF(AND($R1339=1,OR(LG_Acct="",$G1339=LG_Acct),OR(LG_Party="",$K1339=LG_Party),OR(LG_Loc="ALL",$I1339=LG_Loc),OR(LG_CC="ALL",$J1339=LG_CC),$D1339&gt;=LG_From,$D1339&lt;=LG_To),$D1339+ROW()/1000000,""),"")</f>
        <v/>
      </c>
      <c r="Z1339" s="32">
        <f>IF($A1339=1,IF(Supplier_Invoices!$P27="","",Supplier_Invoices!$P27),"")</f>
        <v/>
      </c>
      <c r="AA1339" s="32">
        <f>IF($A1339=1,IF(Supplier_Invoices!$Q27="","",Supplier_Invoices!$Q27),"")</f>
        <v/>
      </c>
      <c r="AB1339" s="32">
        <f>IF($A1339=1,IF(Supplier_Invoices!$R27="","",Supplier_Invoices!$R27),"")</f>
        <v/>
      </c>
      <c r="AC1339" s="32">
        <f>IF($A1339=1,IF(Supplier_Invoices!$S27="","",Supplier_Invoices!$S27),"")</f>
        <v/>
      </c>
      <c r="AD1339" s="32">
        <f>IF($A1339=1,IF(Supplier_Invoices!$T27="","",Supplier_Invoices!$T27),"")</f>
        <v/>
      </c>
      <c r="AE1339" s="32">
        <f>IF($A1339=1,0,"")</f>
        <v/>
      </c>
      <c r="AF1339" s="32" t="inlineStr"/>
    </row>
    <row r="1340">
      <c r="A1340" s="32">
        <f>IF(AND(Supplier_Invoices!$AD27=1,N(Supplier_Invoices!$K27)&gt;0),1,0)</f>
        <v/>
      </c>
      <c r="B1340" s="32">
        <f>IF($A1340=1,$E1340&amp;"/2","")</f>
        <v/>
      </c>
      <c r="C1340" s="32">
        <f>IF($A1340=1,"J-"&amp;Supplier_Invoices!$A27,"")</f>
        <v/>
      </c>
      <c r="D1340" s="33">
        <f>IF($A1340=1,Supplier_Invoices!$E27,"")</f>
        <v/>
      </c>
      <c r="E1340" s="32">
        <f>IF($A1340=1,IF(Supplier_Invoices!$A27="","",Supplier_Invoices!$A27),"")</f>
        <v/>
      </c>
      <c r="F1340" s="32">
        <f>IF($A1340=1,"SINV","")</f>
        <v/>
      </c>
      <c r="G1340" s="32">
        <f>IF($A1340=1,ACC_VAT_IN,"")</f>
        <v/>
      </c>
      <c r="H1340" s="32">
        <f>IF($A1340=1,IF(COUNTIF(COA!$A:$A,$G1340)=0,"حساب غير معرف",INDEX(COA!$B:$B,MATCH($G1340,COA!$A:$A,0))),"")</f>
        <v/>
      </c>
      <c r="I1340" s="32">
        <f>IF($A1340=1,IF(Supplier_Invoices!$H27="","",Supplier_Invoices!$H27),"")</f>
        <v/>
      </c>
      <c r="J1340" s="32">
        <f>IF($A1340=1,IF(Supplier_Invoices!$I27="","",Supplier_Invoices!$I27),"")</f>
        <v/>
      </c>
      <c r="K1340" s="32">
        <f>IF($A1340=1,"-","")</f>
        <v/>
      </c>
      <c r="L1340" s="32">
        <f>IF($A1340=1,"ضريبة قيمة مضافة - مدخلات","")</f>
        <v/>
      </c>
      <c r="M1340" s="43">
        <f>IF($A1340=1,IF(Supplier_Invoices!$V27="CN",0,Supplier_Invoices!$K27),"")</f>
        <v/>
      </c>
      <c r="N1340" s="43">
        <f>IF($A1340=1,IF(Supplier_Invoices!$V27="CN",Supplier_Invoices!$K27,0),"")</f>
        <v/>
      </c>
      <c r="O1340" s="32">
        <f>IF($A1340=1,Supplier_Invoices!$O27,"")</f>
        <v/>
      </c>
      <c r="P1340" s="32">
        <f>IF($A1340=1,IF(Supplier_Invoices!$AE27="","",Supplier_Invoices!$AE27),"")</f>
        <v/>
      </c>
      <c r="Q1340" s="32">
        <f>IF($A1340=1,Supplier_Invoices!$AG27,"")</f>
        <v/>
      </c>
      <c r="R1340" s="32">
        <f>IF($A1340=1,IF(AND($Q1340=1,COUNTIFS(COA!$A:$A,$G1340,COA!$R:$R,1)=1),1,0),"")</f>
        <v/>
      </c>
      <c r="S1340" s="43">
        <f>IF($A1340=1,IF($R1340=1,N($M1340),0),"")</f>
        <v/>
      </c>
      <c r="T1340" s="43">
        <f>IF($A1340=1,IF($R1340=1,N($N1340),0),"")</f>
        <v/>
      </c>
      <c r="U1340" s="32">
        <f>IF($A1340=1,YEAR($D1340)*100+MONTH($D1340),"")</f>
        <v/>
      </c>
      <c r="V1340" s="32">
        <f>IF($A1340=1,IF(COUNTIF(COA!$A:$A,$G1340)=0,0,INDEX(COA!$H:$H,MATCH($G1340,COA!$A:$A,0))),"")</f>
        <v/>
      </c>
      <c r="W1340" s="32">
        <f>IF($A1340=1,"","")</f>
        <v/>
      </c>
      <c r="X1340" s="32">
        <f>IF($A1340=1,IF($R1340=1,"",IF($O1340=ST_POST,IF($P1340&lt;&gt;"",$P1340,"حساب غير صالح أو غير نشط"),IF($O1340=ST_REV,"معكوس: لا أثر على الدفاتر",IF($O1340=ST_CANC,"ملغى",IF($O1340=ST_APPR,"معتمد ولم يُرحَّل","مسودة"))))),"")</f>
        <v/>
      </c>
      <c r="Y1340" s="32">
        <f>IF($A1340=1,IF(AND($R1340=1,OR(LG_Acct="",$G1340=LG_Acct),OR(LG_Party="",$K1340=LG_Party),OR(LG_Loc="ALL",$I1340=LG_Loc),OR(LG_CC="ALL",$J1340=LG_CC),$D1340&gt;=LG_From,$D1340&lt;=LG_To),$D1340+ROW()/1000000,""),"")</f>
        <v/>
      </c>
      <c r="Z1340" s="32">
        <f>IF($A1340=1,IF(Supplier_Invoices!$P27="","",Supplier_Invoices!$P27),"")</f>
        <v/>
      </c>
      <c r="AA1340" s="32">
        <f>IF($A1340=1,IF(Supplier_Invoices!$Q27="","",Supplier_Invoices!$Q27),"")</f>
        <v/>
      </c>
      <c r="AB1340" s="32">
        <f>IF($A1340=1,IF(Supplier_Invoices!$R27="","",Supplier_Invoices!$R27),"")</f>
        <v/>
      </c>
      <c r="AC1340" s="32">
        <f>IF($A1340=1,IF(Supplier_Invoices!$S27="","",Supplier_Invoices!$S27),"")</f>
        <v/>
      </c>
      <c r="AD1340" s="32">
        <f>IF($A1340=1,IF(Supplier_Invoices!$T27="","",Supplier_Invoices!$T27),"")</f>
        <v/>
      </c>
      <c r="AE1340" s="32">
        <f>IF($A1340=1,0,"")</f>
        <v/>
      </c>
      <c r="AF1340" s="32" t="inlineStr"/>
    </row>
    <row r="1341">
      <c r="A1341" s="32">
        <f>IF(AND(Supplier_Invoices!$AD27=1,N(Supplier_Invoices!$W27)&gt;0),1,0)</f>
        <v/>
      </c>
      <c r="B1341" s="32">
        <f>IF($A1341=1,$E1341&amp;"/3","")</f>
        <v/>
      </c>
      <c r="C1341" s="32">
        <f>IF($A1341=1,"J-"&amp;Supplier_Invoices!$A27,"")</f>
        <v/>
      </c>
      <c r="D1341" s="33">
        <f>IF($A1341=1,Supplier_Invoices!$E27,"")</f>
        <v/>
      </c>
      <c r="E1341" s="32">
        <f>IF($A1341=1,IF(Supplier_Invoices!$A27="","",Supplier_Invoices!$A27),"")</f>
        <v/>
      </c>
      <c r="F1341" s="32">
        <f>IF($A1341=1,"SINV","")</f>
        <v/>
      </c>
      <c r="G1341" s="32">
        <f>IF($A1341=1,ACC_SUPPLIERS,"")</f>
        <v/>
      </c>
      <c r="H1341" s="32">
        <f>IF($A1341=1,IF(COUNTIF(COA!$A:$A,$G1341)=0,"حساب غير معرف",INDEX(COA!$B:$B,MATCH($G1341,COA!$A:$A,0))),"")</f>
        <v/>
      </c>
      <c r="I1341" s="32">
        <f>IF($A1341=1,IF(Supplier_Invoices!$H27="","",Supplier_Invoices!$H27),"")</f>
        <v/>
      </c>
      <c r="J1341" s="32">
        <f>IF($A1341=1,"CC00","")</f>
        <v/>
      </c>
      <c r="K1341" s="32">
        <f>IF($A1341=1,IF(Supplier_Invoices!$C27="","",Supplier_Invoices!$C27),"")</f>
        <v/>
      </c>
      <c r="L1341" s="32">
        <f>IF($A1341=1,Supplier_Invoices!$F27&amp;" "&amp;Supplier_Invoices!$B27&amp;" - "&amp;Supplier_Invoices!$C27,"")</f>
        <v/>
      </c>
      <c r="M1341" s="43">
        <f>IF($A1341=1,IF(Supplier_Invoices!$V27="CN",Supplier_Invoices!$W27,0),"")</f>
        <v/>
      </c>
      <c r="N1341" s="43">
        <f>IF($A1341=1,IF(Supplier_Invoices!$V27="CN",0,Supplier_Invoices!$W27),"")</f>
        <v/>
      </c>
      <c r="O1341" s="32">
        <f>IF($A1341=1,Supplier_Invoices!$O27,"")</f>
        <v/>
      </c>
      <c r="P1341" s="32">
        <f>IF($A1341=1,IF(Supplier_Invoices!$AE27="","",Supplier_Invoices!$AE27),"")</f>
        <v/>
      </c>
      <c r="Q1341" s="32">
        <f>IF($A1341=1,Supplier_Invoices!$AG27,"")</f>
        <v/>
      </c>
      <c r="R1341" s="32">
        <f>IF($A1341=1,IF(AND($Q1341=1,COUNTIFS(COA!$A:$A,$G1341,COA!$R:$R,1)=1),1,0),"")</f>
        <v/>
      </c>
      <c r="S1341" s="43">
        <f>IF($A1341=1,IF($R1341=1,N($M1341),0),"")</f>
        <v/>
      </c>
      <c r="T1341" s="43">
        <f>IF($A1341=1,IF($R1341=1,N($N1341),0),"")</f>
        <v/>
      </c>
      <c r="U1341" s="32">
        <f>IF($A1341=1,YEAR($D1341)*100+MONTH($D1341),"")</f>
        <v/>
      </c>
      <c r="V1341" s="32">
        <f>IF($A1341=1,IF(COUNTIF(COA!$A:$A,$G1341)=0,0,INDEX(COA!$H:$H,MATCH($G1341,COA!$A:$A,0))),"")</f>
        <v/>
      </c>
      <c r="W1341" s="32">
        <f>IF($A1341=1,"","")</f>
        <v/>
      </c>
      <c r="X1341" s="32">
        <f>IF($A1341=1,IF($R1341=1,"",IF($O1341=ST_POST,IF($P1341&lt;&gt;"",$P1341,"حساب غير صالح أو غير نشط"),IF($O1341=ST_REV,"معكوس: لا أثر على الدفاتر",IF($O1341=ST_CANC,"ملغى",IF($O1341=ST_APPR,"معتمد ولم يُرحَّل","مسودة"))))),"")</f>
        <v/>
      </c>
      <c r="Y1341" s="32">
        <f>IF($A1341=1,IF(AND($R1341=1,OR(LG_Acct="",$G1341=LG_Acct),OR(LG_Party="",$K1341=LG_Party),OR(LG_Loc="ALL",$I1341=LG_Loc),OR(LG_CC="ALL",$J1341=LG_CC),$D1341&gt;=LG_From,$D1341&lt;=LG_To),$D1341+ROW()/1000000,""),"")</f>
        <v/>
      </c>
      <c r="Z1341" s="32">
        <f>IF($A1341=1,IF(Supplier_Invoices!$P27="","",Supplier_Invoices!$P27),"")</f>
        <v/>
      </c>
      <c r="AA1341" s="32">
        <f>IF($A1341=1,IF(Supplier_Invoices!$Q27="","",Supplier_Invoices!$Q27),"")</f>
        <v/>
      </c>
      <c r="AB1341" s="32">
        <f>IF($A1341=1,IF(Supplier_Invoices!$R27="","",Supplier_Invoices!$R27),"")</f>
        <v/>
      </c>
      <c r="AC1341" s="32">
        <f>IF($A1341=1,IF(Supplier_Invoices!$S27="","",Supplier_Invoices!$S27),"")</f>
        <v/>
      </c>
      <c r="AD1341" s="32">
        <f>IF($A1341=1,IF(Supplier_Invoices!$T27="","",Supplier_Invoices!$T27),"")</f>
        <v/>
      </c>
      <c r="AE1341" s="32">
        <f>IF($A1341=1,0,"")</f>
        <v/>
      </c>
      <c r="AF1341" s="32" t="inlineStr"/>
    </row>
    <row r="1342">
      <c r="A1342" s="32">
        <f>IF(AND(Supplier_Invoices!$AD27=1,Supplier_Invoices!$L27&lt;&gt;"",Supplier_Invoices!$V27&lt;&gt;"CN",N(Supplier_Invoices!$W27)&gt;0),1,0)</f>
        <v/>
      </c>
      <c r="B1342" s="32">
        <f>IF($A1342=1,$E1342&amp;"/4","")</f>
        <v/>
      </c>
      <c r="C1342" s="32">
        <f>IF($A1342=1,"J-"&amp;Supplier_Invoices!$A27,"")</f>
        <v/>
      </c>
      <c r="D1342" s="33">
        <f>IF($A1342=1,Supplier_Invoices!$E27,"")</f>
        <v/>
      </c>
      <c r="E1342" s="32">
        <f>IF($A1342=1,IF(Supplier_Invoices!$A27="","",Supplier_Invoices!$A27),"")</f>
        <v/>
      </c>
      <c r="F1342" s="32">
        <f>IF($A1342=1,"SINV","")</f>
        <v/>
      </c>
      <c r="G1342" s="32">
        <f>IF($A1342=1,ACC_SUPPLIERS,"")</f>
        <v/>
      </c>
      <c r="H1342" s="32">
        <f>IF($A1342=1,IF(COUNTIF(COA!$A:$A,$G1342)=0,"حساب غير معرف",INDEX(COA!$B:$B,MATCH($G1342,COA!$A:$A,0))),"")</f>
        <v/>
      </c>
      <c r="I1342" s="32">
        <f>IF($A1342=1,IF(Supplier_Invoices!$H27="","",Supplier_Invoices!$H27),"")</f>
        <v/>
      </c>
      <c r="J1342" s="32">
        <f>IF($A1342=1,"CC00","")</f>
        <v/>
      </c>
      <c r="K1342" s="32">
        <f>IF($A1342=1,IF(Supplier_Invoices!$C27="","",Supplier_Invoices!$C27),"")</f>
        <v/>
      </c>
      <c r="L1342" s="32">
        <f>IF($A1342=1,"سداد فوري - "&amp;Supplier_Invoices!$F27&amp;" "&amp;Supplier_Invoices!$B27&amp;" - "&amp;Supplier_Invoices!$C27,"")</f>
        <v/>
      </c>
      <c r="M1342" s="43">
        <f>IF($A1342=1,Supplier_Invoices!$W27,"")</f>
        <v/>
      </c>
      <c r="N1342" s="43">
        <f>IF($A1342=1,0,"")</f>
        <v/>
      </c>
      <c r="O1342" s="32">
        <f>IF($A1342=1,Supplier_Invoices!$O27,"")</f>
        <v/>
      </c>
      <c r="P1342" s="32">
        <f>IF($A1342=1,IF(Supplier_Invoices!$AE27="","",Supplier_Invoices!$AE27),"")</f>
        <v/>
      </c>
      <c r="Q1342" s="32">
        <f>IF($A1342=1,Supplier_Invoices!$AG27,"")</f>
        <v/>
      </c>
      <c r="R1342" s="32">
        <f>IF($A1342=1,IF(AND($Q1342=1,COUNTIFS(COA!$A:$A,$G1342,COA!$R:$R,1)=1),1,0),"")</f>
        <v/>
      </c>
      <c r="S1342" s="43">
        <f>IF($A1342=1,IF($R1342=1,N($M1342),0),"")</f>
        <v/>
      </c>
      <c r="T1342" s="43">
        <f>IF($A1342=1,IF($R1342=1,N($N1342),0),"")</f>
        <v/>
      </c>
      <c r="U1342" s="32">
        <f>IF($A1342=1,YEAR($D1342)*100+MONTH($D1342),"")</f>
        <v/>
      </c>
      <c r="V1342" s="32">
        <f>IF($A1342=1,IF(COUNTIF(COA!$A:$A,$G1342)=0,0,INDEX(COA!$H:$H,MATCH($G1342,COA!$A:$A,0))),"")</f>
        <v/>
      </c>
      <c r="W1342" s="32">
        <f>IF($A1342=1,"","")</f>
        <v/>
      </c>
      <c r="X1342" s="32">
        <f>IF($A1342=1,IF($R1342=1,"",IF($O1342=ST_POST,IF($P1342&lt;&gt;"",$P1342,"حساب غير صالح أو غير نشط"),IF($O1342=ST_REV,"معكوس: لا أثر على الدفاتر",IF($O1342=ST_CANC,"ملغى",IF($O1342=ST_APPR,"معتمد ولم يُرحَّل","مسودة"))))),"")</f>
        <v/>
      </c>
      <c r="Y1342" s="32">
        <f>IF($A1342=1,IF(AND($R1342=1,OR(LG_Acct="",$G1342=LG_Acct),OR(LG_Party="",$K1342=LG_Party),OR(LG_Loc="ALL",$I1342=LG_Loc),OR(LG_CC="ALL",$J1342=LG_CC),$D1342&gt;=LG_From,$D1342&lt;=LG_To),$D1342+ROW()/1000000,""),"")</f>
        <v/>
      </c>
      <c r="Z1342" s="32">
        <f>IF($A1342=1,IF(Supplier_Invoices!$P27="","",Supplier_Invoices!$P27),"")</f>
        <v/>
      </c>
      <c r="AA1342" s="32">
        <f>IF($A1342=1,IF(Supplier_Invoices!$Q27="","",Supplier_Invoices!$Q27),"")</f>
        <v/>
      </c>
      <c r="AB1342" s="32">
        <f>IF($A1342=1,IF(Supplier_Invoices!$R27="","",Supplier_Invoices!$R27),"")</f>
        <v/>
      </c>
      <c r="AC1342" s="32">
        <f>IF($A1342=1,IF(Supplier_Invoices!$S27="","",Supplier_Invoices!$S27),"")</f>
        <v/>
      </c>
      <c r="AD1342" s="32">
        <f>IF($A1342=1,IF(Supplier_Invoices!$T27="","",Supplier_Invoices!$T27),"")</f>
        <v/>
      </c>
      <c r="AE1342" s="32">
        <f>IF($A1342=1,0,"")</f>
        <v/>
      </c>
      <c r="AF1342" s="32" t="inlineStr"/>
    </row>
    <row r="1343">
      <c r="A1343" s="32">
        <f>IF(AND(Supplier_Invoices!$AD27=1,Supplier_Invoices!$L27&lt;&gt;"",Supplier_Invoices!$V27&lt;&gt;"CN",N(Supplier_Invoices!$W27)&gt;0),1,0)</f>
        <v/>
      </c>
      <c r="B1343" s="32">
        <f>IF($A1343=1,$E1343&amp;"/5","")</f>
        <v/>
      </c>
      <c r="C1343" s="32">
        <f>IF($A1343=1,"J-"&amp;Supplier_Invoices!$A27,"")</f>
        <v/>
      </c>
      <c r="D1343" s="33">
        <f>IF($A1343=1,Supplier_Invoices!$E27,"")</f>
        <v/>
      </c>
      <c r="E1343" s="32">
        <f>IF($A1343=1,IF(Supplier_Invoices!$A27="","",Supplier_Invoices!$A27),"")</f>
        <v/>
      </c>
      <c r="F1343" s="32">
        <f>IF($A1343=1,"SINV","")</f>
        <v/>
      </c>
      <c r="G1343" s="32">
        <f>IF($A1343=1,IF(Supplier_Invoices!$AA27="","",Supplier_Invoices!$AA27),"")</f>
        <v/>
      </c>
      <c r="H1343" s="32">
        <f>IF($A1343=1,IF(COUNTIF(COA!$A:$A,$G1343)=0,"حساب غير معرف",INDEX(COA!$B:$B,MATCH($G1343,COA!$A:$A,0))),"")</f>
        <v/>
      </c>
      <c r="I1343" s="32">
        <f>IF($A1343=1,IF(Supplier_Invoices!$H27="","",Supplier_Invoices!$H27),"")</f>
        <v/>
      </c>
      <c r="J1343" s="32">
        <f>IF($A1343=1,"CC00","")</f>
        <v/>
      </c>
      <c r="K1343" s="32">
        <f>IF($A1343=1,"-","")</f>
        <v/>
      </c>
      <c r="L1343" s="32">
        <f>IF($A1343=1,"سداد فوري - "&amp;Supplier_Invoices!$F27&amp;" "&amp;Supplier_Invoices!$B27&amp;" - "&amp;Supplier_Invoices!$C27,"")</f>
        <v/>
      </c>
      <c r="M1343" s="43">
        <f>IF($A1343=1,0,"")</f>
        <v/>
      </c>
      <c r="N1343" s="43">
        <f>IF($A1343=1,Supplier_Invoices!$W27,"")</f>
        <v/>
      </c>
      <c r="O1343" s="32">
        <f>IF($A1343=1,Supplier_Invoices!$O27,"")</f>
        <v/>
      </c>
      <c r="P1343" s="32">
        <f>IF($A1343=1,IF(Supplier_Invoices!$AE27="","",Supplier_Invoices!$AE27),"")</f>
        <v/>
      </c>
      <c r="Q1343" s="32">
        <f>IF($A1343=1,Supplier_Invoices!$AG27,"")</f>
        <v/>
      </c>
      <c r="R1343" s="32">
        <f>IF($A1343=1,IF(AND($Q1343=1,COUNTIFS(COA!$A:$A,$G1343,COA!$R:$R,1)=1),1,0),"")</f>
        <v/>
      </c>
      <c r="S1343" s="43">
        <f>IF($A1343=1,IF($R1343=1,N($M1343),0),"")</f>
        <v/>
      </c>
      <c r="T1343" s="43">
        <f>IF($A1343=1,IF($R1343=1,N($N1343),0),"")</f>
        <v/>
      </c>
      <c r="U1343" s="32">
        <f>IF($A1343=1,YEAR($D1343)*100+MONTH($D1343),"")</f>
        <v/>
      </c>
      <c r="V1343" s="32">
        <f>IF($A1343=1,IF(COUNTIF(COA!$A:$A,$G1343)=0,0,INDEX(COA!$H:$H,MATCH($G1343,COA!$A:$A,0))),"")</f>
        <v/>
      </c>
      <c r="W1343" s="32">
        <f>IF($A1343=1,IF(Supplier_Invoices!$AB27="","",Supplier_Invoices!$AB27),"")</f>
        <v/>
      </c>
      <c r="X1343" s="32">
        <f>IF($A1343=1,IF($R1343=1,"",IF($O1343=ST_POST,IF($P1343&lt;&gt;"",$P1343,"حساب غير صالح أو غير نشط"),IF($O1343=ST_REV,"معكوس: لا أثر على الدفاتر",IF($O1343=ST_CANC,"ملغى",IF($O1343=ST_APPR,"معتمد ولم يُرحَّل","مسودة"))))),"")</f>
        <v/>
      </c>
      <c r="Y1343" s="32">
        <f>IF($A1343=1,IF(AND($R1343=1,OR(LG_Acct="",$G1343=LG_Acct),OR(LG_Party="",$K1343=LG_Party),OR(LG_Loc="ALL",$I1343=LG_Loc),OR(LG_CC="ALL",$J1343=LG_CC),$D1343&gt;=LG_From,$D1343&lt;=LG_To),$D1343+ROW()/1000000,""),"")</f>
        <v/>
      </c>
      <c r="Z1343" s="32">
        <f>IF($A1343=1,IF(Supplier_Invoices!$P27="","",Supplier_Invoices!$P27),"")</f>
        <v/>
      </c>
      <c r="AA1343" s="32">
        <f>IF($A1343=1,IF(Supplier_Invoices!$Q27="","",Supplier_Invoices!$Q27),"")</f>
        <v/>
      </c>
      <c r="AB1343" s="32">
        <f>IF($A1343=1,IF(Supplier_Invoices!$R27="","",Supplier_Invoices!$R27),"")</f>
        <v/>
      </c>
      <c r="AC1343" s="32">
        <f>IF($A1343=1,IF(Supplier_Invoices!$S27="","",Supplier_Invoices!$S27),"")</f>
        <v/>
      </c>
      <c r="AD1343" s="32">
        <f>IF($A1343=1,IF(Supplier_Invoices!$T27="","",Supplier_Invoices!$T27),"")</f>
        <v/>
      </c>
      <c r="AE1343" s="32">
        <f>IF($A1343=1,0,"")</f>
        <v/>
      </c>
      <c r="AF1343" s="32" t="inlineStr"/>
    </row>
    <row r="1344">
      <c r="A1344" s="32">
        <f>IF(AND(Supplier_Invoices!$AD28=1,N(Supplier_Invoices!$J28)&gt;0),1,0)</f>
        <v/>
      </c>
      <c r="B1344" s="32">
        <f>IF($A1344=1,$E1344&amp;"/1","")</f>
        <v/>
      </c>
      <c r="C1344" s="32">
        <f>IF($A1344=1,"J-"&amp;Supplier_Invoices!$A28,"")</f>
        <v/>
      </c>
      <c r="D1344" s="33">
        <f>IF($A1344=1,Supplier_Invoices!$E28,"")</f>
        <v/>
      </c>
      <c r="E1344" s="32">
        <f>IF($A1344=1,IF(Supplier_Invoices!$A28="","",Supplier_Invoices!$A28),"")</f>
        <v/>
      </c>
      <c r="F1344" s="32">
        <f>IF($A1344=1,"SINV","")</f>
        <v/>
      </c>
      <c r="G1344" s="32">
        <f>IF($A1344=1,IF(Supplier_Invoices!$G28="","",Supplier_Invoices!$G28),"")</f>
        <v/>
      </c>
      <c r="H1344" s="32">
        <f>IF($A1344=1,IF(COUNTIF(COA!$A:$A,$G1344)=0,"حساب غير معرف",INDEX(COA!$B:$B,MATCH($G1344,COA!$A:$A,0))),"")</f>
        <v/>
      </c>
      <c r="I1344" s="32">
        <f>IF($A1344=1,IF(Supplier_Invoices!$H28="","",Supplier_Invoices!$H28),"")</f>
        <v/>
      </c>
      <c r="J1344" s="32">
        <f>IF($A1344=1,IF(Supplier_Invoices!$I28="","",Supplier_Invoices!$I28),"")</f>
        <v/>
      </c>
      <c r="K1344" s="32">
        <f>IF($A1344=1,"-","")</f>
        <v/>
      </c>
      <c r="L1344" s="32">
        <f>IF($A1344=1,Supplier_Invoices!$F28&amp;" "&amp;Supplier_Invoices!$B28&amp;" - "&amp;Supplier_Invoices!$C28,"")</f>
        <v/>
      </c>
      <c r="M1344" s="43">
        <f>IF($A1344=1,IF(Supplier_Invoices!$V28="CN",0,Supplier_Invoices!$J28),"")</f>
        <v/>
      </c>
      <c r="N1344" s="43">
        <f>IF($A1344=1,IF(Supplier_Invoices!$V28="CN",Supplier_Invoices!$J28,0),"")</f>
        <v/>
      </c>
      <c r="O1344" s="32">
        <f>IF($A1344=1,Supplier_Invoices!$O28,"")</f>
        <v/>
      </c>
      <c r="P1344" s="32">
        <f>IF($A1344=1,IF(Supplier_Invoices!$AE28="","",Supplier_Invoices!$AE28),"")</f>
        <v/>
      </c>
      <c r="Q1344" s="32">
        <f>IF($A1344=1,Supplier_Invoices!$AG28,"")</f>
        <v/>
      </c>
      <c r="R1344" s="32">
        <f>IF($A1344=1,IF(AND($Q1344=1,COUNTIFS(COA!$A:$A,$G1344,COA!$R:$R,1)=1),1,0),"")</f>
        <v/>
      </c>
      <c r="S1344" s="43">
        <f>IF($A1344=1,IF($R1344=1,N($M1344),0),"")</f>
        <v/>
      </c>
      <c r="T1344" s="43">
        <f>IF($A1344=1,IF($R1344=1,N($N1344),0),"")</f>
        <v/>
      </c>
      <c r="U1344" s="32">
        <f>IF($A1344=1,YEAR($D1344)*100+MONTH($D1344),"")</f>
        <v/>
      </c>
      <c r="V1344" s="32">
        <f>IF($A1344=1,IF(COUNTIF(COA!$A:$A,$G1344)=0,0,INDEX(COA!$H:$H,MATCH($G1344,COA!$A:$A,0))),"")</f>
        <v/>
      </c>
      <c r="W1344" s="32">
        <f>IF($A1344=1,"","")</f>
        <v/>
      </c>
      <c r="X1344" s="32">
        <f>IF($A1344=1,IF($R1344=1,"",IF($O1344=ST_POST,IF($P1344&lt;&gt;"",$P1344,"حساب غير صالح أو غير نشط"),IF($O1344=ST_REV,"معكوس: لا أثر على الدفاتر",IF($O1344=ST_CANC,"ملغى",IF($O1344=ST_APPR,"معتمد ولم يُرحَّل","مسودة"))))),"")</f>
        <v/>
      </c>
      <c r="Y1344" s="32">
        <f>IF($A1344=1,IF(AND($R1344=1,OR(LG_Acct="",$G1344=LG_Acct),OR(LG_Party="",$K1344=LG_Party),OR(LG_Loc="ALL",$I1344=LG_Loc),OR(LG_CC="ALL",$J1344=LG_CC),$D1344&gt;=LG_From,$D1344&lt;=LG_To),$D1344+ROW()/1000000,""),"")</f>
        <v/>
      </c>
      <c r="Z1344" s="32">
        <f>IF($A1344=1,IF(Supplier_Invoices!$P28="","",Supplier_Invoices!$P28),"")</f>
        <v/>
      </c>
      <c r="AA1344" s="32">
        <f>IF($A1344=1,IF(Supplier_Invoices!$Q28="","",Supplier_Invoices!$Q28),"")</f>
        <v/>
      </c>
      <c r="AB1344" s="32">
        <f>IF($A1344=1,IF(Supplier_Invoices!$R28="","",Supplier_Invoices!$R28),"")</f>
        <v/>
      </c>
      <c r="AC1344" s="32">
        <f>IF($A1344=1,IF(Supplier_Invoices!$S28="","",Supplier_Invoices!$S28),"")</f>
        <v/>
      </c>
      <c r="AD1344" s="32">
        <f>IF($A1344=1,IF(Supplier_Invoices!$T28="","",Supplier_Invoices!$T28),"")</f>
        <v/>
      </c>
      <c r="AE1344" s="32">
        <f>IF($A1344=1,0,"")</f>
        <v/>
      </c>
      <c r="AF1344" s="32" t="inlineStr"/>
    </row>
    <row r="1345">
      <c r="A1345" s="32">
        <f>IF(AND(Supplier_Invoices!$AD28=1,N(Supplier_Invoices!$K28)&gt;0),1,0)</f>
        <v/>
      </c>
      <c r="B1345" s="32">
        <f>IF($A1345=1,$E1345&amp;"/2","")</f>
        <v/>
      </c>
      <c r="C1345" s="32">
        <f>IF($A1345=1,"J-"&amp;Supplier_Invoices!$A28,"")</f>
        <v/>
      </c>
      <c r="D1345" s="33">
        <f>IF($A1345=1,Supplier_Invoices!$E28,"")</f>
        <v/>
      </c>
      <c r="E1345" s="32">
        <f>IF($A1345=1,IF(Supplier_Invoices!$A28="","",Supplier_Invoices!$A28),"")</f>
        <v/>
      </c>
      <c r="F1345" s="32">
        <f>IF($A1345=1,"SINV","")</f>
        <v/>
      </c>
      <c r="G1345" s="32">
        <f>IF($A1345=1,ACC_VAT_IN,"")</f>
        <v/>
      </c>
      <c r="H1345" s="32">
        <f>IF($A1345=1,IF(COUNTIF(COA!$A:$A,$G1345)=0,"حساب غير معرف",INDEX(COA!$B:$B,MATCH($G1345,COA!$A:$A,0))),"")</f>
        <v/>
      </c>
      <c r="I1345" s="32">
        <f>IF($A1345=1,IF(Supplier_Invoices!$H28="","",Supplier_Invoices!$H28),"")</f>
        <v/>
      </c>
      <c r="J1345" s="32">
        <f>IF($A1345=1,IF(Supplier_Invoices!$I28="","",Supplier_Invoices!$I28),"")</f>
        <v/>
      </c>
      <c r="K1345" s="32">
        <f>IF($A1345=1,"-","")</f>
        <v/>
      </c>
      <c r="L1345" s="32">
        <f>IF($A1345=1,"ضريبة قيمة مضافة - مدخلات","")</f>
        <v/>
      </c>
      <c r="M1345" s="43">
        <f>IF($A1345=1,IF(Supplier_Invoices!$V28="CN",0,Supplier_Invoices!$K28),"")</f>
        <v/>
      </c>
      <c r="N1345" s="43">
        <f>IF($A1345=1,IF(Supplier_Invoices!$V28="CN",Supplier_Invoices!$K28,0),"")</f>
        <v/>
      </c>
      <c r="O1345" s="32">
        <f>IF($A1345=1,Supplier_Invoices!$O28,"")</f>
        <v/>
      </c>
      <c r="P1345" s="32">
        <f>IF($A1345=1,IF(Supplier_Invoices!$AE28="","",Supplier_Invoices!$AE28),"")</f>
        <v/>
      </c>
      <c r="Q1345" s="32">
        <f>IF($A1345=1,Supplier_Invoices!$AG28,"")</f>
        <v/>
      </c>
      <c r="R1345" s="32">
        <f>IF($A1345=1,IF(AND($Q1345=1,COUNTIFS(COA!$A:$A,$G1345,COA!$R:$R,1)=1),1,0),"")</f>
        <v/>
      </c>
      <c r="S1345" s="43">
        <f>IF($A1345=1,IF($R1345=1,N($M1345),0),"")</f>
        <v/>
      </c>
      <c r="T1345" s="43">
        <f>IF($A1345=1,IF($R1345=1,N($N1345),0),"")</f>
        <v/>
      </c>
      <c r="U1345" s="32">
        <f>IF($A1345=1,YEAR($D1345)*100+MONTH($D1345),"")</f>
        <v/>
      </c>
      <c r="V1345" s="32">
        <f>IF($A1345=1,IF(COUNTIF(COA!$A:$A,$G1345)=0,0,INDEX(COA!$H:$H,MATCH($G1345,COA!$A:$A,0))),"")</f>
        <v/>
      </c>
      <c r="W1345" s="32">
        <f>IF($A1345=1,"","")</f>
        <v/>
      </c>
      <c r="X1345" s="32">
        <f>IF($A1345=1,IF($R1345=1,"",IF($O1345=ST_POST,IF($P1345&lt;&gt;"",$P1345,"حساب غير صالح أو غير نشط"),IF($O1345=ST_REV,"معكوس: لا أثر على الدفاتر",IF($O1345=ST_CANC,"ملغى",IF($O1345=ST_APPR,"معتمد ولم يُرحَّل","مسودة"))))),"")</f>
        <v/>
      </c>
      <c r="Y1345" s="32">
        <f>IF($A1345=1,IF(AND($R1345=1,OR(LG_Acct="",$G1345=LG_Acct),OR(LG_Party="",$K1345=LG_Party),OR(LG_Loc="ALL",$I1345=LG_Loc),OR(LG_CC="ALL",$J1345=LG_CC),$D1345&gt;=LG_From,$D1345&lt;=LG_To),$D1345+ROW()/1000000,""),"")</f>
        <v/>
      </c>
      <c r="Z1345" s="32">
        <f>IF($A1345=1,IF(Supplier_Invoices!$P28="","",Supplier_Invoices!$P28),"")</f>
        <v/>
      </c>
      <c r="AA1345" s="32">
        <f>IF($A1345=1,IF(Supplier_Invoices!$Q28="","",Supplier_Invoices!$Q28),"")</f>
        <v/>
      </c>
      <c r="AB1345" s="32">
        <f>IF($A1345=1,IF(Supplier_Invoices!$R28="","",Supplier_Invoices!$R28),"")</f>
        <v/>
      </c>
      <c r="AC1345" s="32">
        <f>IF($A1345=1,IF(Supplier_Invoices!$S28="","",Supplier_Invoices!$S28),"")</f>
        <v/>
      </c>
      <c r="AD1345" s="32">
        <f>IF($A1345=1,IF(Supplier_Invoices!$T28="","",Supplier_Invoices!$T28),"")</f>
        <v/>
      </c>
      <c r="AE1345" s="32">
        <f>IF($A1345=1,0,"")</f>
        <v/>
      </c>
      <c r="AF1345" s="32" t="inlineStr"/>
    </row>
    <row r="1346">
      <c r="A1346" s="32">
        <f>IF(AND(Supplier_Invoices!$AD28=1,N(Supplier_Invoices!$W28)&gt;0),1,0)</f>
        <v/>
      </c>
      <c r="B1346" s="32">
        <f>IF($A1346=1,$E1346&amp;"/3","")</f>
        <v/>
      </c>
      <c r="C1346" s="32">
        <f>IF($A1346=1,"J-"&amp;Supplier_Invoices!$A28,"")</f>
        <v/>
      </c>
      <c r="D1346" s="33">
        <f>IF($A1346=1,Supplier_Invoices!$E28,"")</f>
        <v/>
      </c>
      <c r="E1346" s="32">
        <f>IF($A1346=1,IF(Supplier_Invoices!$A28="","",Supplier_Invoices!$A28),"")</f>
        <v/>
      </c>
      <c r="F1346" s="32">
        <f>IF($A1346=1,"SINV","")</f>
        <v/>
      </c>
      <c r="G1346" s="32">
        <f>IF($A1346=1,ACC_SUPPLIERS,"")</f>
        <v/>
      </c>
      <c r="H1346" s="32">
        <f>IF($A1346=1,IF(COUNTIF(COA!$A:$A,$G1346)=0,"حساب غير معرف",INDEX(COA!$B:$B,MATCH($G1346,COA!$A:$A,0))),"")</f>
        <v/>
      </c>
      <c r="I1346" s="32">
        <f>IF($A1346=1,IF(Supplier_Invoices!$H28="","",Supplier_Invoices!$H28),"")</f>
        <v/>
      </c>
      <c r="J1346" s="32">
        <f>IF($A1346=1,"CC00","")</f>
        <v/>
      </c>
      <c r="K1346" s="32">
        <f>IF($A1346=1,IF(Supplier_Invoices!$C28="","",Supplier_Invoices!$C28),"")</f>
        <v/>
      </c>
      <c r="L1346" s="32">
        <f>IF($A1346=1,Supplier_Invoices!$F28&amp;" "&amp;Supplier_Invoices!$B28&amp;" - "&amp;Supplier_Invoices!$C28,"")</f>
        <v/>
      </c>
      <c r="M1346" s="43">
        <f>IF($A1346=1,IF(Supplier_Invoices!$V28="CN",Supplier_Invoices!$W28,0),"")</f>
        <v/>
      </c>
      <c r="N1346" s="43">
        <f>IF($A1346=1,IF(Supplier_Invoices!$V28="CN",0,Supplier_Invoices!$W28),"")</f>
        <v/>
      </c>
      <c r="O1346" s="32">
        <f>IF($A1346=1,Supplier_Invoices!$O28,"")</f>
        <v/>
      </c>
      <c r="P1346" s="32">
        <f>IF($A1346=1,IF(Supplier_Invoices!$AE28="","",Supplier_Invoices!$AE28),"")</f>
        <v/>
      </c>
      <c r="Q1346" s="32">
        <f>IF($A1346=1,Supplier_Invoices!$AG28,"")</f>
        <v/>
      </c>
      <c r="R1346" s="32">
        <f>IF($A1346=1,IF(AND($Q1346=1,COUNTIFS(COA!$A:$A,$G1346,COA!$R:$R,1)=1),1,0),"")</f>
        <v/>
      </c>
      <c r="S1346" s="43">
        <f>IF($A1346=1,IF($R1346=1,N($M1346),0),"")</f>
        <v/>
      </c>
      <c r="T1346" s="43">
        <f>IF($A1346=1,IF($R1346=1,N($N1346),0),"")</f>
        <v/>
      </c>
      <c r="U1346" s="32">
        <f>IF($A1346=1,YEAR($D1346)*100+MONTH($D1346),"")</f>
        <v/>
      </c>
      <c r="V1346" s="32">
        <f>IF($A1346=1,IF(COUNTIF(COA!$A:$A,$G1346)=0,0,INDEX(COA!$H:$H,MATCH($G1346,COA!$A:$A,0))),"")</f>
        <v/>
      </c>
      <c r="W1346" s="32">
        <f>IF($A1346=1,"","")</f>
        <v/>
      </c>
      <c r="X1346" s="32">
        <f>IF($A1346=1,IF($R1346=1,"",IF($O1346=ST_POST,IF($P1346&lt;&gt;"",$P1346,"حساب غير صالح أو غير نشط"),IF($O1346=ST_REV,"معكوس: لا أثر على الدفاتر",IF($O1346=ST_CANC,"ملغى",IF($O1346=ST_APPR,"معتمد ولم يُرحَّل","مسودة"))))),"")</f>
        <v/>
      </c>
      <c r="Y1346" s="32">
        <f>IF($A1346=1,IF(AND($R1346=1,OR(LG_Acct="",$G1346=LG_Acct),OR(LG_Party="",$K1346=LG_Party),OR(LG_Loc="ALL",$I1346=LG_Loc),OR(LG_CC="ALL",$J1346=LG_CC),$D1346&gt;=LG_From,$D1346&lt;=LG_To),$D1346+ROW()/1000000,""),"")</f>
        <v/>
      </c>
      <c r="Z1346" s="32">
        <f>IF($A1346=1,IF(Supplier_Invoices!$P28="","",Supplier_Invoices!$P28),"")</f>
        <v/>
      </c>
      <c r="AA1346" s="32">
        <f>IF($A1346=1,IF(Supplier_Invoices!$Q28="","",Supplier_Invoices!$Q28),"")</f>
        <v/>
      </c>
      <c r="AB1346" s="32">
        <f>IF($A1346=1,IF(Supplier_Invoices!$R28="","",Supplier_Invoices!$R28),"")</f>
        <v/>
      </c>
      <c r="AC1346" s="32">
        <f>IF($A1346=1,IF(Supplier_Invoices!$S28="","",Supplier_Invoices!$S28),"")</f>
        <v/>
      </c>
      <c r="AD1346" s="32">
        <f>IF($A1346=1,IF(Supplier_Invoices!$T28="","",Supplier_Invoices!$T28),"")</f>
        <v/>
      </c>
      <c r="AE1346" s="32">
        <f>IF($A1346=1,0,"")</f>
        <v/>
      </c>
      <c r="AF1346" s="32" t="inlineStr"/>
    </row>
    <row r="1347">
      <c r="A1347" s="32">
        <f>IF(AND(Supplier_Invoices!$AD28=1,Supplier_Invoices!$L28&lt;&gt;"",Supplier_Invoices!$V28&lt;&gt;"CN",N(Supplier_Invoices!$W28)&gt;0),1,0)</f>
        <v/>
      </c>
      <c r="B1347" s="32">
        <f>IF($A1347=1,$E1347&amp;"/4","")</f>
        <v/>
      </c>
      <c r="C1347" s="32">
        <f>IF($A1347=1,"J-"&amp;Supplier_Invoices!$A28,"")</f>
        <v/>
      </c>
      <c r="D1347" s="33">
        <f>IF($A1347=1,Supplier_Invoices!$E28,"")</f>
        <v/>
      </c>
      <c r="E1347" s="32">
        <f>IF($A1347=1,IF(Supplier_Invoices!$A28="","",Supplier_Invoices!$A28),"")</f>
        <v/>
      </c>
      <c r="F1347" s="32">
        <f>IF($A1347=1,"SINV","")</f>
        <v/>
      </c>
      <c r="G1347" s="32">
        <f>IF($A1347=1,ACC_SUPPLIERS,"")</f>
        <v/>
      </c>
      <c r="H1347" s="32">
        <f>IF($A1347=1,IF(COUNTIF(COA!$A:$A,$G1347)=0,"حساب غير معرف",INDEX(COA!$B:$B,MATCH($G1347,COA!$A:$A,0))),"")</f>
        <v/>
      </c>
      <c r="I1347" s="32">
        <f>IF($A1347=1,IF(Supplier_Invoices!$H28="","",Supplier_Invoices!$H28),"")</f>
        <v/>
      </c>
      <c r="J1347" s="32">
        <f>IF($A1347=1,"CC00","")</f>
        <v/>
      </c>
      <c r="K1347" s="32">
        <f>IF($A1347=1,IF(Supplier_Invoices!$C28="","",Supplier_Invoices!$C28),"")</f>
        <v/>
      </c>
      <c r="L1347" s="32">
        <f>IF($A1347=1,"سداد فوري - "&amp;Supplier_Invoices!$F28&amp;" "&amp;Supplier_Invoices!$B28&amp;" - "&amp;Supplier_Invoices!$C28,"")</f>
        <v/>
      </c>
      <c r="M1347" s="43">
        <f>IF($A1347=1,Supplier_Invoices!$W28,"")</f>
        <v/>
      </c>
      <c r="N1347" s="43">
        <f>IF($A1347=1,0,"")</f>
        <v/>
      </c>
      <c r="O1347" s="32">
        <f>IF($A1347=1,Supplier_Invoices!$O28,"")</f>
        <v/>
      </c>
      <c r="P1347" s="32">
        <f>IF($A1347=1,IF(Supplier_Invoices!$AE28="","",Supplier_Invoices!$AE28),"")</f>
        <v/>
      </c>
      <c r="Q1347" s="32">
        <f>IF($A1347=1,Supplier_Invoices!$AG28,"")</f>
        <v/>
      </c>
      <c r="R1347" s="32">
        <f>IF($A1347=1,IF(AND($Q1347=1,COUNTIFS(COA!$A:$A,$G1347,COA!$R:$R,1)=1),1,0),"")</f>
        <v/>
      </c>
      <c r="S1347" s="43">
        <f>IF($A1347=1,IF($R1347=1,N($M1347),0),"")</f>
        <v/>
      </c>
      <c r="T1347" s="43">
        <f>IF($A1347=1,IF($R1347=1,N($N1347),0),"")</f>
        <v/>
      </c>
      <c r="U1347" s="32">
        <f>IF($A1347=1,YEAR($D1347)*100+MONTH($D1347),"")</f>
        <v/>
      </c>
      <c r="V1347" s="32">
        <f>IF($A1347=1,IF(COUNTIF(COA!$A:$A,$G1347)=0,0,INDEX(COA!$H:$H,MATCH($G1347,COA!$A:$A,0))),"")</f>
        <v/>
      </c>
      <c r="W1347" s="32">
        <f>IF($A1347=1,"","")</f>
        <v/>
      </c>
      <c r="X1347" s="32">
        <f>IF($A1347=1,IF($R1347=1,"",IF($O1347=ST_POST,IF($P1347&lt;&gt;"",$P1347,"حساب غير صالح أو غير نشط"),IF($O1347=ST_REV,"معكوس: لا أثر على الدفاتر",IF($O1347=ST_CANC,"ملغى",IF($O1347=ST_APPR,"معتمد ولم يُرحَّل","مسودة"))))),"")</f>
        <v/>
      </c>
      <c r="Y1347" s="32">
        <f>IF($A1347=1,IF(AND($R1347=1,OR(LG_Acct="",$G1347=LG_Acct),OR(LG_Party="",$K1347=LG_Party),OR(LG_Loc="ALL",$I1347=LG_Loc),OR(LG_CC="ALL",$J1347=LG_CC),$D1347&gt;=LG_From,$D1347&lt;=LG_To),$D1347+ROW()/1000000,""),"")</f>
        <v/>
      </c>
      <c r="Z1347" s="32">
        <f>IF($A1347=1,IF(Supplier_Invoices!$P28="","",Supplier_Invoices!$P28),"")</f>
        <v/>
      </c>
      <c r="AA1347" s="32">
        <f>IF($A1347=1,IF(Supplier_Invoices!$Q28="","",Supplier_Invoices!$Q28),"")</f>
        <v/>
      </c>
      <c r="AB1347" s="32">
        <f>IF($A1347=1,IF(Supplier_Invoices!$R28="","",Supplier_Invoices!$R28),"")</f>
        <v/>
      </c>
      <c r="AC1347" s="32">
        <f>IF($A1347=1,IF(Supplier_Invoices!$S28="","",Supplier_Invoices!$S28),"")</f>
        <v/>
      </c>
      <c r="AD1347" s="32">
        <f>IF($A1347=1,IF(Supplier_Invoices!$T28="","",Supplier_Invoices!$T28),"")</f>
        <v/>
      </c>
      <c r="AE1347" s="32">
        <f>IF($A1347=1,0,"")</f>
        <v/>
      </c>
      <c r="AF1347" s="32" t="inlineStr"/>
    </row>
    <row r="1348">
      <c r="A1348" s="32">
        <f>IF(AND(Supplier_Invoices!$AD28=1,Supplier_Invoices!$L28&lt;&gt;"",Supplier_Invoices!$V28&lt;&gt;"CN",N(Supplier_Invoices!$W28)&gt;0),1,0)</f>
        <v/>
      </c>
      <c r="B1348" s="32">
        <f>IF($A1348=1,$E1348&amp;"/5","")</f>
        <v/>
      </c>
      <c r="C1348" s="32">
        <f>IF($A1348=1,"J-"&amp;Supplier_Invoices!$A28,"")</f>
        <v/>
      </c>
      <c r="D1348" s="33">
        <f>IF($A1348=1,Supplier_Invoices!$E28,"")</f>
        <v/>
      </c>
      <c r="E1348" s="32">
        <f>IF($A1348=1,IF(Supplier_Invoices!$A28="","",Supplier_Invoices!$A28),"")</f>
        <v/>
      </c>
      <c r="F1348" s="32">
        <f>IF($A1348=1,"SINV","")</f>
        <v/>
      </c>
      <c r="G1348" s="32">
        <f>IF($A1348=1,IF(Supplier_Invoices!$AA28="","",Supplier_Invoices!$AA28),"")</f>
        <v/>
      </c>
      <c r="H1348" s="32">
        <f>IF($A1348=1,IF(COUNTIF(COA!$A:$A,$G1348)=0,"حساب غير معرف",INDEX(COA!$B:$B,MATCH($G1348,COA!$A:$A,0))),"")</f>
        <v/>
      </c>
      <c r="I1348" s="32">
        <f>IF($A1348=1,IF(Supplier_Invoices!$H28="","",Supplier_Invoices!$H28),"")</f>
        <v/>
      </c>
      <c r="J1348" s="32">
        <f>IF($A1348=1,"CC00","")</f>
        <v/>
      </c>
      <c r="K1348" s="32">
        <f>IF($A1348=1,"-","")</f>
        <v/>
      </c>
      <c r="L1348" s="32">
        <f>IF($A1348=1,"سداد فوري - "&amp;Supplier_Invoices!$F28&amp;" "&amp;Supplier_Invoices!$B28&amp;" - "&amp;Supplier_Invoices!$C28,"")</f>
        <v/>
      </c>
      <c r="M1348" s="43">
        <f>IF($A1348=1,0,"")</f>
        <v/>
      </c>
      <c r="N1348" s="43">
        <f>IF($A1348=1,Supplier_Invoices!$W28,"")</f>
        <v/>
      </c>
      <c r="O1348" s="32">
        <f>IF($A1348=1,Supplier_Invoices!$O28,"")</f>
        <v/>
      </c>
      <c r="P1348" s="32">
        <f>IF($A1348=1,IF(Supplier_Invoices!$AE28="","",Supplier_Invoices!$AE28),"")</f>
        <v/>
      </c>
      <c r="Q1348" s="32">
        <f>IF($A1348=1,Supplier_Invoices!$AG28,"")</f>
        <v/>
      </c>
      <c r="R1348" s="32">
        <f>IF($A1348=1,IF(AND($Q1348=1,COUNTIFS(COA!$A:$A,$G1348,COA!$R:$R,1)=1),1,0),"")</f>
        <v/>
      </c>
      <c r="S1348" s="43">
        <f>IF($A1348=1,IF($R1348=1,N($M1348),0),"")</f>
        <v/>
      </c>
      <c r="T1348" s="43">
        <f>IF($A1348=1,IF($R1348=1,N($N1348),0),"")</f>
        <v/>
      </c>
      <c r="U1348" s="32">
        <f>IF($A1348=1,YEAR($D1348)*100+MONTH($D1348),"")</f>
        <v/>
      </c>
      <c r="V1348" s="32">
        <f>IF($A1348=1,IF(COUNTIF(COA!$A:$A,$G1348)=0,0,INDEX(COA!$H:$H,MATCH($G1348,COA!$A:$A,0))),"")</f>
        <v/>
      </c>
      <c r="W1348" s="32">
        <f>IF($A1348=1,IF(Supplier_Invoices!$AB28="","",Supplier_Invoices!$AB28),"")</f>
        <v/>
      </c>
      <c r="X1348" s="32">
        <f>IF($A1348=1,IF($R1348=1,"",IF($O1348=ST_POST,IF($P1348&lt;&gt;"",$P1348,"حساب غير صالح أو غير نشط"),IF($O1348=ST_REV,"معكوس: لا أثر على الدفاتر",IF($O1348=ST_CANC,"ملغى",IF($O1348=ST_APPR,"معتمد ولم يُرحَّل","مسودة"))))),"")</f>
        <v/>
      </c>
      <c r="Y1348" s="32">
        <f>IF($A1348=1,IF(AND($R1348=1,OR(LG_Acct="",$G1348=LG_Acct),OR(LG_Party="",$K1348=LG_Party),OR(LG_Loc="ALL",$I1348=LG_Loc),OR(LG_CC="ALL",$J1348=LG_CC),$D1348&gt;=LG_From,$D1348&lt;=LG_To),$D1348+ROW()/1000000,""),"")</f>
        <v/>
      </c>
      <c r="Z1348" s="32">
        <f>IF($A1348=1,IF(Supplier_Invoices!$P28="","",Supplier_Invoices!$P28),"")</f>
        <v/>
      </c>
      <c r="AA1348" s="32">
        <f>IF($A1348=1,IF(Supplier_Invoices!$Q28="","",Supplier_Invoices!$Q28),"")</f>
        <v/>
      </c>
      <c r="AB1348" s="32">
        <f>IF($A1348=1,IF(Supplier_Invoices!$R28="","",Supplier_Invoices!$R28),"")</f>
        <v/>
      </c>
      <c r="AC1348" s="32">
        <f>IF($A1348=1,IF(Supplier_Invoices!$S28="","",Supplier_Invoices!$S28),"")</f>
        <v/>
      </c>
      <c r="AD1348" s="32">
        <f>IF($A1348=1,IF(Supplier_Invoices!$T28="","",Supplier_Invoices!$T28),"")</f>
        <v/>
      </c>
      <c r="AE1348" s="32">
        <f>IF($A1348=1,0,"")</f>
        <v/>
      </c>
      <c r="AF1348" s="32" t="inlineStr"/>
    </row>
    <row r="1349">
      <c r="A1349" s="32">
        <f>IF(AND(Supplier_Invoices!$AD29=1,N(Supplier_Invoices!$J29)&gt;0),1,0)</f>
        <v/>
      </c>
      <c r="B1349" s="32">
        <f>IF($A1349=1,$E1349&amp;"/1","")</f>
        <v/>
      </c>
      <c r="C1349" s="32">
        <f>IF($A1349=1,"J-"&amp;Supplier_Invoices!$A29,"")</f>
        <v/>
      </c>
      <c r="D1349" s="33">
        <f>IF($A1349=1,Supplier_Invoices!$E29,"")</f>
        <v/>
      </c>
      <c r="E1349" s="32">
        <f>IF($A1349=1,IF(Supplier_Invoices!$A29="","",Supplier_Invoices!$A29),"")</f>
        <v/>
      </c>
      <c r="F1349" s="32">
        <f>IF($A1349=1,"SINV","")</f>
        <v/>
      </c>
      <c r="G1349" s="32">
        <f>IF($A1349=1,IF(Supplier_Invoices!$G29="","",Supplier_Invoices!$G29),"")</f>
        <v/>
      </c>
      <c r="H1349" s="32">
        <f>IF($A1349=1,IF(COUNTIF(COA!$A:$A,$G1349)=0,"حساب غير معرف",INDEX(COA!$B:$B,MATCH($G1349,COA!$A:$A,0))),"")</f>
        <v/>
      </c>
      <c r="I1349" s="32">
        <f>IF($A1349=1,IF(Supplier_Invoices!$H29="","",Supplier_Invoices!$H29),"")</f>
        <v/>
      </c>
      <c r="J1349" s="32">
        <f>IF($A1349=1,IF(Supplier_Invoices!$I29="","",Supplier_Invoices!$I29),"")</f>
        <v/>
      </c>
      <c r="K1349" s="32">
        <f>IF($A1349=1,"-","")</f>
        <v/>
      </c>
      <c r="L1349" s="32">
        <f>IF($A1349=1,Supplier_Invoices!$F29&amp;" "&amp;Supplier_Invoices!$B29&amp;" - "&amp;Supplier_Invoices!$C29,"")</f>
        <v/>
      </c>
      <c r="M1349" s="43">
        <f>IF($A1349=1,IF(Supplier_Invoices!$V29="CN",0,Supplier_Invoices!$J29),"")</f>
        <v/>
      </c>
      <c r="N1349" s="43">
        <f>IF($A1349=1,IF(Supplier_Invoices!$V29="CN",Supplier_Invoices!$J29,0),"")</f>
        <v/>
      </c>
      <c r="O1349" s="32">
        <f>IF($A1349=1,Supplier_Invoices!$O29,"")</f>
        <v/>
      </c>
      <c r="P1349" s="32">
        <f>IF($A1349=1,IF(Supplier_Invoices!$AE29="","",Supplier_Invoices!$AE29),"")</f>
        <v/>
      </c>
      <c r="Q1349" s="32">
        <f>IF($A1349=1,Supplier_Invoices!$AG29,"")</f>
        <v/>
      </c>
      <c r="R1349" s="32">
        <f>IF($A1349=1,IF(AND($Q1349=1,COUNTIFS(COA!$A:$A,$G1349,COA!$R:$R,1)=1),1,0),"")</f>
        <v/>
      </c>
      <c r="S1349" s="43">
        <f>IF($A1349=1,IF($R1349=1,N($M1349),0),"")</f>
        <v/>
      </c>
      <c r="T1349" s="43">
        <f>IF($A1349=1,IF($R1349=1,N($N1349),0),"")</f>
        <v/>
      </c>
      <c r="U1349" s="32">
        <f>IF($A1349=1,YEAR($D1349)*100+MONTH($D1349),"")</f>
        <v/>
      </c>
      <c r="V1349" s="32">
        <f>IF($A1349=1,IF(COUNTIF(COA!$A:$A,$G1349)=0,0,INDEX(COA!$H:$H,MATCH($G1349,COA!$A:$A,0))),"")</f>
        <v/>
      </c>
      <c r="W1349" s="32">
        <f>IF($A1349=1,"","")</f>
        <v/>
      </c>
      <c r="X1349" s="32">
        <f>IF($A1349=1,IF($R1349=1,"",IF($O1349=ST_POST,IF($P1349&lt;&gt;"",$P1349,"حساب غير صالح أو غير نشط"),IF($O1349=ST_REV,"معكوس: لا أثر على الدفاتر",IF($O1349=ST_CANC,"ملغى",IF($O1349=ST_APPR,"معتمد ولم يُرحَّل","مسودة"))))),"")</f>
        <v/>
      </c>
      <c r="Y1349" s="32">
        <f>IF($A1349=1,IF(AND($R1349=1,OR(LG_Acct="",$G1349=LG_Acct),OR(LG_Party="",$K1349=LG_Party),OR(LG_Loc="ALL",$I1349=LG_Loc),OR(LG_CC="ALL",$J1349=LG_CC),$D1349&gt;=LG_From,$D1349&lt;=LG_To),$D1349+ROW()/1000000,""),"")</f>
        <v/>
      </c>
      <c r="Z1349" s="32">
        <f>IF($A1349=1,IF(Supplier_Invoices!$P29="","",Supplier_Invoices!$P29),"")</f>
        <v/>
      </c>
      <c r="AA1349" s="32">
        <f>IF($A1349=1,IF(Supplier_Invoices!$Q29="","",Supplier_Invoices!$Q29),"")</f>
        <v/>
      </c>
      <c r="AB1349" s="32">
        <f>IF($A1349=1,IF(Supplier_Invoices!$R29="","",Supplier_Invoices!$R29),"")</f>
        <v/>
      </c>
      <c r="AC1349" s="32">
        <f>IF($A1349=1,IF(Supplier_Invoices!$S29="","",Supplier_Invoices!$S29),"")</f>
        <v/>
      </c>
      <c r="AD1349" s="32">
        <f>IF($A1349=1,IF(Supplier_Invoices!$T29="","",Supplier_Invoices!$T29),"")</f>
        <v/>
      </c>
      <c r="AE1349" s="32">
        <f>IF($A1349=1,0,"")</f>
        <v/>
      </c>
      <c r="AF1349" s="32" t="inlineStr"/>
    </row>
    <row r="1350">
      <c r="A1350" s="32">
        <f>IF(AND(Supplier_Invoices!$AD29=1,N(Supplier_Invoices!$K29)&gt;0),1,0)</f>
        <v/>
      </c>
      <c r="B1350" s="32">
        <f>IF($A1350=1,$E1350&amp;"/2","")</f>
        <v/>
      </c>
      <c r="C1350" s="32">
        <f>IF($A1350=1,"J-"&amp;Supplier_Invoices!$A29,"")</f>
        <v/>
      </c>
      <c r="D1350" s="33">
        <f>IF($A1350=1,Supplier_Invoices!$E29,"")</f>
        <v/>
      </c>
      <c r="E1350" s="32">
        <f>IF($A1350=1,IF(Supplier_Invoices!$A29="","",Supplier_Invoices!$A29),"")</f>
        <v/>
      </c>
      <c r="F1350" s="32">
        <f>IF($A1350=1,"SINV","")</f>
        <v/>
      </c>
      <c r="G1350" s="32">
        <f>IF($A1350=1,ACC_VAT_IN,"")</f>
        <v/>
      </c>
      <c r="H1350" s="32">
        <f>IF($A1350=1,IF(COUNTIF(COA!$A:$A,$G1350)=0,"حساب غير معرف",INDEX(COA!$B:$B,MATCH($G1350,COA!$A:$A,0))),"")</f>
        <v/>
      </c>
      <c r="I1350" s="32">
        <f>IF($A1350=1,IF(Supplier_Invoices!$H29="","",Supplier_Invoices!$H29),"")</f>
        <v/>
      </c>
      <c r="J1350" s="32">
        <f>IF($A1350=1,IF(Supplier_Invoices!$I29="","",Supplier_Invoices!$I29),"")</f>
        <v/>
      </c>
      <c r="K1350" s="32">
        <f>IF($A1350=1,"-","")</f>
        <v/>
      </c>
      <c r="L1350" s="32">
        <f>IF($A1350=1,"ضريبة قيمة مضافة - مدخلات","")</f>
        <v/>
      </c>
      <c r="M1350" s="43">
        <f>IF($A1350=1,IF(Supplier_Invoices!$V29="CN",0,Supplier_Invoices!$K29),"")</f>
        <v/>
      </c>
      <c r="N1350" s="43">
        <f>IF($A1350=1,IF(Supplier_Invoices!$V29="CN",Supplier_Invoices!$K29,0),"")</f>
        <v/>
      </c>
      <c r="O1350" s="32">
        <f>IF($A1350=1,Supplier_Invoices!$O29,"")</f>
        <v/>
      </c>
      <c r="P1350" s="32">
        <f>IF($A1350=1,IF(Supplier_Invoices!$AE29="","",Supplier_Invoices!$AE29),"")</f>
        <v/>
      </c>
      <c r="Q1350" s="32">
        <f>IF($A1350=1,Supplier_Invoices!$AG29,"")</f>
        <v/>
      </c>
      <c r="R1350" s="32">
        <f>IF($A1350=1,IF(AND($Q1350=1,COUNTIFS(COA!$A:$A,$G1350,COA!$R:$R,1)=1),1,0),"")</f>
        <v/>
      </c>
      <c r="S1350" s="43">
        <f>IF($A1350=1,IF($R1350=1,N($M1350),0),"")</f>
        <v/>
      </c>
      <c r="T1350" s="43">
        <f>IF($A1350=1,IF($R1350=1,N($N1350),0),"")</f>
        <v/>
      </c>
      <c r="U1350" s="32">
        <f>IF($A1350=1,YEAR($D1350)*100+MONTH($D1350),"")</f>
        <v/>
      </c>
      <c r="V1350" s="32">
        <f>IF($A1350=1,IF(COUNTIF(COA!$A:$A,$G1350)=0,0,INDEX(COA!$H:$H,MATCH($G1350,COA!$A:$A,0))),"")</f>
        <v/>
      </c>
      <c r="W1350" s="32">
        <f>IF($A1350=1,"","")</f>
        <v/>
      </c>
      <c r="X1350" s="32">
        <f>IF($A1350=1,IF($R1350=1,"",IF($O1350=ST_POST,IF($P1350&lt;&gt;"",$P1350,"حساب غير صالح أو غير نشط"),IF($O1350=ST_REV,"معكوس: لا أثر على الدفاتر",IF($O1350=ST_CANC,"ملغى",IF($O1350=ST_APPR,"معتمد ولم يُرحَّل","مسودة"))))),"")</f>
        <v/>
      </c>
      <c r="Y1350" s="32">
        <f>IF($A1350=1,IF(AND($R1350=1,OR(LG_Acct="",$G1350=LG_Acct),OR(LG_Party="",$K1350=LG_Party),OR(LG_Loc="ALL",$I1350=LG_Loc),OR(LG_CC="ALL",$J1350=LG_CC),$D1350&gt;=LG_From,$D1350&lt;=LG_To),$D1350+ROW()/1000000,""),"")</f>
        <v/>
      </c>
      <c r="Z1350" s="32">
        <f>IF($A1350=1,IF(Supplier_Invoices!$P29="","",Supplier_Invoices!$P29),"")</f>
        <v/>
      </c>
      <c r="AA1350" s="32">
        <f>IF($A1350=1,IF(Supplier_Invoices!$Q29="","",Supplier_Invoices!$Q29),"")</f>
        <v/>
      </c>
      <c r="AB1350" s="32">
        <f>IF($A1350=1,IF(Supplier_Invoices!$R29="","",Supplier_Invoices!$R29),"")</f>
        <v/>
      </c>
      <c r="AC1350" s="32">
        <f>IF($A1350=1,IF(Supplier_Invoices!$S29="","",Supplier_Invoices!$S29),"")</f>
        <v/>
      </c>
      <c r="AD1350" s="32">
        <f>IF($A1350=1,IF(Supplier_Invoices!$T29="","",Supplier_Invoices!$T29),"")</f>
        <v/>
      </c>
      <c r="AE1350" s="32">
        <f>IF($A1350=1,0,"")</f>
        <v/>
      </c>
      <c r="AF1350" s="32" t="inlineStr"/>
    </row>
    <row r="1351">
      <c r="A1351" s="32">
        <f>IF(AND(Supplier_Invoices!$AD29=1,N(Supplier_Invoices!$W29)&gt;0),1,0)</f>
        <v/>
      </c>
      <c r="B1351" s="32">
        <f>IF($A1351=1,$E1351&amp;"/3","")</f>
        <v/>
      </c>
      <c r="C1351" s="32">
        <f>IF($A1351=1,"J-"&amp;Supplier_Invoices!$A29,"")</f>
        <v/>
      </c>
      <c r="D1351" s="33">
        <f>IF($A1351=1,Supplier_Invoices!$E29,"")</f>
        <v/>
      </c>
      <c r="E1351" s="32">
        <f>IF($A1351=1,IF(Supplier_Invoices!$A29="","",Supplier_Invoices!$A29),"")</f>
        <v/>
      </c>
      <c r="F1351" s="32">
        <f>IF($A1351=1,"SINV","")</f>
        <v/>
      </c>
      <c r="G1351" s="32">
        <f>IF($A1351=1,ACC_SUPPLIERS,"")</f>
        <v/>
      </c>
      <c r="H1351" s="32">
        <f>IF($A1351=1,IF(COUNTIF(COA!$A:$A,$G1351)=0,"حساب غير معرف",INDEX(COA!$B:$B,MATCH($G1351,COA!$A:$A,0))),"")</f>
        <v/>
      </c>
      <c r="I1351" s="32">
        <f>IF($A1351=1,IF(Supplier_Invoices!$H29="","",Supplier_Invoices!$H29),"")</f>
        <v/>
      </c>
      <c r="J1351" s="32">
        <f>IF($A1351=1,"CC00","")</f>
        <v/>
      </c>
      <c r="K1351" s="32">
        <f>IF($A1351=1,IF(Supplier_Invoices!$C29="","",Supplier_Invoices!$C29),"")</f>
        <v/>
      </c>
      <c r="L1351" s="32">
        <f>IF($A1351=1,Supplier_Invoices!$F29&amp;" "&amp;Supplier_Invoices!$B29&amp;" - "&amp;Supplier_Invoices!$C29,"")</f>
        <v/>
      </c>
      <c r="M1351" s="43">
        <f>IF($A1351=1,IF(Supplier_Invoices!$V29="CN",Supplier_Invoices!$W29,0),"")</f>
        <v/>
      </c>
      <c r="N1351" s="43">
        <f>IF($A1351=1,IF(Supplier_Invoices!$V29="CN",0,Supplier_Invoices!$W29),"")</f>
        <v/>
      </c>
      <c r="O1351" s="32">
        <f>IF($A1351=1,Supplier_Invoices!$O29,"")</f>
        <v/>
      </c>
      <c r="P1351" s="32">
        <f>IF($A1351=1,IF(Supplier_Invoices!$AE29="","",Supplier_Invoices!$AE29),"")</f>
        <v/>
      </c>
      <c r="Q1351" s="32">
        <f>IF($A1351=1,Supplier_Invoices!$AG29,"")</f>
        <v/>
      </c>
      <c r="R1351" s="32">
        <f>IF($A1351=1,IF(AND($Q1351=1,COUNTIFS(COA!$A:$A,$G1351,COA!$R:$R,1)=1),1,0),"")</f>
        <v/>
      </c>
      <c r="S1351" s="43">
        <f>IF($A1351=1,IF($R1351=1,N($M1351),0),"")</f>
        <v/>
      </c>
      <c r="T1351" s="43">
        <f>IF($A1351=1,IF($R1351=1,N($N1351),0),"")</f>
        <v/>
      </c>
      <c r="U1351" s="32">
        <f>IF($A1351=1,YEAR($D1351)*100+MONTH($D1351),"")</f>
        <v/>
      </c>
      <c r="V1351" s="32">
        <f>IF($A1351=1,IF(COUNTIF(COA!$A:$A,$G1351)=0,0,INDEX(COA!$H:$H,MATCH($G1351,COA!$A:$A,0))),"")</f>
        <v/>
      </c>
      <c r="W1351" s="32">
        <f>IF($A1351=1,"","")</f>
        <v/>
      </c>
      <c r="X1351" s="32">
        <f>IF($A1351=1,IF($R1351=1,"",IF($O1351=ST_POST,IF($P1351&lt;&gt;"",$P1351,"حساب غير صالح أو غير نشط"),IF($O1351=ST_REV,"معكوس: لا أثر على الدفاتر",IF($O1351=ST_CANC,"ملغى",IF($O1351=ST_APPR,"معتمد ولم يُرحَّل","مسودة"))))),"")</f>
        <v/>
      </c>
      <c r="Y1351" s="32">
        <f>IF($A1351=1,IF(AND($R1351=1,OR(LG_Acct="",$G1351=LG_Acct),OR(LG_Party="",$K1351=LG_Party),OR(LG_Loc="ALL",$I1351=LG_Loc),OR(LG_CC="ALL",$J1351=LG_CC),$D1351&gt;=LG_From,$D1351&lt;=LG_To),$D1351+ROW()/1000000,""),"")</f>
        <v/>
      </c>
      <c r="Z1351" s="32">
        <f>IF($A1351=1,IF(Supplier_Invoices!$P29="","",Supplier_Invoices!$P29),"")</f>
        <v/>
      </c>
      <c r="AA1351" s="32">
        <f>IF($A1351=1,IF(Supplier_Invoices!$Q29="","",Supplier_Invoices!$Q29),"")</f>
        <v/>
      </c>
      <c r="AB1351" s="32">
        <f>IF($A1351=1,IF(Supplier_Invoices!$R29="","",Supplier_Invoices!$R29),"")</f>
        <v/>
      </c>
      <c r="AC1351" s="32">
        <f>IF($A1351=1,IF(Supplier_Invoices!$S29="","",Supplier_Invoices!$S29),"")</f>
        <v/>
      </c>
      <c r="AD1351" s="32">
        <f>IF($A1351=1,IF(Supplier_Invoices!$T29="","",Supplier_Invoices!$T29),"")</f>
        <v/>
      </c>
      <c r="AE1351" s="32">
        <f>IF($A1351=1,0,"")</f>
        <v/>
      </c>
      <c r="AF1351" s="32" t="inlineStr"/>
    </row>
    <row r="1352">
      <c r="A1352" s="32">
        <f>IF(AND(Supplier_Invoices!$AD29=1,Supplier_Invoices!$L29&lt;&gt;"",Supplier_Invoices!$V29&lt;&gt;"CN",N(Supplier_Invoices!$W29)&gt;0),1,0)</f>
        <v/>
      </c>
      <c r="B1352" s="32">
        <f>IF($A1352=1,$E1352&amp;"/4","")</f>
        <v/>
      </c>
      <c r="C1352" s="32">
        <f>IF($A1352=1,"J-"&amp;Supplier_Invoices!$A29,"")</f>
        <v/>
      </c>
      <c r="D1352" s="33">
        <f>IF($A1352=1,Supplier_Invoices!$E29,"")</f>
        <v/>
      </c>
      <c r="E1352" s="32">
        <f>IF($A1352=1,IF(Supplier_Invoices!$A29="","",Supplier_Invoices!$A29),"")</f>
        <v/>
      </c>
      <c r="F1352" s="32">
        <f>IF($A1352=1,"SINV","")</f>
        <v/>
      </c>
      <c r="G1352" s="32">
        <f>IF($A1352=1,ACC_SUPPLIERS,"")</f>
        <v/>
      </c>
      <c r="H1352" s="32">
        <f>IF($A1352=1,IF(COUNTIF(COA!$A:$A,$G1352)=0,"حساب غير معرف",INDEX(COA!$B:$B,MATCH($G1352,COA!$A:$A,0))),"")</f>
        <v/>
      </c>
      <c r="I1352" s="32">
        <f>IF($A1352=1,IF(Supplier_Invoices!$H29="","",Supplier_Invoices!$H29),"")</f>
        <v/>
      </c>
      <c r="J1352" s="32">
        <f>IF($A1352=1,"CC00","")</f>
        <v/>
      </c>
      <c r="K1352" s="32">
        <f>IF($A1352=1,IF(Supplier_Invoices!$C29="","",Supplier_Invoices!$C29),"")</f>
        <v/>
      </c>
      <c r="L1352" s="32">
        <f>IF($A1352=1,"سداد فوري - "&amp;Supplier_Invoices!$F29&amp;" "&amp;Supplier_Invoices!$B29&amp;" - "&amp;Supplier_Invoices!$C29,"")</f>
        <v/>
      </c>
      <c r="M1352" s="43">
        <f>IF($A1352=1,Supplier_Invoices!$W29,"")</f>
        <v/>
      </c>
      <c r="N1352" s="43">
        <f>IF($A1352=1,0,"")</f>
        <v/>
      </c>
      <c r="O1352" s="32">
        <f>IF($A1352=1,Supplier_Invoices!$O29,"")</f>
        <v/>
      </c>
      <c r="P1352" s="32">
        <f>IF($A1352=1,IF(Supplier_Invoices!$AE29="","",Supplier_Invoices!$AE29),"")</f>
        <v/>
      </c>
      <c r="Q1352" s="32">
        <f>IF($A1352=1,Supplier_Invoices!$AG29,"")</f>
        <v/>
      </c>
      <c r="R1352" s="32">
        <f>IF($A1352=1,IF(AND($Q1352=1,COUNTIFS(COA!$A:$A,$G1352,COA!$R:$R,1)=1),1,0),"")</f>
        <v/>
      </c>
      <c r="S1352" s="43">
        <f>IF($A1352=1,IF($R1352=1,N($M1352),0),"")</f>
        <v/>
      </c>
      <c r="T1352" s="43">
        <f>IF($A1352=1,IF($R1352=1,N($N1352),0),"")</f>
        <v/>
      </c>
      <c r="U1352" s="32">
        <f>IF($A1352=1,YEAR($D1352)*100+MONTH($D1352),"")</f>
        <v/>
      </c>
      <c r="V1352" s="32">
        <f>IF($A1352=1,IF(COUNTIF(COA!$A:$A,$G1352)=0,0,INDEX(COA!$H:$H,MATCH($G1352,COA!$A:$A,0))),"")</f>
        <v/>
      </c>
      <c r="W1352" s="32">
        <f>IF($A1352=1,"","")</f>
        <v/>
      </c>
      <c r="X1352" s="32">
        <f>IF($A1352=1,IF($R1352=1,"",IF($O1352=ST_POST,IF($P1352&lt;&gt;"",$P1352,"حساب غير صالح أو غير نشط"),IF($O1352=ST_REV,"معكوس: لا أثر على الدفاتر",IF($O1352=ST_CANC,"ملغى",IF($O1352=ST_APPR,"معتمد ولم يُرحَّل","مسودة"))))),"")</f>
        <v/>
      </c>
      <c r="Y1352" s="32">
        <f>IF($A1352=1,IF(AND($R1352=1,OR(LG_Acct="",$G1352=LG_Acct),OR(LG_Party="",$K1352=LG_Party),OR(LG_Loc="ALL",$I1352=LG_Loc),OR(LG_CC="ALL",$J1352=LG_CC),$D1352&gt;=LG_From,$D1352&lt;=LG_To),$D1352+ROW()/1000000,""),"")</f>
        <v/>
      </c>
      <c r="Z1352" s="32">
        <f>IF($A1352=1,IF(Supplier_Invoices!$P29="","",Supplier_Invoices!$P29),"")</f>
        <v/>
      </c>
      <c r="AA1352" s="32">
        <f>IF($A1352=1,IF(Supplier_Invoices!$Q29="","",Supplier_Invoices!$Q29),"")</f>
        <v/>
      </c>
      <c r="AB1352" s="32">
        <f>IF($A1352=1,IF(Supplier_Invoices!$R29="","",Supplier_Invoices!$R29),"")</f>
        <v/>
      </c>
      <c r="AC1352" s="32">
        <f>IF($A1352=1,IF(Supplier_Invoices!$S29="","",Supplier_Invoices!$S29),"")</f>
        <v/>
      </c>
      <c r="AD1352" s="32">
        <f>IF($A1352=1,IF(Supplier_Invoices!$T29="","",Supplier_Invoices!$T29),"")</f>
        <v/>
      </c>
      <c r="AE1352" s="32">
        <f>IF($A1352=1,0,"")</f>
        <v/>
      </c>
      <c r="AF1352" s="32" t="inlineStr"/>
    </row>
    <row r="1353">
      <c r="A1353" s="32">
        <f>IF(AND(Supplier_Invoices!$AD29=1,Supplier_Invoices!$L29&lt;&gt;"",Supplier_Invoices!$V29&lt;&gt;"CN",N(Supplier_Invoices!$W29)&gt;0),1,0)</f>
        <v/>
      </c>
      <c r="B1353" s="32">
        <f>IF($A1353=1,$E1353&amp;"/5","")</f>
        <v/>
      </c>
      <c r="C1353" s="32">
        <f>IF($A1353=1,"J-"&amp;Supplier_Invoices!$A29,"")</f>
        <v/>
      </c>
      <c r="D1353" s="33">
        <f>IF($A1353=1,Supplier_Invoices!$E29,"")</f>
        <v/>
      </c>
      <c r="E1353" s="32">
        <f>IF($A1353=1,IF(Supplier_Invoices!$A29="","",Supplier_Invoices!$A29),"")</f>
        <v/>
      </c>
      <c r="F1353" s="32">
        <f>IF($A1353=1,"SINV","")</f>
        <v/>
      </c>
      <c r="G1353" s="32">
        <f>IF($A1353=1,IF(Supplier_Invoices!$AA29="","",Supplier_Invoices!$AA29),"")</f>
        <v/>
      </c>
      <c r="H1353" s="32">
        <f>IF($A1353=1,IF(COUNTIF(COA!$A:$A,$G1353)=0,"حساب غير معرف",INDEX(COA!$B:$B,MATCH($G1353,COA!$A:$A,0))),"")</f>
        <v/>
      </c>
      <c r="I1353" s="32">
        <f>IF($A1353=1,IF(Supplier_Invoices!$H29="","",Supplier_Invoices!$H29),"")</f>
        <v/>
      </c>
      <c r="J1353" s="32">
        <f>IF($A1353=1,"CC00","")</f>
        <v/>
      </c>
      <c r="K1353" s="32">
        <f>IF($A1353=1,"-","")</f>
        <v/>
      </c>
      <c r="L1353" s="32">
        <f>IF($A1353=1,"سداد فوري - "&amp;Supplier_Invoices!$F29&amp;" "&amp;Supplier_Invoices!$B29&amp;" - "&amp;Supplier_Invoices!$C29,"")</f>
        <v/>
      </c>
      <c r="M1353" s="43">
        <f>IF($A1353=1,0,"")</f>
        <v/>
      </c>
      <c r="N1353" s="43">
        <f>IF($A1353=1,Supplier_Invoices!$W29,"")</f>
        <v/>
      </c>
      <c r="O1353" s="32">
        <f>IF($A1353=1,Supplier_Invoices!$O29,"")</f>
        <v/>
      </c>
      <c r="P1353" s="32">
        <f>IF($A1353=1,IF(Supplier_Invoices!$AE29="","",Supplier_Invoices!$AE29),"")</f>
        <v/>
      </c>
      <c r="Q1353" s="32">
        <f>IF($A1353=1,Supplier_Invoices!$AG29,"")</f>
        <v/>
      </c>
      <c r="R1353" s="32">
        <f>IF($A1353=1,IF(AND($Q1353=1,COUNTIFS(COA!$A:$A,$G1353,COA!$R:$R,1)=1),1,0),"")</f>
        <v/>
      </c>
      <c r="S1353" s="43">
        <f>IF($A1353=1,IF($R1353=1,N($M1353),0),"")</f>
        <v/>
      </c>
      <c r="T1353" s="43">
        <f>IF($A1353=1,IF($R1353=1,N($N1353),0),"")</f>
        <v/>
      </c>
      <c r="U1353" s="32">
        <f>IF($A1353=1,YEAR($D1353)*100+MONTH($D1353),"")</f>
        <v/>
      </c>
      <c r="V1353" s="32">
        <f>IF($A1353=1,IF(COUNTIF(COA!$A:$A,$G1353)=0,0,INDEX(COA!$H:$H,MATCH($G1353,COA!$A:$A,0))),"")</f>
        <v/>
      </c>
      <c r="W1353" s="32">
        <f>IF($A1353=1,IF(Supplier_Invoices!$AB29="","",Supplier_Invoices!$AB29),"")</f>
        <v/>
      </c>
      <c r="X1353" s="32">
        <f>IF($A1353=1,IF($R1353=1,"",IF($O1353=ST_POST,IF($P1353&lt;&gt;"",$P1353,"حساب غير صالح أو غير نشط"),IF($O1353=ST_REV,"معكوس: لا أثر على الدفاتر",IF($O1353=ST_CANC,"ملغى",IF($O1353=ST_APPR,"معتمد ولم يُرحَّل","مسودة"))))),"")</f>
        <v/>
      </c>
      <c r="Y1353" s="32">
        <f>IF($A1353=1,IF(AND($R1353=1,OR(LG_Acct="",$G1353=LG_Acct),OR(LG_Party="",$K1353=LG_Party),OR(LG_Loc="ALL",$I1353=LG_Loc),OR(LG_CC="ALL",$J1353=LG_CC),$D1353&gt;=LG_From,$D1353&lt;=LG_To),$D1353+ROW()/1000000,""),"")</f>
        <v/>
      </c>
      <c r="Z1353" s="32">
        <f>IF($A1353=1,IF(Supplier_Invoices!$P29="","",Supplier_Invoices!$P29),"")</f>
        <v/>
      </c>
      <c r="AA1353" s="32">
        <f>IF($A1353=1,IF(Supplier_Invoices!$Q29="","",Supplier_Invoices!$Q29),"")</f>
        <v/>
      </c>
      <c r="AB1353" s="32">
        <f>IF($A1353=1,IF(Supplier_Invoices!$R29="","",Supplier_Invoices!$R29),"")</f>
        <v/>
      </c>
      <c r="AC1353" s="32">
        <f>IF($A1353=1,IF(Supplier_Invoices!$S29="","",Supplier_Invoices!$S29),"")</f>
        <v/>
      </c>
      <c r="AD1353" s="32">
        <f>IF($A1353=1,IF(Supplier_Invoices!$T29="","",Supplier_Invoices!$T29),"")</f>
        <v/>
      </c>
      <c r="AE1353" s="32">
        <f>IF($A1353=1,0,"")</f>
        <v/>
      </c>
      <c r="AF1353" s="32" t="inlineStr"/>
    </row>
    <row r="1354">
      <c r="A1354" s="32">
        <f>IF(AND(Supplier_Invoices!$AD30=1,N(Supplier_Invoices!$J30)&gt;0),1,0)</f>
        <v/>
      </c>
      <c r="B1354" s="32">
        <f>IF($A1354=1,$E1354&amp;"/1","")</f>
        <v/>
      </c>
      <c r="C1354" s="32">
        <f>IF($A1354=1,"J-"&amp;Supplier_Invoices!$A30,"")</f>
        <v/>
      </c>
      <c r="D1354" s="33">
        <f>IF($A1354=1,Supplier_Invoices!$E30,"")</f>
        <v/>
      </c>
      <c r="E1354" s="32">
        <f>IF($A1354=1,IF(Supplier_Invoices!$A30="","",Supplier_Invoices!$A30),"")</f>
        <v/>
      </c>
      <c r="F1354" s="32">
        <f>IF($A1354=1,"SINV","")</f>
        <v/>
      </c>
      <c r="G1354" s="32">
        <f>IF($A1354=1,IF(Supplier_Invoices!$G30="","",Supplier_Invoices!$G30),"")</f>
        <v/>
      </c>
      <c r="H1354" s="32">
        <f>IF($A1354=1,IF(COUNTIF(COA!$A:$A,$G1354)=0,"حساب غير معرف",INDEX(COA!$B:$B,MATCH($G1354,COA!$A:$A,0))),"")</f>
        <v/>
      </c>
      <c r="I1354" s="32">
        <f>IF($A1354=1,IF(Supplier_Invoices!$H30="","",Supplier_Invoices!$H30),"")</f>
        <v/>
      </c>
      <c r="J1354" s="32">
        <f>IF($A1354=1,IF(Supplier_Invoices!$I30="","",Supplier_Invoices!$I30),"")</f>
        <v/>
      </c>
      <c r="K1354" s="32">
        <f>IF($A1354=1,"-","")</f>
        <v/>
      </c>
      <c r="L1354" s="32">
        <f>IF($A1354=1,Supplier_Invoices!$F30&amp;" "&amp;Supplier_Invoices!$B30&amp;" - "&amp;Supplier_Invoices!$C30,"")</f>
        <v/>
      </c>
      <c r="M1354" s="43">
        <f>IF($A1354=1,IF(Supplier_Invoices!$V30="CN",0,Supplier_Invoices!$J30),"")</f>
        <v/>
      </c>
      <c r="N1354" s="43">
        <f>IF($A1354=1,IF(Supplier_Invoices!$V30="CN",Supplier_Invoices!$J30,0),"")</f>
        <v/>
      </c>
      <c r="O1354" s="32">
        <f>IF($A1354=1,Supplier_Invoices!$O30,"")</f>
        <v/>
      </c>
      <c r="P1354" s="32">
        <f>IF($A1354=1,IF(Supplier_Invoices!$AE30="","",Supplier_Invoices!$AE30),"")</f>
        <v/>
      </c>
      <c r="Q1354" s="32">
        <f>IF($A1354=1,Supplier_Invoices!$AG30,"")</f>
        <v/>
      </c>
      <c r="R1354" s="32">
        <f>IF($A1354=1,IF(AND($Q1354=1,COUNTIFS(COA!$A:$A,$G1354,COA!$R:$R,1)=1),1,0),"")</f>
        <v/>
      </c>
      <c r="S1354" s="43">
        <f>IF($A1354=1,IF($R1354=1,N($M1354),0),"")</f>
        <v/>
      </c>
      <c r="T1354" s="43">
        <f>IF($A1354=1,IF($R1354=1,N($N1354),0),"")</f>
        <v/>
      </c>
      <c r="U1354" s="32">
        <f>IF($A1354=1,YEAR($D1354)*100+MONTH($D1354),"")</f>
        <v/>
      </c>
      <c r="V1354" s="32">
        <f>IF($A1354=1,IF(COUNTIF(COA!$A:$A,$G1354)=0,0,INDEX(COA!$H:$H,MATCH($G1354,COA!$A:$A,0))),"")</f>
        <v/>
      </c>
      <c r="W1354" s="32">
        <f>IF($A1354=1,"","")</f>
        <v/>
      </c>
      <c r="X1354" s="32">
        <f>IF($A1354=1,IF($R1354=1,"",IF($O1354=ST_POST,IF($P1354&lt;&gt;"",$P1354,"حساب غير صالح أو غير نشط"),IF($O1354=ST_REV,"معكوس: لا أثر على الدفاتر",IF($O1354=ST_CANC,"ملغى",IF($O1354=ST_APPR,"معتمد ولم يُرحَّل","مسودة"))))),"")</f>
        <v/>
      </c>
      <c r="Y1354" s="32">
        <f>IF($A1354=1,IF(AND($R1354=1,OR(LG_Acct="",$G1354=LG_Acct),OR(LG_Party="",$K1354=LG_Party),OR(LG_Loc="ALL",$I1354=LG_Loc),OR(LG_CC="ALL",$J1354=LG_CC),$D1354&gt;=LG_From,$D1354&lt;=LG_To),$D1354+ROW()/1000000,""),"")</f>
        <v/>
      </c>
      <c r="Z1354" s="32">
        <f>IF($A1354=1,IF(Supplier_Invoices!$P30="","",Supplier_Invoices!$P30),"")</f>
        <v/>
      </c>
      <c r="AA1354" s="32">
        <f>IF($A1354=1,IF(Supplier_Invoices!$Q30="","",Supplier_Invoices!$Q30),"")</f>
        <v/>
      </c>
      <c r="AB1354" s="32">
        <f>IF($A1354=1,IF(Supplier_Invoices!$R30="","",Supplier_Invoices!$R30),"")</f>
        <v/>
      </c>
      <c r="AC1354" s="32">
        <f>IF($A1354=1,IF(Supplier_Invoices!$S30="","",Supplier_Invoices!$S30),"")</f>
        <v/>
      </c>
      <c r="AD1354" s="32">
        <f>IF($A1354=1,IF(Supplier_Invoices!$T30="","",Supplier_Invoices!$T30),"")</f>
        <v/>
      </c>
      <c r="AE1354" s="32">
        <f>IF($A1354=1,0,"")</f>
        <v/>
      </c>
      <c r="AF1354" s="32" t="inlineStr"/>
    </row>
    <row r="1355">
      <c r="A1355" s="32">
        <f>IF(AND(Supplier_Invoices!$AD30=1,N(Supplier_Invoices!$K30)&gt;0),1,0)</f>
        <v/>
      </c>
      <c r="B1355" s="32">
        <f>IF($A1355=1,$E1355&amp;"/2","")</f>
        <v/>
      </c>
      <c r="C1355" s="32">
        <f>IF($A1355=1,"J-"&amp;Supplier_Invoices!$A30,"")</f>
        <v/>
      </c>
      <c r="D1355" s="33">
        <f>IF($A1355=1,Supplier_Invoices!$E30,"")</f>
        <v/>
      </c>
      <c r="E1355" s="32">
        <f>IF($A1355=1,IF(Supplier_Invoices!$A30="","",Supplier_Invoices!$A30),"")</f>
        <v/>
      </c>
      <c r="F1355" s="32">
        <f>IF($A1355=1,"SINV","")</f>
        <v/>
      </c>
      <c r="G1355" s="32">
        <f>IF($A1355=1,ACC_VAT_IN,"")</f>
        <v/>
      </c>
      <c r="H1355" s="32">
        <f>IF($A1355=1,IF(COUNTIF(COA!$A:$A,$G1355)=0,"حساب غير معرف",INDEX(COA!$B:$B,MATCH($G1355,COA!$A:$A,0))),"")</f>
        <v/>
      </c>
      <c r="I1355" s="32">
        <f>IF($A1355=1,IF(Supplier_Invoices!$H30="","",Supplier_Invoices!$H30),"")</f>
        <v/>
      </c>
      <c r="J1355" s="32">
        <f>IF($A1355=1,IF(Supplier_Invoices!$I30="","",Supplier_Invoices!$I30),"")</f>
        <v/>
      </c>
      <c r="K1355" s="32">
        <f>IF($A1355=1,"-","")</f>
        <v/>
      </c>
      <c r="L1355" s="32">
        <f>IF($A1355=1,"ضريبة قيمة مضافة - مدخلات","")</f>
        <v/>
      </c>
      <c r="M1355" s="43">
        <f>IF($A1355=1,IF(Supplier_Invoices!$V30="CN",0,Supplier_Invoices!$K30),"")</f>
        <v/>
      </c>
      <c r="N1355" s="43">
        <f>IF($A1355=1,IF(Supplier_Invoices!$V30="CN",Supplier_Invoices!$K30,0),"")</f>
        <v/>
      </c>
      <c r="O1355" s="32">
        <f>IF($A1355=1,Supplier_Invoices!$O30,"")</f>
        <v/>
      </c>
      <c r="P1355" s="32">
        <f>IF($A1355=1,IF(Supplier_Invoices!$AE30="","",Supplier_Invoices!$AE30),"")</f>
        <v/>
      </c>
      <c r="Q1355" s="32">
        <f>IF($A1355=1,Supplier_Invoices!$AG30,"")</f>
        <v/>
      </c>
      <c r="R1355" s="32">
        <f>IF($A1355=1,IF(AND($Q1355=1,COUNTIFS(COA!$A:$A,$G1355,COA!$R:$R,1)=1),1,0),"")</f>
        <v/>
      </c>
      <c r="S1355" s="43">
        <f>IF($A1355=1,IF($R1355=1,N($M1355),0),"")</f>
        <v/>
      </c>
      <c r="T1355" s="43">
        <f>IF($A1355=1,IF($R1355=1,N($N1355),0),"")</f>
        <v/>
      </c>
      <c r="U1355" s="32">
        <f>IF($A1355=1,YEAR($D1355)*100+MONTH($D1355),"")</f>
        <v/>
      </c>
      <c r="V1355" s="32">
        <f>IF($A1355=1,IF(COUNTIF(COA!$A:$A,$G1355)=0,0,INDEX(COA!$H:$H,MATCH($G1355,COA!$A:$A,0))),"")</f>
        <v/>
      </c>
      <c r="W1355" s="32">
        <f>IF($A1355=1,"","")</f>
        <v/>
      </c>
      <c r="X1355" s="32">
        <f>IF($A1355=1,IF($R1355=1,"",IF($O1355=ST_POST,IF($P1355&lt;&gt;"",$P1355,"حساب غير صالح أو غير نشط"),IF($O1355=ST_REV,"معكوس: لا أثر على الدفاتر",IF($O1355=ST_CANC,"ملغى",IF($O1355=ST_APPR,"معتمد ولم يُرحَّل","مسودة"))))),"")</f>
        <v/>
      </c>
      <c r="Y1355" s="32">
        <f>IF($A1355=1,IF(AND($R1355=1,OR(LG_Acct="",$G1355=LG_Acct),OR(LG_Party="",$K1355=LG_Party),OR(LG_Loc="ALL",$I1355=LG_Loc),OR(LG_CC="ALL",$J1355=LG_CC),$D1355&gt;=LG_From,$D1355&lt;=LG_To),$D1355+ROW()/1000000,""),"")</f>
        <v/>
      </c>
      <c r="Z1355" s="32">
        <f>IF($A1355=1,IF(Supplier_Invoices!$P30="","",Supplier_Invoices!$P30),"")</f>
        <v/>
      </c>
      <c r="AA1355" s="32">
        <f>IF($A1355=1,IF(Supplier_Invoices!$Q30="","",Supplier_Invoices!$Q30),"")</f>
        <v/>
      </c>
      <c r="AB1355" s="32">
        <f>IF($A1355=1,IF(Supplier_Invoices!$R30="","",Supplier_Invoices!$R30),"")</f>
        <v/>
      </c>
      <c r="AC1355" s="32">
        <f>IF($A1355=1,IF(Supplier_Invoices!$S30="","",Supplier_Invoices!$S30),"")</f>
        <v/>
      </c>
      <c r="AD1355" s="32">
        <f>IF($A1355=1,IF(Supplier_Invoices!$T30="","",Supplier_Invoices!$T30),"")</f>
        <v/>
      </c>
      <c r="AE1355" s="32">
        <f>IF($A1355=1,0,"")</f>
        <v/>
      </c>
      <c r="AF1355" s="32" t="inlineStr"/>
    </row>
    <row r="1356">
      <c r="A1356" s="32">
        <f>IF(AND(Supplier_Invoices!$AD30=1,N(Supplier_Invoices!$W30)&gt;0),1,0)</f>
        <v/>
      </c>
      <c r="B1356" s="32">
        <f>IF($A1356=1,$E1356&amp;"/3","")</f>
        <v/>
      </c>
      <c r="C1356" s="32">
        <f>IF($A1356=1,"J-"&amp;Supplier_Invoices!$A30,"")</f>
        <v/>
      </c>
      <c r="D1356" s="33">
        <f>IF($A1356=1,Supplier_Invoices!$E30,"")</f>
        <v/>
      </c>
      <c r="E1356" s="32">
        <f>IF($A1356=1,IF(Supplier_Invoices!$A30="","",Supplier_Invoices!$A30),"")</f>
        <v/>
      </c>
      <c r="F1356" s="32">
        <f>IF($A1356=1,"SINV","")</f>
        <v/>
      </c>
      <c r="G1356" s="32">
        <f>IF($A1356=1,ACC_SUPPLIERS,"")</f>
        <v/>
      </c>
      <c r="H1356" s="32">
        <f>IF($A1356=1,IF(COUNTIF(COA!$A:$A,$G1356)=0,"حساب غير معرف",INDEX(COA!$B:$B,MATCH($G1356,COA!$A:$A,0))),"")</f>
        <v/>
      </c>
      <c r="I1356" s="32">
        <f>IF($A1356=1,IF(Supplier_Invoices!$H30="","",Supplier_Invoices!$H30),"")</f>
        <v/>
      </c>
      <c r="J1356" s="32">
        <f>IF($A1356=1,"CC00","")</f>
        <v/>
      </c>
      <c r="K1356" s="32">
        <f>IF($A1356=1,IF(Supplier_Invoices!$C30="","",Supplier_Invoices!$C30),"")</f>
        <v/>
      </c>
      <c r="L1356" s="32">
        <f>IF($A1356=1,Supplier_Invoices!$F30&amp;" "&amp;Supplier_Invoices!$B30&amp;" - "&amp;Supplier_Invoices!$C30,"")</f>
        <v/>
      </c>
      <c r="M1356" s="43">
        <f>IF($A1356=1,IF(Supplier_Invoices!$V30="CN",Supplier_Invoices!$W30,0),"")</f>
        <v/>
      </c>
      <c r="N1356" s="43">
        <f>IF($A1356=1,IF(Supplier_Invoices!$V30="CN",0,Supplier_Invoices!$W30),"")</f>
        <v/>
      </c>
      <c r="O1356" s="32">
        <f>IF($A1356=1,Supplier_Invoices!$O30,"")</f>
        <v/>
      </c>
      <c r="P1356" s="32">
        <f>IF($A1356=1,IF(Supplier_Invoices!$AE30="","",Supplier_Invoices!$AE30),"")</f>
        <v/>
      </c>
      <c r="Q1356" s="32">
        <f>IF($A1356=1,Supplier_Invoices!$AG30,"")</f>
        <v/>
      </c>
      <c r="R1356" s="32">
        <f>IF($A1356=1,IF(AND($Q1356=1,COUNTIFS(COA!$A:$A,$G1356,COA!$R:$R,1)=1),1,0),"")</f>
        <v/>
      </c>
      <c r="S1356" s="43">
        <f>IF($A1356=1,IF($R1356=1,N($M1356),0),"")</f>
        <v/>
      </c>
      <c r="T1356" s="43">
        <f>IF($A1356=1,IF($R1356=1,N($N1356),0),"")</f>
        <v/>
      </c>
      <c r="U1356" s="32">
        <f>IF($A1356=1,YEAR($D1356)*100+MONTH($D1356),"")</f>
        <v/>
      </c>
      <c r="V1356" s="32">
        <f>IF($A1356=1,IF(COUNTIF(COA!$A:$A,$G1356)=0,0,INDEX(COA!$H:$H,MATCH($G1356,COA!$A:$A,0))),"")</f>
        <v/>
      </c>
      <c r="W1356" s="32">
        <f>IF($A1356=1,"","")</f>
        <v/>
      </c>
      <c r="X1356" s="32">
        <f>IF($A1356=1,IF($R1356=1,"",IF($O1356=ST_POST,IF($P1356&lt;&gt;"",$P1356,"حساب غير صالح أو غير نشط"),IF($O1356=ST_REV,"معكوس: لا أثر على الدفاتر",IF($O1356=ST_CANC,"ملغى",IF($O1356=ST_APPR,"معتمد ولم يُرحَّل","مسودة"))))),"")</f>
        <v/>
      </c>
      <c r="Y1356" s="32">
        <f>IF($A1356=1,IF(AND($R1356=1,OR(LG_Acct="",$G1356=LG_Acct),OR(LG_Party="",$K1356=LG_Party),OR(LG_Loc="ALL",$I1356=LG_Loc),OR(LG_CC="ALL",$J1356=LG_CC),$D1356&gt;=LG_From,$D1356&lt;=LG_To),$D1356+ROW()/1000000,""),"")</f>
        <v/>
      </c>
      <c r="Z1356" s="32">
        <f>IF($A1356=1,IF(Supplier_Invoices!$P30="","",Supplier_Invoices!$P30),"")</f>
        <v/>
      </c>
      <c r="AA1356" s="32">
        <f>IF($A1356=1,IF(Supplier_Invoices!$Q30="","",Supplier_Invoices!$Q30),"")</f>
        <v/>
      </c>
      <c r="AB1356" s="32">
        <f>IF($A1356=1,IF(Supplier_Invoices!$R30="","",Supplier_Invoices!$R30),"")</f>
        <v/>
      </c>
      <c r="AC1356" s="32">
        <f>IF($A1356=1,IF(Supplier_Invoices!$S30="","",Supplier_Invoices!$S30),"")</f>
        <v/>
      </c>
      <c r="AD1356" s="32">
        <f>IF($A1356=1,IF(Supplier_Invoices!$T30="","",Supplier_Invoices!$T30),"")</f>
        <v/>
      </c>
      <c r="AE1356" s="32">
        <f>IF($A1356=1,0,"")</f>
        <v/>
      </c>
      <c r="AF1356" s="32" t="inlineStr"/>
    </row>
    <row r="1357">
      <c r="A1357" s="32">
        <f>IF(AND(Supplier_Invoices!$AD30=1,Supplier_Invoices!$L30&lt;&gt;"",Supplier_Invoices!$V30&lt;&gt;"CN",N(Supplier_Invoices!$W30)&gt;0),1,0)</f>
        <v/>
      </c>
      <c r="B1357" s="32">
        <f>IF($A1357=1,$E1357&amp;"/4","")</f>
        <v/>
      </c>
      <c r="C1357" s="32">
        <f>IF($A1357=1,"J-"&amp;Supplier_Invoices!$A30,"")</f>
        <v/>
      </c>
      <c r="D1357" s="33">
        <f>IF($A1357=1,Supplier_Invoices!$E30,"")</f>
        <v/>
      </c>
      <c r="E1357" s="32">
        <f>IF($A1357=1,IF(Supplier_Invoices!$A30="","",Supplier_Invoices!$A30),"")</f>
        <v/>
      </c>
      <c r="F1357" s="32">
        <f>IF($A1357=1,"SINV","")</f>
        <v/>
      </c>
      <c r="G1357" s="32">
        <f>IF($A1357=1,ACC_SUPPLIERS,"")</f>
        <v/>
      </c>
      <c r="H1357" s="32">
        <f>IF($A1357=1,IF(COUNTIF(COA!$A:$A,$G1357)=0,"حساب غير معرف",INDEX(COA!$B:$B,MATCH($G1357,COA!$A:$A,0))),"")</f>
        <v/>
      </c>
      <c r="I1357" s="32">
        <f>IF($A1357=1,IF(Supplier_Invoices!$H30="","",Supplier_Invoices!$H30),"")</f>
        <v/>
      </c>
      <c r="J1357" s="32">
        <f>IF($A1357=1,"CC00","")</f>
        <v/>
      </c>
      <c r="K1357" s="32">
        <f>IF($A1357=1,IF(Supplier_Invoices!$C30="","",Supplier_Invoices!$C30),"")</f>
        <v/>
      </c>
      <c r="L1357" s="32">
        <f>IF($A1357=1,"سداد فوري - "&amp;Supplier_Invoices!$F30&amp;" "&amp;Supplier_Invoices!$B30&amp;" - "&amp;Supplier_Invoices!$C30,"")</f>
        <v/>
      </c>
      <c r="M1357" s="43">
        <f>IF($A1357=1,Supplier_Invoices!$W30,"")</f>
        <v/>
      </c>
      <c r="N1357" s="43">
        <f>IF($A1357=1,0,"")</f>
        <v/>
      </c>
      <c r="O1357" s="32">
        <f>IF($A1357=1,Supplier_Invoices!$O30,"")</f>
        <v/>
      </c>
      <c r="P1357" s="32">
        <f>IF($A1357=1,IF(Supplier_Invoices!$AE30="","",Supplier_Invoices!$AE30),"")</f>
        <v/>
      </c>
      <c r="Q1357" s="32">
        <f>IF($A1357=1,Supplier_Invoices!$AG30,"")</f>
        <v/>
      </c>
      <c r="R1357" s="32">
        <f>IF($A1357=1,IF(AND($Q1357=1,COUNTIFS(COA!$A:$A,$G1357,COA!$R:$R,1)=1),1,0),"")</f>
        <v/>
      </c>
      <c r="S1357" s="43">
        <f>IF($A1357=1,IF($R1357=1,N($M1357),0),"")</f>
        <v/>
      </c>
      <c r="T1357" s="43">
        <f>IF($A1357=1,IF($R1357=1,N($N1357),0),"")</f>
        <v/>
      </c>
      <c r="U1357" s="32">
        <f>IF($A1357=1,YEAR($D1357)*100+MONTH($D1357),"")</f>
        <v/>
      </c>
      <c r="V1357" s="32">
        <f>IF($A1357=1,IF(COUNTIF(COA!$A:$A,$G1357)=0,0,INDEX(COA!$H:$H,MATCH($G1357,COA!$A:$A,0))),"")</f>
        <v/>
      </c>
      <c r="W1357" s="32">
        <f>IF($A1357=1,"","")</f>
        <v/>
      </c>
      <c r="X1357" s="32">
        <f>IF($A1357=1,IF($R1357=1,"",IF($O1357=ST_POST,IF($P1357&lt;&gt;"",$P1357,"حساب غير صالح أو غير نشط"),IF($O1357=ST_REV,"معكوس: لا أثر على الدفاتر",IF($O1357=ST_CANC,"ملغى",IF($O1357=ST_APPR,"معتمد ولم يُرحَّل","مسودة"))))),"")</f>
        <v/>
      </c>
      <c r="Y1357" s="32">
        <f>IF($A1357=1,IF(AND($R1357=1,OR(LG_Acct="",$G1357=LG_Acct),OR(LG_Party="",$K1357=LG_Party),OR(LG_Loc="ALL",$I1357=LG_Loc),OR(LG_CC="ALL",$J1357=LG_CC),$D1357&gt;=LG_From,$D1357&lt;=LG_To),$D1357+ROW()/1000000,""),"")</f>
        <v/>
      </c>
      <c r="Z1357" s="32">
        <f>IF($A1357=1,IF(Supplier_Invoices!$P30="","",Supplier_Invoices!$P30),"")</f>
        <v/>
      </c>
      <c r="AA1357" s="32">
        <f>IF($A1357=1,IF(Supplier_Invoices!$Q30="","",Supplier_Invoices!$Q30),"")</f>
        <v/>
      </c>
      <c r="AB1357" s="32">
        <f>IF($A1357=1,IF(Supplier_Invoices!$R30="","",Supplier_Invoices!$R30),"")</f>
        <v/>
      </c>
      <c r="AC1357" s="32">
        <f>IF($A1357=1,IF(Supplier_Invoices!$S30="","",Supplier_Invoices!$S30),"")</f>
        <v/>
      </c>
      <c r="AD1357" s="32">
        <f>IF($A1357=1,IF(Supplier_Invoices!$T30="","",Supplier_Invoices!$T30),"")</f>
        <v/>
      </c>
      <c r="AE1357" s="32">
        <f>IF($A1357=1,0,"")</f>
        <v/>
      </c>
      <c r="AF1357" s="32" t="inlineStr"/>
    </row>
    <row r="1358">
      <c r="A1358" s="32">
        <f>IF(AND(Supplier_Invoices!$AD30=1,Supplier_Invoices!$L30&lt;&gt;"",Supplier_Invoices!$V30&lt;&gt;"CN",N(Supplier_Invoices!$W30)&gt;0),1,0)</f>
        <v/>
      </c>
      <c r="B1358" s="32">
        <f>IF($A1358=1,$E1358&amp;"/5","")</f>
        <v/>
      </c>
      <c r="C1358" s="32">
        <f>IF($A1358=1,"J-"&amp;Supplier_Invoices!$A30,"")</f>
        <v/>
      </c>
      <c r="D1358" s="33">
        <f>IF($A1358=1,Supplier_Invoices!$E30,"")</f>
        <v/>
      </c>
      <c r="E1358" s="32">
        <f>IF($A1358=1,IF(Supplier_Invoices!$A30="","",Supplier_Invoices!$A30),"")</f>
        <v/>
      </c>
      <c r="F1358" s="32">
        <f>IF($A1358=1,"SINV","")</f>
        <v/>
      </c>
      <c r="G1358" s="32">
        <f>IF($A1358=1,IF(Supplier_Invoices!$AA30="","",Supplier_Invoices!$AA30),"")</f>
        <v/>
      </c>
      <c r="H1358" s="32">
        <f>IF($A1358=1,IF(COUNTIF(COA!$A:$A,$G1358)=0,"حساب غير معرف",INDEX(COA!$B:$B,MATCH($G1358,COA!$A:$A,0))),"")</f>
        <v/>
      </c>
      <c r="I1358" s="32">
        <f>IF($A1358=1,IF(Supplier_Invoices!$H30="","",Supplier_Invoices!$H30),"")</f>
        <v/>
      </c>
      <c r="J1358" s="32">
        <f>IF($A1358=1,"CC00","")</f>
        <v/>
      </c>
      <c r="K1358" s="32">
        <f>IF($A1358=1,"-","")</f>
        <v/>
      </c>
      <c r="L1358" s="32">
        <f>IF($A1358=1,"سداد فوري - "&amp;Supplier_Invoices!$F30&amp;" "&amp;Supplier_Invoices!$B30&amp;" - "&amp;Supplier_Invoices!$C30,"")</f>
        <v/>
      </c>
      <c r="M1358" s="43">
        <f>IF($A1358=1,0,"")</f>
        <v/>
      </c>
      <c r="N1358" s="43">
        <f>IF($A1358=1,Supplier_Invoices!$W30,"")</f>
        <v/>
      </c>
      <c r="O1358" s="32">
        <f>IF($A1358=1,Supplier_Invoices!$O30,"")</f>
        <v/>
      </c>
      <c r="P1358" s="32">
        <f>IF($A1358=1,IF(Supplier_Invoices!$AE30="","",Supplier_Invoices!$AE30),"")</f>
        <v/>
      </c>
      <c r="Q1358" s="32">
        <f>IF($A1358=1,Supplier_Invoices!$AG30,"")</f>
        <v/>
      </c>
      <c r="R1358" s="32">
        <f>IF($A1358=1,IF(AND($Q1358=1,COUNTIFS(COA!$A:$A,$G1358,COA!$R:$R,1)=1),1,0),"")</f>
        <v/>
      </c>
      <c r="S1358" s="43">
        <f>IF($A1358=1,IF($R1358=1,N($M1358),0),"")</f>
        <v/>
      </c>
      <c r="T1358" s="43">
        <f>IF($A1358=1,IF($R1358=1,N($N1358),0),"")</f>
        <v/>
      </c>
      <c r="U1358" s="32">
        <f>IF($A1358=1,YEAR($D1358)*100+MONTH($D1358),"")</f>
        <v/>
      </c>
      <c r="V1358" s="32">
        <f>IF($A1358=1,IF(COUNTIF(COA!$A:$A,$G1358)=0,0,INDEX(COA!$H:$H,MATCH($G1358,COA!$A:$A,0))),"")</f>
        <v/>
      </c>
      <c r="W1358" s="32">
        <f>IF($A1358=1,IF(Supplier_Invoices!$AB30="","",Supplier_Invoices!$AB30),"")</f>
        <v/>
      </c>
      <c r="X1358" s="32">
        <f>IF($A1358=1,IF($R1358=1,"",IF($O1358=ST_POST,IF($P1358&lt;&gt;"",$P1358,"حساب غير صالح أو غير نشط"),IF($O1358=ST_REV,"معكوس: لا أثر على الدفاتر",IF($O1358=ST_CANC,"ملغى",IF($O1358=ST_APPR,"معتمد ولم يُرحَّل","مسودة"))))),"")</f>
        <v/>
      </c>
      <c r="Y1358" s="32">
        <f>IF($A1358=1,IF(AND($R1358=1,OR(LG_Acct="",$G1358=LG_Acct),OR(LG_Party="",$K1358=LG_Party),OR(LG_Loc="ALL",$I1358=LG_Loc),OR(LG_CC="ALL",$J1358=LG_CC),$D1358&gt;=LG_From,$D1358&lt;=LG_To),$D1358+ROW()/1000000,""),"")</f>
        <v/>
      </c>
      <c r="Z1358" s="32">
        <f>IF($A1358=1,IF(Supplier_Invoices!$P30="","",Supplier_Invoices!$P30),"")</f>
        <v/>
      </c>
      <c r="AA1358" s="32">
        <f>IF($A1358=1,IF(Supplier_Invoices!$Q30="","",Supplier_Invoices!$Q30),"")</f>
        <v/>
      </c>
      <c r="AB1358" s="32">
        <f>IF($A1358=1,IF(Supplier_Invoices!$R30="","",Supplier_Invoices!$R30),"")</f>
        <v/>
      </c>
      <c r="AC1358" s="32">
        <f>IF($A1358=1,IF(Supplier_Invoices!$S30="","",Supplier_Invoices!$S30),"")</f>
        <v/>
      </c>
      <c r="AD1358" s="32">
        <f>IF($A1358=1,IF(Supplier_Invoices!$T30="","",Supplier_Invoices!$T30),"")</f>
        <v/>
      </c>
      <c r="AE1358" s="32">
        <f>IF($A1358=1,0,"")</f>
        <v/>
      </c>
      <c r="AF1358" s="32" t="inlineStr"/>
    </row>
    <row r="1359">
      <c r="A1359" s="32">
        <f>IF(AND(Supplier_Invoices!$AD31=1,N(Supplier_Invoices!$J31)&gt;0),1,0)</f>
        <v/>
      </c>
      <c r="B1359" s="32">
        <f>IF($A1359=1,$E1359&amp;"/1","")</f>
        <v/>
      </c>
      <c r="C1359" s="32">
        <f>IF($A1359=1,"J-"&amp;Supplier_Invoices!$A31,"")</f>
        <v/>
      </c>
      <c r="D1359" s="33">
        <f>IF($A1359=1,Supplier_Invoices!$E31,"")</f>
        <v/>
      </c>
      <c r="E1359" s="32">
        <f>IF($A1359=1,IF(Supplier_Invoices!$A31="","",Supplier_Invoices!$A31),"")</f>
        <v/>
      </c>
      <c r="F1359" s="32">
        <f>IF($A1359=1,"SINV","")</f>
        <v/>
      </c>
      <c r="G1359" s="32">
        <f>IF($A1359=1,IF(Supplier_Invoices!$G31="","",Supplier_Invoices!$G31),"")</f>
        <v/>
      </c>
      <c r="H1359" s="32">
        <f>IF($A1359=1,IF(COUNTIF(COA!$A:$A,$G1359)=0,"حساب غير معرف",INDEX(COA!$B:$B,MATCH($G1359,COA!$A:$A,0))),"")</f>
        <v/>
      </c>
      <c r="I1359" s="32">
        <f>IF($A1359=1,IF(Supplier_Invoices!$H31="","",Supplier_Invoices!$H31),"")</f>
        <v/>
      </c>
      <c r="J1359" s="32">
        <f>IF($A1359=1,IF(Supplier_Invoices!$I31="","",Supplier_Invoices!$I31),"")</f>
        <v/>
      </c>
      <c r="K1359" s="32">
        <f>IF($A1359=1,"-","")</f>
        <v/>
      </c>
      <c r="L1359" s="32">
        <f>IF($A1359=1,Supplier_Invoices!$F31&amp;" "&amp;Supplier_Invoices!$B31&amp;" - "&amp;Supplier_Invoices!$C31,"")</f>
        <v/>
      </c>
      <c r="M1359" s="43">
        <f>IF($A1359=1,IF(Supplier_Invoices!$V31="CN",0,Supplier_Invoices!$J31),"")</f>
        <v/>
      </c>
      <c r="N1359" s="43">
        <f>IF($A1359=1,IF(Supplier_Invoices!$V31="CN",Supplier_Invoices!$J31,0),"")</f>
        <v/>
      </c>
      <c r="O1359" s="32">
        <f>IF($A1359=1,Supplier_Invoices!$O31,"")</f>
        <v/>
      </c>
      <c r="P1359" s="32">
        <f>IF($A1359=1,IF(Supplier_Invoices!$AE31="","",Supplier_Invoices!$AE31),"")</f>
        <v/>
      </c>
      <c r="Q1359" s="32">
        <f>IF($A1359=1,Supplier_Invoices!$AG31,"")</f>
        <v/>
      </c>
      <c r="R1359" s="32">
        <f>IF($A1359=1,IF(AND($Q1359=1,COUNTIFS(COA!$A:$A,$G1359,COA!$R:$R,1)=1),1,0),"")</f>
        <v/>
      </c>
      <c r="S1359" s="43">
        <f>IF($A1359=1,IF($R1359=1,N($M1359),0),"")</f>
        <v/>
      </c>
      <c r="T1359" s="43">
        <f>IF($A1359=1,IF($R1359=1,N($N1359),0),"")</f>
        <v/>
      </c>
      <c r="U1359" s="32">
        <f>IF($A1359=1,YEAR($D1359)*100+MONTH($D1359),"")</f>
        <v/>
      </c>
      <c r="V1359" s="32">
        <f>IF($A1359=1,IF(COUNTIF(COA!$A:$A,$G1359)=0,0,INDEX(COA!$H:$H,MATCH($G1359,COA!$A:$A,0))),"")</f>
        <v/>
      </c>
      <c r="W1359" s="32">
        <f>IF($A1359=1,"","")</f>
        <v/>
      </c>
      <c r="X1359" s="32">
        <f>IF($A1359=1,IF($R1359=1,"",IF($O1359=ST_POST,IF($P1359&lt;&gt;"",$P1359,"حساب غير صالح أو غير نشط"),IF($O1359=ST_REV,"معكوس: لا أثر على الدفاتر",IF($O1359=ST_CANC,"ملغى",IF($O1359=ST_APPR,"معتمد ولم يُرحَّل","مسودة"))))),"")</f>
        <v/>
      </c>
      <c r="Y1359" s="32">
        <f>IF($A1359=1,IF(AND($R1359=1,OR(LG_Acct="",$G1359=LG_Acct),OR(LG_Party="",$K1359=LG_Party),OR(LG_Loc="ALL",$I1359=LG_Loc),OR(LG_CC="ALL",$J1359=LG_CC),$D1359&gt;=LG_From,$D1359&lt;=LG_To),$D1359+ROW()/1000000,""),"")</f>
        <v/>
      </c>
      <c r="Z1359" s="32">
        <f>IF($A1359=1,IF(Supplier_Invoices!$P31="","",Supplier_Invoices!$P31),"")</f>
        <v/>
      </c>
      <c r="AA1359" s="32">
        <f>IF($A1359=1,IF(Supplier_Invoices!$Q31="","",Supplier_Invoices!$Q31),"")</f>
        <v/>
      </c>
      <c r="AB1359" s="32">
        <f>IF($A1359=1,IF(Supplier_Invoices!$R31="","",Supplier_Invoices!$R31),"")</f>
        <v/>
      </c>
      <c r="AC1359" s="32">
        <f>IF($A1359=1,IF(Supplier_Invoices!$S31="","",Supplier_Invoices!$S31),"")</f>
        <v/>
      </c>
      <c r="AD1359" s="32">
        <f>IF($A1359=1,IF(Supplier_Invoices!$T31="","",Supplier_Invoices!$T31),"")</f>
        <v/>
      </c>
      <c r="AE1359" s="32">
        <f>IF($A1359=1,0,"")</f>
        <v/>
      </c>
      <c r="AF1359" s="32" t="inlineStr"/>
    </row>
    <row r="1360">
      <c r="A1360" s="32">
        <f>IF(AND(Supplier_Invoices!$AD31=1,N(Supplier_Invoices!$K31)&gt;0),1,0)</f>
        <v/>
      </c>
      <c r="B1360" s="32">
        <f>IF($A1360=1,$E1360&amp;"/2","")</f>
        <v/>
      </c>
      <c r="C1360" s="32">
        <f>IF($A1360=1,"J-"&amp;Supplier_Invoices!$A31,"")</f>
        <v/>
      </c>
      <c r="D1360" s="33">
        <f>IF($A1360=1,Supplier_Invoices!$E31,"")</f>
        <v/>
      </c>
      <c r="E1360" s="32">
        <f>IF($A1360=1,IF(Supplier_Invoices!$A31="","",Supplier_Invoices!$A31),"")</f>
        <v/>
      </c>
      <c r="F1360" s="32">
        <f>IF($A1360=1,"SINV","")</f>
        <v/>
      </c>
      <c r="G1360" s="32">
        <f>IF($A1360=1,ACC_VAT_IN,"")</f>
        <v/>
      </c>
      <c r="H1360" s="32">
        <f>IF($A1360=1,IF(COUNTIF(COA!$A:$A,$G1360)=0,"حساب غير معرف",INDEX(COA!$B:$B,MATCH($G1360,COA!$A:$A,0))),"")</f>
        <v/>
      </c>
      <c r="I1360" s="32">
        <f>IF($A1360=1,IF(Supplier_Invoices!$H31="","",Supplier_Invoices!$H31),"")</f>
        <v/>
      </c>
      <c r="J1360" s="32">
        <f>IF($A1360=1,IF(Supplier_Invoices!$I31="","",Supplier_Invoices!$I31),"")</f>
        <v/>
      </c>
      <c r="K1360" s="32">
        <f>IF($A1360=1,"-","")</f>
        <v/>
      </c>
      <c r="L1360" s="32">
        <f>IF($A1360=1,"ضريبة قيمة مضافة - مدخلات","")</f>
        <v/>
      </c>
      <c r="M1360" s="43">
        <f>IF($A1360=1,IF(Supplier_Invoices!$V31="CN",0,Supplier_Invoices!$K31),"")</f>
        <v/>
      </c>
      <c r="N1360" s="43">
        <f>IF($A1360=1,IF(Supplier_Invoices!$V31="CN",Supplier_Invoices!$K31,0),"")</f>
        <v/>
      </c>
      <c r="O1360" s="32">
        <f>IF($A1360=1,Supplier_Invoices!$O31,"")</f>
        <v/>
      </c>
      <c r="P1360" s="32">
        <f>IF($A1360=1,IF(Supplier_Invoices!$AE31="","",Supplier_Invoices!$AE31),"")</f>
        <v/>
      </c>
      <c r="Q1360" s="32">
        <f>IF($A1360=1,Supplier_Invoices!$AG31,"")</f>
        <v/>
      </c>
      <c r="R1360" s="32">
        <f>IF($A1360=1,IF(AND($Q1360=1,COUNTIFS(COA!$A:$A,$G1360,COA!$R:$R,1)=1),1,0),"")</f>
        <v/>
      </c>
      <c r="S1360" s="43">
        <f>IF($A1360=1,IF($R1360=1,N($M1360),0),"")</f>
        <v/>
      </c>
      <c r="T1360" s="43">
        <f>IF($A1360=1,IF($R1360=1,N($N1360),0),"")</f>
        <v/>
      </c>
      <c r="U1360" s="32">
        <f>IF($A1360=1,YEAR($D1360)*100+MONTH($D1360),"")</f>
        <v/>
      </c>
      <c r="V1360" s="32">
        <f>IF($A1360=1,IF(COUNTIF(COA!$A:$A,$G1360)=0,0,INDEX(COA!$H:$H,MATCH($G1360,COA!$A:$A,0))),"")</f>
        <v/>
      </c>
      <c r="W1360" s="32">
        <f>IF($A1360=1,"","")</f>
        <v/>
      </c>
      <c r="X1360" s="32">
        <f>IF($A1360=1,IF($R1360=1,"",IF($O1360=ST_POST,IF($P1360&lt;&gt;"",$P1360,"حساب غير صالح أو غير نشط"),IF($O1360=ST_REV,"معكوس: لا أثر على الدفاتر",IF($O1360=ST_CANC,"ملغى",IF($O1360=ST_APPR,"معتمد ولم يُرحَّل","مسودة"))))),"")</f>
        <v/>
      </c>
      <c r="Y1360" s="32">
        <f>IF($A1360=1,IF(AND($R1360=1,OR(LG_Acct="",$G1360=LG_Acct),OR(LG_Party="",$K1360=LG_Party),OR(LG_Loc="ALL",$I1360=LG_Loc),OR(LG_CC="ALL",$J1360=LG_CC),$D1360&gt;=LG_From,$D1360&lt;=LG_To),$D1360+ROW()/1000000,""),"")</f>
        <v/>
      </c>
      <c r="Z1360" s="32">
        <f>IF($A1360=1,IF(Supplier_Invoices!$P31="","",Supplier_Invoices!$P31),"")</f>
        <v/>
      </c>
      <c r="AA1360" s="32">
        <f>IF($A1360=1,IF(Supplier_Invoices!$Q31="","",Supplier_Invoices!$Q31),"")</f>
        <v/>
      </c>
      <c r="AB1360" s="32">
        <f>IF($A1360=1,IF(Supplier_Invoices!$R31="","",Supplier_Invoices!$R31),"")</f>
        <v/>
      </c>
      <c r="AC1360" s="32">
        <f>IF($A1360=1,IF(Supplier_Invoices!$S31="","",Supplier_Invoices!$S31),"")</f>
        <v/>
      </c>
      <c r="AD1360" s="32">
        <f>IF($A1360=1,IF(Supplier_Invoices!$T31="","",Supplier_Invoices!$T31),"")</f>
        <v/>
      </c>
      <c r="AE1360" s="32">
        <f>IF($A1360=1,0,"")</f>
        <v/>
      </c>
      <c r="AF1360" s="32" t="inlineStr"/>
    </row>
    <row r="1361">
      <c r="A1361" s="32">
        <f>IF(AND(Supplier_Invoices!$AD31=1,N(Supplier_Invoices!$W31)&gt;0),1,0)</f>
        <v/>
      </c>
      <c r="B1361" s="32">
        <f>IF($A1361=1,$E1361&amp;"/3","")</f>
        <v/>
      </c>
      <c r="C1361" s="32">
        <f>IF($A1361=1,"J-"&amp;Supplier_Invoices!$A31,"")</f>
        <v/>
      </c>
      <c r="D1361" s="33">
        <f>IF($A1361=1,Supplier_Invoices!$E31,"")</f>
        <v/>
      </c>
      <c r="E1361" s="32">
        <f>IF($A1361=1,IF(Supplier_Invoices!$A31="","",Supplier_Invoices!$A31),"")</f>
        <v/>
      </c>
      <c r="F1361" s="32">
        <f>IF($A1361=1,"SINV","")</f>
        <v/>
      </c>
      <c r="G1361" s="32">
        <f>IF($A1361=1,ACC_SUPPLIERS,"")</f>
        <v/>
      </c>
      <c r="H1361" s="32">
        <f>IF($A1361=1,IF(COUNTIF(COA!$A:$A,$G1361)=0,"حساب غير معرف",INDEX(COA!$B:$B,MATCH($G1361,COA!$A:$A,0))),"")</f>
        <v/>
      </c>
      <c r="I1361" s="32">
        <f>IF($A1361=1,IF(Supplier_Invoices!$H31="","",Supplier_Invoices!$H31),"")</f>
        <v/>
      </c>
      <c r="J1361" s="32">
        <f>IF($A1361=1,"CC00","")</f>
        <v/>
      </c>
      <c r="K1361" s="32">
        <f>IF($A1361=1,IF(Supplier_Invoices!$C31="","",Supplier_Invoices!$C31),"")</f>
        <v/>
      </c>
      <c r="L1361" s="32">
        <f>IF($A1361=1,Supplier_Invoices!$F31&amp;" "&amp;Supplier_Invoices!$B31&amp;" - "&amp;Supplier_Invoices!$C31,"")</f>
        <v/>
      </c>
      <c r="M1361" s="43">
        <f>IF($A1361=1,IF(Supplier_Invoices!$V31="CN",Supplier_Invoices!$W31,0),"")</f>
        <v/>
      </c>
      <c r="N1361" s="43">
        <f>IF($A1361=1,IF(Supplier_Invoices!$V31="CN",0,Supplier_Invoices!$W31),"")</f>
        <v/>
      </c>
      <c r="O1361" s="32">
        <f>IF($A1361=1,Supplier_Invoices!$O31,"")</f>
        <v/>
      </c>
      <c r="P1361" s="32">
        <f>IF($A1361=1,IF(Supplier_Invoices!$AE31="","",Supplier_Invoices!$AE31),"")</f>
        <v/>
      </c>
      <c r="Q1361" s="32">
        <f>IF($A1361=1,Supplier_Invoices!$AG31,"")</f>
        <v/>
      </c>
      <c r="R1361" s="32">
        <f>IF($A1361=1,IF(AND($Q1361=1,COUNTIFS(COA!$A:$A,$G1361,COA!$R:$R,1)=1),1,0),"")</f>
        <v/>
      </c>
      <c r="S1361" s="43">
        <f>IF($A1361=1,IF($R1361=1,N($M1361),0),"")</f>
        <v/>
      </c>
      <c r="T1361" s="43">
        <f>IF($A1361=1,IF($R1361=1,N($N1361),0),"")</f>
        <v/>
      </c>
      <c r="U1361" s="32">
        <f>IF($A1361=1,YEAR($D1361)*100+MONTH($D1361),"")</f>
        <v/>
      </c>
      <c r="V1361" s="32">
        <f>IF($A1361=1,IF(COUNTIF(COA!$A:$A,$G1361)=0,0,INDEX(COA!$H:$H,MATCH($G1361,COA!$A:$A,0))),"")</f>
        <v/>
      </c>
      <c r="W1361" s="32">
        <f>IF($A1361=1,"","")</f>
        <v/>
      </c>
      <c r="X1361" s="32">
        <f>IF($A1361=1,IF($R1361=1,"",IF($O1361=ST_POST,IF($P1361&lt;&gt;"",$P1361,"حساب غير صالح أو غير نشط"),IF($O1361=ST_REV,"معكوس: لا أثر على الدفاتر",IF($O1361=ST_CANC,"ملغى",IF($O1361=ST_APPR,"معتمد ولم يُرحَّل","مسودة"))))),"")</f>
        <v/>
      </c>
      <c r="Y1361" s="32">
        <f>IF($A1361=1,IF(AND($R1361=1,OR(LG_Acct="",$G1361=LG_Acct),OR(LG_Party="",$K1361=LG_Party),OR(LG_Loc="ALL",$I1361=LG_Loc),OR(LG_CC="ALL",$J1361=LG_CC),$D1361&gt;=LG_From,$D1361&lt;=LG_To),$D1361+ROW()/1000000,""),"")</f>
        <v/>
      </c>
      <c r="Z1361" s="32">
        <f>IF($A1361=1,IF(Supplier_Invoices!$P31="","",Supplier_Invoices!$P31),"")</f>
        <v/>
      </c>
      <c r="AA1361" s="32">
        <f>IF($A1361=1,IF(Supplier_Invoices!$Q31="","",Supplier_Invoices!$Q31),"")</f>
        <v/>
      </c>
      <c r="AB1361" s="32">
        <f>IF($A1361=1,IF(Supplier_Invoices!$R31="","",Supplier_Invoices!$R31),"")</f>
        <v/>
      </c>
      <c r="AC1361" s="32">
        <f>IF($A1361=1,IF(Supplier_Invoices!$S31="","",Supplier_Invoices!$S31),"")</f>
        <v/>
      </c>
      <c r="AD1361" s="32">
        <f>IF($A1361=1,IF(Supplier_Invoices!$T31="","",Supplier_Invoices!$T31),"")</f>
        <v/>
      </c>
      <c r="AE1361" s="32">
        <f>IF($A1361=1,0,"")</f>
        <v/>
      </c>
      <c r="AF1361" s="32" t="inlineStr"/>
    </row>
    <row r="1362">
      <c r="A1362" s="32">
        <f>IF(AND(Supplier_Invoices!$AD31=1,Supplier_Invoices!$L31&lt;&gt;"",Supplier_Invoices!$V31&lt;&gt;"CN",N(Supplier_Invoices!$W31)&gt;0),1,0)</f>
        <v/>
      </c>
      <c r="B1362" s="32">
        <f>IF($A1362=1,$E1362&amp;"/4","")</f>
        <v/>
      </c>
      <c r="C1362" s="32">
        <f>IF($A1362=1,"J-"&amp;Supplier_Invoices!$A31,"")</f>
        <v/>
      </c>
      <c r="D1362" s="33">
        <f>IF($A1362=1,Supplier_Invoices!$E31,"")</f>
        <v/>
      </c>
      <c r="E1362" s="32">
        <f>IF($A1362=1,IF(Supplier_Invoices!$A31="","",Supplier_Invoices!$A31),"")</f>
        <v/>
      </c>
      <c r="F1362" s="32">
        <f>IF($A1362=1,"SINV","")</f>
        <v/>
      </c>
      <c r="G1362" s="32">
        <f>IF($A1362=1,ACC_SUPPLIERS,"")</f>
        <v/>
      </c>
      <c r="H1362" s="32">
        <f>IF($A1362=1,IF(COUNTIF(COA!$A:$A,$G1362)=0,"حساب غير معرف",INDEX(COA!$B:$B,MATCH($G1362,COA!$A:$A,0))),"")</f>
        <v/>
      </c>
      <c r="I1362" s="32">
        <f>IF($A1362=1,IF(Supplier_Invoices!$H31="","",Supplier_Invoices!$H31),"")</f>
        <v/>
      </c>
      <c r="J1362" s="32">
        <f>IF($A1362=1,"CC00","")</f>
        <v/>
      </c>
      <c r="K1362" s="32">
        <f>IF($A1362=1,IF(Supplier_Invoices!$C31="","",Supplier_Invoices!$C31),"")</f>
        <v/>
      </c>
      <c r="L1362" s="32">
        <f>IF($A1362=1,"سداد فوري - "&amp;Supplier_Invoices!$F31&amp;" "&amp;Supplier_Invoices!$B31&amp;" - "&amp;Supplier_Invoices!$C31,"")</f>
        <v/>
      </c>
      <c r="M1362" s="43">
        <f>IF($A1362=1,Supplier_Invoices!$W31,"")</f>
        <v/>
      </c>
      <c r="N1362" s="43">
        <f>IF($A1362=1,0,"")</f>
        <v/>
      </c>
      <c r="O1362" s="32">
        <f>IF($A1362=1,Supplier_Invoices!$O31,"")</f>
        <v/>
      </c>
      <c r="P1362" s="32">
        <f>IF($A1362=1,IF(Supplier_Invoices!$AE31="","",Supplier_Invoices!$AE31),"")</f>
        <v/>
      </c>
      <c r="Q1362" s="32">
        <f>IF($A1362=1,Supplier_Invoices!$AG31,"")</f>
        <v/>
      </c>
      <c r="R1362" s="32">
        <f>IF($A1362=1,IF(AND($Q1362=1,COUNTIFS(COA!$A:$A,$G1362,COA!$R:$R,1)=1),1,0),"")</f>
        <v/>
      </c>
      <c r="S1362" s="43">
        <f>IF($A1362=1,IF($R1362=1,N($M1362),0),"")</f>
        <v/>
      </c>
      <c r="T1362" s="43">
        <f>IF($A1362=1,IF($R1362=1,N($N1362),0),"")</f>
        <v/>
      </c>
      <c r="U1362" s="32">
        <f>IF($A1362=1,YEAR($D1362)*100+MONTH($D1362),"")</f>
        <v/>
      </c>
      <c r="V1362" s="32">
        <f>IF($A1362=1,IF(COUNTIF(COA!$A:$A,$G1362)=0,0,INDEX(COA!$H:$H,MATCH($G1362,COA!$A:$A,0))),"")</f>
        <v/>
      </c>
      <c r="W1362" s="32">
        <f>IF($A1362=1,"","")</f>
        <v/>
      </c>
      <c r="X1362" s="32">
        <f>IF($A1362=1,IF($R1362=1,"",IF($O1362=ST_POST,IF($P1362&lt;&gt;"",$P1362,"حساب غير صالح أو غير نشط"),IF($O1362=ST_REV,"معكوس: لا أثر على الدفاتر",IF($O1362=ST_CANC,"ملغى",IF($O1362=ST_APPR,"معتمد ولم يُرحَّل","مسودة"))))),"")</f>
        <v/>
      </c>
      <c r="Y1362" s="32">
        <f>IF($A1362=1,IF(AND($R1362=1,OR(LG_Acct="",$G1362=LG_Acct),OR(LG_Party="",$K1362=LG_Party),OR(LG_Loc="ALL",$I1362=LG_Loc),OR(LG_CC="ALL",$J1362=LG_CC),$D1362&gt;=LG_From,$D1362&lt;=LG_To),$D1362+ROW()/1000000,""),"")</f>
        <v/>
      </c>
      <c r="Z1362" s="32">
        <f>IF($A1362=1,IF(Supplier_Invoices!$P31="","",Supplier_Invoices!$P31),"")</f>
        <v/>
      </c>
      <c r="AA1362" s="32">
        <f>IF($A1362=1,IF(Supplier_Invoices!$Q31="","",Supplier_Invoices!$Q31),"")</f>
        <v/>
      </c>
      <c r="AB1362" s="32">
        <f>IF($A1362=1,IF(Supplier_Invoices!$R31="","",Supplier_Invoices!$R31),"")</f>
        <v/>
      </c>
      <c r="AC1362" s="32">
        <f>IF($A1362=1,IF(Supplier_Invoices!$S31="","",Supplier_Invoices!$S31),"")</f>
        <v/>
      </c>
      <c r="AD1362" s="32">
        <f>IF($A1362=1,IF(Supplier_Invoices!$T31="","",Supplier_Invoices!$T31),"")</f>
        <v/>
      </c>
      <c r="AE1362" s="32">
        <f>IF($A1362=1,0,"")</f>
        <v/>
      </c>
      <c r="AF1362" s="32" t="inlineStr"/>
    </row>
    <row r="1363">
      <c r="A1363" s="32">
        <f>IF(AND(Supplier_Invoices!$AD31=1,Supplier_Invoices!$L31&lt;&gt;"",Supplier_Invoices!$V31&lt;&gt;"CN",N(Supplier_Invoices!$W31)&gt;0),1,0)</f>
        <v/>
      </c>
      <c r="B1363" s="32">
        <f>IF($A1363=1,$E1363&amp;"/5","")</f>
        <v/>
      </c>
      <c r="C1363" s="32">
        <f>IF($A1363=1,"J-"&amp;Supplier_Invoices!$A31,"")</f>
        <v/>
      </c>
      <c r="D1363" s="33">
        <f>IF($A1363=1,Supplier_Invoices!$E31,"")</f>
        <v/>
      </c>
      <c r="E1363" s="32">
        <f>IF($A1363=1,IF(Supplier_Invoices!$A31="","",Supplier_Invoices!$A31),"")</f>
        <v/>
      </c>
      <c r="F1363" s="32">
        <f>IF($A1363=1,"SINV","")</f>
        <v/>
      </c>
      <c r="G1363" s="32">
        <f>IF($A1363=1,IF(Supplier_Invoices!$AA31="","",Supplier_Invoices!$AA31),"")</f>
        <v/>
      </c>
      <c r="H1363" s="32">
        <f>IF($A1363=1,IF(COUNTIF(COA!$A:$A,$G1363)=0,"حساب غير معرف",INDEX(COA!$B:$B,MATCH($G1363,COA!$A:$A,0))),"")</f>
        <v/>
      </c>
      <c r="I1363" s="32">
        <f>IF($A1363=1,IF(Supplier_Invoices!$H31="","",Supplier_Invoices!$H31),"")</f>
        <v/>
      </c>
      <c r="J1363" s="32">
        <f>IF($A1363=1,"CC00","")</f>
        <v/>
      </c>
      <c r="K1363" s="32">
        <f>IF($A1363=1,"-","")</f>
        <v/>
      </c>
      <c r="L1363" s="32">
        <f>IF($A1363=1,"سداد فوري - "&amp;Supplier_Invoices!$F31&amp;" "&amp;Supplier_Invoices!$B31&amp;" - "&amp;Supplier_Invoices!$C31,"")</f>
        <v/>
      </c>
      <c r="M1363" s="43">
        <f>IF($A1363=1,0,"")</f>
        <v/>
      </c>
      <c r="N1363" s="43">
        <f>IF($A1363=1,Supplier_Invoices!$W31,"")</f>
        <v/>
      </c>
      <c r="O1363" s="32">
        <f>IF($A1363=1,Supplier_Invoices!$O31,"")</f>
        <v/>
      </c>
      <c r="P1363" s="32">
        <f>IF($A1363=1,IF(Supplier_Invoices!$AE31="","",Supplier_Invoices!$AE31),"")</f>
        <v/>
      </c>
      <c r="Q1363" s="32">
        <f>IF($A1363=1,Supplier_Invoices!$AG31,"")</f>
        <v/>
      </c>
      <c r="R1363" s="32">
        <f>IF($A1363=1,IF(AND($Q1363=1,COUNTIFS(COA!$A:$A,$G1363,COA!$R:$R,1)=1),1,0),"")</f>
        <v/>
      </c>
      <c r="S1363" s="43">
        <f>IF($A1363=1,IF($R1363=1,N($M1363),0),"")</f>
        <v/>
      </c>
      <c r="T1363" s="43">
        <f>IF($A1363=1,IF($R1363=1,N($N1363),0),"")</f>
        <v/>
      </c>
      <c r="U1363" s="32">
        <f>IF($A1363=1,YEAR($D1363)*100+MONTH($D1363),"")</f>
        <v/>
      </c>
      <c r="V1363" s="32">
        <f>IF($A1363=1,IF(COUNTIF(COA!$A:$A,$G1363)=0,0,INDEX(COA!$H:$H,MATCH($G1363,COA!$A:$A,0))),"")</f>
        <v/>
      </c>
      <c r="W1363" s="32">
        <f>IF($A1363=1,IF(Supplier_Invoices!$AB31="","",Supplier_Invoices!$AB31),"")</f>
        <v/>
      </c>
      <c r="X1363" s="32">
        <f>IF($A1363=1,IF($R1363=1,"",IF($O1363=ST_POST,IF($P1363&lt;&gt;"",$P1363,"حساب غير صالح أو غير نشط"),IF($O1363=ST_REV,"معكوس: لا أثر على الدفاتر",IF($O1363=ST_CANC,"ملغى",IF($O1363=ST_APPR,"معتمد ولم يُرحَّل","مسودة"))))),"")</f>
        <v/>
      </c>
      <c r="Y1363" s="32">
        <f>IF($A1363=1,IF(AND($R1363=1,OR(LG_Acct="",$G1363=LG_Acct),OR(LG_Party="",$K1363=LG_Party),OR(LG_Loc="ALL",$I1363=LG_Loc),OR(LG_CC="ALL",$J1363=LG_CC),$D1363&gt;=LG_From,$D1363&lt;=LG_To),$D1363+ROW()/1000000,""),"")</f>
        <v/>
      </c>
      <c r="Z1363" s="32">
        <f>IF($A1363=1,IF(Supplier_Invoices!$P31="","",Supplier_Invoices!$P31),"")</f>
        <v/>
      </c>
      <c r="AA1363" s="32">
        <f>IF($A1363=1,IF(Supplier_Invoices!$Q31="","",Supplier_Invoices!$Q31),"")</f>
        <v/>
      </c>
      <c r="AB1363" s="32">
        <f>IF($A1363=1,IF(Supplier_Invoices!$R31="","",Supplier_Invoices!$R31),"")</f>
        <v/>
      </c>
      <c r="AC1363" s="32">
        <f>IF($A1363=1,IF(Supplier_Invoices!$S31="","",Supplier_Invoices!$S31),"")</f>
        <v/>
      </c>
      <c r="AD1363" s="32">
        <f>IF($A1363=1,IF(Supplier_Invoices!$T31="","",Supplier_Invoices!$T31),"")</f>
        <v/>
      </c>
      <c r="AE1363" s="32">
        <f>IF($A1363=1,0,"")</f>
        <v/>
      </c>
      <c r="AF1363" s="32" t="inlineStr"/>
    </row>
    <row r="1364">
      <c r="A1364" s="32">
        <f>IF(AND(Supplier_Invoices!$AD32=1,N(Supplier_Invoices!$J32)&gt;0),1,0)</f>
        <v/>
      </c>
      <c r="B1364" s="32">
        <f>IF($A1364=1,$E1364&amp;"/1","")</f>
        <v/>
      </c>
      <c r="C1364" s="32">
        <f>IF($A1364=1,"J-"&amp;Supplier_Invoices!$A32,"")</f>
        <v/>
      </c>
      <c r="D1364" s="33">
        <f>IF($A1364=1,Supplier_Invoices!$E32,"")</f>
        <v/>
      </c>
      <c r="E1364" s="32">
        <f>IF($A1364=1,IF(Supplier_Invoices!$A32="","",Supplier_Invoices!$A32),"")</f>
        <v/>
      </c>
      <c r="F1364" s="32">
        <f>IF($A1364=1,"SINV","")</f>
        <v/>
      </c>
      <c r="G1364" s="32">
        <f>IF($A1364=1,IF(Supplier_Invoices!$G32="","",Supplier_Invoices!$G32),"")</f>
        <v/>
      </c>
      <c r="H1364" s="32">
        <f>IF($A1364=1,IF(COUNTIF(COA!$A:$A,$G1364)=0,"حساب غير معرف",INDEX(COA!$B:$B,MATCH($G1364,COA!$A:$A,0))),"")</f>
        <v/>
      </c>
      <c r="I1364" s="32">
        <f>IF($A1364=1,IF(Supplier_Invoices!$H32="","",Supplier_Invoices!$H32),"")</f>
        <v/>
      </c>
      <c r="J1364" s="32">
        <f>IF($A1364=1,IF(Supplier_Invoices!$I32="","",Supplier_Invoices!$I32),"")</f>
        <v/>
      </c>
      <c r="K1364" s="32">
        <f>IF($A1364=1,"-","")</f>
        <v/>
      </c>
      <c r="L1364" s="32">
        <f>IF($A1364=1,Supplier_Invoices!$F32&amp;" "&amp;Supplier_Invoices!$B32&amp;" - "&amp;Supplier_Invoices!$C32,"")</f>
        <v/>
      </c>
      <c r="M1364" s="43">
        <f>IF($A1364=1,IF(Supplier_Invoices!$V32="CN",0,Supplier_Invoices!$J32),"")</f>
        <v/>
      </c>
      <c r="N1364" s="43">
        <f>IF($A1364=1,IF(Supplier_Invoices!$V32="CN",Supplier_Invoices!$J32,0),"")</f>
        <v/>
      </c>
      <c r="O1364" s="32">
        <f>IF($A1364=1,Supplier_Invoices!$O32,"")</f>
        <v/>
      </c>
      <c r="P1364" s="32">
        <f>IF($A1364=1,IF(Supplier_Invoices!$AE32="","",Supplier_Invoices!$AE32),"")</f>
        <v/>
      </c>
      <c r="Q1364" s="32">
        <f>IF($A1364=1,Supplier_Invoices!$AG32,"")</f>
        <v/>
      </c>
      <c r="R1364" s="32">
        <f>IF($A1364=1,IF(AND($Q1364=1,COUNTIFS(COA!$A:$A,$G1364,COA!$R:$R,1)=1),1,0),"")</f>
        <v/>
      </c>
      <c r="S1364" s="43">
        <f>IF($A1364=1,IF($R1364=1,N($M1364),0),"")</f>
        <v/>
      </c>
      <c r="T1364" s="43">
        <f>IF($A1364=1,IF($R1364=1,N($N1364),0),"")</f>
        <v/>
      </c>
      <c r="U1364" s="32">
        <f>IF($A1364=1,YEAR($D1364)*100+MONTH($D1364),"")</f>
        <v/>
      </c>
      <c r="V1364" s="32">
        <f>IF($A1364=1,IF(COUNTIF(COA!$A:$A,$G1364)=0,0,INDEX(COA!$H:$H,MATCH($G1364,COA!$A:$A,0))),"")</f>
        <v/>
      </c>
      <c r="W1364" s="32">
        <f>IF($A1364=1,"","")</f>
        <v/>
      </c>
      <c r="X1364" s="32">
        <f>IF($A1364=1,IF($R1364=1,"",IF($O1364=ST_POST,IF($P1364&lt;&gt;"",$P1364,"حساب غير صالح أو غير نشط"),IF($O1364=ST_REV,"معكوس: لا أثر على الدفاتر",IF($O1364=ST_CANC,"ملغى",IF($O1364=ST_APPR,"معتمد ولم يُرحَّل","مسودة"))))),"")</f>
        <v/>
      </c>
      <c r="Y1364" s="32">
        <f>IF($A1364=1,IF(AND($R1364=1,OR(LG_Acct="",$G1364=LG_Acct),OR(LG_Party="",$K1364=LG_Party),OR(LG_Loc="ALL",$I1364=LG_Loc),OR(LG_CC="ALL",$J1364=LG_CC),$D1364&gt;=LG_From,$D1364&lt;=LG_To),$D1364+ROW()/1000000,""),"")</f>
        <v/>
      </c>
      <c r="Z1364" s="32">
        <f>IF($A1364=1,IF(Supplier_Invoices!$P32="","",Supplier_Invoices!$P32),"")</f>
        <v/>
      </c>
      <c r="AA1364" s="32">
        <f>IF($A1364=1,IF(Supplier_Invoices!$Q32="","",Supplier_Invoices!$Q32),"")</f>
        <v/>
      </c>
      <c r="AB1364" s="32">
        <f>IF($A1364=1,IF(Supplier_Invoices!$R32="","",Supplier_Invoices!$R32),"")</f>
        <v/>
      </c>
      <c r="AC1364" s="32">
        <f>IF($A1364=1,IF(Supplier_Invoices!$S32="","",Supplier_Invoices!$S32),"")</f>
        <v/>
      </c>
      <c r="AD1364" s="32">
        <f>IF($A1364=1,IF(Supplier_Invoices!$T32="","",Supplier_Invoices!$T32),"")</f>
        <v/>
      </c>
      <c r="AE1364" s="32">
        <f>IF($A1364=1,0,"")</f>
        <v/>
      </c>
      <c r="AF1364" s="32" t="inlineStr"/>
    </row>
    <row r="1365">
      <c r="A1365" s="32">
        <f>IF(AND(Supplier_Invoices!$AD32=1,N(Supplier_Invoices!$K32)&gt;0),1,0)</f>
        <v/>
      </c>
      <c r="B1365" s="32">
        <f>IF($A1365=1,$E1365&amp;"/2","")</f>
        <v/>
      </c>
      <c r="C1365" s="32">
        <f>IF($A1365=1,"J-"&amp;Supplier_Invoices!$A32,"")</f>
        <v/>
      </c>
      <c r="D1365" s="33">
        <f>IF($A1365=1,Supplier_Invoices!$E32,"")</f>
        <v/>
      </c>
      <c r="E1365" s="32">
        <f>IF($A1365=1,IF(Supplier_Invoices!$A32="","",Supplier_Invoices!$A32),"")</f>
        <v/>
      </c>
      <c r="F1365" s="32">
        <f>IF($A1365=1,"SINV","")</f>
        <v/>
      </c>
      <c r="G1365" s="32">
        <f>IF($A1365=1,ACC_VAT_IN,"")</f>
        <v/>
      </c>
      <c r="H1365" s="32">
        <f>IF($A1365=1,IF(COUNTIF(COA!$A:$A,$G1365)=0,"حساب غير معرف",INDEX(COA!$B:$B,MATCH($G1365,COA!$A:$A,0))),"")</f>
        <v/>
      </c>
      <c r="I1365" s="32">
        <f>IF($A1365=1,IF(Supplier_Invoices!$H32="","",Supplier_Invoices!$H32),"")</f>
        <v/>
      </c>
      <c r="J1365" s="32">
        <f>IF($A1365=1,IF(Supplier_Invoices!$I32="","",Supplier_Invoices!$I32),"")</f>
        <v/>
      </c>
      <c r="K1365" s="32">
        <f>IF($A1365=1,"-","")</f>
        <v/>
      </c>
      <c r="L1365" s="32">
        <f>IF($A1365=1,"ضريبة قيمة مضافة - مدخلات","")</f>
        <v/>
      </c>
      <c r="M1365" s="43">
        <f>IF($A1365=1,IF(Supplier_Invoices!$V32="CN",0,Supplier_Invoices!$K32),"")</f>
        <v/>
      </c>
      <c r="N1365" s="43">
        <f>IF($A1365=1,IF(Supplier_Invoices!$V32="CN",Supplier_Invoices!$K32,0),"")</f>
        <v/>
      </c>
      <c r="O1365" s="32">
        <f>IF($A1365=1,Supplier_Invoices!$O32,"")</f>
        <v/>
      </c>
      <c r="P1365" s="32">
        <f>IF($A1365=1,IF(Supplier_Invoices!$AE32="","",Supplier_Invoices!$AE32),"")</f>
        <v/>
      </c>
      <c r="Q1365" s="32">
        <f>IF($A1365=1,Supplier_Invoices!$AG32,"")</f>
        <v/>
      </c>
      <c r="R1365" s="32">
        <f>IF($A1365=1,IF(AND($Q1365=1,COUNTIFS(COA!$A:$A,$G1365,COA!$R:$R,1)=1),1,0),"")</f>
        <v/>
      </c>
      <c r="S1365" s="43">
        <f>IF($A1365=1,IF($R1365=1,N($M1365),0),"")</f>
        <v/>
      </c>
      <c r="T1365" s="43">
        <f>IF($A1365=1,IF($R1365=1,N($N1365),0),"")</f>
        <v/>
      </c>
      <c r="U1365" s="32">
        <f>IF($A1365=1,YEAR($D1365)*100+MONTH($D1365),"")</f>
        <v/>
      </c>
      <c r="V1365" s="32">
        <f>IF($A1365=1,IF(COUNTIF(COA!$A:$A,$G1365)=0,0,INDEX(COA!$H:$H,MATCH($G1365,COA!$A:$A,0))),"")</f>
        <v/>
      </c>
      <c r="W1365" s="32">
        <f>IF($A1365=1,"","")</f>
        <v/>
      </c>
      <c r="X1365" s="32">
        <f>IF($A1365=1,IF($R1365=1,"",IF($O1365=ST_POST,IF($P1365&lt;&gt;"",$P1365,"حساب غير صالح أو غير نشط"),IF($O1365=ST_REV,"معكوس: لا أثر على الدفاتر",IF($O1365=ST_CANC,"ملغى",IF($O1365=ST_APPR,"معتمد ولم يُرحَّل","مسودة"))))),"")</f>
        <v/>
      </c>
      <c r="Y1365" s="32">
        <f>IF($A1365=1,IF(AND($R1365=1,OR(LG_Acct="",$G1365=LG_Acct),OR(LG_Party="",$K1365=LG_Party),OR(LG_Loc="ALL",$I1365=LG_Loc),OR(LG_CC="ALL",$J1365=LG_CC),$D1365&gt;=LG_From,$D1365&lt;=LG_To),$D1365+ROW()/1000000,""),"")</f>
        <v/>
      </c>
      <c r="Z1365" s="32">
        <f>IF($A1365=1,IF(Supplier_Invoices!$P32="","",Supplier_Invoices!$P32),"")</f>
        <v/>
      </c>
      <c r="AA1365" s="32">
        <f>IF($A1365=1,IF(Supplier_Invoices!$Q32="","",Supplier_Invoices!$Q32),"")</f>
        <v/>
      </c>
      <c r="AB1365" s="32">
        <f>IF($A1365=1,IF(Supplier_Invoices!$R32="","",Supplier_Invoices!$R32),"")</f>
        <v/>
      </c>
      <c r="AC1365" s="32">
        <f>IF($A1365=1,IF(Supplier_Invoices!$S32="","",Supplier_Invoices!$S32),"")</f>
        <v/>
      </c>
      <c r="AD1365" s="32">
        <f>IF($A1365=1,IF(Supplier_Invoices!$T32="","",Supplier_Invoices!$T32),"")</f>
        <v/>
      </c>
      <c r="AE1365" s="32">
        <f>IF($A1365=1,0,"")</f>
        <v/>
      </c>
      <c r="AF1365" s="32" t="inlineStr"/>
    </row>
    <row r="1366">
      <c r="A1366" s="32">
        <f>IF(AND(Supplier_Invoices!$AD32=1,N(Supplier_Invoices!$W32)&gt;0),1,0)</f>
        <v/>
      </c>
      <c r="B1366" s="32">
        <f>IF($A1366=1,$E1366&amp;"/3","")</f>
        <v/>
      </c>
      <c r="C1366" s="32">
        <f>IF($A1366=1,"J-"&amp;Supplier_Invoices!$A32,"")</f>
        <v/>
      </c>
      <c r="D1366" s="33">
        <f>IF($A1366=1,Supplier_Invoices!$E32,"")</f>
        <v/>
      </c>
      <c r="E1366" s="32">
        <f>IF($A1366=1,IF(Supplier_Invoices!$A32="","",Supplier_Invoices!$A32),"")</f>
        <v/>
      </c>
      <c r="F1366" s="32">
        <f>IF($A1366=1,"SINV","")</f>
        <v/>
      </c>
      <c r="G1366" s="32">
        <f>IF($A1366=1,ACC_SUPPLIERS,"")</f>
        <v/>
      </c>
      <c r="H1366" s="32">
        <f>IF($A1366=1,IF(COUNTIF(COA!$A:$A,$G1366)=0,"حساب غير معرف",INDEX(COA!$B:$B,MATCH($G1366,COA!$A:$A,0))),"")</f>
        <v/>
      </c>
      <c r="I1366" s="32">
        <f>IF($A1366=1,IF(Supplier_Invoices!$H32="","",Supplier_Invoices!$H32),"")</f>
        <v/>
      </c>
      <c r="J1366" s="32">
        <f>IF($A1366=1,"CC00","")</f>
        <v/>
      </c>
      <c r="K1366" s="32">
        <f>IF($A1366=1,IF(Supplier_Invoices!$C32="","",Supplier_Invoices!$C32),"")</f>
        <v/>
      </c>
      <c r="L1366" s="32">
        <f>IF($A1366=1,Supplier_Invoices!$F32&amp;" "&amp;Supplier_Invoices!$B32&amp;" - "&amp;Supplier_Invoices!$C32,"")</f>
        <v/>
      </c>
      <c r="M1366" s="43">
        <f>IF($A1366=1,IF(Supplier_Invoices!$V32="CN",Supplier_Invoices!$W32,0),"")</f>
        <v/>
      </c>
      <c r="N1366" s="43">
        <f>IF($A1366=1,IF(Supplier_Invoices!$V32="CN",0,Supplier_Invoices!$W32),"")</f>
        <v/>
      </c>
      <c r="O1366" s="32">
        <f>IF($A1366=1,Supplier_Invoices!$O32,"")</f>
        <v/>
      </c>
      <c r="P1366" s="32">
        <f>IF($A1366=1,IF(Supplier_Invoices!$AE32="","",Supplier_Invoices!$AE32),"")</f>
        <v/>
      </c>
      <c r="Q1366" s="32">
        <f>IF($A1366=1,Supplier_Invoices!$AG32,"")</f>
        <v/>
      </c>
      <c r="R1366" s="32">
        <f>IF($A1366=1,IF(AND($Q1366=1,COUNTIFS(COA!$A:$A,$G1366,COA!$R:$R,1)=1),1,0),"")</f>
        <v/>
      </c>
      <c r="S1366" s="43">
        <f>IF($A1366=1,IF($R1366=1,N($M1366),0),"")</f>
        <v/>
      </c>
      <c r="T1366" s="43">
        <f>IF($A1366=1,IF($R1366=1,N($N1366),0),"")</f>
        <v/>
      </c>
      <c r="U1366" s="32">
        <f>IF($A1366=1,YEAR($D1366)*100+MONTH($D1366),"")</f>
        <v/>
      </c>
      <c r="V1366" s="32">
        <f>IF($A1366=1,IF(COUNTIF(COA!$A:$A,$G1366)=0,0,INDEX(COA!$H:$H,MATCH($G1366,COA!$A:$A,0))),"")</f>
        <v/>
      </c>
      <c r="W1366" s="32">
        <f>IF($A1366=1,"","")</f>
        <v/>
      </c>
      <c r="X1366" s="32">
        <f>IF($A1366=1,IF($R1366=1,"",IF($O1366=ST_POST,IF($P1366&lt;&gt;"",$P1366,"حساب غير صالح أو غير نشط"),IF($O1366=ST_REV,"معكوس: لا أثر على الدفاتر",IF($O1366=ST_CANC,"ملغى",IF($O1366=ST_APPR,"معتمد ولم يُرحَّل","مسودة"))))),"")</f>
        <v/>
      </c>
      <c r="Y1366" s="32">
        <f>IF($A1366=1,IF(AND($R1366=1,OR(LG_Acct="",$G1366=LG_Acct),OR(LG_Party="",$K1366=LG_Party),OR(LG_Loc="ALL",$I1366=LG_Loc),OR(LG_CC="ALL",$J1366=LG_CC),$D1366&gt;=LG_From,$D1366&lt;=LG_To),$D1366+ROW()/1000000,""),"")</f>
        <v/>
      </c>
      <c r="Z1366" s="32">
        <f>IF($A1366=1,IF(Supplier_Invoices!$P32="","",Supplier_Invoices!$P32),"")</f>
        <v/>
      </c>
      <c r="AA1366" s="32">
        <f>IF($A1366=1,IF(Supplier_Invoices!$Q32="","",Supplier_Invoices!$Q32),"")</f>
        <v/>
      </c>
      <c r="AB1366" s="32">
        <f>IF($A1366=1,IF(Supplier_Invoices!$R32="","",Supplier_Invoices!$R32),"")</f>
        <v/>
      </c>
      <c r="AC1366" s="32">
        <f>IF($A1366=1,IF(Supplier_Invoices!$S32="","",Supplier_Invoices!$S32),"")</f>
        <v/>
      </c>
      <c r="AD1366" s="32">
        <f>IF($A1366=1,IF(Supplier_Invoices!$T32="","",Supplier_Invoices!$T32),"")</f>
        <v/>
      </c>
      <c r="AE1366" s="32">
        <f>IF($A1366=1,0,"")</f>
        <v/>
      </c>
      <c r="AF1366" s="32" t="inlineStr"/>
    </row>
    <row r="1367">
      <c r="A1367" s="32">
        <f>IF(AND(Supplier_Invoices!$AD32=1,Supplier_Invoices!$L32&lt;&gt;"",Supplier_Invoices!$V32&lt;&gt;"CN",N(Supplier_Invoices!$W32)&gt;0),1,0)</f>
        <v/>
      </c>
      <c r="B1367" s="32">
        <f>IF($A1367=1,$E1367&amp;"/4","")</f>
        <v/>
      </c>
      <c r="C1367" s="32">
        <f>IF($A1367=1,"J-"&amp;Supplier_Invoices!$A32,"")</f>
        <v/>
      </c>
      <c r="D1367" s="33">
        <f>IF($A1367=1,Supplier_Invoices!$E32,"")</f>
        <v/>
      </c>
      <c r="E1367" s="32">
        <f>IF($A1367=1,IF(Supplier_Invoices!$A32="","",Supplier_Invoices!$A32),"")</f>
        <v/>
      </c>
      <c r="F1367" s="32">
        <f>IF($A1367=1,"SINV","")</f>
        <v/>
      </c>
      <c r="G1367" s="32">
        <f>IF($A1367=1,ACC_SUPPLIERS,"")</f>
        <v/>
      </c>
      <c r="H1367" s="32">
        <f>IF($A1367=1,IF(COUNTIF(COA!$A:$A,$G1367)=0,"حساب غير معرف",INDEX(COA!$B:$B,MATCH($G1367,COA!$A:$A,0))),"")</f>
        <v/>
      </c>
      <c r="I1367" s="32">
        <f>IF($A1367=1,IF(Supplier_Invoices!$H32="","",Supplier_Invoices!$H32),"")</f>
        <v/>
      </c>
      <c r="J1367" s="32">
        <f>IF($A1367=1,"CC00","")</f>
        <v/>
      </c>
      <c r="K1367" s="32">
        <f>IF($A1367=1,IF(Supplier_Invoices!$C32="","",Supplier_Invoices!$C32),"")</f>
        <v/>
      </c>
      <c r="L1367" s="32">
        <f>IF($A1367=1,"سداد فوري - "&amp;Supplier_Invoices!$F32&amp;" "&amp;Supplier_Invoices!$B32&amp;" - "&amp;Supplier_Invoices!$C32,"")</f>
        <v/>
      </c>
      <c r="M1367" s="43">
        <f>IF($A1367=1,Supplier_Invoices!$W32,"")</f>
        <v/>
      </c>
      <c r="N1367" s="43">
        <f>IF($A1367=1,0,"")</f>
        <v/>
      </c>
      <c r="O1367" s="32">
        <f>IF($A1367=1,Supplier_Invoices!$O32,"")</f>
        <v/>
      </c>
      <c r="P1367" s="32">
        <f>IF($A1367=1,IF(Supplier_Invoices!$AE32="","",Supplier_Invoices!$AE32),"")</f>
        <v/>
      </c>
      <c r="Q1367" s="32">
        <f>IF($A1367=1,Supplier_Invoices!$AG32,"")</f>
        <v/>
      </c>
      <c r="R1367" s="32">
        <f>IF($A1367=1,IF(AND($Q1367=1,COUNTIFS(COA!$A:$A,$G1367,COA!$R:$R,1)=1),1,0),"")</f>
        <v/>
      </c>
      <c r="S1367" s="43">
        <f>IF($A1367=1,IF($R1367=1,N($M1367),0),"")</f>
        <v/>
      </c>
      <c r="T1367" s="43">
        <f>IF($A1367=1,IF($R1367=1,N($N1367),0),"")</f>
        <v/>
      </c>
      <c r="U1367" s="32">
        <f>IF($A1367=1,YEAR($D1367)*100+MONTH($D1367),"")</f>
        <v/>
      </c>
      <c r="V1367" s="32">
        <f>IF($A1367=1,IF(COUNTIF(COA!$A:$A,$G1367)=0,0,INDEX(COA!$H:$H,MATCH($G1367,COA!$A:$A,0))),"")</f>
        <v/>
      </c>
      <c r="W1367" s="32">
        <f>IF($A1367=1,"","")</f>
        <v/>
      </c>
      <c r="X1367" s="32">
        <f>IF($A1367=1,IF($R1367=1,"",IF($O1367=ST_POST,IF($P1367&lt;&gt;"",$P1367,"حساب غير صالح أو غير نشط"),IF($O1367=ST_REV,"معكوس: لا أثر على الدفاتر",IF($O1367=ST_CANC,"ملغى",IF($O1367=ST_APPR,"معتمد ولم يُرحَّل","مسودة"))))),"")</f>
        <v/>
      </c>
      <c r="Y1367" s="32">
        <f>IF($A1367=1,IF(AND($R1367=1,OR(LG_Acct="",$G1367=LG_Acct),OR(LG_Party="",$K1367=LG_Party),OR(LG_Loc="ALL",$I1367=LG_Loc),OR(LG_CC="ALL",$J1367=LG_CC),$D1367&gt;=LG_From,$D1367&lt;=LG_To),$D1367+ROW()/1000000,""),"")</f>
        <v/>
      </c>
      <c r="Z1367" s="32">
        <f>IF($A1367=1,IF(Supplier_Invoices!$P32="","",Supplier_Invoices!$P32),"")</f>
        <v/>
      </c>
      <c r="AA1367" s="32">
        <f>IF($A1367=1,IF(Supplier_Invoices!$Q32="","",Supplier_Invoices!$Q32),"")</f>
        <v/>
      </c>
      <c r="AB1367" s="32">
        <f>IF($A1367=1,IF(Supplier_Invoices!$R32="","",Supplier_Invoices!$R32),"")</f>
        <v/>
      </c>
      <c r="AC1367" s="32">
        <f>IF($A1367=1,IF(Supplier_Invoices!$S32="","",Supplier_Invoices!$S32),"")</f>
        <v/>
      </c>
      <c r="AD1367" s="32">
        <f>IF($A1367=1,IF(Supplier_Invoices!$T32="","",Supplier_Invoices!$T32),"")</f>
        <v/>
      </c>
      <c r="AE1367" s="32">
        <f>IF($A1367=1,0,"")</f>
        <v/>
      </c>
      <c r="AF1367" s="32" t="inlineStr"/>
    </row>
    <row r="1368">
      <c r="A1368" s="32">
        <f>IF(AND(Supplier_Invoices!$AD32=1,Supplier_Invoices!$L32&lt;&gt;"",Supplier_Invoices!$V32&lt;&gt;"CN",N(Supplier_Invoices!$W32)&gt;0),1,0)</f>
        <v/>
      </c>
      <c r="B1368" s="32">
        <f>IF($A1368=1,$E1368&amp;"/5","")</f>
        <v/>
      </c>
      <c r="C1368" s="32">
        <f>IF($A1368=1,"J-"&amp;Supplier_Invoices!$A32,"")</f>
        <v/>
      </c>
      <c r="D1368" s="33">
        <f>IF($A1368=1,Supplier_Invoices!$E32,"")</f>
        <v/>
      </c>
      <c r="E1368" s="32">
        <f>IF($A1368=1,IF(Supplier_Invoices!$A32="","",Supplier_Invoices!$A32),"")</f>
        <v/>
      </c>
      <c r="F1368" s="32">
        <f>IF($A1368=1,"SINV","")</f>
        <v/>
      </c>
      <c r="G1368" s="32">
        <f>IF($A1368=1,IF(Supplier_Invoices!$AA32="","",Supplier_Invoices!$AA32),"")</f>
        <v/>
      </c>
      <c r="H1368" s="32">
        <f>IF($A1368=1,IF(COUNTIF(COA!$A:$A,$G1368)=0,"حساب غير معرف",INDEX(COA!$B:$B,MATCH($G1368,COA!$A:$A,0))),"")</f>
        <v/>
      </c>
      <c r="I1368" s="32">
        <f>IF($A1368=1,IF(Supplier_Invoices!$H32="","",Supplier_Invoices!$H32),"")</f>
        <v/>
      </c>
      <c r="J1368" s="32">
        <f>IF($A1368=1,"CC00","")</f>
        <v/>
      </c>
      <c r="K1368" s="32">
        <f>IF($A1368=1,"-","")</f>
        <v/>
      </c>
      <c r="L1368" s="32">
        <f>IF($A1368=1,"سداد فوري - "&amp;Supplier_Invoices!$F32&amp;" "&amp;Supplier_Invoices!$B32&amp;" - "&amp;Supplier_Invoices!$C32,"")</f>
        <v/>
      </c>
      <c r="M1368" s="43">
        <f>IF($A1368=1,0,"")</f>
        <v/>
      </c>
      <c r="N1368" s="43">
        <f>IF($A1368=1,Supplier_Invoices!$W32,"")</f>
        <v/>
      </c>
      <c r="O1368" s="32">
        <f>IF($A1368=1,Supplier_Invoices!$O32,"")</f>
        <v/>
      </c>
      <c r="P1368" s="32">
        <f>IF($A1368=1,IF(Supplier_Invoices!$AE32="","",Supplier_Invoices!$AE32),"")</f>
        <v/>
      </c>
      <c r="Q1368" s="32">
        <f>IF($A1368=1,Supplier_Invoices!$AG32,"")</f>
        <v/>
      </c>
      <c r="R1368" s="32">
        <f>IF($A1368=1,IF(AND($Q1368=1,COUNTIFS(COA!$A:$A,$G1368,COA!$R:$R,1)=1),1,0),"")</f>
        <v/>
      </c>
      <c r="S1368" s="43">
        <f>IF($A1368=1,IF($R1368=1,N($M1368),0),"")</f>
        <v/>
      </c>
      <c r="T1368" s="43">
        <f>IF($A1368=1,IF($R1368=1,N($N1368),0),"")</f>
        <v/>
      </c>
      <c r="U1368" s="32">
        <f>IF($A1368=1,YEAR($D1368)*100+MONTH($D1368),"")</f>
        <v/>
      </c>
      <c r="V1368" s="32">
        <f>IF($A1368=1,IF(COUNTIF(COA!$A:$A,$G1368)=0,0,INDEX(COA!$H:$H,MATCH($G1368,COA!$A:$A,0))),"")</f>
        <v/>
      </c>
      <c r="W1368" s="32">
        <f>IF($A1368=1,IF(Supplier_Invoices!$AB32="","",Supplier_Invoices!$AB32),"")</f>
        <v/>
      </c>
      <c r="X1368" s="32">
        <f>IF($A1368=1,IF($R1368=1,"",IF($O1368=ST_POST,IF($P1368&lt;&gt;"",$P1368,"حساب غير صالح أو غير نشط"),IF($O1368=ST_REV,"معكوس: لا أثر على الدفاتر",IF($O1368=ST_CANC,"ملغى",IF($O1368=ST_APPR,"معتمد ولم يُرحَّل","مسودة"))))),"")</f>
        <v/>
      </c>
      <c r="Y1368" s="32">
        <f>IF($A1368=1,IF(AND($R1368=1,OR(LG_Acct="",$G1368=LG_Acct),OR(LG_Party="",$K1368=LG_Party),OR(LG_Loc="ALL",$I1368=LG_Loc),OR(LG_CC="ALL",$J1368=LG_CC),$D1368&gt;=LG_From,$D1368&lt;=LG_To),$D1368+ROW()/1000000,""),"")</f>
        <v/>
      </c>
      <c r="Z1368" s="32">
        <f>IF($A1368=1,IF(Supplier_Invoices!$P32="","",Supplier_Invoices!$P32),"")</f>
        <v/>
      </c>
      <c r="AA1368" s="32">
        <f>IF($A1368=1,IF(Supplier_Invoices!$Q32="","",Supplier_Invoices!$Q32),"")</f>
        <v/>
      </c>
      <c r="AB1368" s="32">
        <f>IF($A1368=1,IF(Supplier_Invoices!$R32="","",Supplier_Invoices!$R32),"")</f>
        <v/>
      </c>
      <c r="AC1368" s="32">
        <f>IF($A1368=1,IF(Supplier_Invoices!$S32="","",Supplier_Invoices!$S32),"")</f>
        <v/>
      </c>
      <c r="AD1368" s="32">
        <f>IF($A1368=1,IF(Supplier_Invoices!$T32="","",Supplier_Invoices!$T32),"")</f>
        <v/>
      </c>
      <c r="AE1368" s="32">
        <f>IF($A1368=1,0,"")</f>
        <v/>
      </c>
      <c r="AF1368" s="32" t="inlineStr"/>
    </row>
    <row r="1369">
      <c r="A1369" s="32">
        <f>IF(AND(Supplier_Invoices!$AD33=1,N(Supplier_Invoices!$J33)&gt;0),1,0)</f>
        <v/>
      </c>
      <c r="B1369" s="32">
        <f>IF($A1369=1,$E1369&amp;"/1","")</f>
        <v/>
      </c>
      <c r="C1369" s="32">
        <f>IF($A1369=1,"J-"&amp;Supplier_Invoices!$A33,"")</f>
        <v/>
      </c>
      <c r="D1369" s="33">
        <f>IF($A1369=1,Supplier_Invoices!$E33,"")</f>
        <v/>
      </c>
      <c r="E1369" s="32">
        <f>IF($A1369=1,IF(Supplier_Invoices!$A33="","",Supplier_Invoices!$A33),"")</f>
        <v/>
      </c>
      <c r="F1369" s="32">
        <f>IF($A1369=1,"SINV","")</f>
        <v/>
      </c>
      <c r="G1369" s="32">
        <f>IF($A1369=1,IF(Supplier_Invoices!$G33="","",Supplier_Invoices!$G33),"")</f>
        <v/>
      </c>
      <c r="H1369" s="32">
        <f>IF($A1369=1,IF(COUNTIF(COA!$A:$A,$G1369)=0,"حساب غير معرف",INDEX(COA!$B:$B,MATCH($G1369,COA!$A:$A,0))),"")</f>
        <v/>
      </c>
      <c r="I1369" s="32">
        <f>IF($A1369=1,IF(Supplier_Invoices!$H33="","",Supplier_Invoices!$H33),"")</f>
        <v/>
      </c>
      <c r="J1369" s="32">
        <f>IF($A1369=1,IF(Supplier_Invoices!$I33="","",Supplier_Invoices!$I33),"")</f>
        <v/>
      </c>
      <c r="K1369" s="32">
        <f>IF($A1369=1,"-","")</f>
        <v/>
      </c>
      <c r="L1369" s="32">
        <f>IF($A1369=1,Supplier_Invoices!$F33&amp;" "&amp;Supplier_Invoices!$B33&amp;" - "&amp;Supplier_Invoices!$C33,"")</f>
        <v/>
      </c>
      <c r="M1369" s="43">
        <f>IF($A1369=1,IF(Supplier_Invoices!$V33="CN",0,Supplier_Invoices!$J33),"")</f>
        <v/>
      </c>
      <c r="N1369" s="43">
        <f>IF($A1369=1,IF(Supplier_Invoices!$V33="CN",Supplier_Invoices!$J33,0),"")</f>
        <v/>
      </c>
      <c r="O1369" s="32">
        <f>IF($A1369=1,Supplier_Invoices!$O33,"")</f>
        <v/>
      </c>
      <c r="P1369" s="32">
        <f>IF($A1369=1,IF(Supplier_Invoices!$AE33="","",Supplier_Invoices!$AE33),"")</f>
        <v/>
      </c>
      <c r="Q1369" s="32">
        <f>IF($A1369=1,Supplier_Invoices!$AG33,"")</f>
        <v/>
      </c>
      <c r="R1369" s="32">
        <f>IF($A1369=1,IF(AND($Q1369=1,COUNTIFS(COA!$A:$A,$G1369,COA!$R:$R,1)=1),1,0),"")</f>
        <v/>
      </c>
      <c r="S1369" s="43">
        <f>IF($A1369=1,IF($R1369=1,N($M1369),0),"")</f>
        <v/>
      </c>
      <c r="T1369" s="43">
        <f>IF($A1369=1,IF($R1369=1,N($N1369),0),"")</f>
        <v/>
      </c>
      <c r="U1369" s="32">
        <f>IF($A1369=1,YEAR($D1369)*100+MONTH($D1369),"")</f>
        <v/>
      </c>
      <c r="V1369" s="32">
        <f>IF($A1369=1,IF(COUNTIF(COA!$A:$A,$G1369)=0,0,INDEX(COA!$H:$H,MATCH($G1369,COA!$A:$A,0))),"")</f>
        <v/>
      </c>
      <c r="W1369" s="32">
        <f>IF($A1369=1,"","")</f>
        <v/>
      </c>
      <c r="X1369" s="32">
        <f>IF($A1369=1,IF($R1369=1,"",IF($O1369=ST_POST,IF($P1369&lt;&gt;"",$P1369,"حساب غير صالح أو غير نشط"),IF($O1369=ST_REV,"معكوس: لا أثر على الدفاتر",IF($O1369=ST_CANC,"ملغى",IF($O1369=ST_APPR,"معتمد ولم يُرحَّل","مسودة"))))),"")</f>
        <v/>
      </c>
      <c r="Y1369" s="32">
        <f>IF($A1369=1,IF(AND($R1369=1,OR(LG_Acct="",$G1369=LG_Acct),OR(LG_Party="",$K1369=LG_Party),OR(LG_Loc="ALL",$I1369=LG_Loc),OR(LG_CC="ALL",$J1369=LG_CC),$D1369&gt;=LG_From,$D1369&lt;=LG_To),$D1369+ROW()/1000000,""),"")</f>
        <v/>
      </c>
      <c r="Z1369" s="32">
        <f>IF($A1369=1,IF(Supplier_Invoices!$P33="","",Supplier_Invoices!$P33),"")</f>
        <v/>
      </c>
      <c r="AA1369" s="32">
        <f>IF($A1369=1,IF(Supplier_Invoices!$Q33="","",Supplier_Invoices!$Q33),"")</f>
        <v/>
      </c>
      <c r="AB1369" s="32">
        <f>IF($A1369=1,IF(Supplier_Invoices!$R33="","",Supplier_Invoices!$R33),"")</f>
        <v/>
      </c>
      <c r="AC1369" s="32">
        <f>IF($A1369=1,IF(Supplier_Invoices!$S33="","",Supplier_Invoices!$S33),"")</f>
        <v/>
      </c>
      <c r="AD1369" s="32">
        <f>IF($A1369=1,IF(Supplier_Invoices!$T33="","",Supplier_Invoices!$T33),"")</f>
        <v/>
      </c>
      <c r="AE1369" s="32">
        <f>IF($A1369=1,0,"")</f>
        <v/>
      </c>
      <c r="AF1369" s="32" t="inlineStr"/>
    </row>
    <row r="1370">
      <c r="A1370" s="32">
        <f>IF(AND(Supplier_Invoices!$AD33=1,N(Supplier_Invoices!$K33)&gt;0),1,0)</f>
        <v/>
      </c>
      <c r="B1370" s="32">
        <f>IF($A1370=1,$E1370&amp;"/2","")</f>
        <v/>
      </c>
      <c r="C1370" s="32">
        <f>IF($A1370=1,"J-"&amp;Supplier_Invoices!$A33,"")</f>
        <v/>
      </c>
      <c r="D1370" s="33">
        <f>IF($A1370=1,Supplier_Invoices!$E33,"")</f>
        <v/>
      </c>
      <c r="E1370" s="32">
        <f>IF($A1370=1,IF(Supplier_Invoices!$A33="","",Supplier_Invoices!$A33),"")</f>
        <v/>
      </c>
      <c r="F1370" s="32">
        <f>IF($A1370=1,"SINV","")</f>
        <v/>
      </c>
      <c r="G1370" s="32">
        <f>IF($A1370=1,ACC_VAT_IN,"")</f>
        <v/>
      </c>
      <c r="H1370" s="32">
        <f>IF($A1370=1,IF(COUNTIF(COA!$A:$A,$G1370)=0,"حساب غير معرف",INDEX(COA!$B:$B,MATCH($G1370,COA!$A:$A,0))),"")</f>
        <v/>
      </c>
      <c r="I1370" s="32">
        <f>IF($A1370=1,IF(Supplier_Invoices!$H33="","",Supplier_Invoices!$H33),"")</f>
        <v/>
      </c>
      <c r="J1370" s="32">
        <f>IF($A1370=1,IF(Supplier_Invoices!$I33="","",Supplier_Invoices!$I33),"")</f>
        <v/>
      </c>
      <c r="K1370" s="32">
        <f>IF($A1370=1,"-","")</f>
        <v/>
      </c>
      <c r="L1370" s="32">
        <f>IF($A1370=1,"ضريبة قيمة مضافة - مدخلات","")</f>
        <v/>
      </c>
      <c r="M1370" s="43">
        <f>IF($A1370=1,IF(Supplier_Invoices!$V33="CN",0,Supplier_Invoices!$K33),"")</f>
        <v/>
      </c>
      <c r="N1370" s="43">
        <f>IF($A1370=1,IF(Supplier_Invoices!$V33="CN",Supplier_Invoices!$K33,0),"")</f>
        <v/>
      </c>
      <c r="O1370" s="32">
        <f>IF($A1370=1,Supplier_Invoices!$O33,"")</f>
        <v/>
      </c>
      <c r="P1370" s="32">
        <f>IF($A1370=1,IF(Supplier_Invoices!$AE33="","",Supplier_Invoices!$AE33),"")</f>
        <v/>
      </c>
      <c r="Q1370" s="32">
        <f>IF($A1370=1,Supplier_Invoices!$AG33,"")</f>
        <v/>
      </c>
      <c r="R1370" s="32">
        <f>IF($A1370=1,IF(AND($Q1370=1,COUNTIFS(COA!$A:$A,$G1370,COA!$R:$R,1)=1),1,0),"")</f>
        <v/>
      </c>
      <c r="S1370" s="43">
        <f>IF($A1370=1,IF($R1370=1,N($M1370),0),"")</f>
        <v/>
      </c>
      <c r="T1370" s="43">
        <f>IF($A1370=1,IF($R1370=1,N($N1370),0),"")</f>
        <v/>
      </c>
      <c r="U1370" s="32">
        <f>IF($A1370=1,YEAR($D1370)*100+MONTH($D1370),"")</f>
        <v/>
      </c>
      <c r="V1370" s="32">
        <f>IF($A1370=1,IF(COUNTIF(COA!$A:$A,$G1370)=0,0,INDEX(COA!$H:$H,MATCH($G1370,COA!$A:$A,0))),"")</f>
        <v/>
      </c>
      <c r="W1370" s="32">
        <f>IF($A1370=1,"","")</f>
        <v/>
      </c>
      <c r="X1370" s="32">
        <f>IF($A1370=1,IF($R1370=1,"",IF($O1370=ST_POST,IF($P1370&lt;&gt;"",$P1370,"حساب غير صالح أو غير نشط"),IF($O1370=ST_REV,"معكوس: لا أثر على الدفاتر",IF($O1370=ST_CANC,"ملغى",IF($O1370=ST_APPR,"معتمد ولم يُرحَّل","مسودة"))))),"")</f>
        <v/>
      </c>
      <c r="Y1370" s="32">
        <f>IF($A1370=1,IF(AND($R1370=1,OR(LG_Acct="",$G1370=LG_Acct),OR(LG_Party="",$K1370=LG_Party),OR(LG_Loc="ALL",$I1370=LG_Loc),OR(LG_CC="ALL",$J1370=LG_CC),$D1370&gt;=LG_From,$D1370&lt;=LG_To),$D1370+ROW()/1000000,""),"")</f>
        <v/>
      </c>
      <c r="Z1370" s="32">
        <f>IF($A1370=1,IF(Supplier_Invoices!$P33="","",Supplier_Invoices!$P33),"")</f>
        <v/>
      </c>
      <c r="AA1370" s="32">
        <f>IF($A1370=1,IF(Supplier_Invoices!$Q33="","",Supplier_Invoices!$Q33),"")</f>
        <v/>
      </c>
      <c r="AB1370" s="32">
        <f>IF($A1370=1,IF(Supplier_Invoices!$R33="","",Supplier_Invoices!$R33),"")</f>
        <v/>
      </c>
      <c r="AC1370" s="32">
        <f>IF($A1370=1,IF(Supplier_Invoices!$S33="","",Supplier_Invoices!$S33),"")</f>
        <v/>
      </c>
      <c r="AD1370" s="32">
        <f>IF($A1370=1,IF(Supplier_Invoices!$T33="","",Supplier_Invoices!$T33),"")</f>
        <v/>
      </c>
      <c r="AE1370" s="32">
        <f>IF($A1370=1,0,"")</f>
        <v/>
      </c>
      <c r="AF1370" s="32" t="inlineStr"/>
    </row>
    <row r="1371">
      <c r="A1371" s="32">
        <f>IF(AND(Supplier_Invoices!$AD33=1,N(Supplier_Invoices!$W33)&gt;0),1,0)</f>
        <v/>
      </c>
      <c r="B1371" s="32">
        <f>IF($A1371=1,$E1371&amp;"/3","")</f>
        <v/>
      </c>
      <c r="C1371" s="32">
        <f>IF($A1371=1,"J-"&amp;Supplier_Invoices!$A33,"")</f>
        <v/>
      </c>
      <c r="D1371" s="33">
        <f>IF($A1371=1,Supplier_Invoices!$E33,"")</f>
        <v/>
      </c>
      <c r="E1371" s="32">
        <f>IF($A1371=1,IF(Supplier_Invoices!$A33="","",Supplier_Invoices!$A33),"")</f>
        <v/>
      </c>
      <c r="F1371" s="32">
        <f>IF($A1371=1,"SINV","")</f>
        <v/>
      </c>
      <c r="G1371" s="32">
        <f>IF($A1371=1,ACC_SUPPLIERS,"")</f>
        <v/>
      </c>
      <c r="H1371" s="32">
        <f>IF($A1371=1,IF(COUNTIF(COA!$A:$A,$G1371)=0,"حساب غير معرف",INDEX(COA!$B:$B,MATCH($G1371,COA!$A:$A,0))),"")</f>
        <v/>
      </c>
      <c r="I1371" s="32">
        <f>IF($A1371=1,IF(Supplier_Invoices!$H33="","",Supplier_Invoices!$H33),"")</f>
        <v/>
      </c>
      <c r="J1371" s="32">
        <f>IF($A1371=1,"CC00","")</f>
        <v/>
      </c>
      <c r="K1371" s="32">
        <f>IF($A1371=1,IF(Supplier_Invoices!$C33="","",Supplier_Invoices!$C33),"")</f>
        <v/>
      </c>
      <c r="L1371" s="32">
        <f>IF($A1371=1,Supplier_Invoices!$F33&amp;" "&amp;Supplier_Invoices!$B33&amp;" - "&amp;Supplier_Invoices!$C33,"")</f>
        <v/>
      </c>
      <c r="M1371" s="43">
        <f>IF($A1371=1,IF(Supplier_Invoices!$V33="CN",Supplier_Invoices!$W33,0),"")</f>
        <v/>
      </c>
      <c r="N1371" s="43">
        <f>IF($A1371=1,IF(Supplier_Invoices!$V33="CN",0,Supplier_Invoices!$W33),"")</f>
        <v/>
      </c>
      <c r="O1371" s="32">
        <f>IF($A1371=1,Supplier_Invoices!$O33,"")</f>
        <v/>
      </c>
      <c r="P1371" s="32">
        <f>IF($A1371=1,IF(Supplier_Invoices!$AE33="","",Supplier_Invoices!$AE33),"")</f>
        <v/>
      </c>
      <c r="Q1371" s="32">
        <f>IF($A1371=1,Supplier_Invoices!$AG33,"")</f>
        <v/>
      </c>
      <c r="R1371" s="32">
        <f>IF($A1371=1,IF(AND($Q1371=1,COUNTIFS(COA!$A:$A,$G1371,COA!$R:$R,1)=1),1,0),"")</f>
        <v/>
      </c>
      <c r="S1371" s="43">
        <f>IF($A1371=1,IF($R1371=1,N($M1371),0),"")</f>
        <v/>
      </c>
      <c r="T1371" s="43">
        <f>IF($A1371=1,IF($R1371=1,N($N1371),0),"")</f>
        <v/>
      </c>
      <c r="U1371" s="32">
        <f>IF($A1371=1,YEAR($D1371)*100+MONTH($D1371),"")</f>
        <v/>
      </c>
      <c r="V1371" s="32">
        <f>IF($A1371=1,IF(COUNTIF(COA!$A:$A,$G1371)=0,0,INDEX(COA!$H:$H,MATCH($G1371,COA!$A:$A,0))),"")</f>
        <v/>
      </c>
      <c r="W1371" s="32">
        <f>IF($A1371=1,"","")</f>
        <v/>
      </c>
      <c r="X1371" s="32">
        <f>IF($A1371=1,IF($R1371=1,"",IF($O1371=ST_POST,IF($P1371&lt;&gt;"",$P1371,"حساب غير صالح أو غير نشط"),IF($O1371=ST_REV,"معكوس: لا أثر على الدفاتر",IF($O1371=ST_CANC,"ملغى",IF($O1371=ST_APPR,"معتمد ولم يُرحَّل","مسودة"))))),"")</f>
        <v/>
      </c>
      <c r="Y1371" s="32">
        <f>IF($A1371=1,IF(AND($R1371=1,OR(LG_Acct="",$G1371=LG_Acct),OR(LG_Party="",$K1371=LG_Party),OR(LG_Loc="ALL",$I1371=LG_Loc),OR(LG_CC="ALL",$J1371=LG_CC),$D1371&gt;=LG_From,$D1371&lt;=LG_To),$D1371+ROW()/1000000,""),"")</f>
        <v/>
      </c>
      <c r="Z1371" s="32">
        <f>IF($A1371=1,IF(Supplier_Invoices!$P33="","",Supplier_Invoices!$P33),"")</f>
        <v/>
      </c>
      <c r="AA1371" s="32">
        <f>IF($A1371=1,IF(Supplier_Invoices!$Q33="","",Supplier_Invoices!$Q33),"")</f>
        <v/>
      </c>
      <c r="AB1371" s="32">
        <f>IF($A1371=1,IF(Supplier_Invoices!$R33="","",Supplier_Invoices!$R33),"")</f>
        <v/>
      </c>
      <c r="AC1371" s="32">
        <f>IF($A1371=1,IF(Supplier_Invoices!$S33="","",Supplier_Invoices!$S33),"")</f>
        <v/>
      </c>
      <c r="AD1371" s="32">
        <f>IF($A1371=1,IF(Supplier_Invoices!$T33="","",Supplier_Invoices!$T33),"")</f>
        <v/>
      </c>
      <c r="AE1371" s="32">
        <f>IF($A1371=1,0,"")</f>
        <v/>
      </c>
      <c r="AF1371" s="32" t="inlineStr"/>
    </row>
    <row r="1372">
      <c r="A1372" s="32">
        <f>IF(AND(Supplier_Invoices!$AD33=1,Supplier_Invoices!$L33&lt;&gt;"",Supplier_Invoices!$V33&lt;&gt;"CN",N(Supplier_Invoices!$W33)&gt;0),1,0)</f>
        <v/>
      </c>
      <c r="B1372" s="32">
        <f>IF($A1372=1,$E1372&amp;"/4","")</f>
        <v/>
      </c>
      <c r="C1372" s="32">
        <f>IF($A1372=1,"J-"&amp;Supplier_Invoices!$A33,"")</f>
        <v/>
      </c>
      <c r="D1372" s="33">
        <f>IF($A1372=1,Supplier_Invoices!$E33,"")</f>
        <v/>
      </c>
      <c r="E1372" s="32">
        <f>IF($A1372=1,IF(Supplier_Invoices!$A33="","",Supplier_Invoices!$A33),"")</f>
        <v/>
      </c>
      <c r="F1372" s="32">
        <f>IF($A1372=1,"SINV","")</f>
        <v/>
      </c>
      <c r="G1372" s="32">
        <f>IF($A1372=1,ACC_SUPPLIERS,"")</f>
        <v/>
      </c>
      <c r="H1372" s="32">
        <f>IF($A1372=1,IF(COUNTIF(COA!$A:$A,$G1372)=0,"حساب غير معرف",INDEX(COA!$B:$B,MATCH($G1372,COA!$A:$A,0))),"")</f>
        <v/>
      </c>
      <c r="I1372" s="32">
        <f>IF($A1372=1,IF(Supplier_Invoices!$H33="","",Supplier_Invoices!$H33),"")</f>
        <v/>
      </c>
      <c r="J1372" s="32">
        <f>IF($A1372=1,"CC00","")</f>
        <v/>
      </c>
      <c r="K1372" s="32">
        <f>IF($A1372=1,IF(Supplier_Invoices!$C33="","",Supplier_Invoices!$C33),"")</f>
        <v/>
      </c>
      <c r="L1372" s="32">
        <f>IF($A1372=1,"سداد فوري - "&amp;Supplier_Invoices!$F33&amp;" "&amp;Supplier_Invoices!$B33&amp;" - "&amp;Supplier_Invoices!$C33,"")</f>
        <v/>
      </c>
      <c r="M1372" s="43">
        <f>IF($A1372=1,Supplier_Invoices!$W33,"")</f>
        <v/>
      </c>
      <c r="N1372" s="43">
        <f>IF($A1372=1,0,"")</f>
        <v/>
      </c>
      <c r="O1372" s="32">
        <f>IF($A1372=1,Supplier_Invoices!$O33,"")</f>
        <v/>
      </c>
      <c r="P1372" s="32">
        <f>IF($A1372=1,IF(Supplier_Invoices!$AE33="","",Supplier_Invoices!$AE33),"")</f>
        <v/>
      </c>
      <c r="Q1372" s="32">
        <f>IF($A1372=1,Supplier_Invoices!$AG33,"")</f>
        <v/>
      </c>
      <c r="R1372" s="32">
        <f>IF($A1372=1,IF(AND($Q1372=1,COUNTIFS(COA!$A:$A,$G1372,COA!$R:$R,1)=1),1,0),"")</f>
        <v/>
      </c>
      <c r="S1372" s="43">
        <f>IF($A1372=1,IF($R1372=1,N($M1372),0),"")</f>
        <v/>
      </c>
      <c r="T1372" s="43">
        <f>IF($A1372=1,IF($R1372=1,N($N1372),0),"")</f>
        <v/>
      </c>
      <c r="U1372" s="32">
        <f>IF($A1372=1,YEAR($D1372)*100+MONTH($D1372),"")</f>
        <v/>
      </c>
      <c r="V1372" s="32">
        <f>IF($A1372=1,IF(COUNTIF(COA!$A:$A,$G1372)=0,0,INDEX(COA!$H:$H,MATCH($G1372,COA!$A:$A,0))),"")</f>
        <v/>
      </c>
      <c r="W1372" s="32">
        <f>IF($A1372=1,"","")</f>
        <v/>
      </c>
      <c r="X1372" s="32">
        <f>IF($A1372=1,IF($R1372=1,"",IF($O1372=ST_POST,IF($P1372&lt;&gt;"",$P1372,"حساب غير صالح أو غير نشط"),IF($O1372=ST_REV,"معكوس: لا أثر على الدفاتر",IF($O1372=ST_CANC,"ملغى",IF($O1372=ST_APPR,"معتمد ولم يُرحَّل","مسودة"))))),"")</f>
        <v/>
      </c>
      <c r="Y1372" s="32">
        <f>IF($A1372=1,IF(AND($R1372=1,OR(LG_Acct="",$G1372=LG_Acct),OR(LG_Party="",$K1372=LG_Party),OR(LG_Loc="ALL",$I1372=LG_Loc),OR(LG_CC="ALL",$J1372=LG_CC),$D1372&gt;=LG_From,$D1372&lt;=LG_To),$D1372+ROW()/1000000,""),"")</f>
        <v/>
      </c>
      <c r="Z1372" s="32">
        <f>IF($A1372=1,IF(Supplier_Invoices!$P33="","",Supplier_Invoices!$P33),"")</f>
        <v/>
      </c>
      <c r="AA1372" s="32">
        <f>IF($A1372=1,IF(Supplier_Invoices!$Q33="","",Supplier_Invoices!$Q33),"")</f>
        <v/>
      </c>
      <c r="AB1372" s="32">
        <f>IF($A1372=1,IF(Supplier_Invoices!$R33="","",Supplier_Invoices!$R33),"")</f>
        <v/>
      </c>
      <c r="AC1372" s="32">
        <f>IF($A1372=1,IF(Supplier_Invoices!$S33="","",Supplier_Invoices!$S33),"")</f>
        <v/>
      </c>
      <c r="AD1372" s="32">
        <f>IF($A1372=1,IF(Supplier_Invoices!$T33="","",Supplier_Invoices!$T33),"")</f>
        <v/>
      </c>
      <c r="AE1372" s="32">
        <f>IF($A1372=1,0,"")</f>
        <v/>
      </c>
      <c r="AF1372" s="32" t="inlineStr"/>
    </row>
    <row r="1373">
      <c r="A1373" s="32">
        <f>IF(AND(Supplier_Invoices!$AD33=1,Supplier_Invoices!$L33&lt;&gt;"",Supplier_Invoices!$V33&lt;&gt;"CN",N(Supplier_Invoices!$W33)&gt;0),1,0)</f>
        <v/>
      </c>
      <c r="B1373" s="32">
        <f>IF($A1373=1,$E1373&amp;"/5","")</f>
        <v/>
      </c>
      <c r="C1373" s="32">
        <f>IF($A1373=1,"J-"&amp;Supplier_Invoices!$A33,"")</f>
        <v/>
      </c>
      <c r="D1373" s="33">
        <f>IF($A1373=1,Supplier_Invoices!$E33,"")</f>
        <v/>
      </c>
      <c r="E1373" s="32">
        <f>IF($A1373=1,IF(Supplier_Invoices!$A33="","",Supplier_Invoices!$A33),"")</f>
        <v/>
      </c>
      <c r="F1373" s="32">
        <f>IF($A1373=1,"SINV","")</f>
        <v/>
      </c>
      <c r="G1373" s="32">
        <f>IF($A1373=1,IF(Supplier_Invoices!$AA33="","",Supplier_Invoices!$AA33),"")</f>
        <v/>
      </c>
      <c r="H1373" s="32">
        <f>IF($A1373=1,IF(COUNTIF(COA!$A:$A,$G1373)=0,"حساب غير معرف",INDEX(COA!$B:$B,MATCH($G1373,COA!$A:$A,0))),"")</f>
        <v/>
      </c>
      <c r="I1373" s="32">
        <f>IF($A1373=1,IF(Supplier_Invoices!$H33="","",Supplier_Invoices!$H33),"")</f>
        <v/>
      </c>
      <c r="J1373" s="32">
        <f>IF($A1373=1,"CC00","")</f>
        <v/>
      </c>
      <c r="K1373" s="32">
        <f>IF($A1373=1,"-","")</f>
        <v/>
      </c>
      <c r="L1373" s="32">
        <f>IF($A1373=1,"سداد فوري - "&amp;Supplier_Invoices!$F33&amp;" "&amp;Supplier_Invoices!$B33&amp;" - "&amp;Supplier_Invoices!$C33,"")</f>
        <v/>
      </c>
      <c r="M1373" s="43">
        <f>IF($A1373=1,0,"")</f>
        <v/>
      </c>
      <c r="N1373" s="43">
        <f>IF($A1373=1,Supplier_Invoices!$W33,"")</f>
        <v/>
      </c>
      <c r="O1373" s="32">
        <f>IF($A1373=1,Supplier_Invoices!$O33,"")</f>
        <v/>
      </c>
      <c r="P1373" s="32">
        <f>IF($A1373=1,IF(Supplier_Invoices!$AE33="","",Supplier_Invoices!$AE33),"")</f>
        <v/>
      </c>
      <c r="Q1373" s="32">
        <f>IF($A1373=1,Supplier_Invoices!$AG33,"")</f>
        <v/>
      </c>
      <c r="R1373" s="32">
        <f>IF($A1373=1,IF(AND($Q1373=1,COUNTIFS(COA!$A:$A,$G1373,COA!$R:$R,1)=1),1,0),"")</f>
        <v/>
      </c>
      <c r="S1373" s="43">
        <f>IF($A1373=1,IF($R1373=1,N($M1373),0),"")</f>
        <v/>
      </c>
      <c r="T1373" s="43">
        <f>IF($A1373=1,IF($R1373=1,N($N1373),0),"")</f>
        <v/>
      </c>
      <c r="U1373" s="32">
        <f>IF($A1373=1,YEAR($D1373)*100+MONTH($D1373),"")</f>
        <v/>
      </c>
      <c r="V1373" s="32">
        <f>IF($A1373=1,IF(COUNTIF(COA!$A:$A,$G1373)=0,0,INDEX(COA!$H:$H,MATCH($G1373,COA!$A:$A,0))),"")</f>
        <v/>
      </c>
      <c r="W1373" s="32">
        <f>IF($A1373=1,IF(Supplier_Invoices!$AB33="","",Supplier_Invoices!$AB33),"")</f>
        <v/>
      </c>
      <c r="X1373" s="32">
        <f>IF($A1373=1,IF($R1373=1,"",IF($O1373=ST_POST,IF($P1373&lt;&gt;"",$P1373,"حساب غير صالح أو غير نشط"),IF($O1373=ST_REV,"معكوس: لا أثر على الدفاتر",IF($O1373=ST_CANC,"ملغى",IF($O1373=ST_APPR,"معتمد ولم يُرحَّل","مسودة"))))),"")</f>
        <v/>
      </c>
      <c r="Y1373" s="32">
        <f>IF($A1373=1,IF(AND($R1373=1,OR(LG_Acct="",$G1373=LG_Acct),OR(LG_Party="",$K1373=LG_Party),OR(LG_Loc="ALL",$I1373=LG_Loc),OR(LG_CC="ALL",$J1373=LG_CC),$D1373&gt;=LG_From,$D1373&lt;=LG_To),$D1373+ROW()/1000000,""),"")</f>
        <v/>
      </c>
      <c r="Z1373" s="32">
        <f>IF($A1373=1,IF(Supplier_Invoices!$P33="","",Supplier_Invoices!$P33),"")</f>
        <v/>
      </c>
      <c r="AA1373" s="32">
        <f>IF($A1373=1,IF(Supplier_Invoices!$Q33="","",Supplier_Invoices!$Q33),"")</f>
        <v/>
      </c>
      <c r="AB1373" s="32">
        <f>IF($A1373=1,IF(Supplier_Invoices!$R33="","",Supplier_Invoices!$R33),"")</f>
        <v/>
      </c>
      <c r="AC1373" s="32">
        <f>IF($A1373=1,IF(Supplier_Invoices!$S33="","",Supplier_Invoices!$S33),"")</f>
        <v/>
      </c>
      <c r="AD1373" s="32">
        <f>IF($A1373=1,IF(Supplier_Invoices!$T33="","",Supplier_Invoices!$T33),"")</f>
        <v/>
      </c>
      <c r="AE1373" s="32">
        <f>IF($A1373=1,0,"")</f>
        <v/>
      </c>
      <c r="AF1373" s="32" t="inlineStr"/>
    </row>
    <row r="1374">
      <c r="A1374" s="32">
        <f>IF(AND(Supplier_Invoices!$AD34=1,N(Supplier_Invoices!$J34)&gt;0),1,0)</f>
        <v/>
      </c>
      <c r="B1374" s="32">
        <f>IF($A1374=1,$E1374&amp;"/1","")</f>
        <v/>
      </c>
      <c r="C1374" s="32">
        <f>IF($A1374=1,"J-"&amp;Supplier_Invoices!$A34,"")</f>
        <v/>
      </c>
      <c r="D1374" s="33">
        <f>IF($A1374=1,Supplier_Invoices!$E34,"")</f>
        <v/>
      </c>
      <c r="E1374" s="32">
        <f>IF($A1374=1,IF(Supplier_Invoices!$A34="","",Supplier_Invoices!$A34),"")</f>
        <v/>
      </c>
      <c r="F1374" s="32">
        <f>IF($A1374=1,"SINV","")</f>
        <v/>
      </c>
      <c r="G1374" s="32">
        <f>IF($A1374=1,IF(Supplier_Invoices!$G34="","",Supplier_Invoices!$G34),"")</f>
        <v/>
      </c>
      <c r="H1374" s="32">
        <f>IF($A1374=1,IF(COUNTIF(COA!$A:$A,$G1374)=0,"حساب غير معرف",INDEX(COA!$B:$B,MATCH($G1374,COA!$A:$A,0))),"")</f>
        <v/>
      </c>
      <c r="I1374" s="32">
        <f>IF($A1374=1,IF(Supplier_Invoices!$H34="","",Supplier_Invoices!$H34),"")</f>
        <v/>
      </c>
      <c r="J1374" s="32">
        <f>IF($A1374=1,IF(Supplier_Invoices!$I34="","",Supplier_Invoices!$I34),"")</f>
        <v/>
      </c>
      <c r="K1374" s="32">
        <f>IF($A1374=1,"-","")</f>
        <v/>
      </c>
      <c r="L1374" s="32">
        <f>IF($A1374=1,Supplier_Invoices!$F34&amp;" "&amp;Supplier_Invoices!$B34&amp;" - "&amp;Supplier_Invoices!$C34,"")</f>
        <v/>
      </c>
      <c r="M1374" s="43">
        <f>IF($A1374=1,IF(Supplier_Invoices!$V34="CN",0,Supplier_Invoices!$J34),"")</f>
        <v/>
      </c>
      <c r="N1374" s="43">
        <f>IF($A1374=1,IF(Supplier_Invoices!$V34="CN",Supplier_Invoices!$J34,0),"")</f>
        <v/>
      </c>
      <c r="O1374" s="32">
        <f>IF($A1374=1,Supplier_Invoices!$O34,"")</f>
        <v/>
      </c>
      <c r="P1374" s="32">
        <f>IF($A1374=1,IF(Supplier_Invoices!$AE34="","",Supplier_Invoices!$AE34),"")</f>
        <v/>
      </c>
      <c r="Q1374" s="32">
        <f>IF($A1374=1,Supplier_Invoices!$AG34,"")</f>
        <v/>
      </c>
      <c r="R1374" s="32">
        <f>IF($A1374=1,IF(AND($Q1374=1,COUNTIFS(COA!$A:$A,$G1374,COA!$R:$R,1)=1),1,0),"")</f>
        <v/>
      </c>
      <c r="S1374" s="43">
        <f>IF($A1374=1,IF($R1374=1,N($M1374),0),"")</f>
        <v/>
      </c>
      <c r="T1374" s="43">
        <f>IF($A1374=1,IF($R1374=1,N($N1374),0),"")</f>
        <v/>
      </c>
      <c r="U1374" s="32">
        <f>IF($A1374=1,YEAR($D1374)*100+MONTH($D1374),"")</f>
        <v/>
      </c>
      <c r="V1374" s="32">
        <f>IF($A1374=1,IF(COUNTIF(COA!$A:$A,$G1374)=0,0,INDEX(COA!$H:$H,MATCH($G1374,COA!$A:$A,0))),"")</f>
        <v/>
      </c>
      <c r="W1374" s="32">
        <f>IF($A1374=1,"","")</f>
        <v/>
      </c>
      <c r="X1374" s="32">
        <f>IF($A1374=1,IF($R1374=1,"",IF($O1374=ST_POST,IF($P1374&lt;&gt;"",$P1374,"حساب غير صالح أو غير نشط"),IF($O1374=ST_REV,"معكوس: لا أثر على الدفاتر",IF($O1374=ST_CANC,"ملغى",IF($O1374=ST_APPR,"معتمد ولم يُرحَّل","مسودة"))))),"")</f>
        <v/>
      </c>
      <c r="Y1374" s="32">
        <f>IF($A1374=1,IF(AND($R1374=1,OR(LG_Acct="",$G1374=LG_Acct),OR(LG_Party="",$K1374=LG_Party),OR(LG_Loc="ALL",$I1374=LG_Loc),OR(LG_CC="ALL",$J1374=LG_CC),$D1374&gt;=LG_From,$D1374&lt;=LG_To),$D1374+ROW()/1000000,""),"")</f>
        <v/>
      </c>
      <c r="Z1374" s="32">
        <f>IF($A1374=1,IF(Supplier_Invoices!$P34="","",Supplier_Invoices!$P34),"")</f>
        <v/>
      </c>
      <c r="AA1374" s="32">
        <f>IF($A1374=1,IF(Supplier_Invoices!$Q34="","",Supplier_Invoices!$Q34),"")</f>
        <v/>
      </c>
      <c r="AB1374" s="32">
        <f>IF($A1374=1,IF(Supplier_Invoices!$R34="","",Supplier_Invoices!$R34),"")</f>
        <v/>
      </c>
      <c r="AC1374" s="32">
        <f>IF($A1374=1,IF(Supplier_Invoices!$S34="","",Supplier_Invoices!$S34),"")</f>
        <v/>
      </c>
      <c r="AD1374" s="32">
        <f>IF($A1374=1,IF(Supplier_Invoices!$T34="","",Supplier_Invoices!$T34),"")</f>
        <v/>
      </c>
      <c r="AE1374" s="32">
        <f>IF($A1374=1,0,"")</f>
        <v/>
      </c>
      <c r="AF1374" s="32" t="inlineStr"/>
    </row>
    <row r="1375">
      <c r="A1375" s="32">
        <f>IF(AND(Supplier_Invoices!$AD34=1,N(Supplier_Invoices!$K34)&gt;0),1,0)</f>
        <v/>
      </c>
      <c r="B1375" s="32">
        <f>IF($A1375=1,$E1375&amp;"/2","")</f>
        <v/>
      </c>
      <c r="C1375" s="32">
        <f>IF($A1375=1,"J-"&amp;Supplier_Invoices!$A34,"")</f>
        <v/>
      </c>
      <c r="D1375" s="33">
        <f>IF($A1375=1,Supplier_Invoices!$E34,"")</f>
        <v/>
      </c>
      <c r="E1375" s="32">
        <f>IF($A1375=1,IF(Supplier_Invoices!$A34="","",Supplier_Invoices!$A34),"")</f>
        <v/>
      </c>
      <c r="F1375" s="32">
        <f>IF($A1375=1,"SINV","")</f>
        <v/>
      </c>
      <c r="G1375" s="32">
        <f>IF($A1375=1,ACC_VAT_IN,"")</f>
        <v/>
      </c>
      <c r="H1375" s="32">
        <f>IF($A1375=1,IF(COUNTIF(COA!$A:$A,$G1375)=0,"حساب غير معرف",INDEX(COA!$B:$B,MATCH($G1375,COA!$A:$A,0))),"")</f>
        <v/>
      </c>
      <c r="I1375" s="32">
        <f>IF($A1375=1,IF(Supplier_Invoices!$H34="","",Supplier_Invoices!$H34),"")</f>
        <v/>
      </c>
      <c r="J1375" s="32">
        <f>IF($A1375=1,IF(Supplier_Invoices!$I34="","",Supplier_Invoices!$I34),"")</f>
        <v/>
      </c>
      <c r="K1375" s="32">
        <f>IF($A1375=1,"-","")</f>
        <v/>
      </c>
      <c r="L1375" s="32">
        <f>IF($A1375=1,"ضريبة قيمة مضافة - مدخلات","")</f>
        <v/>
      </c>
      <c r="M1375" s="43">
        <f>IF($A1375=1,IF(Supplier_Invoices!$V34="CN",0,Supplier_Invoices!$K34),"")</f>
        <v/>
      </c>
      <c r="N1375" s="43">
        <f>IF($A1375=1,IF(Supplier_Invoices!$V34="CN",Supplier_Invoices!$K34,0),"")</f>
        <v/>
      </c>
      <c r="O1375" s="32">
        <f>IF($A1375=1,Supplier_Invoices!$O34,"")</f>
        <v/>
      </c>
      <c r="P1375" s="32">
        <f>IF($A1375=1,IF(Supplier_Invoices!$AE34="","",Supplier_Invoices!$AE34),"")</f>
        <v/>
      </c>
      <c r="Q1375" s="32">
        <f>IF($A1375=1,Supplier_Invoices!$AG34,"")</f>
        <v/>
      </c>
      <c r="R1375" s="32">
        <f>IF($A1375=1,IF(AND($Q1375=1,COUNTIFS(COA!$A:$A,$G1375,COA!$R:$R,1)=1),1,0),"")</f>
        <v/>
      </c>
      <c r="S1375" s="43">
        <f>IF($A1375=1,IF($R1375=1,N($M1375),0),"")</f>
        <v/>
      </c>
      <c r="T1375" s="43">
        <f>IF($A1375=1,IF($R1375=1,N($N1375),0),"")</f>
        <v/>
      </c>
      <c r="U1375" s="32">
        <f>IF($A1375=1,YEAR($D1375)*100+MONTH($D1375),"")</f>
        <v/>
      </c>
      <c r="V1375" s="32">
        <f>IF($A1375=1,IF(COUNTIF(COA!$A:$A,$G1375)=0,0,INDEX(COA!$H:$H,MATCH($G1375,COA!$A:$A,0))),"")</f>
        <v/>
      </c>
      <c r="W1375" s="32">
        <f>IF($A1375=1,"","")</f>
        <v/>
      </c>
      <c r="X1375" s="32">
        <f>IF($A1375=1,IF($R1375=1,"",IF($O1375=ST_POST,IF($P1375&lt;&gt;"",$P1375,"حساب غير صالح أو غير نشط"),IF($O1375=ST_REV,"معكوس: لا أثر على الدفاتر",IF($O1375=ST_CANC,"ملغى",IF($O1375=ST_APPR,"معتمد ولم يُرحَّل","مسودة"))))),"")</f>
        <v/>
      </c>
      <c r="Y1375" s="32">
        <f>IF($A1375=1,IF(AND($R1375=1,OR(LG_Acct="",$G1375=LG_Acct),OR(LG_Party="",$K1375=LG_Party),OR(LG_Loc="ALL",$I1375=LG_Loc),OR(LG_CC="ALL",$J1375=LG_CC),$D1375&gt;=LG_From,$D1375&lt;=LG_To),$D1375+ROW()/1000000,""),"")</f>
        <v/>
      </c>
      <c r="Z1375" s="32">
        <f>IF($A1375=1,IF(Supplier_Invoices!$P34="","",Supplier_Invoices!$P34),"")</f>
        <v/>
      </c>
      <c r="AA1375" s="32">
        <f>IF($A1375=1,IF(Supplier_Invoices!$Q34="","",Supplier_Invoices!$Q34),"")</f>
        <v/>
      </c>
      <c r="AB1375" s="32">
        <f>IF($A1375=1,IF(Supplier_Invoices!$R34="","",Supplier_Invoices!$R34),"")</f>
        <v/>
      </c>
      <c r="AC1375" s="32">
        <f>IF($A1375=1,IF(Supplier_Invoices!$S34="","",Supplier_Invoices!$S34),"")</f>
        <v/>
      </c>
      <c r="AD1375" s="32">
        <f>IF($A1375=1,IF(Supplier_Invoices!$T34="","",Supplier_Invoices!$T34),"")</f>
        <v/>
      </c>
      <c r="AE1375" s="32">
        <f>IF($A1375=1,0,"")</f>
        <v/>
      </c>
      <c r="AF1375" s="32" t="inlineStr"/>
    </row>
    <row r="1376">
      <c r="A1376" s="32">
        <f>IF(AND(Supplier_Invoices!$AD34=1,N(Supplier_Invoices!$W34)&gt;0),1,0)</f>
        <v/>
      </c>
      <c r="B1376" s="32">
        <f>IF($A1376=1,$E1376&amp;"/3","")</f>
        <v/>
      </c>
      <c r="C1376" s="32">
        <f>IF($A1376=1,"J-"&amp;Supplier_Invoices!$A34,"")</f>
        <v/>
      </c>
      <c r="D1376" s="33">
        <f>IF($A1376=1,Supplier_Invoices!$E34,"")</f>
        <v/>
      </c>
      <c r="E1376" s="32">
        <f>IF($A1376=1,IF(Supplier_Invoices!$A34="","",Supplier_Invoices!$A34),"")</f>
        <v/>
      </c>
      <c r="F1376" s="32">
        <f>IF($A1376=1,"SINV","")</f>
        <v/>
      </c>
      <c r="G1376" s="32">
        <f>IF($A1376=1,ACC_SUPPLIERS,"")</f>
        <v/>
      </c>
      <c r="H1376" s="32">
        <f>IF($A1376=1,IF(COUNTIF(COA!$A:$A,$G1376)=0,"حساب غير معرف",INDEX(COA!$B:$B,MATCH($G1376,COA!$A:$A,0))),"")</f>
        <v/>
      </c>
      <c r="I1376" s="32">
        <f>IF($A1376=1,IF(Supplier_Invoices!$H34="","",Supplier_Invoices!$H34),"")</f>
        <v/>
      </c>
      <c r="J1376" s="32">
        <f>IF($A1376=1,"CC00","")</f>
        <v/>
      </c>
      <c r="K1376" s="32">
        <f>IF($A1376=1,IF(Supplier_Invoices!$C34="","",Supplier_Invoices!$C34),"")</f>
        <v/>
      </c>
      <c r="L1376" s="32">
        <f>IF($A1376=1,Supplier_Invoices!$F34&amp;" "&amp;Supplier_Invoices!$B34&amp;" - "&amp;Supplier_Invoices!$C34,"")</f>
        <v/>
      </c>
      <c r="M1376" s="43">
        <f>IF($A1376=1,IF(Supplier_Invoices!$V34="CN",Supplier_Invoices!$W34,0),"")</f>
        <v/>
      </c>
      <c r="N1376" s="43">
        <f>IF($A1376=1,IF(Supplier_Invoices!$V34="CN",0,Supplier_Invoices!$W34),"")</f>
        <v/>
      </c>
      <c r="O1376" s="32">
        <f>IF($A1376=1,Supplier_Invoices!$O34,"")</f>
        <v/>
      </c>
      <c r="P1376" s="32">
        <f>IF($A1376=1,IF(Supplier_Invoices!$AE34="","",Supplier_Invoices!$AE34),"")</f>
        <v/>
      </c>
      <c r="Q1376" s="32">
        <f>IF($A1376=1,Supplier_Invoices!$AG34,"")</f>
        <v/>
      </c>
      <c r="R1376" s="32">
        <f>IF($A1376=1,IF(AND($Q1376=1,COUNTIFS(COA!$A:$A,$G1376,COA!$R:$R,1)=1),1,0),"")</f>
        <v/>
      </c>
      <c r="S1376" s="43">
        <f>IF($A1376=1,IF($R1376=1,N($M1376),0),"")</f>
        <v/>
      </c>
      <c r="T1376" s="43">
        <f>IF($A1376=1,IF($R1376=1,N($N1376),0),"")</f>
        <v/>
      </c>
      <c r="U1376" s="32">
        <f>IF($A1376=1,YEAR($D1376)*100+MONTH($D1376),"")</f>
        <v/>
      </c>
      <c r="V1376" s="32">
        <f>IF($A1376=1,IF(COUNTIF(COA!$A:$A,$G1376)=0,0,INDEX(COA!$H:$H,MATCH($G1376,COA!$A:$A,0))),"")</f>
        <v/>
      </c>
      <c r="W1376" s="32">
        <f>IF($A1376=1,"","")</f>
        <v/>
      </c>
      <c r="X1376" s="32">
        <f>IF($A1376=1,IF($R1376=1,"",IF($O1376=ST_POST,IF($P1376&lt;&gt;"",$P1376,"حساب غير صالح أو غير نشط"),IF($O1376=ST_REV,"معكوس: لا أثر على الدفاتر",IF($O1376=ST_CANC,"ملغى",IF($O1376=ST_APPR,"معتمد ولم يُرحَّل","مسودة"))))),"")</f>
        <v/>
      </c>
      <c r="Y1376" s="32">
        <f>IF($A1376=1,IF(AND($R1376=1,OR(LG_Acct="",$G1376=LG_Acct),OR(LG_Party="",$K1376=LG_Party),OR(LG_Loc="ALL",$I1376=LG_Loc),OR(LG_CC="ALL",$J1376=LG_CC),$D1376&gt;=LG_From,$D1376&lt;=LG_To),$D1376+ROW()/1000000,""),"")</f>
        <v/>
      </c>
      <c r="Z1376" s="32">
        <f>IF($A1376=1,IF(Supplier_Invoices!$P34="","",Supplier_Invoices!$P34),"")</f>
        <v/>
      </c>
      <c r="AA1376" s="32">
        <f>IF($A1376=1,IF(Supplier_Invoices!$Q34="","",Supplier_Invoices!$Q34),"")</f>
        <v/>
      </c>
      <c r="AB1376" s="32">
        <f>IF($A1376=1,IF(Supplier_Invoices!$R34="","",Supplier_Invoices!$R34),"")</f>
        <v/>
      </c>
      <c r="AC1376" s="32">
        <f>IF($A1376=1,IF(Supplier_Invoices!$S34="","",Supplier_Invoices!$S34),"")</f>
        <v/>
      </c>
      <c r="AD1376" s="32">
        <f>IF($A1376=1,IF(Supplier_Invoices!$T34="","",Supplier_Invoices!$T34),"")</f>
        <v/>
      </c>
      <c r="AE1376" s="32">
        <f>IF($A1376=1,0,"")</f>
        <v/>
      </c>
      <c r="AF1376" s="32" t="inlineStr"/>
    </row>
    <row r="1377">
      <c r="A1377" s="32">
        <f>IF(AND(Supplier_Invoices!$AD34=1,Supplier_Invoices!$L34&lt;&gt;"",Supplier_Invoices!$V34&lt;&gt;"CN",N(Supplier_Invoices!$W34)&gt;0),1,0)</f>
        <v/>
      </c>
      <c r="B1377" s="32">
        <f>IF($A1377=1,$E1377&amp;"/4","")</f>
        <v/>
      </c>
      <c r="C1377" s="32">
        <f>IF($A1377=1,"J-"&amp;Supplier_Invoices!$A34,"")</f>
        <v/>
      </c>
      <c r="D1377" s="33">
        <f>IF($A1377=1,Supplier_Invoices!$E34,"")</f>
        <v/>
      </c>
      <c r="E1377" s="32">
        <f>IF($A1377=1,IF(Supplier_Invoices!$A34="","",Supplier_Invoices!$A34),"")</f>
        <v/>
      </c>
      <c r="F1377" s="32">
        <f>IF($A1377=1,"SINV","")</f>
        <v/>
      </c>
      <c r="G1377" s="32">
        <f>IF($A1377=1,ACC_SUPPLIERS,"")</f>
        <v/>
      </c>
      <c r="H1377" s="32">
        <f>IF($A1377=1,IF(COUNTIF(COA!$A:$A,$G1377)=0,"حساب غير معرف",INDEX(COA!$B:$B,MATCH($G1377,COA!$A:$A,0))),"")</f>
        <v/>
      </c>
      <c r="I1377" s="32">
        <f>IF($A1377=1,IF(Supplier_Invoices!$H34="","",Supplier_Invoices!$H34),"")</f>
        <v/>
      </c>
      <c r="J1377" s="32">
        <f>IF($A1377=1,"CC00","")</f>
        <v/>
      </c>
      <c r="K1377" s="32">
        <f>IF($A1377=1,IF(Supplier_Invoices!$C34="","",Supplier_Invoices!$C34),"")</f>
        <v/>
      </c>
      <c r="L1377" s="32">
        <f>IF($A1377=1,"سداد فوري - "&amp;Supplier_Invoices!$F34&amp;" "&amp;Supplier_Invoices!$B34&amp;" - "&amp;Supplier_Invoices!$C34,"")</f>
        <v/>
      </c>
      <c r="M1377" s="43">
        <f>IF($A1377=1,Supplier_Invoices!$W34,"")</f>
        <v/>
      </c>
      <c r="N1377" s="43">
        <f>IF($A1377=1,0,"")</f>
        <v/>
      </c>
      <c r="O1377" s="32">
        <f>IF($A1377=1,Supplier_Invoices!$O34,"")</f>
        <v/>
      </c>
      <c r="P1377" s="32">
        <f>IF($A1377=1,IF(Supplier_Invoices!$AE34="","",Supplier_Invoices!$AE34),"")</f>
        <v/>
      </c>
      <c r="Q1377" s="32">
        <f>IF($A1377=1,Supplier_Invoices!$AG34,"")</f>
        <v/>
      </c>
      <c r="R1377" s="32">
        <f>IF($A1377=1,IF(AND($Q1377=1,COUNTIFS(COA!$A:$A,$G1377,COA!$R:$R,1)=1),1,0),"")</f>
        <v/>
      </c>
      <c r="S1377" s="43">
        <f>IF($A1377=1,IF($R1377=1,N($M1377),0),"")</f>
        <v/>
      </c>
      <c r="T1377" s="43">
        <f>IF($A1377=1,IF($R1377=1,N($N1377),0),"")</f>
        <v/>
      </c>
      <c r="U1377" s="32">
        <f>IF($A1377=1,YEAR($D1377)*100+MONTH($D1377),"")</f>
        <v/>
      </c>
      <c r="V1377" s="32">
        <f>IF($A1377=1,IF(COUNTIF(COA!$A:$A,$G1377)=0,0,INDEX(COA!$H:$H,MATCH($G1377,COA!$A:$A,0))),"")</f>
        <v/>
      </c>
      <c r="W1377" s="32">
        <f>IF($A1377=1,"","")</f>
        <v/>
      </c>
      <c r="X1377" s="32">
        <f>IF($A1377=1,IF($R1377=1,"",IF($O1377=ST_POST,IF($P1377&lt;&gt;"",$P1377,"حساب غير صالح أو غير نشط"),IF($O1377=ST_REV,"معكوس: لا أثر على الدفاتر",IF($O1377=ST_CANC,"ملغى",IF($O1377=ST_APPR,"معتمد ولم يُرحَّل","مسودة"))))),"")</f>
        <v/>
      </c>
      <c r="Y1377" s="32">
        <f>IF($A1377=1,IF(AND($R1377=1,OR(LG_Acct="",$G1377=LG_Acct),OR(LG_Party="",$K1377=LG_Party),OR(LG_Loc="ALL",$I1377=LG_Loc),OR(LG_CC="ALL",$J1377=LG_CC),$D1377&gt;=LG_From,$D1377&lt;=LG_To),$D1377+ROW()/1000000,""),"")</f>
        <v/>
      </c>
      <c r="Z1377" s="32">
        <f>IF($A1377=1,IF(Supplier_Invoices!$P34="","",Supplier_Invoices!$P34),"")</f>
        <v/>
      </c>
      <c r="AA1377" s="32">
        <f>IF($A1377=1,IF(Supplier_Invoices!$Q34="","",Supplier_Invoices!$Q34),"")</f>
        <v/>
      </c>
      <c r="AB1377" s="32">
        <f>IF($A1377=1,IF(Supplier_Invoices!$R34="","",Supplier_Invoices!$R34),"")</f>
        <v/>
      </c>
      <c r="AC1377" s="32">
        <f>IF($A1377=1,IF(Supplier_Invoices!$S34="","",Supplier_Invoices!$S34),"")</f>
        <v/>
      </c>
      <c r="AD1377" s="32">
        <f>IF($A1377=1,IF(Supplier_Invoices!$T34="","",Supplier_Invoices!$T34),"")</f>
        <v/>
      </c>
      <c r="AE1377" s="32">
        <f>IF($A1377=1,0,"")</f>
        <v/>
      </c>
      <c r="AF1377" s="32" t="inlineStr"/>
    </row>
    <row r="1378">
      <c r="A1378" s="32">
        <f>IF(AND(Supplier_Invoices!$AD34=1,Supplier_Invoices!$L34&lt;&gt;"",Supplier_Invoices!$V34&lt;&gt;"CN",N(Supplier_Invoices!$W34)&gt;0),1,0)</f>
        <v/>
      </c>
      <c r="B1378" s="32">
        <f>IF($A1378=1,$E1378&amp;"/5","")</f>
        <v/>
      </c>
      <c r="C1378" s="32">
        <f>IF($A1378=1,"J-"&amp;Supplier_Invoices!$A34,"")</f>
        <v/>
      </c>
      <c r="D1378" s="33">
        <f>IF($A1378=1,Supplier_Invoices!$E34,"")</f>
        <v/>
      </c>
      <c r="E1378" s="32">
        <f>IF($A1378=1,IF(Supplier_Invoices!$A34="","",Supplier_Invoices!$A34),"")</f>
        <v/>
      </c>
      <c r="F1378" s="32">
        <f>IF($A1378=1,"SINV","")</f>
        <v/>
      </c>
      <c r="G1378" s="32">
        <f>IF($A1378=1,IF(Supplier_Invoices!$AA34="","",Supplier_Invoices!$AA34),"")</f>
        <v/>
      </c>
      <c r="H1378" s="32">
        <f>IF($A1378=1,IF(COUNTIF(COA!$A:$A,$G1378)=0,"حساب غير معرف",INDEX(COA!$B:$B,MATCH($G1378,COA!$A:$A,0))),"")</f>
        <v/>
      </c>
      <c r="I1378" s="32">
        <f>IF($A1378=1,IF(Supplier_Invoices!$H34="","",Supplier_Invoices!$H34),"")</f>
        <v/>
      </c>
      <c r="J1378" s="32">
        <f>IF($A1378=1,"CC00","")</f>
        <v/>
      </c>
      <c r="K1378" s="32">
        <f>IF($A1378=1,"-","")</f>
        <v/>
      </c>
      <c r="L1378" s="32">
        <f>IF($A1378=1,"سداد فوري - "&amp;Supplier_Invoices!$F34&amp;" "&amp;Supplier_Invoices!$B34&amp;" - "&amp;Supplier_Invoices!$C34,"")</f>
        <v/>
      </c>
      <c r="M1378" s="43">
        <f>IF($A1378=1,0,"")</f>
        <v/>
      </c>
      <c r="N1378" s="43">
        <f>IF($A1378=1,Supplier_Invoices!$W34,"")</f>
        <v/>
      </c>
      <c r="O1378" s="32">
        <f>IF($A1378=1,Supplier_Invoices!$O34,"")</f>
        <v/>
      </c>
      <c r="P1378" s="32">
        <f>IF($A1378=1,IF(Supplier_Invoices!$AE34="","",Supplier_Invoices!$AE34),"")</f>
        <v/>
      </c>
      <c r="Q1378" s="32">
        <f>IF($A1378=1,Supplier_Invoices!$AG34,"")</f>
        <v/>
      </c>
      <c r="R1378" s="32">
        <f>IF($A1378=1,IF(AND($Q1378=1,COUNTIFS(COA!$A:$A,$G1378,COA!$R:$R,1)=1),1,0),"")</f>
        <v/>
      </c>
      <c r="S1378" s="43">
        <f>IF($A1378=1,IF($R1378=1,N($M1378),0),"")</f>
        <v/>
      </c>
      <c r="T1378" s="43">
        <f>IF($A1378=1,IF($R1378=1,N($N1378),0),"")</f>
        <v/>
      </c>
      <c r="U1378" s="32">
        <f>IF($A1378=1,YEAR($D1378)*100+MONTH($D1378),"")</f>
        <v/>
      </c>
      <c r="V1378" s="32">
        <f>IF($A1378=1,IF(COUNTIF(COA!$A:$A,$G1378)=0,0,INDEX(COA!$H:$H,MATCH($G1378,COA!$A:$A,0))),"")</f>
        <v/>
      </c>
      <c r="W1378" s="32">
        <f>IF($A1378=1,IF(Supplier_Invoices!$AB34="","",Supplier_Invoices!$AB34),"")</f>
        <v/>
      </c>
      <c r="X1378" s="32">
        <f>IF($A1378=1,IF($R1378=1,"",IF($O1378=ST_POST,IF($P1378&lt;&gt;"",$P1378,"حساب غير صالح أو غير نشط"),IF($O1378=ST_REV,"معكوس: لا أثر على الدفاتر",IF($O1378=ST_CANC,"ملغى",IF($O1378=ST_APPR,"معتمد ولم يُرحَّل","مسودة"))))),"")</f>
        <v/>
      </c>
      <c r="Y1378" s="32">
        <f>IF($A1378=1,IF(AND($R1378=1,OR(LG_Acct="",$G1378=LG_Acct),OR(LG_Party="",$K1378=LG_Party),OR(LG_Loc="ALL",$I1378=LG_Loc),OR(LG_CC="ALL",$J1378=LG_CC),$D1378&gt;=LG_From,$D1378&lt;=LG_To),$D1378+ROW()/1000000,""),"")</f>
        <v/>
      </c>
      <c r="Z1378" s="32">
        <f>IF($A1378=1,IF(Supplier_Invoices!$P34="","",Supplier_Invoices!$P34),"")</f>
        <v/>
      </c>
      <c r="AA1378" s="32">
        <f>IF($A1378=1,IF(Supplier_Invoices!$Q34="","",Supplier_Invoices!$Q34),"")</f>
        <v/>
      </c>
      <c r="AB1378" s="32">
        <f>IF($A1378=1,IF(Supplier_Invoices!$R34="","",Supplier_Invoices!$R34),"")</f>
        <v/>
      </c>
      <c r="AC1378" s="32">
        <f>IF($A1378=1,IF(Supplier_Invoices!$S34="","",Supplier_Invoices!$S34),"")</f>
        <v/>
      </c>
      <c r="AD1378" s="32">
        <f>IF($A1378=1,IF(Supplier_Invoices!$T34="","",Supplier_Invoices!$T34),"")</f>
        <v/>
      </c>
      <c r="AE1378" s="32">
        <f>IF($A1378=1,0,"")</f>
        <v/>
      </c>
      <c r="AF1378" s="32" t="inlineStr"/>
    </row>
    <row r="1379">
      <c r="A1379" s="32">
        <f>IF(AND(Supplier_Invoices!$AD35=1,N(Supplier_Invoices!$J35)&gt;0),1,0)</f>
        <v/>
      </c>
      <c r="B1379" s="32">
        <f>IF($A1379=1,$E1379&amp;"/1","")</f>
        <v/>
      </c>
      <c r="C1379" s="32">
        <f>IF($A1379=1,"J-"&amp;Supplier_Invoices!$A35,"")</f>
        <v/>
      </c>
      <c r="D1379" s="33">
        <f>IF($A1379=1,Supplier_Invoices!$E35,"")</f>
        <v/>
      </c>
      <c r="E1379" s="32">
        <f>IF($A1379=1,IF(Supplier_Invoices!$A35="","",Supplier_Invoices!$A35),"")</f>
        <v/>
      </c>
      <c r="F1379" s="32">
        <f>IF($A1379=1,"SINV","")</f>
        <v/>
      </c>
      <c r="G1379" s="32">
        <f>IF($A1379=1,IF(Supplier_Invoices!$G35="","",Supplier_Invoices!$G35),"")</f>
        <v/>
      </c>
      <c r="H1379" s="32">
        <f>IF($A1379=1,IF(COUNTIF(COA!$A:$A,$G1379)=0,"حساب غير معرف",INDEX(COA!$B:$B,MATCH($G1379,COA!$A:$A,0))),"")</f>
        <v/>
      </c>
      <c r="I1379" s="32">
        <f>IF($A1379=1,IF(Supplier_Invoices!$H35="","",Supplier_Invoices!$H35),"")</f>
        <v/>
      </c>
      <c r="J1379" s="32">
        <f>IF($A1379=1,IF(Supplier_Invoices!$I35="","",Supplier_Invoices!$I35),"")</f>
        <v/>
      </c>
      <c r="K1379" s="32">
        <f>IF($A1379=1,"-","")</f>
        <v/>
      </c>
      <c r="L1379" s="32">
        <f>IF($A1379=1,Supplier_Invoices!$F35&amp;" "&amp;Supplier_Invoices!$B35&amp;" - "&amp;Supplier_Invoices!$C35,"")</f>
        <v/>
      </c>
      <c r="M1379" s="43">
        <f>IF($A1379=1,IF(Supplier_Invoices!$V35="CN",0,Supplier_Invoices!$J35),"")</f>
        <v/>
      </c>
      <c r="N1379" s="43">
        <f>IF($A1379=1,IF(Supplier_Invoices!$V35="CN",Supplier_Invoices!$J35,0),"")</f>
        <v/>
      </c>
      <c r="O1379" s="32">
        <f>IF($A1379=1,Supplier_Invoices!$O35,"")</f>
        <v/>
      </c>
      <c r="P1379" s="32">
        <f>IF($A1379=1,IF(Supplier_Invoices!$AE35="","",Supplier_Invoices!$AE35),"")</f>
        <v/>
      </c>
      <c r="Q1379" s="32">
        <f>IF($A1379=1,Supplier_Invoices!$AG35,"")</f>
        <v/>
      </c>
      <c r="R1379" s="32">
        <f>IF($A1379=1,IF(AND($Q1379=1,COUNTIFS(COA!$A:$A,$G1379,COA!$R:$R,1)=1),1,0),"")</f>
        <v/>
      </c>
      <c r="S1379" s="43">
        <f>IF($A1379=1,IF($R1379=1,N($M1379),0),"")</f>
        <v/>
      </c>
      <c r="T1379" s="43">
        <f>IF($A1379=1,IF($R1379=1,N($N1379),0),"")</f>
        <v/>
      </c>
      <c r="U1379" s="32">
        <f>IF($A1379=1,YEAR($D1379)*100+MONTH($D1379),"")</f>
        <v/>
      </c>
      <c r="V1379" s="32">
        <f>IF($A1379=1,IF(COUNTIF(COA!$A:$A,$G1379)=0,0,INDEX(COA!$H:$H,MATCH($G1379,COA!$A:$A,0))),"")</f>
        <v/>
      </c>
      <c r="W1379" s="32">
        <f>IF($A1379=1,"","")</f>
        <v/>
      </c>
      <c r="X1379" s="32">
        <f>IF($A1379=1,IF($R1379=1,"",IF($O1379=ST_POST,IF($P1379&lt;&gt;"",$P1379,"حساب غير صالح أو غير نشط"),IF($O1379=ST_REV,"معكوس: لا أثر على الدفاتر",IF($O1379=ST_CANC,"ملغى",IF($O1379=ST_APPR,"معتمد ولم يُرحَّل","مسودة"))))),"")</f>
        <v/>
      </c>
      <c r="Y1379" s="32">
        <f>IF($A1379=1,IF(AND($R1379=1,OR(LG_Acct="",$G1379=LG_Acct),OR(LG_Party="",$K1379=LG_Party),OR(LG_Loc="ALL",$I1379=LG_Loc),OR(LG_CC="ALL",$J1379=LG_CC),$D1379&gt;=LG_From,$D1379&lt;=LG_To),$D1379+ROW()/1000000,""),"")</f>
        <v/>
      </c>
      <c r="Z1379" s="32">
        <f>IF($A1379=1,IF(Supplier_Invoices!$P35="","",Supplier_Invoices!$P35),"")</f>
        <v/>
      </c>
      <c r="AA1379" s="32">
        <f>IF($A1379=1,IF(Supplier_Invoices!$Q35="","",Supplier_Invoices!$Q35),"")</f>
        <v/>
      </c>
      <c r="AB1379" s="32">
        <f>IF($A1379=1,IF(Supplier_Invoices!$R35="","",Supplier_Invoices!$R35),"")</f>
        <v/>
      </c>
      <c r="AC1379" s="32">
        <f>IF($A1379=1,IF(Supplier_Invoices!$S35="","",Supplier_Invoices!$S35),"")</f>
        <v/>
      </c>
      <c r="AD1379" s="32">
        <f>IF($A1379=1,IF(Supplier_Invoices!$T35="","",Supplier_Invoices!$T35),"")</f>
        <v/>
      </c>
      <c r="AE1379" s="32">
        <f>IF($A1379=1,0,"")</f>
        <v/>
      </c>
      <c r="AF1379" s="32" t="inlineStr"/>
    </row>
    <row r="1380">
      <c r="A1380" s="32">
        <f>IF(AND(Supplier_Invoices!$AD35=1,N(Supplier_Invoices!$K35)&gt;0),1,0)</f>
        <v/>
      </c>
      <c r="B1380" s="32">
        <f>IF($A1380=1,$E1380&amp;"/2","")</f>
        <v/>
      </c>
      <c r="C1380" s="32">
        <f>IF($A1380=1,"J-"&amp;Supplier_Invoices!$A35,"")</f>
        <v/>
      </c>
      <c r="D1380" s="33">
        <f>IF($A1380=1,Supplier_Invoices!$E35,"")</f>
        <v/>
      </c>
      <c r="E1380" s="32">
        <f>IF($A1380=1,IF(Supplier_Invoices!$A35="","",Supplier_Invoices!$A35),"")</f>
        <v/>
      </c>
      <c r="F1380" s="32">
        <f>IF($A1380=1,"SINV","")</f>
        <v/>
      </c>
      <c r="G1380" s="32">
        <f>IF($A1380=1,ACC_VAT_IN,"")</f>
        <v/>
      </c>
      <c r="H1380" s="32">
        <f>IF($A1380=1,IF(COUNTIF(COA!$A:$A,$G1380)=0,"حساب غير معرف",INDEX(COA!$B:$B,MATCH($G1380,COA!$A:$A,0))),"")</f>
        <v/>
      </c>
      <c r="I1380" s="32">
        <f>IF($A1380=1,IF(Supplier_Invoices!$H35="","",Supplier_Invoices!$H35),"")</f>
        <v/>
      </c>
      <c r="J1380" s="32">
        <f>IF($A1380=1,IF(Supplier_Invoices!$I35="","",Supplier_Invoices!$I35),"")</f>
        <v/>
      </c>
      <c r="K1380" s="32">
        <f>IF($A1380=1,"-","")</f>
        <v/>
      </c>
      <c r="L1380" s="32">
        <f>IF($A1380=1,"ضريبة قيمة مضافة - مدخلات","")</f>
        <v/>
      </c>
      <c r="M1380" s="43">
        <f>IF($A1380=1,IF(Supplier_Invoices!$V35="CN",0,Supplier_Invoices!$K35),"")</f>
        <v/>
      </c>
      <c r="N1380" s="43">
        <f>IF($A1380=1,IF(Supplier_Invoices!$V35="CN",Supplier_Invoices!$K35,0),"")</f>
        <v/>
      </c>
      <c r="O1380" s="32">
        <f>IF($A1380=1,Supplier_Invoices!$O35,"")</f>
        <v/>
      </c>
      <c r="P1380" s="32">
        <f>IF($A1380=1,IF(Supplier_Invoices!$AE35="","",Supplier_Invoices!$AE35),"")</f>
        <v/>
      </c>
      <c r="Q1380" s="32">
        <f>IF($A1380=1,Supplier_Invoices!$AG35,"")</f>
        <v/>
      </c>
      <c r="R1380" s="32">
        <f>IF($A1380=1,IF(AND($Q1380=1,COUNTIFS(COA!$A:$A,$G1380,COA!$R:$R,1)=1),1,0),"")</f>
        <v/>
      </c>
      <c r="S1380" s="43">
        <f>IF($A1380=1,IF($R1380=1,N($M1380),0),"")</f>
        <v/>
      </c>
      <c r="T1380" s="43">
        <f>IF($A1380=1,IF($R1380=1,N($N1380),0),"")</f>
        <v/>
      </c>
      <c r="U1380" s="32">
        <f>IF($A1380=1,YEAR($D1380)*100+MONTH($D1380),"")</f>
        <v/>
      </c>
      <c r="V1380" s="32">
        <f>IF($A1380=1,IF(COUNTIF(COA!$A:$A,$G1380)=0,0,INDEX(COA!$H:$H,MATCH($G1380,COA!$A:$A,0))),"")</f>
        <v/>
      </c>
      <c r="W1380" s="32">
        <f>IF($A1380=1,"","")</f>
        <v/>
      </c>
      <c r="X1380" s="32">
        <f>IF($A1380=1,IF($R1380=1,"",IF($O1380=ST_POST,IF($P1380&lt;&gt;"",$P1380,"حساب غير صالح أو غير نشط"),IF($O1380=ST_REV,"معكوس: لا أثر على الدفاتر",IF($O1380=ST_CANC,"ملغى",IF($O1380=ST_APPR,"معتمد ولم يُرحَّل","مسودة"))))),"")</f>
        <v/>
      </c>
      <c r="Y1380" s="32">
        <f>IF($A1380=1,IF(AND($R1380=1,OR(LG_Acct="",$G1380=LG_Acct),OR(LG_Party="",$K1380=LG_Party),OR(LG_Loc="ALL",$I1380=LG_Loc),OR(LG_CC="ALL",$J1380=LG_CC),$D1380&gt;=LG_From,$D1380&lt;=LG_To),$D1380+ROW()/1000000,""),"")</f>
        <v/>
      </c>
      <c r="Z1380" s="32">
        <f>IF($A1380=1,IF(Supplier_Invoices!$P35="","",Supplier_Invoices!$P35),"")</f>
        <v/>
      </c>
      <c r="AA1380" s="32">
        <f>IF($A1380=1,IF(Supplier_Invoices!$Q35="","",Supplier_Invoices!$Q35),"")</f>
        <v/>
      </c>
      <c r="AB1380" s="32">
        <f>IF($A1380=1,IF(Supplier_Invoices!$R35="","",Supplier_Invoices!$R35),"")</f>
        <v/>
      </c>
      <c r="AC1380" s="32">
        <f>IF($A1380=1,IF(Supplier_Invoices!$S35="","",Supplier_Invoices!$S35),"")</f>
        <v/>
      </c>
      <c r="AD1380" s="32">
        <f>IF($A1380=1,IF(Supplier_Invoices!$T35="","",Supplier_Invoices!$T35),"")</f>
        <v/>
      </c>
      <c r="AE1380" s="32">
        <f>IF($A1380=1,0,"")</f>
        <v/>
      </c>
      <c r="AF1380" s="32" t="inlineStr"/>
    </row>
    <row r="1381">
      <c r="A1381" s="32">
        <f>IF(AND(Supplier_Invoices!$AD35=1,N(Supplier_Invoices!$W35)&gt;0),1,0)</f>
        <v/>
      </c>
      <c r="B1381" s="32">
        <f>IF($A1381=1,$E1381&amp;"/3","")</f>
        <v/>
      </c>
      <c r="C1381" s="32">
        <f>IF($A1381=1,"J-"&amp;Supplier_Invoices!$A35,"")</f>
        <v/>
      </c>
      <c r="D1381" s="33">
        <f>IF($A1381=1,Supplier_Invoices!$E35,"")</f>
        <v/>
      </c>
      <c r="E1381" s="32">
        <f>IF($A1381=1,IF(Supplier_Invoices!$A35="","",Supplier_Invoices!$A35),"")</f>
        <v/>
      </c>
      <c r="F1381" s="32">
        <f>IF($A1381=1,"SINV","")</f>
        <v/>
      </c>
      <c r="G1381" s="32">
        <f>IF($A1381=1,ACC_SUPPLIERS,"")</f>
        <v/>
      </c>
      <c r="H1381" s="32">
        <f>IF($A1381=1,IF(COUNTIF(COA!$A:$A,$G1381)=0,"حساب غير معرف",INDEX(COA!$B:$B,MATCH($G1381,COA!$A:$A,0))),"")</f>
        <v/>
      </c>
      <c r="I1381" s="32">
        <f>IF($A1381=1,IF(Supplier_Invoices!$H35="","",Supplier_Invoices!$H35),"")</f>
        <v/>
      </c>
      <c r="J1381" s="32">
        <f>IF($A1381=1,"CC00","")</f>
        <v/>
      </c>
      <c r="K1381" s="32">
        <f>IF($A1381=1,IF(Supplier_Invoices!$C35="","",Supplier_Invoices!$C35),"")</f>
        <v/>
      </c>
      <c r="L1381" s="32">
        <f>IF($A1381=1,Supplier_Invoices!$F35&amp;" "&amp;Supplier_Invoices!$B35&amp;" - "&amp;Supplier_Invoices!$C35,"")</f>
        <v/>
      </c>
      <c r="M1381" s="43">
        <f>IF($A1381=1,IF(Supplier_Invoices!$V35="CN",Supplier_Invoices!$W35,0),"")</f>
        <v/>
      </c>
      <c r="N1381" s="43">
        <f>IF($A1381=1,IF(Supplier_Invoices!$V35="CN",0,Supplier_Invoices!$W35),"")</f>
        <v/>
      </c>
      <c r="O1381" s="32">
        <f>IF($A1381=1,Supplier_Invoices!$O35,"")</f>
        <v/>
      </c>
      <c r="P1381" s="32">
        <f>IF($A1381=1,IF(Supplier_Invoices!$AE35="","",Supplier_Invoices!$AE35),"")</f>
        <v/>
      </c>
      <c r="Q1381" s="32">
        <f>IF($A1381=1,Supplier_Invoices!$AG35,"")</f>
        <v/>
      </c>
      <c r="R1381" s="32">
        <f>IF($A1381=1,IF(AND($Q1381=1,COUNTIFS(COA!$A:$A,$G1381,COA!$R:$R,1)=1),1,0),"")</f>
        <v/>
      </c>
      <c r="S1381" s="43">
        <f>IF($A1381=1,IF($R1381=1,N($M1381),0),"")</f>
        <v/>
      </c>
      <c r="T1381" s="43">
        <f>IF($A1381=1,IF($R1381=1,N($N1381),0),"")</f>
        <v/>
      </c>
      <c r="U1381" s="32">
        <f>IF($A1381=1,YEAR($D1381)*100+MONTH($D1381),"")</f>
        <v/>
      </c>
      <c r="V1381" s="32">
        <f>IF($A1381=1,IF(COUNTIF(COA!$A:$A,$G1381)=0,0,INDEX(COA!$H:$H,MATCH($G1381,COA!$A:$A,0))),"")</f>
        <v/>
      </c>
      <c r="W1381" s="32">
        <f>IF($A1381=1,"","")</f>
        <v/>
      </c>
      <c r="X1381" s="32">
        <f>IF($A1381=1,IF($R1381=1,"",IF($O1381=ST_POST,IF($P1381&lt;&gt;"",$P1381,"حساب غير صالح أو غير نشط"),IF($O1381=ST_REV,"معكوس: لا أثر على الدفاتر",IF($O1381=ST_CANC,"ملغى",IF($O1381=ST_APPR,"معتمد ولم يُرحَّل","مسودة"))))),"")</f>
        <v/>
      </c>
      <c r="Y1381" s="32">
        <f>IF($A1381=1,IF(AND($R1381=1,OR(LG_Acct="",$G1381=LG_Acct),OR(LG_Party="",$K1381=LG_Party),OR(LG_Loc="ALL",$I1381=LG_Loc),OR(LG_CC="ALL",$J1381=LG_CC),$D1381&gt;=LG_From,$D1381&lt;=LG_To),$D1381+ROW()/1000000,""),"")</f>
        <v/>
      </c>
      <c r="Z1381" s="32">
        <f>IF($A1381=1,IF(Supplier_Invoices!$P35="","",Supplier_Invoices!$P35),"")</f>
        <v/>
      </c>
      <c r="AA1381" s="32">
        <f>IF($A1381=1,IF(Supplier_Invoices!$Q35="","",Supplier_Invoices!$Q35),"")</f>
        <v/>
      </c>
      <c r="AB1381" s="32">
        <f>IF($A1381=1,IF(Supplier_Invoices!$R35="","",Supplier_Invoices!$R35),"")</f>
        <v/>
      </c>
      <c r="AC1381" s="32">
        <f>IF($A1381=1,IF(Supplier_Invoices!$S35="","",Supplier_Invoices!$S35),"")</f>
        <v/>
      </c>
      <c r="AD1381" s="32">
        <f>IF($A1381=1,IF(Supplier_Invoices!$T35="","",Supplier_Invoices!$T35),"")</f>
        <v/>
      </c>
      <c r="AE1381" s="32">
        <f>IF($A1381=1,0,"")</f>
        <v/>
      </c>
      <c r="AF1381" s="32" t="inlineStr"/>
    </row>
    <row r="1382">
      <c r="A1382" s="32">
        <f>IF(AND(Supplier_Invoices!$AD35=1,Supplier_Invoices!$L35&lt;&gt;"",Supplier_Invoices!$V35&lt;&gt;"CN",N(Supplier_Invoices!$W35)&gt;0),1,0)</f>
        <v/>
      </c>
      <c r="B1382" s="32">
        <f>IF($A1382=1,$E1382&amp;"/4","")</f>
        <v/>
      </c>
      <c r="C1382" s="32">
        <f>IF($A1382=1,"J-"&amp;Supplier_Invoices!$A35,"")</f>
        <v/>
      </c>
      <c r="D1382" s="33">
        <f>IF($A1382=1,Supplier_Invoices!$E35,"")</f>
        <v/>
      </c>
      <c r="E1382" s="32">
        <f>IF($A1382=1,IF(Supplier_Invoices!$A35="","",Supplier_Invoices!$A35),"")</f>
        <v/>
      </c>
      <c r="F1382" s="32">
        <f>IF($A1382=1,"SINV","")</f>
        <v/>
      </c>
      <c r="G1382" s="32">
        <f>IF($A1382=1,ACC_SUPPLIERS,"")</f>
        <v/>
      </c>
      <c r="H1382" s="32">
        <f>IF($A1382=1,IF(COUNTIF(COA!$A:$A,$G1382)=0,"حساب غير معرف",INDEX(COA!$B:$B,MATCH($G1382,COA!$A:$A,0))),"")</f>
        <v/>
      </c>
      <c r="I1382" s="32">
        <f>IF($A1382=1,IF(Supplier_Invoices!$H35="","",Supplier_Invoices!$H35),"")</f>
        <v/>
      </c>
      <c r="J1382" s="32">
        <f>IF($A1382=1,"CC00","")</f>
        <v/>
      </c>
      <c r="K1382" s="32">
        <f>IF($A1382=1,IF(Supplier_Invoices!$C35="","",Supplier_Invoices!$C35),"")</f>
        <v/>
      </c>
      <c r="L1382" s="32">
        <f>IF($A1382=1,"سداد فوري - "&amp;Supplier_Invoices!$F35&amp;" "&amp;Supplier_Invoices!$B35&amp;" - "&amp;Supplier_Invoices!$C35,"")</f>
        <v/>
      </c>
      <c r="M1382" s="43">
        <f>IF($A1382=1,Supplier_Invoices!$W35,"")</f>
        <v/>
      </c>
      <c r="N1382" s="43">
        <f>IF($A1382=1,0,"")</f>
        <v/>
      </c>
      <c r="O1382" s="32">
        <f>IF($A1382=1,Supplier_Invoices!$O35,"")</f>
        <v/>
      </c>
      <c r="P1382" s="32">
        <f>IF($A1382=1,IF(Supplier_Invoices!$AE35="","",Supplier_Invoices!$AE35),"")</f>
        <v/>
      </c>
      <c r="Q1382" s="32">
        <f>IF($A1382=1,Supplier_Invoices!$AG35,"")</f>
        <v/>
      </c>
      <c r="R1382" s="32">
        <f>IF($A1382=1,IF(AND($Q1382=1,COUNTIFS(COA!$A:$A,$G1382,COA!$R:$R,1)=1),1,0),"")</f>
        <v/>
      </c>
      <c r="S1382" s="43">
        <f>IF($A1382=1,IF($R1382=1,N($M1382),0),"")</f>
        <v/>
      </c>
      <c r="T1382" s="43">
        <f>IF($A1382=1,IF($R1382=1,N($N1382),0),"")</f>
        <v/>
      </c>
      <c r="U1382" s="32">
        <f>IF($A1382=1,YEAR($D1382)*100+MONTH($D1382),"")</f>
        <v/>
      </c>
      <c r="V1382" s="32">
        <f>IF($A1382=1,IF(COUNTIF(COA!$A:$A,$G1382)=0,0,INDEX(COA!$H:$H,MATCH($G1382,COA!$A:$A,0))),"")</f>
        <v/>
      </c>
      <c r="W1382" s="32">
        <f>IF($A1382=1,"","")</f>
        <v/>
      </c>
      <c r="X1382" s="32">
        <f>IF($A1382=1,IF($R1382=1,"",IF($O1382=ST_POST,IF($P1382&lt;&gt;"",$P1382,"حساب غير صالح أو غير نشط"),IF($O1382=ST_REV,"معكوس: لا أثر على الدفاتر",IF($O1382=ST_CANC,"ملغى",IF($O1382=ST_APPR,"معتمد ولم يُرحَّل","مسودة"))))),"")</f>
        <v/>
      </c>
      <c r="Y1382" s="32">
        <f>IF($A1382=1,IF(AND($R1382=1,OR(LG_Acct="",$G1382=LG_Acct),OR(LG_Party="",$K1382=LG_Party),OR(LG_Loc="ALL",$I1382=LG_Loc),OR(LG_CC="ALL",$J1382=LG_CC),$D1382&gt;=LG_From,$D1382&lt;=LG_To),$D1382+ROW()/1000000,""),"")</f>
        <v/>
      </c>
      <c r="Z1382" s="32">
        <f>IF($A1382=1,IF(Supplier_Invoices!$P35="","",Supplier_Invoices!$P35),"")</f>
        <v/>
      </c>
      <c r="AA1382" s="32">
        <f>IF($A1382=1,IF(Supplier_Invoices!$Q35="","",Supplier_Invoices!$Q35),"")</f>
        <v/>
      </c>
      <c r="AB1382" s="32">
        <f>IF($A1382=1,IF(Supplier_Invoices!$R35="","",Supplier_Invoices!$R35),"")</f>
        <v/>
      </c>
      <c r="AC1382" s="32">
        <f>IF($A1382=1,IF(Supplier_Invoices!$S35="","",Supplier_Invoices!$S35),"")</f>
        <v/>
      </c>
      <c r="AD1382" s="32">
        <f>IF($A1382=1,IF(Supplier_Invoices!$T35="","",Supplier_Invoices!$T35),"")</f>
        <v/>
      </c>
      <c r="AE1382" s="32">
        <f>IF($A1382=1,0,"")</f>
        <v/>
      </c>
      <c r="AF1382" s="32" t="inlineStr"/>
    </row>
    <row r="1383">
      <c r="A1383" s="32">
        <f>IF(AND(Supplier_Invoices!$AD35=1,Supplier_Invoices!$L35&lt;&gt;"",Supplier_Invoices!$V35&lt;&gt;"CN",N(Supplier_Invoices!$W35)&gt;0),1,0)</f>
        <v/>
      </c>
      <c r="B1383" s="32">
        <f>IF($A1383=1,$E1383&amp;"/5","")</f>
        <v/>
      </c>
      <c r="C1383" s="32">
        <f>IF($A1383=1,"J-"&amp;Supplier_Invoices!$A35,"")</f>
        <v/>
      </c>
      <c r="D1383" s="33">
        <f>IF($A1383=1,Supplier_Invoices!$E35,"")</f>
        <v/>
      </c>
      <c r="E1383" s="32">
        <f>IF($A1383=1,IF(Supplier_Invoices!$A35="","",Supplier_Invoices!$A35),"")</f>
        <v/>
      </c>
      <c r="F1383" s="32">
        <f>IF($A1383=1,"SINV","")</f>
        <v/>
      </c>
      <c r="G1383" s="32">
        <f>IF($A1383=1,IF(Supplier_Invoices!$AA35="","",Supplier_Invoices!$AA35),"")</f>
        <v/>
      </c>
      <c r="H1383" s="32">
        <f>IF($A1383=1,IF(COUNTIF(COA!$A:$A,$G1383)=0,"حساب غير معرف",INDEX(COA!$B:$B,MATCH($G1383,COA!$A:$A,0))),"")</f>
        <v/>
      </c>
      <c r="I1383" s="32">
        <f>IF($A1383=1,IF(Supplier_Invoices!$H35="","",Supplier_Invoices!$H35),"")</f>
        <v/>
      </c>
      <c r="J1383" s="32">
        <f>IF($A1383=1,"CC00","")</f>
        <v/>
      </c>
      <c r="K1383" s="32">
        <f>IF($A1383=1,"-","")</f>
        <v/>
      </c>
      <c r="L1383" s="32">
        <f>IF($A1383=1,"سداد فوري - "&amp;Supplier_Invoices!$F35&amp;" "&amp;Supplier_Invoices!$B35&amp;" - "&amp;Supplier_Invoices!$C35,"")</f>
        <v/>
      </c>
      <c r="M1383" s="43">
        <f>IF($A1383=1,0,"")</f>
        <v/>
      </c>
      <c r="N1383" s="43">
        <f>IF($A1383=1,Supplier_Invoices!$W35,"")</f>
        <v/>
      </c>
      <c r="O1383" s="32">
        <f>IF($A1383=1,Supplier_Invoices!$O35,"")</f>
        <v/>
      </c>
      <c r="P1383" s="32">
        <f>IF($A1383=1,IF(Supplier_Invoices!$AE35="","",Supplier_Invoices!$AE35),"")</f>
        <v/>
      </c>
      <c r="Q1383" s="32">
        <f>IF($A1383=1,Supplier_Invoices!$AG35,"")</f>
        <v/>
      </c>
      <c r="R1383" s="32">
        <f>IF($A1383=1,IF(AND($Q1383=1,COUNTIFS(COA!$A:$A,$G1383,COA!$R:$R,1)=1),1,0),"")</f>
        <v/>
      </c>
      <c r="S1383" s="43">
        <f>IF($A1383=1,IF($R1383=1,N($M1383),0),"")</f>
        <v/>
      </c>
      <c r="T1383" s="43">
        <f>IF($A1383=1,IF($R1383=1,N($N1383),0),"")</f>
        <v/>
      </c>
      <c r="U1383" s="32">
        <f>IF($A1383=1,YEAR($D1383)*100+MONTH($D1383),"")</f>
        <v/>
      </c>
      <c r="V1383" s="32">
        <f>IF($A1383=1,IF(COUNTIF(COA!$A:$A,$G1383)=0,0,INDEX(COA!$H:$H,MATCH($G1383,COA!$A:$A,0))),"")</f>
        <v/>
      </c>
      <c r="W1383" s="32">
        <f>IF($A1383=1,IF(Supplier_Invoices!$AB35="","",Supplier_Invoices!$AB35),"")</f>
        <v/>
      </c>
      <c r="X1383" s="32">
        <f>IF($A1383=1,IF($R1383=1,"",IF($O1383=ST_POST,IF($P1383&lt;&gt;"",$P1383,"حساب غير صالح أو غير نشط"),IF($O1383=ST_REV,"معكوس: لا أثر على الدفاتر",IF($O1383=ST_CANC,"ملغى",IF($O1383=ST_APPR,"معتمد ولم يُرحَّل","مسودة"))))),"")</f>
        <v/>
      </c>
      <c r="Y1383" s="32">
        <f>IF($A1383=1,IF(AND($R1383=1,OR(LG_Acct="",$G1383=LG_Acct),OR(LG_Party="",$K1383=LG_Party),OR(LG_Loc="ALL",$I1383=LG_Loc),OR(LG_CC="ALL",$J1383=LG_CC),$D1383&gt;=LG_From,$D1383&lt;=LG_To),$D1383+ROW()/1000000,""),"")</f>
        <v/>
      </c>
      <c r="Z1383" s="32">
        <f>IF($A1383=1,IF(Supplier_Invoices!$P35="","",Supplier_Invoices!$P35),"")</f>
        <v/>
      </c>
      <c r="AA1383" s="32">
        <f>IF($A1383=1,IF(Supplier_Invoices!$Q35="","",Supplier_Invoices!$Q35),"")</f>
        <v/>
      </c>
      <c r="AB1383" s="32">
        <f>IF($A1383=1,IF(Supplier_Invoices!$R35="","",Supplier_Invoices!$R35),"")</f>
        <v/>
      </c>
      <c r="AC1383" s="32">
        <f>IF($A1383=1,IF(Supplier_Invoices!$S35="","",Supplier_Invoices!$S35),"")</f>
        <v/>
      </c>
      <c r="AD1383" s="32">
        <f>IF($A1383=1,IF(Supplier_Invoices!$T35="","",Supplier_Invoices!$T35),"")</f>
        <v/>
      </c>
      <c r="AE1383" s="32">
        <f>IF($A1383=1,0,"")</f>
        <v/>
      </c>
      <c r="AF1383" s="32" t="inlineStr"/>
    </row>
    <row r="1384">
      <c r="A1384" s="32">
        <f>IF(AND(Supplier_Invoices!$AD36=1,N(Supplier_Invoices!$J36)&gt;0),1,0)</f>
        <v/>
      </c>
      <c r="B1384" s="32">
        <f>IF($A1384=1,$E1384&amp;"/1","")</f>
        <v/>
      </c>
      <c r="C1384" s="32">
        <f>IF($A1384=1,"J-"&amp;Supplier_Invoices!$A36,"")</f>
        <v/>
      </c>
      <c r="D1384" s="33">
        <f>IF($A1384=1,Supplier_Invoices!$E36,"")</f>
        <v/>
      </c>
      <c r="E1384" s="32">
        <f>IF($A1384=1,IF(Supplier_Invoices!$A36="","",Supplier_Invoices!$A36),"")</f>
        <v/>
      </c>
      <c r="F1384" s="32">
        <f>IF($A1384=1,"SINV","")</f>
        <v/>
      </c>
      <c r="G1384" s="32">
        <f>IF($A1384=1,IF(Supplier_Invoices!$G36="","",Supplier_Invoices!$G36),"")</f>
        <v/>
      </c>
      <c r="H1384" s="32">
        <f>IF($A1384=1,IF(COUNTIF(COA!$A:$A,$G1384)=0,"حساب غير معرف",INDEX(COA!$B:$B,MATCH($G1384,COA!$A:$A,0))),"")</f>
        <v/>
      </c>
      <c r="I1384" s="32">
        <f>IF($A1384=1,IF(Supplier_Invoices!$H36="","",Supplier_Invoices!$H36),"")</f>
        <v/>
      </c>
      <c r="J1384" s="32">
        <f>IF($A1384=1,IF(Supplier_Invoices!$I36="","",Supplier_Invoices!$I36),"")</f>
        <v/>
      </c>
      <c r="K1384" s="32">
        <f>IF($A1384=1,"-","")</f>
        <v/>
      </c>
      <c r="L1384" s="32">
        <f>IF($A1384=1,Supplier_Invoices!$F36&amp;" "&amp;Supplier_Invoices!$B36&amp;" - "&amp;Supplier_Invoices!$C36,"")</f>
        <v/>
      </c>
      <c r="M1384" s="43">
        <f>IF($A1384=1,IF(Supplier_Invoices!$V36="CN",0,Supplier_Invoices!$J36),"")</f>
        <v/>
      </c>
      <c r="N1384" s="43">
        <f>IF($A1384=1,IF(Supplier_Invoices!$V36="CN",Supplier_Invoices!$J36,0),"")</f>
        <v/>
      </c>
      <c r="O1384" s="32">
        <f>IF($A1384=1,Supplier_Invoices!$O36,"")</f>
        <v/>
      </c>
      <c r="P1384" s="32">
        <f>IF($A1384=1,IF(Supplier_Invoices!$AE36="","",Supplier_Invoices!$AE36),"")</f>
        <v/>
      </c>
      <c r="Q1384" s="32">
        <f>IF($A1384=1,Supplier_Invoices!$AG36,"")</f>
        <v/>
      </c>
      <c r="R1384" s="32">
        <f>IF($A1384=1,IF(AND($Q1384=1,COUNTIFS(COA!$A:$A,$G1384,COA!$R:$R,1)=1),1,0),"")</f>
        <v/>
      </c>
      <c r="S1384" s="43">
        <f>IF($A1384=1,IF($R1384=1,N($M1384),0),"")</f>
        <v/>
      </c>
      <c r="T1384" s="43">
        <f>IF($A1384=1,IF($R1384=1,N($N1384),0),"")</f>
        <v/>
      </c>
      <c r="U1384" s="32">
        <f>IF($A1384=1,YEAR($D1384)*100+MONTH($D1384),"")</f>
        <v/>
      </c>
      <c r="V1384" s="32">
        <f>IF($A1384=1,IF(COUNTIF(COA!$A:$A,$G1384)=0,0,INDEX(COA!$H:$H,MATCH($G1384,COA!$A:$A,0))),"")</f>
        <v/>
      </c>
      <c r="W1384" s="32">
        <f>IF($A1384=1,"","")</f>
        <v/>
      </c>
      <c r="X1384" s="32">
        <f>IF($A1384=1,IF($R1384=1,"",IF($O1384=ST_POST,IF($P1384&lt;&gt;"",$P1384,"حساب غير صالح أو غير نشط"),IF($O1384=ST_REV,"معكوس: لا أثر على الدفاتر",IF($O1384=ST_CANC,"ملغى",IF($O1384=ST_APPR,"معتمد ولم يُرحَّل","مسودة"))))),"")</f>
        <v/>
      </c>
      <c r="Y1384" s="32">
        <f>IF($A1384=1,IF(AND($R1384=1,OR(LG_Acct="",$G1384=LG_Acct),OR(LG_Party="",$K1384=LG_Party),OR(LG_Loc="ALL",$I1384=LG_Loc),OR(LG_CC="ALL",$J1384=LG_CC),$D1384&gt;=LG_From,$D1384&lt;=LG_To),$D1384+ROW()/1000000,""),"")</f>
        <v/>
      </c>
      <c r="Z1384" s="32">
        <f>IF($A1384=1,IF(Supplier_Invoices!$P36="","",Supplier_Invoices!$P36),"")</f>
        <v/>
      </c>
      <c r="AA1384" s="32">
        <f>IF($A1384=1,IF(Supplier_Invoices!$Q36="","",Supplier_Invoices!$Q36),"")</f>
        <v/>
      </c>
      <c r="AB1384" s="32">
        <f>IF($A1384=1,IF(Supplier_Invoices!$R36="","",Supplier_Invoices!$R36),"")</f>
        <v/>
      </c>
      <c r="AC1384" s="32">
        <f>IF($A1384=1,IF(Supplier_Invoices!$S36="","",Supplier_Invoices!$S36),"")</f>
        <v/>
      </c>
      <c r="AD1384" s="32">
        <f>IF($A1384=1,IF(Supplier_Invoices!$T36="","",Supplier_Invoices!$T36),"")</f>
        <v/>
      </c>
      <c r="AE1384" s="32">
        <f>IF($A1384=1,0,"")</f>
        <v/>
      </c>
      <c r="AF1384" s="32" t="inlineStr"/>
    </row>
    <row r="1385">
      <c r="A1385" s="32">
        <f>IF(AND(Supplier_Invoices!$AD36=1,N(Supplier_Invoices!$K36)&gt;0),1,0)</f>
        <v/>
      </c>
      <c r="B1385" s="32">
        <f>IF($A1385=1,$E1385&amp;"/2","")</f>
        <v/>
      </c>
      <c r="C1385" s="32">
        <f>IF($A1385=1,"J-"&amp;Supplier_Invoices!$A36,"")</f>
        <v/>
      </c>
      <c r="D1385" s="33">
        <f>IF($A1385=1,Supplier_Invoices!$E36,"")</f>
        <v/>
      </c>
      <c r="E1385" s="32">
        <f>IF($A1385=1,IF(Supplier_Invoices!$A36="","",Supplier_Invoices!$A36),"")</f>
        <v/>
      </c>
      <c r="F1385" s="32">
        <f>IF($A1385=1,"SINV","")</f>
        <v/>
      </c>
      <c r="G1385" s="32">
        <f>IF($A1385=1,ACC_VAT_IN,"")</f>
        <v/>
      </c>
      <c r="H1385" s="32">
        <f>IF($A1385=1,IF(COUNTIF(COA!$A:$A,$G1385)=0,"حساب غير معرف",INDEX(COA!$B:$B,MATCH($G1385,COA!$A:$A,0))),"")</f>
        <v/>
      </c>
      <c r="I1385" s="32">
        <f>IF($A1385=1,IF(Supplier_Invoices!$H36="","",Supplier_Invoices!$H36),"")</f>
        <v/>
      </c>
      <c r="J1385" s="32">
        <f>IF($A1385=1,IF(Supplier_Invoices!$I36="","",Supplier_Invoices!$I36),"")</f>
        <v/>
      </c>
      <c r="K1385" s="32">
        <f>IF($A1385=1,"-","")</f>
        <v/>
      </c>
      <c r="L1385" s="32">
        <f>IF($A1385=1,"ضريبة قيمة مضافة - مدخلات","")</f>
        <v/>
      </c>
      <c r="M1385" s="43">
        <f>IF($A1385=1,IF(Supplier_Invoices!$V36="CN",0,Supplier_Invoices!$K36),"")</f>
        <v/>
      </c>
      <c r="N1385" s="43">
        <f>IF($A1385=1,IF(Supplier_Invoices!$V36="CN",Supplier_Invoices!$K36,0),"")</f>
        <v/>
      </c>
      <c r="O1385" s="32">
        <f>IF($A1385=1,Supplier_Invoices!$O36,"")</f>
        <v/>
      </c>
      <c r="P1385" s="32">
        <f>IF($A1385=1,IF(Supplier_Invoices!$AE36="","",Supplier_Invoices!$AE36),"")</f>
        <v/>
      </c>
      <c r="Q1385" s="32">
        <f>IF($A1385=1,Supplier_Invoices!$AG36,"")</f>
        <v/>
      </c>
      <c r="R1385" s="32">
        <f>IF($A1385=1,IF(AND($Q1385=1,COUNTIFS(COA!$A:$A,$G1385,COA!$R:$R,1)=1),1,0),"")</f>
        <v/>
      </c>
      <c r="S1385" s="43">
        <f>IF($A1385=1,IF($R1385=1,N($M1385),0),"")</f>
        <v/>
      </c>
      <c r="T1385" s="43">
        <f>IF($A1385=1,IF($R1385=1,N($N1385),0),"")</f>
        <v/>
      </c>
      <c r="U1385" s="32">
        <f>IF($A1385=1,YEAR($D1385)*100+MONTH($D1385),"")</f>
        <v/>
      </c>
      <c r="V1385" s="32">
        <f>IF($A1385=1,IF(COUNTIF(COA!$A:$A,$G1385)=0,0,INDEX(COA!$H:$H,MATCH($G1385,COA!$A:$A,0))),"")</f>
        <v/>
      </c>
      <c r="W1385" s="32">
        <f>IF($A1385=1,"","")</f>
        <v/>
      </c>
      <c r="X1385" s="32">
        <f>IF($A1385=1,IF($R1385=1,"",IF($O1385=ST_POST,IF($P1385&lt;&gt;"",$P1385,"حساب غير صالح أو غير نشط"),IF($O1385=ST_REV,"معكوس: لا أثر على الدفاتر",IF($O1385=ST_CANC,"ملغى",IF($O1385=ST_APPR,"معتمد ولم يُرحَّل","مسودة"))))),"")</f>
        <v/>
      </c>
      <c r="Y1385" s="32">
        <f>IF($A1385=1,IF(AND($R1385=1,OR(LG_Acct="",$G1385=LG_Acct),OR(LG_Party="",$K1385=LG_Party),OR(LG_Loc="ALL",$I1385=LG_Loc),OR(LG_CC="ALL",$J1385=LG_CC),$D1385&gt;=LG_From,$D1385&lt;=LG_To),$D1385+ROW()/1000000,""),"")</f>
        <v/>
      </c>
      <c r="Z1385" s="32">
        <f>IF($A1385=1,IF(Supplier_Invoices!$P36="","",Supplier_Invoices!$P36),"")</f>
        <v/>
      </c>
      <c r="AA1385" s="32">
        <f>IF($A1385=1,IF(Supplier_Invoices!$Q36="","",Supplier_Invoices!$Q36),"")</f>
        <v/>
      </c>
      <c r="AB1385" s="32">
        <f>IF($A1385=1,IF(Supplier_Invoices!$R36="","",Supplier_Invoices!$R36),"")</f>
        <v/>
      </c>
      <c r="AC1385" s="32">
        <f>IF($A1385=1,IF(Supplier_Invoices!$S36="","",Supplier_Invoices!$S36),"")</f>
        <v/>
      </c>
      <c r="AD1385" s="32">
        <f>IF($A1385=1,IF(Supplier_Invoices!$T36="","",Supplier_Invoices!$T36),"")</f>
        <v/>
      </c>
      <c r="AE1385" s="32">
        <f>IF($A1385=1,0,"")</f>
        <v/>
      </c>
      <c r="AF1385" s="32" t="inlineStr"/>
    </row>
    <row r="1386">
      <c r="A1386" s="32">
        <f>IF(AND(Supplier_Invoices!$AD36=1,N(Supplier_Invoices!$W36)&gt;0),1,0)</f>
        <v/>
      </c>
      <c r="B1386" s="32">
        <f>IF($A1386=1,$E1386&amp;"/3","")</f>
        <v/>
      </c>
      <c r="C1386" s="32">
        <f>IF($A1386=1,"J-"&amp;Supplier_Invoices!$A36,"")</f>
        <v/>
      </c>
      <c r="D1386" s="33">
        <f>IF($A1386=1,Supplier_Invoices!$E36,"")</f>
        <v/>
      </c>
      <c r="E1386" s="32">
        <f>IF($A1386=1,IF(Supplier_Invoices!$A36="","",Supplier_Invoices!$A36),"")</f>
        <v/>
      </c>
      <c r="F1386" s="32">
        <f>IF($A1386=1,"SINV","")</f>
        <v/>
      </c>
      <c r="G1386" s="32">
        <f>IF($A1386=1,ACC_SUPPLIERS,"")</f>
        <v/>
      </c>
      <c r="H1386" s="32">
        <f>IF($A1386=1,IF(COUNTIF(COA!$A:$A,$G1386)=0,"حساب غير معرف",INDEX(COA!$B:$B,MATCH($G1386,COA!$A:$A,0))),"")</f>
        <v/>
      </c>
      <c r="I1386" s="32">
        <f>IF($A1386=1,IF(Supplier_Invoices!$H36="","",Supplier_Invoices!$H36),"")</f>
        <v/>
      </c>
      <c r="J1386" s="32">
        <f>IF($A1386=1,"CC00","")</f>
        <v/>
      </c>
      <c r="K1386" s="32">
        <f>IF($A1386=1,IF(Supplier_Invoices!$C36="","",Supplier_Invoices!$C36),"")</f>
        <v/>
      </c>
      <c r="L1386" s="32">
        <f>IF($A1386=1,Supplier_Invoices!$F36&amp;" "&amp;Supplier_Invoices!$B36&amp;" - "&amp;Supplier_Invoices!$C36,"")</f>
        <v/>
      </c>
      <c r="M1386" s="43">
        <f>IF($A1386=1,IF(Supplier_Invoices!$V36="CN",Supplier_Invoices!$W36,0),"")</f>
        <v/>
      </c>
      <c r="N1386" s="43">
        <f>IF($A1386=1,IF(Supplier_Invoices!$V36="CN",0,Supplier_Invoices!$W36),"")</f>
        <v/>
      </c>
      <c r="O1386" s="32">
        <f>IF($A1386=1,Supplier_Invoices!$O36,"")</f>
        <v/>
      </c>
      <c r="P1386" s="32">
        <f>IF($A1386=1,IF(Supplier_Invoices!$AE36="","",Supplier_Invoices!$AE36),"")</f>
        <v/>
      </c>
      <c r="Q1386" s="32">
        <f>IF($A1386=1,Supplier_Invoices!$AG36,"")</f>
        <v/>
      </c>
      <c r="R1386" s="32">
        <f>IF($A1386=1,IF(AND($Q1386=1,COUNTIFS(COA!$A:$A,$G1386,COA!$R:$R,1)=1),1,0),"")</f>
        <v/>
      </c>
      <c r="S1386" s="43">
        <f>IF($A1386=1,IF($R1386=1,N($M1386),0),"")</f>
        <v/>
      </c>
      <c r="T1386" s="43">
        <f>IF($A1386=1,IF($R1386=1,N($N1386),0),"")</f>
        <v/>
      </c>
      <c r="U1386" s="32">
        <f>IF($A1386=1,YEAR($D1386)*100+MONTH($D1386),"")</f>
        <v/>
      </c>
      <c r="V1386" s="32">
        <f>IF($A1386=1,IF(COUNTIF(COA!$A:$A,$G1386)=0,0,INDEX(COA!$H:$H,MATCH($G1386,COA!$A:$A,0))),"")</f>
        <v/>
      </c>
      <c r="W1386" s="32">
        <f>IF($A1386=1,"","")</f>
        <v/>
      </c>
      <c r="X1386" s="32">
        <f>IF($A1386=1,IF($R1386=1,"",IF($O1386=ST_POST,IF($P1386&lt;&gt;"",$P1386,"حساب غير صالح أو غير نشط"),IF($O1386=ST_REV,"معكوس: لا أثر على الدفاتر",IF($O1386=ST_CANC,"ملغى",IF($O1386=ST_APPR,"معتمد ولم يُرحَّل","مسودة"))))),"")</f>
        <v/>
      </c>
      <c r="Y1386" s="32">
        <f>IF($A1386=1,IF(AND($R1386=1,OR(LG_Acct="",$G1386=LG_Acct),OR(LG_Party="",$K1386=LG_Party),OR(LG_Loc="ALL",$I1386=LG_Loc),OR(LG_CC="ALL",$J1386=LG_CC),$D1386&gt;=LG_From,$D1386&lt;=LG_To),$D1386+ROW()/1000000,""),"")</f>
        <v/>
      </c>
      <c r="Z1386" s="32">
        <f>IF($A1386=1,IF(Supplier_Invoices!$P36="","",Supplier_Invoices!$P36),"")</f>
        <v/>
      </c>
      <c r="AA1386" s="32">
        <f>IF($A1386=1,IF(Supplier_Invoices!$Q36="","",Supplier_Invoices!$Q36),"")</f>
        <v/>
      </c>
      <c r="AB1386" s="32">
        <f>IF($A1386=1,IF(Supplier_Invoices!$R36="","",Supplier_Invoices!$R36),"")</f>
        <v/>
      </c>
      <c r="AC1386" s="32">
        <f>IF($A1386=1,IF(Supplier_Invoices!$S36="","",Supplier_Invoices!$S36),"")</f>
        <v/>
      </c>
      <c r="AD1386" s="32">
        <f>IF($A1386=1,IF(Supplier_Invoices!$T36="","",Supplier_Invoices!$T36),"")</f>
        <v/>
      </c>
      <c r="AE1386" s="32">
        <f>IF($A1386=1,0,"")</f>
        <v/>
      </c>
      <c r="AF1386" s="32" t="inlineStr"/>
    </row>
    <row r="1387">
      <c r="A1387" s="32">
        <f>IF(AND(Supplier_Invoices!$AD36=1,Supplier_Invoices!$L36&lt;&gt;"",Supplier_Invoices!$V36&lt;&gt;"CN",N(Supplier_Invoices!$W36)&gt;0),1,0)</f>
        <v/>
      </c>
      <c r="B1387" s="32">
        <f>IF($A1387=1,$E1387&amp;"/4","")</f>
        <v/>
      </c>
      <c r="C1387" s="32">
        <f>IF($A1387=1,"J-"&amp;Supplier_Invoices!$A36,"")</f>
        <v/>
      </c>
      <c r="D1387" s="33">
        <f>IF($A1387=1,Supplier_Invoices!$E36,"")</f>
        <v/>
      </c>
      <c r="E1387" s="32">
        <f>IF($A1387=1,IF(Supplier_Invoices!$A36="","",Supplier_Invoices!$A36),"")</f>
        <v/>
      </c>
      <c r="F1387" s="32">
        <f>IF($A1387=1,"SINV","")</f>
        <v/>
      </c>
      <c r="G1387" s="32">
        <f>IF($A1387=1,ACC_SUPPLIERS,"")</f>
        <v/>
      </c>
      <c r="H1387" s="32">
        <f>IF($A1387=1,IF(COUNTIF(COA!$A:$A,$G1387)=0,"حساب غير معرف",INDEX(COA!$B:$B,MATCH($G1387,COA!$A:$A,0))),"")</f>
        <v/>
      </c>
      <c r="I1387" s="32">
        <f>IF($A1387=1,IF(Supplier_Invoices!$H36="","",Supplier_Invoices!$H36),"")</f>
        <v/>
      </c>
      <c r="J1387" s="32">
        <f>IF($A1387=1,"CC00","")</f>
        <v/>
      </c>
      <c r="K1387" s="32">
        <f>IF($A1387=1,IF(Supplier_Invoices!$C36="","",Supplier_Invoices!$C36),"")</f>
        <v/>
      </c>
      <c r="L1387" s="32">
        <f>IF($A1387=1,"سداد فوري - "&amp;Supplier_Invoices!$F36&amp;" "&amp;Supplier_Invoices!$B36&amp;" - "&amp;Supplier_Invoices!$C36,"")</f>
        <v/>
      </c>
      <c r="M1387" s="43">
        <f>IF($A1387=1,Supplier_Invoices!$W36,"")</f>
        <v/>
      </c>
      <c r="N1387" s="43">
        <f>IF($A1387=1,0,"")</f>
        <v/>
      </c>
      <c r="O1387" s="32">
        <f>IF($A1387=1,Supplier_Invoices!$O36,"")</f>
        <v/>
      </c>
      <c r="P1387" s="32">
        <f>IF($A1387=1,IF(Supplier_Invoices!$AE36="","",Supplier_Invoices!$AE36),"")</f>
        <v/>
      </c>
      <c r="Q1387" s="32">
        <f>IF($A1387=1,Supplier_Invoices!$AG36,"")</f>
        <v/>
      </c>
      <c r="R1387" s="32">
        <f>IF($A1387=1,IF(AND($Q1387=1,COUNTIFS(COA!$A:$A,$G1387,COA!$R:$R,1)=1),1,0),"")</f>
        <v/>
      </c>
      <c r="S1387" s="43">
        <f>IF($A1387=1,IF($R1387=1,N($M1387),0),"")</f>
        <v/>
      </c>
      <c r="T1387" s="43">
        <f>IF($A1387=1,IF($R1387=1,N($N1387),0),"")</f>
        <v/>
      </c>
      <c r="U1387" s="32">
        <f>IF($A1387=1,YEAR($D1387)*100+MONTH($D1387),"")</f>
        <v/>
      </c>
      <c r="V1387" s="32">
        <f>IF($A1387=1,IF(COUNTIF(COA!$A:$A,$G1387)=0,0,INDEX(COA!$H:$H,MATCH($G1387,COA!$A:$A,0))),"")</f>
        <v/>
      </c>
      <c r="W1387" s="32">
        <f>IF($A1387=1,"","")</f>
        <v/>
      </c>
      <c r="X1387" s="32">
        <f>IF($A1387=1,IF($R1387=1,"",IF($O1387=ST_POST,IF($P1387&lt;&gt;"",$P1387,"حساب غير صالح أو غير نشط"),IF($O1387=ST_REV,"معكوس: لا أثر على الدفاتر",IF($O1387=ST_CANC,"ملغى",IF($O1387=ST_APPR,"معتمد ولم يُرحَّل","مسودة"))))),"")</f>
        <v/>
      </c>
      <c r="Y1387" s="32">
        <f>IF($A1387=1,IF(AND($R1387=1,OR(LG_Acct="",$G1387=LG_Acct),OR(LG_Party="",$K1387=LG_Party),OR(LG_Loc="ALL",$I1387=LG_Loc),OR(LG_CC="ALL",$J1387=LG_CC),$D1387&gt;=LG_From,$D1387&lt;=LG_To),$D1387+ROW()/1000000,""),"")</f>
        <v/>
      </c>
      <c r="Z1387" s="32">
        <f>IF($A1387=1,IF(Supplier_Invoices!$P36="","",Supplier_Invoices!$P36),"")</f>
        <v/>
      </c>
      <c r="AA1387" s="32">
        <f>IF($A1387=1,IF(Supplier_Invoices!$Q36="","",Supplier_Invoices!$Q36),"")</f>
        <v/>
      </c>
      <c r="AB1387" s="32">
        <f>IF($A1387=1,IF(Supplier_Invoices!$R36="","",Supplier_Invoices!$R36),"")</f>
        <v/>
      </c>
      <c r="AC1387" s="32">
        <f>IF($A1387=1,IF(Supplier_Invoices!$S36="","",Supplier_Invoices!$S36),"")</f>
        <v/>
      </c>
      <c r="AD1387" s="32">
        <f>IF($A1387=1,IF(Supplier_Invoices!$T36="","",Supplier_Invoices!$T36),"")</f>
        <v/>
      </c>
      <c r="AE1387" s="32">
        <f>IF($A1387=1,0,"")</f>
        <v/>
      </c>
      <c r="AF1387" s="32" t="inlineStr"/>
    </row>
    <row r="1388">
      <c r="A1388" s="32">
        <f>IF(AND(Supplier_Invoices!$AD36=1,Supplier_Invoices!$L36&lt;&gt;"",Supplier_Invoices!$V36&lt;&gt;"CN",N(Supplier_Invoices!$W36)&gt;0),1,0)</f>
        <v/>
      </c>
      <c r="B1388" s="32">
        <f>IF($A1388=1,$E1388&amp;"/5","")</f>
        <v/>
      </c>
      <c r="C1388" s="32">
        <f>IF($A1388=1,"J-"&amp;Supplier_Invoices!$A36,"")</f>
        <v/>
      </c>
      <c r="D1388" s="33">
        <f>IF($A1388=1,Supplier_Invoices!$E36,"")</f>
        <v/>
      </c>
      <c r="E1388" s="32">
        <f>IF($A1388=1,IF(Supplier_Invoices!$A36="","",Supplier_Invoices!$A36),"")</f>
        <v/>
      </c>
      <c r="F1388" s="32">
        <f>IF($A1388=1,"SINV","")</f>
        <v/>
      </c>
      <c r="G1388" s="32">
        <f>IF($A1388=1,IF(Supplier_Invoices!$AA36="","",Supplier_Invoices!$AA36),"")</f>
        <v/>
      </c>
      <c r="H1388" s="32">
        <f>IF($A1388=1,IF(COUNTIF(COA!$A:$A,$G1388)=0,"حساب غير معرف",INDEX(COA!$B:$B,MATCH($G1388,COA!$A:$A,0))),"")</f>
        <v/>
      </c>
      <c r="I1388" s="32">
        <f>IF($A1388=1,IF(Supplier_Invoices!$H36="","",Supplier_Invoices!$H36),"")</f>
        <v/>
      </c>
      <c r="J1388" s="32">
        <f>IF($A1388=1,"CC00","")</f>
        <v/>
      </c>
      <c r="K1388" s="32">
        <f>IF($A1388=1,"-","")</f>
        <v/>
      </c>
      <c r="L1388" s="32">
        <f>IF($A1388=1,"سداد فوري - "&amp;Supplier_Invoices!$F36&amp;" "&amp;Supplier_Invoices!$B36&amp;" - "&amp;Supplier_Invoices!$C36,"")</f>
        <v/>
      </c>
      <c r="M1388" s="43">
        <f>IF($A1388=1,0,"")</f>
        <v/>
      </c>
      <c r="N1388" s="43">
        <f>IF($A1388=1,Supplier_Invoices!$W36,"")</f>
        <v/>
      </c>
      <c r="O1388" s="32">
        <f>IF($A1388=1,Supplier_Invoices!$O36,"")</f>
        <v/>
      </c>
      <c r="P1388" s="32">
        <f>IF($A1388=1,IF(Supplier_Invoices!$AE36="","",Supplier_Invoices!$AE36),"")</f>
        <v/>
      </c>
      <c r="Q1388" s="32">
        <f>IF($A1388=1,Supplier_Invoices!$AG36,"")</f>
        <v/>
      </c>
      <c r="R1388" s="32">
        <f>IF($A1388=1,IF(AND($Q1388=1,COUNTIFS(COA!$A:$A,$G1388,COA!$R:$R,1)=1),1,0),"")</f>
        <v/>
      </c>
      <c r="S1388" s="43">
        <f>IF($A1388=1,IF($R1388=1,N($M1388),0),"")</f>
        <v/>
      </c>
      <c r="T1388" s="43">
        <f>IF($A1388=1,IF($R1388=1,N($N1388),0),"")</f>
        <v/>
      </c>
      <c r="U1388" s="32">
        <f>IF($A1388=1,YEAR($D1388)*100+MONTH($D1388),"")</f>
        <v/>
      </c>
      <c r="V1388" s="32">
        <f>IF($A1388=1,IF(COUNTIF(COA!$A:$A,$G1388)=0,0,INDEX(COA!$H:$H,MATCH($G1388,COA!$A:$A,0))),"")</f>
        <v/>
      </c>
      <c r="W1388" s="32">
        <f>IF($A1388=1,IF(Supplier_Invoices!$AB36="","",Supplier_Invoices!$AB36),"")</f>
        <v/>
      </c>
      <c r="X1388" s="32">
        <f>IF($A1388=1,IF($R1388=1,"",IF($O1388=ST_POST,IF($P1388&lt;&gt;"",$P1388,"حساب غير صالح أو غير نشط"),IF($O1388=ST_REV,"معكوس: لا أثر على الدفاتر",IF($O1388=ST_CANC,"ملغى",IF($O1388=ST_APPR,"معتمد ولم يُرحَّل","مسودة"))))),"")</f>
        <v/>
      </c>
      <c r="Y1388" s="32">
        <f>IF($A1388=1,IF(AND($R1388=1,OR(LG_Acct="",$G1388=LG_Acct),OR(LG_Party="",$K1388=LG_Party),OR(LG_Loc="ALL",$I1388=LG_Loc),OR(LG_CC="ALL",$J1388=LG_CC),$D1388&gt;=LG_From,$D1388&lt;=LG_To),$D1388+ROW()/1000000,""),"")</f>
        <v/>
      </c>
      <c r="Z1388" s="32">
        <f>IF($A1388=1,IF(Supplier_Invoices!$P36="","",Supplier_Invoices!$P36),"")</f>
        <v/>
      </c>
      <c r="AA1388" s="32">
        <f>IF($A1388=1,IF(Supplier_Invoices!$Q36="","",Supplier_Invoices!$Q36),"")</f>
        <v/>
      </c>
      <c r="AB1388" s="32">
        <f>IF($A1388=1,IF(Supplier_Invoices!$R36="","",Supplier_Invoices!$R36),"")</f>
        <v/>
      </c>
      <c r="AC1388" s="32">
        <f>IF($A1388=1,IF(Supplier_Invoices!$S36="","",Supplier_Invoices!$S36),"")</f>
        <v/>
      </c>
      <c r="AD1388" s="32">
        <f>IF($A1388=1,IF(Supplier_Invoices!$T36="","",Supplier_Invoices!$T36),"")</f>
        <v/>
      </c>
      <c r="AE1388" s="32">
        <f>IF($A1388=1,0,"")</f>
        <v/>
      </c>
      <c r="AF1388" s="32" t="inlineStr"/>
    </row>
    <row r="1389">
      <c r="A1389" s="32">
        <f>IF(AND(Supplier_Invoices!$AD37=1,N(Supplier_Invoices!$J37)&gt;0),1,0)</f>
        <v/>
      </c>
      <c r="B1389" s="32">
        <f>IF($A1389=1,$E1389&amp;"/1","")</f>
        <v/>
      </c>
      <c r="C1389" s="32">
        <f>IF($A1389=1,"J-"&amp;Supplier_Invoices!$A37,"")</f>
        <v/>
      </c>
      <c r="D1389" s="33">
        <f>IF($A1389=1,Supplier_Invoices!$E37,"")</f>
        <v/>
      </c>
      <c r="E1389" s="32">
        <f>IF($A1389=1,IF(Supplier_Invoices!$A37="","",Supplier_Invoices!$A37),"")</f>
        <v/>
      </c>
      <c r="F1389" s="32">
        <f>IF($A1389=1,"SINV","")</f>
        <v/>
      </c>
      <c r="G1389" s="32">
        <f>IF($A1389=1,IF(Supplier_Invoices!$G37="","",Supplier_Invoices!$G37),"")</f>
        <v/>
      </c>
      <c r="H1389" s="32">
        <f>IF($A1389=1,IF(COUNTIF(COA!$A:$A,$G1389)=0,"حساب غير معرف",INDEX(COA!$B:$B,MATCH($G1389,COA!$A:$A,0))),"")</f>
        <v/>
      </c>
      <c r="I1389" s="32">
        <f>IF($A1389=1,IF(Supplier_Invoices!$H37="","",Supplier_Invoices!$H37),"")</f>
        <v/>
      </c>
      <c r="J1389" s="32">
        <f>IF($A1389=1,IF(Supplier_Invoices!$I37="","",Supplier_Invoices!$I37),"")</f>
        <v/>
      </c>
      <c r="K1389" s="32">
        <f>IF($A1389=1,"-","")</f>
        <v/>
      </c>
      <c r="L1389" s="32">
        <f>IF($A1389=1,Supplier_Invoices!$F37&amp;" "&amp;Supplier_Invoices!$B37&amp;" - "&amp;Supplier_Invoices!$C37,"")</f>
        <v/>
      </c>
      <c r="M1389" s="43">
        <f>IF($A1389=1,IF(Supplier_Invoices!$V37="CN",0,Supplier_Invoices!$J37),"")</f>
        <v/>
      </c>
      <c r="N1389" s="43">
        <f>IF($A1389=1,IF(Supplier_Invoices!$V37="CN",Supplier_Invoices!$J37,0),"")</f>
        <v/>
      </c>
      <c r="O1389" s="32">
        <f>IF($A1389=1,Supplier_Invoices!$O37,"")</f>
        <v/>
      </c>
      <c r="P1389" s="32">
        <f>IF($A1389=1,IF(Supplier_Invoices!$AE37="","",Supplier_Invoices!$AE37),"")</f>
        <v/>
      </c>
      <c r="Q1389" s="32">
        <f>IF($A1389=1,Supplier_Invoices!$AG37,"")</f>
        <v/>
      </c>
      <c r="R1389" s="32">
        <f>IF($A1389=1,IF(AND($Q1389=1,COUNTIFS(COA!$A:$A,$G1389,COA!$R:$R,1)=1),1,0),"")</f>
        <v/>
      </c>
      <c r="S1389" s="43">
        <f>IF($A1389=1,IF($R1389=1,N($M1389),0),"")</f>
        <v/>
      </c>
      <c r="T1389" s="43">
        <f>IF($A1389=1,IF($R1389=1,N($N1389),0),"")</f>
        <v/>
      </c>
      <c r="U1389" s="32">
        <f>IF($A1389=1,YEAR($D1389)*100+MONTH($D1389),"")</f>
        <v/>
      </c>
      <c r="V1389" s="32">
        <f>IF($A1389=1,IF(COUNTIF(COA!$A:$A,$G1389)=0,0,INDEX(COA!$H:$H,MATCH($G1389,COA!$A:$A,0))),"")</f>
        <v/>
      </c>
      <c r="W1389" s="32">
        <f>IF($A1389=1,"","")</f>
        <v/>
      </c>
      <c r="X1389" s="32">
        <f>IF($A1389=1,IF($R1389=1,"",IF($O1389=ST_POST,IF($P1389&lt;&gt;"",$P1389,"حساب غير صالح أو غير نشط"),IF($O1389=ST_REV,"معكوس: لا أثر على الدفاتر",IF($O1389=ST_CANC,"ملغى",IF($O1389=ST_APPR,"معتمد ولم يُرحَّل","مسودة"))))),"")</f>
        <v/>
      </c>
      <c r="Y1389" s="32">
        <f>IF($A1389=1,IF(AND($R1389=1,OR(LG_Acct="",$G1389=LG_Acct),OR(LG_Party="",$K1389=LG_Party),OR(LG_Loc="ALL",$I1389=LG_Loc),OR(LG_CC="ALL",$J1389=LG_CC),$D1389&gt;=LG_From,$D1389&lt;=LG_To),$D1389+ROW()/1000000,""),"")</f>
        <v/>
      </c>
      <c r="Z1389" s="32">
        <f>IF($A1389=1,IF(Supplier_Invoices!$P37="","",Supplier_Invoices!$P37),"")</f>
        <v/>
      </c>
      <c r="AA1389" s="32">
        <f>IF($A1389=1,IF(Supplier_Invoices!$Q37="","",Supplier_Invoices!$Q37),"")</f>
        <v/>
      </c>
      <c r="AB1389" s="32">
        <f>IF($A1389=1,IF(Supplier_Invoices!$R37="","",Supplier_Invoices!$R37),"")</f>
        <v/>
      </c>
      <c r="AC1389" s="32">
        <f>IF($A1389=1,IF(Supplier_Invoices!$S37="","",Supplier_Invoices!$S37),"")</f>
        <v/>
      </c>
      <c r="AD1389" s="32">
        <f>IF($A1389=1,IF(Supplier_Invoices!$T37="","",Supplier_Invoices!$T37),"")</f>
        <v/>
      </c>
      <c r="AE1389" s="32">
        <f>IF($A1389=1,0,"")</f>
        <v/>
      </c>
      <c r="AF1389" s="32" t="inlineStr"/>
    </row>
    <row r="1390">
      <c r="A1390" s="32">
        <f>IF(AND(Supplier_Invoices!$AD37=1,N(Supplier_Invoices!$K37)&gt;0),1,0)</f>
        <v/>
      </c>
      <c r="B1390" s="32">
        <f>IF($A1390=1,$E1390&amp;"/2","")</f>
        <v/>
      </c>
      <c r="C1390" s="32">
        <f>IF($A1390=1,"J-"&amp;Supplier_Invoices!$A37,"")</f>
        <v/>
      </c>
      <c r="D1390" s="33">
        <f>IF($A1390=1,Supplier_Invoices!$E37,"")</f>
        <v/>
      </c>
      <c r="E1390" s="32">
        <f>IF($A1390=1,IF(Supplier_Invoices!$A37="","",Supplier_Invoices!$A37),"")</f>
        <v/>
      </c>
      <c r="F1390" s="32">
        <f>IF($A1390=1,"SINV","")</f>
        <v/>
      </c>
      <c r="G1390" s="32">
        <f>IF($A1390=1,ACC_VAT_IN,"")</f>
        <v/>
      </c>
      <c r="H1390" s="32">
        <f>IF($A1390=1,IF(COUNTIF(COA!$A:$A,$G1390)=0,"حساب غير معرف",INDEX(COA!$B:$B,MATCH($G1390,COA!$A:$A,0))),"")</f>
        <v/>
      </c>
      <c r="I1390" s="32">
        <f>IF($A1390=1,IF(Supplier_Invoices!$H37="","",Supplier_Invoices!$H37),"")</f>
        <v/>
      </c>
      <c r="J1390" s="32">
        <f>IF($A1390=1,IF(Supplier_Invoices!$I37="","",Supplier_Invoices!$I37),"")</f>
        <v/>
      </c>
      <c r="K1390" s="32">
        <f>IF($A1390=1,"-","")</f>
        <v/>
      </c>
      <c r="L1390" s="32">
        <f>IF($A1390=1,"ضريبة قيمة مضافة - مدخلات","")</f>
        <v/>
      </c>
      <c r="M1390" s="43">
        <f>IF($A1390=1,IF(Supplier_Invoices!$V37="CN",0,Supplier_Invoices!$K37),"")</f>
        <v/>
      </c>
      <c r="N1390" s="43">
        <f>IF($A1390=1,IF(Supplier_Invoices!$V37="CN",Supplier_Invoices!$K37,0),"")</f>
        <v/>
      </c>
      <c r="O1390" s="32">
        <f>IF($A1390=1,Supplier_Invoices!$O37,"")</f>
        <v/>
      </c>
      <c r="P1390" s="32">
        <f>IF($A1390=1,IF(Supplier_Invoices!$AE37="","",Supplier_Invoices!$AE37),"")</f>
        <v/>
      </c>
      <c r="Q1390" s="32">
        <f>IF($A1390=1,Supplier_Invoices!$AG37,"")</f>
        <v/>
      </c>
      <c r="R1390" s="32">
        <f>IF($A1390=1,IF(AND($Q1390=1,COUNTIFS(COA!$A:$A,$G1390,COA!$R:$R,1)=1),1,0),"")</f>
        <v/>
      </c>
      <c r="S1390" s="43">
        <f>IF($A1390=1,IF($R1390=1,N($M1390),0),"")</f>
        <v/>
      </c>
      <c r="T1390" s="43">
        <f>IF($A1390=1,IF($R1390=1,N($N1390),0),"")</f>
        <v/>
      </c>
      <c r="U1390" s="32">
        <f>IF($A1390=1,YEAR($D1390)*100+MONTH($D1390),"")</f>
        <v/>
      </c>
      <c r="V1390" s="32">
        <f>IF($A1390=1,IF(COUNTIF(COA!$A:$A,$G1390)=0,0,INDEX(COA!$H:$H,MATCH($G1390,COA!$A:$A,0))),"")</f>
        <v/>
      </c>
      <c r="W1390" s="32">
        <f>IF($A1390=1,"","")</f>
        <v/>
      </c>
      <c r="X1390" s="32">
        <f>IF($A1390=1,IF($R1390=1,"",IF($O1390=ST_POST,IF($P1390&lt;&gt;"",$P1390,"حساب غير صالح أو غير نشط"),IF($O1390=ST_REV,"معكوس: لا أثر على الدفاتر",IF($O1390=ST_CANC,"ملغى",IF($O1390=ST_APPR,"معتمد ولم يُرحَّل","مسودة"))))),"")</f>
        <v/>
      </c>
      <c r="Y1390" s="32">
        <f>IF($A1390=1,IF(AND($R1390=1,OR(LG_Acct="",$G1390=LG_Acct),OR(LG_Party="",$K1390=LG_Party),OR(LG_Loc="ALL",$I1390=LG_Loc),OR(LG_CC="ALL",$J1390=LG_CC),$D1390&gt;=LG_From,$D1390&lt;=LG_To),$D1390+ROW()/1000000,""),"")</f>
        <v/>
      </c>
      <c r="Z1390" s="32">
        <f>IF($A1390=1,IF(Supplier_Invoices!$P37="","",Supplier_Invoices!$P37),"")</f>
        <v/>
      </c>
      <c r="AA1390" s="32">
        <f>IF($A1390=1,IF(Supplier_Invoices!$Q37="","",Supplier_Invoices!$Q37),"")</f>
        <v/>
      </c>
      <c r="AB1390" s="32">
        <f>IF($A1390=1,IF(Supplier_Invoices!$R37="","",Supplier_Invoices!$R37),"")</f>
        <v/>
      </c>
      <c r="AC1390" s="32">
        <f>IF($A1390=1,IF(Supplier_Invoices!$S37="","",Supplier_Invoices!$S37),"")</f>
        <v/>
      </c>
      <c r="AD1390" s="32">
        <f>IF($A1390=1,IF(Supplier_Invoices!$T37="","",Supplier_Invoices!$T37),"")</f>
        <v/>
      </c>
      <c r="AE1390" s="32">
        <f>IF($A1390=1,0,"")</f>
        <v/>
      </c>
      <c r="AF1390" s="32" t="inlineStr"/>
    </row>
    <row r="1391">
      <c r="A1391" s="32">
        <f>IF(AND(Supplier_Invoices!$AD37=1,N(Supplier_Invoices!$W37)&gt;0),1,0)</f>
        <v/>
      </c>
      <c r="B1391" s="32">
        <f>IF($A1391=1,$E1391&amp;"/3","")</f>
        <v/>
      </c>
      <c r="C1391" s="32">
        <f>IF($A1391=1,"J-"&amp;Supplier_Invoices!$A37,"")</f>
        <v/>
      </c>
      <c r="D1391" s="33">
        <f>IF($A1391=1,Supplier_Invoices!$E37,"")</f>
        <v/>
      </c>
      <c r="E1391" s="32">
        <f>IF($A1391=1,IF(Supplier_Invoices!$A37="","",Supplier_Invoices!$A37),"")</f>
        <v/>
      </c>
      <c r="F1391" s="32">
        <f>IF($A1391=1,"SINV","")</f>
        <v/>
      </c>
      <c r="G1391" s="32">
        <f>IF($A1391=1,ACC_SUPPLIERS,"")</f>
        <v/>
      </c>
      <c r="H1391" s="32">
        <f>IF($A1391=1,IF(COUNTIF(COA!$A:$A,$G1391)=0,"حساب غير معرف",INDEX(COA!$B:$B,MATCH($G1391,COA!$A:$A,0))),"")</f>
        <v/>
      </c>
      <c r="I1391" s="32">
        <f>IF($A1391=1,IF(Supplier_Invoices!$H37="","",Supplier_Invoices!$H37),"")</f>
        <v/>
      </c>
      <c r="J1391" s="32">
        <f>IF($A1391=1,"CC00","")</f>
        <v/>
      </c>
      <c r="K1391" s="32">
        <f>IF($A1391=1,IF(Supplier_Invoices!$C37="","",Supplier_Invoices!$C37),"")</f>
        <v/>
      </c>
      <c r="L1391" s="32">
        <f>IF($A1391=1,Supplier_Invoices!$F37&amp;" "&amp;Supplier_Invoices!$B37&amp;" - "&amp;Supplier_Invoices!$C37,"")</f>
        <v/>
      </c>
      <c r="M1391" s="43">
        <f>IF($A1391=1,IF(Supplier_Invoices!$V37="CN",Supplier_Invoices!$W37,0),"")</f>
        <v/>
      </c>
      <c r="N1391" s="43">
        <f>IF($A1391=1,IF(Supplier_Invoices!$V37="CN",0,Supplier_Invoices!$W37),"")</f>
        <v/>
      </c>
      <c r="O1391" s="32">
        <f>IF($A1391=1,Supplier_Invoices!$O37,"")</f>
        <v/>
      </c>
      <c r="P1391" s="32">
        <f>IF($A1391=1,IF(Supplier_Invoices!$AE37="","",Supplier_Invoices!$AE37),"")</f>
        <v/>
      </c>
      <c r="Q1391" s="32">
        <f>IF($A1391=1,Supplier_Invoices!$AG37,"")</f>
        <v/>
      </c>
      <c r="R1391" s="32">
        <f>IF($A1391=1,IF(AND($Q1391=1,COUNTIFS(COA!$A:$A,$G1391,COA!$R:$R,1)=1),1,0),"")</f>
        <v/>
      </c>
      <c r="S1391" s="43">
        <f>IF($A1391=1,IF($R1391=1,N($M1391),0),"")</f>
        <v/>
      </c>
      <c r="T1391" s="43">
        <f>IF($A1391=1,IF($R1391=1,N($N1391),0),"")</f>
        <v/>
      </c>
      <c r="U1391" s="32">
        <f>IF($A1391=1,YEAR($D1391)*100+MONTH($D1391),"")</f>
        <v/>
      </c>
      <c r="V1391" s="32">
        <f>IF($A1391=1,IF(COUNTIF(COA!$A:$A,$G1391)=0,0,INDEX(COA!$H:$H,MATCH($G1391,COA!$A:$A,0))),"")</f>
        <v/>
      </c>
      <c r="W1391" s="32">
        <f>IF($A1391=1,"","")</f>
        <v/>
      </c>
      <c r="X1391" s="32">
        <f>IF($A1391=1,IF($R1391=1,"",IF($O1391=ST_POST,IF($P1391&lt;&gt;"",$P1391,"حساب غير صالح أو غير نشط"),IF($O1391=ST_REV,"معكوس: لا أثر على الدفاتر",IF($O1391=ST_CANC,"ملغى",IF($O1391=ST_APPR,"معتمد ولم يُرحَّل","مسودة"))))),"")</f>
        <v/>
      </c>
      <c r="Y1391" s="32">
        <f>IF($A1391=1,IF(AND($R1391=1,OR(LG_Acct="",$G1391=LG_Acct),OR(LG_Party="",$K1391=LG_Party),OR(LG_Loc="ALL",$I1391=LG_Loc),OR(LG_CC="ALL",$J1391=LG_CC),$D1391&gt;=LG_From,$D1391&lt;=LG_To),$D1391+ROW()/1000000,""),"")</f>
        <v/>
      </c>
      <c r="Z1391" s="32">
        <f>IF($A1391=1,IF(Supplier_Invoices!$P37="","",Supplier_Invoices!$P37),"")</f>
        <v/>
      </c>
      <c r="AA1391" s="32">
        <f>IF($A1391=1,IF(Supplier_Invoices!$Q37="","",Supplier_Invoices!$Q37),"")</f>
        <v/>
      </c>
      <c r="AB1391" s="32">
        <f>IF($A1391=1,IF(Supplier_Invoices!$R37="","",Supplier_Invoices!$R37),"")</f>
        <v/>
      </c>
      <c r="AC1391" s="32">
        <f>IF($A1391=1,IF(Supplier_Invoices!$S37="","",Supplier_Invoices!$S37),"")</f>
        <v/>
      </c>
      <c r="AD1391" s="32">
        <f>IF($A1391=1,IF(Supplier_Invoices!$T37="","",Supplier_Invoices!$T37),"")</f>
        <v/>
      </c>
      <c r="AE1391" s="32">
        <f>IF($A1391=1,0,"")</f>
        <v/>
      </c>
      <c r="AF1391" s="32" t="inlineStr"/>
    </row>
    <row r="1392">
      <c r="A1392" s="32">
        <f>IF(AND(Supplier_Invoices!$AD37=1,Supplier_Invoices!$L37&lt;&gt;"",Supplier_Invoices!$V37&lt;&gt;"CN",N(Supplier_Invoices!$W37)&gt;0),1,0)</f>
        <v/>
      </c>
      <c r="B1392" s="32">
        <f>IF($A1392=1,$E1392&amp;"/4","")</f>
        <v/>
      </c>
      <c r="C1392" s="32">
        <f>IF($A1392=1,"J-"&amp;Supplier_Invoices!$A37,"")</f>
        <v/>
      </c>
      <c r="D1392" s="33">
        <f>IF($A1392=1,Supplier_Invoices!$E37,"")</f>
        <v/>
      </c>
      <c r="E1392" s="32">
        <f>IF($A1392=1,IF(Supplier_Invoices!$A37="","",Supplier_Invoices!$A37),"")</f>
        <v/>
      </c>
      <c r="F1392" s="32">
        <f>IF($A1392=1,"SINV","")</f>
        <v/>
      </c>
      <c r="G1392" s="32">
        <f>IF($A1392=1,ACC_SUPPLIERS,"")</f>
        <v/>
      </c>
      <c r="H1392" s="32">
        <f>IF($A1392=1,IF(COUNTIF(COA!$A:$A,$G1392)=0,"حساب غير معرف",INDEX(COA!$B:$B,MATCH($G1392,COA!$A:$A,0))),"")</f>
        <v/>
      </c>
      <c r="I1392" s="32">
        <f>IF($A1392=1,IF(Supplier_Invoices!$H37="","",Supplier_Invoices!$H37),"")</f>
        <v/>
      </c>
      <c r="J1392" s="32">
        <f>IF($A1392=1,"CC00","")</f>
        <v/>
      </c>
      <c r="K1392" s="32">
        <f>IF($A1392=1,IF(Supplier_Invoices!$C37="","",Supplier_Invoices!$C37),"")</f>
        <v/>
      </c>
      <c r="L1392" s="32">
        <f>IF($A1392=1,"سداد فوري - "&amp;Supplier_Invoices!$F37&amp;" "&amp;Supplier_Invoices!$B37&amp;" - "&amp;Supplier_Invoices!$C37,"")</f>
        <v/>
      </c>
      <c r="M1392" s="43">
        <f>IF($A1392=1,Supplier_Invoices!$W37,"")</f>
        <v/>
      </c>
      <c r="N1392" s="43">
        <f>IF($A1392=1,0,"")</f>
        <v/>
      </c>
      <c r="O1392" s="32">
        <f>IF($A1392=1,Supplier_Invoices!$O37,"")</f>
        <v/>
      </c>
      <c r="P1392" s="32">
        <f>IF($A1392=1,IF(Supplier_Invoices!$AE37="","",Supplier_Invoices!$AE37),"")</f>
        <v/>
      </c>
      <c r="Q1392" s="32">
        <f>IF($A1392=1,Supplier_Invoices!$AG37,"")</f>
        <v/>
      </c>
      <c r="R1392" s="32">
        <f>IF($A1392=1,IF(AND($Q1392=1,COUNTIFS(COA!$A:$A,$G1392,COA!$R:$R,1)=1),1,0),"")</f>
        <v/>
      </c>
      <c r="S1392" s="43">
        <f>IF($A1392=1,IF($R1392=1,N($M1392),0),"")</f>
        <v/>
      </c>
      <c r="T1392" s="43">
        <f>IF($A1392=1,IF($R1392=1,N($N1392),0),"")</f>
        <v/>
      </c>
      <c r="U1392" s="32">
        <f>IF($A1392=1,YEAR($D1392)*100+MONTH($D1392),"")</f>
        <v/>
      </c>
      <c r="V1392" s="32">
        <f>IF($A1392=1,IF(COUNTIF(COA!$A:$A,$G1392)=0,0,INDEX(COA!$H:$H,MATCH($G1392,COA!$A:$A,0))),"")</f>
        <v/>
      </c>
      <c r="W1392" s="32">
        <f>IF($A1392=1,"","")</f>
        <v/>
      </c>
      <c r="X1392" s="32">
        <f>IF($A1392=1,IF($R1392=1,"",IF($O1392=ST_POST,IF($P1392&lt;&gt;"",$P1392,"حساب غير صالح أو غير نشط"),IF($O1392=ST_REV,"معكوس: لا أثر على الدفاتر",IF($O1392=ST_CANC,"ملغى",IF($O1392=ST_APPR,"معتمد ولم يُرحَّل","مسودة"))))),"")</f>
        <v/>
      </c>
      <c r="Y1392" s="32">
        <f>IF($A1392=1,IF(AND($R1392=1,OR(LG_Acct="",$G1392=LG_Acct),OR(LG_Party="",$K1392=LG_Party),OR(LG_Loc="ALL",$I1392=LG_Loc),OR(LG_CC="ALL",$J1392=LG_CC),$D1392&gt;=LG_From,$D1392&lt;=LG_To),$D1392+ROW()/1000000,""),"")</f>
        <v/>
      </c>
      <c r="Z1392" s="32">
        <f>IF($A1392=1,IF(Supplier_Invoices!$P37="","",Supplier_Invoices!$P37),"")</f>
        <v/>
      </c>
      <c r="AA1392" s="32">
        <f>IF($A1392=1,IF(Supplier_Invoices!$Q37="","",Supplier_Invoices!$Q37),"")</f>
        <v/>
      </c>
      <c r="AB1392" s="32">
        <f>IF($A1392=1,IF(Supplier_Invoices!$R37="","",Supplier_Invoices!$R37),"")</f>
        <v/>
      </c>
      <c r="AC1392" s="32">
        <f>IF($A1392=1,IF(Supplier_Invoices!$S37="","",Supplier_Invoices!$S37),"")</f>
        <v/>
      </c>
      <c r="AD1392" s="32">
        <f>IF($A1392=1,IF(Supplier_Invoices!$T37="","",Supplier_Invoices!$T37),"")</f>
        <v/>
      </c>
      <c r="AE1392" s="32">
        <f>IF($A1392=1,0,"")</f>
        <v/>
      </c>
      <c r="AF1392" s="32" t="inlineStr"/>
    </row>
    <row r="1393">
      <c r="A1393" s="32">
        <f>IF(AND(Supplier_Invoices!$AD37=1,Supplier_Invoices!$L37&lt;&gt;"",Supplier_Invoices!$V37&lt;&gt;"CN",N(Supplier_Invoices!$W37)&gt;0),1,0)</f>
        <v/>
      </c>
      <c r="B1393" s="32">
        <f>IF($A1393=1,$E1393&amp;"/5","")</f>
        <v/>
      </c>
      <c r="C1393" s="32">
        <f>IF($A1393=1,"J-"&amp;Supplier_Invoices!$A37,"")</f>
        <v/>
      </c>
      <c r="D1393" s="33">
        <f>IF($A1393=1,Supplier_Invoices!$E37,"")</f>
        <v/>
      </c>
      <c r="E1393" s="32">
        <f>IF($A1393=1,IF(Supplier_Invoices!$A37="","",Supplier_Invoices!$A37),"")</f>
        <v/>
      </c>
      <c r="F1393" s="32">
        <f>IF($A1393=1,"SINV","")</f>
        <v/>
      </c>
      <c r="G1393" s="32">
        <f>IF($A1393=1,IF(Supplier_Invoices!$AA37="","",Supplier_Invoices!$AA37),"")</f>
        <v/>
      </c>
      <c r="H1393" s="32">
        <f>IF($A1393=1,IF(COUNTIF(COA!$A:$A,$G1393)=0,"حساب غير معرف",INDEX(COA!$B:$B,MATCH($G1393,COA!$A:$A,0))),"")</f>
        <v/>
      </c>
      <c r="I1393" s="32">
        <f>IF($A1393=1,IF(Supplier_Invoices!$H37="","",Supplier_Invoices!$H37),"")</f>
        <v/>
      </c>
      <c r="J1393" s="32">
        <f>IF($A1393=1,"CC00","")</f>
        <v/>
      </c>
      <c r="K1393" s="32">
        <f>IF($A1393=1,"-","")</f>
        <v/>
      </c>
      <c r="L1393" s="32">
        <f>IF($A1393=1,"سداد فوري - "&amp;Supplier_Invoices!$F37&amp;" "&amp;Supplier_Invoices!$B37&amp;" - "&amp;Supplier_Invoices!$C37,"")</f>
        <v/>
      </c>
      <c r="M1393" s="43">
        <f>IF($A1393=1,0,"")</f>
        <v/>
      </c>
      <c r="N1393" s="43">
        <f>IF($A1393=1,Supplier_Invoices!$W37,"")</f>
        <v/>
      </c>
      <c r="O1393" s="32">
        <f>IF($A1393=1,Supplier_Invoices!$O37,"")</f>
        <v/>
      </c>
      <c r="P1393" s="32">
        <f>IF($A1393=1,IF(Supplier_Invoices!$AE37="","",Supplier_Invoices!$AE37),"")</f>
        <v/>
      </c>
      <c r="Q1393" s="32">
        <f>IF($A1393=1,Supplier_Invoices!$AG37,"")</f>
        <v/>
      </c>
      <c r="R1393" s="32">
        <f>IF($A1393=1,IF(AND($Q1393=1,COUNTIFS(COA!$A:$A,$G1393,COA!$R:$R,1)=1),1,0),"")</f>
        <v/>
      </c>
      <c r="S1393" s="43">
        <f>IF($A1393=1,IF($R1393=1,N($M1393),0),"")</f>
        <v/>
      </c>
      <c r="T1393" s="43">
        <f>IF($A1393=1,IF($R1393=1,N($N1393),0),"")</f>
        <v/>
      </c>
      <c r="U1393" s="32">
        <f>IF($A1393=1,YEAR($D1393)*100+MONTH($D1393),"")</f>
        <v/>
      </c>
      <c r="V1393" s="32">
        <f>IF($A1393=1,IF(COUNTIF(COA!$A:$A,$G1393)=0,0,INDEX(COA!$H:$H,MATCH($G1393,COA!$A:$A,0))),"")</f>
        <v/>
      </c>
      <c r="W1393" s="32">
        <f>IF($A1393=1,IF(Supplier_Invoices!$AB37="","",Supplier_Invoices!$AB37),"")</f>
        <v/>
      </c>
      <c r="X1393" s="32">
        <f>IF($A1393=1,IF($R1393=1,"",IF($O1393=ST_POST,IF($P1393&lt;&gt;"",$P1393,"حساب غير صالح أو غير نشط"),IF($O1393=ST_REV,"معكوس: لا أثر على الدفاتر",IF($O1393=ST_CANC,"ملغى",IF($O1393=ST_APPR,"معتمد ولم يُرحَّل","مسودة"))))),"")</f>
        <v/>
      </c>
      <c r="Y1393" s="32">
        <f>IF($A1393=1,IF(AND($R1393=1,OR(LG_Acct="",$G1393=LG_Acct),OR(LG_Party="",$K1393=LG_Party),OR(LG_Loc="ALL",$I1393=LG_Loc),OR(LG_CC="ALL",$J1393=LG_CC),$D1393&gt;=LG_From,$D1393&lt;=LG_To),$D1393+ROW()/1000000,""),"")</f>
        <v/>
      </c>
      <c r="Z1393" s="32">
        <f>IF($A1393=1,IF(Supplier_Invoices!$P37="","",Supplier_Invoices!$P37),"")</f>
        <v/>
      </c>
      <c r="AA1393" s="32">
        <f>IF($A1393=1,IF(Supplier_Invoices!$Q37="","",Supplier_Invoices!$Q37),"")</f>
        <v/>
      </c>
      <c r="AB1393" s="32">
        <f>IF($A1393=1,IF(Supplier_Invoices!$R37="","",Supplier_Invoices!$R37),"")</f>
        <v/>
      </c>
      <c r="AC1393" s="32">
        <f>IF($A1393=1,IF(Supplier_Invoices!$S37="","",Supplier_Invoices!$S37),"")</f>
        <v/>
      </c>
      <c r="AD1393" s="32">
        <f>IF($A1393=1,IF(Supplier_Invoices!$T37="","",Supplier_Invoices!$T37),"")</f>
        <v/>
      </c>
      <c r="AE1393" s="32">
        <f>IF($A1393=1,0,"")</f>
        <v/>
      </c>
      <c r="AF1393" s="32" t="inlineStr"/>
    </row>
    <row r="1394">
      <c r="A1394" s="32">
        <f>IF(AND(Supplier_Invoices!$AD38=1,N(Supplier_Invoices!$J38)&gt;0),1,0)</f>
        <v/>
      </c>
      <c r="B1394" s="32">
        <f>IF($A1394=1,$E1394&amp;"/1","")</f>
        <v/>
      </c>
      <c r="C1394" s="32">
        <f>IF($A1394=1,"J-"&amp;Supplier_Invoices!$A38,"")</f>
        <v/>
      </c>
      <c r="D1394" s="33">
        <f>IF($A1394=1,Supplier_Invoices!$E38,"")</f>
        <v/>
      </c>
      <c r="E1394" s="32">
        <f>IF($A1394=1,IF(Supplier_Invoices!$A38="","",Supplier_Invoices!$A38),"")</f>
        <v/>
      </c>
      <c r="F1394" s="32">
        <f>IF($A1394=1,"SINV","")</f>
        <v/>
      </c>
      <c r="G1394" s="32">
        <f>IF($A1394=1,IF(Supplier_Invoices!$G38="","",Supplier_Invoices!$G38),"")</f>
        <v/>
      </c>
      <c r="H1394" s="32">
        <f>IF($A1394=1,IF(COUNTIF(COA!$A:$A,$G1394)=0,"حساب غير معرف",INDEX(COA!$B:$B,MATCH($G1394,COA!$A:$A,0))),"")</f>
        <v/>
      </c>
      <c r="I1394" s="32">
        <f>IF($A1394=1,IF(Supplier_Invoices!$H38="","",Supplier_Invoices!$H38),"")</f>
        <v/>
      </c>
      <c r="J1394" s="32">
        <f>IF($A1394=1,IF(Supplier_Invoices!$I38="","",Supplier_Invoices!$I38),"")</f>
        <v/>
      </c>
      <c r="K1394" s="32">
        <f>IF($A1394=1,"-","")</f>
        <v/>
      </c>
      <c r="L1394" s="32">
        <f>IF($A1394=1,Supplier_Invoices!$F38&amp;" "&amp;Supplier_Invoices!$B38&amp;" - "&amp;Supplier_Invoices!$C38,"")</f>
        <v/>
      </c>
      <c r="M1394" s="43">
        <f>IF($A1394=1,IF(Supplier_Invoices!$V38="CN",0,Supplier_Invoices!$J38),"")</f>
        <v/>
      </c>
      <c r="N1394" s="43">
        <f>IF($A1394=1,IF(Supplier_Invoices!$V38="CN",Supplier_Invoices!$J38,0),"")</f>
        <v/>
      </c>
      <c r="O1394" s="32">
        <f>IF($A1394=1,Supplier_Invoices!$O38,"")</f>
        <v/>
      </c>
      <c r="P1394" s="32">
        <f>IF($A1394=1,IF(Supplier_Invoices!$AE38="","",Supplier_Invoices!$AE38),"")</f>
        <v/>
      </c>
      <c r="Q1394" s="32">
        <f>IF($A1394=1,Supplier_Invoices!$AG38,"")</f>
        <v/>
      </c>
      <c r="R1394" s="32">
        <f>IF($A1394=1,IF(AND($Q1394=1,COUNTIFS(COA!$A:$A,$G1394,COA!$R:$R,1)=1),1,0),"")</f>
        <v/>
      </c>
      <c r="S1394" s="43">
        <f>IF($A1394=1,IF($R1394=1,N($M1394),0),"")</f>
        <v/>
      </c>
      <c r="T1394" s="43">
        <f>IF($A1394=1,IF($R1394=1,N($N1394),0),"")</f>
        <v/>
      </c>
      <c r="U1394" s="32">
        <f>IF($A1394=1,YEAR($D1394)*100+MONTH($D1394),"")</f>
        <v/>
      </c>
      <c r="V1394" s="32">
        <f>IF($A1394=1,IF(COUNTIF(COA!$A:$A,$G1394)=0,0,INDEX(COA!$H:$H,MATCH($G1394,COA!$A:$A,0))),"")</f>
        <v/>
      </c>
      <c r="W1394" s="32">
        <f>IF($A1394=1,"","")</f>
        <v/>
      </c>
      <c r="X1394" s="32">
        <f>IF($A1394=1,IF($R1394=1,"",IF($O1394=ST_POST,IF($P1394&lt;&gt;"",$P1394,"حساب غير صالح أو غير نشط"),IF($O1394=ST_REV,"معكوس: لا أثر على الدفاتر",IF($O1394=ST_CANC,"ملغى",IF($O1394=ST_APPR,"معتمد ولم يُرحَّل","مسودة"))))),"")</f>
        <v/>
      </c>
      <c r="Y1394" s="32">
        <f>IF($A1394=1,IF(AND($R1394=1,OR(LG_Acct="",$G1394=LG_Acct),OR(LG_Party="",$K1394=LG_Party),OR(LG_Loc="ALL",$I1394=LG_Loc),OR(LG_CC="ALL",$J1394=LG_CC),$D1394&gt;=LG_From,$D1394&lt;=LG_To),$D1394+ROW()/1000000,""),"")</f>
        <v/>
      </c>
      <c r="Z1394" s="32">
        <f>IF($A1394=1,IF(Supplier_Invoices!$P38="","",Supplier_Invoices!$P38),"")</f>
        <v/>
      </c>
      <c r="AA1394" s="32">
        <f>IF($A1394=1,IF(Supplier_Invoices!$Q38="","",Supplier_Invoices!$Q38),"")</f>
        <v/>
      </c>
      <c r="AB1394" s="32">
        <f>IF($A1394=1,IF(Supplier_Invoices!$R38="","",Supplier_Invoices!$R38),"")</f>
        <v/>
      </c>
      <c r="AC1394" s="32">
        <f>IF($A1394=1,IF(Supplier_Invoices!$S38="","",Supplier_Invoices!$S38),"")</f>
        <v/>
      </c>
      <c r="AD1394" s="32">
        <f>IF($A1394=1,IF(Supplier_Invoices!$T38="","",Supplier_Invoices!$T38),"")</f>
        <v/>
      </c>
      <c r="AE1394" s="32">
        <f>IF($A1394=1,0,"")</f>
        <v/>
      </c>
      <c r="AF1394" s="32" t="inlineStr"/>
    </row>
    <row r="1395">
      <c r="A1395" s="32">
        <f>IF(AND(Supplier_Invoices!$AD38=1,N(Supplier_Invoices!$K38)&gt;0),1,0)</f>
        <v/>
      </c>
      <c r="B1395" s="32">
        <f>IF($A1395=1,$E1395&amp;"/2","")</f>
        <v/>
      </c>
      <c r="C1395" s="32">
        <f>IF($A1395=1,"J-"&amp;Supplier_Invoices!$A38,"")</f>
        <v/>
      </c>
      <c r="D1395" s="33">
        <f>IF($A1395=1,Supplier_Invoices!$E38,"")</f>
        <v/>
      </c>
      <c r="E1395" s="32">
        <f>IF($A1395=1,IF(Supplier_Invoices!$A38="","",Supplier_Invoices!$A38),"")</f>
        <v/>
      </c>
      <c r="F1395" s="32">
        <f>IF($A1395=1,"SINV","")</f>
        <v/>
      </c>
      <c r="G1395" s="32">
        <f>IF($A1395=1,ACC_VAT_IN,"")</f>
        <v/>
      </c>
      <c r="H1395" s="32">
        <f>IF($A1395=1,IF(COUNTIF(COA!$A:$A,$G1395)=0,"حساب غير معرف",INDEX(COA!$B:$B,MATCH($G1395,COA!$A:$A,0))),"")</f>
        <v/>
      </c>
      <c r="I1395" s="32">
        <f>IF($A1395=1,IF(Supplier_Invoices!$H38="","",Supplier_Invoices!$H38),"")</f>
        <v/>
      </c>
      <c r="J1395" s="32">
        <f>IF($A1395=1,IF(Supplier_Invoices!$I38="","",Supplier_Invoices!$I38),"")</f>
        <v/>
      </c>
      <c r="K1395" s="32">
        <f>IF($A1395=1,"-","")</f>
        <v/>
      </c>
      <c r="L1395" s="32">
        <f>IF($A1395=1,"ضريبة قيمة مضافة - مدخلات","")</f>
        <v/>
      </c>
      <c r="M1395" s="43">
        <f>IF($A1395=1,IF(Supplier_Invoices!$V38="CN",0,Supplier_Invoices!$K38),"")</f>
        <v/>
      </c>
      <c r="N1395" s="43">
        <f>IF($A1395=1,IF(Supplier_Invoices!$V38="CN",Supplier_Invoices!$K38,0),"")</f>
        <v/>
      </c>
      <c r="O1395" s="32">
        <f>IF($A1395=1,Supplier_Invoices!$O38,"")</f>
        <v/>
      </c>
      <c r="P1395" s="32">
        <f>IF($A1395=1,IF(Supplier_Invoices!$AE38="","",Supplier_Invoices!$AE38),"")</f>
        <v/>
      </c>
      <c r="Q1395" s="32">
        <f>IF($A1395=1,Supplier_Invoices!$AG38,"")</f>
        <v/>
      </c>
      <c r="R1395" s="32">
        <f>IF($A1395=1,IF(AND($Q1395=1,COUNTIFS(COA!$A:$A,$G1395,COA!$R:$R,1)=1),1,0),"")</f>
        <v/>
      </c>
      <c r="S1395" s="43">
        <f>IF($A1395=1,IF($R1395=1,N($M1395),0),"")</f>
        <v/>
      </c>
      <c r="T1395" s="43">
        <f>IF($A1395=1,IF($R1395=1,N($N1395),0),"")</f>
        <v/>
      </c>
      <c r="U1395" s="32">
        <f>IF($A1395=1,YEAR($D1395)*100+MONTH($D1395),"")</f>
        <v/>
      </c>
      <c r="V1395" s="32">
        <f>IF($A1395=1,IF(COUNTIF(COA!$A:$A,$G1395)=0,0,INDEX(COA!$H:$H,MATCH($G1395,COA!$A:$A,0))),"")</f>
        <v/>
      </c>
      <c r="W1395" s="32">
        <f>IF($A1395=1,"","")</f>
        <v/>
      </c>
      <c r="X1395" s="32">
        <f>IF($A1395=1,IF($R1395=1,"",IF($O1395=ST_POST,IF($P1395&lt;&gt;"",$P1395,"حساب غير صالح أو غير نشط"),IF($O1395=ST_REV,"معكوس: لا أثر على الدفاتر",IF($O1395=ST_CANC,"ملغى",IF($O1395=ST_APPR,"معتمد ولم يُرحَّل","مسودة"))))),"")</f>
        <v/>
      </c>
      <c r="Y1395" s="32">
        <f>IF($A1395=1,IF(AND($R1395=1,OR(LG_Acct="",$G1395=LG_Acct),OR(LG_Party="",$K1395=LG_Party),OR(LG_Loc="ALL",$I1395=LG_Loc),OR(LG_CC="ALL",$J1395=LG_CC),$D1395&gt;=LG_From,$D1395&lt;=LG_To),$D1395+ROW()/1000000,""),"")</f>
        <v/>
      </c>
      <c r="Z1395" s="32">
        <f>IF($A1395=1,IF(Supplier_Invoices!$P38="","",Supplier_Invoices!$P38),"")</f>
        <v/>
      </c>
      <c r="AA1395" s="32">
        <f>IF($A1395=1,IF(Supplier_Invoices!$Q38="","",Supplier_Invoices!$Q38),"")</f>
        <v/>
      </c>
      <c r="AB1395" s="32">
        <f>IF($A1395=1,IF(Supplier_Invoices!$R38="","",Supplier_Invoices!$R38),"")</f>
        <v/>
      </c>
      <c r="AC1395" s="32">
        <f>IF($A1395=1,IF(Supplier_Invoices!$S38="","",Supplier_Invoices!$S38),"")</f>
        <v/>
      </c>
      <c r="AD1395" s="32">
        <f>IF($A1395=1,IF(Supplier_Invoices!$T38="","",Supplier_Invoices!$T38),"")</f>
        <v/>
      </c>
      <c r="AE1395" s="32">
        <f>IF($A1395=1,0,"")</f>
        <v/>
      </c>
      <c r="AF1395" s="32" t="inlineStr"/>
    </row>
    <row r="1396">
      <c r="A1396" s="32">
        <f>IF(AND(Supplier_Invoices!$AD38=1,N(Supplier_Invoices!$W38)&gt;0),1,0)</f>
        <v/>
      </c>
      <c r="B1396" s="32">
        <f>IF($A1396=1,$E1396&amp;"/3","")</f>
        <v/>
      </c>
      <c r="C1396" s="32">
        <f>IF($A1396=1,"J-"&amp;Supplier_Invoices!$A38,"")</f>
        <v/>
      </c>
      <c r="D1396" s="33">
        <f>IF($A1396=1,Supplier_Invoices!$E38,"")</f>
        <v/>
      </c>
      <c r="E1396" s="32">
        <f>IF($A1396=1,IF(Supplier_Invoices!$A38="","",Supplier_Invoices!$A38),"")</f>
        <v/>
      </c>
      <c r="F1396" s="32">
        <f>IF($A1396=1,"SINV","")</f>
        <v/>
      </c>
      <c r="G1396" s="32">
        <f>IF($A1396=1,ACC_SUPPLIERS,"")</f>
        <v/>
      </c>
      <c r="H1396" s="32">
        <f>IF($A1396=1,IF(COUNTIF(COA!$A:$A,$G1396)=0,"حساب غير معرف",INDEX(COA!$B:$B,MATCH($G1396,COA!$A:$A,0))),"")</f>
        <v/>
      </c>
      <c r="I1396" s="32">
        <f>IF($A1396=1,IF(Supplier_Invoices!$H38="","",Supplier_Invoices!$H38),"")</f>
        <v/>
      </c>
      <c r="J1396" s="32">
        <f>IF($A1396=1,"CC00","")</f>
        <v/>
      </c>
      <c r="K1396" s="32">
        <f>IF($A1396=1,IF(Supplier_Invoices!$C38="","",Supplier_Invoices!$C38),"")</f>
        <v/>
      </c>
      <c r="L1396" s="32">
        <f>IF($A1396=1,Supplier_Invoices!$F38&amp;" "&amp;Supplier_Invoices!$B38&amp;" - "&amp;Supplier_Invoices!$C38,"")</f>
        <v/>
      </c>
      <c r="M1396" s="43">
        <f>IF($A1396=1,IF(Supplier_Invoices!$V38="CN",Supplier_Invoices!$W38,0),"")</f>
        <v/>
      </c>
      <c r="N1396" s="43">
        <f>IF($A1396=1,IF(Supplier_Invoices!$V38="CN",0,Supplier_Invoices!$W38),"")</f>
        <v/>
      </c>
      <c r="O1396" s="32">
        <f>IF($A1396=1,Supplier_Invoices!$O38,"")</f>
        <v/>
      </c>
      <c r="P1396" s="32">
        <f>IF($A1396=1,IF(Supplier_Invoices!$AE38="","",Supplier_Invoices!$AE38),"")</f>
        <v/>
      </c>
      <c r="Q1396" s="32">
        <f>IF($A1396=1,Supplier_Invoices!$AG38,"")</f>
        <v/>
      </c>
      <c r="R1396" s="32">
        <f>IF($A1396=1,IF(AND($Q1396=1,COUNTIFS(COA!$A:$A,$G1396,COA!$R:$R,1)=1),1,0),"")</f>
        <v/>
      </c>
      <c r="S1396" s="43">
        <f>IF($A1396=1,IF($R1396=1,N($M1396),0),"")</f>
        <v/>
      </c>
      <c r="T1396" s="43">
        <f>IF($A1396=1,IF($R1396=1,N($N1396),0),"")</f>
        <v/>
      </c>
      <c r="U1396" s="32">
        <f>IF($A1396=1,YEAR($D1396)*100+MONTH($D1396),"")</f>
        <v/>
      </c>
      <c r="V1396" s="32">
        <f>IF($A1396=1,IF(COUNTIF(COA!$A:$A,$G1396)=0,0,INDEX(COA!$H:$H,MATCH($G1396,COA!$A:$A,0))),"")</f>
        <v/>
      </c>
      <c r="W1396" s="32">
        <f>IF($A1396=1,"","")</f>
        <v/>
      </c>
      <c r="X1396" s="32">
        <f>IF($A1396=1,IF($R1396=1,"",IF($O1396=ST_POST,IF($P1396&lt;&gt;"",$P1396,"حساب غير صالح أو غير نشط"),IF($O1396=ST_REV,"معكوس: لا أثر على الدفاتر",IF($O1396=ST_CANC,"ملغى",IF($O1396=ST_APPR,"معتمد ولم يُرحَّل","مسودة"))))),"")</f>
        <v/>
      </c>
      <c r="Y1396" s="32">
        <f>IF($A1396=1,IF(AND($R1396=1,OR(LG_Acct="",$G1396=LG_Acct),OR(LG_Party="",$K1396=LG_Party),OR(LG_Loc="ALL",$I1396=LG_Loc),OR(LG_CC="ALL",$J1396=LG_CC),$D1396&gt;=LG_From,$D1396&lt;=LG_To),$D1396+ROW()/1000000,""),"")</f>
        <v/>
      </c>
      <c r="Z1396" s="32">
        <f>IF($A1396=1,IF(Supplier_Invoices!$P38="","",Supplier_Invoices!$P38),"")</f>
        <v/>
      </c>
      <c r="AA1396" s="32">
        <f>IF($A1396=1,IF(Supplier_Invoices!$Q38="","",Supplier_Invoices!$Q38),"")</f>
        <v/>
      </c>
      <c r="AB1396" s="32">
        <f>IF($A1396=1,IF(Supplier_Invoices!$R38="","",Supplier_Invoices!$R38),"")</f>
        <v/>
      </c>
      <c r="AC1396" s="32">
        <f>IF($A1396=1,IF(Supplier_Invoices!$S38="","",Supplier_Invoices!$S38),"")</f>
        <v/>
      </c>
      <c r="AD1396" s="32">
        <f>IF($A1396=1,IF(Supplier_Invoices!$T38="","",Supplier_Invoices!$T38),"")</f>
        <v/>
      </c>
      <c r="AE1396" s="32">
        <f>IF($A1396=1,0,"")</f>
        <v/>
      </c>
      <c r="AF1396" s="32" t="inlineStr"/>
    </row>
    <row r="1397">
      <c r="A1397" s="32">
        <f>IF(AND(Supplier_Invoices!$AD38=1,Supplier_Invoices!$L38&lt;&gt;"",Supplier_Invoices!$V38&lt;&gt;"CN",N(Supplier_Invoices!$W38)&gt;0),1,0)</f>
        <v/>
      </c>
      <c r="B1397" s="32">
        <f>IF($A1397=1,$E1397&amp;"/4","")</f>
        <v/>
      </c>
      <c r="C1397" s="32">
        <f>IF($A1397=1,"J-"&amp;Supplier_Invoices!$A38,"")</f>
        <v/>
      </c>
      <c r="D1397" s="33">
        <f>IF($A1397=1,Supplier_Invoices!$E38,"")</f>
        <v/>
      </c>
      <c r="E1397" s="32">
        <f>IF($A1397=1,IF(Supplier_Invoices!$A38="","",Supplier_Invoices!$A38),"")</f>
        <v/>
      </c>
      <c r="F1397" s="32">
        <f>IF($A1397=1,"SINV","")</f>
        <v/>
      </c>
      <c r="G1397" s="32">
        <f>IF($A1397=1,ACC_SUPPLIERS,"")</f>
        <v/>
      </c>
      <c r="H1397" s="32">
        <f>IF($A1397=1,IF(COUNTIF(COA!$A:$A,$G1397)=0,"حساب غير معرف",INDEX(COA!$B:$B,MATCH($G1397,COA!$A:$A,0))),"")</f>
        <v/>
      </c>
      <c r="I1397" s="32">
        <f>IF($A1397=1,IF(Supplier_Invoices!$H38="","",Supplier_Invoices!$H38),"")</f>
        <v/>
      </c>
      <c r="J1397" s="32">
        <f>IF($A1397=1,"CC00","")</f>
        <v/>
      </c>
      <c r="K1397" s="32">
        <f>IF($A1397=1,IF(Supplier_Invoices!$C38="","",Supplier_Invoices!$C38),"")</f>
        <v/>
      </c>
      <c r="L1397" s="32">
        <f>IF($A1397=1,"سداد فوري - "&amp;Supplier_Invoices!$F38&amp;" "&amp;Supplier_Invoices!$B38&amp;" - "&amp;Supplier_Invoices!$C38,"")</f>
        <v/>
      </c>
      <c r="M1397" s="43">
        <f>IF($A1397=1,Supplier_Invoices!$W38,"")</f>
        <v/>
      </c>
      <c r="N1397" s="43">
        <f>IF($A1397=1,0,"")</f>
        <v/>
      </c>
      <c r="O1397" s="32">
        <f>IF($A1397=1,Supplier_Invoices!$O38,"")</f>
        <v/>
      </c>
      <c r="P1397" s="32">
        <f>IF($A1397=1,IF(Supplier_Invoices!$AE38="","",Supplier_Invoices!$AE38),"")</f>
        <v/>
      </c>
      <c r="Q1397" s="32">
        <f>IF($A1397=1,Supplier_Invoices!$AG38,"")</f>
        <v/>
      </c>
      <c r="R1397" s="32">
        <f>IF($A1397=1,IF(AND($Q1397=1,COUNTIFS(COA!$A:$A,$G1397,COA!$R:$R,1)=1),1,0),"")</f>
        <v/>
      </c>
      <c r="S1397" s="43">
        <f>IF($A1397=1,IF($R1397=1,N($M1397),0),"")</f>
        <v/>
      </c>
      <c r="T1397" s="43">
        <f>IF($A1397=1,IF($R1397=1,N($N1397),0),"")</f>
        <v/>
      </c>
      <c r="U1397" s="32">
        <f>IF($A1397=1,YEAR($D1397)*100+MONTH($D1397),"")</f>
        <v/>
      </c>
      <c r="V1397" s="32">
        <f>IF($A1397=1,IF(COUNTIF(COA!$A:$A,$G1397)=0,0,INDEX(COA!$H:$H,MATCH($G1397,COA!$A:$A,0))),"")</f>
        <v/>
      </c>
      <c r="W1397" s="32">
        <f>IF($A1397=1,"","")</f>
        <v/>
      </c>
      <c r="X1397" s="32">
        <f>IF($A1397=1,IF($R1397=1,"",IF($O1397=ST_POST,IF($P1397&lt;&gt;"",$P1397,"حساب غير صالح أو غير نشط"),IF($O1397=ST_REV,"معكوس: لا أثر على الدفاتر",IF($O1397=ST_CANC,"ملغى",IF($O1397=ST_APPR,"معتمد ولم يُرحَّل","مسودة"))))),"")</f>
        <v/>
      </c>
      <c r="Y1397" s="32">
        <f>IF($A1397=1,IF(AND($R1397=1,OR(LG_Acct="",$G1397=LG_Acct),OR(LG_Party="",$K1397=LG_Party),OR(LG_Loc="ALL",$I1397=LG_Loc),OR(LG_CC="ALL",$J1397=LG_CC),$D1397&gt;=LG_From,$D1397&lt;=LG_To),$D1397+ROW()/1000000,""),"")</f>
        <v/>
      </c>
      <c r="Z1397" s="32">
        <f>IF($A1397=1,IF(Supplier_Invoices!$P38="","",Supplier_Invoices!$P38),"")</f>
        <v/>
      </c>
      <c r="AA1397" s="32">
        <f>IF($A1397=1,IF(Supplier_Invoices!$Q38="","",Supplier_Invoices!$Q38),"")</f>
        <v/>
      </c>
      <c r="AB1397" s="32">
        <f>IF($A1397=1,IF(Supplier_Invoices!$R38="","",Supplier_Invoices!$R38),"")</f>
        <v/>
      </c>
      <c r="AC1397" s="32">
        <f>IF($A1397=1,IF(Supplier_Invoices!$S38="","",Supplier_Invoices!$S38),"")</f>
        <v/>
      </c>
      <c r="AD1397" s="32">
        <f>IF($A1397=1,IF(Supplier_Invoices!$T38="","",Supplier_Invoices!$T38),"")</f>
        <v/>
      </c>
      <c r="AE1397" s="32">
        <f>IF($A1397=1,0,"")</f>
        <v/>
      </c>
      <c r="AF1397" s="32" t="inlineStr"/>
    </row>
    <row r="1398">
      <c r="A1398" s="32">
        <f>IF(AND(Supplier_Invoices!$AD38=1,Supplier_Invoices!$L38&lt;&gt;"",Supplier_Invoices!$V38&lt;&gt;"CN",N(Supplier_Invoices!$W38)&gt;0),1,0)</f>
        <v/>
      </c>
      <c r="B1398" s="32">
        <f>IF($A1398=1,$E1398&amp;"/5","")</f>
        <v/>
      </c>
      <c r="C1398" s="32">
        <f>IF($A1398=1,"J-"&amp;Supplier_Invoices!$A38,"")</f>
        <v/>
      </c>
      <c r="D1398" s="33">
        <f>IF($A1398=1,Supplier_Invoices!$E38,"")</f>
        <v/>
      </c>
      <c r="E1398" s="32">
        <f>IF($A1398=1,IF(Supplier_Invoices!$A38="","",Supplier_Invoices!$A38),"")</f>
        <v/>
      </c>
      <c r="F1398" s="32">
        <f>IF($A1398=1,"SINV","")</f>
        <v/>
      </c>
      <c r="G1398" s="32">
        <f>IF($A1398=1,IF(Supplier_Invoices!$AA38="","",Supplier_Invoices!$AA38),"")</f>
        <v/>
      </c>
      <c r="H1398" s="32">
        <f>IF($A1398=1,IF(COUNTIF(COA!$A:$A,$G1398)=0,"حساب غير معرف",INDEX(COA!$B:$B,MATCH($G1398,COA!$A:$A,0))),"")</f>
        <v/>
      </c>
      <c r="I1398" s="32">
        <f>IF($A1398=1,IF(Supplier_Invoices!$H38="","",Supplier_Invoices!$H38),"")</f>
        <v/>
      </c>
      <c r="J1398" s="32">
        <f>IF($A1398=1,"CC00","")</f>
        <v/>
      </c>
      <c r="K1398" s="32">
        <f>IF($A1398=1,"-","")</f>
        <v/>
      </c>
      <c r="L1398" s="32">
        <f>IF($A1398=1,"سداد فوري - "&amp;Supplier_Invoices!$F38&amp;" "&amp;Supplier_Invoices!$B38&amp;" - "&amp;Supplier_Invoices!$C38,"")</f>
        <v/>
      </c>
      <c r="M1398" s="43">
        <f>IF($A1398=1,0,"")</f>
        <v/>
      </c>
      <c r="N1398" s="43">
        <f>IF($A1398=1,Supplier_Invoices!$W38,"")</f>
        <v/>
      </c>
      <c r="O1398" s="32">
        <f>IF($A1398=1,Supplier_Invoices!$O38,"")</f>
        <v/>
      </c>
      <c r="P1398" s="32">
        <f>IF($A1398=1,IF(Supplier_Invoices!$AE38="","",Supplier_Invoices!$AE38),"")</f>
        <v/>
      </c>
      <c r="Q1398" s="32">
        <f>IF($A1398=1,Supplier_Invoices!$AG38,"")</f>
        <v/>
      </c>
      <c r="R1398" s="32">
        <f>IF($A1398=1,IF(AND($Q1398=1,COUNTIFS(COA!$A:$A,$G1398,COA!$R:$R,1)=1),1,0),"")</f>
        <v/>
      </c>
      <c r="S1398" s="43">
        <f>IF($A1398=1,IF($R1398=1,N($M1398),0),"")</f>
        <v/>
      </c>
      <c r="T1398" s="43">
        <f>IF($A1398=1,IF($R1398=1,N($N1398),0),"")</f>
        <v/>
      </c>
      <c r="U1398" s="32">
        <f>IF($A1398=1,YEAR($D1398)*100+MONTH($D1398),"")</f>
        <v/>
      </c>
      <c r="V1398" s="32">
        <f>IF($A1398=1,IF(COUNTIF(COA!$A:$A,$G1398)=0,0,INDEX(COA!$H:$H,MATCH($G1398,COA!$A:$A,0))),"")</f>
        <v/>
      </c>
      <c r="W1398" s="32">
        <f>IF($A1398=1,IF(Supplier_Invoices!$AB38="","",Supplier_Invoices!$AB38),"")</f>
        <v/>
      </c>
      <c r="X1398" s="32">
        <f>IF($A1398=1,IF($R1398=1,"",IF($O1398=ST_POST,IF($P1398&lt;&gt;"",$P1398,"حساب غير صالح أو غير نشط"),IF($O1398=ST_REV,"معكوس: لا أثر على الدفاتر",IF($O1398=ST_CANC,"ملغى",IF($O1398=ST_APPR,"معتمد ولم يُرحَّل","مسودة"))))),"")</f>
        <v/>
      </c>
      <c r="Y1398" s="32">
        <f>IF($A1398=1,IF(AND($R1398=1,OR(LG_Acct="",$G1398=LG_Acct),OR(LG_Party="",$K1398=LG_Party),OR(LG_Loc="ALL",$I1398=LG_Loc),OR(LG_CC="ALL",$J1398=LG_CC),$D1398&gt;=LG_From,$D1398&lt;=LG_To),$D1398+ROW()/1000000,""),"")</f>
        <v/>
      </c>
      <c r="Z1398" s="32">
        <f>IF($A1398=1,IF(Supplier_Invoices!$P38="","",Supplier_Invoices!$P38),"")</f>
        <v/>
      </c>
      <c r="AA1398" s="32">
        <f>IF($A1398=1,IF(Supplier_Invoices!$Q38="","",Supplier_Invoices!$Q38),"")</f>
        <v/>
      </c>
      <c r="AB1398" s="32">
        <f>IF($A1398=1,IF(Supplier_Invoices!$R38="","",Supplier_Invoices!$R38),"")</f>
        <v/>
      </c>
      <c r="AC1398" s="32">
        <f>IF($A1398=1,IF(Supplier_Invoices!$S38="","",Supplier_Invoices!$S38),"")</f>
        <v/>
      </c>
      <c r="AD1398" s="32">
        <f>IF($A1398=1,IF(Supplier_Invoices!$T38="","",Supplier_Invoices!$T38),"")</f>
        <v/>
      </c>
      <c r="AE1398" s="32">
        <f>IF($A1398=1,0,"")</f>
        <v/>
      </c>
      <c r="AF1398" s="32" t="inlineStr"/>
    </row>
    <row r="1399">
      <c r="A1399" s="32">
        <f>IF(AND(Supplier_Invoices!$AD39=1,N(Supplier_Invoices!$J39)&gt;0),1,0)</f>
        <v/>
      </c>
      <c r="B1399" s="32">
        <f>IF($A1399=1,$E1399&amp;"/1","")</f>
        <v/>
      </c>
      <c r="C1399" s="32">
        <f>IF($A1399=1,"J-"&amp;Supplier_Invoices!$A39,"")</f>
        <v/>
      </c>
      <c r="D1399" s="33">
        <f>IF($A1399=1,Supplier_Invoices!$E39,"")</f>
        <v/>
      </c>
      <c r="E1399" s="32">
        <f>IF($A1399=1,IF(Supplier_Invoices!$A39="","",Supplier_Invoices!$A39),"")</f>
        <v/>
      </c>
      <c r="F1399" s="32">
        <f>IF($A1399=1,"SINV","")</f>
        <v/>
      </c>
      <c r="G1399" s="32">
        <f>IF($A1399=1,IF(Supplier_Invoices!$G39="","",Supplier_Invoices!$G39),"")</f>
        <v/>
      </c>
      <c r="H1399" s="32">
        <f>IF($A1399=1,IF(COUNTIF(COA!$A:$A,$G1399)=0,"حساب غير معرف",INDEX(COA!$B:$B,MATCH($G1399,COA!$A:$A,0))),"")</f>
        <v/>
      </c>
      <c r="I1399" s="32">
        <f>IF($A1399=1,IF(Supplier_Invoices!$H39="","",Supplier_Invoices!$H39),"")</f>
        <v/>
      </c>
      <c r="J1399" s="32">
        <f>IF($A1399=1,IF(Supplier_Invoices!$I39="","",Supplier_Invoices!$I39),"")</f>
        <v/>
      </c>
      <c r="K1399" s="32">
        <f>IF($A1399=1,"-","")</f>
        <v/>
      </c>
      <c r="L1399" s="32">
        <f>IF($A1399=1,Supplier_Invoices!$F39&amp;" "&amp;Supplier_Invoices!$B39&amp;" - "&amp;Supplier_Invoices!$C39,"")</f>
        <v/>
      </c>
      <c r="M1399" s="43">
        <f>IF($A1399=1,IF(Supplier_Invoices!$V39="CN",0,Supplier_Invoices!$J39),"")</f>
        <v/>
      </c>
      <c r="N1399" s="43">
        <f>IF($A1399=1,IF(Supplier_Invoices!$V39="CN",Supplier_Invoices!$J39,0),"")</f>
        <v/>
      </c>
      <c r="O1399" s="32">
        <f>IF($A1399=1,Supplier_Invoices!$O39,"")</f>
        <v/>
      </c>
      <c r="P1399" s="32">
        <f>IF($A1399=1,IF(Supplier_Invoices!$AE39="","",Supplier_Invoices!$AE39),"")</f>
        <v/>
      </c>
      <c r="Q1399" s="32">
        <f>IF($A1399=1,Supplier_Invoices!$AG39,"")</f>
        <v/>
      </c>
      <c r="R1399" s="32">
        <f>IF($A1399=1,IF(AND($Q1399=1,COUNTIFS(COA!$A:$A,$G1399,COA!$R:$R,1)=1),1,0),"")</f>
        <v/>
      </c>
      <c r="S1399" s="43">
        <f>IF($A1399=1,IF($R1399=1,N($M1399),0),"")</f>
        <v/>
      </c>
      <c r="T1399" s="43">
        <f>IF($A1399=1,IF($R1399=1,N($N1399),0),"")</f>
        <v/>
      </c>
      <c r="U1399" s="32">
        <f>IF($A1399=1,YEAR($D1399)*100+MONTH($D1399),"")</f>
        <v/>
      </c>
      <c r="V1399" s="32">
        <f>IF($A1399=1,IF(COUNTIF(COA!$A:$A,$G1399)=0,0,INDEX(COA!$H:$H,MATCH($G1399,COA!$A:$A,0))),"")</f>
        <v/>
      </c>
      <c r="W1399" s="32">
        <f>IF($A1399=1,"","")</f>
        <v/>
      </c>
      <c r="X1399" s="32">
        <f>IF($A1399=1,IF($R1399=1,"",IF($O1399=ST_POST,IF($P1399&lt;&gt;"",$P1399,"حساب غير صالح أو غير نشط"),IF($O1399=ST_REV,"معكوس: لا أثر على الدفاتر",IF($O1399=ST_CANC,"ملغى",IF($O1399=ST_APPR,"معتمد ولم يُرحَّل","مسودة"))))),"")</f>
        <v/>
      </c>
      <c r="Y1399" s="32">
        <f>IF($A1399=1,IF(AND($R1399=1,OR(LG_Acct="",$G1399=LG_Acct),OR(LG_Party="",$K1399=LG_Party),OR(LG_Loc="ALL",$I1399=LG_Loc),OR(LG_CC="ALL",$J1399=LG_CC),$D1399&gt;=LG_From,$D1399&lt;=LG_To),$D1399+ROW()/1000000,""),"")</f>
        <v/>
      </c>
      <c r="Z1399" s="32">
        <f>IF($A1399=1,IF(Supplier_Invoices!$P39="","",Supplier_Invoices!$P39),"")</f>
        <v/>
      </c>
      <c r="AA1399" s="32">
        <f>IF($A1399=1,IF(Supplier_Invoices!$Q39="","",Supplier_Invoices!$Q39),"")</f>
        <v/>
      </c>
      <c r="AB1399" s="32">
        <f>IF($A1399=1,IF(Supplier_Invoices!$R39="","",Supplier_Invoices!$R39),"")</f>
        <v/>
      </c>
      <c r="AC1399" s="32">
        <f>IF($A1399=1,IF(Supplier_Invoices!$S39="","",Supplier_Invoices!$S39),"")</f>
        <v/>
      </c>
      <c r="AD1399" s="32">
        <f>IF($A1399=1,IF(Supplier_Invoices!$T39="","",Supplier_Invoices!$T39),"")</f>
        <v/>
      </c>
      <c r="AE1399" s="32">
        <f>IF($A1399=1,0,"")</f>
        <v/>
      </c>
      <c r="AF1399" s="32" t="inlineStr"/>
    </row>
    <row r="1400">
      <c r="A1400" s="32">
        <f>IF(AND(Supplier_Invoices!$AD39=1,N(Supplier_Invoices!$K39)&gt;0),1,0)</f>
        <v/>
      </c>
      <c r="B1400" s="32">
        <f>IF($A1400=1,$E1400&amp;"/2","")</f>
        <v/>
      </c>
      <c r="C1400" s="32">
        <f>IF($A1400=1,"J-"&amp;Supplier_Invoices!$A39,"")</f>
        <v/>
      </c>
      <c r="D1400" s="33">
        <f>IF($A1400=1,Supplier_Invoices!$E39,"")</f>
        <v/>
      </c>
      <c r="E1400" s="32">
        <f>IF($A1400=1,IF(Supplier_Invoices!$A39="","",Supplier_Invoices!$A39),"")</f>
        <v/>
      </c>
      <c r="F1400" s="32">
        <f>IF($A1400=1,"SINV","")</f>
        <v/>
      </c>
      <c r="G1400" s="32">
        <f>IF($A1400=1,ACC_VAT_IN,"")</f>
        <v/>
      </c>
      <c r="H1400" s="32">
        <f>IF($A1400=1,IF(COUNTIF(COA!$A:$A,$G1400)=0,"حساب غير معرف",INDEX(COA!$B:$B,MATCH($G1400,COA!$A:$A,0))),"")</f>
        <v/>
      </c>
      <c r="I1400" s="32">
        <f>IF($A1400=1,IF(Supplier_Invoices!$H39="","",Supplier_Invoices!$H39),"")</f>
        <v/>
      </c>
      <c r="J1400" s="32">
        <f>IF($A1400=1,IF(Supplier_Invoices!$I39="","",Supplier_Invoices!$I39),"")</f>
        <v/>
      </c>
      <c r="K1400" s="32">
        <f>IF($A1400=1,"-","")</f>
        <v/>
      </c>
      <c r="L1400" s="32">
        <f>IF($A1400=1,"ضريبة قيمة مضافة - مدخلات","")</f>
        <v/>
      </c>
      <c r="M1400" s="43">
        <f>IF($A1400=1,IF(Supplier_Invoices!$V39="CN",0,Supplier_Invoices!$K39),"")</f>
        <v/>
      </c>
      <c r="N1400" s="43">
        <f>IF($A1400=1,IF(Supplier_Invoices!$V39="CN",Supplier_Invoices!$K39,0),"")</f>
        <v/>
      </c>
      <c r="O1400" s="32">
        <f>IF($A1400=1,Supplier_Invoices!$O39,"")</f>
        <v/>
      </c>
      <c r="P1400" s="32">
        <f>IF($A1400=1,IF(Supplier_Invoices!$AE39="","",Supplier_Invoices!$AE39),"")</f>
        <v/>
      </c>
      <c r="Q1400" s="32">
        <f>IF($A1400=1,Supplier_Invoices!$AG39,"")</f>
        <v/>
      </c>
      <c r="R1400" s="32">
        <f>IF($A1400=1,IF(AND($Q1400=1,COUNTIFS(COA!$A:$A,$G1400,COA!$R:$R,1)=1),1,0),"")</f>
        <v/>
      </c>
      <c r="S1400" s="43">
        <f>IF($A1400=1,IF($R1400=1,N($M1400),0),"")</f>
        <v/>
      </c>
      <c r="T1400" s="43">
        <f>IF($A1400=1,IF($R1400=1,N($N1400),0),"")</f>
        <v/>
      </c>
      <c r="U1400" s="32">
        <f>IF($A1400=1,YEAR($D1400)*100+MONTH($D1400),"")</f>
        <v/>
      </c>
      <c r="V1400" s="32">
        <f>IF($A1400=1,IF(COUNTIF(COA!$A:$A,$G1400)=0,0,INDEX(COA!$H:$H,MATCH($G1400,COA!$A:$A,0))),"")</f>
        <v/>
      </c>
      <c r="W1400" s="32">
        <f>IF($A1400=1,"","")</f>
        <v/>
      </c>
      <c r="X1400" s="32">
        <f>IF($A1400=1,IF($R1400=1,"",IF($O1400=ST_POST,IF($P1400&lt;&gt;"",$P1400,"حساب غير صالح أو غير نشط"),IF($O1400=ST_REV,"معكوس: لا أثر على الدفاتر",IF($O1400=ST_CANC,"ملغى",IF($O1400=ST_APPR,"معتمد ولم يُرحَّل","مسودة"))))),"")</f>
        <v/>
      </c>
      <c r="Y1400" s="32">
        <f>IF($A1400=1,IF(AND($R1400=1,OR(LG_Acct="",$G1400=LG_Acct),OR(LG_Party="",$K1400=LG_Party),OR(LG_Loc="ALL",$I1400=LG_Loc),OR(LG_CC="ALL",$J1400=LG_CC),$D1400&gt;=LG_From,$D1400&lt;=LG_To),$D1400+ROW()/1000000,""),"")</f>
        <v/>
      </c>
      <c r="Z1400" s="32">
        <f>IF($A1400=1,IF(Supplier_Invoices!$P39="","",Supplier_Invoices!$P39),"")</f>
        <v/>
      </c>
      <c r="AA1400" s="32">
        <f>IF($A1400=1,IF(Supplier_Invoices!$Q39="","",Supplier_Invoices!$Q39),"")</f>
        <v/>
      </c>
      <c r="AB1400" s="32">
        <f>IF($A1400=1,IF(Supplier_Invoices!$R39="","",Supplier_Invoices!$R39),"")</f>
        <v/>
      </c>
      <c r="AC1400" s="32">
        <f>IF($A1400=1,IF(Supplier_Invoices!$S39="","",Supplier_Invoices!$S39),"")</f>
        <v/>
      </c>
      <c r="AD1400" s="32">
        <f>IF($A1400=1,IF(Supplier_Invoices!$T39="","",Supplier_Invoices!$T39),"")</f>
        <v/>
      </c>
      <c r="AE1400" s="32">
        <f>IF($A1400=1,0,"")</f>
        <v/>
      </c>
      <c r="AF1400" s="32" t="inlineStr"/>
    </row>
    <row r="1401">
      <c r="A1401" s="32">
        <f>IF(AND(Supplier_Invoices!$AD39=1,N(Supplier_Invoices!$W39)&gt;0),1,0)</f>
        <v/>
      </c>
      <c r="B1401" s="32">
        <f>IF($A1401=1,$E1401&amp;"/3","")</f>
        <v/>
      </c>
      <c r="C1401" s="32">
        <f>IF($A1401=1,"J-"&amp;Supplier_Invoices!$A39,"")</f>
        <v/>
      </c>
      <c r="D1401" s="33">
        <f>IF($A1401=1,Supplier_Invoices!$E39,"")</f>
        <v/>
      </c>
      <c r="E1401" s="32">
        <f>IF($A1401=1,IF(Supplier_Invoices!$A39="","",Supplier_Invoices!$A39),"")</f>
        <v/>
      </c>
      <c r="F1401" s="32">
        <f>IF($A1401=1,"SINV","")</f>
        <v/>
      </c>
      <c r="G1401" s="32">
        <f>IF($A1401=1,ACC_SUPPLIERS,"")</f>
        <v/>
      </c>
      <c r="H1401" s="32">
        <f>IF($A1401=1,IF(COUNTIF(COA!$A:$A,$G1401)=0,"حساب غير معرف",INDEX(COA!$B:$B,MATCH($G1401,COA!$A:$A,0))),"")</f>
        <v/>
      </c>
      <c r="I1401" s="32">
        <f>IF($A1401=1,IF(Supplier_Invoices!$H39="","",Supplier_Invoices!$H39),"")</f>
        <v/>
      </c>
      <c r="J1401" s="32">
        <f>IF($A1401=1,"CC00","")</f>
        <v/>
      </c>
      <c r="K1401" s="32">
        <f>IF($A1401=1,IF(Supplier_Invoices!$C39="","",Supplier_Invoices!$C39),"")</f>
        <v/>
      </c>
      <c r="L1401" s="32">
        <f>IF($A1401=1,Supplier_Invoices!$F39&amp;" "&amp;Supplier_Invoices!$B39&amp;" - "&amp;Supplier_Invoices!$C39,"")</f>
        <v/>
      </c>
      <c r="M1401" s="43">
        <f>IF($A1401=1,IF(Supplier_Invoices!$V39="CN",Supplier_Invoices!$W39,0),"")</f>
        <v/>
      </c>
      <c r="N1401" s="43">
        <f>IF($A1401=1,IF(Supplier_Invoices!$V39="CN",0,Supplier_Invoices!$W39),"")</f>
        <v/>
      </c>
      <c r="O1401" s="32">
        <f>IF($A1401=1,Supplier_Invoices!$O39,"")</f>
        <v/>
      </c>
      <c r="P1401" s="32">
        <f>IF($A1401=1,IF(Supplier_Invoices!$AE39="","",Supplier_Invoices!$AE39),"")</f>
        <v/>
      </c>
      <c r="Q1401" s="32">
        <f>IF($A1401=1,Supplier_Invoices!$AG39,"")</f>
        <v/>
      </c>
      <c r="R1401" s="32">
        <f>IF($A1401=1,IF(AND($Q1401=1,COUNTIFS(COA!$A:$A,$G1401,COA!$R:$R,1)=1),1,0),"")</f>
        <v/>
      </c>
      <c r="S1401" s="43">
        <f>IF($A1401=1,IF($R1401=1,N($M1401),0),"")</f>
        <v/>
      </c>
      <c r="T1401" s="43">
        <f>IF($A1401=1,IF($R1401=1,N($N1401),0),"")</f>
        <v/>
      </c>
      <c r="U1401" s="32">
        <f>IF($A1401=1,YEAR($D1401)*100+MONTH($D1401),"")</f>
        <v/>
      </c>
      <c r="V1401" s="32">
        <f>IF($A1401=1,IF(COUNTIF(COA!$A:$A,$G1401)=0,0,INDEX(COA!$H:$H,MATCH($G1401,COA!$A:$A,0))),"")</f>
        <v/>
      </c>
      <c r="W1401" s="32">
        <f>IF($A1401=1,"","")</f>
        <v/>
      </c>
      <c r="X1401" s="32">
        <f>IF($A1401=1,IF($R1401=1,"",IF($O1401=ST_POST,IF($P1401&lt;&gt;"",$P1401,"حساب غير صالح أو غير نشط"),IF($O1401=ST_REV,"معكوس: لا أثر على الدفاتر",IF($O1401=ST_CANC,"ملغى",IF($O1401=ST_APPR,"معتمد ولم يُرحَّل","مسودة"))))),"")</f>
        <v/>
      </c>
      <c r="Y1401" s="32">
        <f>IF($A1401=1,IF(AND($R1401=1,OR(LG_Acct="",$G1401=LG_Acct),OR(LG_Party="",$K1401=LG_Party),OR(LG_Loc="ALL",$I1401=LG_Loc),OR(LG_CC="ALL",$J1401=LG_CC),$D1401&gt;=LG_From,$D1401&lt;=LG_To),$D1401+ROW()/1000000,""),"")</f>
        <v/>
      </c>
      <c r="Z1401" s="32">
        <f>IF($A1401=1,IF(Supplier_Invoices!$P39="","",Supplier_Invoices!$P39),"")</f>
        <v/>
      </c>
      <c r="AA1401" s="32">
        <f>IF($A1401=1,IF(Supplier_Invoices!$Q39="","",Supplier_Invoices!$Q39),"")</f>
        <v/>
      </c>
      <c r="AB1401" s="32">
        <f>IF($A1401=1,IF(Supplier_Invoices!$R39="","",Supplier_Invoices!$R39),"")</f>
        <v/>
      </c>
      <c r="AC1401" s="32">
        <f>IF($A1401=1,IF(Supplier_Invoices!$S39="","",Supplier_Invoices!$S39),"")</f>
        <v/>
      </c>
      <c r="AD1401" s="32">
        <f>IF($A1401=1,IF(Supplier_Invoices!$T39="","",Supplier_Invoices!$T39),"")</f>
        <v/>
      </c>
      <c r="AE1401" s="32">
        <f>IF($A1401=1,0,"")</f>
        <v/>
      </c>
      <c r="AF1401" s="32" t="inlineStr"/>
    </row>
    <row r="1402">
      <c r="A1402" s="32">
        <f>IF(AND(Supplier_Invoices!$AD39=1,Supplier_Invoices!$L39&lt;&gt;"",Supplier_Invoices!$V39&lt;&gt;"CN",N(Supplier_Invoices!$W39)&gt;0),1,0)</f>
        <v/>
      </c>
      <c r="B1402" s="32">
        <f>IF($A1402=1,$E1402&amp;"/4","")</f>
        <v/>
      </c>
      <c r="C1402" s="32">
        <f>IF($A1402=1,"J-"&amp;Supplier_Invoices!$A39,"")</f>
        <v/>
      </c>
      <c r="D1402" s="33">
        <f>IF($A1402=1,Supplier_Invoices!$E39,"")</f>
        <v/>
      </c>
      <c r="E1402" s="32">
        <f>IF($A1402=1,IF(Supplier_Invoices!$A39="","",Supplier_Invoices!$A39),"")</f>
        <v/>
      </c>
      <c r="F1402" s="32">
        <f>IF($A1402=1,"SINV","")</f>
        <v/>
      </c>
      <c r="G1402" s="32">
        <f>IF($A1402=1,ACC_SUPPLIERS,"")</f>
        <v/>
      </c>
      <c r="H1402" s="32">
        <f>IF($A1402=1,IF(COUNTIF(COA!$A:$A,$G1402)=0,"حساب غير معرف",INDEX(COA!$B:$B,MATCH($G1402,COA!$A:$A,0))),"")</f>
        <v/>
      </c>
      <c r="I1402" s="32">
        <f>IF($A1402=1,IF(Supplier_Invoices!$H39="","",Supplier_Invoices!$H39),"")</f>
        <v/>
      </c>
      <c r="J1402" s="32">
        <f>IF($A1402=1,"CC00","")</f>
        <v/>
      </c>
      <c r="K1402" s="32">
        <f>IF($A1402=1,IF(Supplier_Invoices!$C39="","",Supplier_Invoices!$C39),"")</f>
        <v/>
      </c>
      <c r="L1402" s="32">
        <f>IF($A1402=1,"سداد فوري - "&amp;Supplier_Invoices!$F39&amp;" "&amp;Supplier_Invoices!$B39&amp;" - "&amp;Supplier_Invoices!$C39,"")</f>
        <v/>
      </c>
      <c r="M1402" s="43">
        <f>IF($A1402=1,Supplier_Invoices!$W39,"")</f>
        <v/>
      </c>
      <c r="N1402" s="43">
        <f>IF($A1402=1,0,"")</f>
        <v/>
      </c>
      <c r="O1402" s="32">
        <f>IF($A1402=1,Supplier_Invoices!$O39,"")</f>
        <v/>
      </c>
      <c r="P1402" s="32">
        <f>IF($A1402=1,IF(Supplier_Invoices!$AE39="","",Supplier_Invoices!$AE39),"")</f>
        <v/>
      </c>
      <c r="Q1402" s="32">
        <f>IF($A1402=1,Supplier_Invoices!$AG39,"")</f>
        <v/>
      </c>
      <c r="R1402" s="32">
        <f>IF($A1402=1,IF(AND($Q1402=1,COUNTIFS(COA!$A:$A,$G1402,COA!$R:$R,1)=1),1,0),"")</f>
        <v/>
      </c>
      <c r="S1402" s="43">
        <f>IF($A1402=1,IF($R1402=1,N($M1402),0),"")</f>
        <v/>
      </c>
      <c r="T1402" s="43">
        <f>IF($A1402=1,IF($R1402=1,N($N1402),0),"")</f>
        <v/>
      </c>
      <c r="U1402" s="32">
        <f>IF($A1402=1,YEAR($D1402)*100+MONTH($D1402),"")</f>
        <v/>
      </c>
      <c r="V1402" s="32">
        <f>IF($A1402=1,IF(COUNTIF(COA!$A:$A,$G1402)=0,0,INDEX(COA!$H:$H,MATCH($G1402,COA!$A:$A,0))),"")</f>
        <v/>
      </c>
      <c r="W1402" s="32">
        <f>IF($A1402=1,"","")</f>
        <v/>
      </c>
      <c r="X1402" s="32">
        <f>IF($A1402=1,IF($R1402=1,"",IF($O1402=ST_POST,IF($P1402&lt;&gt;"",$P1402,"حساب غير صالح أو غير نشط"),IF($O1402=ST_REV,"معكوس: لا أثر على الدفاتر",IF($O1402=ST_CANC,"ملغى",IF($O1402=ST_APPR,"معتمد ولم يُرحَّل","مسودة"))))),"")</f>
        <v/>
      </c>
      <c r="Y1402" s="32">
        <f>IF($A1402=1,IF(AND($R1402=1,OR(LG_Acct="",$G1402=LG_Acct),OR(LG_Party="",$K1402=LG_Party),OR(LG_Loc="ALL",$I1402=LG_Loc),OR(LG_CC="ALL",$J1402=LG_CC),$D1402&gt;=LG_From,$D1402&lt;=LG_To),$D1402+ROW()/1000000,""),"")</f>
        <v/>
      </c>
      <c r="Z1402" s="32">
        <f>IF($A1402=1,IF(Supplier_Invoices!$P39="","",Supplier_Invoices!$P39),"")</f>
        <v/>
      </c>
      <c r="AA1402" s="32">
        <f>IF($A1402=1,IF(Supplier_Invoices!$Q39="","",Supplier_Invoices!$Q39),"")</f>
        <v/>
      </c>
      <c r="AB1402" s="32">
        <f>IF($A1402=1,IF(Supplier_Invoices!$R39="","",Supplier_Invoices!$R39),"")</f>
        <v/>
      </c>
      <c r="AC1402" s="32">
        <f>IF($A1402=1,IF(Supplier_Invoices!$S39="","",Supplier_Invoices!$S39),"")</f>
        <v/>
      </c>
      <c r="AD1402" s="32">
        <f>IF($A1402=1,IF(Supplier_Invoices!$T39="","",Supplier_Invoices!$T39),"")</f>
        <v/>
      </c>
      <c r="AE1402" s="32">
        <f>IF($A1402=1,0,"")</f>
        <v/>
      </c>
      <c r="AF1402" s="32" t="inlineStr"/>
    </row>
    <row r="1403">
      <c r="A1403" s="32">
        <f>IF(AND(Supplier_Invoices!$AD39=1,Supplier_Invoices!$L39&lt;&gt;"",Supplier_Invoices!$V39&lt;&gt;"CN",N(Supplier_Invoices!$W39)&gt;0),1,0)</f>
        <v/>
      </c>
      <c r="B1403" s="32">
        <f>IF($A1403=1,$E1403&amp;"/5","")</f>
        <v/>
      </c>
      <c r="C1403" s="32">
        <f>IF($A1403=1,"J-"&amp;Supplier_Invoices!$A39,"")</f>
        <v/>
      </c>
      <c r="D1403" s="33">
        <f>IF($A1403=1,Supplier_Invoices!$E39,"")</f>
        <v/>
      </c>
      <c r="E1403" s="32">
        <f>IF($A1403=1,IF(Supplier_Invoices!$A39="","",Supplier_Invoices!$A39),"")</f>
        <v/>
      </c>
      <c r="F1403" s="32">
        <f>IF($A1403=1,"SINV","")</f>
        <v/>
      </c>
      <c r="G1403" s="32">
        <f>IF($A1403=1,IF(Supplier_Invoices!$AA39="","",Supplier_Invoices!$AA39),"")</f>
        <v/>
      </c>
      <c r="H1403" s="32">
        <f>IF($A1403=1,IF(COUNTIF(COA!$A:$A,$G1403)=0,"حساب غير معرف",INDEX(COA!$B:$B,MATCH($G1403,COA!$A:$A,0))),"")</f>
        <v/>
      </c>
      <c r="I1403" s="32">
        <f>IF($A1403=1,IF(Supplier_Invoices!$H39="","",Supplier_Invoices!$H39),"")</f>
        <v/>
      </c>
      <c r="J1403" s="32">
        <f>IF($A1403=1,"CC00","")</f>
        <v/>
      </c>
      <c r="K1403" s="32">
        <f>IF($A1403=1,"-","")</f>
        <v/>
      </c>
      <c r="L1403" s="32">
        <f>IF($A1403=1,"سداد فوري - "&amp;Supplier_Invoices!$F39&amp;" "&amp;Supplier_Invoices!$B39&amp;" - "&amp;Supplier_Invoices!$C39,"")</f>
        <v/>
      </c>
      <c r="M1403" s="43">
        <f>IF($A1403=1,0,"")</f>
        <v/>
      </c>
      <c r="N1403" s="43">
        <f>IF($A1403=1,Supplier_Invoices!$W39,"")</f>
        <v/>
      </c>
      <c r="O1403" s="32">
        <f>IF($A1403=1,Supplier_Invoices!$O39,"")</f>
        <v/>
      </c>
      <c r="P1403" s="32">
        <f>IF($A1403=1,IF(Supplier_Invoices!$AE39="","",Supplier_Invoices!$AE39),"")</f>
        <v/>
      </c>
      <c r="Q1403" s="32">
        <f>IF($A1403=1,Supplier_Invoices!$AG39,"")</f>
        <v/>
      </c>
      <c r="R1403" s="32">
        <f>IF($A1403=1,IF(AND($Q1403=1,COUNTIFS(COA!$A:$A,$G1403,COA!$R:$R,1)=1),1,0),"")</f>
        <v/>
      </c>
      <c r="S1403" s="43">
        <f>IF($A1403=1,IF($R1403=1,N($M1403),0),"")</f>
        <v/>
      </c>
      <c r="T1403" s="43">
        <f>IF($A1403=1,IF($R1403=1,N($N1403),0),"")</f>
        <v/>
      </c>
      <c r="U1403" s="32">
        <f>IF($A1403=1,YEAR($D1403)*100+MONTH($D1403),"")</f>
        <v/>
      </c>
      <c r="V1403" s="32">
        <f>IF($A1403=1,IF(COUNTIF(COA!$A:$A,$G1403)=0,0,INDEX(COA!$H:$H,MATCH($G1403,COA!$A:$A,0))),"")</f>
        <v/>
      </c>
      <c r="W1403" s="32">
        <f>IF($A1403=1,IF(Supplier_Invoices!$AB39="","",Supplier_Invoices!$AB39),"")</f>
        <v/>
      </c>
      <c r="X1403" s="32">
        <f>IF($A1403=1,IF($R1403=1,"",IF($O1403=ST_POST,IF($P1403&lt;&gt;"",$P1403,"حساب غير صالح أو غير نشط"),IF($O1403=ST_REV,"معكوس: لا أثر على الدفاتر",IF($O1403=ST_CANC,"ملغى",IF($O1403=ST_APPR,"معتمد ولم يُرحَّل","مسودة"))))),"")</f>
        <v/>
      </c>
      <c r="Y1403" s="32">
        <f>IF($A1403=1,IF(AND($R1403=1,OR(LG_Acct="",$G1403=LG_Acct),OR(LG_Party="",$K1403=LG_Party),OR(LG_Loc="ALL",$I1403=LG_Loc),OR(LG_CC="ALL",$J1403=LG_CC),$D1403&gt;=LG_From,$D1403&lt;=LG_To),$D1403+ROW()/1000000,""),"")</f>
        <v/>
      </c>
      <c r="Z1403" s="32">
        <f>IF($A1403=1,IF(Supplier_Invoices!$P39="","",Supplier_Invoices!$P39),"")</f>
        <v/>
      </c>
      <c r="AA1403" s="32">
        <f>IF($A1403=1,IF(Supplier_Invoices!$Q39="","",Supplier_Invoices!$Q39),"")</f>
        <v/>
      </c>
      <c r="AB1403" s="32">
        <f>IF($A1403=1,IF(Supplier_Invoices!$R39="","",Supplier_Invoices!$R39),"")</f>
        <v/>
      </c>
      <c r="AC1403" s="32">
        <f>IF($A1403=1,IF(Supplier_Invoices!$S39="","",Supplier_Invoices!$S39),"")</f>
        <v/>
      </c>
      <c r="AD1403" s="32">
        <f>IF($A1403=1,IF(Supplier_Invoices!$T39="","",Supplier_Invoices!$T39),"")</f>
        <v/>
      </c>
      <c r="AE1403" s="32">
        <f>IF($A1403=1,0,"")</f>
        <v/>
      </c>
      <c r="AF1403" s="32" t="inlineStr"/>
    </row>
    <row r="1404">
      <c r="A1404" s="32">
        <f>IF(AND(Supplier_Invoices!$AD40=1,N(Supplier_Invoices!$J40)&gt;0),1,0)</f>
        <v/>
      </c>
      <c r="B1404" s="32">
        <f>IF($A1404=1,$E1404&amp;"/1","")</f>
        <v/>
      </c>
      <c r="C1404" s="32">
        <f>IF($A1404=1,"J-"&amp;Supplier_Invoices!$A40,"")</f>
        <v/>
      </c>
      <c r="D1404" s="33">
        <f>IF($A1404=1,Supplier_Invoices!$E40,"")</f>
        <v/>
      </c>
      <c r="E1404" s="32">
        <f>IF($A1404=1,IF(Supplier_Invoices!$A40="","",Supplier_Invoices!$A40),"")</f>
        <v/>
      </c>
      <c r="F1404" s="32">
        <f>IF($A1404=1,"SINV","")</f>
        <v/>
      </c>
      <c r="G1404" s="32">
        <f>IF($A1404=1,IF(Supplier_Invoices!$G40="","",Supplier_Invoices!$G40),"")</f>
        <v/>
      </c>
      <c r="H1404" s="32">
        <f>IF($A1404=1,IF(COUNTIF(COA!$A:$A,$G1404)=0,"حساب غير معرف",INDEX(COA!$B:$B,MATCH($G1404,COA!$A:$A,0))),"")</f>
        <v/>
      </c>
      <c r="I1404" s="32">
        <f>IF($A1404=1,IF(Supplier_Invoices!$H40="","",Supplier_Invoices!$H40),"")</f>
        <v/>
      </c>
      <c r="J1404" s="32">
        <f>IF($A1404=1,IF(Supplier_Invoices!$I40="","",Supplier_Invoices!$I40),"")</f>
        <v/>
      </c>
      <c r="K1404" s="32">
        <f>IF($A1404=1,"-","")</f>
        <v/>
      </c>
      <c r="L1404" s="32">
        <f>IF($A1404=1,Supplier_Invoices!$F40&amp;" "&amp;Supplier_Invoices!$B40&amp;" - "&amp;Supplier_Invoices!$C40,"")</f>
        <v/>
      </c>
      <c r="M1404" s="43">
        <f>IF($A1404=1,IF(Supplier_Invoices!$V40="CN",0,Supplier_Invoices!$J40),"")</f>
        <v/>
      </c>
      <c r="N1404" s="43">
        <f>IF($A1404=1,IF(Supplier_Invoices!$V40="CN",Supplier_Invoices!$J40,0),"")</f>
        <v/>
      </c>
      <c r="O1404" s="32">
        <f>IF($A1404=1,Supplier_Invoices!$O40,"")</f>
        <v/>
      </c>
      <c r="P1404" s="32">
        <f>IF($A1404=1,IF(Supplier_Invoices!$AE40="","",Supplier_Invoices!$AE40),"")</f>
        <v/>
      </c>
      <c r="Q1404" s="32">
        <f>IF($A1404=1,Supplier_Invoices!$AG40,"")</f>
        <v/>
      </c>
      <c r="R1404" s="32">
        <f>IF($A1404=1,IF(AND($Q1404=1,COUNTIFS(COA!$A:$A,$G1404,COA!$R:$R,1)=1),1,0),"")</f>
        <v/>
      </c>
      <c r="S1404" s="43">
        <f>IF($A1404=1,IF($R1404=1,N($M1404),0),"")</f>
        <v/>
      </c>
      <c r="T1404" s="43">
        <f>IF($A1404=1,IF($R1404=1,N($N1404),0),"")</f>
        <v/>
      </c>
      <c r="U1404" s="32">
        <f>IF($A1404=1,YEAR($D1404)*100+MONTH($D1404),"")</f>
        <v/>
      </c>
      <c r="V1404" s="32">
        <f>IF($A1404=1,IF(COUNTIF(COA!$A:$A,$G1404)=0,0,INDEX(COA!$H:$H,MATCH($G1404,COA!$A:$A,0))),"")</f>
        <v/>
      </c>
      <c r="W1404" s="32">
        <f>IF($A1404=1,"","")</f>
        <v/>
      </c>
      <c r="X1404" s="32">
        <f>IF($A1404=1,IF($R1404=1,"",IF($O1404=ST_POST,IF($P1404&lt;&gt;"",$P1404,"حساب غير صالح أو غير نشط"),IF($O1404=ST_REV,"معكوس: لا أثر على الدفاتر",IF($O1404=ST_CANC,"ملغى",IF($O1404=ST_APPR,"معتمد ولم يُرحَّل","مسودة"))))),"")</f>
        <v/>
      </c>
      <c r="Y1404" s="32">
        <f>IF($A1404=1,IF(AND($R1404=1,OR(LG_Acct="",$G1404=LG_Acct),OR(LG_Party="",$K1404=LG_Party),OR(LG_Loc="ALL",$I1404=LG_Loc),OR(LG_CC="ALL",$J1404=LG_CC),$D1404&gt;=LG_From,$D1404&lt;=LG_To),$D1404+ROW()/1000000,""),"")</f>
        <v/>
      </c>
      <c r="Z1404" s="32">
        <f>IF($A1404=1,IF(Supplier_Invoices!$P40="","",Supplier_Invoices!$P40),"")</f>
        <v/>
      </c>
      <c r="AA1404" s="32">
        <f>IF($A1404=1,IF(Supplier_Invoices!$Q40="","",Supplier_Invoices!$Q40),"")</f>
        <v/>
      </c>
      <c r="AB1404" s="32">
        <f>IF($A1404=1,IF(Supplier_Invoices!$R40="","",Supplier_Invoices!$R40),"")</f>
        <v/>
      </c>
      <c r="AC1404" s="32">
        <f>IF($A1404=1,IF(Supplier_Invoices!$S40="","",Supplier_Invoices!$S40),"")</f>
        <v/>
      </c>
      <c r="AD1404" s="32">
        <f>IF($A1404=1,IF(Supplier_Invoices!$T40="","",Supplier_Invoices!$T40),"")</f>
        <v/>
      </c>
      <c r="AE1404" s="32">
        <f>IF($A1404=1,0,"")</f>
        <v/>
      </c>
      <c r="AF1404" s="32" t="inlineStr"/>
    </row>
    <row r="1405">
      <c r="A1405" s="32">
        <f>IF(AND(Supplier_Invoices!$AD40=1,N(Supplier_Invoices!$K40)&gt;0),1,0)</f>
        <v/>
      </c>
      <c r="B1405" s="32">
        <f>IF($A1405=1,$E1405&amp;"/2","")</f>
        <v/>
      </c>
      <c r="C1405" s="32">
        <f>IF($A1405=1,"J-"&amp;Supplier_Invoices!$A40,"")</f>
        <v/>
      </c>
      <c r="D1405" s="33">
        <f>IF($A1405=1,Supplier_Invoices!$E40,"")</f>
        <v/>
      </c>
      <c r="E1405" s="32">
        <f>IF($A1405=1,IF(Supplier_Invoices!$A40="","",Supplier_Invoices!$A40),"")</f>
        <v/>
      </c>
      <c r="F1405" s="32">
        <f>IF($A1405=1,"SINV","")</f>
        <v/>
      </c>
      <c r="G1405" s="32">
        <f>IF($A1405=1,ACC_VAT_IN,"")</f>
        <v/>
      </c>
      <c r="H1405" s="32">
        <f>IF($A1405=1,IF(COUNTIF(COA!$A:$A,$G1405)=0,"حساب غير معرف",INDEX(COA!$B:$B,MATCH($G1405,COA!$A:$A,0))),"")</f>
        <v/>
      </c>
      <c r="I1405" s="32">
        <f>IF($A1405=1,IF(Supplier_Invoices!$H40="","",Supplier_Invoices!$H40),"")</f>
        <v/>
      </c>
      <c r="J1405" s="32">
        <f>IF($A1405=1,IF(Supplier_Invoices!$I40="","",Supplier_Invoices!$I40),"")</f>
        <v/>
      </c>
      <c r="K1405" s="32">
        <f>IF($A1405=1,"-","")</f>
        <v/>
      </c>
      <c r="L1405" s="32">
        <f>IF($A1405=1,"ضريبة قيمة مضافة - مدخلات","")</f>
        <v/>
      </c>
      <c r="M1405" s="43">
        <f>IF($A1405=1,IF(Supplier_Invoices!$V40="CN",0,Supplier_Invoices!$K40),"")</f>
        <v/>
      </c>
      <c r="N1405" s="43">
        <f>IF($A1405=1,IF(Supplier_Invoices!$V40="CN",Supplier_Invoices!$K40,0),"")</f>
        <v/>
      </c>
      <c r="O1405" s="32">
        <f>IF($A1405=1,Supplier_Invoices!$O40,"")</f>
        <v/>
      </c>
      <c r="P1405" s="32">
        <f>IF($A1405=1,IF(Supplier_Invoices!$AE40="","",Supplier_Invoices!$AE40),"")</f>
        <v/>
      </c>
      <c r="Q1405" s="32">
        <f>IF($A1405=1,Supplier_Invoices!$AG40,"")</f>
        <v/>
      </c>
      <c r="R1405" s="32">
        <f>IF($A1405=1,IF(AND($Q1405=1,COUNTIFS(COA!$A:$A,$G1405,COA!$R:$R,1)=1),1,0),"")</f>
        <v/>
      </c>
      <c r="S1405" s="43">
        <f>IF($A1405=1,IF($R1405=1,N($M1405),0),"")</f>
        <v/>
      </c>
      <c r="T1405" s="43">
        <f>IF($A1405=1,IF($R1405=1,N($N1405),0),"")</f>
        <v/>
      </c>
      <c r="U1405" s="32">
        <f>IF($A1405=1,YEAR($D1405)*100+MONTH($D1405),"")</f>
        <v/>
      </c>
      <c r="V1405" s="32">
        <f>IF($A1405=1,IF(COUNTIF(COA!$A:$A,$G1405)=0,0,INDEX(COA!$H:$H,MATCH($G1405,COA!$A:$A,0))),"")</f>
        <v/>
      </c>
      <c r="W1405" s="32">
        <f>IF($A1405=1,"","")</f>
        <v/>
      </c>
      <c r="X1405" s="32">
        <f>IF($A1405=1,IF($R1405=1,"",IF($O1405=ST_POST,IF($P1405&lt;&gt;"",$P1405,"حساب غير صالح أو غير نشط"),IF($O1405=ST_REV,"معكوس: لا أثر على الدفاتر",IF($O1405=ST_CANC,"ملغى",IF($O1405=ST_APPR,"معتمد ولم يُرحَّل","مسودة"))))),"")</f>
        <v/>
      </c>
      <c r="Y1405" s="32">
        <f>IF($A1405=1,IF(AND($R1405=1,OR(LG_Acct="",$G1405=LG_Acct),OR(LG_Party="",$K1405=LG_Party),OR(LG_Loc="ALL",$I1405=LG_Loc),OR(LG_CC="ALL",$J1405=LG_CC),$D1405&gt;=LG_From,$D1405&lt;=LG_To),$D1405+ROW()/1000000,""),"")</f>
        <v/>
      </c>
      <c r="Z1405" s="32">
        <f>IF($A1405=1,IF(Supplier_Invoices!$P40="","",Supplier_Invoices!$P40),"")</f>
        <v/>
      </c>
      <c r="AA1405" s="32">
        <f>IF($A1405=1,IF(Supplier_Invoices!$Q40="","",Supplier_Invoices!$Q40),"")</f>
        <v/>
      </c>
      <c r="AB1405" s="32">
        <f>IF($A1405=1,IF(Supplier_Invoices!$R40="","",Supplier_Invoices!$R40),"")</f>
        <v/>
      </c>
      <c r="AC1405" s="32">
        <f>IF($A1405=1,IF(Supplier_Invoices!$S40="","",Supplier_Invoices!$S40),"")</f>
        <v/>
      </c>
      <c r="AD1405" s="32">
        <f>IF($A1405=1,IF(Supplier_Invoices!$T40="","",Supplier_Invoices!$T40),"")</f>
        <v/>
      </c>
      <c r="AE1405" s="32">
        <f>IF($A1405=1,0,"")</f>
        <v/>
      </c>
      <c r="AF1405" s="32" t="inlineStr"/>
    </row>
    <row r="1406">
      <c r="A1406" s="32">
        <f>IF(AND(Supplier_Invoices!$AD40=1,N(Supplier_Invoices!$W40)&gt;0),1,0)</f>
        <v/>
      </c>
      <c r="B1406" s="32">
        <f>IF($A1406=1,$E1406&amp;"/3","")</f>
        <v/>
      </c>
      <c r="C1406" s="32">
        <f>IF($A1406=1,"J-"&amp;Supplier_Invoices!$A40,"")</f>
        <v/>
      </c>
      <c r="D1406" s="33">
        <f>IF($A1406=1,Supplier_Invoices!$E40,"")</f>
        <v/>
      </c>
      <c r="E1406" s="32">
        <f>IF($A1406=1,IF(Supplier_Invoices!$A40="","",Supplier_Invoices!$A40),"")</f>
        <v/>
      </c>
      <c r="F1406" s="32">
        <f>IF($A1406=1,"SINV","")</f>
        <v/>
      </c>
      <c r="G1406" s="32">
        <f>IF($A1406=1,ACC_SUPPLIERS,"")</f>
        <v/>
      </c>
      <c r="H1406" s="32">
        <f>IF($A1406=1,IF(COUNTIF(COA!$A:$A,$G1406)=0,"حساب غير معرف",INDEX(COA!$B:$B,MATCH($G1406,COA!$A:$A,0))),"")</f>
        <v/>
      </c>
      <c r="I1406" s="32">
        <f>IF($A1406=1,IF(Supplier_Invoices!$H40="","",Supplier_Invoices!$H40),"")</f>
        <v/>
      </c>
      <c r="J1406" s="32">
        <f>IF($A1406=1,"CC00","")</f>
        <v/>
      </c>
      <c r="K1406" s="32">
        <f>IF($A1406=1,IF(Supplier_Invoices!$C40="","",Supplier_Invoices!$C40),"")</f>
        <v/>
      </c>
      <c r="L1406" s="32">
        <f>IF($A1406=1,Supplier_Invoices!$F40&amp;" "&amp;Supplier_Invoices!$B40&amp;" - "&amp;Supplier_Invoices!$C40,"")</f>
        <v/>
      </c>
      <c r="M1406" s="43">
        <f>IF($A1406=1,IF(Supplier_Invoices!$V40="CN",Supplier_Invoices!$W40,0),"")</f>
        <v/>
      </c>
      <c r="N1406" s="43">
        <f>IF($A1406=1,IF(Supplier_Invoices!$V40="CN",0,Supplier_Invoices!$W40),"")</f>
        <v/>
      </c>
      <c r="O1406" s="32">
        <f>IF($A1406=1,Supplier_Invoices!$O40,"")</f>
        <v/>
      </c>
      <c r="P1406" s="32">
        <f>IF($A1406=1,IF(Supplier_Invoices!$AE40="","",Supplier_Invoices!$AE40),"")</f>
        <v/>
      </c>
      <c r="Q1406" s="32">
        <f>IF($A1406=1,Supplier_Invoices!$AG40,"")</f>
        <v/>
      </c>
      <c r="R1406" s="32">
        <f>IF($A1406=1,IF(AND($Q1406=1,COUNTIFS(COA!$A:$A,$G1406,COA!$R:$R,1)=1),1,0),"")</f>
        <v/>
      </c>
      <c r="S1406" s="43">
        <f>IF($A1406=1,IF($R1406=1,N($M1406),0),"")</f>
        <v/>
      </c>
      <c r="T1406" s="43">
        <f>IF($A1406=1,IF($R1406=1,N($N1406),0),"")</f>
        <v/>
      </c>
      <c r="U1406" s="32">
        <f>IF($A1406=1,YEAR($D1406)*100+MONTH($D1406),"")</f>
        <v/>
      </c>
      <c r="V1406" s="32">
        <f>IF($A1406=1,IF(COUNTIF(COA!$A:$A,$G1406)=0,0,INDEX(COA!$H:$H,MATCH($G1406,COA!$A:$A,0))),"")</f>
        <v/>
      </c>
      <c r="W1406" s="32">
        <f>IF($A1406=1,"","")</f>
        <v/>
      </c>
      <c r="X1406" s="32">
        <f>IF($A1406=1,IF($R1406=1,"",IF($O1406=ST_POST,IF($P1406&lt;&gt;"",$P1406,"حساب غير صالح أو غير نشط"),IF($O1406=ST_REV,"معكوس: لا أثر على الدفاتر",IF($O1406=ST_CANC,"ملغى",IF($O1406=ST_APPR,"معتمد ولم يُرحَّل","مسودة"))))),"")</f>
        <v/>
      </c>
      <c r="Y1406" s="32">
        <f>IF($A1406=1,IF(AND($R1406=1,OR(LG_Acct="",$G1406=LG_Acct),OR(LG_Party="",$K1406=LG_Party),OR(LG_Loc="ALL",$I1406=LG_Loc),OR(LG_CC="ALL",$J1406=LG_CC),$D1406&gt;=LG_From,$D1406&lt;=LG_To),$D1406+ROW()/1000000,""),"")</f>
        <v/>
      </c>
      <c r="Z1406" s="32">
        <f>IF($A1406=1,IF(Supplier_Invoices!$P40="","",Supplier_Invoices!$P40),"")</f>
        <v/>
      </c>
      <c r="AA1406" s="32">
        <f>IF($A1406=1,IF(Supplier_Invoices!$Q40="","",Supplier_Invoices!$Q40),"")</f>
        <v/>
      </c>
      <c r="AB1406" s="32">
        <f>IF($A1406=1,IF(Supplier_Invoices!$R40="","",Supplier_Invoices!$R40),"")</f>
        <v/>
      </c>
      <c r="AC1406" s="32">
        <f>IF($A1406=1,IF(Supplier_Invoices!$S40="","",Supplier_Invoices!$S40),"")</f>
        <v/>
      </c>
      <c r="AD1406" s="32">
        <f>IF($A1406=1,IF(Supplier_Invoices!$T40="","",Supplier_Invoices!$T40),"")</f>
        <v/>
      </c>
      <c r="AE1406" s="32">
        <f>IF($A1406=1,0,"")</f>
        <v/>
      </c>
      <c r="AF1406" s="32" t="inlineStr"/>
    </row>
    <row r="1407">
      <c r="A1407" s="32">
        <f>IF(AND(Supplier_Invoices!$AD40=1,Supplier_Invoices!$L40&lt;&gt;"",Supplier_Invoices!$V40&lt;&gt;"CN",N(Supplier_Invoices!$W40)&gt;0),1,0)</f>
        <v/>
      </c>
      <c r="B1407" s="32">
        <f>IF($A1407=1,$E1407&amp;"/4","")</f>
        <v/>
      </c>
      <c r="C1407" s="32">
        <f>IF($A1407=1,"J-"&amp;Supplier_Invoices!$A40,"")</f>
        <v/>
      </c>
      <c r="D1407" s="33">
        <f>IF($A1407=1,Supplier_Invoices!$E40,"")</f>
        <v/>
      </c>
      <c r="E1407" s="32">
        <f>IF($A1407=1,IF(Supplier_Invoices!$A40="","",Supplier_Invoices!$A40),"")</f>
        <v/>
      </c>
      <c r="F1407" s="32">
        <f>IF($A1407=1,"SINV","")</f>
        <v/>
      </c>
      <c r="G1407" s="32">
        <f>IF($A1407=1,ACC_SUPPLIERS,"")</f>
        <v/>
      </c>
      <c r="H1407" s="32">
        <f>IF($A1407=1,IF(COUNTIF(COA!$A:$A,$G1407)=0,"حساب غير معرف",INDEX(COA!$B:$B,MATCH($G1407,COA!$A:$A,0))),"")</f>
        <v/>
      </c>
      <c r="I1407" s="32">
        <f>IF($A1407=1,IF(Supplier_Invoices!$H40="","",Supplier_Invoices!$H40),"")</f>
        <v/>
      </c>
      <c r="J1407" s="32">
        <f>IF($A1407=1,"CC00","")</f>
        <v/>
      </c>
      <c r="K1407" s="32">
        <f>IF($A1407=1,IF(Supplier_Invoices!$C40="","",Supplier_Invoices!$C40),"")</f>
        <v/>
      </c>
      <c r="L1407" s="32">
        <f>IF($A1407=1,"سداد فوري - "&amp;Supplier_Invoices!$F40&amp;" "&amp;Supplier_Invoices!$B40&amp;" - "&amp;Supplier_Invoices!$C40,"")</f>
        <v/>
      </c>
      <c r="M1407" s="43">
        <f>IF($A1407=1,Supplier_Invoices!$W40,"")</f>
        <v/>
      </c>
      <c r="N1407" s="43">
        <f>IF($A1407=1,0,"")</f>
        <v/>
      </c>
      <c r="O1407" s="32">
        <f>IF($A1407=1,Supplier_Invoices!$O40,"")</f>
        <v/>
      </c>
      <c r="P1407" s="32">
        <f>IF($A1407=1,IF(Supplier_Invoices!$AE40="","",Supplier_Invoices!$AE40),"")</f>
        <v/>
      </c>
      <c r="Q1407" s="32">
        <f>IF($A1407=1,Supplier_Invoices!$AG40,"")</f>
        <v/>
      </c>
      <c r="R1407" s="32">
        <f>IF($A1407=1,IF(AND($Q1407=1,COUNTIFS(COA!$A:$A,$G1407,COA!$R:$R,1)=1),1,0),"")</f>
        <v/>
      </c>
      <c r="S1407" s="43">
        <f>IF($A1407=1,IF($R1407=1,N($M1407),0),"")</f>
        <v/>
      </c>
      <c r="T1407" s="43">
        <f>IF($A1407=1,IF($R1407=1,N($N1407),0),"")</f>
        <v/>
      </c>
      <c r="U1407" s="32">
        <f>IF($A1407=1,YEAR($D1407)*100+MONTH($D1407),"")</f>
        <v/>
      </c>
      <c r="V1407" s="32">
        <f>IF($A1407=1,IF(COUNTIF(COA!$A:$A,$G1407)=0,0,INDEX(COA!$H:$H,MATCH($G1407,COA!$A:$A,0))),"")</f>
        <v/>
      </c>
      <c r="W1407" s="32">
        <f>IF($A1407=1,"","")</f>
        <v/>
      </c>
      <c r="X1407" s="32">
        <f>IF($A1407=1,IF($R1407=1,"",IF($O1407=ST_POST,IF($P1407&lt;&gt;"",$P1407,"حساب غير صالح أو غير نشط"),IF($O1407=ST_REV,"معكوس: لا أثر على الدفاتر",IF($O1407=ST_CANC,"ملغى",IF($O1407=ST_APPR,"معتمد ولم يُرحَّل","مسودة"))))),"")</f>
        <v/>
      </c>
      <c r="Y1407" s="32">
        <f>IF($A1407=1,IF(AND($R1407=1,OR(LG_Acct="",$G1407=LG_Acct),OR(LG_Party="",$K1407=LG_Party),OR(LG_Loc="ALL",$I1407=LG_Loc),OR(LG_CC="ALL",$J1407=LG_CC),$D1407&gt;=LG_From,$D1407&lt;=LG_To),$D1407+ROW()/1000000,""),"")</f>
        <v/>
      </c>
      <c r="Z1407" s="32">
        <f>IF($A1407=1,IF(Supplier_Invoices!$P40="","",Supplier_Invoices!$P40),"")</f>
        <v/>
      </c>
      <c r="AA1407" s="32">
        <f>IF($A1407=1,IF(Supplier_Invoices!$Q40="","",Supplier_Invoices!$Q40),"")</f>
        <v/>
      </c>
      <c r="AB1407" s="32">
        <f>IF($A1407=1,IF(Supplier_Invoices!$R40="","",Supplier_Invoices!$R40),"")</f>
        <v/>
      </c>
      <c r="AC1407" s="32">
        <f>IF($A1407=1,IF(Supplier_Invoices!$S40="","",Supplier_Invoices!$S40),"")</f>
        <v/>
      </c>
      <c r="AD1407" s="32">
        <f>IF($A1407=1,IF(Supplier_Invoices!$T40="","",Supplier_Invoices!$T40),"")</f>
        <v/>
      </c>
      <c r="AE1407" s="32">
        <f>IF($A1407=1,0,"")</f>
        <v/>
      </c>
      <c r="AF1407" s="32" t="inlineStr"/>
    </row>
    <row r="1408">
      <c r="A1408" s="32">
        <f>IF(AND(Supplier_Invoices!$AD40=1,Supplier_Invoices!$L40&lt;&gt;"",Supplier_Invoices!$V40&lt;&gt;"CN",N(Supplier_Invoices!$W40)&gt;0),1,0)</f>
        <v/>
      </c>
      <c r="B1408" s="32">
        <f>IF($A1408=1,$E1408&amp;"/5","")</f>
        <v/>
      </c>
      <c r="C1408" s="32">
        <f>IF($A1408=1,"J-"&amp;Supplier_Invoices!$A40,"")</f>
        <v/>
      </c>
      <c r="D1408" s="33">
        <f>IF($A1408=1,Supplier_Invoices!$E40,"")</f>
        <v/>
      </c>
      <c r="E1408" s="32">
        <f>IF($A1408=1,IF(Supplier_Invoices!$A40="","",Supplier_Invoices!$A40),"")</f>
        <v/>
      </c>
      <c r="F1408" s="32">
        <f>IF($A1408=1,"SINV","")</f>
        <v/>
      </c>
      <c r="G1408" s="32">
        <f>IF($A1408=1,IF(Supplier_Invoices!$AA40="","",Supplier_Invoices!$AA40),"")</f>
        <v/>
      </c>
      <c r="H1408" s="32">
        <f>IF($A1408=1,IF(COUNTIF(COA!$A:$A,$G1408)=0,"حساب غير معرف",INDEX(COA!$B:$B,MATCH($G1408,COA!$A:$A,0))),"")</f>
        <v/>
      </c>
      <c r="I1408" s="32">
        <f>IF($A1408=1,IF(Supplier_Invoices!$H40="","",Supplier_Invoices!$H40),"")</f>
        <v/>
      </c>
      <c r="J1408" s="32">
        <f>IF($A1408=1,"CC00","")</f>
        <v/>
      </c>
      <c r="K1408" s="32">
        <f>IF($A1408=1,"-","")</f>
        <v/>
      </c>
      <c r="L1408" s="32">
        <f>IF($A1408=1,"سداد فوري - "&amp;Supplier_Invoices!$F40&amp;" "&amp;Supplier_Invoices!$B40&amp;" - "&amp;Supplier_Invoices!$C40,"")</f>
        <v/>
      </c>
      <c r="M1408" s="43">
        <f>IF($A1408=1,0,"")</f>
        <v/>
      </c>
      <c r="N1408" s="43">
        <f>IF($A1408=1,Supplier_Invoices!$W40,"")</f>
        <v/>
      </c>
      <c r="O1408" s="32">
        <f>IF($A1408=1,Supplier_Invoices!$O40,"")</f>
        <v/>
      </c>
      <c r="P1408" s="32">
        <f>IF($A1408=1,IF(Supplier_Invoices!$AE40="","",Supplier_Invoices!$AE40),"")</f>
        <v/>
      </c>
      <c r="Q1408" s="32">
        <f>IF($A1408=1,Supplier_Invoices!$AG40,"")</f>
        <v/>
      </c>
      <c r="R1408" s="32">
        <f>IF($A1408=1,IF(AND($Q1408=1,COUNTIFS(COA!$A:$A,$G1408,COA!$R:$R,1)=1),1,0),"")</f>
        <v/>
      </c>
      <c r="S1408" s="43">
        <f>IF($A1408=1,IF($R1408=1,N($M1408),0),"")</f>
        <v/>
      </c>
      <c r="T1408" s="43">
        <f>IF($A1408=1,IF($R1408=1,N($N1408),0),"")</f>
        <v/>
      </c>
      <c r="U1408" s="32">
        <f>IF($A1408=1,YEAR($D1408)*100+MONTH($D1408),"")</f>
        <v/>
      </c>
      <c r="V1408" s="32">
        <f>IF($A1408=1,IF(COUNTIF(COA!$A:$A,$G1408)=0,0,INDEX(COA!$H:$H,MATCH($G1408,COA!$A:$A,0))),"")</f>
        <v/>
      </c>
      <c r="W1408" s="32">
        <f>IF($A1408=1,IF(Supplier_Invoices!$AB40="","",Supplier_Invoices!$AB40),"")</f>
        <v/>
      </c>
      <c r="X1408" s="32">
        <f>IF($A1408=1,IF($R1408=1,"",IF($O1408=ST_POST,IF($P1408&lt;&gt;"",$P1408,"حساب غير صالح أو غير نشط"),IF($O1408=ST_REV,"معكوس: لا أثر على الدفاتر",IF($O1408=ST_CANC,"ملغى",IF($O1408=ST_APPR,"معتمد ولم يُرحَّل","مسودة"))))),"")</f>
        <v/>
      </c>
      <c r="Y1408" s="32">
        <f>IF($A1408=1,IF(AND($R1408=1,OR(LG_Acct="",$G1408=LG_Acct),OR(LG_Party="",$K1408=LG_Party),OR(LG_Loc="ALL",$I1408=LG_Loc),OR(LG_CC="ALL",$J1408=LG_CC),$D1408&gt;=LG_From,$D1408&lt;=LG_To),$D1408+ROW()/1000000,""),"")</f>
        <v/>
      </c>
      <c r="Z1408" s="32">
        <f>IF($A1408=1,IF(Supplier_Invoices!$P40="","",Supplier_Invoices!$P40),"")</f>
        <v/>
      </c>
      <c r="AA1408" s="32">
        <f>IF($A1408=1,IF(Supplier_Invoices!$Q40="","",Supplier_Invoices!$Q40),"")</f>
        <v/>
      </c>
      <c r="AB1408" s="32">
        <f>IF($A1408=1,IF(Supplier_Invoices!$R40="","",Supplier_Invoices!$R40),"")</f>
        <v/>
      </c>
      <c r="AC1408" s="32">
        <f>IF($A1408=1,IF(Supplier_Invoices!$S40="","",Supplier_Invoices!$S40),"")</f>
        <v/>
      </c>
      <c r="AD1408" s="32">
        <f>IF($A1408=1,IF(Supplier_Invoices!$T40="","",Supplier_Invoices!$T40),"")</f>
        <v/>
      </c>
      <c r="AE1408" s="32">
        <f>IF($A1408=1,0,"")</f>
        <v/>
      </c>
      <c r="AF1408" s="32" t="inlineStr"/>
    </row>
    <row r="1409">
      <c r="A1409" s="32">
        <f>IF(AND(Supplier_Invoices!$AD41=1,N(Supplier_Invoices!$J41)&gt;0),1,0)</f>
        <v/>
      </c>
      <c r="B1409" s="32">
        <f>IF($A1409=1,$E1409&amp;"/1","")</f>
        <v/>
      </c>
      <c r="C1409" s="32">
        <f>IF($A1409=1,"J-"&amp;Supplier_Invoices!$A41,"")</f>
        <v/>
      </c>
      <c r="D1409" s="33">
        <f>IF($A1409=1,Supplier_Invoices!$E41,"")</f>
        <v/>
      </c>
      <c r="E1409" s="32">
        <f>IF($A1409=1,IF(Supplier_Invoices!$A41="","",Supplier_Invoices!$A41),"")</f>
        <v/>
      </c>
      <c r="F1409" s="32">
        <f>IF($A1409=1,"SINV","")</f>
        <v/>
      </c>
      <c r="G1409" s="32">
        <f>IF($A1409=1,IF(Supplier_Invoices!$G41="","",Supplier_Invoices!$G41),"")</f>
        <v/>
      </c>
      <c r="H1409" s="32">
        <f>IF($A1409=1,IF(COUNTIF(COA!$A:$A,$G1409)=0,"حساب غير معرف",INDEX(COA!$B:$B,MATCH($G1409,COA!$A:$A,0))),"")</f>
        <v/>
      </c>
      <c r="I1409" s="32">
        <f>IF($A1409=1,IF(Supplier_Invoices!$H41="","",Supplier_Invoices!$H41),"")</f>
        <v/>
      </c>
      <c r="J1409" s="32">
        <f>IF($A1409=1,IF(Supplier_Invoices!$I41="","",Supplier_Invoices!$I41),"")</f>
        <v/>
      </c>
      <c r="K1409" s="32">
        <f>IF($A1409=1,"-","")</f>
        <v/>
      </c>
      <c r="L1409" s="32">
        <f>IF($A1409=1,Supplier_Invoices!$F41&amp;" "&amp;Supplier_Invoices!$B41&amp;" - "&amp;Supplier_Invoices!$C41,"")</f>
        <v/>
      </c>
      <c r="M1409" s="43">
        <f>IF($A1409=1,IF(Supplier_Invoices!$V41="CN",0,Supplier_Invoices!$J41),"")</f>
        <v/>
      </c>
      <c r="N1409" s="43">
        <f>IF($A1409=1,IF(Supplier_Invoices!$V41="CN",Supplier_Invoices!$J41,0),"")</f>
        <v/>
      </c>
      <c r="O1409" s="32">
        <f>IF($A1409=1,Supplier_Invoices!$O41,"")</f>
        <v/>
      </c>
      <c r="P1409" s="32">
        <f>IF($A1409=1,IF(Supplier_Invoices!$AE41="","",Supplier_Invoices!$AE41),"")</f>
        <v/>
      </c>
      <c r="Q1409" s="32">
        <f>IF($A1409=1,Supplier_Invoices!$AG41,"")</f>
        <v/>
      </c>
      <c r="R1409" s="32">
        <f>IF($A1409=1,IF(AND($Q1409=1,COUNTIFS(COA!$A:$A,$G1409,COA!$R:$R,1)=1),1,0),"")</f>
        <v/>
      </c>
      <c r="S1409" s="43">
        <f>IF($A1409=1,IF($R1409=1,N($M1409),0),"")</f>
        <v/>
      </c>
      <c r="T1409" s="43">
        <f>IF($A1409=1,IF($R1409=1,N($N1409),0),"")</f>
        <v/>
      </c>
      <c r="U1409" s="32">
        <f>IF($A1409=1,YEAR($D1409)*100+MONTH($D1409),"")</f>
        <v/>
      </c>
      <c r="V1409" s="32">
        <f>IF($A1409=1,IF(COUNTIF(COA!$A:$A,$G1409)=0,0,INDEX(COA!$H:$H,MATCH($G1409,COA!$A:$A,0))),"")</f>
        <v/>
      </c>
      <c r="W1409" s="32">
        <f>IF($A1409=1,"","")</f>
        <v/>
      </c>
      <c r="X1409" s="32">
        <f>IF($A1409=1,IF($R1409=1,"",IF($O1409=ST_POST,IF($P1409&lt;&gt;"",$P1409,"حساب غير صالح أو غير نشط"),IF($O1409=ST_REV,"معكوس: لا أثر على الدفاتر",IF($O1409=ST_CANC,"ملغى",IF($O1409=ST_APPR,"معتمد ولم يُرحَّل","مسودة"))))),"")</f>
        <v/>
      </c>
      <c r="Y1409" s="32">
        <f>IF($A1409=1,IF(AND($R1409=1,OR(LG_Acct="",$G1409=LG_Acct),OR(LG_Party="",$K1409=LG_Party),OR(LG_Loc="ALL",$I1409=LG_Loc),OR(LG_CC="ALL",$J1409=LG_CC),$D1409&gt;=LG_From,$D1409&lt;=LG_To),$D1409+ROW()/1000000,""),"")</f>
        <v/>
      </c>
      <c r="Z1409" s="32">
        <f>IF($A1409=1,IF(Supplier_Invoices!$P41="","",Supplier_Invoices!$P41),"")</f>
        <v/>
      </c>
      <c r="AA1409" s="32">
        <f>IF($A1409=1,IF(Supplier_Invoices!$Q41="","",Supplier_Invoices!$Q41),"")</f>
        <v/>
      </c>
      <c r="AB1409" s="32">
        <f>IF($A1409=1,IF(Supplier_Invoices!$R41="","",Supplier_Invoices!$R41),"")</f>
        <v/>
      </c>
      <c r="AC1409" s="32">
        <f>IF($A1409=1,IF(Supplier_Invoices!$S41="","",Supplier_Invoices!$S41),"")</f>
        <v/>
      </c>
      <c r="AD1409" s="32">
        <f>IF($A1409=1,IF(Supplier_Invoices!$T41="","",Supplier_Invoices!$T41),"")</f>
        <v/>
      </c>
      <c r="AE1409" s="32">
        <f>IF($A1409=1,0,"")</f>
        <v/>
      </c>
      <c r="AF1409" s="32" t="inlineStr"/>
    </row>
    <row r="1410">
      <c r="A1410" s="32">
        <f>IF(AND(Supplier_Invoices!$AD41=1,N(Supplier_Invoices!$K41)&gt;0),1,0)</f>
        <v/>
      </c>
      <c r="B1410" s="32">
        <f>IF($A1410=1,$E1410&amp;"/2","")</f>
        <v/>
      </c>
      <c r="C1410" s="32">
        <f>IF($A1410=1,"J-"&amp;Supplier_Invoices!$A41,"")</f>
        <v/>
      </c>
      <c r="D1410" s="33">
        <f>IF($A1410=1,Supplier_Invoices!$E41,"")</f>
        <v/>
      </c>
      <c r="E1410" s="32">
        <f>IF($A1410=1,IF(Supplier_Invoices!$A41="","",Supplier_Invoices!$A41),"")</f>
        <v/>
      </c>
      <c r="F1410" s="32">
        <f>IF($A1410=1,"SINV","")</f>
        <v/>
      </c>
      <c r="G1410" s="32">
        <f>IF($A1410=1,ACC_VAT_IN,"")</f>
        <v/>
      </c>
      <c r="H1410" s="32">
        <f>IF($A1410=1,IF(COUNTIF(COA!$A:$A,$G1410)=0,"حساب غير معرف",INDEX(COA!$B:$B,MATCH($G1410,COA!$A:$A,0))),"")</f>
        <v/>
      </c>
      <c r="I1410" s="32">
        <f>IF($A1410=1,IF(Supplier_Invoices!$H41="","",Supplier_Invoices!$H41),"")</f>
        <v/>
      </c>
      <c r="J1410" s="32">
        <f>IF($A1410=1,IF(Supplier_Invoices!$I41="","",Supplier_Invoices!$I41),"")</f>
        <v/>
      </c>
      <c r="K1410" s="32">
        <f>IF($A1410=1,"-","")</f>
        <v/>
      </c>
      <c r="L1410" s="32">
        <f>IF($A1410=1,"ضريبة قيمة مضافة - مدخلات","")</f>
        <v/>
      </c>
      <c r="M1410" s="43">
        <f>IF($A1410=1,IF(Supplier_Invoices!$V41="CN",0,Supplier_Invoices!$K41),"")</f>
        <v/>
      </c>
      <c r="N1410" s="43">
        <f>IF($A1410=1,IF(Supplier_Invoices!$V41="CN",Supplier_Invoices!$K41,0),"")</f>
        <v/>
      </c>
      <c r="O1410" s="32">
        <f>IF($A1410=1,Supplier_Invoices!$O41,"")</f>
        <v/>
      </c>
      <c r="P1410" s="32">
        <f>IF($A1410=1,IF(Supplier_Invoices!$AE41="","",Supplier_Invoices!$AE41),"")</f>
        <v/>
      </c>
      <c r="Q1410" s="32">
        <f>IF($A1410=1,Supplier_Invoices!$AG41,"")</f>
        <v/>
      </c>
      <c r="R1410" s="32">
        <f>IF($A1410=1,IF(AND($Q1410=1,COUNTIFS(COA!$A:$A,$G1410,COA!$R:$R,1)=1),1,0),"")</f>
        <v/>
      </c>
      <c r="S1410" s="43">
        <f>IF($A1410=1,IF($R1410=1,N($M1410),0),"")</f>
        <v/>
      </c>
      <c r="T1410" s="43">
        <f>IF($A1410=1,IF($R1410=1,N($N1410),0),"")</f>
        <v/>
      </c>
      <c r="U1410" s="32">
        <f>IF($A1410=1,YEAR($D1410)*100+MONTH($D1410),"")</f>
        <v/>
      </c>
      <c r="V1410" s="32">
        <f>IF($A1410=1,IF(COUNTIF(COA!$A:$A,$G1410)=0,0,INDEX(COA!$H:$H,MATCH($G1410,COA!$A:$A,0))),"")</f>
        <v/>
      </c>
      <c r="W1410" s="32">
        <f>IF($A1410=1,"","")</f>
        <v/>
      </c>
      <c r="X1410" s="32">
        <f>IF($A1410=1,IF($R1410=1,"",IF($O1410=ST_POST,IF($P1410&lt;&gt;"",$P1410,"حساب غير صالح أو غير نشط"),IF($O1410=ST_REV,"معكوس: لا أثر على الدفاتر",IF($O1410=ST_CANC,"ملغى",IF($O1410=ST_APPR,"معتمد ولم يُرحَّل","مسودة"))))),"")</f>
        <v/>
      </c>
      <c r="Y1410" s="32">
        <f>IF($A1410=1,IF(AND($R1410=1,OR(LG_Acct="",$G1410=LG_Acct),OR(LG_Party="",$K1410=LG_Party),OR(LG_Loc="ALL",$I1410=LG_Loc),OR(LG_CC="ALL",$J1410=LG_CC),$D1410&gt;=LG_From,$D1410&lt;=LG_To),$D1410+ROW()/1000000,""),"")</f>
        <v/>
      </c>
      <c r="Z1410" s="32">
        <f>IF($A1410=1,IF(Supplier_Invoices!$P41="","",Supplier_Invoices!$P41),"")</f>
        <v/>
      </c>
      <c r="AA1410" s="32">
        <f>IF($A1410=1,IF(Supplier_Invoices!$Q41="","",Supplier_Invoices!$Q41),"")</f>
        <v/>
      </c>
      <c r="AB1410" s="32">
        <f>IF($A1410=1,IF(Supplier_Invoices!$R41="","",Supplier_Invoices!$R41),"")</f>
        <v/>
      </c>
      <c r="AC1410" s="32">
        <f>IF($A1410=1,IF(Supplier_Invoices!$S41="","",Supplier_Invoices!$S41),"")</f>
        <v/>
      </c>
      <c r="AD1410" s="32">
        <f>IF($A1410=1,IF(Supplier_Invoices!$T41="","",Supplier_Invoices!$T41),"")</f>
        <v/>
      </c>
      <c r="AE1410" s="32">
        <f>IF($A1410=1,0,"")</f>
        <v/>
      </c>
      <c r="AF1410" s="32" t="inlineStr"/>
    </row>
    <row r="1411">
      <c r="A1411" s="32">
        <f>IF(AND(Supplier_Invoices!$AD41=1,N(Supplier_Invoices!$W41)&gt;0),1,0)</f>
        <v/>
      </c>
      <c r="B1411" s="32">
        <f>IF($A1411=1,$E1411&amp;"/3","")</f>
        <v/>
      </c>
      <c r="C1411" s="32">
        <f>IF($A1411=1,"J-"&amp;Supplier_Invoices!$A41,"")</f>
        <v/>
      </c>
      <c r="D1411" s="33">
        <f>IF($A1411=1,Supplier_Invoices!$E41,"")</f>
        <v/>
      </c>
      <c r="E1411" s="32">
        <f>IF($A1411=1,IF(Supplier_Invoices!$A41="","",Supplier_Invoices!$A41),"")</f>
        <v/>
      </c>
      <c r="F1411" s="32">
        <f>IF($A1411=1,"SINV","")</f>
        <v/>
      </c>
      <c r="G1411" s="32">
        <f>IF($A1411=1,ACC_SUPPLIERS,"")</f>
        <v/>
      </c>
      <c r="H1411" s="32">
        <f>IF($A1411=1,IF(COUNTIF(COA!$A:$A,$G1411)=0,"حساب غير معرف",INDEX(COA!$B:$B,MATCH($G1411,COA!$A:$A,0))),"")</f>
        <v/>
      </c>
      <c r="I1411" s="32">
        <f>IF($A1411=1,IF(Supplier_Invoices!$H41="","",Supplier_Invoices!$H41),"")</f>
        <v/>
      </c>
      <c r="J1411" s="32">
        <f>IF($A1411=1,"CC00","")</f>
        <v/>
      </c>
      <c r="K1411" s="32">
        <f>IF($A1411=1,IF(Supplier_Invoices!$C41="","",Supplier_Invoices!$C41),"")</f>
        <v/>
      </c>
      <c r="L1411" s="32">
        <f>IF($A1411=1,Supplier_Invoices!$F41&amp;" "&amp;Supplier_Invoices!$B41&amp;" - "&amp;Supplier_Invoices!$C41,"")</f>
        <v/>
      </c>
      <c r="M1411" s="43">
        <f>IF($A1411=1,IF(Supplier_Invoices!$V41="CN",Supplier_Invoices!$W41,0),"")</f>
        <v/>
      </c>
      <c r="N1411" s="43">
        <f>IF($A1411=1,IF(Supplier_Invoices!$V41="CN",0,Supplier_Invoices!$W41),"")</f>
        <v/>
      </c>
      <c r="O1411" s="32">
        <f>IF($A1411=1,Supplier_Invoices!$O41,"")</f>
        <v/>
      </c>
      <c r="P1411" s="32">
        <f>IF($A1411=1,IF(Supplier_Invoices!$AE41="","",Supplier_Invoices!$AE41),"")</f>
        <v/>
      </c>
      <c r="Q1411" s="32">
        <f>IF($A1411=1,Supplier_Invoices!$AG41,"")</f>
        <v/>
      </c>
      <c r="R1411" s="32">
        <f>IF($A1411=1,IF(AND($Q1411=1,COUNTIFS(COA!$A:$A,$G1411,COA!$R:$R,1)=1),1,0),"")</f>
        <v/>
      </c>
      <c r="S1411" s="43">
        <f>IF($A1411=1,IF($R1411=1,N($M1411),0),"")</f>
        <v/>
      </c>
      <c r="T1411" s="43">
        <f>IF($A1411=1,IF($R1411=1,N($N1411),0),"")</f>
        <v/>
      </c>
      <c r="U1411" s="32">
        <f>IF($A1411=1,YEAR($D1411)*100+MONTH($D1411),"")</f>
        <v/>
      </c>
      <c r="V1411" s="32">
        <f>IF($A1411=1,IF(COUNTIF(COA!$A:$A,$G1411)=0,0,INDEX(COA!$H:$H,MATCH($G1411,COA!$A:$A,0))),"")</f>
        <v/>
      </c>
      <c r="W1411" s="32">
        <f>IF($A1411=1,"","")</f>
        <v/>
      </c>
      <c r="X1411" s="32">
        <f>IF($A1411=1,IF($R1411=1,"",IF($O1411=ST_POST,IF($P1411&lt;&gt;"",$P1411,"حساب غير صالح أو غير نشط"),IF($O1411=ST_REV,"معكوس: لا أثر على الدفاتر",IF($O1411=ST_CANC,"ملغى",IF($O1411=ST_APPR,"معتمد ولم يُرحَّل","مسودة"))))),"")</f>
        <v/>
      </c>
      <c r="Y1411" s="32">
        <f>IF($A1411=1,IF(AND($R1411=1,OR(LG_Acct="",$G1411=LG_Acct),OR(LG_Party="",$K1411=LG_Party),OR(LG_Loc="ALL",$I1411=LG_Loc),OR(LG_CC="ALL",$J1411=LG_CC),$D1411&gt;=LG_From,$D1411&lt;=LG_To),$D1411+ROW()/1000000,""),"")</f>
        <v/>
      </c>
      <c r="Z1411" s="32">
        <f>IF($A1411=1,IF(Supplier_Invoices!$P41="","",Supplier_Invoices!$P41),"")</f>
        <v/>
      </c>
      <c r="AA1411" s="32">
        <f>IF($A1411=1,IF(Supplier_Invoices!$Q41="","",Supplier_Invoices!$Q41),"")</f>
        <v/>
      </c>
      <c r="AB1411" s="32">
        <f>IF($A1411=1,IF(Supplier_Invoices!$R41="","",Supplier_Invoices!$R41),"")</f>
        <v/>
      </c>
      <c r="AC1411" s="32">
        <f>IF($A1411=1,IF(Supplier_Invoices!$S41="","",Supplier_Invoices!$S41),"")</f>
        <v/>
      </c>
      <c r="AD1411" s="32">
        <f>IF($A1411=1,IF(Supplier_Invoices!$T41="","",Supplier_Invoices!$T41),"")</f>
        <v/>
      </c>
      <c r="AE1411" s="32">
        <f>IF($A1411=1,0,"")</f>
        <v/>
      </c>
      <c r="AF1411" s="32" t="inlineStr"/>
    </row>
    <row r="1412">
      <c r="A1412" s="32">
        <f>IF(AND(Supplier_Invoices!$AD41=1,Supplier_Invoices!$L41&lt;&gt;"",Supplier_Invoices!$V41&lt;&gt;"CN",N(Supplier_Invoices!$W41)&gt;0),1,0)</f>
        <v/>
      </c>
      <c r="B1412" s="32">
        <f>IF($A1412=1,$E1412&amp;"/4","")</f>
        <v/>
      </c>
      <c r="C1412" s="32">
        <f>IF($A1412=1,"J-"&amp;Supplier_Invoices!$A41,"")</f>
        <v/>
      </c>
      <c r="D1412" s="33">
        <f>IF($A1412=1,Supplier_Invoices!$E41,"")</f>
        <v/>
      </c>
      <c r="E1412" s="32">
        <f>IF($A1412=1,IF(Supplier_Invoices!$A41="","",Supplier_Invoices!$A41),"")</f>
        <v/>
      </c>
      <c r="F1412" s="32">
        <f>IF($A1412=1,"SINV","")</f>
        <v/>
      </c>
      <c r="G1412" s="32">
        <f>IF($A1412=1,ACC_SUPPLIERS,"")</f>
        <v/>
      </c>
      <c r="H1412" s="32">
        <f>IF($A1412=1,IF(COUNTIF(COA!$A:$A,$G1412)=0,"حساب غير معرف",INDEX(COA!$B:$B,MATCH($G1412,COA!$A:$A,0))),"")</f>
        <v/>
      </c>
      <c r="I1412" s="32">
        <f>IF($A1412=1,IF(Supplier_Invoices!$H41="","",Supplier_Invoices!$H41),"")</f>
        <v/>
      </c>
      <c r="J1412" s="32">
        <f>IF($A1412=1,"CC00","")</f>
        <v/>
      </c>
      <c r="K1412" s="32">
        <f>IF($A1412=1,IF(Supplier_Invoices!$C41="","",Supplier_Invoices!$C41),"")</f>
        <v/>
      </c>
      <c r="L1412" s="32">
        <f>IF($A1412=1,"سداد فوري - "&amp;Supplier_Invoices!$F41&amp;" "&amp;Supplier_Invoices!$B41&amp;" - "&amp;Supplier_Invoices!$C41,"")</f>
        <v/>
      </c>
      <c r="M1412" s="43">
        <f>IF($A1412=1,Supplier_Invoices!$W41,"")</f>
        <v/>
      </c>
      <c r="N1412" s="43">
        <f>IF($A1412=1,0,"")</f>
        <v/>
      </c>
      <c r="O1412" s="32">
        <f>IF($A1412=1,Supplier_Invoices!$O41,"")</f>
        <v/>
      </c>
      <c r="P1412" s="32">
        <f>IF($A1412=1,IF(Supplier_Invoices!$AE41="","",Supplier_Invoices!$AE41),"")</f>
        <v/>
      </c>
      <c r="Q1412" s="32">
        <f>IF($A1412=1,Supplier_Invoices!$AG41,"")</f>
        <v/>
      </c>
      <c r="R1412" s="32">
        <f>IF($A1412=1,IF(AND($Q1412=1,COUNTIFS(COA!$A:$A,$G1412,COA!$R:$R,1)=1),1,0),"")</f>
        <v/>
      </c>
      <c r="S1412" s="43">
        <f>IF($A1412=1,IF($R1412=1,N($M1412),0),"")</f>
        <v/>
      </c>
      <c r="T1412" s="43">
        <f>IF($A1412=1,IF($R1412=1,N($N1412),0),"")</f>
        <v/>
      </c>
      <c r="U1412" s="32">
        <f>IF($A1412=1,YEAR($D1412)*100+MONTH($D1412),"")</f>
        <v/>
      </c>
      <c r="V1412" s="32">
        <f>IF($A1412=1,IF(COUNTIF(COA!$A:$A,$G1412)=0,0,INDEX(COA!$H:$H,MATCH($G1412,COA!$A:$A,0))),"")</f>
        <v/>
      </c>
      <c r="W1412" s="32">
        <f>IF($A1412=1,"","")</f>
        <v/>
      </c>
      <c r="X1412" s="32">
        <f>IF($A1412=1,IF($R1412=1,"",IF($O1412=ST_POST,IF($P1412&lt;&gt;"",$P1412,"حساب غير صالح أو غير نشط"),IF($O1412=ST_REV,"معكوس: لا أثر على الدفاتر",IF($O1412=ST_CANC,"ملغى",IF($O1412=ST_APPR,"معتمد ولم يُرحَّل","مسودة"))))),"")</f>
        <v/>
      </c>
      <c r="Y1412" s="32">
        <f>IF($A1412=1,IF(AND($R1412=1,OR(LG_Acct="",$G1412=LG_Acct),OR(LG_Party="",$K1412=LG_Party),OR(LG_Loc="ALL",$I1412=LG_Loc),OR(LG_CC="ALL",$J1412=LG_CC),$D1412&gt;=LG_From,$D1412&lt;=LG_To),$D1412+ROW()/1000000,""),"")</f>
        <v/>
      </c>
      <c r="Z1412" s="32">
        <f>IF($A1412=1,IF(Supplier_Invoices!$P41="","",Supplier_Invoices!$P41),"")</f>
        <v/>
      </c>
      <c r="AA1412" s="32">
        <f>IF($A1412=1,IF(Supplier_Invoices!$Q41="","",Supplier_Invoices!$Q41),"")</f>
        <v/>
      </c>
      <c r="AB1412" s="32">
        <f>IF($A1412=1,IF(Supplier_Invoices!$R41="","",Supplier_Invoices!$R41),"")</f>
        <v/>
      </c>
      <c r="AC1412" s="32">
        <f>IF($A1412=1,IF(Supplier_Invoices!$S41="","",Supplier_Invoices!$S41),"")</f>
        <v/>
      </c>
      <c r="AD1412" s="32">
        <f>IF($A1412=1,IF(Supplier_Invoices!$T41="","",Supplier_Invoices!$T41),"")</f>
        <v/>
      </c>
      <c r="AE1412" s="32">
        <f>IF($A1412=1,0,"")</f>
        <v/>
      </c>
      <c r="AF1412" s="32" t="inlineStr"/>
    </row>
    <row r="1413">
      <c r="A1413" s="32">
        <f>IF(AND(Supplier_Invoices!$AD41=1,Supplier_Invoices!$L41&lt;&gt;"",Supplier_Invoices!$V41&lt;&gt;"CN",N(Supplier_Invoices!$W41)&gt;0),1,0)</f>
        <v/>
      </c>
      <c r="B1413" s="32">
        <f>IF($A1413=1,$E1413&amp;"/5","")</f>
        <v/>
      </c>
      <c r="C1413" s="32">
        <f>IF($A1413=1,"J-"&amp;Supplier_Invoices!$A41,"")</f>
        <v/>
      </c>
      <c r="D1413" s="33">
        <f>IF($A1413=1,Supplier_Invoices!$E41,"")</f>
        <v/>
      </c>
      <c r="E1413" s="32">
        <f>IF($A1413=1,IF(Supplier_Invoices!$A41="","",Supplier_Invoices!$A41),"")</f>
        <v/>
      </c>
      <c r="F1413" s="32">
        <f>IF($A1413=1,"SINV","")</f>
        <v/>
      </c>
      <c r="G1413" s="32">
        <f>IF($A1413=1,IF(Supplier_Invoices!$AA41="","",Supplier_Invoices!$AA41),"")</f>
        <v/>
      </c>
      <c r="H1413" s="32">
        <f>IF($A1413=1,IF(COUNTIF(COA!$A:$A,$G1413)=0,"حساب غير معرف",INDEX(COA!$B:$B,MATCH($G1413,COA!$A:$A,0))),"")</f>
        <v/>
      </c>
      <c r="I1413" s="32">
        <f>IF($A1413=1,IF(Supplier_Invoices!$H41="","",Supplier_Invoices!$H41),"")</f>
        <v/>
      </c>
      <c r="J1413" s="32">
        <f>IF($A1413=1,"CC00","")</f>
        <v/>
      </c>
      <c r="K1413" s="32">
        <f>IF($A1413=1,"-","")</f>
        <v/>
      </c>
      <c r="L1413" s="32">
        <f>IF($A1413=1,"سداد فوري - "&amp;Supplier_Invoices!$F41&amp;" "&amp;Supplier_Invoices!$B41&amp;" - "&amp;Supplier_Invoices!$C41,"")</f>
        <v/>
      </c>
      <c r="M1413" s="43">
        <f>IF($A1413=1,0,"")</f>
        <v/>
      </c>
      <c r="N1413" s="43">
        <f>IF($A1413=1,Supplier_Invoices!$W41,"")</f>
        <v/>
      </c>
      <c r="O1413" s="32">
        <f>IF($A1413=1,Supplier_Invoices!$O41,"")</f>
        <v/>
      </c>
      <c r="P1413" s="32">
        <f>IF($A1413=1,IF(Supplier_Invoices!$AE41="","",Supplier_Invoices!$AE41),"")</f>
        <v/>
      </c>
      <c r="Q1413" s="32">
        <f>IF($A1413=1,Supplier_Invoices!$AG41,"")</f>
        <v/>
      </c>
      <c r="R1413" s="32">
        <f>IF($A1413=1,IF(AND($Q1413=1,COUNTIFS(COA!$A:$A,$G1413,COA!$R:$R,1)=1),1,0),"")</f>
        <v/>
      </c>
      <c r="S1413" s="43">
        <f>IF($A1413=1,IF($R1413=1,N($M1413),0),"")</f>
        <v/>
      </c>
      <c r="T1413" s="43">
        <f>IF($A1413=1,IF($R1413=1,N($N1413),0),"")</f>
        <v/>
      </c>
      <c r="U1413" s="32">
        <f>IF($A1413=1,YEAR($D1413)*100+MONTH($D1413),"")</f>
        <v/>
      </c>
      <c r="V1413" s="32">
        <f>IF($A1413=1,IF(COUNTIF(COA!$A:$A,$G1413)=0,0,INDEX(COA!$H:$H,MATCH($G1413,COA!$A:$A,0))),"")</f>
        <v/>
      </c>
      <c r="W1413" s="32">
        <f>IF($A1413=1,IF(Supplier_Invoices!$AB41="","",Supplier_Invoices!$AB41),"")</f>
        <v/>
      </c>
      <c r="X1413" s="32">
        <f>IF($A1413=1,IF($R1413=1,"",IF($O1413=ST_POST,IF($P1413&lt;&gt;"",$P1413,"حساب غير صالح أو غير نشط"),IF($O1413=ST_REV,"معكوس: لا أثر على الدفاتر",IF($O1413=ST_CANC,"ملغى",IF($O1413=ST_APPR,"معتمد ولم يُرحَّل","مسودة"))))),"")</f>
        <v/>
      </c>
      <c r="Y1413" s="32">
        <f>IF($A1413=1,IF(AND($R1413=1,OR(LG_Acct="",$G1413=LG_Acct),OR(LG_Party="",$K1413=LG_Party),OR(LG_Loc="ALL",$I1413=LG_Loc),OR(LG_CC="ALL",$J1413=LG_CC),$D1413&gt;=LG_From,$D1413&lt;=LG_To),$D1413+ROW()/1000000,""),"")</f>
        <v/>
      </c>
      <c r="Z1413" s="32">
        <f>IF($A1413=1,IF(Supplier_Invoices!$P41="","",Supplier_Invoices!$P41),"")</f>
        <v/>
      </c>
      <c r="AA1413" s="32">
        <f>IF($A1413=1,IF(Supplier_Invoices!$Q41="","",Supplier_Invoices!$Q41),"")</f>
        <v/>
      </c>
      <c r="AB1413" s="32">
        <f>IF($A1413=1,IF(Supplier_Invoices!$R41="","",Supplier_Invoices!$R41),"")</f>
        <v/>
      </c>
      <c r="AC1413" s="32">
        <f>IF($A1413=1,IF(Supplier_Invoices!$S41="","",Supplier_Invoices!$S41),"")</f>
        <v/>
      </c>
      <c r="AD1413" s="32">
        <f>IF($A1413=1,IF(Supplier_Invoices!$T41="","",Supplier_Invoices!$T41),"")</f>
        <v/>
      </c>
      <c r="AE1413" s="32">
        <f>IF($A1413=1,0,"")</f>
        <v/>
      </c>
      <c r="AF1413" s="32" t="inlineStr"/>
    </row>
    <row r="1414">
      <c r="A1414" s="32">
        <f>IF(AND(Supplier_Invoices!$AD42=1,N(Supplier_Invoices!$J42)&gt;0),1,0)</f>
        <v/>
      </c>
      <c r="B1414" s="32">
        <f>IF($A1414=1,$E1414&amp;"/1","")</f>
        <v/>
      </c>
      <c r="C1414" s="32">
        <f>IF($A1414=1,"J-"&amp;Supplier_Invoices!$A42,"")</f>
        <v/>
      </c>
      <c r="D1414" s="33">
        <f>IF($A1414=1,Supplier_Invoices!$E42,"")</f>
        <v/>
      </c>
      <c r="E1414" s="32">
        <f>IF($A1414=1,IF(Supplier_Invoices!$A42="","",Supplier_Invoices!$A42),"")</f>
        <v/>
      </c>
      <c r="F1414" s="32">
        <f>IF($A1414=1,"SINV","")</f>
        <v/>
      </c>
      <c r="G1414" s="32">
        <f>IF($A1414=1,IF(Supplier_Invoices!$G42="","",Supplier_Invoices!$G42),"")</f>
        <v/>
      </c>
      <c r="H1414" s="32">
        <f>IF($A1414=1,IF(COUNTIF(COA!$A:$A,$G1414)=0,"حساب غير معرف",INDEX(COA!$B:$B,MATCH($G1414,COA!$A:$A,0))),"")</f>
        <v/>
      </c>
      <c r="I1414" s="32">
        <f>IF($A1414=1,IF(Supplier_Invoices!$H42="","",Supplier_Invoices!$H42),"")</f>
        <v/>
      </c>
      <c r="J1414" s="32">
        <f>IF($A1414=1,IF(Supplier_Invoices!$I42="","",Supplier_Invoices!$I42),"")</f>
        <v/>
      </c>
      <c r="K1414" s="32">
        <f>IF($A1414=1,"-","")</f>
        <v/>
      </c>
      <c r="L1414" s="32">
        <f>IF($A1414=1,Supplier_Invoices!$F42&amp;" "&amp;Supplier_Invoices!$B42&amp;" - "&amp;Supplier_Invoices!$C42,"")</f>
        <v/>
      </c>
      <c r="M1414" s="43">
        <f>IF($A1414=1,IF(Supplier_Invoices!$V42="CN",0,Supplier_Invoices!$J42),"")</f>
        <v/>
      </c>
      <c r="N1414" s="43">
        <f>IF($A1414=1,IF(Supplier_Invoices!$V42="CN",Supplier_Invoices!$J42,0),"")</f>
        <v/>
      </c>
      <c r="O1414" s="32">
        <f>IF($A1414=1,Supplier_Invoices!$O42,"")</f>
        <v/>
      </c>
      <c r="P1414" s="32">
        <f>IF($A1414=1,IF(Supplier_Invoices!$AE42="","",Supplier_Invoices!$AE42),"")</f>
        <v/>
      </c>
      <c r="Q1414" s="32">
        <f>IF($A1414=1,Supplier_Invoices!$AG42,"")</f>
        <v/>
      </c>
      <c r="R1414" s="32">
        <f>IF($A1414=1,IF(AND($Q1414=1,COUNTIFS(COA!$A:$A,$G1414,COA!$R:$R,1)=1),1,0),"")</f>
        <v/>
      </c>
      <c r="S1414" s="43">
        <f>IF($A1414=1,IF($R1414=1,N($M1414),0),"")</f>
        <v/>
      </c>
      <c r="T1414" s="43">
        <f>IF($A1414=1,IF($R1414=1,N($N1414),0),"")</f>
        <v/>
      </c>
      <c r="U1414" s="32">
        <f>IF($A1414=1,YEAR($D1414)*100+MONTH($D1414),"")</f>
        <v/>
      </c>
      <c r="V1414" s="32">
        <f>IF($A1414=1,IF(COUNTIF(COA!$A:$A,$G1414)=0,0,INDEX(COA!$H:$H,MATCH($G1414,COA!$A:$A,0))),"")</f>
        <v/>
      </c>
      <c r="W1414" s="32">
        <f>IF($A1414=1,"","")</f>
        <v/>
      </c>
      <c r="X1414" s="32">
        <f>IF($A1414=1,IF($R1414=1,"",IF($O1414=ST_POST,IF($P1414&lt;&gt;"",$P1414,"حساب غير صالح أو غير نشط"),IF($O1414=ST_REV,"معكوس: لا أثر على الدفاتر",IF($O1414=ST_CANC,"ملغى",IF($O1414=ST_APPR,"معتمد ولم يُرحَّل","مسودة"))))),"")</f>
        <v/>
      </c>
      <c r="Y1414" s="32">
        <f>IF($A1414=1,IF(AND($R1414=1,OR(LG_Acct="",$G1414=LG_Acct),OR(LG_Party="",$K1414=LG_Party),OR(LG_Loc="ALL",$I1414=LG_Loc),OR(LG_CC="ALL",$J1414=LG_CC),$D1414&gt;=LG_From,$D1414&lt;=LG_To),$D1414+ROW()/1000000,""),"")</f>
        <v/>
      </c>
      <c r="Z1414" s="32">
        <f>IF($A1414=1,IF(Supplier_Invoices!$P42="","",Supplier_Invoices!$P42),"")</f>
        <v/>
      </c>
      <c r="AA1414" s="32">
        <f>IF($A1414=1,IF(Supplier_Invoices!$Q42="","",Supplier_Invoices!$Q42),"")</f>
        <v/>
      </c>
      <c r="AB1414" s="32">
        <f>IF($A1414=1,IF(Supplier_Invoices!$R42="","",Supplier_Invoices!$R42),"")</f>
        <v/>
      </c>
      <c r="AC1414" s="32">
        <f>IF($A1414=1,IF(Supplier_Invoices!$S42="","",Supplier_Invoices!$S42),"")</f>
        <v/>
      </c>
      <c r="AD1414" s="32">
        <f>IF($A1414=1,IF(Supplier_Invoices!$T42="","",Supplier_Invoices!$T42),"")</f>
        <v/>
      </c>
      <c r="AE1414" s="32">
        <f>IF($A1414=1,0,"")</f>
        <v/>
      </c>
      <c r="AF1414" s="32" t="inlineStr"/>
    </row>
    <row r="1415">
      <c r="A1415" s="32">
        <f>IF(AND(Supplier_Invoices!$AD42=1,N(Supplier_Invoices!$K42)&gt;0),1,0)</f>
        <v/>
      </c>
      <c r="B1415" s="32">
        <f>IF($A1415=1,$E1415&amp;"/2","")</f>
        <v/>
      </c>
      <c r="C1415" s="32">
        <f>IF($A1415=1,"J-"&amp;Supplier_Invoices!$A42,"")</f>
        <v/>
      </c>
      <c r="D1415" s="33">
        <f>IF($A1415=1,Supplier_Invoices!$E42,"")</f>
        <v/>
      </c>
      <c r="E1415" s="32">
        <f>IF($A1415=1,IF(Supplier_Invoices!$A42="","",Supplier_Invoices!$A42),"")</f>
        <v/>
      </c>
      <c r="F1415" s="32">
        <f>IF($A1415=1,"SINV","")</f>
        <v/>
      </c>
      <c r="G1415" s="32">
        <f>IF($A1415=1,ACC_VAT_IN,"")</f>
        <v/>
      </c>
      <c r="H1415" s="32">
        <f>IF($A1415=1,IF(COUNTIF(COA!$A:$A,$G1415)=0,"حساب غير معرف",INDEX(COA!$B:$B,MATCH($G1415,COA!$A:$A,0))),"")</f>
        <v/>
      </c>
      <c r="I1415" s="32">
        <f>IF($A1415=1,IF(Supplier_Invoices!$H42="","",Supplier_Invoices!$H42),"")</f>
        <v/>
      </c>
      <c r="J1415" s="32">
        <f>IF($A1415=1,IF(Supplier_Invoices!$I42="","",Supplier_Invoices!$I42),"")</f>
        <v/>
      </c>
      <c r="K1415" s="32">
        <f>IF($A1415=1,"-","")</f>
        <v/>
      </c>
      <c r="L1415" s="32">
        <f>IF($A1415=1,"ضريبة قيمة مضافة - مدخلات","")</f>
        <v/>
      </c>
      <c r="M1415" s="43">
        <f>IF($A1415=1,IF(Supplier_Invoices!$V42="CN",0,Supplier_Invoices!$K42),"")</f>
        <v/>
      </c>
      <c r="N1415" s="43">
        <f>IF($A1415=1,IF(Supplier_Invoices!$V42="CN",Supplier_Invoices!$K42,0),"")</f>
        <v/>
      </c>
      <c r="O1415" s="32">
        <f>IF($A1415=1,Supplier_Invoices!$O42,"")</f>
        <v/>
      </c>
      <c r="P1415" s="32">
        <f>IF($A1415=1,IF(Supplier_Invoices!$AE42="","",Supplier_Invoices!$AE42),"")</f>
        <v/>
      </c>
      <c r="Q1415" s="32">
        <f>IF($A1415=1,Supplier_Invoices!$AG42,"")</f>
        <v/>
      </c>
      <c r="R1415" s="32">
        <f>IF($A1415=1,IF(AND($Q1415=1,COUNTIFS(COA!$A:$A,$G1415,COA!$R:$R,1)=1),1,0),"")</f>
        <v/>
      </c>
      <c r="S1415" s="43">
        <f>IF($A1415=1,IF($R1415=1,N($M1415),0),"")</f>
        <v/>
      </c>
      <c r="T1415" s="43">
        <f>IF($A1415=1,IF($R1415=1,N($N1415),0),"")</f>
        <v/>
      </c>
      <c r="U1415" s="32">
        <f>IF($A1415=1,YEAR($D1415)*100+MONTH($D1415),"")</f>
        <v/>
      </c>
      <c r="V1415" s="32">
        <f>IF($A1415=1,IF(COUNTIF(COA!$A:$A,$G1415)=0,0,INDEX(COA!$H:$H,MATCH($G1415,COA!$A:$A,0))),"")</f>
        <v/>
      </c>
      <c r="W1415" s="32">
        <f>IF($A1415=1,"","")</f>
        <v/>
      </c>
      <c r="X1415" s="32">
        <f>IF($A1415=1,IF($R1415=1,"",IF($O1415=ST_POST,IF($P1415&lt;&gt;"",$P1415,"حساب غير صالح أو غير نشط"),IF($O1415=ST_REV,"معكوس: لا أثر على الدفاتر",IF($O1415=ST_CANC,"ملغى",IF($O1415=ST_APPR,"معتمد ولم يُرحَّل","مسودة"))))),"")</f>
        <v/>
      </c>
      <c r="Y1415" s="32">
        <f>IF($A1415=1,IF(AND($R1415=1,OR(LG_Acct="",$G1415=LG_Acct),OR(LG_Party="",$K1415=LG_Party),OR(LG_Loc="ALL",$I1415=LG_Loc),OR(LG_CC="ALL",$J1415=LG_CC),$D1415&gt;=LG_From,$D1415&lt;=LG_To),$D1415+ROW()/1000000,""),"")</f>
        <v/>
      </c>
      <c r="Z1415" s="32">
        <f>IF($A1415=1,IF(Supplier_Invoices!$P42="","",Supplier_Invoices!$P42),"")</f>
        <v/>
      </c>
      <c r="AA1415" s="32">
        <f>IF($A1415=1,IF(Supplier_Invoices!$Q42="","",Supplier_Invoices!$Q42),"")</f>
        <v/>
      </c>
      <c r="AB1415" s="32">
        <f>IF($A1415=1,IF(Supplier_Invoices!$R42="","",Supplier_Invoices!$R42),"")</f>
        <v/>
      </c>
      <c r="AC1415" s="32">
        <f>IF($A1415=1,IF(Supplier_Invoices!$S42="","",Supplier_Invoices!$S42),"")</f>
        <v/>
      </c>
      <c r="AD1415" s="32">
        <f>IF($A1415=1,IF(Supplier_Invoices!$T42="","",Supplier_Invoices!$T42),"")</f>
        <v/>
      </c>
      <c r="AE1415" s="32">
        <f>IF($A1415=1,0,"")</f>
        <v/>
      </c>
      <c r="AF1415" s="32" t="inlineStr"/>
    </row>
    <row r="1416">
      <c r="A1416" s="32">
        <f>IF(AND(Supplier_Invoices!$AD42=1,N(Supplier_Invoices!$W42)&gt;0),1,0)</f>
        <v/>
      </c>
      <c r="B1416" s="32">
        <f>IF($A1416=1,$E1416&amp;"/3","")</f>
        <v/>
      </c>
      <c r="C1416" s="32">
        <f>IF($A1416=1,"J-"&amp;Supplier_Invoices!$A42,"")</f>
        <v/>
      </c>
      <c r="D1416" s="33">
        <f>IF($A1416=1,Supplier_Invoices!$E42,"")</f>
        <v/>
      </c>
      <c r="E1416" s="32">
        <f>IF($A1416=1,IF(Supplier_Invoices!$A42="","",Supplier_Invoices!$A42),"")</f>
        <v/>
      </c>
      <c r="F1416" s="32">
        <f>IF($A1416=1,"SINV","")</f>
        <v/>
      </c>
      <c r="G1416" s="32">
        <f>IF($A1416=1,ACC_SUPPLIERS,"")</f>
        <v/>
      </c>
      <c r="H1416" s="32">
        <f>IF($A1416=1,IF(COUNTIF(COA!$A:$A,$G1416)=0,"حساب غير معرف",INDEX(COA!$B:$B,MATCH($G1416,COA!$A:$A,0))),"")</f>
        <v/>
      </c>
      <c r="I1416" s="32">
        <f>IF($A1416=1,IF(Supplier_Invoices!$H42="","",Supplier_Invoices!$H42),"")</f>
        <v/>
      </c>
      <c r="J1416" s="32">
        <f>IF($A1416=1,"CC00","")</f>
        <v/>
      </c>
      <c r="K1416" s="32">
        <f>IF($A1416=1,IF(Supplier_Invoices!$C42="","",Supplier_Invoices!$C42),"")</f>
        <v/>
      </c>
      <c r="L1416" s="32">
        <f>IF($A1416=1,Supplier_Invoices!$F42&amp;" "&amp;Supplier_Invoices!$B42&amp;" - "&amp;Supplier_Invoices!$C42,"")</f>
        <v/>
      </c>
      <c r="M1416" s="43">
        <f>IF($A1416=1,IF(Supplier_Invoices!$V42="CN",Supplier_Invoices!$W42,0),"")</f>
        <v/>
      </c>
      <c r="N1416" s="43">
        <f>IF($A1416=1,IF(Supplier_Invoices!$V42="CN",0,Supplier_Invoices!$W42),"")</f>
        <v/>
      </c>
      <c r="O1416" s="32">
        <f>IF($A1416=1,Supplier_Invoices!$O42,"")</f>
        <v/>
      </c>
      <c r="P1416" s="32">
        <f>IF($A1416=1,IF(Supplier_Invoices!$AE42="","",Supplier_Invoices!$AE42),"")</f>
        <v/>
      </c>
      <c r="Q1416" s="32">
        <f>IF($A1416=1,Supplier_Invoices!$AG42,"")</f>
        <v/>
      </c>
      <c r="R1416" s="32">
        <f>IF($A1416=1,IF(AND($Q1416=1,COUNTIFS(COA!$A:$A,$G1416,COA!$R:$R,1)=1),1,0),"")</f>
        <v/>
      </c>
      <c r="S1416" s="43">
        <f>IF($A1416=1,IF($R1416=1,N($M1416),0),"")</f>
        <v/>
      </c>
      <c r="T1416" s="43">
        <f>IF($A1416=1,IF($R1416=1,N($N1416),0),"")</f>
        <v/>
      </c>
      <c r="U1416" s="32">
        <f>IF($A1416=1,YEAR($D1416)*100+MONTH($D1416),"")</f>
        <v/>
      </c>
      <c r="V1416" s="32">
        <f>IF($A1416=1,IF(COUNTIF(COA!$A:$A,$G1416)=0,0,INDEX(COA!$H:$H,MATCH($G1416,COA!$A:$A,0))),"")</f>
        <v/>
      </c>
      <c r="W1416" s="32">
        <f>IF($A1416=1,"","")</f>
        <v/>
      </c>
      <c r="X1416" s="32">
        <f>IF($A1416=1,IF($R1416=1,"",IF($O1416=ST_POST,IF($P1416&lt;&gt;"",$P1416,"حساب غير صالح أو غير نشط"),IF($O1416=ST_REV,"معكوس: لا أثر على الدفاتر",IF($O1416=ST_CANC,"ملغى",IF($O1416=ST_APPR,"معتمد ولم يُرحَّل","مسودة"))))),"")</f>
        <v/>
      </c>
      <c r="Y1416" s="32">
        <f>IF($A1416=1,IF(AND($R1416=1,OR(LG_Acct="",$G1416=LG_Acct),OR(LG_Party="",$K1416=LG_Party),OR(LG_Loc="ALL",$I1416=LG_Loc),OR(LG_CC="ALL",$J1416=LG_CC),$D1416&gt;=LG_From,$D1416&lt;=LG_To),$D1416+ROW()/1000000,""),"")</f>
        <v/>
      </c>
      <c r="Z1416" s="32">
        <f>IF($A1416=1,IF(Supplier_Invoices!$P42="","",Supplier_Invoices!$P42),"")</f>
        <v/>
      </c>
      <c r="AA1416" s="32">
        <f>IF($A1416=1,IF(Supplier_Invoices!$Q42="","",Supplier_Invoices!$Q42),"")</f>
        <v/>
      </c>
      <c r="AB1416" s="32">
        <f>IF($A1416=1,IF(Supplier_Invoices!$R42="","",Supplier_Invoices!$R42),"")</f>
        <v/>
      </c>
      <c r="AC1416" s="32">
        <f>IF($A1416=1,IF(Supplier_Invoices!$S42="","",Supplier_Invoices!$S42),"")</f>
        <v/>
      </c>
      <c r="AD1416" s="32">
        <f>IF($A1416=1,IF(Supplier_Invoices!$T42="","",Supplier_Invoices!$T42),"")</f>
        <v/>
      </c>
      <c r="AE1416" s="32">
        <f>IF($A1416=1,0,"")</f>
        <v/>
      </c>
      <c r="AF1416" s="32" t="inlineStr"/>
    </row>
    <row r="1417">
      <c r="A1417" s="32">
        <f>IF(AND(Supplier_Invoices!$AD42=1,Supplier_Invoices!$L42&lt;&gt;"",Supplier_Invoices!$V42&lt;&gt;"CN",N(Supplier_Invoices!$W42)&gt;0),1,0)</f>
        <v/>
      </c>
      <c r="B1417" s="32">
        <f>IF($A1417=1,$E1417&amp;"/4","")</f>
        <v/>
      </c>
      <c r="C1417" s="32">
        <f>IF($A1417=1,"J-"&amp;Supplier_Invoices!$A42,"")</f>
        <v/>
      </c>
      <c r="D1417" s="33">
        <f>IF($A1417=1,Supplier_Invoices!$E42,"")</f>
        <v/>
      </c>
      <c r="E1417" s="32">
        <f>IF($A1417=1,IF(Supplier_Invoices!$A42="","",Supplier_Invoices!$A42),"")</f>
        <v/>
      </c>
      <c r="F1417" s="32">
        <f>IF($A1417=1,"SINV","")</f>
        <v/>
      </c>
      <c r="G1417" s="32">
        <f>IF($A1417=1,ACC_SUPPLIERS,"")</f>
        <v/>
      </c>
      <c r="H1417" s="32">
        <f>IF($A1417=1,IF(COUNTIF(COA!$A:$A,$G1417)=0,"حساب غير معرف",INDEX(COA!$B:$B,MATCH($G1417,COA!$A:$A,0))),"")</f>
        <v/>
      </c>
      <c r="I1417" s="32">
        <f>IF($A1417=1,IF(Supplier_Invoices!$H42="","",Supplier_Invoices!$H42),"")</f>
        <v/>
      </c>
      <c r="J1417" s="32">
        <f>IF($A1417=1,"CC00","")</f>
        <v/>
      </c>
      <c r="K1417" s="32">
        <f>IF($A1417=1,IF(Supplier_Invoices!$C42="","",Supplier_Invoices!$C42),"")</f>
        <v/>
      </c>
      <c r="L1417" s="32">
        <f>IF($A1417=1,"سداد فوري - "&amp;Supplier_Invoices!$F42&amp;" "&amp;Supplier_Invoices!$B42&amp;" - "&amp;Supplier_Invoices!$C42,"")</f>
        <v/>
      </c>
      <c r="M1417" s="43">
        <f>IF($A1417=1,Supplier_Invoices!$W42,"")</f>
        <v/>
      </c>
      <c r="N1417" s="43">
        <f>IF($A1417=1,0,"")</f>
        <v/>
      </c>
      <c r="O1417" s="32">
        <f>IF($A1417=1,Supplier_Invoices!$O42,"")</f>
        <v/>
      </c>
      <c r="P1417" s="32">
        <f>IF($A1417=1,IF(Supplier_Invoices!$AE42="","",Supplier_Invoices!$AE42),"")</f>
        <v/>
      </c>
      <c r="Q1417" s="32">
        <f>IF($A1417=1,Supplier_Invoices!$AG42,"")</f>
        <v/>
      </c>
      <c r="R1417" s="32">
        <f>IF($A1417=1,IF(AND($Q1417=1,COUNTIFS(COA!$A:$A,$G1417,COA!$R:$R,1)=1),1,0),"")</f>
        <v/>
      </c>
      <c r="S1417" s="43">
        <f>IF($A1417=1,IF($R1417=1,N($M1417),0),"")</f>
        <v/>
      </c>
      <c r="T1417" s="43">
        <f>IF($A1417=1,IF($R1417=1,N($N1417),0),"")</f>
        <v/>
      </c>
      <c r="U1417" s="32">
        <f>IF($A1417=1,YEAR($D1417)*100+MONTH($D1417),"")</f>
        <v/>
      </c>
      <c r="V1417" s="32">
        <f>IF($A1417=1,IF(COUNTIF(COA!$A:$A,$G1417)=0,0,INDEX(COA!$H:$H,MATCH($G1417,COA!$A:$A,0))),"")</f>
        <v/>
      </c>
      <c r="W1417" s="32">
        <f>IF($A1417=1,"","")</f>
        <v/>
      </c>
      <c r="X1417" s="32">
        <f>IF($A1417=1,IF($R1417=1,"",IF($O1417=ST_POST,IF($P1417&lt;&gt;"",$P1417,"حساب غير صالح أو غير نشط"),IF($O1417=ST_REV,"معكوس: لا أثر على الدفاتر",IF($O1417=ST_CANC,"ملغى",IF($O1417=ST_APPR,"معتمد ولم يُرحَّل","مسودة"))))),"")</f>
        <v/>
      </c>
      <c r="Y1417" s="32">
        <f>IF($A1417=1,IF(AND($R1417=1,OR(LG_Acct="",$G1417=LG_Acct),OR(LG_Party="",$K1417=LG_Party),OR(LG_Loc="ALL",$I1417=LG_Loc),OR(LG_CC="ALL",$J1417=LG_CC),$D1417&gt;=LG_From,$D1417&lt;=LG_To),$D1417+ROW()/1000000,""),"")</f>
        <v/>
      </c>
      <c r="Z1417" s="32">
        <f>IF($A1417=1,IF(Supplier_Invoices!$P42="","",Supplier_Invoices!$P42),"")</f>
        <v/>
      </c>
      <c r="AA1417" s="32">
        <f>IF($A1417=1,IF(Supplier_Invoices!$Q42="","",Supplier_Invoices!$Q42),"")</f>
        <v/>
      </c>
      <c r="AB1417" s="32">
        <f>IF($A1417=1,IF(Supplier_Invoices!$R42="","",Supplier_Invoices!$R42),"")</f>
        <v/>
      </c>
      <c r="AC1417" s="32">
        <f>IF($A1417=1,IF(Supplier_Invoices!$S42="","",Supplier_Invoices!$S42),"")</f>
        <v/>
      </c>
      <c r="AD1417" s="32">
        <f>IF($A1417=1,IF(Supplier_Invoices!$T42="","",Supplier_Invoices!$T42),"")</f>
        <v/>
      </c>
      <c r="AE1417" s="32">
        <f>IF($A1417=1,0,"")</f>
        <v/>
      </c>
      <c r="AF1417" s="32" t="inlineStr"/>
    </row>
    <row r="1418">
      <c r="A1418" s="32">
        <f>IF(AND(Supplier_Invoices!$AD42=1,Supplier_Invoices!$L42&lt;&gt;"",Supplier_Invoices!$V42&lt;&gt;"CN",N(Supplier_Invoices!$W42)&gt;0),1,0)</f>
        <v/>
      </c>
      <c r="B1418" s="32">
        <f>IF($A1418=1,$E1418&amp;"/5","")</f>
        <v/>
      </c>
      <c r="C1418" s="32">
        <f>IF($A1418=1,"J-"&amp;Supplier_Invoices!$A42,"")</f>
        <v/>
      </c>
      <c r="D1418" s="33">
        <f>IF($A1418=1,Supplier_Invoices!$E42,"")</f>
        <v/>
      </c>
      <c r="E1418" s="32">
        <f>IF($A1418=1,IF(Supplier_Invoices!$A42="","",Supplier_Invoices!$A42),"")</f>
        <v/>
      </c>
      <c r="F1418" s="32">
        <f>IF($A1418=1,"SINV","")</f>
        <v/>
      </c>
      <c r="G1418" s="32">
        <f>IF($A1418=1,IF(Supplier_Invoices!$AA42="","",Supplier_Invoices!$AA42),"")</f>
        <v/>
      </c>
      <c r="H1418" s="32">
        <f>IF($A1418=1,IF(COUNTIF(COA!$A:$A,$G1418)=0,"حساب غير معرف",INDEX(COA!$B:$B,MATCH($G1418,COA!$A:$A,0))),"")</f>
        <v/>
      </c>
      <c r="I1418" s="32">
        <f>IF($A1418=1,IF(Supplier_Invoices!$H42="","",Supplier_Invoices!$H42),"")</f>
        <v/>
      </c>
      <c r="J1418" s="32">
        <f>IF($A1418=1,"CC00","")</f>
        <v/>
      </c>
      <c r="K1418" s="32">
        <f>IF($A1418=1,"-","")</f>
        <v/>
      </c>
      <c r="L1418" s="32">
        <f>IF($A1418=1,"سداد فوري - "&amp;Supplier_Invoices!$F42&amp;" "&amp;Supplier_Invoices!$B42&amp;" - "&amp;Supplier_Invoices!$C42,"")</f>
        <v/>
      </c>
      <c r="M1418" s="43">
        <f>IF($A1418=1,0,"")</f>
        <v/>
      </c>
      <c r="N1418" s="43">
        <f>IF($A1418=1,Supplier_Invoices!$W42,"")</f>
        <v/>
      </c>
      <c r="O1418" s="32">
        <f>IF($A1418=1,Supplier_Invoices!$O42,"")</f>
        <v/>
      </c>
      <c r="P1418" s="32">
        <f>IF($A1418=1,IF(Supplier_Invoices!$AE42="","",Supplier_Invoices!$AE42),"")</f>
        <v/>
      </c>
      <c r="Q1418" s="32">
        <f>IF($A1418=1,Supplier_Invoices!$AG42,"")</f>
        <v/>
      </c>
      <c r="R1418" s="32">
        <f>IF($A1418=1,IF(AND($Q1418=1,COUNTIFS(COA!$A:$A,$G1418,COA!$R:$R,1)=1),1,0),"")</f>
        <v/>
      </c>
      <c r="S1418" s="43">
        <f>IF($A1418=1,IF($R1418=1,N($M1418),0),"")</f>
        <v/>
      </c>
      <c r="T1418" s="43">
        <f>IF($A1418=1,IF($R1418=1,N($N1418),0),"")</f>
        <v/>
      </c>
      <c r="U1418" s="32">
        <f>IF($A1418=1,YEAR($D1418)*100+MONTH($D1418),"")</f>
        <v/>
      </c>
      <c r="V1418" s="32">
        <f>IF($A1418=1,IF(COUNTIF(COA!$A:$A,$G1418)=0,0,INDEX(COA!$H:$H,MATCH($G1418,COA!$A:$A,0))),"")</f>
        <v/>
      </c>
      <c r="W1418" s="32">
        <f>IF($A1418=1,IF(Supplier_Invoices!$AB42="","",Supplier_Invoices!$AB42),"")</f>
        <v/>
      </c>
      <c r="X1418" s="32">
        <f>IF($A1418=1,IF($R1418=1,"",IF($O1418=ST_POST,IF($P1418&lt;&gt;"",$P1418,"حساب غير صالح أو غير نشط"),IF($O1418=ST_REV,"معكوس: لا أثر على الدفاتر",IF($O1418=ST_CANC,"ملغى",IF($O1418=ST_APPR,"معتمد ولم يُرحَّل","مسودة"))))),"")</f>
        <v/>
      </c>
      <c r="Y1418" s="32">
        <f>IF($A1418=1,IF(AND($R1418=1,OR(LG_Acct="",$G1418=LG_Acct),OR(LG_Party="",$K1418=LG_Party),OR(LG_Loc="ALL",$I1418=LG_Loc),OR(LG_CC="ALL",$J1418=LG_CC),$D1418&gt;=LG_From,$D1418&lt;=LG_To),$D1418+ROW()/1000000,""),"")</f>
        <v/>
      </c>
      <c r="Z1418" s="32">
        <f>IF($A1418=1,IF(Supplier_Invoices!$P42="","",Supplier_Invoices!$P42),"")</f>
        <v/>
      </c>
      <c r="AA1418" s="32">
        <f>IF($A1418=1,IF(Supplier_Invoices!$Q42="","",Supplier_Invoices!$Q42),"")</f>
        <v/>
      </c>
      <c r="AB1418" s="32">
        <f>IF($A1418=1,IF(Supplier_Invoices!$R42="","",Supplier_Invoices!$R42),"")</f>
        <v/>
      </c>
      <c r="AC1418" s="32">
        <f>IF($A1418=1,IF(Supplier_Invoices!$S42="","",Supplier_Invoices!$S42),"")</f>
        <v/>
      </c>
      <c r="AD1418" s="32">
        <f>IF($A1418=1,IF(Supplier_Invoices!$T42="","",Supplier_Invoices!$T42),"")</f>
        <v/>
      </c>
      <c r="AE1418" s="32">
        <f>IF($A1418=1,0,"")</f>
        <v/>
      </c>
      <c r="AF1418" s="32" t="inlineStr"/>
    </row>
    <row r="1419">
      <c r="A1419" s="32">
        <f>IF(AND(Supplier_Invoices!$AD43=1,N(Supplier_Invoices!$J43)&gt;0),1,0)</f>
        <v/>
      </c>
      <c r="B1419" s="32">
        <f>IF($A1419=1,$E1419&amp;"/1","")</f>
        <v/>
      </c>
      <c r="C1419" s="32">
        <f>IF($A1419=1,"J-"&amp;Supplier_Invoices!$A43,"")</f>
        <v/>
      </c>
      <c r="D1419" s="33">
        <f>IF($A1419=1,Supplier_Invoices!$E43,"")</f>
        <v/>
      </c>
      <c r="E1419" s="32">
        <f>IF($A1419=1,IF(Supplier_Invoices!$A43="","",Supplier_Invoices!$A43),"")</f>
        <v/>
      </c>
      <c r="F1419" s="32">
        <f>IF($A1419=1,"SINV","")</f>
        <v/>
      </c>
      <c r="G1419" s="32">
        <f>IF($A1419=1,IF(Supplier_Invoices!$G43="","",Supplier_Invoices!$G43),"")</f>
        <v/>
      </c>
      <c r="H1419" s="32">
        <f>IF($A1419=1,IF(COUNTIF(COA!$A:$A,$G1419)=0,"حساب غير معرف",INDEX(COA!$B:$B,MATCH($G1419,COA!$A:$A,0))),"")</f>
        <v/>
      </c>
      <c r="I1419" s="32">
        <f>IF($A1419=1,IF(Supplier_Invoices!$H43="","",Supplier_Invoices!$H43),"")</f>
        <v/>
      </c>
      <c r="J1419" s="32">
        <f>IF($A1419=1,IF(Supplier_Invoices!$I43="","",Supplier_Invoices!$I43),"")</f>
        <v/>
      </c>
      <c r="K1419" s="32">
        <f>IF($A1419=1,"-","")</f>
        <v/>
      </c>
      <c r="L1419" s="32">
        <f>IF($A1419=1,Supplier_Invoices!$F43&amp;" "&amp;Supplier_Invoices!$B43&amp;" - "&amp;Supplier_Invoices!$C43,"")</f>
        <v/>
      </c>
      <c r="M1419" s="43">
        <f>IF($A1419=1,IF(Supplier_Invoices!$V43="CN",0,Supplier_Invoices!$J43),"")</f>
        <v/>
      </c>
      <c r="N1419" s="43">
        <f>IF($A1419=1,IF(Supplier_Invoices!$V43="CN",Supplier_Invoices!$J43,0),"")</f>
        <v/>
      </c>
      <c r="O1419" s="32">
        <f>IF($A1419=1,Supplier_Invoices!$O43,"")</f>
        <v/>
      </c>
      <c r="P1419" s="32">
        <f>IF($A1419=1,IF(Supplier_Invoices!$AE43="","",Supplier_Invoices!$AE43),"")</f>
        <v/>
      </c>
      <c r="Q1419" s="32">
        <f>IF($A1419=1,Supplier_Invoices!$AG43,"")</f>
        <v/>
      </c>
      <c r="R1419" s="32">
        <f>IF($A1419=1,IF(AND($Q1419=1,COUNTIFS(COA!$A:$A,$G1419,COA!$R:$R,1)=1),1,0),"")</f>
        <v/>
      </c>
      <c r="S1419" s="43">
        <f>IF($A1419=1,IF($R1419=1,N($M1419),0),"")</f>
        <v/>
      </c>
      <c r="T1419" s="43">
        <f>IF($A1419=1,IF($R1419=1,N($N1419),0),"")</f>
        <v/>
      </c>
      <c r="U1419" s="32">
        <f>IF($A1419=1,YEAR($D1419)*100+MONTH($D1419),"")</f>
        <v/>
      </c>
      <c r="V1419" s="32">
        <f>IF($A1419=1,IF(COUNTIF(COA!$A:$A,$G1419)=0,0,INDEX(COA!$H:$H,MATCH($G1419,COA!$A:$A,0))),"")</f>
        <v/>
      </c>
      <c r="W1419" s="32">
        <f>IF($A1419=1,"","")</f>
        <v/>
      </c>
      <c r="X1419" s="32">
        <f>IF($A1419=1,IF($R1419=1,"",IF($O1419=ST_POST,IF($P1419&lt;&gt;"",$P1419,"حساب غير صالح أو غير نشط"),IF($O1419=ST_REV,"معكوس: لا أثر على الدفاتر",IF($O1419=ST_CANC,"ملغى",IF($O1419=ST_APPR,"معتمد ولم يُرحَّل","مسودة"))))),"")</f>
        <v/>
      </c>
      <c r="Y1419" s="32">
        <f>IF($A1419=1,IF(AND($R1419=1,OR(LG_Acct="",$G1419=LG_Acct),OR(LG_Party="",$K1419=LG_Party),OR(LG_Loc="ALL",$I1419=LG_Loc),OR(LG_CC="ALL",$J1419=LG_CC),$D1419&gt;=LG_From,$D1419&lt;=LG_To),$D1419+ROW()/1000000,""),"")</f>
        <v/>
      </c>
      <c r="Z1419" s="32">
        <f>IF($A1419=1,IF(Supplier_Invoices!$P43="","",Supplier_Invoices!$P43),"")</f>
        <v/>
      </c>
      <c r="AA1419" s="32">
        <f>IF($A1419=1,IF(Supplier_Invoices!$Q43="","",Supplier_Invoices!$Q43),"")</f>
        <v/>
      </c>
      <c r="AB1419" s="32">
        <f>IF($A1419=1,IF(Supplier_Invoices!$R43="","",Supplier_Invoices!$R43),"")</f>
        <v/>
      </c>
      <c r="AC1419" s="32">
        <f>IF($A1419=1,IF(Supplier_Invoices!$S43="","",Supplier_Invoices!$S43),"")</f>
        <v/>
      </c>
      <c r="AD1419" s="32">
        <f>IF($A1419=1,IF(Supplier_Invoices!$T43="","",Supplier_Invoices!$T43),"")</f>
        <v/>
      </c>
      <c r="AE1419" s="32">
        <f>IF($A1419=1,0,"")</f>
        <v/>
      </c>
      <c r="AF1419" s="32" t="inlineStr"/>
    </row>
    <row r="1420">
      <c r="A1420" s="32">
        <f>IF(AND(Supplier_Invoices!$AD43=1,N(Supplier_Invoices!$K43)&gt;0),1,0)</f>
        <v/>
      </c>
      <c r="B1420" s="32">
        <f>IF($A1420=1,$E1420&amp;"/2","")</f>
        <v/>
      </c>
      <c r="C1420" s="32">
        <f>IF($A1420=1,"J-"&amp;Supplier_Invoices!$A43,"")</f>
        <v/>
      </c>
      <c r="D1420" s="33">
        <f>IF($A1420=1,Supplier_Invoices!$E43,"")</f>
        <v/>
      </c>
      <c r="E1420" s="32">
        <f>IF($A1420=1,IF(Supplier_Invoices!$A43="","",Supplier_Invoices!$A43),"")</f>
        <v/>
      </c>
      <c r="F1420" s="32">
        <f>IF($A1420=1,"SINV","")</f>
        <v/>
      </c>
      <c r="G1420" s="32">
        <f>IF($A1420=1,ACC_VAT_IN,"")</f>
        <v/>
      </c>
      <c r="H1420" s="32">
        <f>IF($A1420=1,IF(COUNTIF(COA!$A:$A,$G1420)=0,"حساب غير معرف",INDEX(COA!$B:$B,MATCH($G1420,COA!$A:$A,0))),"")</f>
        <v/>
      </c>
      <c r="I1420" s="32">
        <f>IF($A1420=1,IF(Supplier_Invoices!$H43="","",Supplier_Invoices!$H43),"")</f>
        <v/>
      </c>
      <c r="J1420" s="32">
        <f>IF($A1420=1,IF(Supplier_Invoices!$I43="","",Supplier_Invoices!$I43),"")</f>
        <v/>
      </c>
      <c r="K1420" s="32">
        <f>IF($A1420=1,"-","")</f>
        <v/>
      </c>
      <c r="L1420" s="32">
        <f>IF($A1420=1,"ضريبة قيمة مضافة - مدخلات","")</f>
        <v/>
      </c>
      <c r="M1420" s="43">
        <f>IF($A1420=1,IF(Supplier_Invoices!$V43="CN",0,Supplier_Invoices!$K43),"")</f>
        <v/>
      </c>
      <c r="N1420" s="43">
        <f>IF($A1420=1,IF(Supplier_Invoices!$V43="CN",Supplier_Invoices!$K43,0),"")</f>
        <v/>
      </c>
      <c r="O1420" s="32">
        <f>IF($A1420=1,Supplier_Invoices!$O43,"")</f>
        <v/>
      </c>
      <c r="P1420" s="32">
        <f>IF($A1420=1,IF(Supplier_Invoices!$AE43="","",Supplier_Invoices!$AE43),"")</f>
        <v/>
      </c>
      <c r="Q1420" s="32">
        <f>IF($A1420=1,Supplier_Invoices!$AG43,"")</f>
        <v/>
      </c>
      <c r="R1420" s="32">
        <f>IF($A1420=1,IF(AND($Q1420=1,COUNTIFS(COA!$A:$A,$G1420,COA!$R:$R,1)=1),1,0),"")</f>
        <v/>
      </c>
      <c r="S1420" s="43">
        <f>IF($A1420=1,IF($R1420=1,N($M1420),0),"")</f>
        <v/>
      </c>
      <c r="T1420" s="43">
        <f>IF($A1420=1,IF($R1420=1,N($N1420),0),"")</f>
        <v/>
      </c>
      <c r="U1420" s="32">
        <f>IF($A1420=1,YEAR($D1420)*100+MONTH($D1420),"")</f>
        <v/>
      </c>
      <c r="V1420" s="32">
        <f>IF($A1420=1,IF(COUNTIF(COA!$A:$A,$G1420)=0,0,INDEX(COA!$H:$H,MATCH($G1420,COA!$A:$A,0))),"")</f>
        <v/>
      </c>
      <c r="W1420" s="32">
        <f>IF($A1420=1,"","")</f>
        <v/>
      </c>
      <c r="X1420" s="32">
        <f>IF($A1420=1,IF($R1420=1,"",IF($O1420=ST_POST,IF($P1420&lt;&gt;"",$P1420,"حساب غير صالح أو غير نشط"),IF($O1420=ST_REV,"معكوس: لا أثر على الدفاتر",IF($O1420=ST_CANC,"ملغى",IF($O1420=ST_APPR,"معتمد ولم يُرحَّل","مسودة"))))),"")</f>
        <v/>
      </c>
      <c r="Y1420" s="32">
        <f>IF($A1420=1,IF(AND($R1420=1,OR(LG_Acct="",$G1420=LG_Acct),OR(LG_Party="",$K1420=LG_Party),OR(LG_Loc="ALL",$I1420=LG_Loc),OR(LG_CC="ALL",$J1420=LG_CC),$D1420&gt;=LG_From,$D1420&lt;=LG_To),$D1420+ROW()/1000000,""),"")</f>
        <v/>
      </c>
      <c r="Z1420" s="32">
        <f>IF($A1420=1,IF(Supplier_Invoices!$P43="","",Supplier_Invoices!$P43),"")</f>
        <v/>
      </c>
      <c r="AA1420" s="32">
        <f>IF($A1420=1,IF(Supplier_Invoices!$Q43="","",Supplier_Invoices!$Q43),"")</f>
        <v/>
      </c>
      <c r="AB1420" s="32">
        <f>IF($A1420=1,IF(Supplier_Invoices!$R43="","",Supplier_Invoices!$R43),"")</f>
        <v/>
      </c>
      <c r="AC1420" s="32">
        <f>IF($A1420=1,IF(Supplier_Invoices!$S43="","",Supplier_Invoices!$S43),"")</f>
        <v/>
      </c>
      <c r="AD1420" s="32">
        <f>IF($A1420=1,IF(Supplier_Invoices!$T43="","",Supplier_Invoices!$T43),"")</f>
        <v/>
      </c>
      <c r="AE1420" s="32">
        <f>IF($A1420=1,0,"")</f>
        <v/>
      </c>
      <c r="AF1420" s="32" t="inlineStr"/>
    </row>
    <row r="1421">
      <c r="A1421" s="32">
        <f>IF(AND(Supplier_Invoices!$AD43=1,N(Supplier_Invoices!$W43)&gt;0),1,0)</f>
        <v/>
      </c>
      <c r="B1421" s="32">
        <f>IF($A1421=1,$E1421&amp;"/3","")</f>
        <v/>
      </c>
      <c r="C1421" s="32">
        <f>IF($A1421=1,"J-"&amp;Supplier_Invoices!$A43,"")</f>
        <v/>
      </c>
      <c r="D1421" s="33">
        <f>IF($A1421=1,Supplier_Invoices!$E43,"")</f>
        <v/>
      </c>
      <c r="E1421" s="32">
        <f>IF($A1421=1,IF(Supplier_Invoices!$A43="","",Supplier_Invoices!$A43),"")</f>
        <v/>
      </c>
      <c r="F1421" s="32">
        <f>IF($A1421=1,"SINV","")</f>
        <v/>
      </c>
      <c r="G1421" s="32">
        <f>IF($A1421=1,ACC_SUPPLIERS,"")</f>
        <v/>
      </c>
      <c r="H1421" s="32">
        <f>IF($A1421=1,IF(COUNTIF(COA!$A:$A,$G1421)=0,"حساب غير معرف",INDEX(COA!$B:$B,MATCH($G1421,COA!$A:$A,0))),"")</f>
        <v/>
      </c>
      <c r="I1421" s="32">
        <f>IF($A1421=1,IF(Supplier_Invoices!$H43="","",Supplier_Invoices!$H43),"")</f>
        <v/>
      </c>
      <c r="J1421" s="32">
        <f>IF($A1421=1,"CC00","")</f>
        <v/>
      </c>
      <c r="K1421" s="32">
        <f>IF($A1421=1,IF(Supplier_Invoices!$C43="","",Supplier_Invoices!$C43),"")</f>
        <v/>
      </c>
      <c r="L1421" s="32">
        <f>IF($A1421=1,Supplier_Invoices!$F43&amp;" "&amp;Supplier_Invoices!$B43&amp;" - "&amp;Supplier_Invoices!$C43,"")</f>
        <v/>
      </c>
      <c r="M1421" s="43">
        <f>IF($A1421=1,IF(Supplier_Invoices!$V43="CN",Supplier_Invoices!$W43,0),"")</f>
        <v/>
      </c>
      <c r="N1421" s="43">
        <f>IF($A1421=1,IF(Supplier_Invoices!$V43="CN",0,Supplier_Invoices!$W43),"")</f>
        <v/>
      </c>
      <c r="O1421" s="32">
        <f>IF($A1421=1,Supplier_Invoices!$O43,"")</f>
        <v/>
      </c>
      <c r="P1421" s="32">
        <f>IF($A1421=1,IF(Supplier_Invoices!$AE43="","",Supplier_Invoices!$AE43),"")</f>
        <v/>
      </c>
      <c r="Q1421" s="32">
        <f>IF($A1421=1,Supplier_Invoices!$AG43,"")</f>
        <v/>
      </c>
      <c r="R1421" s="32">
        <f>IF($A1421=1,IF(AND($Q1421=1,COUNTIFS(COA!$A:$A,$G1421,COA!$R:$R,1)=1),1,0),"")</f>
        <v/>
      </c>
      <c r="S1421" s="43">
        <f>IF($A1421=1,IF($R1421=1,N($M1421),0),"")</f>
        <v/>
      </c>
      <c r="T1421" s="43">
        <f>IF($A1421=1,IF($R1421=1,N($N1421),0),"")</f>
        <v/>
      </c>
      <c r="U1421" s="32">
        <f>IF($A1421=1,YEAR($D1421)*100+MONTH($D1421),"")</f>
        <v/>
      </c>
      <c r="V1421" s="32">
        <f>IF($A1421=1,IF(COUNTIF(COA!$A:$A,$G1421)=0,0,INDEX(COA!$H:$H,MATCH($G1421,COA!$A:$A,0))),"")</f>
        <v/>
      </c>
      <c r="W1421" s="32">
        <f>IF($A1421=1,"","")</f>
        <v/>
      </c>
      <c r="X1421" s="32">
        <f>IF($A1421=1,IF($R1421=1,"",IF($O1421=ST_POST,IF($P1421&lt;&gt;"",$P1421,"حساب غير صالح أو غير نشط"),IF($O1421=ST_REV,"معكوس: لا أثر على الدفاتر",IF($O1421=ST_CANC,"ملغى",IF($O1421=ST_APPR,"معتمد ولم يُرحَّل","مسودة"))))),"")</f>
        <v/>
      </c>
      <c r="Y1421" s="32">
        <f>IF($A1421=1,IF(AND($R1421=1,OR(LG_Acct="",$G1421=LG_Acct),OR(LG_Party="",$K1421=LG_Party),OR(LG_Loc="ALL",$I1421=LG_Loc),OR(LG_CC="ALL",$J1421=LG_CC),$D1421&gt;=LG_From,$D1421&lt;=LG_To),$D1421+ROW()/1000000,""),"")</f>
        <v/>
      </c>
      <c r="Z1421" s="32">
        <f>IF($A1421=1,IF(Supplier_Invoices!$P43="","",Supplier_Invoices!$P43),"")</f>
        <v/>
      </c>
      <c r="AA1421" s="32">
        <f>IF($A1421=1,IF(Supplier_Invoices!$Q43="","",Supplier_Invoices!$Q43),"")</f>
        <v/>
      </c>
      <c r="AB1421" s="32">
        <f>IF($A1421=1,IF(Supplier_Invoices!$R43="","",Supplier_Invoices!$R43),"")</f>
        <v/>
      </c>
      <c r="AC1421" s="32">
        <f>IF($A1421=1,IF(Supplier_Invoices!$S43="","",Supplier_Invoices!$S43),"")</f>
        <v/>
      </c>
      <c r="AD1421" s="32">
        <f>IF($A1421=1,IF(Supplier_Invoices!$T43="","",Supplier_Invoices!$T43),"")</f>
        <v/>
      </c>
      <c r="AE1421" s="32">
        <f>IF($A1421=1,0,"")</f>
        <v/>
      </c>
      <c r="AF1421" s="32" t="inlineStr"/>
    </row>
    <row r="1422">
      <c r="A1422" s="32">
        <f>IF(AND(Supplier_Invoices!$AD43=1,Supplier_Invoices!$L43&lt;&gt;"",Supplier_Invoices!$V43&lt;&gt;"CN",N(Supplier_Invoices!$W43)&gt;0),1,0)</f>
        <v/>
      </c>
      <c r="B1422" s="32">
        <f>IF($A1422=1,$E1422&amp;"/4","")</f>
        <v/>
      </c>
      <c r="C1422" s="32">
        <f>IF($A1422=1,"J-"&amp;Supplier_Invoices!$A43,"")</f>
        <v/>
      </c>
      <c r="D1422" s="33">
        <f>IF($A1422=1,Supplier_Invoices!$E43,"")</f>
        <v/>
      </c>
      <c r="E1422" s="32">
        <f>IF($A1422=1,IF(Supplier_Invoices!$A43="","",Supplier_Invoices!$A43),"")</f>
        <v/>
      </c>
      <c r="F1422" s="32">
        <f>IF($A1422=1,"SINV","")</f>
        <v/>
      </c>
      <c r="G1422" s="32">
        <f>IF($A1422=1,ACC_SUPPLIERS,"")</f>
        <v/>
      </c>
      <c r="H1422" s="32">
        <f>IF($A1422=1,IF(COUNTIF(COA!$A:$A,$G1422)=0,"حساب غير معرف",INDEX(COA!$B:$B,MATCH($G1422,COA!$A:$A,0))),"")</f>
        <v/>
      </c>
      <c r="I1422" s="32">
        <f>IF($A1422=1,IF(Supplier_Invoices!$H43="","",Supplier_Invoices!$H43),"")</f>
        <v/>
      </c>
      <c r="J1422" s="32">
        <f>IF($A1422=1,"CC00","")</f>
        <v/>
      </c>
      <c r="K1422" s="32">
        <f>IF($A1422=1,IF(Supplier_Invoices!$C43="","",Supplier_Invoices!$C43),"")</f>
        <v/>
      </c>
      <c r="L1422" s="32">
        <f>IF($A1422=1,"سداد فوري - "&amp;Supplier_Invoices!$F43&amp;" "&amp;Supplier_Invoices!$B43&amp;" - "&amp;Supplier_Invoices!$C43,"")</f>
        <v/>
      </c>
      <c r="M1422" s="43">
        <f>IF($A1422=1,Supplier_Invoices!$W43,"")</f>
        <v/>
      </c>
      <c r="N1422" s="43">
        <f>IF($A1422=1,0,"")</f>
        <v/>
      </c>
      <c r="O1422" s="32">
        <f>IF($A1422=1,Supplier_Invoices!$O43,"")</f>
        <v/>
      </c>
      <c r="P1422" s="32">
        <f>IF($A1422=1,IF(Supplier_Invoices!$AE43="","",Supplier_Invoices!$AE43),"")</f>
        <v/>
      </c>
      <c r="Q1422" s="32">
        <f>IF($A1422=1,Supplier_Invoices!$AG43,"")</f>
        <v/>
      </c>
      <c r="R1422" s="32">
        <f>IF($A1422=1,IF(AND($Q1422=1,COUNTIFS(COA!$A:$A,$G1422,COA!$R:$R,1)=1),1,0),"")</f>
        <v/>
      </c>
      <c r="S1422" s="43">
        <f>IF($A1422=1,IF($R1422=1,N($M1422),0),"")</f>
        <v/>
      </c>
      <c r="T1422" s="43">
        <f>IF($A1422=1,IF($R1422=1,N($N1422),0),"")</f>
        <v/>
      </c>
      <c r="U1422" s="32">
        <f>IF($A1422=1,YEAR($D1422)*100+MONTH($D1422),"")</f>
        <v/>
      </c>
      <c r="V1422" s="32">
        <f>IF($A1422=1,IF(COUNTIF(COA!$A:$A,$G1422)=0,0,INDEX(COA!$H:$H,MATCH($G1422,COA!$A:$A,0))),"")</f>
        <v/>
      </c>
      <c r="W1422" s="32">
        <f>IF($A1422=1,"","")</f>
        <v/>
      </c>
      <c r="X1422" s="32">
        <f>IF($A1422=1,IF($R1422=1,"",IF($O1422=ST_POST,IF($P1422&lt;&gt;"",$P1422,"حساب غير صالح أو غير نشط"),IF($O1422=ST_REV,"معكوس: لا أثر على الدفاتر",IF($O1422=ST_CANC,"ملغى",IF($O1422=ST_APPR,"معتمد ولم يُرحَّل","مسودة"))))),"")</f>
        <v/>
      </c>
      <c r="Y1422" s="32">
        <f>IF($A1422=1,IF(AND($R1422=1,OR(LG_Acct="",$G1422=LG_Acct),OR(LG_Party="",$K1422=LG_Party),OR(LG_Loc="ALL",$I1422=LG_Loc),OR(LG_CC="ALL",$J1422=LG_CC),$D1422&gt;=LG_From,$D1422&lt;=LG_To),$D1422+ROW()/1000000,""),"")</f>
        <v/>
      </c>
      <c r="Z1422" s="32">
        <f>IF($A1422=1,IF(Supplier_Invoices!$P43="","",Supplier_Invoices!$P43),"")</f>
        <v/>
      </c>
      <c r="AA1422" s="32">
        <f>IF($A1422=1,IF(Supplier_Invoices!$Q43="","",Supplier_Invoices!$Q43),"")</f>
        <v/>
      </c>
      <c r="AB1422" s="32">
        <f>IF($A1422=1,IF(Supplier_Invoices!$R43="","",Supplier_Invoices!$R43),"")</f>
        <v/>
      </c>
      <c r="AC1422" s="32">
        <f>IF($A1422=1,IF(Supplier_Invoices!$S43="","",Supplier_Invoices!$S43),"")</f>
        <v/>
      </c>
      <c r="AD1422" s="32">
        <f>IF($A1422=1,IF(Supplier_Invoices!$T43="","",Supplier_Invoices!$T43),"")</f>
        <v/>
      </c>
      <c r="AE1422" s="32">
        <f>IF($A1422=1,0,"")</f>
        <v/>
      </c>
      <c r="AF1422" s="32" t="inlineStr"/>
    </row>
    <row r="1423">
      <c r="A1423" s="32">
        <f>IF(AND(Supplier_Invoices!$AD43=1,Supplier_Invoices!$L43&lt;&gt;"",Supplier_Invoices!$V43&lt;&gt;"CN",N(Supplier_Invoices!$W43)&gt;0),1,0)</f>
        <v/>
      </c>
      <c r="B1423" s="32">
        <f>IF($A1423=1,$E1423&amp;"/5","")</f>
        <v/>
      </c>
      <c r="C1423" s="32">
        <f>IF($A1423=1,"J-"&amp;Supplier_Invoices!$A43,"")</f>
        <v/>
      </c>
      <c r="D1423" s="33">
        <f>IF($A1423=1,Supplier_Invoices!$E43,"")</f>
        <v/>
      </c>
      <c r="E1423" s="32">
        <f>IF($A1423=1,IF(Supplier_Invoices!$A43="","",Supplier_Invoices!$A43),"")</f>
        <v/>
      </c>
      <c r="F1423" s="32">
        <f>IF($A1423=1,"SINV","")</f>
        <v/>
      </c>
      <c r="G1423" s="32">
        <f>IF($A1423=1,IF(Supplier_Invoices!$AA43="","",Supplier_Invoices!$AA43),"")</f>
        <v/>
      </c>
      <c r="H1423" s="32">
        <f>IF($A1423=1,IF(COUNTIF(COA!$A:$A,$G1423)=0,"حساب غير معرف",INDEX(COA!$B:$B,MATCH($G1423,COA!$A:$A,0))),"")</f>
        <v/>
      </c>
      <c r="I1423" s="32">
        <f>IF($A1423=1,IF(Supplier_Invoices!$H43="","",Supplier_Invoices!$H43),"")</f>
        <v/>
      </c>
      <c r="J1423" s="32">
        <f>IF($A1423=1,"CC00","")</f>
        <v/>
      </c>
      <c r="K1423" s="32">
        <f>IF($A1423=1,"-","")</f>
        <v/>
      </c>
      <c r="L1423" s="32">
        <f>IF($A1423=1,"سداد فوري - "&amp;Supplier_Invoices!$F43&amp;" "&amp;Supplier_Invoices!$B43&amp;" - "&amp;Supplier_Invoices!$C43,"")</f>
        <v/>
      </c>
      <c r="M1423" s="43">
        <f>IF($A1423=1,0,"")</f>
        <v/>
      </c>
      <c r="N1423" s="43">
        <f>IF($A1423=1,Supplier_Invoices!$W43,"")</f>
        <v/>
      </c>
      <c r="O1423" s="32">
        <f>IF($A1423=1,Supplier_Invoices!$O43,"")</f>
        <v/>
      </c>
      <c r="P1423" s="32">
        <f>IF($A1423=1,IF(Supplier_Invoices!$AE43="","",Supplier_Invoices!$AE43),"")</f>
        <v/>
      </c>
      <c r="Q1423" s="32">
        <f>IF($A1423=1,Supplier_Invoices!$AG43,"")</f>
        <v/>
      </c>
      <c r="R1423" s="32">
        <f>IF($A1423=1,IF(AND($Q1423=1,COUNTIFS(COA!$A:$A,$G1423,COA!$R:$R,1)=1),1,0),"")</f>
        <v/>
      </c>
      <c r="S1423" s="43">
        <f>IF($A1423=1,IF($R1423=1,N($M1423),0),"")</f>
        <v/>
      </c>
      <c r="T1423" s="43">
        <f>IF($A1423=1,IF($R1423=1,N($N1423),0),"")</f>
        <v/>
      </c>
      <c r="U1423" s="32">
        <f>IF($A1423=1,YEAR($D1423)*100+MONTH($D1423),"")</f>
        <v/>
      </c>
      <c r="V1423" s="32">
        <f>IF($A1423=1,IF(COUNTIF(COA!$A:$A,$G1423)=0,0,INDEX(COA!$H:$H,MATCH($G1423,COA!$A:$A,0))),"")</f>
        <v/>
      </c>
      <c r="W1423" s="32">
        <f>IF($A1423=1,IF(Supplier_Invoices!$AB43="","",Supplier_Invoices!$AB43),"")</f>
        <v/>
      </c>
      <c r="X1423" s="32">
        <f>IF($A1423=1,IF($R1423=1,"",IF($O1423=ST_POST,IF($P1423&lt;&gt;"",$P1423,"حساب غير صالح أو غير نشط"),IF($O1423=ST_REV,"معكوس: لا أثر على الدفاتر",IF($O1423=ST_CANC,"ملغى",IF($O1423=ST_APPR,"معتمد ولم يُرحَّل","مسودة"))))),"")</f>
        <v/>
      </c>
      <c r="Y1423" s="32">
        <f>IF($A1423=1,IF(AND($R1423=1,OR(LG_Acct="",$G1423=LG_Acct),OR(LG_Party="",$K1423=LG_Party),OR(LG_Loc="ALL",$I1423=LG_Loc),OR(LG_CC="ALL",$J1423=LG_CC),$D1423&gt;=LG_From,$D1423&lt;=LG_To),$D1423+ROW()/1000000,""),"")</f>
        <v/>
      </c>
      <c r="Z1423" s="32">
        <f>IF($A1423=1,IF(Supplier_Invoices!$P43="","",Supplier_Invoices!$P43),"")</f>
        <v/>
      </c>
      <c r="AA1423" s="32">
        <f>IF($A1423=1,IF(Supplier_Invoices!$Q43="","",Supplier_Invoices!$Q43),"")</f>
        <v/>
      </c>
      <c r="AB1423" s="32">
        <f>IF($A1423=1,IF(Supplier_Invoices!$R43="","",Supplier_Invoices!$R43),"")</f>
        <v/>
      </c>
      <c r="AC1423" s="32">
        <f>IF($A1423=1,IF(Supplier_Invoices!$S43="","",Supplier_Invoices!$S43),"")</f>
        <v/>
      </c>
      <c r="AD1423" s="32">
        <f>IF($A1423=1,IF(Supplier_Invoices!$T43="","",Supplier_Invoices!$T43),"")</f>
        <v/>
      </c>
      <c r="AE1423" s="32">
        <f>IF($A1423=1,0,"")</f>
        <v/>
      </c>
      <c r="AF1423" s="32" t="inlineStr"/>
    </row>
    <row r="1424">
      <c r="A1424" s="32">
        <f>IF(AND(Supplier_Invoices!$AD44=1,N(Supplier_Invoices!$J44)&gt;0),1,0)</f>
        <v/>
      </c>
      <c r="B1424" s="32">
        <f>IF($A1424=1,$E1424&amp;"/1","")</f>
        <v/>
      </c>
      <c r="C1424" s="32">
        <f>IF($A1424=1,"J-"&amp;Supplier_Invoices!$A44,"")</f>
        <v/>
      </c>
      <c r="D1424" s="33">
        <f>IF($A1424=1,Supplier_Invoices!$E44,"")</f>
        <v/>
      </c>
      <c r="E1424" s="32">
        <f>IF($A1424=1,IF(Supplier_Invoices!$A44="","",Supplier_Invoices!$A44),"")</f>
        <v/>
      </c>
      <c r="F1424" s="32">
        <f>IF($A1424=1,"SINV","")</f>
        <v/>
      </c>
      <c r="G1424" s="32">
        <f>IF($A1424=1,IF(Supplier_Invoices!$G44="","",Supplier_Invoices!$G44),"")</f>
        <v/>
      </c>
      <c r="H1424" s="32">
        <f>IF($A1424=1,IF(COUNTIF(COA!$A:$A,$G1424)=0,"حساب غير معرف",INDEX(COA!$B:$B,MATCH($G1424,COA!$A:$A,0))),"")</f>
        <v/>
      </c>
      <c r="I1424" s="32">
        <f>IF($A1424=1,IF(Supplier_Invoices!$H44="","",Supplier_Invoices!$H44),"")</f>
        <v/>
      </c>
      <c r="J1424" s="32">
        <f>IF($A1424=1,IF(Supplier_Invoices!$I44="","",Supplier_Invoices!$I44),"")</f>
        <v/>
      </c>
      <c r="K1424" s="32">
        <f>IF($A1424=1,"-","")</f>
        <v/>
      </c>
      <c r="L1424" s="32">
        <f>IF($A1424=1,Supplier_Invoices!$F44&amp;" "&amp;Supplier_Invoices!$B44&amp;" - "&amp;Supplier_Invoices!$C44,"")</f>
        <v/>
      </c>
      <c r="M1424" s="43">
        <f>IF($A1424=1,IF(Supplier_Invoices!$V44="CN",0,Supplier_Invoices!$J44),"")</f>
        <v/>
      </c>
      <c r="N1424" s="43">
        <f>IF($A1424=1,IF(Supplier_Invoices!$V44="CN",Supplier_Invoices!$J44,0),"")</f>
        <v/>
      </c>
      <c r="O1424" s="32">
        <f>IF($A1424=1,Supplier_Invoices!$O44,"")</f>
        <v/>
      </c>
      <c r="P1424" s="32">
        <f>IF($A1424=1,IF(Supplier_Invoices!$AE44="","",Supplier_Invoices!$AE44),"")</f>
        <v/>
      </c>
      <c r="Q1424" s="32">
        <f>IF($A1424=1,Supplier_Invoices!$AG44,"")</f>
        <v/>
      </c>
      <c r="R1424" s="32">
        <f>IF($A1424=1,IF(AND($Q1424=1,COUNTIFS(COA!$A:$A,$G1424,COA!$R:$R,1)=1),1,0),"")</f>
        <v/>
      </c>
      <c r="S1424" s="43">
        <f>IF($A1424=1,IF($R1424=1,N($M1424),0),"")</f>
        <v/>
      </c>
      <c r="T1424" s="43">
        <f>IF($A1424=1,IF($R1424=1,N($N1424),0),"")</f>
        <v/>
      </c>
      <c r="U1424" s="32">
        <f>IF($A1424=1,YEAR($D1424)*100+MONTH($D1424),"")</f>
        <v/>
      </c>
      <c r="V1424" s="32">
        <f>IF($A1424=1,IF(COUNTIF(COA!$A:$A,$G1424)=0,0,INDEX(COA!$H:$H,MATCH($G1424,COA!$A:$A,0))),"")</f>
        <v/>
      </c>
      <c r="W1424" s="32">
        <f>IF($A1424=1,"","")</f>
        <v/>
      </c>
      <c r="X1424" s="32">
        <f>IF($A1424=1,IF($R1424=1,"",IF($O1424=ST_POST,IF($P1424&lt;&gt;"",$P1424,"حساب غير صالح أو غير نشط"),IF($O1424=ST_REV,"معكوس: لا أثر على الدفاتر",IF($O1424=ST_CANC,"ملغى",IF($O1424=ST_APPR,"معتمد ولم يُرحَّل","مسودة"))))),"")</f>
        <v/>
      </c>
      <c r="Y1424" s="32">
        <f>IF($A1424=1,IF(AND($R1424=1,OR(LG_Acct="",$G1424=LG_Acct),OR(LG_Party="",$K1424=LG_Party),OR(LG_Loc="ALL",$I1424=LG_Loc),OR(LG_CC="ALL",$J1424=LG_CC),$D1424&gt;=LG_From,$D1424&lt;=LG_To),$D1424+ROW()/1000000,""),"")</f>
        <v/>
      </c>
      <c r="Z1424" s="32">
        <f>IF($A1424=1,IF(Supplier_Invoices!$P44="","",Supplier_Invoices!$P44),"")</f>
        <v/>
      </c>
      <c r="AA1424" s="32">
        <f>IF($A1424=1,IF(Supplier_Invoices!$Q44="","",Supplier_Invoices!$Q44),"")</f>
        <v/>
      </c>
      <c r="AB1424" s="32">
        <f>IF($A1424=1,IF(Supplier_Invoices!$R44="","",Supplier_Invoices!$R44),"")</f>
        <v/>
      </c>
      <c r="AC1424" s="32">
        <f>IF($A1424=1,IF(Supplier_Invoices!$S44="","",Supplier_Invoices!$S44),"")</f>
        <v/>
      </c>
      <c r="AD1424" s="32">
        <f>IF($A1424=1,IF(Supplier_Invoices!$T44="","",Supplier_Invoices!$T44),"")</f>
        <v/>
      </c>
      <c r="AE1424" s="32">
        <f>IF($A1424=1,0,"")</f>
        <v/>
      </c>
      <c r="AF1424" s="32" t="inlineStr"/>
    </row>
    <row r="1425">
      <c r="A1425" s="32">
        <f>IF(AND(Supplier_Invoices!$AD44=1,N(Supplier_Invoices!$K44)&gt;0),1,0)</f>
        <v/>
      </c>
      <c r="B1425" s="32">
        <f>IF($A1425=1,$E1425&amp;"/2","")</f>
        <v/>
      </c>
      <c r="C1425" s="32">
        <f>IF($A1425=1,"J-"&amp;Supplier_Invoices!$A44,"")</f>
        <v/>
      </c>
      <c r="D1425" s="33">
        <f>IF($A1425=1,Supplier_Invoices!$E44,"")</f>
        <v/>
      </c>
      <c r="E1425" s="32">
        <f>IF($A1425=1,IF(Supplier_Invoices!$A44="","",Supplier_Invoices!$A44),"")</f>
        <v/>
      </c>
      <c r="F1425" s="32">
        <f>IF($A1425=1,"SINV","")</f>
        <v/>
      </c>
      <c r="G1425" s="32">
        <f>IF($A1425=1,ACC_VAT_IN,"")</f>
        <v/>
      </c>
      <c r="H1425" s="32">
        <f>IF($A1425=1,IF(COUNTIF(COA!$A:$A,$G1425)=0,"حساب غير معرف",INDEX(COA!$B:$B,MATCH($G1425,COA!$A:$A,0))),"")</f>
        <v/>
      </c>
      <c r="I1425" s="32">
        <f>IF($A1425=1,IF(Supplier_Invoices!$H44="","",Supplier_Invoices!$H44),"")</f>
        <v/>
      </c>
      <c r="J1425" s="32">
        <f>IF($A1425=1,IF(Supplier_Invoices!$I44="","",Supplier_Invoices!$I44),"")</f>
        <v/>
      </c>
      <c r="K1425" s="32">
        <f>IF($A1425=1,"-","")</f>
        <v/>
      </c>
      <c r="L1425" s="32">
        <f>IF($A1425=1,"ضريبة قيمة مضافة - مدخلات","")</f>
        <v/>
      </c>
      <c r="M1425" s="43">
        <f>IF($A1425=1,IF(Supplier_Invoices!$V44="CN",0,Supplier_Invoices!$K44),"")</f>
        <v/>
      </c>
      <c r="N1425" s="43">
        <f>IF($A1425=1,IF(Supplier_Invoices!$V44="CN",Supplier_Invoices!$K44,0),"")</f>
        <v/>
      </c>
      <c r="O1425" s="32">
        <f>IF($A1425=1,Supplier_Invoices!$O44,"")</f>
        <v/>
      </c>
      <c r="P1425" s="32">
        <f>IF($A1425=1,IF(Supplier_Invoices!$AE44="","",Supplier_Invoices!$AE44),"")</f>
        <v/>
      </c>
      <c r="Q1425" s="32">
        <f>IF($A1425=1,Supplier_Invoices!$AG44,"")</f>
        <v/>
      </c>
      <c r="R1425" s="32">
        <f>IF($A1425=1,IF(AND($Q1425=1,COUNTIFS(COA!$A:$A,$G1425,COA!$R:$R,1)=1),1,0),"")</f>
        <v/>
      </c>
      <c r="S1425" s="43">
        <f>IF($A1425=1,IF($R1425=1,N($M1425),0),"")</f>
        <v/>
      </c>
      <c r="T1425" s="43">
        <f>IF($A1425=1,IF($R1425=1,N($N1425),0),"")</f>
        <v/>
      </c>
      <c r="U1425" s="32">
        <f>IF($A1425=1,YEAR($D1425)*100+MONTH($D1425),"")</f>
        <v/>
      </c>
      <c r="V1425" s="32">
        <f>IF($A1425=1,IF(COUNTIF(COA!$A:$A,$G1425)=0,0,INDEX(COA!$H:$H,MATCH($G1425,COA!$A:$A,0))),"")</f>
        <v/>
      </c>
      <c r="W1425" s="32">
        <f>IF($A1425=1,"","")</f>
        <v/>
      </c>
      <c r="X1425" s="32">
        <f>IF($A1425=1,IF($R1425=1,"",IF($O1425=ST_POST,IF($P1425&lt;&gt;"",$P1425,"حساب غير صالح أو غير نشط"),IF($O1425=ST_REV,"معكوس: لا أثر على الدفاتر",IF($O1425=ST_CANC,"ملغى",IF($O1425=ST_APPR,"معتمد ولم يُرحَّل","مسودة"))))),"")</f>
        <v/>
      </c>
      <c r="Y1425" s="32">
        <f>IF($A1425=1,IF(AND($R1425=1,OR(LG_Acct="",$G1425=LG_Acct),OR(LG_Party="",$K1425=LG_Party),OR(LG_Loc="ALL",$I1425=LG_Loc),OR(LG_CC="ALL",$J1425=LG_CC),$D1425&gt;=LG_From,$D1425&lt;=LG_To),$D1425+ROW()/1000000,""),"")</f>
        <v/>
      </c>
      <c r="Z1425" s="32">
        <f>IF($A1425=1,IF(Supplier_Invoices!$P44="","",Supplier_Invoices!$P44),"")</f>
        <v/>
      </c>
      <c r="AA1425" s="32">
        <f>IF($A1425=1,IF(Supplier_Invoices!$Q44="","",Supplier_Invoices!$Q44),"")</f>
        <v/>
      </c>
      <c r="AB1425" s="32">
        <f>IF($A1425=1,IF(Supplier_Invoices!$R44="","",Supplier_Invoices!$R44),"")</f>
        <v/>
      </c>
      <c r="AC1425" s="32">
        <f>IF($A1425=1,IF(Supplier_Invoices!$S44="","",Supplier_Invoices!$S44),"")</f>
        <v/>
      </c>
      <c r="AD1425" s="32">
        <f>IF($A1425=1,IF(Supplier_Invoices!$T44="","",Supplier_Invoices!$T44),"")</f>
        <v/>
      </c>
      <c r="AE1425" s="32">
        <f>IF($A1425=1,0,"")</f>
        <v/>
      </c>
      <c r="AF1425" s="32" t="inlineStr"/>
    </row>
    <row r="1426">
      <c r="A1426" s="32">
        <f>IF(AND(Supplier_Invoices!$AD44=1,N(Supplier_Invoices!$W44)&gt;0),1,0)</f>
        <v/>
      </c>
      <c r="B1426" s="32">
        <f>IF($A1426=1,$E1426&amp;"/3","")</f>
        <v/>
      </c>
      <c r="C1426" s="32">
        <f>IF($A1426=1,"J-"&amp;Supplier_Invoices!$A44,"")</f>
        <v/>
      </c>
      <c r="D1426" s="33">
        <f>IF($A1426=1,Supplier_Invoices!$E44,"")</f>
        <v/>
      </c>
      <c r="E1426" s="32">
        <f>IF($A1426=1,IF(Supplier_Invoices!$A44="","",Supplier_Invoices!$A44),"")</f>
        <v/>
      </c>
      <c r="F1426" s="32">
        <f>IF($A1426=1,"SINV","")</f>
        <v/>
      </c>
      <c r="G1426" s="32">
        <f>IF($A1426=1,ACC_SUPPLIERS,"")</f>
        <v/>
      </c>
      <c r="H1426" s="32">
        <f>IF($A1426=1,IF(COUNTIF(COA!$A:$A,$G1426)=0,"حساب غير معرف",INDEX(COA!$B:$B,MATCH($G1426,COA!$A:$A,0))),"")</f>
        <v/>
      </c>
      <c r="I1426" s="32">
        <f>IF($A1426=1,IF(Supplier_Invoices!$H44="","",Supplier_Invoices!$H44),"")</f>
        <v/>
      </c>
      <c r="J1426" s="32">
        <f>IF($A1426=1,"CC00","")</f>
        <v/>
      </c>
      <c r="K1426" s="32">
        <f>IF($A1426=1,IF(Supplier_Invoices!$C44="","",Supplier_Invoices!$C44),"")</f>
        <v/>
      </c>
      <c r="L1426" s="32">
        <f>IF($A1426=1,Supplier_Invoices!$F44&amp;" "&amp;Supplier_Invoices!$B44&amp;" - "&amp;Supplier_Invoices!$C44,"")</f>
        <v/>
      </c>
      <c r="M1426" s="43">
        <f>IF($A1426=1,IF(Supplier_Invoices!$V44="CN",Supplier_Invoices!$W44,0),"")</f>
        <v/>
      </c>
      <c r="N1426" s="43">
        <f>IF($A1426=1,IF(Supplier_Invoices!$V44="CN",0,Supplier_Invoices!$W44),"")</f>
        <v/>
      </c>
      <c r="O1426" s="32">
        <f>IF($A1426=1,Supplier_Invoices!$O44,"")</f>
        <v/>
      </c>
      <c r="P1426" s="32">
        <f>IF($A1426=1,IF(Supplier_Invoices!$AE44="","",Supplier_Invoices!$AE44),"")</f>
        <v/>
      </c>
      <c r="Q1426" s="32">
        <f>IF($A1426=1,Supplier_Invoices!$AG44,"")</f>
        <v/>
      </c>
      <c r="R1426" s="32">
        <f>IF($A1426=1,IF(AND($Q1426=1,COUNTIFS(COA!$A:$A,$G1426,COA!$R:$R,1)=1),1,0),"")</f>
        <v/>
      </c>
      <c r="S1426" s="43">
        <f>IF($A1426=1,IF($R1426=1,N($M1426),0),"")</f>
        <v/>
      </c>
      <c r="T1426" s="43">
        <f>IF($A1426=1,IF($R1426=1,N($N1426),0),"")</f>
        <v/>
      </c>
      <c r="U1426" s="32">
        <f>IF($A1426=1,YEAR($D1426)*100+MONTH($D1426),"")</f>
        <v/>
      </c>
      <c r="V1426" s="32">
        <f>IF($A1426=1,IF(COUNTIF(COA!$A:$A,$G1426)=0,0,INDEX(COA!$H:$H,MATCH($G1426,COA!$A:$A,0))),"")</f>
        <v/>
      </c>
      <c r="W1426" s="32">
        <f>IF($A1426=1,"","")</f>
        <v/>
      </c>
      <c r="X1426" s="32">
        <f>IF($A1426=1,IF($R1426=1,"",IF($O1426=ST_POST,IF($P1426&lt;&gt;"",$P1426,"حساب غير صالح أو غير نشط"),IF($O1426=ST_REV,"معكوس: لا أثر على الدفاتر",IF($O1426=ST_CANC,"ملغى",IF($O1426=ST_APPR,"معتمد ولم يُرحَّل","مسودة"))))),"")</f>
        <v/>
      </c>
      <c r="Y1426" s="32">
        <f>IF($A1426=1,IF(AND($R1426=1,OR(LG_Acct="",$G1426=LG_Acct),OR(LG_Party="",$K1426=LG_Party),OR(LG_Loc="ALL",$I1426=LG_Loc),OR(LG_CC="ALL",$J1426=LG_CC),$D1426&gt;=LG_From,$D1426&lt;=LG_To),$D1426+ROW()/1000000,""),"")</f>
        <v/>
      </c>
      <c r="Z1426" s="32">
        <f>IF($A1426=1,IF(Supplier_Invoices!$P44="","",Supplier_Invoices!$P44),"")</f>
        <v/>
      </c>
      <c r="AA1426" s="32">
        <f>IF($A1426=1,IF(Supplier_Invoices!$Q44="","",Supplier_Invoices!$Q44),"")</f>
        <v/>
      </c>
      <c r="AB1426" s="32">
        <f>IF($A1426=1,IF(Supplier_Invoices!$R44="","",Supplier_Invoices!$R44),"")</f>
        <v/>
      </c>
      <c r="AC1426" s="32">
        <f>IF($A1426=1,IF(Supplier_Invoices!$S44="","",Supplier_Invoices!$S44),"")</f>
        <v/>
      </c>
      <c r="AD1426" s="32">
        <f>IF($A1426=1,IF(Supplier_Invoices!$T44="","",Supplier_Invoices!$T44),"")</f>
        <v/>
      </c>
      <c r="AE1426" s="32">
        <f>IF($A1426=1,0,"")</f>
        <v/>
      </c>
      <c r="AF1426" s="32" t="inlineStr"/>
    </row>
    <row r="1427">
      <c r="A1427" s="32">
        <f>IF(AND(Supplier_Invoices!$AD44=1,Supplier_Invoices!$L44&lt;&gt;"",Supplier_Invoices!$V44&lt;&gt;"CN",N(Supplier_Invoices!$W44)&gt;0),1,0)</f>
        <v/>
      </c>
      <c r="B1427" s="32">
        <f>IF($A1427=1,$E1427&amp;"/4","")</f>
        <v/>
      </c>
      <c r="C1427" s="32">
        <f>IF($A1427=1,"J-"&amp;Supplier_Invoices!$A44,"")</f>
        <v/>
      </c>
      <c r="D1427" s="33">
        <f>IF($A1427=1,Supplier_Invoices!$E44,"")</f>
        <v/>
      </c>
      <c r="E1427" s="32">
        <f>IF($A1427=1,IF(Supplier_Invoices!$A44="","",Supplier_Invoices!$A44),"")</f>
        <v/>
      </c>
      <c r="F1427" s="32">
        <f>IF($A1427=1,"SINV","")</f>
        <v/>
      </c>
      <c r="G1427" s="32">
        <f>IF($A1427=1,ACC_SUPPLIERS,"")</f>
        <v/>
      </c>
      <c r="H1427" s="32">
        <f>IF($A1427=1,IF(COUNTIF(COA!$A:$A,$G1427)=0,"حساب غير معرف",INDEX(COA!$B:$B,MATCH($G1427,COA!$A:$A,0))),"")</f>
        <v/>
      </c>
      <c r="I1427" s="32">
        <f>IF($A1427=1,IF(Supplier_Invoices!$H44="","",Supplier_Invoices!$H44),"")</f>
        <v/>
      </c>
      <c r="J1427" s="32">
        <f>IF($A1427=1,"CC00","")</f>
        <v/>
      </c>
      <c r="K1427" s="32">
        <f>IF($A1427=1,IF(Supplier_Invoices!$C44="","",Supplier_Invoices!$C44),"")</f>
        <v/>
      </c>
      <c r="L1427" s="32">
        <f>IF($A1427=1,"سداد فوري - "&amp;Supplier_Invoices!$F44&amp;" "&amp;Supplier_Invoices!$B44&amp;" - "&amp;Supplier_Invoices!$C44,"")</f>
        <v/>
      </c>
      <c r="M1427" s="43">
        <f>IF($A1427=1,Supplier_Invoices!$W44,"")</f>
        <v/>
      </c>
      <c r="N1427" s="43">
        <f>IF($A1427=1,0,"")</f>
        <v/>
      </c>
      <c r="O1427" s="32">
        <f>IF($A1427=1,Supplier_Invoices!$O44,"")</f>
        <v/>
      </c>
      <c r="P1427" s="32">
        <f>IF($A1427=1,IF(Supplier_Invoices!$AE44="","",Supplier_Invoices!$AE44),"")</f>
        <v/>
      </c>
      <c r="Q1427" s="32">
        <f>IF($A1427=1,Supplier_Invoices!$AG44,"")</f>
        <v/>
      </c>
      <c r="R1427" s="32">
        <f>IF($A1427=1,IF(AND($Q1427=1,COUNTIFS(COA!$A:$A,$G1427,COA!$R:$R,1)=1),1,0),"")</f>
        <v/>
      </c>
      <c r="S1427" s="43">
        <f>IF($A1427=1,IF($R1427=1,N($M1427),0),"")</f>
        <v/>
      </c>
      <c r="T1427" s="43">
        <f>IF($A1427=1,IF($R1427=1,N($N1427),0),"")</f>
        <v/>
      </c>
      <c r="U1427" s="32">
        <f>IF($A1427=1,YEAR($D1427)*100+MONTH($D1427),"")</f>
        <v/>
      </c>
      <c r="V1427" s="32">
        <f>IF($A1427=1,IF(COUNTIF(COA!$A:$A,$G1427)=0,0,INDEX(COA!$H:$H,MATCH($G1427,COA!$A:$A,0))),"")</f>
        <v/>
      </c>
      <c r="W1427" s="32">
        <f>IF($A1427=1,"","")</f>
        <v/>
      </c>
      <c r="X1427" s="32">
        <f>IF($A1427=1,IF($R1427=1,"",IF($O1427=ST_POST,IF($P1427&lt;&gt;"",$P1427,"حساب غير صالح أو غير نشط"),IF($O1427=ST_REV,"معكوس: لا أثر على الدفاتر",IF($O1427=ST_CANC,"ملغى",IF($O1427=ST_APPR,"معتمد ولم يُرحَّل","مسودة"))))),"")</f>
        <v/>
      </c>
      <c r="Y1427" s="32">
        <f>IF($A1427=1,IF(AND($R1427=1,OR(LG_Acct="",$G1427=LG_Acct),OR(LG_Party="",$K1427=LG_Party),OR(LG_Loc="ALL",$I1427=LG_Loc),OR(LG_CC="ALL",$J1427=LG_CC),$D1427&gt;=LG_From,$D1427&lt;=LG_To),$D1427+ROW()/1000000,""),"")</f>
        <v/>
      </c>
      <c r="Z1427" s="32">
        <f>IF($A1427=1,IF(Supplier_Invoices!$P44="","",Supplier_Invoices!$P44),"")</f>
        <v/>
      </c>
      <c r="AA1427" s="32">
        <f>IF($A1427=1,IF(Supplier_Invoices!$Q44="","",Supplier_Invoices!$Q44),"")</f>
        <v/>
      </c>
      <c r="AB1427" s="32">
        <f>IF($A1427=1,IF(Supplier_Invoices!$R44="","",Supplier_Invoices!$R44),"")</f>
        <v/>
      </c>
      <c r="AC1427" s="32">
        <f>IF($A1427=1,IF(Supplier_Invoices!$S44="","",Supplier_Invoices!$S44),"")</f>
        <v/>
      </c>
      <c r="AD1427" s="32">
        <f>IF($A1427=1,IF(Supplier_Invoices!$T44="","",Supplier_Invoices!$T44),"")</f>
        <v/>
      </c>
      <c r="AE1427" s="32">
        <f>IF($A1427=1,0,"")</f>
        <v/>
      </c>
      <c r="AF1427" s="32" t="inlineStr"/>
    </row>
    <row r="1428">
      <c r="A1428" s="32">
        <f>IF(AND(Supplier_Invoices!$AD44=1,Supplier_Invoices!$L44&lt;&gt;"",Supplier_Invoices!$V44&lt;&gt;"CN",N(Supplier_Invoices!$W44)&gt;0),1,0)</f>
        <v/>
      </c>
      <c r="B1428" s="32">
        <f>IF($A1428=1,$E1428&amp;"/5","")</f>
        <v/>
      </c>
      <c r="C1428" s="32">
        <f>IF($A1428=1,"J-"&amp;Supplier_Invoices!$A44,"")</f>
        <v/>
      </c>
      <c r="D1428" s="33">
        <f>IF($A1428=1,Supplier_Invoices!$E44,"")</f>
        <v/>
      </c>
      <c r="E1428" s="32">
        <f>IF($A1428=1,IF(Supplier_Invoices!$A44="","",Supplier_Invoices!$A44),"")</f>
        <v/>
      </c>
      <c r="F1428" s="32">
        <f>IF($A1428=1,"SINV","")</f>
        <v/>
      </c>
      <c r="G1428" s="32">
        <f>IF($A1428=1,IF(Supplier_Invoices!$AA44="","",Supplier_Invoices!$AA44),"")</f>
        <v/>
      </c>
      <c r="H1428" s="32">
        <f>IF($A1428=1,IF(COUNTIF(COA!$A:$A,$G1428)=0,"حساب غير معرف",INDEX(COA!$B:$B,MATCH($G1428,COA!$A:$A,0))),"")</f>
        <v/>
      </c>
      <c r="I1428" s="32">
        <f>IF($A1428=1,IF(Supplier_Invoices!$H44="","",Supplier_Invoices!$H44),"")</f>
        <v/>
      </c>
      <c r="J1428" s="32">
        <f>IF($A1428=1,"CC00","")</f>
        <v/>
      </c>
      <c r="K1428" s="32">
        <f>IF($A1428=1,"-","")</f>
        <v/>
      </c>
      <c r="L1428" s="32">
        <f>IF($A1428=1,"سداد فوري - "&amp;Supplier_Invoices!$F44&amp;" "&amp;Supplier_Invoices!$B44&amp;" - "&amp;Supplier_Invoices!$C44,"")</f>
        <v/>
      </c>
      <c r="M1428" s="43">
        <f>IF($A1428=1,0,"")</f>
        <v/>
      </c>
      <c r="N1428" s="43">
        <f>IF($A1428=1,Supplier_Invoices!$W44,"")</f>
        <v/>
      </c>
      <c r="O1428" s="32">
        <f>IF($A1428=1,Supplier_Invoices!$O44,"")</f>
        <v/>
      </c>
      <c r="P1428" s="32">
        <f>IF($A1428=1,IF(Supplier_Invoices!$AE44="","",Supplier_Invoices!$AE44),"")</f>
        <v/>
      </c>
      <c r="Q1428" s="32">
        <f>IF($A1428=1,Supplier_Invoices!$AG44,"")</f>
        <v/>
      </c>
      <c r="R1428" s="32">
        <f>IF($A1428=1,IF(AND($Q1428=1,COUNTIFS(COA!$A:$A,$G1428,COA!$R:$R,1)=1),1,0),"")</f>
        <v/>
      </c>
      <c r="S1428" s="43">
        <f>IF($A1428=1,IF($R1428=1,N($M1428),0),"")</f>
        <v/>
      </c>
      <c r="T1428" s="43">
        <f>IF($A1428=1,IF($R1428=1,N($N1428),0),"")</f>
        <v/>
      </c>
      <c r="U1428" s="32">
        <f>IF($A1428=1,YEAR($D1428)*100+MONTH($D1428),"")</f>
        <v/>
      </c>
      <c r="V1428" s="32">
        <f>IF($A1428=1,IF(COUNTIF(COA!$A:$A,$G1428)=0,0,INDEX(COA!$H:$H,MATCH($G1428,COA!$A:$A,0))),"")</f>
        <v/>
      </c>
      <c r="W1428" s="32">
        <f>IF($A1428=1,IF(Supplier_Invoices!$AB44="","",Supplier_Invoices!$AB44),"")</f>
        <v/>
      </c>
      <c r="X1428" s="32">
        <f>IF($A1428=1,IF($R1428=1,"",IF($O1428=ST_POST,IF($P1428&lt;&gt;"",$P1428,"حساب غير صالح أو غير نشط"),IF($O1428=ST_REV,"معكوس: لا أثر على الدفاتر",IF($O1428=ST_CANC,"ملغى",IF($O1428=ST_APPR,"معتمد ولم يُرحَّل","مسودة"))))),"")</f>
        <v/>
      </c>
      <c r="Y1428" s="32">
        <f>IF($A1428=1,IF(AND($R1428=1,OR(LG_Acct="",$G1428=LG_Acct),OR(LG_Party="",$K1428=LG_Party),OR(LG_Loc="ALL",$I1428=LG_Loc),OR(LG_CC="ALL",$J1428=LG_CC),$D1428&gt;=LG_From,$D1428&lt;=LG_To),$D1428+ROW()/1000000,""),"")</f>
        <v/>
      </c>
      <c r="Z1428" s="32">
        <f>IF($A1428=1,IF(Supplier_Invoices!$P44="","",Supplier_Invoices!$P44),"")</f>
        <v/>
      </c>
      <c r="AA1428" s="32">
        <f>IF($A1428=1,IF(Supplier_Invoices!$Q44="","",Supplier_Invoices!$Q44),"")</f>
        <v/>
      </c>
      <c r="AB1428" s="32">
        <f>IF($A1428=1,IF(Supplier_Invoices!$R44="","",Supplier_Invoices!$R44),"")</f>
        <v/>
      </c>
      <c r="AC1428" s="32">
        <f>IF($A1428=1,IF(Supplier_Invoices!$S44="","",Supplier_Invoices!$S44),"")</f>
        <v/>
      </c>
      <c r="AD1428" s="32">
        <f>IF($A1428=1,IF(Supplier_Invoices!$T44="","",Supplier_Invoices!$T44),"")</f>
        <v/>
      </c>
      <c r="AE1428" s="32">
        <f>IF($A1428=1,0,"")</f>
        <v/>
      </c>
      <c r="AF1428" s="32" t="inlineStr"/>
    </row>
    <row r="1429">
      <c r="A1429" s="32">
        <f>IF(AND(Supplier_Invoices!$AD45=1,N(Supplier_Invoices!$J45)&gt;0),1,0)</f>
        <v/>
      </c>
      <c r="B1429" s="32">
        <f>IF($A1429=1,$E1429&amp;"/1","")</f>
        <v/>
      </c>
      <c r="C1429" s="32">
        <f>IF($A1429=1,"J-"&amp;Supplier_Invoices!$A45,"")</f>
        <v/>
      </c>
      <c r="D1429" s="33">
        <f>IF($A1429=1,Supplier_Invoices!$E45,"")</f>
        <v/>
      </c>
      <c r="E1429" s="32">
        <f>IF($A1429=1,IF(Supplier_Invoices!$A45="","",Supplier_Invoices!$A45),"")</f>
        <v/>
      </c>
      <c r="F1429" s="32">
        <f>IF($A1429=1,"SINV","")</f>
        <v/>
      </c>
      <c r="G1429" s="32">
        <f>IF($A1429=1,IF(Supplier_Invoices!$G45="","",Supplier_Invoices!$G45),"")</f>
        <v/>
      </c>
      <c r="H1429" s="32">
        <f>IF($A1429=1,IF(COUNTIF(COA!$A:$A,$G1429)=0,"حساب غير معرف",INDEX(COA!$B:$B,MATCH($G1429,COA!$A:$A,0))),"")</f>
        <v/>
      </c>
      <c r="I1429" s="32">
        <f>IF($A1429=1,IF(Supplier_Invoices!$H45="","",Supplier_Invoices!$H45),"")</f>
        <v/>
      </c>
      <c r="J1429" s="32">
        <f>IF($A1429=1,IF(Supplier_Invoices!$I45="","",Supplier_Invoices!$I45),"")</f>
        <v/>
      </c>
      <c r="K1429" s="32">
        <f>IF($A1429=1,"-","")</f>
        <v/>
      </c>
      <c r="L1429" s="32">
        <f>IF($A1429=1,Supplier_Invoices!$F45&amp;" "&amp;Supplier_Invoices!$B45&amp;" - "&amp;Supplier_Invoices!$C45,"")</f>
        <v/>
      </c>
      <c r="M1429" s="43">
        <f>IF($A1429=1,IF(Supplier_Invoices!$V45="CN",0,Supplier_Invoices!$J45),"")</f>
        <v/>
      </c>
      <c r="N1429" s="43">
        <f>IF($A1429=1,IF(Supplier_Invoices!$V45="CN",Supplier_Invoices!$J45,0),"")</f>
        <v/>
      </c>
      <c r="O1429" s="32">
        <f>IF($A1429=1,Supplier_Invoices!$O45,"")</f>
        <v/>
      </c>
      <c r="P1429" s="32">
        <f>IF($A1429=1,IF(Supplier_Invoices!$AE45="","",Supplier_Invoices!$AE45),"")</f>
        <v/>
      </c>
      <c r="Q1429" s="32">
        <f>IF($A1429=1,Supplier_Invoices!$AG45,"")</f>
        <v/>
      </c>
      <c r="R1429" s="32">
        <f>IF($A1429=1,IF(AND($Q1429=1,COUNTIFS(COA!$A:$A,$G1429,COA!$R:$R,1)=1),1,0),"")</f>
        <v/>
      </c>
      <c r="S1429" s="43">
        <f>IF($A1429=1,IF($R1429=1,N($M1429),0),"")</f>
        <v/>
      </c>
      <c r="T1429" s="43">
        <f>IF($A1429=1,IF($R1429=1,N($N1429),0),"")</f>
        <v/>
      </c>
      <c r="U1429" s="32">
        <f>IF($A1429=1,YEAR($D1429)*100+MONTH($D1429),"")</f>
        <v/>
      </c>
      <c r="V1429" s="32">
        <f>IF($A1429=1,IF(COUNTIF(COA!$A:$A,$G1429)=0,0,INDEX(COA!$H:$H,MATCH($G1429,COA!$A:$A,0))),"")</f>
        <v/>
      </c>
      <c r="W1429" s="32">
        <f>IF($A1429=1,"","")</f>
        <v/>
      </c>
      <c r="X1429" s="32">
        <f>IF($A1429=1,IF($R1429=1,"",IF($O1429=ST_POST,IF($P1429&lt;&gt;"",$P1429,"حساب غير صالح أو غير نشط"),IF($O1429=ST_REV,"معكوس: لا أثر على الدفاتر",IF($O1429=ST_CANC,"ملغى",IF($O1429=ST_APPR,"معتمد ولم يُرحَّل","مسودة"))))),"")</f>
        <v/>
      </c>
      <c r="Y1429" s="32">
        <f>IF($A1429=1,IF(AND($R1429=1,OR(LG_Acct="",$G1429=LG_Acct),OR(LG_Party="",$K1429=LG_Party),OR(LG_Loc="ALL",$I1429=LG_Loc),OR(LG_CC="ALL",$J1429=LG_CC),$D1429&gt;=LG_From,$D1429&lt;=LG_To),$D1429+ROW()/1000000,""),"")</f>
        <v/>
      </c>
      <c r="Z1429" s="32">
        <f>IF($A1429=1,IF(Supplier_Invoices!$P45="","",Supplier_Invoices!$P45),"")</f>
        <v/>
      </c>
      <c r="AA1429" s="32">
        <f>IF($A1429=1,IF(Supplier_Invoices!$Q45="","",Supplier_Invoices!$Q45),"")</f>
        <v/>
      </c>
      <c r="AB1429" s="32">
        <f>IF($A1429=1,IF(Supplier_Invoices!$R45="","",Supplier_Invoices!$R45),"")</f>
        <v/>
      </c>
      <c r="AC1429" s="32">
        <f>IF($A1429=1,IF(Supplier_Invoices!$S45="","",Supplier_Invoices!$S45),"")</f>
        <v/>
      </c>
      <c r="AD1429" s="32">
        <f>IF($A1429=1,IF(Supplier_Invoices!$T45="","",Supplier_Invoices!$T45),"")</f>
        <v/>
      </c>
      <c r="AE1429" s="32">
        <f>IF($A1429=1,0,"")</f>
        <v/>
      </c>
      <c r="AF1429" s="32" t="inlineStr"/>
    </row>
    <row r="1430">
      <c r="A1430" s="32">
        <f>IF(AND(Supplier_Invoices!$AD45=1,N(Supplier_Invoices!$K45)&gt;0),1,0)</f>
        <v/>
      </c>
      <c r="B1430" s="32">
        <f>IF($A1430=1,$E1430&amp;"/2","")</f>
        <v/>
      </c>
      <c r="C1430" s="32">
        <f>IF($A1430=1,"J-"&amp;Supplier_Invoices!$A45,"")</f>
        <v/>
      </c>
      <c r="D1430" s="33">
        <f>IF($A1430=1,Supplier_Invoices!$E45,"")</f>
        <v/>
      </c>
      <c r="E1430" s="32">
        <f>IF($A1430=1,IF(Supplier_Invoices!$A45="","",Supplier_Invoices!$A45),"")</f>
        <v/>
      </c>
      <c r="F1430" s="32">
        <f>IF($A1430=1,"SINV","")</f>
        <v/>
      </c>
      <c r="G1430" s="32">
        <f>IF($A1430=1,ACC_VAT_IN,"")</f>
        <v/>
      </c>
      <c r="H1430" s="32">
        <f>IF($A1430=1,IF(COUNTIF(COA!$A:$A,$G1430)=0,"حساب غير معرف",INDEX(COA!$B:$B,MATCH($G1430,COA!$A:$A,0))),"")</f>
        <v/>
      </c>
      <c r="I1430" s="32">
        <f>IF($A1430=1,IF(Supplier_Invoices!$H45="","",Supplier_Invoices!$H45),"")</f>
        <v/>
      </c>
      <c r="J1430" s="32">
        <f>IF($A1430=1,IF(Supplier_Invoices!$I45="","",Supplier_Invoices!$I45),"")</f>
        <v/>
      </c>
      <c r="K1430" s="32">
        <f>IF($A1430=1,"-","")</f>
        <v/>
      </c>
      <c r="L1430" s="32">
        <f>IF($A1430=1,"ضريبة قيمة مضافة - مدخلات","")</f>
        <v/>
      </c>
      <c r="M1430" s="43">
        <f>IF($A1430=1,IF(Supplier_Invoices!$V45="CN",0,Supplier_Invoices!$K45),"")</f>
        <v/>
      </c>
      <c r="N1430" s="43">
        <f>IF($A1430=1,IF(Supplier_Invoices!$V45="CN",Supplier_Invoices!$K45,0),"")</f>
        <v/>
      </c>
      <c r="O1430" s="32">
        <f>IF($A1430=1,Supplier_Invoices!$O45,"")</f>
        <v/>
      </c>
      <c r="P1430" s="32">
        <f>IF($A1430=1,IF(Supplier_Invoices!$AE45="","",Supplier_Invoices!$AE45),"")</f>
        <v/>
      </c>
      <c r="Q1430" s="32">
        <f>IF($A1430=1,Supplier_Invoices!$AG45,"")</f>
        <v/>
      </c>
      <c r="R1430" s="32">
        <f>IF($A1430=1,IF(AND($Q1430=1,COUNTIFS(COA!$A:$A,$G1430,COA!$R:$R,1)=1),1,0),"")</f>
        <v/>
      </c>
      <c r="S1430" s="43">
        <f>IF($A1430=1,IF($R1430=1,N($M1430),0),"")</f>
        <v/>
      </c>
      <c r="T1430" s="43">
        <f>IF($A1430=1,IF($R1430=1,N($N1430),0),"")</f>
        <v/>
      </c>
      <c r="U1430" s="32">
        <f>IF($A1430=1,YEAR($D1430)*100+MONTH($D1430),"")</f>
        <v/>
      </c>
      <c r="V1430" s="32">
        <f>IF($A1430=1,IF(COUNTIF(COA!$A:$A,$G1430)=0,0,INDEX(COA!$H:$H,MATCH($G1430,COA!$A:$A,0))),"")</f>
        <v/>
      </c>
      <c r="W1430" s="32">
        <f>IF($A1430=1,"","")</f>
        <v/>
      </c>
      <c r="X1430" s="32">
        <f>IF($A1430=1,IF($R1430=1,"",IF($O1430=ST_POST,IF($P1430&lt;&gt;"",$P1430,"حساب غير صالح أو غير نشط"),IF($O1430=ST_REV,"معكوس: لا أثر على الدفاتر",IF($O1430=ST_CANC,"ملغى",IF($O1430=ST_APPR,"معتمد ولم يُرحَّل","مسودة"))))),"")</f>
        <v/>
      </c>
      <c r="Y1430" s="32">
        <f>IF($A1430=1,IF(AND($R1430=1,OR(LG_Acct="",$G1430=LG_Acct),OR(LG_Party="",$K1430=LG_Party),OR(LG_Loc="ALL",$I1430=LG_Loc),OR(LG_CC="ALL",$J1430=LG_CC),$D1430&gt;=LG_From,$D1430&lt;=LG_To),$D1430+ROW()/1000000,""),"")</f>
        <v/>
      </c>
      <c r="Z1430" s="32">
        <f>IF($A1430=1,IF(Supplier_Invoices!$P45="","",Supplier_Invoices!$P45),"")</f>
        <v/>
      </c>
      <c r="AA1430" s="32">
        <f>IF($A1430=1,IF(Supplier_Invoices!$Q45="","",Supplier_Invoices!$Q45),"")</f>
        <v/>
      </c>
      <c r="AB1430" s="32">
        <f>IF($A1430=1,IF(Supplier_Invoices!$R45="","",Supplier_Invoices!$R45),"")</f>
        <v/>
      </c>
      <c r="AC1430" s="32">
        <f>IF($A1430=1,IF(Supplier_Invoices!$S45="","",Supplier_Invoices!$S45),"")</f>
        <v/>
      </c>
      <c r="AD1430" s="32">
        <f>IF($A1430=1,IF(Supplier_Invoices!$T45="","",Supplier_Invoices!$T45),"")</f>
        <v/>
      </c>
      <c r="AE1430" s="32">
        <f>IF($A1430=1,0,"")</f>
        <v/>
      </c>
      <c r="AF1430" s="32" t="inlineStr"/>
    </row>
    <row r="1431">
      <c r="A1431" s="32">
        <f>IF(AND(Supplier_Invoices!$AD45=1,N(Supplier_Invoices!$W45)&gt;0),1,0)</f>
        <v/>
      </c>
      <c r="B1431" s="32">
        <f>IF($A1431=1,$E1431&amp;"/3","")</f>
        <v/>
      </c>
      <c r="C1431" s="32">
        <f>IF($A1431=1,"J-"&amp;Supplier_Invoices!$A45,"")</f>
        <v/>
      </c>
      <c r="D1431" s="33">
        <f>IF($A1431=1,Supplier_Invoices!$E45,"")</f>
        <v/>
      </c>
      <c r="E1431" s="32">
        <f>IF($A1431=1,IF(Supplier_Invoices!$A45="","",Supplier_Invoices!$A45),"")</f>
        <v/>
      </c>
      <c r="F1431" s="32">
        <f>IF($A1431=1,"SINV","")</f>
        <v/>
      </c>
      <c r="G1431" s="32">
        <f>IF($A1431=1,ACC_SUPPLIERS,"")</f>
        <v/>
      </c>
      <c r="H1431" s="32">
        <f>IF($A1431=1,IF(COUNTIF(COA!$A:$A,$G1431)=0,"حساب غير معرف",INDEX(COA!$B:$B,MATCH($G1431,COA!$A:$A,0))),"")</f>
        <v/>
      </c>
      <c r="I1431" s="32">
        <f>IF($A1431=1,IF(Supplier_Invoices!$H45="","",Supplier_Invoices!$H45),"")</f>
        <v/>
      </c>
      <c r="J1431" s="32">
        <f>IF($A1431=1,"CC00","")</f>
        <v/>
      </c>
      <c r="K1431" s="32">
        <f>IF($A1431=1,IF(Supplier_Invoices!$C45="","",Supplier_Invoices!$C45),"")</f>
        <v/>
      </c>
      <c r="L1431" s="32">
        <f>IF($A1431=1,Supplier_Invoices!$F45&amp;" "&amp;Supplier_Invoices!$B45&amp;" - "&amp;Supplier_Invoices!$C45,"")</f>
        <v/>
      </c>
      <c r="M1431" s="43">
        <f>IF($A1431=1,IF(Supplier_Invoices!$V45="CN",Supplier_Invoices!$W45,0),"")</f>
        <v/>
      </c>
      <c r="N1431" s="43">
        <f>IF($A1431=1,IF(Supplier_Invoices!$V45="CN",0,Supplier_Invoices!$W45),"")</f>
        <v/>
      </c>
      <c r="O1431" s="32">
        <f>IF($A1431=1,Supplier_Invoices!$O45,"")</f>
        <v/>
      </c>
      <c r="P1431" s="32">
        <f>IF($A1431=1,IF(Supplier_Invoices!$AE45="","",Supplier_Invoices!$AE45),"")</f>
        <v/>
      </c>
      <c r="Q1431" s="32">
        <f>IF($A1431=1,Supplier_Invoices!$AG45,"")</f>
        <v/>
      </c>
      <c r="R1431" s="32">
        <f>IF($A1431=1,IF(AND($Q1431=1,COUNTIFS(COA!$A:$A,$G1431,COA!$R:$R,1)=1),1,0),"")</f>
        <v/>
      </c>
      <c r="S1431" s="43">
        <f>IF($A1431=1,IF($R1431=1,N($M1431),0),"")</f>
        <v/>
      </c>
      <c r="T1431" s="43">
        <f>IF($A1431=1,IF($R1431=1,N($N1431),0),"")</f>
        <v/>
      </c>
      <c r="U1431" s="32">
        <f>IF($A1431=1,YEAR($D1431)*100+MONTH($D1431),"")</f>
        <v/>
      </c>
      <c r="V1431" s="32">
        <f>IF($A1431=1,IF(COUNTIF(COA!$A:$A,$G1431)=0,0,INDEX(COA!$H:$H,MATCH($G1431,COA!$A:$A,0))),"")</f>
        <v/>
      </c>
      <c r="W1431" s="32">
        <f>IF($A1431=1,"","")</f>
        <v/>
      </c>
      <c r="X1431" s="32">
        <f>IF($A1431=1,IF($R1431=1,"",IF($O1431=ST_POST,IF($P1431&lt;&gt;"",$P1431,"حساب غير صالح أو غير نشط"),IF($O1431=ST_REV,"معكوس: لا أثر على الدفاتر",IF($O1431=ST_CANC,"ملغى",IF($O1431=ST_APPR,"معتمد ولم يُرحَّل","مسودة"))))),"")</f>
        <v/>
      </c>
      <c r="Y1431" s="32">
        <f>IF($A1431=1,IF(AND($R1431=1,OR(LG_Acct="",$G1431=LG_Acct),OR(LG_Party="",$K1431=LG_Party),OR(LG_Loc="ALL",$I1431=LG_Loc),OR(LG_CC="ALL",$J1431=LG_CC),$D1431&gt;=LG_From,$D1431&lt;=LG_To),$D1431+ROW()/1000000,""),"")</f>
        <v/>
      </c>
      <c r="Z1431" s="32">
        <f>IF($A1431=1,IF(Supplier_Invoices!$P45="","",Supplier_Invoices!$P45),"")</f>
        <v/>
      </c>
      <c r="AA1431" s="32">
        <f>IF($A1431=1,IF(Supplier_Invoices!$Q45="","",Supplier_Invoices!$Q45),"")</f>
        <v/>
      </c>
      <c r="AB1431" s="32">
        <f>IF($A1431=1,IF(Supplier_Invoices!$R45="","",Supplier_Invoices!$R45),"")</f>
        <v/>
      </c>
      <c r="AC1431" s="32">
        <f>IF($A1431=1,IF(Supplier_Invoices!$S45="","",Supplier_Invoices!$S45),"")</f>
        <v/>
      </c>
      <c r="AD1431" s="32">
        <f>IF($A1431=1,IF(Supplier_Invoices!$T45="","",Supplier_Invoices!$T45),"")</f>
        <v/>
      </c>
      <c r="AE1431" s="32">
        <f>IF($A1431=1,0,"")</f>
        <v/>
      </c>
      <c r="AF1431" s="32" t="inlineStr"/>
    </row>
    <row r="1432">
      <c r="A1432" s="32">
        <f>IF(AND(Supplier_Invoices!$AD45=1,Supplier_Invoices!$L45&lt;&gt;"",Supplier_Invoices!$V45&lt;&gt;"CN",N(Supplier_Invoices!$W45)&gt;0),1,0)</f>
        <v/>
      </c>
      <c r="B1432" s="32">
        <f>IF($A1432=1,$E1432&amp;"/4","")</f>
        <v/>
      </c>
      <c r="C1432" s="32">
        <f>IF($A1432=1,"J-"&amp;Supplier_Invoices!$A45,"")</f>
        <v/>
      </c>
      <c r="D1432" s="33">
        <f>IF($A1432=1,Supplier_Invoices!$E45,"")</f>
        <v/>
      </c>
      <c r="E1432" s="32">
        <f>IF($A1432=1,IF(Supplier_Invoices!$A45="","",Supplier_Invoices!$A45),"")</f>
        <v/>
      </c>
      <c r="F1432" s="32">
        <f>IF($A1432=1,"SINV","")</f>
        <v/>
      </c>
      <c r="G1432" s="32">
        <f>IF($A1432=1,ACC_SUPPLIERS,"")</f>
        <v/>
      </c>
      <c r="H1432" s="32">
        <f>IF($A1432=1,IF(COUNTIF(COA!$A:$A,$G1432)=0,"حساب غير معرف",INDEX(COA!$B:$B,MATCH($G1432,COA!$A:$A,0))),"")</f>
        <v/>
      </c>
      <c r="I1432" s="32">
        <f>IF($A1432=1,IF(Supplier_Invoices!$H45="","",Supplier_Invoices!$H45),"")</f>
        <v/>
      </c>
      <c r="J1432" s="32">
        <f>IF($A1432=1,"CC00","")</f>
        <v/>
      </c>
      <c r="K1432" s="32">
        <f>IF($A1432=1,IF(Supplier_Invoices!$C45="","",Supplier_Invoices!$C45),"")</f>
        <v/>
      </c>
      <c r="L1432" s="32">
        <f>IF($A1432=1,"سداد فوري - "&amp;Supplier_Invoices!$F45&amp;" "&amp;Supplier_Invoices!$B45&amp;" - "&amp;Supplier_Invoices!$C45,"")</f>
        <v/>
      </c>
      <c r="M1432" s="43">
        <f>IF($A1432=1,Supplier_Invoices!$W45,"")</f>
        <v/>
      </c>
      <c r="N1432" s="43">
        <f>IF($A1432=1,0,"")</f>
        <v/>
      </c>
      <c r="O1432" s="32">
        <f>IF($A1432=1,Supplier_Invoices!$O45,"")</f>
        <v/>
      </c>
      <c r="P1432" s="32">
        <f>IF($A1432=1,IF(Supplier_Invoices!$AE45="","",Supplier_Invoices!$AE45),"")</f>
        <v/>
      </c>
      <c r="Q1432" s="32">
        <f>IF($A1432=1,Supplier_Invoices!$AG45,"")</f>
        <v/>
      </c>
      <c r="R1432" s="32">
        <f>IF($A1432=1,IF(AND($Q1432=1,COUNTIFS(COA!$A:$A,$G1432,COA!$R:$R,1)=1),1,0),"")</f>
        <v/>
      </c>
      <c r="S1432" s="43">
        <f>IF($A1432=1,IF($R1432=1,N($M1432),0),"")</f>
        <v/>
      </c>
      <c r="T1432" s="43">
        <f>IF($A1432=1,IF($R1432=1,N($N1432),0),"")</f>
        <v/>
      </c>
      <c r="U1432" s="32">
        <f>IF($A1432=1,YEAR($D1432)*100+MONTH($D1432),"")</f>
        <v/>
      </c>
      <c r="V1432" s="32">
        <f>IF($A1432=1,IF(COUNTIF(COA!$A:$A,$G1432)=0,0,INDEX(COA!$H:$H,MATCH($G1432,COA!$A:$A,0))),"")</f>
        <v/>
      </c>
      <c r="W1432" s="32">
        <f>IF($A1432=1,"","")</f>
        <v/>
      </c>
      <c r="X1432" s="32">
        <f>IF($A1432=1,IF($R1432=1,"",IF($O1432=ST_POST,IF($P1432&lt;&gt;"",$P1432,"حساب غير صالح أو غير نشط"),IF($O1432=ST_REV,"معكوس: لا أثر على الدفاتر",IF($O1432=ST_CANC,"ملغى",IF($O1432=ST_APPR,"معتمد ولم يُرحَّل","مسودة"))))),"")</f>
        <v/>
      </c>
      <c r="Y1432" s="32">
        <f>IF($A1432=1,IF(AND($R1432=1,OR(LG_Acct="",$G1432=LG_Acct),OR(LG_Party="",$K1432=LG_Party),OR(LG_Loc="ALL",$I1432=LG_Loc),OR(LG_CC="ALL",$J1432=LG_CC),$D1432&gt;=LG_From,$D1432&lt;=LG_To),$D1432+ROW()/1000000,""),"")</f>
        <v/>
      </c>
      <c r="Z1432" s="32">
        <f>IF($A1432=1,IF(Supplier_Invoices!$P45="","",Supplier_Invoices!$P45),"")</f>
        <v/>
      </c>
      <c r="AA1432" s="32">
        <f>IF($A1432=1,IF(Supplier_Invoices!$Q45="","",Supplier_Invoices!$Q45),"")</f>
        <v/>
      </c>
      <c r="AB1432" s="32">
        <f>IF($A1432=1,IF(Supplier_Invoices!$R45="","",Supplier_Invoices!$R45),"")</f>
        <v/>
      </c>
      <c r="AC1432" s="32">
        <f>IF($A1432=1,IF(Supplier_Invoices!$S45="","",Supplier_Invoices!$S45),"")</f>
        <v/>
      </c>
      <c r="AD1432" s="32">
        <f>IF($A1432=1,IF(Supplier_Invoices!$T45="","",Supplier_Invoices!$T45),"")</f>
        <v/>
      </c>
      <c r="AE1432" s="32">
        <f>IF($A1432=1,0,"")</f>
        <v/>
      </c>
      <c r="AF1432" s="32" t="inlineStr"/>
    </row>
    <row r="1433">
      <c r="A1433" s="32">
        <f>IF(AND(Supplier_Invoices!$AD45=1,Supplier_Invoices!$L45&lt;&gt;"",Supplier_Invoices!$V45&lt;&gt;"CN",N(Supplier_Invoices!$W45)&gt;0),1,0)</f>
        <v/>
      </c>
      <c r="B1433" s="32">
        <f>IF($A1433=1,$E1433&amp;"/5","")</f>
        <v/>
      </c>
      <c r="C1433" s="32">
        <f>IF($A1433=1,"J-"&amp;Supplier_Invoices!$A45,"")</f>
        <v/>
      </c>
      <c r="D1433" s="33">
        <f>IF($A1433=1,Supplier_Invoices!$E45,"")</f>
        <v/>
      </c>
      <c r="E1433" s="32">
        <f>IF($A1433=1,IF(Supplier_Invoices!$A45="","",Supplier_Invoices!$A45),"")</f>
        <v/>
      </c>
      <c r="F1433" s="32">
        <f>IF($A1433=1,"SINV","")</f>
        <v/>
      </c>
      <c r="G1433" s="32">
        <f>IF($A1433=1,IF(Supplier_Invoices!$AA45="","",Supplier_Invoices!$AA45),"")</f>
        <v/>
      </c>
      <c r="H1433" s="32">
        <f>IF($A1433=1,IF(COUNTIF(COA!$A:$A,$G1433)=0,"حساب غير معرف",INDEX(COA!$B:$B,MATCH($G1433,COA!$A:$A,0))),"")</f>
        <v/>
      </c>
      <c r="I1433" s="32">
        <f>IF($A1433=1,IF(Supplier_Invoices!$H45="","",Supplier_Invoices!$H45),"")</f>
        <v/>
      </c>
      <c r="J1433" s="32">
        <f>IF($A1433=1,"CC00","")</f>
        <v/>
      </c>
      <c r="K1433" s="32">
        <f>IF($A1433=1,"-","")</f>
        <v/>
      </c>
      <c r="L1433" s="32">
        <f>IF($A1433=1,"سداد فوري - "&amp;Supplier_Invoices!$F45&amp;" "&amp;Supplier_Invoices!$B45&amp;" - "&amp;Supplier_Invoices!$C45,"")</f>
        <v/>
      </c>
      <c r="M1433" s="43">
        <f>IF($A1433=1,0,"")</f>
        <v/>
      </c>
      <c r="N1433" s="43">
        <f>IF($A1433=1,Supplier_Invoices!$W45,"")</f>
        <v/>
      </c>
      <c r="O1433" s="32">
        <f>IF($A1433=1,Supplier_Invoices!$O45,"")</f>
        <v/>
      </c>
      <c r="P1433" s="32">
        <f>IF($A1433=1,IF(Supplier_Invoices!$AE45="","",Supplier_Invoices!$AE45),"")</f>
        <v/>
      </c>
      <c r="Q1433" s="32">
        <f>IF($A1433=1,Supplier_Invoices!$AG45,"")</f>
        <v/>
      </c>
      <c r="R1433" s="32">
        <f>IF($A1433=1,IF(AND($Q1433=1,COUNTIFS(COA!$A:$A,$G1433,COA!$R:$R,1)=1),1,0),"")</f>
        <v/>
      </c>
      <c r="S1433" s="43">
        <f>IF($A1433=1,IF($R1433=1,N($M1433),0),"")</f>
        <v/>
      </c>
      <c r="T1433" s="43">
        <f>IF($A1433=1,IF($R1433=1,N($N1433),0),"")</f>
        <v/>
      </c>
      <c r="U1433" s="32">
        <f>IF($A1433=1,YEAR($D1433)*100+MONTH($D1433),"")</f>
        <v/>
      </c>
      <c r="V1433" s="32">
        <f>IF($A1433=1,IF(COUNTIF(COA!$A:$A,$G1433)=0,0,INDEX(COA!$H:$H,MATCH($G1433,COA!$A:$A,0))),"")</f>
        <v/>
      </c>
      <c r="W1433" s="32">
        <f>IF($A1433=1,IF(Supplier_Invoices!$AB45="","",Supplier_Invoices!$AB45),"")</f>
        <v/>
      </c>
      <c r="X1433" s="32">
        <f>IF($A1433=1,IF($R1433=1,"",IF($O1433=ST_POST,IF($P1433&lt;&gt;"",$P1433,"حساب غير صالح أو غير نشط"),IF($O1433=ST_REV,"معكوس: لا أثر على الدفاتر",IF($O1433=ST_CANC,"ملغى",IF($O1433=ST_APPR,"معتمد ولم يُرحَّل","مسودة"))))),"")</f>
        <v/>
      </c>
      <c r="Y1433" s="32">
        <f>IF($A1433=1,IF(AND($R1433=1,OR(LG_Acct="",$G1433=LG_Acct),OR(LG_Party="",$K1433=LG_Party),OR(LG_Loc="ALL",$I1433=LG_Loc),OR(LG_CC="ALL",$J1433=LG_CC),$D1433&gt;=LG_From,$D1433&lt;=LG_To),$D1433+ROW()/1000000,""),"")</f>
        <v/>
      </c>
      <c r="Z1433" s="32">
        <f>IF($A1433=1,IF(Supplier_Invoices!$P45="","",Supplier_Invoices!$P45),"")</f>
        <v/>
      </c>
      <c r="AA1433" s="32">
        <f>IF($A1433=1,IF(Supplier_Invoices!$Q45="","",Supplier_Invoices!$Q45),"")</f>
        <v/>
      </c>
      <c r="AB1433" s="32">
        <f>IF($A1433=1,IF(Supplier_Invoices!$R45="","",Supplier_Invoices!$R45),"")</f>
        <v/>
      </c>
      <c r="AC1433" s="32">
        <f>IF($A1433=1,IF(Supplier_Invoices!$S45="","",Supplier_Invoices!$S45),"")</f>
        <v/>
      </c>
      <c r="AD1433" s="32">
        <f>IF($A1433=1,IF(Supplier_Invoices!$T45="","",Supplier_Invoices!$T45),"")</f>
        <v/>
      </c>
      <c r="AE1433" s="32">
        <f>IF($A1433=1,0,"")</f>
        <v/>
      </c>
      <c r="AF1433" s="32" t="inlineStr"/>
    </row>
    <row r="1434">
      <c r="A1434" s="32">
        <f>IF(AND(Supplier_Invoices!$AD46=1,N(Supplier_Invoices!$J46)&gt;0),1,0)</f>
        <v/>
      </c>
      <c r="B1434" s="32">
        <f>IF($A1434=1,$E1434&amp;"/1","")</f>
        <v/>
      </c>
      <c r="C1434" s="32">
        <f>IF($A1434=1,"J-"&amp;Supplier_Invoices!$A46,"")</f>
        <v/>
      </c>
      <c r="D1434" s="33">
        <f>IF($A1434=1,Supplier_Invoices!$E46,"")</f>
        <v/>
      </c>
      <c r="E1434" s="32">
        <f>IF($A1434=1,IF(Supplier_Invoices!$A46="","",Supplier_Invoices!$A46),"")</f>
        <v/>
      </c>
      <c r="F1434" s="32">
        <f>IF($A1434=1,"SINV","")</f>
        <v/>
      </c>
      <c r="G1434" s="32">
        <f>IF($A1434=1,IF(Supplier_Invoices!$G46="","",Supplier_Invoices!$G46),"")</f>
        <v/>
      </c>
      <c r="H1434" s="32">
        <f>IF($A1434=1,IF(COUNTIF(COA!$A:$A,$G1434)=0,"حساب غير معرف",INDEX(COA!$B:$B,MATCH($G1434,COA!$A:$A,0))),"")</f>
        <v/>
      </c>
      <c r="I1434" s="32">
        <f>IF($A1434=1,IF(Supplier_Invoices!$H46="","",Supplier_Invoices!$H46),"")</f>
        <v/>
      </c>
      <c r="J1434" s="32">
        <f>IF($A1434=1,IF(Supplier_Invoices!$I46="","",Supplier_Invoices!$I46),"")</f>
        <v/>
      </c>
      <c r="K1434" s="32">
        <f>IF($A1434=1,"-","")</f>
        <v/>
      </c>
      <c r="L1434" s="32">
        <f>IF($A1434=1,Supplier_Invoices!$F46&amp;" "&amp;Supplier_Invoices!$B46&amp;" - "&amp;Supplier_Invoices!$C46,"")</f>
        <v/>
      </c>
      <c r="M1434" s="43">
        <f>IF($A1434=1,IF(Supplier_Invoices!$V46="CN",0,Supplier_Invoices!$J46),"")</f>
        <v/>
      </c>
      <c r="N1434" s="43">
        <f>IF($A1434=1,IF(Supplier_Invoices!$V46="CN",Supplier_Invoices!$J46,0),"")</f>
        <v/>
      </c>
      <c r="O1434" s="32">
        <f>IF($A1434=1,Supplier_Invoices!$O46,"")</f>
        <v/>
      </c>
      <c r="P1434" s="32">
        <f>IF($A1434=1,IF(Supplier_Invoices!$AE46="","",Supplier_Invoices!$AE46),"")</f>
        <v/>
      </c>
      <c r="Q1434" s="32">
        <f>IF($A1434=1,Supplier_Invoices!$AG46,"")</f>
        <v/>
      </c>
      <c r="R1434" s="32">
        <f>IF($A1434=1,IF(AND($Q1434=1,COUNTIFS(COA!$A:$A,$G1434,COA!$R:$R,1)=1),1,0),"")</f>
        <v/>
      </c>
      <c r="S1434" s="43">
        <f>IF($A1434=1,IF($R1434=1,N($M1434),0),"")</f>
        <v/>
      </c>
      <c r="T1434" s="43">
        <f>IF($A1434=1,IF($R1434=1,N($N1434),0),"")</f>
        <v/>
      </c>
      <c r="U1434" s="32">
        <f>IF($A1434=1,YEAR($D1434)*100+MONTH($D1434),"")</f>
        <v/>
      </c>
      <c r="V1434" s="32">
        <f>IF($A1434=1,IF(COUNTIF(COA!$A:$A,$G1434)=0,0,INDEX(COA!$H:$H,MATCH($G1434,COA!$A:$A,0))),"")</f>
        <v/>
      </c>
      <c r="W1434" s="32">
        <f>IF($A1434=1,"","")</f>
        <v/>
      </c>
      <c r="X1434" s="32">
        <f>IF($A1434=1,IF($R1434=1,"",IF($O1434=ST_POST,IF($P1434&lt;&gt;"",$P1434,"حساب غير صالح أو غير نشط"),IF($O1434=ST_REV,"معكوس: لا أثر على الدفاتر",IF($O1434=ST_CANC,"ملغى",IF($O1434=ST_APPR,"معتمد ولم يُرحَّل","مسودة"))))),"")</f>
        <v/>
      </c>
      <c r="Y1434" s="32">
        <f>IF($A1434=1,IF(AND($R1434=1,OR(LG_Acct="",$G1434=LG_Acct),OR(LG_Party="",$K1434=LG_Party),OR(LG_Loc="ALL",$I1434=LG_Loc),OR(LG_CC="ALL",$J1434=LG_CC),$D1434&gt;=LG_From,$D1434&lt;=LG_To),$D1434+ROW()/1000000,""),"")</f>
        <v/>
      </c>
      <c r="Z1434" s="32">
        <f>IF($A1434=1,IF(Supplier_Invoices!$P46="","",Supplier_Invoices!$P46),"")</f>
        <v/>
      </c>
      <c r="AA1434" s="32">
        <f>IF($A1434=1,IF(Supplier_Invoices!$Q46="","",Supplier_Invoices!$Q46),"")</f>
        <v/>
      </c>
      <c r="AB1434" s="32">
        <f>IF($A1434=1,IF(Supplier_Invoices!$R46="","",Supplier_Invoices!$R46),"")</f>
        <v/>
      </c>
      <c r="AC1434" s="32">
        <f>IF($A1434=1,IF(Supplier_Invoices!$S46="","",Supplier_Invoices!$S46),"")</f>
        <v/>
      </c>
      <c r="AD1434" s="32">
        <f>IF($A1434=1,IF(Supplier_Invoices!$T46="","",Supplier_Invoices!$T46),"")</f>
        <v/>
      </c>
      <c r="AE1434" s="32">
        <f>IF($A1434=1,0,"")</f>
        <v/>
      </c>
      <c r="AF1434" s="32" t="inlineStr"/>
    </row>
    <row r="1435">
      <c r="A1435" s="32">
        <f>IF(AND(Supplier_Invoices!$AD46=1,N(Supplier_Invoices!$K46)&gt;0),1,0)</f>
        <v/>
      </c>
      <c r="B1435" s="32">
        <f>IF($A1435=1,$E1435&amp;"/2","")</f>
        <v/>
      </c>
      <c r="C1435" s="32">
        <f>IF($A1435=1,"J-"&amp;Supplier_Invoices!$A46,"")</f>
        <v/>
      </c>
      <c r="D1435" s="33">
        <f>IF($A1435=1,Supplier_Invoices!$E46,"")</f>
        <v/>
      </c>
      <c r="E1435" s="32">
        <f>IF($A1435=1,IF(Supplier_Invoices!$A46="","",Supplier_Invoices!$A46),"")</f>
        <v/>
      </c>
      <c r="F1435" s="32">
        <f>IF($A1435=1,"SINV","")</f>
        <v/>
      </c>
      <c r="G1435" s="32">
        <f>IF($A1435=1,ACC_VAT_IN,"")</f>
        <v/>
      </c>
      <c r="H1435" s="32">
        <f>IF($A1435=1,IF(COUNTIF(COA!$A:$A,$G1435)=0,"حساب غير معرف",INDEX(COA!$B:$B,MATCH($G1435,COA!$A:$A,0))),"")</f>
        <v/>
      </c>
      <c r="I1435" s="32">
        <f>IF($A1435=1,IF(Supplier_Invoices!$H46="","",Supplier_Invoices!$H46),"")</f>
        <v/>
      </c>
      <c r="J1435" s="32">
        <f>IF($A1435=1,IF(Supplier_Invoices!$I46="","",Supplier_Invoices!$I46),"")</f>
        <v/>
      </c>
      <c r="K1435" s="32">
        <f>IF($A1435=1,"-","")</f>
        <v/>
      </c>
      <c r="L1435" s="32">
        <f>IF($A1435=1,"ضريبة قيمة مضافة - مدخلات","")</f>
        <v/>
      </c>
      <c r="M1435" s="43">
        <f>IF($A1435=1,IF(Supplier_Invoices!$V46="CN",0,Supplier_Invoices!$K46),"")</f>
        <v/>
      </c>
      <c r="N1435" s="43">
        <f>IF($A1435=1,IF(Supplier_Invoices!$V46="CN",Supplier_Invoices!$K46,0),"")</f>
        <v/>
      </c>
      <c r="O1435" s="32">
        <f>IF($A1435=1,Supplier_Invoices!$O46,"")</f>
        <v/>
      </c>
      <c r="P1435" s="32">
        <f>IF($A1435=1,IF(Supplier_Invoices!$AE46="","",Supplier_Invoices!$AE46),"")</f>
        <v/>
      </c>
      <c r="Q1435" s="32">
        <f>IF($A1435=1,Supplier_Invoices!$AG46,"")</f>
        <v/>
      </c>
      <c r="R1435" s="32">
        <f>IF($A1435=1,IF(AND($Q1435=1,COUNTIFS(COA!$A:$A,$G1435,COA!$R:$R,1)=1),1,0),"")</f>
        <v/>
      </c>
      <c r="S1435" s="43">
        <f>IF($A1435=1,IF($R1435=1,N($M1435),0),"")</f>
        <v/>
      </c>
      <c r="T1435" s="43">
        <f>IF($A1435=1,IF($R1435=1,N($N1435),0),"")</f>
        <v/>
      </c>
      <c r="U1435" s="32">
        <f>IF($A1435=1,YEAR($D1435)*100+MONTH($D1435),"")</f>
        <v/>
      </c>
      <c r="V1435" s="32">
        <f>IF($A1435=1,IF(COUNTIF(COA!$A:$A,$G1435)=0,0,INDEX(COA!$H:$H,MATCH($G1435,COA!$A:$A,0))),"")</f>
        <v/>
      </c>
      <c r="W1435" s="32">
        <f>IF($A1435=1,"","")</f>
        <v/>
      </c>
      <c r="X1435" s="32">
        <f>IF($A1435=1,IF($R1435=1,"",IF($O1435=ST_POST,IF($P1435&lt;&gt;"",$P1435,"حساب غير صالح أو غير نشط"),IF($O1435=ST_REV,"معكوس: لا أثر على الدفاتر",IF($O1435=ST_CANC,"ملغى",IF($O1435=ST_APPR,"معتمد ولم يُرحَّل","مسودة"))))),"")</f>
        <v/>
      </c>
      <c r="Y1435" s="32">
        <f>IF($A1435=1,IF(AND($R1435=1,OR(LG_Acct="",$G1435=LG_Acct),OR(LG_Party="",$K1435=LG_Party),OR(LG_Loc="ALL",$I1435=LG_Loc),OR(LG_CC="ALL",$J1435=LG_CC),$D1435&gt;=LG_From,$D1435&lt;=LG_To),$D1435+ROW()/1000000,""),"")</f>
        <v/>
      </c>
      <c r="Z1435" s="32">
        <f>IF($A1435=1,IF(Supplier_Invoices!$P46="","",Supplier_Invoices!$P46),"")</f>
        <v/>
      </c>
      <c r="AA1435" s="32">
        <f>IF($A1435=1,IF(Supplier_Invoices!$Q46="","",Supplier_Invoices!$Q46),"")</f>
        <v/>
      </c>
      <c r="AB1435" s="32">
        <f>IF($A1435=1,IF(Supplier_Invoices!$R46="","",Supplier_Invoices!$R46),"")</f>
        <v/>
      </c>
      <c r="AC1435" s="32">
        <f>IF($A1435=1,IF(Supplier_Invoices!$S46="","",Supplier_Invoices!$S46),"")</f>
        <v/>
      </c>
      <c r="AD1435" s="32">
        <f>IF($A1435=1,IF(Supplier_Invoices!$T46="","",Supplier_Invoices!$T46),"")</f>
        <v/>
      </c>
      <c r="AE1435" s="32">
        <f>IF($A1435=1,0,"")</f>
        <v/>
      </c>
      <c r="AF1435" s="32" t="inlineStr"/>
    </row>
    <row r="1436">
      <c r="A1436" s="32">
        <f>IF(AND(Supplier_Invoices!$AD46=1,N(Supplier_Invoices!$W46)&gt;0),1,0)</f>
        <v/>
      </c>
      <c r="B1436" s="32">
        <f>IF($A1436=1,$E1436&amp;"/3","")</f>
        <v/>
      </c>
      <c r="C1436" s="32">
        <f>IF($A1436=1,"J-"&amp;Supplier_Invoices!$A46,"")</f>
        <v/>
      </c>
      <c r="D1436" s="33">
        <f>IF($A1436=1,Supplier_Invoices!$E46,"")</f>
        <v/>
      </c>
      <c r="E1436" s="32">
        <f>IF($A1436=1,IF(Supplier_Invoices!$A46="","",Supplier_Invoices!$A46),"")</f>
        <v/>
      </c>
      <c r="F1436" s="32">
        <f>IF($A1436=1,"SINV","")</f>
        <v/>
      </c>
      <c r="G1436" s="32">
        <f>IF($A1436=1,ACC_SUPPLIERS,"")</f>
        <v/>
      </c>
      <c r="H1436" s="32">
        <f>IF($A1436=1,IF(COUNTIF(COA!$A:$A,$G1436)=0,"حساب غير معرف",INDEX(COA!$B:$B,MATCH($G1436,COA!$A:$A,0))),"")</f>
        <v/>
      </c>
      <c r="I1436" s="32">
        <f>IF($A1436=1,IF(Supplier_Invoices!$H46="","",Supplier_Invoices!$H46),"")</f>
        <v/>
      </c>
      <c r="J1436" s="32">
        <f>IF($A1436=1,"CC00","")</f>
        <v/>
      </c>
      <c r="K1436" s="32">
        <f>IF($A1436=1,IF(Supplier_Invoices!$C46="","",Supplier_Invoices!$C46),"")</f>
        <v/>
      </c>
      <c r="L1436" s="32">
        <f>IF($A1436=1,Supplier_Invoices!$F46&amp;" "&amp;Supplier_Invoices!$B46&amp;" - "&amp;Supplier_Invoices!$C46,"")</f>
        <v/>
      </c>
      <c r="M1436" s="43">
        <f>IF($A1436=1,IF(Supplier_Invoices!$V46="CN",Supplier_Invoices!$W46,0),"")</f>
        <v/>
      </c>
      <c r="N1436" s="43">
        <f>IF($A1436=1,IF(Supplier_Invoices!$V46="CN",0,Supplier_Invoices!$W46),"")</f>
        <v/>
      </c>
      <c r="O1436" s="32">
        <f>IF($A1436=1,Supplier_Invoices!$O46,"")</f>
        <v/>
      </c>
      <c r="P1436" s="32">
        <f>IF($A1436=1,IF(Supplier_Invoices!$AE46="","",Supplier_Invoices!$AE46),"")</f>
        <v/>
      </c>
      <c r="Q1436" s="32">
        <f>IF($A1436=1,Supplier_Invoices!$AG46,"")</f>
        <v/>
      </c>
      <c r="R1436" s="32">
        <f>IF($A1436=1,IF(AND($Q1436=1,COUNTIFS(COA!$A:$A,$G1436,COA!$R:$R,1)=1),1,0),"")</f>
        <v/>
      </c>
      <c r="S1436" s="43">
        <f>IF($A1436=1,IF($R1436=1,N($M1436),0),"")</f>
        <v/>
      </c>
      <c r="T1436" s="43">
        <f>IF($A1436=1,IF($R1436=1,N($N1436),0),"")</f>
        <v/>
      </c>
      <c r="U1436" s="32">
        <f>IF($A1436=1,YEAR($D1436)*100+MONTH($D1436),"")</f>
        <v/>
      </c>
      <c r="V1436" s="32">
        <f>IF($A1436=1,IF(COUNTIF(COA!$A:$A,$G1436)=0,0,INDEX(COA!$H:$H,MATCH($G1436,COA!$A:$A,0))),"")</f>
        <v/>
      </c>
      <c r="W1436" s="32">
        <f>IF($A1436=1,"","")</f>
        <v/>
      </c>
      <c r="X1436" s="32">
        <f>IF($A1436=1,IF($R1436=1,"",IF($O1436=ST_POST,IF($P1436&lt;&gt;"",$P1436,"حساب غير صالح أو غير نشط"),IF($O1436=ST_REV,"معكوس: لا أثر على الدفاتر",IF($O1436=ST_CANC,"ملغى",IF($O1436=ST_APPR,"معتمد ولم يُرحَّل","مسودة"))))),"")</f>
        <v/>
      </c>
      <c r="Y1436" s="32">
        <f>IF($A1436=1,IF(AND($R1436=1,OR(LG_Acct="",$G1436=LG_Acct),OR(LG_Party="",$K1436=LG_Party),OR(LG_Loc="ALL",$I1436=LG_Loc),OR(LG_CC="ALL",$J1436=LG_CC),$D1436&gt;=LG_From,$D1436&lt;=LG_To),$D1436+ROW()/1000000,""),"")</f>
        <v/>
      </c>
      <c r="Z1436" s="32">
        <f>IF($A1436=1,IF(Supplier_Invoices!$P46="","",Supplier_Invoices!$P46),"")</f>
        <v/>
      </c>
      <c r="AA1436" s="32">
        <f>IF($A1436=1,IF(Supplier_Invoices!$Q46="","",Supplier_Invoices!$Q46),"")</f>
        <v/>
      </c>
      <c r="AB1436" s="32">
        <f>IF($A1436=1,IF(Supplier_Invoices!$R46="","",Supplier_Invoices!$R46),"")</f>
        <v/>
      </c>
      <c r="AC1436" s="32">
        <f>IF($A1436=1,IF(Supplier_Invoices!$S46="","",Supplier_Invoices!$S46),"")</f>
        <v/>
      </c>
      <c r="AD1436" s="32">
        <f>IF($A1436=1,IF(Supplier_Invoices!$T46="","",Supplier_Invoices!$T46),"")</f>
        <v/>
      </c>
      <c r="AE1436" s="32">
        <f>IF($A1436=1,0,"")</f>
        <v/>
      </c>
      <c r="AF1436" s="32" t="inlineStr"/>
    </row>
    <row r="1437">
      <c r="A1437" s="32">
        <f>IF(AND(Supplier_Invoices!$AD46=1,Supplier_Invoices!$L46&lt;&gt;"",Supplier_Invoices!$V46&lt;&gt;"CN",N(Supplier_Invoices!$W46)&gt;0),1,0)</f>
        <v/>
      </c>
      <c r="B1437" s="32">
        <f>IF($A1437=1,$E1437&amp;"/4","")</f>
        <v/>
      </c>
      <c r="C1437" s="32">
        <f>IF($A1437=1,"J-"&amp;Supplier_Invoices!$A46,"")</f>
        <v/>
      </c>
      <c r="D1437" s="33">
        <f>IF($A1437=1,Supplier_Invoices!$E46,"")</f>
        <v/>
      </c>
      <c r="E1437" s="32">
        <f>IF($A1437=1,IF(Supplier_Invoices!$A46="","",Supplier_Invoices!$A46),"")</f>
        <v/>
      </c>
      <c r="F1437" s="32">
        <f>IF($A1437=1,"SINV","")</f>
        <v/>
      </c>
      <c r="G1437" s="32">
        <f>IF($A1437=1,ACC_SUPPLIERS,"")</f>
        <v/>
      </c>
      <c r="H1437" s="32">
        <f>IF($A1437=1,IF(COUNTIF(COA!$A:$A,$G1437)=0,"حساب غير معرف",INDEX(COA!$B:$B,MATCH($G1437,COA!$A:$A,0))),"")</f>
        <v/>
      </c>
      <c r="I1437" s="32">
        <f>IF($A1437=1,IF(Supplier_Invoices!$H46="","",Supplier_Invoices!$H46),"")</f>
        <v/>
      </c>
      <c r="J1437" s="32">
        <f>IF($A1437=1,"CC00","")</f>
        <v/>
      </c>
      <c r="K1437" s="32">
        <f>IF($A1437=1,IF(Supplier_Invoices!$C46="","",Supplier_Invoices!$C46),"")</f>
        <v/>
      </c>
      <c r="L1437" s="32">
        <f>IF($A1437=1,"سداد فوري - "&amp;Supplier_Invoices!$F46&amp;" "&amp;Supplier_Invoices!$B46&amp;" - "&amp;Supplier_Invoices!$C46,"")</f>
        <v/>
      </c>
      <c r="M1437" s="43">
        <f>IF($A1437=1,Supplier_Invoices!$W46,"")</f>
        <v/>
      </c>
      <c r="N1437" s="43">
        <f>IF($A1437=1,0,"")</f>
        <v/>
      </c>
      <c r="O1437" s="32">
        <f>IF($A1437=1,Supplier_Invoices!$O46,"")</f>
        <v/>
      </c>
      <c r="P1437" s="32">
        <f>IF($A1437=1,IF(Supplier_Invoices!$AE46="","",Supplier_Invoices!$AE46),"")</f>
        <v/>
      </c>
      <c r="Q1437" s="32">
        <f>IF($A1437=1,Supplier_Invoices!$AG46,"")</f>
        <v/>
      </c>
      <c r="R1437" s="32">
        <f>IF($A1437=1,IF(AND($Q1437=1,COUNTIFS(COA!$A:$A,$G1437,COA!$R:$R,1)=1),1,0),"")</f>
        <v/>
      </c>
      <c r="S1437" s="43">
        <f>IF($A1437=1,IF($R1437=1,N($M1437),0),"")</f>
        <v/>
      </c>
      <c r="T1437" s="43">
        <f>IF($A1437=1,IF($R1437=1,N($N1437),0),"")</f>
        <v/>
      </c>
      <c r="U1437" s="32">
        <f>IF($A1437=1,YEAR($D1437)*100+MONTH($D1437),"")</f>
        <v/>
      </c>
      <c r="V1437" s="32">
        <f>IF($A1437=1,IF(COUNTIF(COA!$A:$A,$G1437)=0,0,INDEX(COA!$H:$H,MATCH($G1437,COA!$A:$A,0))),"")</f>
        <v/>
      </c>
      <c r="W1437" s="32">
        <f>IF($A1437=1,"","")</f>
        <v/>
      </c>
      <c r="X1437" s="32">
        <f>IF($A1437=1,IF($R1437=1,"",IF($O1437=ST_POST,IF($P1437&lt;&gt;"",$P1437,"حساب غير صالح أو غير نشط"),IF($O1437=ST_REV,"معكوس: لا أثر على الدفاتر",IF($O1437=ST_CANC,"ملغى",IF($O1437=ST_APPR,"معتمد ولم يُرحَّل","مسودة"))))),"")</f>
        <v/>
      </c>
      <c r="Y1437" s="32">
        <f>IF($A1437=1,IF(AND($R1437=1,OR(LG_Acct="",$G1437=LG_Acct),OR(LG_Party="",$K1437=LG_Party),OR(LG_Loc="ALL",$I1437=LG_Loc),OR(LG_CC="ALL",$J1437=LG_CC),$D1437&gt;=LG_From,$D1437&lt;=LG_To),$D1437+ROW()/1000000,""),"")</f>
        <v/>
      </c>
      <c r="Z1437" s="32">
        <f>IF($A1437=1,IF(Supplier_Invoices!$P46="","",Supplier_Invoices!$P46),"")</f>
        <v/>
      </c>
      <c r="AA1437" s="32">
        <f>IF($A1437=1,IF(Supplier_Invoices!$Q46="","",Supplier_Invoices!$Q46),"")</f>
        <v/>
      </c>
      <c r="AB1437" s="32">
        <f>IF($A1437=1,IF(Supplier_Invoices!$R46="","",Supplier_Invoices!$R46),"")</f>
        <v/>
      </c>
      <c r="AC1437" s="32">
        <f>IF($A1437=1,IF(Supplier_Invoices!$S46="","",Supplier_Invoices!$S46),"")</f>
        <v/>
      </c>
      <c r="AD1437" s="32">
        <f>IF($A1437=1,IF(Supplier_Invoices!$T46="","",Supplier_Invoices!$T46),"")</f>
        <v/>
      </c>
      <c r="AE1437" s="32">
        <f>IF($A1437=1,0,"")</f>
        <v/>
      </c>
      <c r="AF1437" s="32" t="inlineStr"/>
    </row>
    <row r="1438">
      <c r="A1438" s="32">
        <f>IF(AND(Supplier_Invoices!$AD46=1,Supplier_Invoices!$L46&lt;&gt;"",Supplier_Invoices!$V46&lt;&gt;"CN",N(Supplier_Invoices!$W46)&gt;0),1,0)</f>
        <v/>
      </c>
      <c r="B1438" s="32">
        <f>IF($A1438=1,$E1438&amp;"/5","")</f>
        <v/>
      </c>
      <c r="C1438" s="32">
        <f>IF($A1438=1,"J-"&amp;Supplier_Invoices!$A46,"")</f>
        <v/>
      </c>
      <c r="D1438" s="33">
        <f>IF($A1438=1,Supplier_Invoices!$E46,"")</f>
        <v/>
      </c>
      <c r="E1438" s="32">
        <f>IF($A1438=1,IF(Supplier_Invoices!$A46="","",Supplier_Invoices!$A46),"")</f>
        <v/>
      </c>
      <c r="F1438" s="32">
        <f>IF($A1438=1,"SINV","")</f>
        <v/>
      </c>
      <c r="G1438" s="32">
        <f>IF($A1438=1,IF(Supplier_Invoices!$AA46="","",Supplier_Invoices!$AA46),"")</f>
        <v/>
      </c>
      <c r="H1438" s="32">
        <f>IF($A1438=1,IF(COUNTIF(COA!$A:$A,$G1438)=0,"حساب غير معرف",INDEX(COA!$B:$B,MATCH($G1438,COA!$A:$A,0))),"")</f>
        <v/>
      </c>
      <c r="I1438" s="32">
        <f>IF($A1438=1,IF(Supplier_Invoices!$H46="","",Supplier_Invoices!$H46),"")</f>
        <v/>
      </c>
      <c r="J1438" s="32">
        <f>IF($A1438=1,"CC00","")</f>
        <v/>
      </c>
      <c r="K1438" s="32">
        <f>IF($A1438=1,"-","")</f>
        <v/>
      </c>
      <c r="L1438" s="32">
        <f>IF($A1438=1,"سداد فوري - "&amp;Supplier_Invoices!$F46&amp;" "&amp;Supplier_Invoices!$B46&amp;" - "&amp;Supplier_Invoices!$C46,"")</f>
        <v/>
      </c>
      <c r="M1438" s="43">
        <f>IF($A1438=1,0,"")</f>
        <v/>
      </c>
      <c r="N1438" s="43">
        <f>IF($A1438=1,Supplier_Invoices!$W46,"")</f>
        <v/>
      </c>
      <c r="O1438" s="32">
        <f>IF($A1438=1,Supplier_Invoices!$O46,"")</f>
        <v/>
      </c>
      <c r="P1438" s="32">
        <f>IF($A1438=1,IF(Supplier_Invoices!$AE46="","",Supplier_Invoices!$AE46),"")</f>
        <v/>
      </c>
      <c r="Q1438" s="32">
        <f>IF($A1438=1,Supplier_Invoices!$AG46,"")</f>
        <v/>
      </c>
      <c r="R1438" s="32">
        <f>IF($A1438=1,IF(AND($Q1438=1,COUNTIFS(COA!$A:$A,$G1438,COA!$R:$R,1)=1),1,0),"")</f>
        <v/>
      </c>
      <c r="S1438" s="43">
        <f>IF($A1438=1,IF($R1438=1,N($M1438),0),"")</f>
        <v/>
      </c>
      <c r="T1438" s="43">
        <f>IF($A1438=1,IF($R1438=1,N($N1438),0),"")</f>
        <v/>
      </c>
      <c r="U1438" s="32">
        <f>IF($A1438=1,YEAR($D1438)*100+MONTH($D1438),"")</f>
        <v/>
      </c>
      <c r="V1438" s="32">
        <f>IF($A1438=1,IF(COUNTIF(COA!$A:$A,$G1438)=0,0,INDEX(COA!$H:$H,MATCH($G1438,COA!$A:$A,0))),"")</f>
        <v/>
      </c>
      <c r="W1438" s="32">
        <f>IF($A1438=1,IF(Supplier_Invoices!$AB46="","",Supplier_Invoices!$AB46),"")</f>
        <v/>
      </c>
      <c r="X1438" s="32">
        <f>IF($A1438=1,IF($R1438=1,"",IF($O1438=ST_POST,IF($P1438&lt;&gt;"",$P1438,"حساب غير صالح أو غير نشط"),IF($O1438=ST_REV,"معكوس: لا أثر على الدفاتر",IF($O1438=ST_CANC,"ملغى",IF($O1438=ST_APPR,"معتمد ولم يُرحَّل","مسودة"))))),"")</f>
        <v/>
      </c>
      <c r="Y1438" s="32">
        <f>IF($A1438=1,IF(AND($R1438=1,OR(LG_Acct="",$G1438=LG_Acct),OR(LG_Party="",$K1438=LG_Party),OR(LG_Loc="ALL",$I1438=LG_Loc),OR(LG_CC="ALL",$J1438=LG_CC),$D1438&gt;=LG_From,$D1438&lt;=LG_To),$D1438+ROW()/1000000,""),"")</f>
        <v/>
      </c>
      <c r="Z1438" s="32">
        <f>IF($A1438=1,IF(Supplier_Invoices!$P46="","",Supplier_Invoices!$P46),"")</f>
        <v/>
      </c>
      <c r="AA1438" s="32">
        <f>IF($A1438=1,IF(Supplier_Invoices!$Q46="","",Supplier_Invoices!$Q46),"")</f>
        <v/>
      </c>
      <c r="AB1438" s="32">
        <f>IF($A1438=1,IF(Supplier_Invoices!$R46="","",Supplier_Invoices!$R46),"")</f>
        <v/>
      </c>
      <c r="AC1438" s="32">
        <f>IF($A1438=1,IF(Supplier_Invoices!$S46="","",Supplier_Invoices!$S46),"")</f>
        <v/>
      </c>
      <c r="AD1438" s="32">
        <f>IF($A1438=1,IF(Supplier_Invoices!$T46="","",Supplier_Invoices!$T46),"")</f>
        <v/>
      </c>
      <c r="AE1438" s="32">
        <f>IF($A1438=1,0,"")</f>
        <v/>
      </c>
      <c r="AF1438" s="32" t="inlineStr"/>
    </row>
    <row r="1439">
      <c r="A1439" s="32">
        <f>IF(AND(Supplier_Invoices!$AD47=1,N(Supplier_Invoices!$J47)&gt;0),1,0)</f>
        <v/>
      </c>
      <c r="B1439" s="32">
        <f>IF($A1439=1,$E1439&amp;"/1","")</f>
        <v/>
      </c>
      <c r="C1439" s="32">
        <f>IF($A1439=1,"J-"&amp;Supplier_Invoices!$A47,"")</f>
        <v/>
      </c>
      <c r="D1439" s="33">
        <f>IF($A1439=1,Supplier_Invoices!$E47,"")</f>
        <v/>
      </c>
      <c r="E1439" s="32">
        <f>IF($A1439=1,IF(Supplier_Invoices!$A47="","",Supplier_Invoices!$A47),"")</f>
        <v/>
      </c>
      <c r="F1439" s="32">
        <f>IF($A1439=1,"SINV","")</f>
        <v/>
      </c>
      <c r="G1439" s="32">
        <f>IF($A1439=1,IF(Supplier_Invoices!$G47="","",Supplier_Invoices!$G47),"")</f>
        <v/>
      </c>
      <c r="H1439" s="32">
        <f>IF($A1439=1,IF(COUNTIF(COA!$A:$A,$G1439)=0,"حساب غير معرف",INDEX(COA!$B:$B,MATCH($G1439,COA!$A:$A,0))),"")</f>
        <v/>
      </c>
      <c r="I1439" s="32">
        <f>IF($A1439=1,IF(Supplier_Invoices!$H47="","",Supplier_Invoices!$H47),"")</f>
        <v/>
      </c>
      <c r="J1439" s="32">
        <f>IF($A1439=1,IF(Supplier_Invoices!$I47="","",Supplier_Invoices!$I47),"")</f>
        <v/>
      </c>
      <c r="K1439" s="32">
        <f>IF($A1439=1,"-","")</f>
        <v/>
      </c>
      <c r="L1439" s="32">
        <f>IF($A1439=1,Supplier_Invoices!$F47&amp;" "&amp;Supplier_Invoices!$B47&amp;" - "&amp;Supplier_Invoices!$C47,"")</f>
        <v/>
      </c>
      <c r="M1439" s="43">
        <f>IF($A1439=1,IF(Supplier_Invoices!$V47="CN",0,Supplier_Invoices!$J47),"")</f>
        <v/>
      </c>
      <c r="N1439" s="43">
        <f>IF($A1439=1,IF(Supplier_Invoices!$V47="CN",Supplier_Invoices!$J47,0),"")</f>
        <v/>
      </c>
      <c r="O1439" s="32">
        <f>IF($A1439=1,Supplier_Invoices!$O47,"")</f>
        <v/>
      </c>
      <c r="P1439" s="32">
        <f>IF($A1439=1,IF(Supplier_Invoices!$AE47="","",Supplier_Invoices!$AE47),"")</f>
        <v/>
      </c>
      <c r="Q1439" s="32">
        <f>IF($A1439=1,Supplier_Invoices!$AG47,"")</f>
        <v/>
      </c>
      <c r="R1439" s="32">
        <f>IF($A1439=1,IF(AND($Q1439=1,COUNTIFS(COA!$A:$A,$G1439,COA!$R:$R,1)=1),1,0),"")</f>
        <v/>
      </c>
      <c r="S1439" s="43">
        <f>IF($A1439=1,IF($R1439=1,N($M1439),0),"")</f>
        <v/>
      </c>
      <c r="T1439" s="43">
        <f>IF($A1439=1,IF($R1439=1,N($N1439),0),"")</f>
        <v/>
      </c>
      <c r="U1439" s="32">
        <f>IF($A1439=1,YEAR($D1439)*100+MONTH($D1439),"")</f>
        <v/>
      </c>
      <c r="V1439" s="32">
        <f>IF($A1439=1,IF(COUNTIF(COA!$A:$A,$G1439)=0,0,INDEX(COA!$H:$H,MATCH($G1439,COA!$A:$A,0))),"")</f>
        <v/>
      </c>
      <c r="W1439" s="32">
        <f>IF($A1439=1,"","")</f>
        <v/>
      </c>
      <c r="X1439" s="32">
        <f>IF($A1439=1,IF($R1439=1,"",IF($O1439=ST_POST,IF($P1439&lt;&gt;"",$P1439,"حساب غير صالح أو غير نشط"),IF($O1439=ST_REV,"معكوس: لا أثر على الدفاتر",IF($O1439=ST_CANC,"ملغى",IF($O1439=ST_APPR,"معتمد ولم يُرحَّل","مسودة"))))),"")</f>
        <v/>
      </c>
      <c r="Y1439" s="32">
        <f>IF($A1439=1,IF(AND($R1439=1,OR(LG_Acct="",$G1439=LG_Acct),OR(LG_Party="",$K1439=LG_Party),OR(LG_Loc="ALL",$I1439=LG_Loc),OR(LG_CC="ALL",$J1439=LG_CC),$D1439&gt;=LG_From,$D1439&lt;=LG_To),$D1439+ROW()/1000000,""),"")</f>
        <v/>
      </c>
      <c r="Z1439" s="32">
        <f>IF($A1439=1,IF(Supplier_Invoices!$P47="","",Supplier_Invoices!$P47),"")</f>
        <v/>
      </c>
      <c r="AA1439" s="32">
        <f>IF($A1439=1,IF(Supplier_Invoices!$Q47="","",Supplier_Invoices!$Q47),"")</f>
        <v/>
      </c>
      <c r="AB1439" s="32">
        <f>IF($A1439=1,IF(Supplier_Invoices!$R47="","",Supplier_Invoices!$R47),"")</f>
        <v/>
      </c>
      <c r="AC1439" s="32">
        <f>IF($A1439=1,IF(Supplier_Invoices!$S47="","",Supplier_Invoices!$S47),"")</f>
        <v/>
      </c>
      <c r="AD1439" s="32">
        <f>IF($A1439=1,IF(Supplier_Invoices!$T47="","",Supplier_Invoices!$T47),"")</f>
        <v/>
      </c>
      <c r="AE1439" s="32">
        <f>IF($A1439=1,0,"")</f>
        <v/>
      </c>
      <c r="AF1439" s="32" t="inlineStr"/>
    </row>
    <row r="1440">
      <c r="A1440" s="32">
        <f>IF(AND(Supplier_Invoices!$AD47=1,N(Supplier_Invoices!$K47)&gt;0),1,0)</f>
        <v/>
      </c>
      <c r="B1440" s="32">
        <f>IF($A1440=1,$E1440&amp;"/2","")</f>
        <v/>
      </c>
      <c r="C1440" s="32">
        <f>IF($A1440=1,"J-"&amp;Supplier_Invoices!$A47,"")</f>
        <v/>
      </c>
      <c r="D1440" s="33">
        <f>IF($A1440=1,Supplier_Invoices!$E47,"")</f>
        <v/>
      </c>
      <c r="E1440" s="32">
        <f>IF($A1440=1,IF(Supplier_Invoices!$A47="","",Supplier_Invoices!$A47),"")</f>
        <v/>
      </c>
      <c r="F1440" s="32">
        <f>IF($A1440=1,"SINV","")</f>
        <v/>
      </c>
      <c r="G1440" s="32">
        <f>IF($A1440=1,ACC_VAT_IN,"")</f>
        <v/>
      </c>
      <c r="H1440" s="32">
        <f>IF($A1440=1,IF(COUNTIF(COA!$A:$A,$G1440)=0,"حساب غير معرف",INDEX(COA!$B:$B,MATCH($G1440,COA!$A:$A,0))),"")</f>
        <v/>
      </c>
      <c r="I1440" s="32">
        <f>IF($A1440=1,IF(Supplier_Invoices!$H47="","",Supplier_Invoices!$H47),"")</f>
        <v/>
      </c>
      <c r="J1440" s="32">
        <f>IF($A1440=1,IF(Supplier_Invoices!$I47="","",Supplier_Invoices!$I47),"")</f>
        <v/>
      </c>
      <c r="K1440" s="32">
        <f>IF($A1440=1,"-","")</f>
        <v/>
      </c>
      <c r="L1440" s="32">
        <f>IF($A1440=1,"ضريبة قيمة مضافة - مدخلات","")</f>
        <v/>
      </c>
      <c r="M1440" s="43">
        <f>IF($A1440=1,IF(Supplier_Invoices!$V47="CN",0,Supplier_Invoices!$K47),"")</f>
        <v/>
      </c>
      <c r="N1440" s="43">
        <f>IF($A1440=1,IF(Supplier_Invoices!$V47="CN",Supplier_Invoices!$K47,0),"")</f>
        <v/>
      </c>
      <c r="O1440" s="32">
        <f>IF($A1440=1,Supplier_Invoices!$O47,"")</f>
        <v/>
      </c>
      <c r="P1440" s="32">
        <f>IF($A1440=1,IF(Supplier_Invoices!$AE47="","",Supplier_Invoices!$AE47),"")</f>
        <v/>
      </c>
      <c r="Q1440" s="32">
        <f>IF($A1440=1,Supplier_Invoices!$AG47,"")</f>
        <v/>
      </c>
      <c r="R1440" s="32">
        <f>IF($A1440=1,IF(AND($Q1440=1,COUNTIFS(COA!$A:$A,$G1440,COA!$R:$R,1)=1),1,0),"")</f>
        <v/>
      </c>
      <c r="S1440" s="43">
        <f>IF($A1440=1,IF($R1440=1,N($M1440),0),"")</f>
        <v/>
      </c>
      <c r="T1440" s="43">
        <f>IF($A1440=1,IF($R1440=1,N($N1440),0),"")</f>
        <v/>
      </c>
      <c r="U1440" s="32">
        <f>IF($A1440=1,YEAR($D1440)*100+MONTH($D1440),"")</f>
        <v/>
      </c>
      <c r="V1440" s="32">
        <f>IF($A1440=1,IF(COUNTIF(COA!$A:$A,$G1440)=0,0,INDEX(COA!$H:$H,MATCH($G1440,COA!$A:$A,0))),"")</f>
        <v/>
      </c>
      <c r="W1440" s="32">
        <f>IF($A1440=1,"","")</f>
        <v/>
      </c>
      <c r="X1440" s="32">
        <f>IF($A1440=1,IF($R1440=1,"",IF($O1440=ST_POST,IF($P1440&lt;&gt;"",$P1440,"حساب غير صالح أو غير نشط"),IF($O1440=ST_REV,"معكوس: لا أثر على الدفاتر",IF($O1440=ST_CANC,"ملغى",IF($O1440=ST_APPR,"معتمد ولم يُرحَّل","مسودة"))))),"")</f>
        <v/>
      </c>
      <c r="Y1440" s="32">
        <f>IF($A1440=1,IF(AND($R1440=1,OR(LG_Acct="",$G1440=LG_Acct),OR(LG_Party="",$K1440=LG_Party),OR(LG_Loc="ALL",$I1440=LG_Loc),OR(LG_CC="ALL",$J1440=LG_CC),$D1440&gt;=LG_From,$D1440&lt;=LG_To),$D1440+ROW()/1000000,""),"")</f>
        <v/>
      </c>
      <c r="Z1440" s="32">
        <f>IF($A1440=1,IF(Supplier_Invoices!$P47="","",Supplier_Invoices!$P47),"")</f>
        <v/>
      </c>
      <c r="AA1440" s="32">
        <f>IF($A1440=1,IF(Supplier_Invoices!$Q47="","",Supplier_Invoices!$Q47),"")</f>
        <v/>
      </c>
      <c r="AB1440" s="32">
        <f>IF($A1440=1,IF(Supplier_Invoices!$R47="","",Supplier_Invoices!$R47),"")</f>
        <v/>
      </c>
      <c r="AC1440" s="32">
        <f>IF($A1440=1,IF(Supplier_Invoices!$S47="","",Supplier_Invoices!$S47),"")</f>
        <v/>
      </c>
      <c r="AD1440" s="32">
        <f>IF($A1440=1,IF(Supplier_Invoices!$T47="","",Supplier_Invoices!$T47),"")</f>
        <v/>
      </c>
      <c r="AE1440" s="32">
        <f>IF($A1440=1,0,"")</f>
        <v/>
      </c>
      <c r="AF1440" s="32" t="inlineStr"/>
    </row>
    <row r="1441">
      <c r="A1441" s="32">
        <f>IF(AND(Supplier_Invoices!$AD47=1,N(Supplier_Invoices!$W47)&gt;0),1,0)</f>
        <v/>
      </c>
      <c r="B1441" s="32">
        <f>IF($A1441=1,$E1441&amp;"/3","")</f>
        <v/>
      </c>
      <c r="C1441" s="32">
        <f>IF($A1441=1,"J-"&amp;Supplier_Invoices!$A47,"")</f>
        <v/>
      </c>
      <c r="D1441" s="33">
        <f>IF($A1441=1,Supplier_Invoices!$E47,"")</f>
        <v/>
      </c>
      <c r="E1441" s="32">
        <f>IF($A1441=1,IF(Supplier_Invoices!$A47="","",Supplier_Invoices!$A47),"")</f>
        <v/>
      </c>
      <c r="F1441" s="32">
        <f>IF($A1441=1,"SINV","")</f>
        <v/>
      </c>
      <c r="G1441" s="32">
        <f>IF($A1441=1,ACC_SUPPLIERS,"")</f>
        <v/>
      </c>
      <c r="H1441" s="32">
        <f>IF($A1441=1,IF(COUNTIF(COA!$A:$A,$G1441)=0,"حساب غير معرف",INDEX(COA!$B:$B,MATCH($G1441,COA!$A:$A,0))),"")</f>
        <v/>
      </c>
      <c r="I1441" s="32">
        <f>IF($A1441=1,IF(Supplier_Invoices!$H47="","",Supplier_Invoices!$H47),"")</f>
        <v/>
      </c>
      <c r="J1441" s="32">
        <f>IF($A1441=1,"CC00","")</f>
        <v/>
      </c>
      <c r="K1441" s="32">
        <f>IF($A1441=1,IF(Supplier_Invoices!$C47="","",Supplier_Invoices!$C47),"")</f>
        <v/>
      </c>
      <c r="L1441" s="32">
        <f>IF($A1441=1,Supplier_Invoices!$F47&amp;" "&amp;Supplier_Invoices!$B47&amp;" - "&amp;Supplier_Invoices!$C47,"")</f>
        <v/>
      </c>
      <c r="M1441" s="43">
        <f>IF($A1441=1,IF(Supplier_Invoices!$V47="CN",Supplier_Invoices!$W47,0),"")</f>
        <v/>
      </c>
      <c r="N1441" s="43">
        <f>IF($A1441=1,IF(Supplier_Invoices!$V47="CN",0,Supplier_Invoices!$W47),"")</f>
        <v/>
      </c>
      <c r="O1441" s="32">
        <f>IF($A1441=1,Supplier_Invoices!$O47,"")</f>
        <v/>
      </c>
      <c r="P1441" s="32">
        <f>IF($A1441=1,IF(Supplier_Invoices!$AE47="","",Supplier_Invoices!$AE47),"")</f>
        <v/>
      </c>
      <c r="Q1441" s="32">
        <f>IF($A1441=1,Supplier_Invoices!$AG47,"")</f>
        <v/>
      </c>
      <c r="R1441" s="32">
        <f>IF($A1441=1,IF(AND($Q1441=1,COUNTIFS(COA!$A:$A,$G1441,COA!$R:$R,1)=1),1,0),"")</f>
        <v/>
      </c>
      <c r="S1441" s="43">
        <f>IF($A1441=1,IF($R1441=1,N($M1441),0),"")</f>
        <v/>
      </c>
      <c r="T1441" s="43">
        <f>IF($A1441=1,IF($R1441=1,N($N1441),0),"")</f>
        <v/>
      </c>
      <c r="U1441" s="32">
        <f>IF($A1441=1,YEAR($D1441)*100+MONTH($D1441),"")</f>
        <v/>
      </c>
      <c r="V1441" s="32">
        <f>IF($A1441=1,IF(COUNTIF(COA!$A:$A,$G1441)=0,0,INDEX(COA!$H:$H,MATCH($G1441,COA!$A:$A,0))),"")</f>
        <v/>
      </c>
      <c r="W1441" s="32">
        <f>IF($A1441=1,"","")</f>
        <v/>
      </c>
      <c r="X1441" s="32">
        <f>IF($A1441=1,IF($R1441=1,"",IF($O1441=ST_POST,IF($P1441&lt;&gt;"",$P1441,"حساب غير صالح أو غير نشط"),IF($O1441=ST_REV,"معكوس: لا أثر على الدفاتر",IF($O1441=ST_CANC,"ملغى",IF($O1441=ST_APPR,"معتمد ولم يُرحَّل","مسودة"))))),"")</f>
        <v/>
      </c>
      <c r="Y1441" s="32">
        <f>IF($A1441=1,IF(AND($R1441=1,OR(LG_Acct="",$G1441=LG_Acct),OR(LG_Party="",$K1441=LG_Party),OR(LG_Loc="ALL",$I1441=LG_Loc),OR(LG_CC="ALL",$J1441=LG_CC),$D1441&gt;=LG_From,$D1441&lt;=LG_To),$D1441+ROW()/1000000,""),"")</f>
        <v/>
      </c>
      <c r="Z1441" s="32">
        <f>IF($A1441=1,IF(Supplier_Invoices!$P47="","",Supplier_Invoices!$P47),"")</f>
        <v/>
      </c>
      <c r="AA1441" s="32">
        <f>IF($A1441=1,IF(Supplier_Invoices!$Q47="","",Supplier_Invoices!$Q47),"")</f>
        <v/>
      </c>
      <c r="AB1441" s="32">
        <f>IF($A1441=1,IF(Supplier_Invoices!$R47="","",Supplier_Invoices!$R47),"")</f>
        <v/>
      </c>
      <c r="AC1441" s="32">
        <f>IF($A1441=1,IF(Supplier_Invoices!$S47="","",Supplier_Invoices!$S47),"")</f>
        <v/>
      </c>
      <c r="AD1441" s="32">
        <f>IF($A1441=1,IF(Supplier_Invoices!$T47="","",Supplier_Invoices!$T47),"")</f>
        <v/>
      </c>
      <c r="AE1441" s="32">
        <f>IF($A1441=1,0,"")</f>
        <v/>
      </c>
      <c r="AF1441" s="32" t="inlineStr"/>
    </row>
    <row r="1442">
      <c r="A1442" s="32">
        <f>IF(AND(Supplier_Invoices!$AD47=1,Supplier_Invoices!$L47&lt;&gt;"",Supplier_Invoices!$V47&lt;&gt;"CN",N(Supplier_Invoices!$W47)&gt;0),1,0)</f>
        <v/>
      </c>
      <c r="B1442" s="32">
        <f>IF($A1442=1,$E1442&amp;"/4","")</f>
        <v/>
      </c>
      <c r="C1442" s="32">
        <f>IF($A1442=1,"J-"&amp;Supplier_Invoices!$A47,"")</f>
        <v/>
      </c>
      <c r="D1442" s="33">
        <f>IF($A1442=1,Supplier_Invoices!$E47,"")</f>
        <v/>
      </c>
      <c r="E1442" s="32">
        <f>IF($A1442=1,IF(Supplier_Invoices!$A47="","",Supplier_Invoices!$A47),"")</f>
        <v/>
      </c>
      <c r="F1442" s="32">
        <f>IF($A1442=1,"SINV","")</f>
        <v/>
      </c>
      <c r="G1442" s="32">
        <f>IF($A1442=1,ACC_SUPPLIERS,"")</f>
        <v/>
      </c>
      <c r="H1442" s="32">
        <f>IF($A1442=1,IF(COUNTIF(COA!$A:$A,$G1442)=0,"حساب غير معرف",INDEX(COA!$B:$B,MATCH($G1442,COA!$A:$A,0))),"")</f>
        <v/>
      </c>
      <c r="I1442" s="32">
        <f>IF($A1442=1,IF(Supplier_Invoices!$H47="","",Supplier_Invoices!$H47),"")</f>
        <v/>
      </c>
      <c r="J1442" s="32">
        <f>IF($A1442=1,"CC00","")</f>
        <v/>
      </c>
      <c r="K1442" s="32">
        <f>IF($A1442=1,IF(Supplier_Invoices!$C47="","",Supplier_Invoices!$C47),"")</f>
        <v/>
      </c>
      <c r="L1442" s="32">
        <f>IF($A1442=1,"سداد فوري - "&amp;Supplier_Invoices!$F47&amp;" "&amp;Supplier_Invoices!$B47&amp;" - "&amp;Supplier_Invoices!$C47,"")</f>
        <v/>
      </c>
      <c r="M1442" s="43">
        <f>IF($A1442=1,Supplier_Invoices!$W47,"")</f>
        <v/>
      </c>
      <c r="N1442" s="43">
        <f>IF($A1442=1,0,"")</f>
        <v/>
      </c>
      <c r="O1442" s="32">
        <f>IF($A1442=1,Supplier_Invoices!$O47,"")</f>
        <v/>
      </c>
      <c r="P1442" s="32">
        <f>IF($A1442=1,IF(Supplier_Invoices!$AE47="","",Supplier_Invoices!$AE47),"")</f>
        <v/>
      </c>
      <c r="Q1442" s="32">
        <f>IF($A1442=1,Supplier_Invoices!$AG47,"")</f>
        <v/>
      </c>
      <c r="R1442" s="32">
        <f>IF($A1442=1,IF(AND($Q1442=1,COUNTIFS(COA!$A:$A,$G1442,COA!$R:$R,1)=1),1,0),"")</f>
        <v/>
      </c>
      <c r="S1442" s="43">
        <f>IF($A1442=1,IF($R1442=1,N($M1442),0),"")</f>
        <v/>
      </c>
      <c r="T1442" s="43">
        <f>IF($A1442=1,IF($R1442=1,N($N1442),0),"")</f>
        <v/>
      </c>
      <c r="U1442" s="32">
        <f>IF($A1442=1,YEAR($D1442)*100+MONTH($D1442),"")</f>
        <v/>
      </c>
      <c r="V1442" s="32">
        <f>IF($A1442=1,IF(COUNTIF(COA!$A:$A,$G1442)=0,0,INDEX(COA!$H:$H,MATCH($G1442,COA!$A:$A,0))),"")</f>
        <v/>
      </c>
      <c r="W1442" s="32">
        <f>IF($A1442=1,"","")</f>
        <v/>
      </c>
      <c r="X1442" s="32">
        <f>IF($A1442=1,IF($R1442=1,"",IF($O1442=ST_POST,IF($P1442&lt;&gt;"",$P1442,"حساب غير صالح أو غير نشط"),IF($O1442=ST_REV,"معكوس: لا أثر على الدفاتر",IF($O1442=ST_CANC,"ملغى",IF($O1442=ST_APPR,"معتمد ولم يُرحَّل","مسودة"))))),"")</f>
        <v/>
      </c>
      <c r="Y1442" s="32">
        <f>IF($A1442=1,IF(AND($R1442=1,OR(LG_Acct="",$G1442=LG_Acct),OR(LG_Party="",$K1442=LG_Party),OR(LG_Loc="ALL",$I1442=LG_Loc),OR(LG_CC="ALL",$J1442=LG_CC),$D1442&gt;=LG_From,$D1442&lt;=LG_To),$D1442+ROW()/1000000,""),"")</f>
        <v/>
      </c>
      <c r="Z1442" s="32">
        <f>IF($A1442=1,IF(Supplier_Invoices!$P47="","",Supplier_Invoices!$P47),"")</f>
        <v/>
      </c>
      <c r="AA1442" s="32">
        <f>IF($A1442=1,IF(Supplier_Invoices!$Q47="","",Supplier_Invoices!$Q47),"")</f>
        <v/>
      </c>
      <c r="AB1442" s="32">
        <f>IF($A1442=1,IF(Supplier_Invoices!$R47="","",Supplier_Invoices!$R47),"")</f>
        <v/>
      </c>
      <c r="AC1442" s="32">
        <f>IF($A1442=1,IF(Supplier_Invoices!$S47="","",Supplier_Invoices!$S47),"")</f>
        <v/>
      </c>
      <c r="AD1442" s="32">
        <f>IF($A1442=1,IF(Supplier_Invoices!$T47="","",Supplier_Invoices!$T47),"")</f>
        <v/>
      </c>
      <c r="AE1442" s="32">
        <f>IF($A1442=1,0,"")</f>
        <v/>
      </c>
      <c r="AF1442" s="32" t="inlineStr"/>
    </row>
    <row r="1443">
      <c r="A1443" s="32">
        <f>IF(AND(Supplier_Invoices!$AD47=1,Supplier_Invoices!$L47&lt;&gt;"",Supplier_Invoices!$V47&lt;&gt;"CN",N(Supplier_Invoices!$W47)&gt;0),1,0)</f>
        <v/>
      </c>
      <c r="B1443" s="32">
        <f>IF($A1443=1,$E1443&amp;"/5","")</f>
        <v/>
      </c>
      <c r="C1443" s="32">
        <f>IF($A1443=1,"J-"&amp;Supplier_Invoices!$A47,"")</f>
        <v/>
      </c>
      <c r="D1443" s="33">
        <f>IF($A1443=1,Supplier_Invoices!$E47,"")</f>
        <v/>
      </c>
      <c r="E1443" s="32">
        <f>IF($A1443=1,IF(Supplier_Invoices!$A47="","",Supplier_Invoices!$A47),"")</f>
        <v/>
      </c>
      <c r="F1443" s="32">
        <f>IF($A1443=1,"SINV","")</f>
        <v/>
      </c>
      <c r="G1443" s="32">
        <f>IF($A1443=1,IF(Supplier_Invoices!$AA47="","",Supplier_Invoices!$AA47),"")</f>
        <v/>
      </c>
      <c r="H1443" s="32">
        <f>IF($A1443=1,IF(COUNTIF(COA!$A:$A,$G1443)=0,"حساب غير معرف",INDEX(COA!$B:$B,MATCH($G1443,COA!$A:$A,0))),"")</f>
        <v/>
      </c>
      <c r="I1443" s="32">
        <f>IF($A1443=1,IF(Supplier_Invoices!$H47="","",Supplier_Invoices!$H47),"")</f>
        <v/>
      </c>
      <c r="J1443" s="32">
        <f>IF($A1443=1,"CC00","")</f>
        <v/>
      </c>
      <c r="K1443" s="32">
        <f>IF($A1443=1,"-","")</f>
        <v/>
      </c>
      <c r="L1443" s="32">
        <f>IF($A1443=1,"سداد فوري - "&amp;Supplier_Invoices!$F47&amp;" "&amp;Supplier_Invoices!$B47&amp;" - "&amp;Supplier_Invoices!$C47,"")</f>
        <v/>
      </c>
      <c r="M1443" s="43">
        <f>IF($A1443=1,0,"")</f>
        <v/>
      </c>
      <c r="N1443" s="43">
        <f>IF($A1443=1,Supplier_Invoices!$W47,"")</f>
        <v/>
      </c>
      <c r="O1443" s="32">
        <f>IF($A1443=1,Supplier_Invoices!$O47,"")</f>
        <v/>
      </c>
      <c r="P1443" s="32">
        <f>IF($A1443=1,IF(Supplier_Invoices!$AE47="","",Supplier_Invoices!$AE47),"")</f>
        <v/>
      </c>
      <c r="Q1443" s="32">
        <f>IF($A1443=1,Supplier_Invoices!$AG47,"")</f>
        <v/>
      </c>
      <c r="R1443" s="32">
        <f>IF($A1443=1,IF(AND($Q1443=1,COUNTIFS(COA!$A:$A,$G1443,COA!$R:$R,1)=1),1,0),"")</f>
        <v/>
      </c>
      <c r="S1443" s="43">
        <f>IF($A1443=1,IF($R1443=1,N($M1443),0),"")</f>
        <v/>
      </c>
      <c r="T1443" s="43">
        <f>IF($A1443=1,IF($R1443=1,N($N1443),0),"")</f>
        <v/>
      </c>
      <c r="U1443" s="32">
        <f>IF($A1443=1,YEAR($D1443)*100+MONTH($D1443),"")</f>
        <v/>
      </c>
      <c r="V1443" s="32">
        <f>IF($A1443=1,IF(COUNTIF(COA!$A:$A,$G1443)=0,0,INDEX(COA!$H:$H,MATCH($G1443,COA!$A:$A,0))),"")</f>
        <v/>
      </c>
      <c r="W1443" s="32">
        <f>IF($A1443=1,IF(Supplier_Invoices!$AB47="","",Supplier_Invoices!$AB47),"")</f>
        <v/>
      </c>
      <c r="X1443" s="32">
        <f>IF($A1443=1,IF($R1443=1,"",IF($O1443=ST_POST,IF($P1443&lt;&gt;"",$P1443,"حساب غير صالح أو غير نشط"),IF($O1443=ST_REV,"معكوس: لا أثر على الدفاتر",IF($O1443=ST_CANC,"ملغى",IF($O1443=ST_APPR,"معتمد ولم يُرحَّل","مسودة"))))),"")</f>
        <v/>
      </c>
      <c r="Y1443" s="32">
        <f>IF($A1443=1,IF(AND($R1443=1,OR(LG_Acct="",$G1443=LG_Acct),OR(LG_Party="",$K1443=LG_Party),OR(LG_Loc="ALL",$I1443=LG_Loc),OR(LG_CC="ALL",$J1443=LG_CC),$D1443&gt;=LG_From,$D1443&lt;=LG_To),$D1443+ROW()/1000000,""),"")</f>
        <v/>
      </c>
      <c r="Z1443" s="32">
        <f>IF($A1443=1,IF(Supplier_Invoices!$P47="","",Supplier_Invoices!$P47),"")</f>
        <v/>
      </c>
      <c r="AA1443" s="32">
        <f>IF($A1443=1,IF(Supplier_Invoices!$Q47="","",Supplier_Invoices!$Q47),"")</f>
        <v/>
      </c>
      <c r="AB1443" s="32">
        <f>IF($A1443=1,IF(Supplier_Invoices!$R47="","",Supplier_Invoices!$R47),"")</f>
        <v/>
      </c>
      <c r="AC1443" s="32">
        <f>IF($A1443=1,IF(Supplier_Invoices!$S47="","",Supplier_Invoices!$S47),"")</f>
        <v/>
      </c>
      <c r="AD1443" s="32">
        <f>IF($A1443=1,IF(Supplier_Invoices!$T47="","",Supplier_Invoices!$T47),"")</f>
        <v/>
      </c>
      <c r="AE1443" s="32">
        <f>IF($A1443=1,0,"")</f>
        <v/>
      </c>
      <c r="AF1443" s="32" t="inlineStr"/>
    </row>
    <row r="1444">
      <c r="A1444" s="32">
        <f>IF(AND(Supplier_Invoices!$AD48=1,N(Supplier_Invoices!$J48)&gt;0),1,0)</f>
        <v/>
      </c>
      <c r="B1444" s="32">
        <f>IF($A1444=1,$E1444&amp;"/1","")</f>
        <v/>
      </c>
      <c r="C1444" s="32">
        <f>IF($A1444=1,"J-"&amp;Supplier_Invoices!$A48,"")</f>
        <v/>
      </c>
      <c r="D1444" s="33">
        <f>IF($A1444=1,Supplier_Invoices!$E48,"")</f>
        <v/>
      </c>
      <c r="E1444" s="32">
        <f>IF($A1444=1,IF(Supplier_Invoices!$A48="","",Supplier_Invoices!$A48),"")</f>
        <v/>
      </c>
      <c r="F1444" s="32">
        <f>IF($A1444=1,"SINV","")</f>
        <v/>
      </c>
      <c r="G1444" s="32">
        <f>IF($A1444=1,IF(Supplier_Invoices!$G48="","",Supplier_Invoices!$G48),"")</f>
        <v/>
      </c>
      <c r="H1444" s="32">
        <f>IF($A1444=1,IF(COUNTIF(COA!$A:$A,$G1444)=0,"حساب غير معرف",INDEX(COA!$B:$B,MATCH($G1444,COA!$A:$A,0))),"")</f>
        <v/>
      </c>
      <c r="I1444" s="32">
        <f>IF($A1444=1,IF(Supplier_Invoices!$H48="","",Supplier_Invoices!$H48),"")</f>
        <v/>
      </c>
      <c r="J1444" s="32">
        <f>IF($A1444=1,IF(Supplier_Invoices!$I48="","",Supplier_Invoices!$I48),"")</f>
        <v/>
      </c>
      <c r="K1444" s="32">
        <f>IF($A1444=1,"-","")</f>
        <v/>
      </c>
      <c r="L1444" s="32">
        <f>IF($A1444=1,Supplier_Invoices!$F48&amp;" "&amp;Supplier_Invoices!$B48&amp;" - "&amp;Supplier_Invoices!$C48,"")</f>
        <v/>
      </c>
      <c r="M1444" s="43">
        <f>IF($A1444=1,IF(Supplier_Invoices!$V48="CN",0,Supplier_Invoices!$J48),"")</f>
        <v/>
      </c>
      <c r="N1444" s="43">
        <f>IF($A1444=1,IF(Supplier_Invoices!$V48="CN",Supplier_Invoices!$J48,0),"")</f>
        <v/>
      </c>
      <c r="O1444" s="32">
        <f>IF($A1444=1,Supplier_Invoices!$O48,"")</f>
        <v/>
      </c>
      <c r="P1444" s="32">
        <f>IF($A1444=1,IF(Supplier_Invoices!$AE48="","",Supplier_Invoices!$AE48),"")</f>
        <v/>
      </c>
      <c r="Q1444" s="32">
        <f>IF($A1444=1,Supplier_Invoices!$AG48,"")</f>
        <v/>
      </c>
      <c r="R1444" s="32">
        <f>IF($A1444=1,IF(AND($Q1444=1,COUNTIFS(COA!$A:$A,$G1444,COA!$R:$R,1)=1),1,0),"")</f>
        <v/>
      </c>
      <c r="S1444" s="43">
        <f>IF($A1444=1,IF($R1444=1,N($M1444),0),"")</f>
        <v/>
      </c>
      <c r="T1444" s="43">
        <f>IF($A1444=1,IF($R1444=1,N($N1444),0),"")</f>
        <v/>
      </c>
      <c r="U1444" s="32">
        <f>IF($A1444=1,YEAR($D1444)*100+MONTH($D1444),"")</f>
        <v/>
      </c>
      <c r="V1444" s="32">
        <f>IF($A1444=1,IF(COUNTIF(COA!$A:$A,$G1444)=0,0,INDEX(COA!$H:$H,MATCH($G1444,COA!$A:$A,0))),"")</f>
        <v/>
      </c>
      <c r="W1444" s="32">
        <f>IF($A1444=1,"","")</f>
        <v/>
      </c>
      <c r="X1444" s="32">
        <f>IF($A1444=1,IF($R1444=1,"",IF($O1444=ST_POST,IF($P1444&lt;&gt;"",$P1444,"حساب غير صالح أو غير نشط"),IF($O1444=ST_REV,"معكوس: لا أثر على الدفاتر",IF($O1444=ST_CANC,"ملغى",IF($O1444=ST_APPR,"معتمد ولم يُرحَّل","مسودة"))))),"")</f>
        <v/>
      </c>
      <c r="Y1444" s="32">
        <f>IF($A1444=1,IF(AND($R1444=1,OR(LG_Acct="",$G1444=LG_Acct),OR(LG_Party="",$K1444=LG_Party),OR(LG_Loc="ALL",$I1444=LG_Loc),OR(LG_CC="ALL",$J1444=LG_CC),$D1444&gt;=LG_From,$D1444&lt;=LG_To),$D1444+ROW()/1000000,""),"")</f>
        <v/>
      </c>
      <c r="Z1444" s="32">
        <f>IF($A1444=1,IF(Supplier_Invoices!$P48="","",Supplier_Invoices!$P48),"")</f>
        <v/>
      </c>
      <c r="AA1444" s="32">
        <f>IF($A1444=1,IF(Supplier_Invoices!$Q48="","",Supplier_Invoices!$Q48),"")</f>
        <v/>
      </c>
      <c r="AB1444" s="32">
        <f>IF($A1444=1,IF(Supplier_Invoices!$R48="","",Supplier_Invoices!$R48),"")</f>
        <v/>
      </c>
      <c r="AC1444" s="32">
        <f>IF($A1444=1,IF(Supplier_Invoices!$S48="","",Supplier_Invoices!$S48),"")</f>
        <v/>
      </c>
      <c r="AD1444" s="32">
        <f>IF($A1444=1,IF(Supplier_Invoices!$T48="","",Supplier_Invoices!$T48),"")</f>
        <v/>
      </c>
      <c r="AE1444" s="32">
        <f>IF($A1444=1,0,"")</f>
        <v/>
      </c>
      <c r="AF1444" s="32" t="inlineStr"/>
    </row>
    <row r="1445">
      <c r="A1445" s="32">
        <f>IF(AND(Supplier_Invoices!$AD48=1,N(Supplier_Invoices!$K48)&gt;0),1,0)</f>
        <v/>
      </c>
      <c r="B1445" s="32">
        <f>IF($A1445=1,$E1445&amp;"/2","")</f>
        <v/>
      </c>
      <c r="C1445" s="32">
        <f>IF($A1445=1,"J-"&amp;Supplier_Invoices!$A48,"")</f>
        <v/>
      </c>
      <c r="D1445" s="33">
        <f>IF($A1445=1,Supplier_Invoices!$E48,"")</f>
        <v/>
      </c>
      <c r="E1445" s="32">
        <f>IF($A1445=1,IF(Supplier_Invoices!$A48="","",Supplier_Invoices!$A48),"")</f>
        <v/>
      </c>
      <c r="F1445" s="32">
        <f>IF($A1445=1,"SINV","")</f>
        <v/>
      </c>
      <c r="G1445" s="32">
        <f>IF($A1445=1,ACC_VAT_IN,"")</f>
        <v/>
      </c>
      <c r="H1445" s="32">
        <f>IF($A1445=1,IF(COUNTIF(COA!$A:$A,$G1445)=0,"حساب غير معرف",INDEX(COA!$B:$B,MATCH($G1445,COA!$A:$A,0))),"")</f>
        <v/>
      </c>
      <c r="I1445" s="32">
        <f>IF($A1445=1,IF(Supplier_Invoices!$H48="","",Supplier_Invoices!$H48),"")</f>
        <v/>
      </c>
      <c r="J1445" s="32">
        <f>IF($A1445=1,IF(Supplier_Invoices!$I48="","",Supplier_Invoices!$I48),"")</f>
        <v/>
      </c>
      <c r="K1445" s="32">
        <f>IF($A1445=1,"-","")</f>
        <v/>
      </c>
      <c r="L1445" s="32">
        <f>IF($A1445=1,"ضريبة قيمة مضافة - مدخلات","")</f>
        <v/>
      </c>
      <c r="M1445" s="43">
        <f>IF($A1445=1,IF(Supplier_Invoices!$V48="CN",0,Supplier_Invoices!$K48),"")</f>
        <v/>
      </c>
      <c r="N1445" s="43">
        <f>IF($A1445=1,IF(Supplier_Invoices!$V48="CN",Supplier_Invoices!$K48,0),"")</f>
        <v/>
      </c>
      <c r="O1445" s="32">
        <f>IF($A1445=1,Supplier_Invoices!$O48,"")</f>
        <v/>
      </c>
      <c r="P1445" s="32">
        <f>IF($A1445=1,IF(Supplier_Invoices!$AE48="","",Supplier_Invoices!$AE48),"")</f>
        <v/>
      </c>
      <c r="Q1445" s="32">
        <f>IF($A1445=1,Supplier_Invoices!$AG48,"")</f>
        <v/>
      </c>
      <c r="R1445" s="32">
        <f>IF($A1445=1,IF(AND($Q1445=1,COUNTIFS(COA!$A:$A,$G1445,COA!$R:$R,1)=1),1,0),"")</f>
        <v/>
      </c>
      <c r="S1445" s="43">
        <f>IF($A1445=1,IF($R1445=1,N($M1445),0),"")</f>
        <v/>
      </c>
      <c r="T1445" s="43">
        <f>IF($A1445=1,IF($R1445=1,N($N1445),0),"")</f>
        <v/>
      </c>
      <c r="U1445" s="32">
        <f>IF($A1445=1,YEAR($D1445)*100+MONTH($D1445),"")</f>
        <v/>
      </c>
      <c r="V1445" s="32">
        <f>IF($A1445=1,IF(COUNTIF(COA!$A:$A,$G1445)=0,0,INDEX(COA!$H:$H,MATCH($G1445,COA!$A:$A,0))),"")</f>
        <v/>
      </c>
      <c r="W1445" s="32">
        <f>IF($A1445=1,"","")</f>
        <v/>
      </c>
      <c r="X1445" s="32">
        <f>IF($A1445=1,IF($R1445=1,"",IF($O1445=ST_POST,IF($P1445&lt;&gt;"",$P1445,"حساب غير صالح أو غير نشط"),IF($O1445=ST_REV,"معكوس: لا أثر على الدفاتر",IF($O1445=ST_CANC,"ملغى",IF($O1445=ST_APPR,"معتمد ولم يُرحَّل","مسودة"))))),"")</f>
        <v/>
      </c>
      <c r="Y1445" s="32">
        <f>IF($A1445=1,IF(AND($R1445=1,OR(LG_Acct="",$G1445=LG_Acct),OR(LG_Party="",$K1445=LG_Party),OR(LG_Loc="ALL",$I1445=LG_Loc),OR(LG_CC="ALL",$J1445=LG_CC),$D1445&gt;=LG_From,$D1445&lt;=LG_To),$D1445+ROW()/1000000,""),"")</f>
        <v/>
      </c>
      <c r="Z1445" s="32">
        <f>IF($A1445=1,IF(Supplier_Invoices!$P48="","",Supplier_Invoices!$P48),"")</f>
        <v/>
      </c>
      <c r="AA1445" s="32">
        <f>IF($A1445=1,IF(Supplier_Invoices!$Q48="","",Supplier_Invoices!$Q48),"")</f>
        <v/>
      </c>
      <c r="AB1445" s="32">
        <f>IF($A1445=1,IF(Supplier_Invoices!$R48="","",Supplier_Invoices!$R48),"")</f>
        <v/>
      </c>
      <c r="AC1445" s="32">
        <f>IF($A1445=1,IF(Supplier_Invoices!$S48="","",Supplier_Invoices!$S48),"")</f>
        <v/>
      </c>
      <c r="AD1445" s="32">
        <f>IF($A1445=1,IF(Supplier_Invoices!$T48="","",Supplier_Invoices!$T48),"")</f>
        <v/>
      </c>
      <c r="AE1445" s="32">
        <f>IF($A1445=1,0,"")</f>
        <v/>
      </c>
      <c r="AF1445" s="32" t="inlineStr"/>
    </row>
    <row r="1446">
      <c r="A1446" s="32">
        <f>IF(AND(Supplier_Invoices!$AD48=1,N(Supplier_Invoices!$W48)&gt;0),1,0)</f>
        <v/>
      </c>
      <c r="B1446" s="32">
        <f>IF($A1446=1,$E1446&amp;"/3","")</f>
        <v/>
      </c>
      <c r="C1446" s="32">
        <f>IF($A1446=1,"J-"&amp;Supplier_Invoices!$A48,"")</f>
        <v/>
      </c>
      <c r="D1446" s="33">
        <f>IF($A1446=1,Supplier_Invoices!$E48,"")</f>
        <v/>
      </c>
      <c r="E1446" s="32">
        <f>IF($A1446=1,IF(Supplier_Invoices!$A48="","",Supplier_Invoices!$A48),"")</f>
        <v/>
      </c>
      <c r="F1446" s="32">
        <f>IF($A1446=1,"SINV","")</f>
        <v/>
      </c>
      <c r="G1446" s="32">
        <f>IF($A1446=1,ACC_SUPPLIERS,"")</f>
        <v/>
      </c>
      <c r="H1446" s="32">
        <f>IF($A1446=1,IF(COUNTIF(COA!$A:$A,$G1446)=0,"حساب غير معرف",INDEX(COA!$B:$B,MATCH($G1446,COA!$A:$A,0))),"")</f>
        <v/>
      </c>
      <c r="I1446" s="32">
        <f>IF($A1446=1,IF(Supplier_Invoices!$H48="","",Supplier_Invoices!$H48),"")</f>
        <v/>
      </c>
      <c r="J1446" s="32">
        <f>IF($A1446=1,"CC00","")</f>
        <v/>
      </c>
      <c r="K1446" s="32">
        <f>IF($A1446=1,IF(Supplier_Invoices!$C48="","",Supplier_Invoices!$C48),"")</f>
        <v/>
      </c>
      <c r="L1446" s="32">
        <f>IF($A1446=1,Supplier_Invoices!$F48&amp;" "&amp;Supplier_Invoices!$B48&amp;" - "&amp;Supplier_Invoices!$C48,"")</f>
        <v/>
      </c>
      <c r="M1446" s="43">
        <f>IF($A1446=1,IF(Supplier_Invoices!$V48="CN",Supplier_Invoices!$W48,0),"")</f>
        <v/>
      </c>
      <c r="N1446" s="43">
        <f>IF($A1446=1,IF(Supplier_Invoices!$V48="CN",0,Supplier_Invoices!$W48),"")</f>
        <v/>
      </c>
      <c r="O1446" s="32">
        <f>IF($A1446=1,Supplier_Invoices!$O48,"")</f>
        <v/>
      </c>
      <c r="P1446" s="32">
        <f>IF($A1446=1,IF(Supplier_Invoices!$AE48="","",Supplier_Invoices!$AE48),"")</f>
        <v/>
      </c>
      <c r="Q1446" s="32">
        <f>IF($A1446=1,Supplier_Invoices!$AG48,"")</f>
        <v/>
      </c>
      <c r="R1446" s="32">
        <f>IF($A1446=1,IF(AND($Q1446=1,COUNTIFS(COA!$A:$A,$G1446,COA!$R:$R,1)=1),1,0),"")</f>
        <v/>
      </c>
      <c r="S1446" s="43">
        <f>IF($A1446=1,IF($R1446=1,N($M1446),0),"")</f>
        <v/>
      </c>
      <c r="T1446" s="43">
        <f>IF($A1446=1,IF($R1446=1,N($N1446),0),"")</f>
        <v/>
      </c>
      <c r="U1446" s="32">
        <f>IF($A1446=1,YEAR($D1446)*100+MONTH($D1446),"")</f>
        <v/>
      </c>
      <c r="V1446" s="32">
        <f>IF($A1446=1,IF(COUNTIF(COA!$A:$A,$G1446)=0,0,INDEX(COA!$H:$H,MATCH($G1446,COA!$A:$A,0))),"")</f>
        <v/>
      </c>
      <c r="W1446" s="32">
        <f>IF($A1446=1,"","")</f>
        <v/>
      </c>
      <c r="X1446" s="32">
        <f>IF($A1446=1,IF($R1446=1,"",IF($O1446=ST_POST,IF($P1446&lt;&gt;"",$P1446,"حساب غير صالح أو غير نشط"),IF($O1446=ST_REV,"معكوس: لا أثر على الدفاتر",IF($O1446=ST_CANC,"ملغى",IF($O1446=ST_APPR,"معتمد ولم يُرحَّل","مسودة"))))),"")</f>
        <v/>
      </c>
      <c r="Y1446" s="32">
        <f>IF($A1446=1,IF(AND($R1446=1,OR(LG_Acct="",$G1446=LG_Acct),OR(LG_Party="",$K1446=LG_Party),OR(LG_Loc="ALL",$I1446=LG_Loc),OR(LG_CC="ALL",$J1446=LG_CC),$D1446&gt;=LG_From,$D1446&lt;=LG_To),$D1446+ROW()/1000000,""),"")</f>
        <v/>
      </c>
      <c r="Z1446" s="32">
        <f>IF($A1446=1,IF(Supplier_Invoices!$P48="","",Supplier_Invoices!$P48),"")</f>
        <v/>
      </c>
      <c r="AA1446" s="32">
        <f>IF($A1446=1,IF(Supplier_Invoices!$Q48="","",Supplier_Invoices!$Q48),"")</f>
        <v/>
      </c>
      <c r="AB1446" s="32">
        <f>IF($A1446=1,IF(Supplier_Invoices!$R48="","",Supplier_Invoices!$R48),"")</f>
        <v/>
      </c>
      <c r="AC1446" s="32">
        <f>IF($A1446=1,IF(Supplier_Invoices!$S48="","",Supplier_Invoices!$S48),"")</f>
        <v/>
      </c>
      <c r="AD1446" s="32">
        <f>IF($A1446=1,IF(Supplier_Invoices!$T48="","",Supplier_Invoices!$T48),"")</f>
        <v/>
      </c>
      <c r="AE1446" s="32">
        <f>IF($A1446=1,0,"")</f>
        <v/>
      </c>
      <c r="AF1446" s="32" t="inlineStr"/>
    </row>
    <row r="1447">
      <c r="A1447" s="32">
        <f>IF(AND(Supplier_Invoices!$AD48=1,Supplier_Invoices!$L48&lt;&gt;"",Supplier_Invoices!$V48&lt;&gt;"CN",N(Supplier_Invoices!$W48)&gt;0),1,0)</f>
        <v/>
      </c>
      <c r="B1447" s="32">
        <f>IF($A1447=1,$E1447&amp;"/4","")</f>
        <v/>
      </c>
      <c r="C1447" s="32">
        <f>IF($A1447=1,"J-"&amp;Supplier_Invoices!$A48,"")</f>
        <v/>
      </c>
      <c r="D1447" s="33">
        <f>IF($A1447=1,Supplier_Invoices!$E48,"")</f>
        <v/>
      </c>
      <c r="E1447" s="32">
        <f>IF($A1447=1,IF(Supplier_Invoices!$A48="","",Supplier_Invoices!$A48),"")</f>
        <v/>
      </c>
      <c r="F1447" s="32">
        <f>IF($A1447=1,"SINV","")</f>
        <v/>
      </c>
      <c r="G1447" s="32">
        <f>IF($A1447=1,ACC_SUPPLIERS,"")</f>
        <v/>
      </c>
      <c r="H1447" s="32">
        <f>IF($A1447=1,IF(COUNTIF(COA!$A:$A,$G1447)=0,"حساب غير معرف",INDEX(COA!$B:$B,MATCH($G1447,COA!$A:$A,0))),"")</f>
        <v/>
      </c>
      <c r="I1447" s="32">
        <f>IF($A1447=1,IF(Supplier_Invoices!$H48="","",Supplier_Invoices!$H48),"")</f>
        <v/>
      </c>
      <c r="J1447" s="32">
        <f>IF($A1447=1,"CC00","")</f>
        <v/>
      </c>
      <c r="K1447" s="32">
        <f>IF($A1447=1,IF(Supplier_Invoices!$C48="","",Supplier_Invoices!$C48),"")</f>
        <v/>
      </c>
      <c r="L1447" s="32">
        <f>IF($A1447=1,"سداد فوري - "&amp;Supplier_Invoices!$F48&amp;" "&amp;Supplier_Invoices!$B48&amp;" - "&amp;Supplier_Invoices!$C48,"")</f>
        <v/>
      </c>
      <c r="M1447" s="43">
        <f>IF($A1447=1,Supplier_Invoices!$W48,"")</f>
        <v/>
      </c>
      <c r="N1447" s="43">
        <f>IF($A1447=1,0,"")</f>
        <v/>
      </c>
      <c r="O1447" s="32">
        <f>IF($A1447=1,Supplier_Invoices!$O48,"")</f>
        <v/>
      </c>
      <c r="P1447" s="32">
        <f>IF($A1447=1,IF(Supplier_Invoices!$AE48="","",Supplier_Invoices!$AE48),"")</f>
        <v/>
      </c>
      <c r="Q1447" s="32">
        <f>IF($A1447=1,Supplier_Invoices!$AG48,"")</f>
        <v/>
      </c>
      <c r="R1447" s="32">
        <f>IF($A1447=1,IF(AND($Q1447=1,COUNTIFS(COA!$A:$A,$G1447,COA!$R:$R,1)=1),1,0),"")</f>
        <v/>
      </c>
      <c r="S1447" s="43">
        <f>IF($A1447=1,IF($R1447=1,N($M1447),0),"")</f>
        <v/>
      </c>
      <c r="T1447" s="43">
        <f>IF($A1447=1,IF($R1447=1,N($N1447),0),"")</f>
        <v/>
      </c>
      <c r="U1447" s="32">
        <f>IF($A1447=1,YEAR($D1447)*100+MONTH($D1447),"")</f>
        <v/>
      </c>
      <c r="V1447" s="32">
        <f>IF($A1447=1,IF(COUNTIF(COA!$A:$A,$G1447)=0,0,INDEX(COA!$H:$H,MATCH($G1447,COA!$A:$A,0))),"")</f>
        <v/>
      </c>
      <c r="W1447" s="32">
        <f>IF($A1447=1,"","")</f>
        <v/>
      </c>
      <c r="X1447" s="32">
        <f>IF($A1447=1,IF($R1447=1,"",IF($O1447=ST_POST,IF($P1447&lt;&gt;"",$P1447,"حساب غير صالح أو غير نشط"),IF($O1447=ST_REV,"معكوس: لا أثر على الدفاتر",IF($O1447=ST_CANC,"ملغى",IF($O1447=ST_APPR,"معتمد ولم يُرحَّل","مسودة"))))),"")</f>
        <v/>
      </c>
      <c r="Y1447" s="32">
        <f>IF($A1447=1,IF(AND($R1447=1,OR(LG_Acct="",$G1447=LG_Acct),OR(LG_Party="",$K1447=LG_Party),OR(LG_Loc="ALL",$I1447=LG_Loc),OR(LG_CC="ALL",$J1447=LG_CC),$D1447&gt;=LG_From,$D1447&lt;=LG_To),$D1447+ROW()/1000000,""),"")</f>
        <v/>
      </c>
      <c r="Z1447" s="32">
        <f>IF($A1447=1,IF(Supplier_Invoices!$P48="","",Supplier_Invoices!$P48),"")</f>
        <v/>
      </c>
      <c r="AA1447" s="32">
        <f>IF($A1447=1,IF(Supplier_Invoices!$Q48="","",Supplier_Invoices!$Q48),"")</f>
        <v/>
      </c>
      <c r="AB1447" s="32">
        <f>IF($A1447=1,IF(Supplier_Invoices!$R48="","",Supplier_Invoices!$R48),"")</f>
        <v/>
      </c>
      <c r="AC1447" s="32">
        <f>IF($A1447=1,IF(Supplier_Invoices!$S48="","",Supplier_Invoices!$S48),"")</f>
        <v/>
      </c>
      <c r="AD1447" s="32">
        <f>IF($A1447=1,IF(Supplier_Invoices!$T48="","",Supplier_Invoices!$T48),"")</f>
        <v/>
      </c>
      <c r="AE1447" s="32">
        <f>IF($A1447=1,0,"")</f>
        <v/>
      </c>
      <c r="AF1447" s="32" t="inlineStr"/>
    </row>
    <row r="1448">
      <c r="A1448" s="32">
        <f>IF(AND(Supplier_Invoices!$AD48=1,Supplier_Invoices!$L48&lt;&gt;"",Supplier_Invoices!$V48&lt;&gt;"CN",N(Supplier_Invoices!$W48)&gt;0),1,0)</f>
        <v/>
      </c>
      <c r="B1448" s="32">
        <f>IF($A1448=1,$E1448&amp;"/5","")</f>
        <v/>
      </c>
      <c r="C1448" s="32">
        <f>IF($A1448=1,"J-"&amp;Supplier_Invoices!$A48,"")</f>
        <v/>
      </c>
      <c r="D1448" s="33">
        <f>IF($A1448=1,Supplier_Invoices!$E48,"")</f>
        <v/>
      </c>
      <c r="E1448" s="32">
        <f>IF($A1448=1,IF(Supplier_Invoices!$A48="","",Supplier_Invoices!$A48),"")</f>
        <v/>
      </c>
      <c r="F1448" s="32">
        <f>IF($A1448=1,"SINV","")</f>
        <v/>
      </c>
      <c r="G1448" s="32">
        <f>IF($A1448=1,IF(Supplier_Invoices!$AA48="","",Supplier_Invoices!$AA48),"")</f>
        <v/>
      </c>
      <c r="H1448" s="32">
        <f>IF($A1448=1,IF(COUNTIF(COA!$A:$A,$G1448)=0,"حساب غير معرف",INDEX(COA!$B:$B,MATCH($G1448,COA!$A:$A,0))),"")</f>
        <v/>
      </c>
      <c r="I1448" s="32">
        <f>IF($A1448=1,IF(Supplier_Invoices!$H48="","",Supplier_Invoices!$H48),"")</f>
        <v/>
      </c>
      <c r="J1448" s="32">
        <f>IF($A1448=1,"CC00","")</f>
        <v/>
      </c>
      <c r="K1448" s="32">
        <f>IF($A1448=1,"-","")</f>
        <v/>
      </c>
      <c r="L1448" s="32">
        <f>IF($A1448=1,"سداد فوري - "&amp;Supplier_Invoices!$F48&amp;" "&amp;Supplier_Invoices!$B48&amp;" - "&amp;Supplier_Invoices!$C48,"")</f>
        <v/>
      </c>
      <c r="M1448" s="43">
        <f>IF($A1448=1,0,"")</f>
        <v/>
      </c>
      <c r="N1448" s="43">
        <f>IF($A1448=1,Supplier_Invoices!$W48,"")</f>
        <v/>
      </c>
      <c r="O1448" s="32">
        <f>IF($A1448=1,Supplier_Invoices!$O48,"")</f>
        <v/>
      </c>
      <c r="P1448" s="32">
        <f>IF($A1448=1,IF(Supplier_Invoices!$AE48="","",Supplier_Invoices!$AE48),"")</f>
        <v/>
      </c>
      <c r="Q1448" s="32">
        <f>IF($A1448=1,Supplier_Invoices!$AG48,"")</f>
        <v/>
      </c>
      <c r="R1448" s="32">
        <f>IF($A1448=1,IF(AND($Q1448=1,COUNTIFS(COA!$A:$A,$G1448,COA!$R:$R,1)=1),1,0),"")</f>
        <v/>
      </c>
      <c r="S1448" s="43">
        <f>IF($A1448=1,IF($R1448=1,N($M1448),0),"")</f>
        <v/>
      </c>
      <c r="T1448" s="43">
        <f>IF($A1448=1,IF($R1448=1,N($N1448),0),"")</f>
        <v/>
      </c>
      <c r="U1448" s="32">
        <f>IF($A1448=1,YEAR($D1448)*100+MONTH($D1448),"")</f>
        <v/>
      </c>
      <c r="V1448" s="32">
        <f>IF($A1448=1,IF(COUNTIF(COA!$A:$A,$G1448)=0,0,INDEX(COA!$H:$H,MATCH($G1448,COA!$A:$A,0))),"")</f>
        <v/>
      </c>
      <c r="W1448" s="32">
        <f>IF($A1448=1,IF(Supplier_Invoices!$AB48="","",Supplier_Invoices!$AB48),"")</f>
        <v/>
      </c>
      <c r="X1448" s="32">
        <f>IF($A1448=1,IF($R1448=1,"",IF($O1448=ST_POST,IF($P1448&lt;&gt;"",$P1448,"حساب غير صالح أو غير نشط"),IF($O1448=ST_REV,"معكوس: لا أثر على الدفاتر",IF($O1448=ST_CANC,"ملغى",IF($O1448=ST_APPR,"معتمد ولم يُرحَّل","مسودة"))))),"")</f>
        <v/>
      </c>
      <c r="Y1448" s="32">
        <f>IF($A1448=1,IF(AND($R1448=1,OR(LG_Acct="",$G1448=LG_Acct),OR(LG_Party="",$K1448=LG_Party),OR(LG_Loc="ALL",$I1448=LG_Loc),OR(LG_CC="ALL",$J1448=LG_CC),$D1448&gt;=LG_From,$D1448&lt;=LG_To),$D1448+ROW()/1000000,""),"")</f>
        <v/>
      </c>
      <c r="Z1448" s="32">
        <f>IF($A1448=1,IF(Supplier_Invoices!$P48="","",Supplier_Invoices!$P48),"")</f>
        <v/>
      </c>
      <c r="AA1448" s="32">
        <f>IF($A1448=1,IF(Supplier_Invoices!$Q48="","",Supplier_Invoices!$Q48),"")</f>
        <v/>
      </c>
      <c r="AB1448" s="32">
        <f>IF($A1448=1,IF(Supplier_Invoices!$R48="","",Supplier_Invoices!$R48),"")</f>
        <v/>
      </c>
      <c r="AC1448" s="32">
        <f>IF($A1448=1,IF(Supplier_Invoices!$S48="","",Supplier_Invoices!$S48),"")</f>
        <v/>
      </c>
      <c r="AD1448" s="32">
        <f>IF($A1448=1,IF(Supplier_Invoices!$T48="","",Supplier_Invoices!$T48),"")</f>
        <v/>
      </c>
      <c r="AE1448" s="32">
        <f>IF($A1448=1,0,"")</f>
        <v/>
      </c>
      <c r="AF1448" s="32" t="inlineStr"/>
    </row>
    <row r="1449">
      <c r="A1449" s="32">
        <f>IF(AND(Supplier_Invoices!$AD49=1,N(Supplier_Invoices!$J49)&gt;0),1,0)</f>
        <v/>
      </c>
      <c r="B1449" s="32">
        <f>IF($A1449=1,$E1449&amp;"/1","")</f>
        <v/>
      </c>
      <c r="C1449" s="32">
        <f>IF($A1449=1,"J-"&amp;Supplier_Invoices!$A49,"")</f>
        <v/>
      </c>
      <c r="D1449" s="33">
        <f>IF($A1449=1,Supplier_Invoices!$E49,"")</f>
        <v/>
      </c>
      <c r="E1449" s="32">
        <f>IF($A1449=1,IF(Supplier_Invoices!$A49="","",Supplier_Invoices!$A49),"")</f>
        <v/>
      </c>
      <c r="F1449" s="32">
        <f>IF($A1449=1,"SINV","")</f>
        <v/>
      </c>
      <c r="G1449" s="32">
        <f>IF($A1449=1,IF(Supplier_Invoices!$G49="","",Supplier_Invoices!$G49),"")</f>
        <v/>
      </c>
      <c r="H1449" s="32">
        <f>IF($A1449=1,IF(COUNTIF(COA!$A:$A,$G1449)=0,"حساب غير معرف",INDEX(COA!$B:$B,MATCH($G1449,COA!$A:$A,0))),"")</f>
        <v/>
      </c>
      <c r="I1449" s="32">
        <f>IF($A1449=1,IF(Supplier_Invoices!$H49="","",Supplier_Invoices!$H49),"")</f>
        <v/>
      </c>
      <c r="J1449" s="32">
        <f>IF($A1449=1,IF(Supplier_Invoices!$I49="","",Supplier_Invoices!$I49),"")</f>
        <v/>
      </c>
      <c r="K1449" s="32">
        <f>IF($A1449=1,"-","")</f>
        <v/>
      </c>
      <c r="L1449" s="32">
        <f>IF($A1449=1,Supplier_Invoices!$F49&amp;" "&amp;Supplier_Invoices!$B49&amp;" - "&amp;Supplier_Invoices!$C49,"")</f>
        <v/>
      </c>
      <c r="M1449" s="43">
        <f>IF($A1449=1,IF(Supplier_Invoices!$V49="CN",0,Supplier_Invoices!$J49),"")</f>
        <v/>
      </c>
      <c r="N1449" s="43">
        <f>IF($A1449=1,IF(Supplier_Invoices!$V49="CN",Supplier_Invoices!$J49,0),"")</f>
        <v/>
      </c>
      <c r="O1449" s="32">
        <f>IF($A1449=1,Supplier_Invoices!$O49,"")</f>
        <v/>
      </c>
      <c r="P1449" s="32">
        <f>IF($A1449=1,IF(Supplier_Invoices!$AE49="","",Supplier_Invoices!$AE49),"")</f>
        <v/>
      </c>
      <c r="Q1449" s="32">
        <f>IF($A1449=1,Supplier_Invoices!$AG49,"")</f>
        <v/>
      </c>
      <c r="R1449" s="32">
        <f>IF($A1449=1,IF(AND($Q1449=1,COUNTIFS(COA!$A:$A,$G1449,COA!$R:$R,1)=1),1,0),"")</f>
        <v/>
      </c>
      <c r="S1449" s="43">
        <f>IF($A1449=1,IF($R1449=1,N($M1449),0),"")</f>
        <v/>
      </c>
      <c r="T1449" s="43">
        <f>IF($A1449=1,IF($R1449=1,N($N1449),0),"")</f>
        <v/>
      </c>
      <c r="U1449" s="32">
        <f>IF($A1449=1,YEAR($D1449)*100+MONTH($D1449),"")</f>
        <v/>
      </c>
      <c r="V1449" s="32">
        <f>IF($A1449=1,IF(COUNTIF(COA!$A:$A,$G1449)=0,0,INDEX(COA!$H:$H,MATCH($G1449,COA!$A:$A,0))),"")</f>
        <v/>
      </c>
      <c r="W1449" s="32">
        <f>IF($A1449=1,"","")</f>
        <v/>
      </c>
      <c r="X1449" s="32">
        <f>IF($A1449=1,IF($R1449=1,"",IF($O1449=ST_POST,IF($P1449&lt;&gt;"",$P1449,"حساب غير صالح أو غير نشط"),IF($O1449=ST_REV,"معكوس: لا أثر على الدفاتر",IF($O1449=ST_CANC,"ملغى",IF($O1449=ST_APPR,"معتمد ولم يُرحَّل","مسودة"))))),"")</f>
        <v/>
      </c>
      <c r="Y1449" s="32">
        <f>IF($A1449=1,IF(AND($R1449=1,OR(LG_Acct="",$G1449=LG_Acct),OR(LG_Party="",$K1449=LG_Party),OR(LG_Loc="ALL",$I1449=LG_Loc),OR(LG_CC="ALL",$J1449=LG_CC),$D1449&gt;=LG_From,$D1449&lt;=LG_To),$D1449+ROW()/1000000,""),"")</f>
        <v/>
      </c>
      <c r="Z1449" s="32">
        <f>IF($A1449=1,IF(Supplier_Invoices!$P49="","",Supplier_Invoices!$P49),"")</f>
        <v/>
      </c>
      <c r="AA1449" s="32">
        <f>IF($A1449=1,IF(Supplier_Invoices!$Q49="","",Supplier_Invoices!$Q49),"")</f>
        <v/>
      </c>
      <c r="AB1449" s="32">
        <f>IF($A1449=1,IF(Supplier_Invoices!$R49="","",Supplier_Invoices!$R49),"")</f>
        <v/>
      </c>
      <c r="AC1449" s="32">
        <f>IF($A1449=1,IF(Supplier_Invoices!$S49="","",Supplier_Invoices!$S49),"")</f>
        <v/>
      </c>
      <c r="AD1449" s="32">
        <f>IF($A1449=1,IF(Supplier_Invoices!$T49="","",Supplier_Invoices!$T49),"")</f>
        <v/>
      </c>
      <c r="AE1449" s="32">
        <f>IF($A1449=1,0,"")</f>
        <v/>
      </c>
      <c r="AF1449" s="32" t="inlineStr"/>
    </row>
    <row r="1450">
      <c r="A1450" s="32">
        <f>IF(AND(Supplier_Invoices!$AD49=1,N(Supplier_Invoices!$K49)&gt;0),1,0)</f>
        <v/>
      </c>
      <c r="B1450" s="32">
        <f>IF($A1450=1,$E1450&amp;"/2","")</f>
        <v/>
      </c>
      <c r="C1450" s="32">
        <f>IF($A1450=1,"J-"&amp;Supplier_Invoices!$A49,"")</f>
        <v/>
      </c>
      <c r="D1450" s="33">
        <f>IF($A1450=1,Supplier_Invoices!$E49,"")</f>
        <v/>
      </c>
      <c r="E1450" s="32">
        <f>IF($A1450=1,IF(Supplier_Invoices!$A49="","",Supplier_Invoices!$A49),"")</f>
        <v/>
      </c>
      <c r="F1450" s="32">
        <f>IF($A1450=1,"SINV","")</f>
        <v/>
      </c>
      <c r="G1450" s="32">
        <f>IF($A1450=1,ACC_VAT_IN,"")</f>
        <v/>
      </c>
      <c r="H1450" s="32">
        <f>IF($A1450=1,IF(COUNTIF(COA!$A:$A,$G1450)=0,"حساب غير معرف",INDEX(COA!$B:$B,MATCH($G1450,COA!$A:$A,0))),"")</f>
        <v/>
      </c>
      <c r="I1450" s="32">
        <f>IF($A1450=1,IF(Supplier_Invoices!$H49="","",Supplier_Invoices!$H49),"")</f>
        <v/>
      </c>
      <c r="J1450" s="32">
        <f>IF($A1450=1,IF(Supplier_Invoices!$I49="","",Supplier_Invoices!$I49),"")</f>
        <v/>
      </c>
      <c r="K1450" s="32">
        <f>IF($A1450=1,"-","")</f>
        <v/>
      </c>
      <c r="L1450" s="32">
        <f>IF($A1450=1,"ضريبة قيمة مضافة - مدخلات","")</f>
        <v/>
      </c>
      <c r="M1450" s="43">
        <f>IF($A1450=1,IF(Supplier_Invoices!$V49="CN",0,Supplier_Invoices!$K49),"")</f>
        <v/>
      </c>
      <c r="N1450" s="43">
        <f>IF($A1450=1,IF(Supplier_Invoices!$V49="CN",Supplier_Invoices!$K49,0),"")</f>
        <v/>
      </c>
      <c r="O1450" s="32">
        <f>IF($A1450=1,Supplier_Invoices!$O49,"")</f>
        <v/>
      </c>
      <c r="P1450" s="32">
        <f>IF($A1450=1,IF(Supplier_Invoices!$AE49="","",Supplier_Invoices!$AE49),"")</f>
        <v/>
      </c>
      <c r="Q1450" s="32">
        <f>IF($A1450=1,Supplier_Invoices!$AG49,"")</f>
        <v/>
      </c>
      <c r="R1450" s="32">
        <f>IF($A1450=1,IF(AND($Q1450=1,COUNTIFS(COA!$A:$A,$G1450,COA!$R:$R,1)=1),1,0),"")</f>
        <v/>
      </c>
      <c r="S1450" s="43">
        <f>IF($A1450=1,IF($R1450=1,N($M1450),0),"")</f>
        <v/>
      </c>
      <c r="T1450" s="43">
        <f>IF($A1450=1,IF($R1450=1,N($N1450),0),"")</f>
        <v/>
      </c>
      <c r="U1450" s="32">
        <f>IF($A1450=1,YEAR($D1450)*100+MONTH($D1450),"")</f>
        <v/>
      </c>
      <c r="V1450" s="32">
        <f>IF($A1450=1,IF(COUNTIF(COA!$A:$A,$G1450)=0,0,INDEX(COA!$H:$H,MATCH($G1450,COA!$A:$A,0))),"")</f>
        <v/>
      </c>
      <c r="W1450" s="32">
        <f>IF($A1450=1,"","")</f>
        <v/>
      </c>
      <c r="X1450" s="32">
        <f>IF($A1450=1,IF($R1450=1,"",IF($O1450=ST_POST,IF($P1450&lt;&gt;"",$P1450,"حساب غير صالح أو غير نشط"),IF($O1450=ST_REV,"معكوس: لا أثر على الدفاتر",IF($O1450=ST_CANC,"ملغى",IF($O1450=ST_APPR,"معتمد ولم يُرحَّل","مسودة"))))),"")</f>
        <v/>
      </c>
      <c r="Y1450" s="32">
        <f>IF($A1450=1,IF(AND($R1450=1,OR(LG_Acct="",$G1450=LG_Acct),OR(LG_Party="",$K1450=LG_Party),OR(LG_Loc="ALL",$I1450=LG_Loc),OR(LG_CC="ALL",$J1450=LG_CC),$D1450&gt;=LG_From,$D1450&lt;=LG_To),$D1450+ROW()/1000000,""),"")</f>
        <v/>
      </c>
      <c r="Z1450" s="32">
        <f>IF($A1450=1,IF(Supplier_Invoices!$P49="","",Supplier_Invoices!$P49),"")</f>
        <v/>
      </c>
      <c r="AA1450" s="32">
        <f>IF($A1450=1,IF(Supplier_Invoices!$Q49="","",Supplier_Invoices!$Q49),"")</f>
        <v/>
      </c>
      <c r="AB1450" s="32">
        <f>IF($A1450=1,IF(Supplier_Invoices!$R49="","",Supplier_Invoices!$R49),"")</f>
        <v/>
      </c>
      <c r="AC1450" s="32">
        <f>IF($A1450=1,IF(Supplier_Invoices!$S49="","",Supplier_Invoices!$S49),"")</f>
        <v/>
      </c>
      <c r="AD1450" s="32">
        <f>IF($A1450=1,IF(Supplier_Invoices!$T49="","",Supplier_Invoices!$T49),"")</f>
        <v/>
      </c>
      <c r="AE1450" s="32">
        <f>IF($A1450=1,0,"")</f>
        <v/>
      </c>
      <c r="AF1450" s="32" t="inlineStr"/>
    </row>
    <row r="1451">
      <c r="A1451" s="32">
        <f>IF(AND(Supplier_Invoices!$AD49=1,N(Supplier_Invoices!$W49)&gt;0),1,0)</f>
        <v/>
      </c>
      <c r="B1451" s="32">
        <f>IF($A1451=1,$E1451&amp;"/3","")</f>
        <v/>
      </c>
      <c r="C1451" s="32">
        <f>IF($A1451=1,"J-"&amp;Supplier_Invoices!$A49,"")</f>
        <v/>
      </c>
      <c r="D1451" s="33">
        <f>IF($A1451=1,Supplier_Invoices!$E49,"")</f>
        <v/>
      </c>
      <c r="E1451" s="32">
        <f>IF($A1451=1,IF(Supplier_Invoices!$A49="","",Supplier_Invoices!$A49),"")</f>
        <v/>
      </c>
      <c r="F1451" s="32">
        <f>IF($A1451=1,"SINV","")</f>
        <v/>
      </c>
      <c r="G1451" s="32">
        <f>IF($A1451=1,ACC_SUPPLIERS,"")</f>
        <v/>
      </c>
      <c r="H1451" s="32">
        <f>IF($A1451=1,IF(COUNTIF(COA!$A:$A,$G1451)=0,"حساب غير معرف",INDEX(COA!$B:$B,MATCH($G1451,COA!$A:$A,0))),"")</f>
        <v/>
      </c>
      <c r="I1451" s="32">
        <f>IF($A1451=1,IF(Supplier_Invoices!$H49="","",Supplier_Invoices!$H49),"")</f>
        <v/>
      </c>
      <c r="J1451" s="32">
        <f>IF($A1451=1,"CC00","")</f>
        <v/>
      </c>
      <c r="K1451" s="32">
        <f>IF($A1451=1,IF(Supplier_Invoices!$C49="","",Supplier_Invoices!$C49),"")</f>
        <v/>
      </c>
      <c r="L1451" s="32">
        <f>IF($A1451=1,Supplier_Invoices!$F49&amp;" "&amp;Supplier_Invoices!$B49&amp;" - "&amp;Supplier_Invoices!$C49,"")</f>
        <v/>
      </c>
      <c r="M1451" s="43">
        <f>IF($A1451=1,IF(Supplier_Invoices!$V49="CN",Supplier_Invoices!$W49,0),"")</f>
        <v/>
      </c>
      <c r="N1451" s="43">
        <f>IF($A1451=1,IF(Supplier_Invoices!$V49="CN",0,Supplier_Invoices!$W49),"")</f>
        <v/>
      </c>
      <c r="O1451" s="32">
        <f>IF($A1451=1,Supplier_Invoices!$O49,"")</f>
        <v/>
      </c>
      <c r="P1451" s="32">
        <f>IF($A1451=1,IF(Supplier_Invoices!$AE49="","",Supplier_Invoices!$AE49),"")</f>
        <v/>
      </c>
      <c r="Q1451" s="32">
        <f>IF($A1451=1,Supplier_Invoices!$AG49,"")</f>
        <v/>
      </c>
      <c r="R1451" s="32">
        <f>IF($A1451=1,IF(AND($Q1451=1,COUNTIFS(COA!$A:$A,$G1451,COA!$R:$R,1)=1),1,0),"")</f>
        <v/>
      </c>
      <c r="S1451" s="43">
        <f>IF($A1451=1,IF($R1451=1,N($M1451),0),"")</f>
        <v/>
      </c>
      <c r="T1451" s="43">
        <f>IF($A1451=1,IF($R1451=1,N($N1451),0),"")</f>
        <v/>
      </c>
      <c r="U1451" s="32">
        <f>IF($A1451=1,YEAR($D1451)*100+MONTH($D1451),"")</f>
        <v/>
      </c>
      <c r="V1451" s="32">
        <f>IF($A1451=1,IF(COUNTIF(COA!$A:$A,$G1451)=0,0,INDEX(COA!$H:$H,MATCH($G1451,COA!$A:$A,0))),"")</f>
        <v/>
      </c>
      <c r="W1451" s="32">
        <f>IF($A1451=1,"","")</f>
        <v/>
      </c>
      <c r="X1451" s="32">
        <f>IF($A1451=1,IF($R1451=1,"",IF($O1451=ST_POST,IF($P1451&lt;&gt;"",$P1451,"حساب غير صالح أو غير نشط"),IF($O1451=ST_REV,"معكوس: لا أثر على الدفاتر",IF($O1451=ST_CANC,"ملغى",IF($O1451=ST_APPR,"معتمد ولم يُرحَّل","مسودة"))))),"")</f>
        <v/>
      </c>
      <c r="Y1451" s="32">
        <f>IF($A1451=1,IF(AND($R1451=1,OR(LG_Acct="",$G1451=LG_Acct),OR(LG_Party="",$K1451=LG_Party),OR(LG_Loc="ALL",$I1451=LG_Loc),OR(LG_CC="ALL",$J1451=LG_CC),$D1451&gt;=LG_From,$D1451&lt;=LG_To),$D1451+ROW()/1000000,""),"")</f>
        <v/>
      </c>
      <c r="Z1451" s="32">
        <f>IF($A1451=1,IF(Supplier_Invoices!$P49="","",Supplier_Invoices!$P49),"")</f>
        <v/>
      </c>
      <c r="AA1451" s="32">
        <f>IF($A1451=1,IF(Supplier_Invoices!$Q49="","",Supplier_Invoices!$Q49),"")</f>
        <v/>
      </c>
      <c r="AB1451" s="32">
        <f>IF($A1451=1,IF(Supplier_Invoices!$R49="","",Supplier_Invoices!$R49),"")</f>
        <v/>
      </c>
      <c r="AC1451" s="32">
        <f>IF($A1451=1,IF(Supplier_Invoices!$S49="","",Supplier_Invoices!$S49),"")</f>
        <v/>
      </c>
      <c r="AD1451" s="32">
        <f>IF($A1451=1,IF(Supplier_Invoices!$T49="","",Supplier_Invoices!$T49),"")</f>
        <v/>
      </c>
      <c r="AE1451" s="32">
        <f>IF($A1451=1,0,"")</f>
        <v/>
      </c>
      <c r="AF1451" s="32" t="inlineStr"/>
    </row>
    <row r="1452">
      <c r="A1452" s="32">
        <f>IF(AND(Supplier_Invoices!$AD49=1,Supplier_Invoices!$L49&lt;&gt;"",Supplier_Invoices!$V49&lt;&gt;"CN",N(Supplier_Invoices!$W49)&gt;0),1,0)</f>
        <v/>
      </c>
      <c r="B1452" s="32">
        <f>IF($A1452=1,$E1452&amp;"/4","")</f>
        <v/>
      </c>
      <c r="C1452" s="32">
        <f>IF($A1452=1,"J-"&amp;Supplier_Invoices!$A49,"")</f>
        <v/>
      </c>
      <c r="D1452" s="33">
        <f>IF($A1452=1,Supplier_Invoices!$E49,"")</f>
        <v/>
      </c>
      <c r="E1452" s="32">
        <f>IF($A1452=1,IF(Supplier_Invoices!$A49="","",Supplier_Invoices!$A49),"")</f>
        <v/>
      </c>
      <c r="F1452" s="32">
        <f>IF($A1452=1,"SINV","")</f>
        <v/>
      </c>
      <c r="G1452" s="32">
        <f>IF($A1452=1,ACC_SUPPLIERS,"")</f>
        <v/>
      </c>
      <c r="H1452" s="32">
        <f>IF($A1452=1,IF(COUNTIF(COA!$A:$A,$G1452)=0,"حساب غير معرف",INDEX(COA!$B:$B,MATCH($G1452,COA!$A:$A,0))),"")</f>
        <v/>
      </c>
      <c r="I1452" s="32">
        <f>IF($A1452=1,IF(Supplier_Invoices!$H49="","",Supplier_Invoices!$H49),"")</f>
        <v/>
      </c>
      <c r="J1452" s="32">
        <f>IF($A1452=1,"CC00","")</f>
        <v/>
      </c>
      <c r="K1452" s="32">
        <f>IF($A1452=1,IF(Supplier_Invoices!$C49="","",Supplier_Invoices!$C49),"")</f>
        <v/>
      </c>
      <c r="L1452" s="32">
        <f>IF($A1452=1,"سداد فوري - "&amp;Supplier_Invoices!$F49&amp;" "&amp;Supplier_Invoices!$B49&amp;" - "&amp;Supplier_Invoices!$C49,"")</f>
        <v/>
      </c>
      <c r="M1452" s="43">
        <f>IF($A1452=1,Supplier_Invoices!$W49,"")</f>
        <v/>
      </c>
      <c r="N1452" s="43">
        <f>IF($A1452=1,0,"")</f>
        <v/>
      </c>
      <c r="O1452" s="32">
        <f>IF($A1452=1,Supplier_Invoices!$O49,"")</f>
        <v/>
      </c>
      <c r="P1452" s="32">
        <f>IF($A1452=1,IF(Supplier_Invoices!$AE49="","",Supplier_Invoices!$AE49),"")</f>
        <v/>
      </c>
      <c r="Q1452" s="32">
        <f>IF($A1452=1,Supplier_Invoices!$AG49,"")</f>
        <v/>
      </c>
      <c r="R1452" s="32">
        <f>IF($A1452=1,IF(AND($Q1452=1,COUNTIFS(COA!$A:$A,$G1452,COA!$R:$R,1)=1),1,0),"")</f>
        <v/>
      </c>
      <c r="S1452" s="43">
        <f>IF($A1452=1,IF($R1452=1,N($M1452),0),"")</f>
        <v/>
      </c>
      <c r="T1452" s="43">
        <f>IF($A1452=1,IF($R1452=1,N($N1452),0),"")</f>
        <v/>
      </c>
      <c r="U1452" s="32">
        <f>IF($A1452=1,YEAR($D1452)*100+MONTH($D1452),"")</f>
        <v/>
      </c>
      <c r="V1452" s="32">
        <f>IF($A1452=1,IF(COUNTIF(COA!$A:$A,$G1452)=0,0,INDEX(COA!$H:$H,MATCH($G1452,COA!$A:$A,0))),"")</f>
        <v/>
      </c>
      <c r="W1452" s="32">
        <f>IF($A1452=1,"","")</f>
        <v/>
      </c>
      <c r="X1452" s="32">
        <f>IF($A1452=1,IF($R1452=1,"",IF($O1452=ST_POST,IF($P1452&lt;&gt;"",$P1452,"حساب غير صالح أو غير نشط"),IF($O1452=ST_REV,"معكوس: لا أثر على الدفاتر",IF($O1452=ST_CANC,"ملغى",IF($O1452=ST_APPR,"معتمد ولم يُرحَّل","مسودة"))))),"")</f>
        <v/>
      </c>
      <c r="Y1452" s="32">
        <f>IF($A1452=1,IF(AND($R1452=1,OR(LG_Acct="",$G1452=LG_Acct),OR(LG_Party="",$K1452=LG_Party),OR(LG_Loc="ALL",$I1452=LG_Loc),OR(LG_CC="ALL",$J1452=LG_CC),$D1452&gt;=LG_From,$D1452&lt;=LG_To),$D1452+ROW()/1000000,""),"")</f>
        <v/>
      </c>
      <c r="Z1452" s="32">
        <f>IF($A1452=1,IF(Supplier_Invoices!$P49="","",Supplier_Invoices!$P49),"")</f>
        <v/>
      </c>
      <c r="AA1452" s="32">
        <f>IF($A1452=1,IF(Supplier_Invoices!$Q49="","",Supplier_Invoices!$Q49),"")</f>
        <v/>
      </c>
      <c r="AB1452" s="32">
        <f>IF($A1452=1,IF(Supplier_Invoices!$R49="","",Supplier_Invoices!$R49),"")</f>
        <v/>
      </c>
      <c r="AC1452" s="32">
        <f>IF($A1452=1,IF(Supplier_Invoices!$S49="","",Supplier_Invoices!$S49),"")</f>
        <v/>
      </c>
      <c r="AD1452" s="32">
        <f>IF($A1452=1,IF(Supplier_Invoices!$T49="","",Supplier_Invoices!$T49),"")</f>
        <v/>
      </c>
      <c r="AE1452" s="32">
        <f>IF($A1452=1,0,"")</f>
        <v/>
      </c>
      <c r="AF1452" s="32" t="inlineStr"/>
    </row>
    <row r="1453">
      <c r="A1453" s="32">
        <f>IF(AND(Supplier_Invoices!$AD49=1,Supplier_Invoices!$L49&lt;&gt;"",Supplier_Invoices!$V49&lt;&gt;"CN",N(Supplier_Invoices!$W49)&gt;0),1,0)</f>
        <v/>
      </c>
      <c r="B1453" s="32">
        <f>IF($A1453=1,$E1453&amp;"/5","")</f>
        <v/>
      </c>
      <c r="C1453" s="32">
        <f>IF($A1453=1,"J-"&amp;Supplier_Invoices!$A49,"")</f>
        <v/>
      </c>
      <c r="D1453" s="33">
        <f>IF($A1453=1,Supplier_Invoices!$E49,"")</f>
        <v/>
      </c>
      <c r="E1453" s="32">
        <f>IF($A1453=1,IF(Supplier_Invoices!$A49="","",Supplier_Invoices!$A49),"")</f>
        <v/>
      </c>
      <c r="F1453" s="32">
        <f>IF($A1453=1,"SINV","")</f>
        <v/>
      </c>
      <c r="G1453" s="32">
        <f>IF($A1453=1,IF(Supplier_Invoices!$AA49="","",Supplier_Invoices!$AA49),"")</f>
        <v/>
      </c>
      <c r="H1453" s="32">
        <f>IF($A1453=1,IF(COUNTIF(COA!$A:$A,$G1453)=0,"حساب غير معرف",INDEX(COA!$B:$B,MATCH($G1453,COA!$A:$A,0))),"")</f>
        <v/>
      </c>
      <c r="I1453" s="32">
        <f>IF($A1453=1,IF(Supplier_Invoices!$H49="","",Supplier_Invoices!$H49),"")</f>
        <v/>
      </c>
      <c r="J1453" s="32">
        <f>IF($A1453=1,"CC00","")</f>
        <v/>
      </c>
      <c r="K1453" s="32">
        <f>IF($A1453=1,"-","")</f>
        <v/>
      </c>
      <c r="L1453" s="32">
        <f>IF($A1453=1,"سداد فوري - "&amp;Supplier_Invoices!$F49&amp;" "&amp;Supplier_Invoices!$B49&amp;" - "&amp;Supplier_Invoices!$C49,"")</f>
        <v/>
      </c>
      <c r="M1453" s="43">
        <f>IF($A1453=1,0,"")</f>
        <v/>
      </c>
      <c r="N1453" s="43">
        <f>IF($A1453=1,Supplier_Invoices!$W49,"")</f>
        <v/>
      </c>
      <c r="O1453" s="32">
        <f>IF($A1453=1,Supplier_Invoices!$O49,"")</f>
        <v/>
      </c>
      <c r="P1453" s="32">
        <f>IF($A1453=1,IF(Supplier_Invoices!$AE49="","",Supplier_Invoices!$AE49),"")</f>
        <v/>
      </c>
      <c r="Q1453" s="32">
        <f>IF($A1453=1,Supplier_Invoices!$AG49,"")</f>
        <v/>
      </c>
      <c r="R1453" s="32">
        <f>IF($A1453=1,IF(AND($Q1453=1,COUNTIFS(COA!$A:$A,$G1453,COA!$R:$R,1)=1),1,0),"")</f>
        <v/>
      </c>
      <c r="S1453" s="43">
        <f>IF($A1453=1,IF($R1453=1,N($M1453),0),"")</f>
        <v/>
      </c>
      <c r="T1453" s="43">
        <f>IF($A1453=1,IF($R1453=1,N($N1453),0),"")</f>
        <v/>
      </c>
      <c r="U1453" s="32">
        <f>IF($A1453=1,YEAR($D1453)*100+MONTH($D1453),"")</f>
        <v/>
      </c>
      <c r="V1453" s="32">
        <f>IF($A1453=1,IF(COUNTIF(COA!$A:$A,$G1453)=0,0,INDEX(COA!$H:$H,MATCH($G1453,COA!$A:$A,0))),"")</f>
        <v/>
      </c>
      <c r="W1453" s="32">
        <f>IF($A1453=1,IF(Supplier_Invoices!$AB49="","",Supplier_Invoices!$AB49),"")</f>
        <v/>
      </c>
      <c r="X1453" s="32">
        <f>IF($A1453=1,IF($R1453=1,"",IF($O1453=ST_POST,IF($P1453&lt;&gt;"",$P1453,"حساب غير صالح أو غير نشط"),IF($O1453=ST_REV,"معكوس: لا أثر على الدفاتر",IF($O1453=ST_CANC,"ملغى",IF($O1453=ST_APPR,"معتمد ولم يُرحَّل","مسودة"))))),"")</f>
        <v/>
      </c>
      <c r="Y1453" s="32">
        <f>IF($A1453=1,IF(AND($R1453=1,OR(LG_Acct="",$G1453=LG_Acct),OR(LG_Party="",$K1453=LG_Party),OR(LG_Loc="ALL",$I1453=LG_Loc),OR(LG_CC="ALL",$J1453=LG_CC),$D1453&gt;=LG_From,$D1453&lt;=LG_To),$D1453+ROW()/1000000,""),"")</f>
        <v/>
      </c>
      <c r="Z1453" s="32">
        <f>IF($A1453=1,IF(Supplier_Invoices!$P49="","",Supplier_Invoices!$P49),"")</f>
        <v/>
      </c>
      <c r="AA1453" s="32">
        <f>IF($A1453=1,IF(Supplier_Invoices!$Q49="","",Supplier_Invoices!$Q49),"")</f>
        <v/>
      </c>
      <c r="AB1453" s="32">
        <f>IF($A1453=1,IF(Supplier_Invoices!$R49="","",Supplier_Invoices!$R49),"")</f>
        <v/>
      </c>
      <c r="AC1453" s="32">
        <f>IF($A1453=1,IF(Supplier_Invoices!$S49="","",Supplier_Invoices!$S49),"")</f>
        <v/>
      </c>
      <c r="AD1453" s="32">
        <f>IF($A1453=1,IF(Supplier_Invoices!$T49="","",Supplier_Invoices!$T49),"")</f>
        <v/>
      </c>
      <c r="AE1453" s="32">
        <f>IF($A1453=1,0,"")</f>
        <v/>
      </c>
      <c r="AF1453" s="32" t="inlineStr"/>
    </row>
    <row r="1454">
      <c r="A1454" s="32">
        <f>IF(AND(Supplier_Invoices!$AD50=1,N(Supplier_Invoices!$J50)&gt;0),1,0)</f>
        <v/>
      </c>
      <c r="B1454" s="32">
        <f>IF($A1454=1,$E1454&amp;"/1","")</f>
        <v/>
      </c>
      <c r="C1454" s="32">
        <f>IF($A1454=1,"J-"&amp;Supplier_Invoices!$A50,"")</f>
        <v/>
      </c>
      <c r="D1454" s="33">
        <f>IF($A1454=1,Supplier_Invoices!$E50,"")</f>
        <v/>
      </c>
      <c r="E1454" s="32">
        <f>IF($A1454=1,IF(Supplier_Invoices!$A50="","",Supplier_Invoices!$A50),"")</f>
        <v/>
      </c>
      <c r="F1454" s="32">
        <f>IF($A1454=1,"SINV","")</f>
        <v/>
      </c>
      <c r="G1454" s="32">
        <f>IF($A1454=1,IF(Supplier_Invoices!$G50="","",Supplier_Invoices!$G50),"")</f>
        <v/>
      </c>
      <c r="H1454" s="32">
        <f>IF($A1454=1,IF(COUNTIF(COA!$A:$A,$G1454)=0,"حساب غير معرف",INDEX(COA!$B:$B,MATCH($G1454,COA!$A:$A,0))),"")</f>
        <v/>
      </c>
      <c r="I1454" s="32">
        <f>IF($A1454=1,IF(Supplier_Invoices!$H50="","",Supplier_Invoices!$H50),"")</f>
        <v/>
      </c>
      <c r="J1454" s="32">
        <f>IF($A1454=1,IF(Supplier_Invoices!$I50="","",Supplier_Invoices!$I50),"")</f>
        <v/>
      </c>
      <c r="K1454" s="32">
        <f>IF($A1454=1,"-","")</f>
        <v/>
      </c>
      <c r="L1454" s="32">
        <f>IF($A1454=1,Supplier_Invoices!$F50&amp;" "&amp;Supplier_Invoices!$B50&amp;" - "&amp;Supplier_Invoices!$C50,"")</f>
        <v/>
      </c>
      <c r="M1454" s="43">
        <f>IF($A1454=1,IF(Supplier_Invoices!$V50="CN",0,Supplier_Invoices!$J50),"")</f>
        <v/>
      </c>
      <c r="N1454" s="43">
        <f>IF($A1454=1,IF(Supplier_Invoices!$V50="CN",Supplier_Invoices!$J50,0),"")</f>
        <v/>
      </c>
      <c r="O1454" s="32">
        <f>IF($A1454=1,Supplier_Invoices!$O50,"")</f>
        <v/>
      </c>
      <c r="P1454" s="32">
        <f>IF($A1454=1,IF(Supplier_Invoices!$AE50="","",Supplier_Invoices!$AE50),"")</f>
        <v/>
      </c>
      <c r="Q1454" s="32">
        <f>IF($A1454=1,Supplier_Invoices!$AG50,"")</f>
        <v/>
      </c>
      <c r="R1454" s="32">
        <f>IF($A1454=1,IF(AND($Q1454=1,COUNTIFS(COA!$A:$A,$G1454,COA!$R:$R,1)=1),1,0),"")</f>
        <v/>
      </c>
      <c r="S1454" s="43">
        <f>IF($A1454=1,IF($R1454=1,N($M1454),0),"")</f>
        <v/>
      </c>
      <c r="T1454" s="43">
        <f>IF($A1454=1,IF($R1454=1,N($N1454),0),"")</f>
        <v/>
      </c>
      <c r="U1454" s="32">
        <f>IF($A1454=1,YEAR($D1454)*100+MONTH($D1454),"")</f>
        <v/>
      </c>
      <c r="V1454" s="32">
        <f>IF($A1454=1,IF(COUNTIF(COA!$A:$A,$G1454)=0,0,INDEX(COA!$H:$H,MATCH($G1454,COA!$A:$A,0))),"")</f>
        <v/>
      </c>
      <c r="W1454" s="32">
        <f>IF($A1454=1,"","")</f>
        <v/>
      </c>
      <c r="X1454" s="32">
        <f>IF($A1454=1,IF($R1454=1,"",IF($O1454=ST_POST,IF($P1454&lt;&gt;"",$P1454,"حساب غير صالح أو غير نشط"),IF($O1454=ST_REV,"معكوس: لا أثر على الدفاتر",IF($O1454=ST_CANC,"ملغى",IF($O1454=ST_APPR,"معتمد ولم يُرحَّل","مسودة"))))),"")</f>
        <v/>
      </c>
      <c r="Y1454" s="32">
        <f>IF($A1454=1,IF(AND($R1454=1,OR(LG_Acct="",$G1454=LG_Acct),OR(LG_Party="",$K1454=LG_Party),OR(LG_Loc="ALL",$I1454=LG_Loc),OR(LG_CC="ALL",$J1454=LG_CC),$D1454&gt;=LG_From,$D1454&lt;=LG_To),$D1454+ROW()/1000000,""),"")</f>
        <v/>
      </c>
      <c r="Z1454" s="32">
        <f>IF($A1454=1,IF(Supplier_Invoices!$P50="","",Supplier_Invoices!$P50),"")</f>
        <v/>
      </c>
      <c r="AA1454" s="32">
        <f>IF($A1454=1,IF(Supplier_Invoices!$Q50="","",Supplier_Invoices!$Q50),"")</f>
        <v/>
      </c>
      <c r="AB1454" s="32">
        <f>IF($A1454=1,IF(Supplier_Invoices!$R50="","",Supplier_Invoices!$R50),"")</f>
        <v/>
      </c>
      <c r="AC1454" s="32">
        <f>IF($A1454=1,IF(Supplier_Invoices!$S50="","",Supplier_Invoices!$S50),"")</f>
        <v/>
      </c>
      <c r="AD1454" s="32">
        <f>IF($A1454=1,IF(Supplier_Invoices!$T50="","",Supplier_Invoices!$T50),"")</f>
        <v/>
      </c>
      <c r="AE1454" s="32">
        <f>IF($A1454=1,0,"")</f>
        <v/>
      </c>
      <c r="AF1454" s="32" t="inlineStr"/>
    </row>
    <row r="1455">
      <c r="A1455" s="32">
        <f>IF(AND(Supplier_Invoices!$AD50=1,N(Supplier_Invoices!$K50)&gt;0),1,0)</f>
        <v/>
      </c>
      <c r="B1455" s="32">
        <f>IF($A1455=1,$E1455&amp;"/2","")</f>
        <v/>
      </c>
      <c r="C1455" s="32">
        <f>IF($A1455=1,"J-"&amp;Supplier_Invoices!$A50,"")</f>
        <v/>
      </c>
      <c r="D1455" s="33">
        <f>IF($A1455=1,Supplier_Invoices!$E50,"")</f>
        <v/>
      </c>
      <c r="E1455" s="32">
        <f>IF($A1455=1,IF(Supplier_Invoices!$A50="","",Supplier_Invoices!$A50),"")</f>
        <v/>
      </c>
      <c r="F1455" s="32">
        <f>IF($A1455=1,"SINV","")</f>
        <v/>
      </c>
      <c r="G1455" s="32">
        <f>IF($A1455=1,ACC_VAT_IN,"")</f>
        <v/>
      </c>
      <c r="H1455" s="32">
        <f>IF($A1455=1,IF(COUNTIF(COA!$A:$A,$G1455)=0,"حساب غير معرف",INDEX(COA!$B:$B,MATCH($G1455,COA!$A:$A,0))),"")</f>
        <v/>
      </c>
      <c r="I1455" s="32">
        <f>IF($A1455=1,IF(Supplier_Invoices!$H50="","",Supplier_Invoices!$H50),"")</f>
        <v/>
      </c>
      <c r="J1455" s="32">
        <f>IF($A1455=1,IF(Supplier_Invoices!$I50="","",Supplier_Invoices!$I50),"")</f>
        <v/>
      </c>
      <c r="K1455" s="32">
        <f>IF($A1455=1,"-","")</f>
        <v/>
      </c>
      <c r="L1455" s="32">
        <f>IF($A1455=1,"ضريبة قيمة مضافة - مدخلات","")</f>
        <v/>
      </c>
      <c r="M1455" s="43">
        <f>IF($A1455=1,IF(Supplier_Invoices!$V50="CN",0,Supplier_Invoices!$K50),"")</f>
        <v/>
      </c>
      <c r="N1455" s="43">
        <f>IF($A1455=1,IF(Supplier_Invoices!$V50="CN",Supplier_Invoices!$K50,0),"")</f>
        <v/>
      </c>
      <c r="O1455" s="32">
        <f>IF($A1455=1,Supplier_Invoices!$O50,"")</f>
        <v/>
      </c>
      <c r="P1455" s="32">
        <f>IF($A1455=1,IF(Supplier_Invoices!$AE50="","",Supplier_Invoices!$AE50),"")</f>
        <v/>
      </c>
      <c r="Q1455" s="32">
        <f>IF($A1455=1,Supplier_Invoices!$AG50,"")</f>
        <v/>
      </c>
      <c r="R1455" s="32">
        <f>IF($A1455=1,IF(AND($Q1455=1,COUNTIFS(COA!$A:$A,$G1455,COA!$R:$R,1)=1),1,0),"")</f>
        <v/>
      </c>
      <c r="S1455" s="43">
        <f>IF($A1455=1,IF($R1455=1,N($M1455),0),"")</f>
        <v/>
      </c>
      <c r="T1455" s="43">
        <f>IF($A1455=1,IF($R1455=1,N($N1455),0),"")</f>
        <v/>
      </c>
      <c r="U1455" s="32">
        <f>IF($A1455=1,YEAR($D1455)*100+MONTH($D1455),"")</f>
        <v/>
      </c>
      <c r="V1455" s="32">
        <f>IF($A1455=1,IF(COUNTIF(COA!$A:$A,$G1455)=0,0,INDEX(COA!$H:$H,MATCH($G1455,COA!$A:$A,0))),"")</f>
        <v/>
      </c>
      <c r="W1455" s="32">
        <f>IF($A1455=1,"","")</f>
        <v/>
      </c>
      <c r="X1455" s="32">
        <f>IF($A1455=1,IF($R1455=1,"",IF($O1455=ST_POST,IF($P1455&lt;&gt;"",$P1455,"حساب غير صالح أو غير نشط"),IF($O1455=ST_REV,"معكوس: لا أثر على الدفاتر",IF($O1455=ST_CANC,"ملغى",IF($O1455=ST_APPR,"معتمد ولم يُرحَّل","مسودة"))))),"")</f>
        <v/>
      </c>
      <c r="Y1455" s="32">
        <f>IF($A1455=1,IF(AND($R1455=1,OR(LG_Acct="",$G1455=LG_Acct),OR(LG_Party="",$K1455=LG_Party),OR(LG_Loc="ALL",$I1455=LG_Loc),OR(LG_CC="ALL",$J1455=LG_CC),$D1455&gt;=LG_From,$D1455&lt;=LG_To),$D1455+ROW()/1000000,""),"")</f>
        <v/>
      </c>
      <c r="Z1455" s="32">
        <f>IF($A1455=1,IF(Supplier_Invoices!$P50="","",Supplier_Invoices!$P50),"")</f>
        <v/>
      </c>
      <c r="AA1455" s="32">
        <f>IF($A1455=1,IF(Supplier_Invoices!$Q50="","",Supplier_Invoices!$Q50),"")</f>
        <v/>
      </c>
      <c r="AB1455" s="32">
        <f>IF($A1455=1,IF(Supplier_Invoices!$R50="","",Supplier_Invoices!$R50),"")</f>
        <v/>
      </c>
      <c r="AC1455" s="32">
        <f>IF($A1455=1,IF(Supplier_Invoices!$S50="","",Supplier_Invoices!$S50),"")</f>
        <v/>
      </c>
      <c r="AD1455" s="32">
        <f>IF($A1455=1,IF(Supplier_Invoices!$T50="","",Supplier_Invoices!$T50),"")</f>
        <v/>
      </c>
      <c r="AE1455" s="32">
        <f>IF($A1455=1,0,"")</f>
        <v/>
      </c>
      <c r="AF1455" s="32" t="inlineStr"/>
    </row>
    <row r="1456">
      <c r="A1456" s="32">
        <f>IF(AND(Supplier_Invoices!$AD50=1,N(Supplier_Invoices!$W50)&gt;0),1,0)</f>
        <v/>
      </c>
      <c r="B1456" s="32">
        <f>IF($A1456=1,$E1456&amp;"/3","")</f>
        <v/>
      </c>
      <c r="C1456" s="32">
        <f>IF($A1456=1,"J-"&amp;Supplier_Invoices!$A50,"")</f>
        <v/>
      </c>
      <c r="D1456" s="33">
        <f>IF($A1456=1,Supplier_Invoices!$E50,"")</f>
        <v/>
      </c>
      <c r="E1456" s="32">
        <f>IF($A1456=1,IF(Supplier_Invoices!$A50="","",Supplier_Invoices!$A50),"")</f>
        <v/>
      </c>
      <c r="F1456" s="32">
        <f>IF($A1456=1,"SINV","")</f>
        <v/>
      </c>
      <c r="G1456" s="32">
        <f>IF($A1456=1,ACC_SUPPLIERS,"")</f>
        <v/>
      </c>
      <c r="H1456" s="32">
        <f>IF($A1456=1,IF(COUNTIF(COA!$A:$A,$G1456)=0,"حساب غير معرف",INDEX(COA!$B:$B,MATCH($G1456,COA!$A:$A,0))),"")</f>
        <v/>
      </c>
      <c r="I1456" s="32">
        <f>IF($A1456=1,IF(Supplier_Invoices!$H50="","",Supplier_Invoices!$H50),"")</f>
        <v/>
      </c>
      <c r="J1456" s="32">
        <f>IF($A1456=1,"CC00","")</f>
        <v/>
      </c>
      <c r="K1456" s="32">
        <f>IF($A1456=1,IF(Supplier_Invoices!$C50="","",Supplier_Invoices!$C50),"")</f>
        <v/>
      </c>
      <c r="L1456" s="32">
        <f>IF($A1456=1,Supplier_Invoices!$F50&amp;" "&amp;Supplier_Invoices!$B50&amp;" - "&amp;Supplier_Invoices!$C50,"")</f>
        <v/>
      </c>
      <c r="M1456" s="43">
        <f>IF($A1456=1,IF(Supplier_Invoices!$V50="CN",Supplier_Invoices!$W50,0),"")</f>
        <v/>
      </c>
      <c r="N1456" s="43">
        <f>IF($A1456=1,IF(Supplier_Invoices!$V50="CN",0,Supplier_Invoices!$W50),"")</f>
        <v/>
      </c>
      <c r="O1456" s="32">
        <f>IF($A1456=1,Supplier_Invoices!$O50,"")</f>
        <v/>
      </c>
      <c r="P1456" s="32">
        <f>IF($A1456=1,IF(Supplier_Invoices!$AE50="","",Supplier_Invoices!$AE50),"")</f>
        <v/>
      </c>
      <c r="Q1456" s="32">
        <f>IF($A1456=1,Supplier_Invoices!$AG50,"")</f>
        <v/>
      </c>
      <c r="R1456" s="32">
        <f>IF($A1456=1,IF(AND($Q1456=1,COUNTIFS(COA!$A:$A,$G1456,COA!$R:$R,1)=1),1,0),"")</f>
        <v/>
      </c>
      <c r="S1456" s="43">
        <f>IF($A1456=1,IF($R1456=1,N($M1456),0),"")</f>
        <v/>
      </c>
      <c r="T1456" s="43">
        <f>IF($A1456=1,IF($R1456=1,N($N1456),0),"")</f>
        <v/>
      </c>
      <c r="U1456" s="32">
        <f>IF($A1456=1,YEAR($D1456)*100+MONTH($D1456),"")</f>
        <v/>
      </c>
      <c r="V1456" s="32">
        <f>IF($A1456=1,IF(COUNTIF(COA!$A:$A,$G1456)=0,0,INDEX(COA!$H:$H,MATCH($G1456,COA!$A:$A,0))),"")</f>
        <v/>
      </c>
      <c r="W1456" s="32">
        <f>IF($A1456=1,"","")</f>
        <v/>
      </c>
      <c r="X1456" s="32">
        <f>IF($A1456=1,IF($R1456=1,"",IF($O1456=ST_POST,IF($P1456&lt;&gt;"",$P1456,"حساب غير صالح أو غير نشط"),IF($O1456=ST_REV,"معكوس: لا أثر على الدفاتر",IF($O1456=ST_CANC,"ملغى",IF($O1456=ST_APPR,"معتمد ولم يُرحَّل","مسودة"))))),"")</f>
        <v/>
      </c>
      <c r="Y1456" s="32">
        <f>IF($A1456=1,IF(AND($R1456=1,OR(LG_Acct="",$G1456=LG_Acct),OR(LG_Party="",$K1456=LG_Party),OR(LG_Loc="ALL",$I1456=LG_Loc),OR(LG_CC="ALL",$J1456=LG_CC),$D1456&gt;=LG_From,$D1456&lt;=LG_To),$D1456+ROW()/1000000,""),"")</f>
        <v/>
      </c>
      <c r="Z1456" s="32">
        <f>IF($A1456=1,IF(Supplier_Invoices!$P50="","",Supplier_Invoices!$P50),"")</f>
        <v/>
      </c>
      <c r="AA1456" s="32">
        <f>IF($A1456=1,IF(Supplier_Invoices!$Q50="","",Supplier_Invoices!$Q50),"")</f>
        <v/>
      </c>
      <c r="AB1456" s="32">
        <f>IF($A1456=1,IF(Supplier_Invoices!$R50="","",Supplier_Invoices!$R50),"")</f>
        <v/>
      </c>
      <c r="AC1456" s="32">
        <f>IF($A1456=1,IF(Supplier_Invoices!$S50="","",Supplier_Invoices!$S50),"")</f>
        <v/>
      </c>
      <c r="AD1456" s="32">
        <f>IF($A1456=1,IF(Supplier_Invoices!$T50="","",Supplier_Invoices!$T50),"")</f>
        <v/>
      </c>
      <c r="AE1456" s="32">
        <f>IF($A1456=1,0,"")</f>
        <v/>
      </c>
      <c r="AF1456" s="32" t="inlineStr"/>
    </row>
    <row r="1457">
      <c r="A1457" s="32">
        <f>IF(AND(Supplier_Invoices!$AD50=1,Supplier_Invoices!$L50&lt;&gt;"",Supplier_Invoices!$V50&lt;&gt;"CN",N(Supplier_Invoices!$W50)&gt;0),1,0)</f>
        <v/>
      </c>
      <c r="B1457" s="32">
        <f>IF($A1457=1,$E1457&amp;"/4","")</f>
        <v/>
      </c>
      <c r="C1457" s="32">
        <f>IF($A1457=1,"J-"&amp;Supplier_Invoices!$A50,"")</f>
        <v/>
      </c>
      <c r="D1457" s="33">
        <f>IF($A1457=1,Supplier_Invoices!$E50,"")</f>
        <v/>
      </c>
      <c r="E1457" s="32">
        <f>IF($A1457=1,IF(Supplier_Invoices!$A50="","",Supplier_Invoices!$A50),"")</f>
        <v/>
      </c>
      <c r="F1457" s="32">
        <f>IF($A1457=1,"SINV","")</f>
        <v/>
      </c>
      <c r="G1457" s="32">
        <f>IF($A1457=1,ACC_SUPPLIERS,"")</f>
        <v/>
      </c>
      <c r="H1457" s="32">
        <f>IF($A1457=1,IF(COUNTIF(COA!$A:$A,$G1457)=0,"حساب غير معرف",INDEX(COA!$B:$B,MATCH($G1457,COA!$A:$A,0))),"")</f>
        <v/>
      </c>
      <c r="I1457" s="32">
        <f>IF($A1457=1,IF(Supplier_Invoices!$H50="","",Supplier_Invoices!$H50),"")</f>
        <v/>
      </c>
      <c r="J1457" s="32">
        <f>IF($A1457=1,"CC00","")</f>
        <v/>
      </c>
      <c r="K1457" s="32">
        <f>IF($A1457=1,IF(Supplier_Invoices!$C50="","",Supplier_Invoices!$C50),"")</f>
        <v/>
      </c>
      <c r="L1457" s="32">
        <f>IF($A1457=1,"سداد فوري - "&amp;Supplier_Invoices!$F50&amp;" "&amp;Supplier_Invoices!$B50&amp;" - "&amp;Supplier_Invoices!$C50,"")</f>
        <v/>
      </c>
      <c r="M1457" s="43">
        <f>IF($A1457=1,Supplier_Invoices!$W50,"")</f>
        <v/>
      </c>
      <c r="N1457" s="43">
        <f>IF($A1457=1,0,"")</f>
        <v/>
      </c>
      <c r="O1457" s="32">
        <f>IF($A1457=1,Supplier_Invoices!$O50,"")</f>
        <v/>
      </c>
      <c r="P1457" s="32">
        <f>IF($A1457=1,IF(Supplier_Invoices!$AE50="","",Supplier_Invoices!$AE50),"")</f>
        <v/>
      </c>
      <c r="Q1457" s="32">
        <f>IF($A1457=1,Supplier_Invoices!$AG50,"")</f>
        <v/>
      </c>
      <c r="R1457" s="32">
        <f>IF($A1457=1,IF(AND($Q1457=1,COUNTIFS(COA!$A:$A,$G1457,COA!$R:$R,1)=1),1,0),"")</f>
        <v/>
      </c>
      <c r="S1457" s="43">
        <f>IF($A1457=1,IF($R1457=1,N($M1457),0),"")</f>
        <v/>
      </c>
      <c r="T1457" s="43">
        <f>IF($A1457=1,IF($R1457=1,N($N1457),0),"")</f>
        <v/>
      </c>
      <c r="U1457" s="32">
        <f>IF($A1457=1,YEAR($D1457)*100+MONTH($D1457),"")</f>
        <v/>
      </c>
      <c r="V1457" s="32">
        <f>IF($A1457=1,IF(COUNTIF(COA!$A:$A,$G1457)=0,0,INDEX(COA!$H:$H,MATCH($G1457,COA!$A:$A,0))),"")</f>
        <v/>
      </c>
      <c r="W1457" s="32">
        <f>IF($A1457=1,"","")</f>
        <v/>
      </c>
      <c r="X1457" s="32">
        <f>IF($A1457=1,IF($R1457=1,"",IF($O1457=ST_POST,IF($P1457&lt;&gt;"",$P1457,"حساب غير صالح أو غير نشط"),IF($O1457=ST_REV,"معكوس: لا أثر على الدفاتر",IF($O1457=ST_CANC,"ملغى",IF($O1457=ST_APPR,"معتمد ولم يُرحَّل","مسودة"))))),"")</f>
        <v/>
      </c>
      <c r="Y1457" s="32">
        <f>IF($A1457=1,IF(AND($R1457=1,OR(LG_Acct="",$G1457=LG_Acct),OR(LG_Party="",$K1457=LG_Party),OR(LG_Loc="ALL",$I1457=LG_Loc),OR(LG_CC="ALL",$J1457=LG_CC),$D1457&gt;=LG_From,$D1457&lt;=LG_To),$D1457+ROW()/1000000,""),"")</f>
        <v/>
      </c>
      <c r="Z1457" s="32">
        <f>IF($A1457=1,IF(Supplier_Invoices!$P50="","",Supplier_Invoices!$P50),"")</f>
        <v/>
      </c>
      <c r="AA1457" s="32">
        <f>IF($A1457=1,IF(Supplier_Invoices!$Q50="","",Supplier_Invoices!$Q50),"")</f>
        <v/>
      </c>
      <c r="AB1457" s="32">
        <f>IF($A1457=1,IF(Supplier_Invoices!$R50="","",Supplier_Invoices!$R50),"")</f>
        <v/>
      </c>
      <c r="AC1457" s="32">
        <f>IF($A1457=1,IF(Supplier_Invoices!$S50="","",Supplier_Invoices!$S50),"")</f>
        <v/>
      </c>
      <c r="AD1457" s="32">
        <f>IF($A1457=1,IF(Supplier_Invoices!$T50="","",Supplier_Invoices!$T50),"")</f>
        <v/>
      </c>
      <c r="AE1457" s="32">
        <f>IF($A1457=1,0,"")</f>
        <v/>
      </c>
      <c r="AF1457" s="32" t="inlineStr"/>
    </row>
    <row r="1458">
      <c r="A1458" s="32">
        <f>IF(AND(Supplier_Invoices!$AD50=1,Supplier_Invoices!$L50&lt;&gt;"",Supplier_Invoices!$V50&lt;&gt;"CN",N(Supplier_Invoices!$W50)&gt;0),1,0)</f>
        <v/>
      </c>
      <c r="B1458" s="32">
        <f>IF($A1458=1,$E1458&amp;"/5","")</f>
        <v/>
      </c>
      <c r="C1458" s="32">
        <f>IF($A1458=1,"J-"&amp;Supplier_Invoices!$A50,"")</f>
        <v/>
      </c>
      <c r="D1458" s="33">
        <f>IF($A1458=1,Supplier_Invoices!$E50,"")</f>
        <v/>
      </c>
      <c r="E1458" s="32">
        <f>IF($A1458=1,IF(Supplier_Invoices!$A50="","",Supplier_Invoices!$A50),"")</f>
        <v/>
      </c>
      <c r="F1458" s="32">
        <f>IF($A1458=1,"SINV","")</f>
        <v/>
      </c>
      <c r="G1458" s="32">
        <f>IF($A1458=1,IF(Supplier_Invoices!$AA50="","",Supplier_Invoices!$AA50),"")</f>
        <v/>
      </c>
      <c r="H1458" s="32">
        <f>IF($A1458=1,IF(COUNTIF(COA!$A:$A,$G1458)=0,"حساب غير معرف",INDEX(COA!$B:$B,MATCH($G1458,COA!$A:$A,0))),"")</f>
        <v/>
      </c>
      <c r="I1458" s="32">
        <f>IF($A1458=1,IF(Supplier_Invoices!$H50="","",Supplier_Invoices!$H50),"")</f>
        <v/>
      </c>
      <c r="J1458" s="32">
        <f>IF($A1458=1,"CC00","")</f>
        <v/>
      </c>
      <c r="K1458" s="32">
        <f>IF($A1458=1,"-","")</f>
        <v/>
      </c>
      <c r="L1458" s="32">
        <f>IF($A1458=1,"سداد فوري - "&amp;Supplier_Invoices!$F50&amp;" "&amp;Supplier_Invoices!$B50&amp;" - "&amp;Supplier_Invoices!$C50,"")</f>
        <v/>
      </c>
      <c r="M1458" s="43">
        <f>IF($A1458=1,0,"")</f>
        <v/>
      </c>
      <c r="N1458" s="43">
        <f>IF($A1458=1,Supplier_Invoices!$W50,"")</f>
        <v/>
      </c>
      <c r="O1458" s="32">
        <f>IF($A1458=1,Supplier_Invoices!$O50,"")</f>
        <v/>
      </c>
      <c r="P1458" s="32">
        <f>IF($A1458=1,IF(Supplier_Invoices!$AE50="","",Supplier_Invoices!$AE50),"")</f>
        <v/>
      </c>
      <c r="Q1458" s="32">
        <f>IF($A1458=1,Supplier_Invoices!$AG50,"")</f>
        <v/>
      </c>
      <c r="R1458" s="32">
        <f>IF($A1458=1,IF(AND($Q1458=1,COUNTIFS(COA!$A:$A,$G1458,COA!$R:$R,1)=1),1,0),"")</f>
        <v/>
      </c>
      <c r="S1458" s="43">
        <f>IF($A1458=1,IF($R1458=1,N($M1458),0),"")</f>
        <v/>
      </c>
      <c r="T1458" s="43">
        <f>IF($A1458=1,IF($R1458=1,N($N1458),0),"")</f>
        <v/>
      </c>
      <c r="U1458" s="32">
        <f>IF($A1458=1,YEAR($D1458)*100+MONTH($D1458),"")</f>
        <v/>
      </c>
      <c r="V1458" s="32">
        <f>IF($A1458=1,IF(COUNTIF(COA!$A:$A,$G1458)=0,0,INDEX(COA!$H:$H,MATCH($G1458,COA!$A:$A,0))),"")</f>
        <v/>
      </c>
      <c r="W1458" s="32">
        <f>IF($A1458=1,IF(Supplier_Invoices!$AB50="","",Supplier_Invoices!$AB50),"")</f>
        <v/>
      </c>
      <c r="X1458" s="32">
        <f>IF($A1458=1,IF($R1458=1,"",IF($O1458=ST_POST,IF($P1458&lt;&gt;"",$P1458,"حساب غير صالح أو غير نشط"),IF($O1458=ST_REV,"معكوس: لا أثر على الدفاتر",IF($O1458=ST_CANC,"ملغى",IF($O1458=ST_APPR,"معتمد ولم يُرحَّل","مسودة"))))),"")</f>
        <v/>
      </c>
      <c r="Y1458" s="32">
        <f>IF($A1458=1,IF(AND($R1458=1,OR(LG_Acct="",$G1458=LG_Acct),OR(LG_Party="",$K1458=LG_Party),OR(LG_Loc="ALL",$I1458=LG_Loc),OR(LG_CC="ALL",$J1458=LG_CC),$D1458&gt;=LG_From,$D1458&lt;=LG_To),$D1458+ROW()/1000000,""),"")</f>
        <v/>
      </c>
      <c r="Z1458" s="32">
        <f>IF($A1458=1,IF(Supplier_Invoices!$P50="","",Supplier_Invoices!$P50),"")</f>
        <v/>
      </c>
      <c r="AA1458" s="32">
        <f>IF($A1458=1,IF(Supplier_Invoices!$Q50="","",Supplier_Invoices!$Q50),"")</f>
        <v/>
      </c>
      <c r="AB1458" s="32">
        <f>IF($A1458=1,IF(Supplier_Invoices!$R50="","",Supplier_Invoices!$R50),"")</f>
        <v/>
      </c>
      <c r="AC1458" s="32">
        <f>IF($A1458=1,IF(Supplier_Invoices!$S50="","",Supplier_Invoices!$S50),"")</f>
        <v/>
      </c>
      <c r="AD1458" s="32">
        <f>IF($A1458=1,IF(Supplier_Invoices!$T50="","",Supplier_Invoices!$T50),"")</f>
        <v/>
      </c>
      <c r="AE1458" s="32">
        <f>IF($A1458=1,0,"")</f>
        <v/>
      </c>
      <c r="AF1458" s="32" t="inlineStr"/>
    </row>
    <row r="1459">
      <c r="A1459" s="32">
        <f>IF(AND(Supplier_Invoices!$AD51=1,N(Supplier_Invoices!$J51)&gt;0),1,0)</f>
        <v/>
      </c>
      <c r="B1459" s="32">
        <f>IF($A1459=1,$E1459&amp;"/1","")</f>
        <v/>
      </c>
      <c r="C1459" s="32">
        <f>IF($A1459=1,"J-"&amp;Supplier_Invoices!$A51,"")</f>
        <v/>
      </c>
      <c r="D1459" s="33">
        <f>IF($A1459=1,Supplier_Invoices!$E51,"")</f>
        <v/>
      </c>
      <c r="E1459" s="32">
        <f>IF($A1459=1,IF(Supplier_Invoices!$A51="","",Supplier_Invoices!$A51),"")</f>
        <v/>
      </c>
      <c r="F1459" s="32">
        <f>IF($A1459=1,"SINV","")</f>
        <v/>
      </c>
      <c r="G1459" s="32">
        <f>IF($A1459=1,IF(Supplier_Invoices!$G51="","",Supplier_Invoices!$G51),"")</f>
        <v/>
      </c>
      <c r="H1459" s="32">
        <f>IF($A1459=1,IF(COUNTIF(COA!$A:$A,$G1459)=0,"حساب غير معرف",INDEX(COA!$B:$B,MATCH($G1459,COA!$A:$A,0))),"")</f>
        <v/>
      </c>
      <c r="I1459" s="32">
        <f>IF($A1459=1,IF(Supplier_Invoices!$H51="","",Supplier_Invoices!$H51),"")</f>
        <v/>
      </c>
      <c r="J1459" s="32">
        <f>IF($A1459=1,IF(Supplier_Invoices!$I51="","",Supplier_Invoices!$I51),"")</f>
        <v/>
      </c>
      <c r="K1459" s="32">
        <f>IF($A1459=1,"-","")</f>
        <v/>
      </c>
      <c r="L1459" s="32">
        <f>IF($A1459=1,Supplier_Invoices!$F51&amp;" "&amp;Supplier_Invoices!$B51&amp;" - "&amp;Supplier_Invoices!$C51,"")</f>
        <v/>
      </c>
      <c r="M1459" s="43">
        <f>IF($A1459=1,IF(Supplier_Invoices!$V51="CN",0,Supplier_Invoices!$J51),"")</f>
        <v/>
      </c>
      <c r="N1459" s="43">
        <f>IF($A1459=1,IF(Supplier_Invoices!$V51="CN",Supplier_Invoices!$J51,0),"")</f>
        <v/>
      </c>
      <c r="O1459" s="32">
        <f>IF($A1459=1,Supplier_Invoices!$O51,"")</f>
        <v/>
      </c>
      <c r="P1459" s="32">
        <f>IF($A1459=1,IF(Supplier_Invoices!$AE51="","",Supplier_Invoices!$AE51),"")</f>
        <v/>
      </c>
      <c r="Q1459" s="32">
        <f>IF($A1459=1,Supplier_Invoices!$AG51,"")</f>
        <v/>
      </c>
      <c r="R1459" s="32">
        <f>IF($A1459=1,IF(AND($Q1459=1,COUNTIFS(COA!$A:$A,$G1459,COA!$R:$R,1)=1),1,0),"")</f>
        <v/>
      </c>
      <c r="S1459" s="43">
        <f>IF($A1459=1,IF($R1459=1,N($M1459),0),"")</f>
        <v/>
      </c>
      <c r="T1459" s="43">
        <f>IF($A1459=1,IF($R1459=1,N($N1459),0),"")</f>
        <v/>
      </c>
      <c r="U1459" s="32">
        <f>IF($A1459=1,YEAR($D1459)*100+MONTH($D1459),"")</f>
        <v/>
      </c>
      <c r="V1459" s="32">
        <f>IF($A1459=1,IF(COUNTIF(COA!$A:$A,$G1459)=0,0,INDEX(COA!$H:$H,MATCH($G1459,COA!$A:$A,0))),"")</f>
        <v/>
      </c>
      <c r="W1459" s="32">
        <f>IF($A1459=1,"","")</f>
        <v/>
      </c>
      <c r="X1459" s="32">
        <f>IF($A1459=1,IF($R1459=1,"",IF($O1459=ST_POST,IF($P1459&lt;&gt;"",$P1459,"حساب غير صالح أو غير نشط"),IF($O1459=ST_REV,"معكوس: لا أثر على الدفاتر",IF($O1459=ST_CANC,"ملغى",IF($O1459=ST_APPR,"معتمد ولم يُرحَّل","مسودة"))))),"")</f>
        <v/>
      </c>
      <c r="Y1459" s="32">
        <f>IF($A1459=1,IF(AND($R1459=1,OR(LG_Acct="",$G1459=LG_Acct),OR(LG_Party="",$K1459=LG_Party),OR(LG_Loc="ALL",$I1459=LG_Loc),OR(LG_CC="ALL",$J1459=LG_CC),$D1459&gt;=LG_From,$D1459&lt;=LG_To),$D1459+ROW()/1000000,""),"")</f>
        <v/>
      </c>
      <c r="Z1459" s="32">
        <f>IF($A1459=1,IF(Supplier_Invoices!$P51="","",Supplier_Invoices!$P51),"")</f>
        <v/>
      </c>
      <c r="AA1459" s="32">
        <f>IF($A1459=1,IF(Supplier_Invoices!$Q51="","",Supplier_Invoices!$Q51),"")</f>
        <v/>
      </c>
      <c r="AB1459" s="32">
        <f>IF($A1459=1,IF(Supplier_Invoices!$R51="","",Supplier_Invoices!$R51),"")</f>
        <v/>
      </c>
      <c r="AC1459" s="32">
        <f>IF($A1459=1,IF(Supplier_Invoices!$S51="","",Supplier_Invoices!$S51),"")</f>
        <v/>
      </c>
      <c r="AD1459" s="32">
        <f>IF($A1459=1,IF(Supplier_Invoices!$T51="","",Supplier_Invoices!$T51),"")</f>
        <v/>
      </c>
      <c r="AE1459" s="32">
        <f>IF($A1459=1,0,"")</f>
        <v/>
      </c>
      <c r="AF1459" s="32" t="inlineStr"/>
    </row>
    <row r="1460">
      <c r="A1460" s="32">
        <f>IF(AND(Supplier_Invoices!$AD51=1,N(Supplier_Invoices!$K51)&gt;0),1,0)</f>
        <v/>
      </c>
      <c r="B1460" s="32">
        <f>IF($A1460=1,$E1460&amp;"/2","")</f>
        <v/>
      </c>
      <c r="C1460" s="32">
        <f>IF($A1460=1,"J-"&amp;Supplier_Invoices!$A51,"")</f>
        <v/>
      </c>
      <c r="D1460" s="33">
        <f>IF($A1460=1,Supplier_Invoices!$E51,"")</f>
        <v/>
      </c>
      <c r="E1460" s="32">
        <f>IF($A1460=1,IF(Supplier_Invoices!$A51="","",Supplier_Invoices!$A51),"")</f>
        <v/>
      </c>
      <c r="F1460" s="32">
        <f>IF($A1460=1,"SINV","")</f>
        <v/>
      </c>
      <c r="G1460" s="32">
        <f>IF($A1460=1,ACC_VAT_IN,"")</f>
        <v/>
      </c>
      <c r="H1460" s="32">
        <f>IF($A1460=1,IF(COUNTIF(COA!$A:$A,$G1460)=0,"حساب غير معرف",INDEX(COA!$B:$B,MATCH($G1460,COA!$A:$A,0))),"")</f>
        <v/>
      </c>
      <c r="I1460" s="32">
        <f>IF($A1460=1,IF(Supplier_Invoices!$H51="","",Supplier_Invoices!$H51),"")</f>
        <v/>
      </c>
      <c r="J1460" s="32">
        <f>IF($A1460=1,IF(Supplier_Invoices!$I51="","",Supplier_Invoices!$I51),"")</f>
        <v/>
      </c>
      <c r="K1460" s="32">
        <f>IF($A1460=1,"-","")</f>
        <v/>
      </c>
      <c r="L1460" s="32">
        <f>IF($A1460=1,"ضريبة قيمة مضافة - مدخلات","")</f>
        <v/>
      </c>
      <c r="M1460" s="43">
        <f>IF($A1460=1,IF(Supplier_Invoices!$V51="CN",0,Supplier_Invoices!$K51),"")</f>
        <v/>
      </c>
      <c r="N1460" s="43">
        <f>IF($A1460=1,IF(Supplier_Invoices!$V51="CN",Supplier_Invoices!$K51,0),"")</f>
        <v/>
      </c>
      <c r="O1460" s="32">
        <f>IF($A1460=1,Supplier_Invoices!$O51,"")</f>
        <v/>
      </c>
      <c r="P1460" s="32">
        <f>IF($A1460=1,IF(Supplier_Invoices!$AE51="","",Supplier_Invoices!$AE51),"")</f>
        <v/>
      </c>
      <c r="Q1460" s="32">
        <f>IF($A1460=1,Supplier_Invoices!$AG51,"")</f>
        <v/>
      </c>
      <c r="R1460" s="32">
        <f>IF($A1460=1,IF(AND($Q1460=1,COUNTIFS(COA!$A:$A,$G1460,COA!$R:$R,1)=1),1,0),"")</f>
        <v/>
      </c>
      <c r="S1460" s="43">
        <f>IF($A1460=1,IF($R1460=1,N($M1460),0),"")</f>
        <v/>
      </c>
      <c r="T1460" s="43">
        <f>IF($A1460=1,IF($R1460=1,N($N1460),0),"")</f>
        <v/>
      </c>
      <c r="U1460" s="32">
        <f>IF($A1460=1,YEAR($D1460)*100+MONTH($D1460),"")</f>
        <v/>
      </c>
      <c r="V1460" s="32">
        <f>IF($A1460=1,IF(COUNTIF(COA!$A:$A,$G1460)=0,0,INDEX(COA!$H:$H,MATCH($G1460,COA!$A:$A,0))),"")</f>
        <v/>
      </c>
      <c r="W1460" s="32">
        <f>IF($A1460=1,"","")</f>
        <v/>
      </c>
      <c r="X1460" s="32">
        <f>IF($A1460=1,IF($R1460=1,"",IF($O1460=ST_POST,IF($P1460&lt;&gt;"",$P1460,"حساب غير صالح أو غير نشط"),IF($O1460=ST_REV,"معكوس: لا أثر على الدفاتر",IF($O1460=ST_CANC,"ملغى",IF($O1460=ST_APPR,"معتمد ولم يُرحَّل","مسودة"))))),"")</f>
        <v/>
      </c>
      <c r="Y1460" s="32">
        <f>IF($A1460=1,IF(AND($R1460=1,OR(LG_Acct="",$G1460=LG_Acct),OR(LG_Party="",$K1460=LG_Party),OR(LG_Loc="ALL",$I1460=LG_Loc),OR(LG_CC="ALL",$J1460=LG_CC),$D1460&gt;=LG_From,$D1460&lt;=LG_To),$D1460+ROW()/1000000,""),"")</f>
        <v/>
      </c>
      <c r="Z1460" s="32">
        <f>IF($A1460=1,IF(Supplier_Invoices!$P51="","",Supplier_Invoices!$P51),"")</f>
        <v/>
      </c>
      <c r="AA1460" s="32">
        <f>IF($A1460=1,IF(Supplier_Invoices!$Q51="","",Supplier_Invoices!$Q51),"")</f>
        <v/>
      </c>
      <c r="AB1460" s="32">
        <f>IF($A1460=1,IF(Supplier_Invoices!$R51="","",Supplier_Invoices!$R51),"")</f>
        <v/>
      </c>
      <c r="AC1460" s="32">
        <f>IF($A1460=1,IF(Supplier_Invoices!$S51="","",Supplier_Invoices!$S51),"")</f>
        <v/>
      </c>
      <c r="AD1460" s="32">
        <f>IF($A1460=1,IF(Supplier_Invoices!$T51="","",Supplier_Invoices!$T51),"")</f>
        <v/>
      </c>
      <c r="AE1460" s="32">
        <f>IF($A1460=1,0,"")</f>
        <v/>
      </c>
      <c r="AF1460" s="32" t="inlineStr"/>
    </row>
    <row r="1461">
      <c r="A1461" s="32">
        <f>IF(AND(Supplier_Invoices!$AD51=1,N(Supplier_Invoices!$W51)&gt;0),1,0)</f>
        <v/>
      </c>
      <c r="B1461" s="32">
        <f>IF($A1461=1,$E1461&amp;"/3","")</f>
        <v/>
      </c>
      <c r="C1461" s="32">
        <f>IF($A1461=1,"J-"&amp;Supplier_Invoices!$A51,"")</f>
        <v/>
      </c>
      <c r="D1461" s="33">
        <f>IF($A1461=1,Supplier_Invoices!$E51,"")</f>
        <v/>
      </c>
      <c r="E1461" s="32">
        <f>IF($A1461=1,IF(Supplier_Invoices!$A51="","",Supplier_Invoices!$A51),"")</f>
        <v/>
      </c>
      <c r="F1461" s="32">
        <f>IF($A1461=1,"SINV","")</f>
        <v/>
      </c>
      <c r="G1461" s="32">
        <f>IF($A1461=1,ACC_SUPPLIERS,"")</f>
        <v/>
      </c>
      <c r="H1461" s="32">
        <f>IF($A1461=1,IF(COUNTIF(COA!$A:$A,$G1461)=0,"حساب غير معرف",INDEX(COA!$B:$B,MATCH($G1461,COA!$A:$A,0))),"")</f>
        <v/>
      </c>
      <c r="I1461" s="32">
        <f>IF($A1461=1,IF(Supplier_Invoices!$H51="","",Supplier_Invoices!$H51),"")</f>
        <v/>
      </c>
      <c r="J1461" s="32">
        <f>IF($A1461=1,"CC00","")</f>
        <v/>
      </c>
      <c r="K1461" s="32">
        <f>IF($A1461=1,IF(Supplier_Invoices!$C51="","",Supplier_Invoices!$C51),"")</f>
        <v/>
      </c>
      <c r="L1461" s="32">
        <f>IF($A1461=1,Supplier_Invoices!$F51&amp;" "&amp;Supplier_Invoices!$B51&amp;" - "&amp;Supplier_Invoices!$C51,"")</f>
        <v/>
      </c>
      <c r="M1461" s="43">
        <f>IF($A1461=1,IF(Supplier_Invoices!$V51="CN",Supplier_Invoices!$W51,0),"")</f>
        <v/>
      </c>
      <c r="N1461" s="43">
        <f>IF($A1461=1,IF(Supplier_Invoices!$V51="CN",0,Supplier_Invoices!$W51),"")</f>
        <v/>
      </c>
      <c r="O1461" s="32">
        <f>IF($A1461=1,Supplier_Invoices!$O51,"")</f>
        <v/>
      </c>
      <c r="P1461" s="32">
        <f>IF($A1461=1,IF(Supplier_Invoices!$AE51="","",Supplier_Invoices!$AE51),"")</f>
        <v/>
      </c>
      <c r="Q1461" s="32">
        <f>IF($A1461=1,Supplier_Invoices!$AG51,"")</f>
        <v/>
      </c>
      <c r="R1461" s="32">
        <f>IF($A1461=1,IF(AND($Q1461=1,COUNTIFS(COA!$A:$A,$G1461,COA!$R:$R,1)=1),1,0),"")</f>
        <v/>
      </c>
      <c r="S1461" s="43">
        <f>IF($A1461=1,IF($R1461=1,N($M1461),0),"")</f>
        <v/>
      </c>
      <c r="T1461" s="43">
        <f>IF($A1461=1,IF($R1461=1,N($N1461),0),"")</f>
        <v/>
      </c>
      <c r="U1461" s="32">
        <f>IF($A1461=1,YEAR($D1461)*100+MONTH($D1461),"")</f>
        <v/>
      </c>
      <c r="V1461" s="32">
        <f>IF($A1461=1,IF(COUNTIF(COA!$A:$A,$G1461)=0,0,INDEX(COA!$H:$H,MATCH($G1461,COA!$A:$A,0))),"")</f>
        <v/>
      </c>
      <c r="W1461" s="32">
        <f>IF($A1461=1,"","")</f>
        <v/>
      </c>
      <c r="X1461" s="32">
        <f>IF($A1461=1,IF($R1461=1,"",IF($O1461=ST_POST,IF($P1461&lt;&gt;"",$P1461,"حساب غير صالح أو غير نشط"),IF($O1461=ST_REV,"معكوس: لا أثر على الدفاتر",IF($O1461=ST_CANC,"ملغى",IF($O1461=ST_APPR,"معتمد ولم يُرحَّل","مسودة"))))),"")</f>
        <v/>
      </c>
      <c r="Y1461" s="32">
        <f>IF($A1461=1,IF(AND($R1461=1,OR(LG_Acct="",$G1461=LG_Acct),OR(LG_Party="",$K1461=LG_Party),OR(LG_Loc="ALL",$I1461=LG_Loc),OR(LG_CC="ALL",$J1461=LG_CC),$D1461&gt;=LG_From,$D1461&lt;=LG_To),$D1461+ROW()/1000000,""),"")</f>
        <v/>
      </c>
      <c r="Z1461" s="32">
        <f>IF($A1461=1,IF(Supplier_Invoices!$P51="","",Supplier_Invoices!$P51),"")</f>
        <v/>
      </c>
      <c r="AA1461" s="32">
        <f>IF($A1461=1,IF(Supplier_Invoices!$Q51="","",Supplier_Invoices!$Q51),"")</f>
        <v/>
      </c>
      <c r="AB1461" s="32">
        <f>IF($A1461=1,IF(Supplier_Invoices!$R51="","",Supplier_Invoices!$R51),"")</f>
        <v/>
      </c>
      <c r="AC1461" s="32">
        <f>IF($A1461=1,IF(Supplier_Invoices!$S51="","",Supplier_Invoices!$S51),"")</f>
        <v/>
      </c>
      <c r="AD1461" s="32">
        <f>IF($A1461=1,IF(Supplier_Invoices!$T51="","",Supplier_Invoices!$T51),"")</f>
        <v/>
      </c>
      <c r="AE1461" s="32">
        <f>IF($A1461=1,0,"")</f>
        <v/>
      </c>
      <c r="AF1461" s="32" t="inlineStr"/>
    </row>
    <row r="1462">
      <c r="A1462" s="32">
        <f>IF(AND(Supplier_Invoices!$AD51=1,Supplier_Invoices!$L51&lt;&gt;"",Supplier_Invoices!$V51&lt;&gt;"CN",N(Supplier_Invoices!$W51)&gt;0),1,0)</f>
        <v/>
      </c>
      <c r="B1462" s="32">
        <f>IF($A1462=1,$E1462&amp;"/4","")</f>
        <v/>
      </c>
      <c r="C1462" s="32">
        <f>IF($A1462=1,"J-"&amp;Supplier_Invoices!$A51,"")</f>
        <v/>
      </c>
      <c r="D1462" s="33">
        <f>IF($A1462=1,Supplier_Invoices!$E51,"")</f>
        <v/>
      </c>
      <c r="E1462" s="32">
        <f>IF($A1462=1,IF(Supplier_Invoices!$A51="","",Supplier_Invoices!$A51),"")</f>
        <v/>
      </c>
      <c r="F1462" s="32">
        <f>IF($A1462=1,"SINV","")</f>
        <v/>
      </c>
      <c r="G1462" s="32">
        <f>IF($A1462=1,ACC_SUPPLIERS,"")</f>
        <v/>
      </c>
      <c r="H1462" s="32">
        <f>IF($A1462=1,IF(COUNTIF(COA!$A:$A,$G1462)=0,"حساب غير معرف",INDEX(COA!$B:$B,MATCH($G1462,COA!$A:$A,0))),"")</f>
        <v/>
      </c>
      <c r="I1462" s="32">
        <f>IF($A1462=1,IF(Supplier_Invoices!$H51="","",Supplier_Invoices!$H51),"")</f>
        <v/>
      </c>
      <c r="J1462" s="32">
        <f>IF($A1462=1,"CC00","")</f>
        <v/>
      </c>
      <c r="K1462" s="32">
        <f>IF($A1462=1,IF(Supplier_Invoices!$C51="","",Supplier_Invoices!$C51),"")</f>
        <v/>
      </c>
      <c r="L1462" s="32">
        <f>IF($A1462=1,"سداد فوري - "&amp;Supplier_Invoices!$F51&amp;" "&amp;Supplier_Invoices!$B51&amp;" - "&amp;Supplier_Invoices!$C51,"")</f>
        <v/>
      </c>
      <c r="M1462" s="43">
        <f>IF($A1462=1,Supplier_Invoices!$W51,"")</f>
        <v/>
      </c>
      <c r="N1462" s="43">
        <f>IF($A1462=1,0,"")</f>
        <v/>
      </c>
      <c r="O1462" s="32">
        <f>IF($A1462=1,Supplier_Invoices!$O51,"")</f>
        <v/>
      </c>
      <c r="P1462" s="32">
        <f>IF($A1462=1,IF(Supplier_Invoices!$AE51="","",Supplier_Invoices!$AE51),"")</f>
        <v/>
      </c>
      <c r="Q1462" s="32">
        <f>IF($A1462=1,Supplier_Invoices!$AG51,"")</f>
        <v/>
      </c>
      <c r="R1462" s="32">
        <f>IF($A1462=1,IF(AND($Q1462=1,COUNTIFS(COA!$A:$A,$G1462,COA!$R:$R,1)=1),1,0),"")</f>
        <v/>
      </c>
      <c r="S1462" s="43">
        <f>IF($A1462=1,IF($R1462=1,N($M1462),0),"")</f>
        <v/>
      </c>
      <c r="T1462" s="43">
        <f>IF($A1462=1,IF($R1462=1,N($N1462),0),"")</f>
        <v/>
      </c>
      <c r="U1462" s="32">
        <f>IF($A1462=1,YEAR($D1462)*100+MONTH($D1462),"")</f>
        <v/>
      </c>
      <c r="V1462" s="32">
        <f>IF($A1462=1,IF(COUNTIF(COA!$A:$A,$G1462)=0,0,INDEX(COA!$H:$H,MATCH($G1462,COA!$A:$A,0))),"")</f>
        <v/>
      </c>
      <c r="W1462" s="32">
        <f>IF($A1462=1,"","")</f>
        <v/>
      </c>
      <c r="X1462" s="32">
        <f>IF($A1462=1,IF($R1462=1,"",IF($O1462=ST_POST,IF($P1462&lt;&gt;"",$P1462,"حساب غير صالح أو غير نشط"),IF($O1462=ST_REV,"معكوس: لا أثر على الدفاتر",IF($O1462=ST_CANC,"ملغى",IF($O1462=ST_APPR,"معتمد ولم يُرحَّل","مسودة"))))),"")</f>
        <v/>
      </c>
      <c r="Y1462" s="32">
        <f>IF($A1462=1,IF(AND($R1462=1,OR(LG_Acct="",$G1462=LG_Acct),OR(LG_Party="",$K1462=LG_Party),OR(LG_Loc="ALL",$I1462=LG_Loc),OR(LG_CC="ALL",$J1462=LG_CC),$D1462&gt;=LG_From,$D1462&lt;=LG_To),$D1462+ROW()/1000000,""),"")</f>
        <v/>
      </c>
      <c r="Z1462" s="32">
        <f>IF($A1462=1,IF(Supplier_Invoices!$P51="","",Supplier_Invoices!$P51),"")</f>
        <v/>
      </c>
      <c r="AA1462" s="32">
        <f>IF($A1462=1,IF(Supplier_Invoices!$Q51="","",Supplier_Invoices!$Q51),"")</f>
        <v/>
      </c>
      <c r="AB1462" s="32">
        <f>IF($A1462=1,IF(Supplier_Invoices!$R51="","",Supplier_Invoices!$R51),"")</f>
        <v/>
      </c>
      <c r="AC1462" s="32">
        <f>IF($A1462=1,IF(Supplier_Invoices!$S51="","",Supplier_Invoices!$S51),"")</f>
        <v/>
      </c>
      <c r="AD1462" s="32">
        <f>IF($A1462=1,IF(Supplier_Invoices!$T51="","",Supplier_Invoices!$T51),"")</f>
        <v/>
      </c>
      <c r="AE1462" s="32">
        <f>IF($A1462=1,0,"")</f>
        <v/>
      </c>
      <c r="AF1462" s="32" t="inlineStr"/>
    </row>
    <row r="1463">
      <c r="A1463" s="32">
        <f>IF(AND(Supplier_Invoices!$AD51=1,Supplier_Invoices!$L51&lt;&gt;"",Supplier_Invoices!$V51&lt;&gt;"CN",N(Supplier_Invoices!$W51)&gt;0),1,0)</f>
        <v/>
      </c>
      <c r="B1463" s="32">
        <f>IF($A1463=1,$E1463&amp;"/5","")</f>
        <v/>
      </c>
      <c r="C1463" s="32">
        <f>IF($A1463=1,"J-"&amp;Supplier_Invoices!$A51,"")</f>
        <v/>
      </c>
      <c r="D1463" s="33">
        <f>IF($A1463=1,Supplier_Invoices!$E51,"")</f>
        <v/>
      </c>
      <c r="E1463" s="32">
        <f>IF($A1463=1,IF(Supplier_Invoices!$A51="","",Supplier_Invoices!$A51),"")</f>
        <v/>
      </c>
      <c r="F1463" s="32">
        <f>IF($A1463=1,"SINV","")</f>
        <v/>
      </c>
      <c r="G1463" s="32">
        <f>IF($A1463=1,IF(Supplier_Invoices!$AA51="","",Supplier_Invoices!$AA51),"")</f>
        <v/>
      </c>
      <c r="H1463" s="32">
        <f>IF($A1463=1,IF(COUNTIF(COA!$A:$A,$G1463)=0,"حساب غير معرف",INDEX(COA!$B:$B,MATCH($G1463,COA!$A:$A,0))),"")</f>
        <v/>
      </c>
      <c r="I1463" s="32">
        <f>IF($A1463=1,IF(Supplier_Invoices!$H51="","",Supplier_Invoices!$H51),"")</f>
        <v/>
      </c>
      <c r="J1463" s="32">
        <f>IF($A1463=1,"CC00","")</f>
        <v/>
      </c>
      <c r="K1463" s="32">
        <f>IF($A1463=1,"-","")</f>
        <v/>
      </c>
      <c r="L1463" s="32">
        <f>IF($A1463=1,"سداد فوري - "&amp;Supplier_Invoices!$F51&amp;" "&amp;Supplier_Invoices!$B51&amp;" - "&amp;Supplier_Invoices!$C51,"")</f>
        <v/>
      </c>
      <c r="M1463" s="43">
        <f>IF($A1463=1,0,"")</f>
        <v/>
      </c>
      <c r="N1463" s="43">
        <f>IF($A1463=1,Supplier_Invoices!$W51,"")</f>
        <v/>
      </c>
      <c r="O1463" s="32">
        <f>IF($A1463=1,Supplier_Invoices!$O51,"")</f>
        <v/>
      </c>
      <c r="P1463" s="32">
        <f>IF($A1463=1,IF(Supplier_Invoices!$AE51="","",Supplier_Invoices!$AE51),"")</f>
        <v/>
      </c>
      <c r="Q1463" s="32">
        <f>IF($A1463=1,Supplier_Invoices!$AG51,"")</f>
        <v/>
      </c>
      <c r="R1463" s="32">
        <f>IF($A1463=1,IF(AND($Q1463=1,COUNTIFS(COA!$A:$A,$G1463,COA!$R:$R,1)=1),1,0),"")</f>
        <v/>
      </c>
      <c r="S1463" s="43">
        <f>IF($A1463=1,IF($R1463=1,N($M1463),0),"")</f>
        <v/>
      </c>
      <c r="T1463" s="43">
        <f>IF($A1463=1,IF($R1463=1,N($N1463),0),"")</f>
        <v/>
      </c>
      <c r="U1463" s="32">
        <f>IF($A1463=1,YEAR($D1463)*100+MONTH($D1463),"")</f>
        <v/>
      </c>
      <c r="V1463" s="32">
        <f>IF($A1463=1,IF(COUNTIF(COA!$A:$A,$G1463)=0,0,INDEX(COA!$H:$H,MATCH($G1463,COA!$A:$A,0))),"")</f>
        <v/>
      </c>
      <c r="W1463" s="32">
        <f>IF($A1463=1,IF(Supplier_Invoices!$AB51="","",Supplier_Invoices!$AB51),"")</f>
        <v/>
      </c>
      <c r="X1463" s="32">
        <f>IF($A1463=1,IF($R1463=1,"",IF($O1463=ST_POST,IF($P1463&lt;&gt;"",$P1463,"حساب غير صالح أو غير نشط"),IF($O1463=ST_REV,"معكوس: لا أثر على الدفاتر",IF($O1463=ST_CANC,"ملغى",IF($O1463=ST_APPR,"معتمد ولم يُرحَّل","مسودة"))))),"")</f>
        <v/>
      </c>
      <c r="Y1463" s="32">
        <f>IF($A1463=1,IF(AND($R1463=1,OR(LG_Acct="",$G1463=LG_Acct),OR(LG_Party="",$K1463=LG_Party),OR(LG_Loc="ALL",$I1463=LG_Loc),OR(LG_CC="ALL",$J1463=LG_CC),$D1463&gt;=LG_From,$D1463&lt;=LG_To),$D1463+ROW()/1000000,""),"")</f>
        <v/>
      </c>
      <c r="Z1463" s="32">
        <f>IF($A1463=1,IF(Supplier_Invoices!$P51="","",Supplier_Invoices!$P51),"")</f>
        <v/>
      </c>
      <c r="AA1463" s="32">
        <f>IF($A1463=1,IF(Supplier_Invoices!$Q51="","",Supplier_Invoices!$Q51),"")</f>
        <v/>
      </c>
      <c r="AB1463" s="32">
        <f>IF($A1463=1,IF(Supplier_Invoices!$R51="","",Supplier_Invoices!$R51),"")</f>
        <v/>
      </c>
      <c r="AC1463" s="32">
        <f>IF($A1463=1,IF(Supplier_Invoices!$S51="","",Supplier_Invoices!$S51),"")</f>
        <v/>
      </c>
      <c r="AD1463" s="32">
        <f>IF($A1463=1,IF(Supplier_Invoices!$T51="","",Supplier_Invoices!$T51),"")</f>
        <v/>
      </c>
      <c r="AE1463" s="32">
        <f>IF($A1463=1,0,"")</f>
        <v/>
      </c>
      <c r="AF1463" s="32" t="inlineStr"/>
    </row>
    <row r="1464">
      <c r="A1464" s="32">
        <f>IF(AND(Supplier_Invoices!$AD52=1,N(Supplier_Invoices!$J52)&gt;0),1,0)</f>
        <v/>
      </c>
      <c r="B1464" s="32">
        <f>IF($A1464=1,$E1464&amp;"/1","")</f>
        <v/>
      </c>
      <c r="C1464" s="32">
        <f>IF($A1464=1,"J-"&amp;Supplier_Invoices!$A52,"")</f>
        <v/>
      </c>
      <c r="D1464" s="33">
        <f>IF($A1464=1,Supplier_Invoices!$E52,"")</f>
        <v/>
      </c>
      <c r="E1464" s="32">
        <f>IF($A1464=1,IF(Supplier_Invoices!$A52="","",Supplier_Invoices!$A52),"")</f>
        <v/>
      </c>
      <c r="F1464" s="32">
        <f>IF($A1464=1,"SINV","")</f>
        <v/>
      </c>
      <c r="G1464" s="32">
        <f>IF($A1464=1,IF(Supplier_Invoices!$G52="","",Supplier_Invoices!$G52),"")</f>
        <v/>
      </c>
      <c r="H1464" s="32">
        <f>IF($A1464=1,IF(COUNTIF(COA!$A:$A,$G1464)=0,"حساب غير معرف",INDEX(COA!$B:$B,MATCH($G1464,COA!$A:$A,0))),"")</f>
        <v/>
      </c>
      <c r="I1464" s="32">
        <f>IF($A1464=1,IF(Supplier_Invoices!$H52="","",Supplier_Invoices!$H52),"")</f>
        <v/>
      </c>
      <c r="J1464" s="32">
        <f>IF($A1464=1,IF(Supplier_Invoices!$I52="","",Supplier_Invoices!$I52),"")</f>
        <v/>
      </c>
      <c r="K1464" s="32">
        <f>IF($A1464=1,"-","")</f>
        <v/>
      </c>
      <c r="L1464" s="32">
        <f>IF($A1464=1,Supplier_Invoices!$F52&amp;" "&amp;Supplier_Invoices!$B52&amp;" - "&amp;Supplier_Invoices!$C52,"")</f>
        <v/>
      </c>
      <c r="M1464" s="43">
        <f>IF($A1464=1,IF(Supplier_Invoices!$V52="CN",0,Supplier_Invoices!$J52),"")</f>
        <v/>
      </c>
      <c r="N1464" s="43">
        <f>IF($A1464=1,IF(Supplier_Invoices!$V52="CN",Supplier_Invoices!$J52,0),"")</f>
        <v/>
      </c>
      <c r="O1464" s="32">
        <f>IF($A1464=1,Supplier_Invoices!$O52,"")</f>
        <v/>
      </c>
      <c r="P1464" s="32">
        <f>IF($A1464=1,IF(Supplier_Invoices!$AE52="","",Supplier_Invoices!$AE52),"")</f>
        <v/>
      </c>
      <c r="Q1464" s="32">
        <f>IF($A1464=1,Supplier_Invoices!$AG52,"")</f>
        <v/>
      </c>
      <c r="R1464" s="32">
        <f>IF($A1464=1,IF(AND($Q1464=1,COUNTIFS(COA!$A:$A,$G1464,COA!$R:$R,1)=1),1,0),"")</f>
        <v/>
      </c>
      <c r="S1464" s="43">
        <f>IF($A1464=1,IF($R1464=1,N($M1464),0),"")</f>
        <v/>
      </c>
      <c r="T1464" s="43">
        <f>IF($A1464=1,IF($R1464=1,N($N1464),0),"")</f>
        <v/>
      </c>
      <c r="U1464" s="32">
        <f>IF($A1464=1,YEAR($D1464)*100+MONTH($D1464),"")</f>
        <v/>
      </c>
      <c r="V1464" s="32">
        <f>IF($A1464=1,IF(COUNTIF(COA!$A:$A,$G1464)=0,0,INDEX(COA!$H:$H,MATCH($G1464,COA!$A:$A,0))),"")</f>
        <v/>
      </c>
      <c r="W1464" s="32">
        <f>IF($A1464=1,"","")</f>
        <v/>
      </c>
      <c r="X1464" s="32">
        <f>IF($A1464=1,IF($R1464=1,"",IF($O1464=ST_POST,IF($P1464&lt;&gt;"",$P1464,"حساب غير صالح أو غير نشط"),IF($O1464=ST_REV,"معكوس: لا أثر على الدفاتر",IF($O1464=ST_CANC,"ملغى",IF($O1464=ST_APPR,"معتمد ولم يُرحَّل","مسودة"))))),"")</f>
        <v/>
      </c>
      <c r="Y1464" s="32">
        <f>IF($A1464=1,IF(AND($R1464=1,OR(LG_Acct="",$G1464=LG_Acct),OR(LG_Party="",$K1464=LG_Party),OR(LG_Loc="ALL",$I1464=LG_Loc),OR(LG_CC="ALL",$J1464=LG_CC),$D1464&gt;=LG_From,$D1464&lt;=LG_To),$D1464+ROW()/1000000,""),"")</f>
        <v/>
      </c>
      <c r="Z1464" s="32">
        <f>IF($A1464=1,IF(Supplier_Invoices!$P52="","",Supplier_Invoices!$P52),"")</f>
        <v/>
      </c>
      <c r="AA1464" s="32">
        <f>IF($A1464=1,IF(Supplier_Invoices!$Q52="","",Supplier_Invoices!$Q52),"")</f>
        <v/>
      </c>
      <c r="AB1464" s="32">
        <f>IF($A1464=1,IF(Supplier_Invoices!$R52="","",Supplier_Invoices!$R52),"")</f>
        <v/>
      </c>
      <c r="AC1464" s="32">
        <f>IF($A1464=1,IF(Supplier_Invoices!$S52="","",Supplier_Invoices!$S52),"")</f>
        <v/>
      </c>
      <c r="AD1464" s="32">
        <f>IF($A1464=1,IF(Supplier_Invoices!$T52="","",Supplier_Invoices!$T52),"")</f>
        <v/>
      </c>
      <c r="AE1464" s="32">
        <f>IF($A1464=1,0,"")</f>
        <v/>
      </c>
      <c r="AF1464" s="32" t="inlineStr"/>
    </row>
    <row r="1465">
      <c r="A1465" s="32">
        <f>IF(AND(Supplier_Invoices!$AD52=1,N(Supplier_Invoices!$K52)&gt;0),1,0)</f>
        <v/>
      </c>
      <c r="B1465" s="32">
        <f>IF($A1465=1,$E1465&amp;"/2","")</f>
        <v/>
      </c>
      <c r="C1465" s="32">
        <f>IF($A1465=1,"J-"&amp;Supplier_Invoices!$A52,"")</f>
        <v/>
      </c>
      <c r="D1465" s="33">
        <f>IF($A1465=1,Supplier_Invoices!$E52,"")</f>
        <v/>
      </c>
      <c r="E1465" s="32">
        <f>IF($A1465=1,IF(Supplier_Invoices!$A52="","",Supplier_Invoices!$A52),"")</f>
        <v/>
      </c>
      <c r="F1465" s="32">
        <f>IF($A1465=1,"SINV","")</f>
        <v/>
      </c>
      <c r="G1465" s="32">
        <f>IF($A1465=1,ACC_VAT_IN,"")</f>
        <v/>
      </c>
      <c r="H1465" s="32">
        <f>IF($A1465=1,IF(COUNTIF(COA!$A:$A,$G1465)=0,"حساب غير معرف",INDEX(COA!$B:$B,MATCH($G1465,COA!$A:$A,0))),"")</f>
        <v/>
      </c>
      <c r="I1465" s="32">
        <f>IF($A1465=1,IF(Supplier_Invoices!$H52="","",Supplier_Invoices!$H52),"")</f>
        <v/>
      </c>
      <c r="J1465" s="32">
        <f>IF($A1465=1,IF(Supplier_Invoices!$I52="","",Supplier_Invoices!$I52),"")</f>
        <v/>
      </c>
      <c r="K1465" s="32">
        <f>IF($A1465=1,"-","")</f>
        <v/>
      </c>
      <c r="L1465" s="32">
        <f>IF($A1465=1,"ضريبة قيمة مضافة - مدخلات","")</f>
        <v/>
      </c>
      <c r="M1465" s="43">
        <f>IF($A1465=1,IF(Supplier_Invoices!$V52="CN",0,Supplier_Invoices!$K52),"")</f>
        <v/>
      </c>
      <c r="N1465" s="43">
        <f>IF($A1465=1,IF(Supplier_Invoices!$V52="CN",Supplier_Invoices!$K52,0),"")</f>
        <v/>
      </c>
      <c r="O1465" s="32">
        <f>IF($A1465=1,Supplier_Invoices!$O52,"")</f>
        <v/>
      </c>
      <c r="P1465" s="32">
        <f>IF($A1465=1,IF(Supplier_Invoices!$AE52="","",Supplier_Invoices!$AE52),"")</f>
        <v/>
      </c>
      <c r="Q1465" s="32">
        <f>IF($A1465=1,Supplier_Invoices!$AG52,"")</f>
        <v/>
      </c>
      <c r="R1465" s="32">
        <f>IF($A1465=1,IF(AND($Q1465=1,COUNTIFS(COA!$A:$A,$G1465,COA!$R:$R,1)=1),1,0),"")</f>
        <v/>
      </c>
      <c r="S1465" s="43">
        <f>IF($A1465=1,IF($R1465=1,N($M1465),0),"")</f>
        <v/>
      </c>
      <c r="T1465" s="43">
        <f>IF($A1465=1,IF($R1465=1,N($N1465),0),"")</f>
        <v/>
      </c>
      <c r="U1465" s="32">
        <f>IF($A1465=1,YEAR($D1465)*100+MONTH($D1465),"")</f>
        <v/>
      </c>
      <c r="V1465" s="32">
        <f>IF($A1465=1,IF(COUNTIF(COA!$A:$A,$G1465)=0,0,INDEX(COA!$H:$H,MATCH($G1465,COA!$A:$A,0))),"")</f>
        <v/>
      </c>
      <c r="W1465" s="32">
        <f>IF($A1465=1,"","")</f>
        <v/>
      </c>
      <c r="X1465" s="32">
        <f>IF($A1465=1,IF($R1465=1,"",IF($O1465=ST_POST,IF($P1465&lt;&gt;"",$P1465,"حساب غير صالح أو غير نشط"),IF($O1465=ST_REV,"معكوس: لا أثر على الدفاتر",IF($O1465=ST_CANC,"ملغى",IF($O1465=ST_APPR,"معتمد ولم يُرحَّل","مسودة"))))),"")</f>
        <v/>
      </c>
      <c r="Y1465" s="32">
        <f>IF($A1465=1,IF(AND($R1465=1,OR(LG_Acct="",$G1465=LG_Acct),OR(LG_Party="",$K1465=LG_Party),OR(LG_Loc="ALL",$I1465=LG_Loc),OR(LG_CC="ALL",$J1465=LG_CC),$D1465&gt;=LG_From,$D1465&lt;=LG_To),$D1465+ROW()/1000000,""),"")</f>
        <v/>
      </c>
      <c r="Z1465" s="32">
        <f>IF($A1465=1,IF(Supplier_Invoices!$P52="","",Supplier_Invoices!$P52),"")</f>
        <v/>
      </c>
      <c r="AA1465" s="32">
        <f>IF($A1465=1,IF(Supplier_Invoices!$Q52="","",Supplier_Invoices!$Q52),"")</f>
        <v/>
      </c>
      <c r="AB1465" s="32">
        <f>IF($A1465=1,IF(Supplier_Invoices!$R52="","",Supplier_Invoices!$R52),"")</f>
        <v/>
      </c>
      <c r="AC1465" s="32">
        <f>IF($A1465=1,IF(Supplier_Invoices!$S52="","",Supplier_Invoices!$S52),"")</f>
        <v/>
      </c>
      <c r="AD1465" s="32">
        <f>IF($A1465=1,IF(Supplier_Invoices!$T52="","",Supplier_Invoices!$T52),"")</f>
        <v/>
      </c>
      <c r="AE1465" s="32">
        <f>IF($A1465=1,0,"")</f>
        <v/>
      </c>
      <c r="AF1465" s="32" t="inlineStr"/>
    </row>
    <row r="1466">
      <c r="A1466" s="32">
        <f>IF(AND(Supplier_Invoices!$AD52=1,N(Supplier_Invoices!$W52)&gt;0),1,0)</f>
        <v/>
      </c>
      <c r="B1466" s="32">
        <f>IF($A1466=1,$E1466&amp;"/3","")</f>
        <v/>
      </c>
      <c r="C1466" s="32">
        <f>IF($A1466=1,"J-"&amp;Supplier_Invoices!$A52,"")</f>
        <v/>
      </c>
      <c r="D1466" s="33">
        <f>IF($A1466=1,Supplier_Invoices!$E52,"")</f>
        <v/>
      </c>
      <c r="E1466" s="32">
        <f>IF($A1466=1,IF(Supplier_Invoices!$A52="","",Supplier_Invoices!$A52),"")</f>
        <v/>
      </c>
      <c r="F1466" s="32">
        <f>IF($A1466=1,"SINV","")</f>
        <v/>
      </c>
      <c r="G1466" s="32">
        <f>IF($A1466=1,ACC_SUPPLIERS,"")</f>
        <v/>
      </c>
      <c r="H1466" s="32">
        <f>IF($A1466=1,IF(COUNTIF(COA!$A:$A,$G1466)=0,"حساب غير معرف",INDEX(COA!$B:$B,MATCH($G1466,COA!$A:$A,0))),"")</f>
        <v/>
      </c>
      <c r="I1466" s="32">
        <f>IF($A1466=1,IF(Supplier_Invoices!$H52="","",Supplier_Invoices!$H52),"")</f>
        <v/>
      </c>
      <c r="J1466" s="32">
        <f>IF($A1466=1,"CC00","")</f>
        <v/>
      </c>
      <c r="K1466" s="32">
        <f>IF($A1466=1,IF(Supplier_Invoices!$C52="","",Supplier_Invoices!$C52),"")</f>
        <v/>
      </c>
      <c r="L1466" s="32">
        <f>IF($A1466=1,Supplier_Invoices!$F52&amp;" "&amp;Supplier_Invoices!$B52&amp;" - "&amp;Supplier_Invoices!$C52,"")</f>
        <v/>
      </c>
      <c r="M1466" s="43">
        <f>IF($A1466=1,IF(Supplier_Invoices!$V52="CN",Supplier_Invoices!$W52,0),"")</f>
        <v/>
      </c>
      <c r="N1466" s="43">
        <f>IF($A1466=1,IF(Supplier_Invoices!$V52="CN",0,Supplier_Invoices!$W52),"")</f>
        <v/>
      </c>
      <c r="O1466" s="32">
        <f>IF($A1466=1,Supplier_Invoices!$O52,"")</f>
        <v/>
      </c>
      <c r="P1466" s="32">
        <f>IF($A1466=1,IF(Supplier_Invoices!$AE52="","",Supplier_Invoices!$AE52),"")</f>
        <v/>
      </c>
      <c r="Q1466" s="32">
        <f>IF($A1466=1,Supplier_Invoices!$AG52,"")</f>
        <v/>
      </c>
      <c r="R1466" s="32">
        <f>IF($A1466=1,IF(AND($Q1466=1,COUNTIFS(COA!$A:$A,$G1466,COA!$R:$R,1)=1),1,0),"")</f>
        <v/>
      </c>
      <c r="S1466" s="43">
        <f>IF($A1466=1,IF($R1466=1,N($M1466),0),"")</f>
        <v/>
      </c>
      <c r="T1466" s="43">
        <f>IF($A1466=1,IF($R1466=1,N($N1466),0),"")</f>
        <v/>
      </c>
      <c r="U1466" s="32">
        <f>IF($A1466=1,YEAR($D1466)*100+MONTH($D1466),"")</f>
        <v/>
      </c>
      <c r="V1466" s="32">
        <f>IF($A1466=1,IF(COUNTIF(COA!$A:$A,$G1466)=0,0,INDEX(COA!$H:$H,MATCH($G1466,COA!$A:$A,0))),"")</f>
        <v/>
      </c>
      <c r="W1466" s="32">
        <f>IF($A1466=1,"","")</f>
        <v/>
      </c>
      <c r="X1466" s="32">
        <f>IF($A1466=1,IF($R1466=1,"",IF($O1466=ST_POST,IF($P1466&lt;&gt;"",$P1466,"حساب غير صالح أو غير نشط"),IF($O1466=ST_REV,"معكوس: لا أثر على الدفاتر",IF($O1466=ST_CANC,"ملغى",IF($O1466=ST_APPR,"معتمد ولم يُرحَّل","مسودة"))))),"")</f>
        <v/>
      </c>
      <c r="Y1466" s="32">
        <f>IF($A1466=1,IF(AND($R1466=1,OR(LG_Acct="",$G1466=LG_Acct),OR(LG_Party="",$K1466=LG_Party),OR(LG_Loc="ALL",$I1466=LG_Loc),OR(LG_CC="ALL",$J1466=LG_CC),$D1466&gt;=LG_From,$D1466&lt;=LG_To),$D1466+ROW()/1000000,""),"")</f>
        <v/>
      </c>
      <c r="Z1466" s="32">
        <f>IF($A1466=1,IF(Supplier_Invoices!$P52="","",Supplier_Invoices!$P52),"")</f>
        <v/>
      </c>
      <c r="AA1466" s="32">
        <f>IF($A1466=1,IF(Supplier_Invoices!$Q52="","",Supplier_Invoices!$Q52),"")</f>
        <v/>
      </c>
      <c r="AB1466" s="32">
        <f>IF($A1466=1,IF(Supplier_Invoices!$R52="","",Supplier_Invoices!$R52),"")</f>
        <v/>
      </c>
      <c r="AC1466" s="32">
        <f>IF($A1466=1,IF(Supplier_Invoices!$S52="","",Supplier_Invoices!$S52),"")</f>
        <v/>
      </c>
      <c r="AD1466" s="32">
        <f>IF($A1466=1,IF(Supplier_Invoices!$T52="","",Supplier_Invoices!$T52),"")</f>
        <v/>
      </c>
      <c r="AE1466" s="32">
        <f>IF($A1466=1,0,"")</f>
        <v/>
      </c>
      <c r="AF1466" s="32" t="inlineStr"/>
    </row>
    <row r="1467">
      <c r="A1467" s="32">
        <f>IF(AND(Supplier_Invoices!$AD52=1,Supplier_Invoices!$L52&lt;&gt;"",Supplier_Invoices!$V52&lt;&gt;"CN",N(Supplier_Invoices!$W52)&gt;0),1,0)</f>
        <v/>
      </c>
      <c r="B1467" s="32">
        <f>IF($A1467=1,$E1467&amp;"/4","")</f>
        <v/>
      </c>
      <c r="C1467" s="32">
        <f>IF($A1467=1,"J-"&amp;Supplier_Invoices!$A52,"")</f>
        <v/>
      </c>
      <c r="D1467" s="33">
        <f>IF($A1467=1,Supplier_Invoices!$E52,"")</f>
        <v/>
      </c>
      <c r="E1467" s="32">
        <f>IF($A1467=1,IF(Supplier_Invoices!$A52="","",Supplier_Invoices!$A52),"")</f>
        <v/>
      </c>
      <c r="F1467" s="32">
        <f>IF($A1467=1,"SINV","")</f>
        <v/>
      </c>
      <c r="G1467" s="32">
        <f>IF($A1467=1,ACC_SUPPLIERS,"")</f>
        <v/>
      </c>
      <c r="H1467" s="32">
        <f>IF($A1467=1,IF(COUNTIF(COA!$A:$A,$G1467)=0,"حساب غير معرف",INDEX(COA!$B:$B,MATCH($G1467,COA!$A:$A,0))),"")</f>
        <v/>
      </c>
      <c r="I1467" s="32">
        <f>IF($A1467=1,IF(Supplier_Invoices!$H52="","",Supplier_Invoices!$H52),"")</f>
        <v/>
      </c>
      <c r="J1467" s="32">
        <f>IF($A1467=1,"CC00","")</f>
        <v/>
      </c>
      <c r="K1467" s="32">
        <f>IF($A1467=1,IF(Supplier_Invoices!$C52="","",Supplier_Invoices!$C52),"")</f>
        <v/>
      </c>
      <c r="L1467" s="32">
        <f>IF($A1467=1,"سداد فوري - "&amp;Supplier_Invoices!$F52&amp;" "&amp;Supplier_Invoices!$B52&amp;" - "&amp;Supplier_Invoices!$C52,"")</f>
        <v/>
      </c>
      <c r="M1467" s="43">
        <f>IF($A1467=1,Supplier_Invoices!$W52,"")</f>
        <v/>
      </c>
      <c r="N1467" s="43">
        <f>IF($A1467=1,0,"")</f>
        <v/>
      </c>
      <c r="O1467" s="32">
        <f>IF($A1467=1,Supplier_Invoices!$O52,"")</f>
        <v/>
      </c>
      <c r="P1467" s="32">
        <f>IF($A1467=1,IF(Supplier_Invoices!$AE52="","",Supplier_Invoices!$AE52),"")</f>
        <v/>
      </c>
      <c r="Q1467" s="32">
        <f>IF($A1467=1,Supplier_Invoices!$AG52,"")</f>
        <v/>
      </c>
      <c r="R1467" s="32">
        <f>IF($A1467=1,IF(AND($Q1467=1,COUNTIFS(COA!$A:$A,$G1467,COA!$R:$R,1)=1),1,0),"")</f>
        <v/>
      </c>
      <c r="S1467" s="43">
        <f>IF($A1467=1,IF($R1467=1,N($M1467),0),"")</f>
        <v/>
      </c>
      <c r="T1467" s="43">
        <f>IF($A1467=1,IF($R1467=1,N($N1467),0),"")</f>
        <v/>
      </c>
      <c r="U1467" s="32">
        <f>IF($A1467=1,YEAR($D1467)*100+MONTH($D1467),"")</f>
        <v/>
      </c>
      <c r="V1467" s="32">
        <f>IF($A1467=1,IF(COUNTIF(COA!$A:$A,$G1467)=0,0,INDEX(COA!$H:$H,MATCH($G1467,COA!$A:$A,0))),"")</f>
        <v/>
      </c>
      <c r="W1467" s="32">
        <f>IF($A1467=1,"","")</f>
        <v/>
      </c>
      <c r="X1467" s="32">
        <f>IF($A1467=1,IF($R1467=1,"",IF($O1467=ST_POST,IF($P1467&lt;&gt;"",$P1467,"حساب غير صالح أو غير نشط"),IF($O1467=ST_REV,"معكوس: لا أثر على الدفاتر",IF($O1467=ST_CANC,"ملغى",IF($O1467=ST_APPR,"معتمد ولم يُرحَّل","مسودة"))))),"")</f>
        <v/>
      </c>
      <c r="Y1467" s="32">
        <f>IF($A1467=1,IF(AND($R1467=1,OR(LG_Acct="",$G1467=LG_Acct),OR(LG_Party="",$K1467=LG_Party),OR(LG_Loc="ALL",$I1467=LG_Loc),OR(LG_CC="ALL",$J1467=LG_CC),$D1467&gt;=LG_From,$D1467&lt;=LG_To),$D1467+ROW()/1000000,""),"")</f>
        <v/>
      </c>
      <c r="Z1467" s="32">
        <f>IF($A1467=1,IF(Supplier_Invoices!$P52="","",Supplier_Invoices!$P52),"")</f>
        <v/>
      </c>
      <c r="AA1467" s="32">
        <f>IF($A1467=1,IF(Supplier_Invoices!$Q52="","",Supplier_Invoices!$Q52),"")</f>
        <v/>
      </c>
      <c r="AB1467" s="32">
        <f>IF($A1467=1,IF(Supplier_Invoices!$R52="","",Supplier_Invoices!$R52),"")</f>
        <v/>
      </c>
      <c r="AC1467" s="32">
        <f>IF($A1467=1,IF(Supplier_Invoices!$S52="","",Supplier_Invoices!$S52),"")</f>
        <v/>
      </c>
      <c r="AD1467" s="32">
        <f>IF($A1467=1,IF(Supplier_Invoices!$T52="","",Supplier_Invoices!$T52),"")</f>
        <v/>
      </c>
      <c r="AE1467" s="32">
        <f>IF($A1467=1,0,"")</f>
        <v/>
      </c>
      <c r="AF1467" s="32" t="inlineStr"/>
    </row>
    <row r="1468">
      <c r="A1468" s="32">
        <f>IF(AND(Supplier_Invoices!$AD52=1,Supplier_Invoices!$L52&lt;&gt;"",Supplier_Invoices!$V52&lt;&gt;"CN",N(Supplier_Invoices!$W52)&gt;0),1,0)</f>
        <v/>
      </c>
      <c r="B1468" s="32">
        <f>IF($A1468=1,$E1468&amp;"/5","")</f>
        <v/>
      </c>
      <c r="C1468" s="32">
        <f>IF($A1468=1,"J-"&amp;Supplier_Invoices!$A52,"")</f>
        <v/>
      </c>
      <c r="D1468" s="33">
        <f>IF($A1468=1,Supplier_Invoices!$E52,"")</f>
        <v/>
      </c>
      <c r="E1468" s="32">
        <f>IF($A1468=1,IF(Supplier_Invoices!$A52="","",Supplier_Invoices!$A52),"")</f>
        <v/>
      </c>
      <c r="F1468" s="32">
        <f>IF($A1468=1,"SINV","")</f>
        <v/>
      </c>
      <c r="G1468" s="32">
        <f>IF($A1468=1,IF(Supplier_Invoices!$AA52="","",Supplier_Invoices!$AA52),"")</f>
        <v/>
      </c>
      <c r="H1468" s="32">
        <f>IF($A1468=1,IF(COUNTIF(COA!$A:$A,$G1468)=0,"حساب غير معرف",INDEX(COA!$B:$B,MATCH($G1468,COA!$A:$A,0))),"")</f>
        <v/>
      </c>
      <c r="I1468" s="32">
        <f>IF($A1468=1,IF(Supplier_Invoices!$H52="","",Supplier_Invoices!$H52),"")</f>
        <v/>
      </c>
      <c r="J1468" s="32">
        <f>IF($A1468=1,"CC00","")</f>
        <v/>
      </c>
      <c r="K1468" s="32">
        <f>IF($A1468=1,"-","")</f>
        <v/>
      </c>
      <c r="L1468" s="32">
        <f>IF($A1468=1,"سداد فوري - "&amp;Supplier_Invoices!$F52&amp;" "&amp;Supplier_Invoices!$B52&amp;" - "&amp;Supplier_Invoices!$C52,"")</f>
        <v/>
      </c>
      <c r="M1468" s="43">
        <f>IF($A1468=1,0,"")</f>
        <v/>
      </c>
      <c r="N1468" s="43">
        <f>IF($A1468=1,Supplier_Invoices!$W52,"")</f>
        <v/>
      </c>
      <c r="O1468" s="32">
        <f>IF($A1468=1,Supplier_Invoices!$O52,"")</f>
        <v/>
      </c>
      <c r="P1468" s="32">
        <f>IF($A1468=1,IF(Supplier_Invoices!$AE52="","",Supplier_Invoices!$AE52),"")</f>
        <v/>
      </c>
      <c r="Q1468" s="32">
        <f>IF($A1468=1,Supplier_Invoices!$AG52,"")</f>
        <v/>
      </c>
      <c r="R1468" s="32">
        <f>IF($A1468=1,IF(AND($Q1468=1,COUNTIFS(COA!$A:$A,$G1468,COA!$R:$R,1)=1),1,0),"")</f>
        <v/>
      </c>
      <c r="S1468" s="43">
        <f>IF($A1468=1,IF($R1468=1,N($M1468),0),"")</f>
        <v/>
      </c>
      <c r="T1468" s="43">
        <f>IF($A1468=1,IF($R1468=1,N($N1468),0),"")</f>
        <v/>
      </c>
      <c r="U1468" s="32">
        <f>IF($A1468=1,YEAR($D1468)*100+MONTH($D1468),"")</f>
        <v/>
      </c>
      <c r="V1468" s="32">
        <f>IF($A1468=1,IF(COUNTIF(COA!$A:$A,$G1468)=0,0,INDEX(COA!$H:$H,MATCH($G1468,COA!$A:$A,0))),"")</f>
        <v/>
      </c>
      <c r="W1468" s="32">
        <f>IF($A1468=1,IF(Supplier_Invoices!$AB52="","",Supplier_Invoices!$AB52),"")</f>
        <v/>
      </c>
      <c r="X1468" s="32">
        <f>IF($A1468=1,IF($R1468=1,"",IF($O1468=ST_POST,IF($P1468&lt;&gt;"",$P1468,"حساب غير صالح أو غير نشط"),IF($O1468=ST_REV,"معكوس: لا أثر على الدفاتر",IF($O1468=ST_CANC,"ملغى",IF($O1468=ST_APPR,"معتمد ولم يُرحَّل","مسودة"))))),"")</f>
        <v/>
      </c>
      <c r="Y1468" s="32">
        <f>IF($A1468=1,IF(AND($R1468=1,OR(LG_Acct="",$G1468=LG_Acct),OR(LG_Party="",$K1468=LG_Party),OR(LG_Loc="ALL",$I1468=LG_Loc),OR(LG_CC="ALL",$J1468=LG_CC),$D1468&gt;=LG_From,$D1468&lt;=LG_To),$D1468+ROW()/1000000,""),"")</f>
        <v/>
      </c>
      <c r="Z1468" s="32">
        <f>IF($A1468=1,IF(Supplier_Invoices!$P52="","",Supplier_Invoices!$P52),"")</f>
        <v/>
      </c>
      <c r="AA1468" s="32">
        <f>IF($A1468=1,IF(Supplier_Invoices!$Q52="","",Supplier_Invoices!$Q52),"")</f>
        <v/>
      </c>
      <c r="AB1468" s="32">
        <f>IF($A1468=1,IF(Supplier_Invoices!$R52="","",Supplier_Invoices!$R52),"")</f>
        <v/>
      </c>
      <c r="AC1468" s="32">
        <f>IF($A1468=1,IF(Supplier_Invoices!$S52="","",Supplier_Invoices!$S52),"")</f>
        <v/>
      </c>
      <c r="AD1468" s="32">
        <f>IF($A1468=1,IF(Supplier_Invoices!$T52="","",Supplier_Invoices!$T52),"")</f>
        <v/>
      </c>
      <c r="AE1468" s="32">
        <f>IF($A1468=1,0,"")</f>
        <v/>
      </c>
      <c r="AF1468" s="32" t="inlineStr"/>
    </row>
    <row r="1469">
      <c r="A1469" s="32">
        <f>IF(AND(Supplier_Invoices!$AD53=1,N(Supplier_Invoices!$J53)&gt;0),1,0)</f>
        <v/>
      </c>
      <c r="B1469" s="32">
        <f>IF($A1469=1,$E1469&amp;"/1","")</f>
        <v/>
      </c>
      <c r="C1469" s="32">
        <f>IF($A1469=1,"J-"&amp;Supplier_Invoices!$A53,"")</f>
        <v/>
      </c>
      <c r="D1469" s="33">
        <f>IF($A1469=1,Supplier_Invoices!$E53,"")</f>
        <v/>
      </c>
      <c r="E1469" s="32">
        <f>IF($A1469=1,IF(Supplier_Invoices!$A53="","",Supplier_Invoices!$A53),"")</f>
        <v/>
      </c>
      <c r="F1469" s="32">
        <f>IF($A1469=1,"SINV","")</f>
        <v/>
      </c>
      <c r="G1469" s="32">
        <f>IF($A1469=1,IF(Supplier_Invoices!$G53="","",Supplier_Invoices!$G53),"")</f>
        <v/>
      </c>
      <c r="H1469" s="32">
        <f>IF($A1469=1,IF(COUNTIF(COA!$A:$A,$G1469)=0,"حساب غير معرف",INDEX(COA!$B:$B,MATCH($G1469,COA!$A:$A,0))),"")</f>
        <v/>
      </c>
      <c r="I1469" s="32">
        <f>IF($A1469=1,IF(Supplier_Invoices!$H53="","",Supplier_Invoices!$H53),"")</f>
        <v/>
      </c>
      <c r="J1469" s="32">
        <f>IF($A1469=1,IF(Supplier_Invoices!$I53="","",Supplier_Invoices!$I53),"")</f>
        <v/>
      </c>
      <c r="K1469" s="32">
        <f>IF($A1469=1,"-","")</f>
        <v/>
      </c>
      <c r="L1469" s="32">
        <f>IF($A1469=1,Supplier_Invoices!$F53&amp;" "&amp;Supplier_Invoices!$B53&amp;" - "&amp;Supplier_Invoices!$C53,"")</f>
        <v/>
      </c>
      <c r="M1469" s="43">
        <f>IF($A1469=1,IF(Supplier_Invoices!$V53="CN",0,Supplier_Invoices!$J53),"")</f>
        <v/>
      </c>
      <c r="N1469" s="43">
        <f>IF($A1469=1,IF(Supplier_Invoices!$V53="CN",Supplier_Invoices!$J53,0),"")</f>
        <v/>
      </c>
      <c r="O1469" s="32">
        <f>IF($A1469=1,Supplier_Invoices!$O53,"")</f>
        <v/>
      </c>
      <c r="P1469" s="32">
        <f>IF($A1469=1,IF(Supplier_Invoices!$AE53="","",Supplier_Invoices!$AE53),"")</f>
        <v/>
      </c>
      <c r="Q1469" s="32">
        <f>IF($A1469=1,Supplier_Invoices!$AG53,"")</f>
        <v/>
      </c>
      <c r="R1469" s="32">
        <f>IF($A1469=1,IF(AND($Q1469=1,COUNTIFS(COA!$A:$A,$G1469,COA!$R:$R,1)=1),1,0),"")</f>
        <v/>
      </c>
      <c r="S1469" s="43">
        <f>IF($A1469=1,IF($R1469=1,N($M1469),0),"")</f>
        <v/>
      </c>
      <c r="T1469" s="43">
        <f>IF($A1469=1,IF($R1469=1,N($N1469),0),"")</f>
        <v/>
      </c>
      <c r="U1469" s="32">
        <f>IF($A1469=1,YEAR($D1469)*100+MONTH($D1469),"")</f>
        <v/>
      </c>
      <c r="V1469" s="32">
        <f>IF($A1469=1,IF(COUNTIF(COA!$A:$A,$G1469)=0,0,INDEX(COA!$H:$H,MATCH($G1469,COA!$A:$A,0))),"")</f>
        <v/>
      </c>
      <c r="W1469" s="32">
        <f>IF($A1469=1,"","")</f>
        <v/>
      </c>
      <c r="X1469" s="32">
        <f>IF($A1469=1,IF($R1469=1,"",IF($O1469=ST_POST,IF($P1469&lt;&gt;"",$P1469,"حساب غير صالح أو غير نشط"),IF($O1469=ST_REV,"معكوس: لا أثر على الدفاتر",IF($O1469=ST_CANC,"ملغى",IF($O1469=ST_APPR,"معتمد ولم يُرحَّل","مسودة"))))),"")</f>
        <v/>
      </c>
      <c r="Y1469" s="32">
        <f>IF($A1469=1,IF(AND($R1469=1,OR(LG_Acct="",$G1469=LG_Acct),OR(LG_Party="",$K1469=LG_Party),OR(LG_Loc="ALL",$I1469=LG_Loc),OR(LG_CC="ALL",$J1469=LG_CC),$D1469&gt;=LG_From,$D1469&lt;=LG_To),$D1469+ROW()/1000000,""),"")</f>
        <v/>
      </c>
      <c r="Z1469" s="32">
        <f>IF($A1469=1,IF(Supplier_Invoices!$P53="","",Supplier_Invoices!$P53),"")</f>
        <v/>
      </c>
      <c r="AA1469" s="32">
        <f>IF($A1469=1,IF(Supplier_Invoices!$Q53="","",Supplier_Invoices!$Q53),"")</f>
        <v/>
      </c>
      <c r="AB1469" s="32">
        <f>IF($A1469=1,IF(Supplier_Invoices!$R53="","",Supplier_Invoices!$R53),"")</f>
        <v/>
      </c>
      <c r="AC1469" s="32">
        <f>IF($A1469=1,IF(Supplier_Invoices!$S53="","",Supplier_Invoices!$S53),"")</f>
        <v/>
      </c>
      <c r="AD1469" s="32">
        <f>IF($A1469=1,IF(Supplier_Invoices!$T53="","",Supplier_Invoices!$T53),"")</f>
        <v/>
      </c>
      <c r="AE1469" s="32">
        <f>IF($A1469=1,0,"")</f>
        <v/>
      </c>
      <c r="AF1469" s="32" t="inlineStr"/>
    </row>
    <row r="1470">
      <c r="A1470" s="32">
        <f>IF(AND(Supplier_Invoices!$AD53=1,N(Supplier_Invoices!$K53)&gt;0),1,0)</f>
        <v/>
      </c>
      <c r="B1470" s="32">
        <f>IF($A1470=1,$E1470&amp;"/2","")</f>
        <v/>
      </c>
      <c r="C1470" s="32">
        <f>IF($A1470=1,"J-"&amp;Supplier_Invoices!$A53,"")</f>
        <v/>
      </c>
      <c r="D1470" s="33">
        <f>IF($A1470=1,Supplier_Invoices!$E53,"")</f>
        <v/>
      </c>
      <c r="E1470" s="32">
        <f>IF($A1470=1,IF(Supplier_Invoices!$A53="","",Supplier_Invoices!$A53),"")</f>
        <v/>
      </c>
      <c r="F1470" s="32">
        <f>IF($A1470=1,"SINV","")</f>
        <v/>
      </c>
      <c r="G1470" s="32">
        <f>IF($A1470=1,ACC_VAT_IN,"")</f>
        <v/>
      </c>
      <c r="H1470" s="32">
        <f>IF($A1470=1,IF(COUNTIF(COA!$A:$A,$G1470)=0,"حساب غير معرف",INDEX(COA!$B:$B,MATCH($G1470,COA!$A:$A,0))),"")</f>
        <v/>
      </c>
      <c r="I1470" s="32">
        <f>IF($A1470=1,IF(Supplier_Invoices!$H53="","",Supplier_Invoices!$H53),"")</f>
        <v/>
      </c>
      <c r="J1470" s="32">
        <f>IF($A1470=1,IF(Supplier_Invoices!$I53="","",Supplier_Invoices!$I53),"")</f>
        <v/>
      </c>
      <c r="K1470" s="32">
        <f>IF($A1470=1,"-","")</f>
        <v/>
      </c>
      <c r="L1470" s="32">
        <f>IF($A1470=1,"ضريبة قيمة مضافة - مدخلات","")</f>
        <v/>
      </c>
      <c r="M1470" s="43">
        <f>IF($A1470=1,IF(Supplier_Invoices!$V53="CN",0,Supplier_Invoices!$K53),"")</f>
        <v/>
      </c>
      <c r="N1470" s="43">
        <f>IF($A1470=1,IF(Supplier_Invoices!$V53="CN",Supplier_Invoices!$K53,0),"")</f>
        <v/>
      </c>
      <c r="O1470" s="32">
        <f>IF($A1470=1,Supplier_Invoices!$O53,"")</f>
        <v/>
      </c>
      <c r="P1470" s="32">
        <f>IF($A1470=1,IF(Supplier_Invoices!$AE53="","",Supplier_Invoices!$AE53),"")</f>
        <v/>
      </c>
      <c r="Q1470" s="32">
        <f>IF($A1470=1,Supplier_Invoices!$AG53,"")</f>
        <v/>
      </c>
      <c r="R1470" s="32">
        <f>IF($A1470=1,IF(AND($Q1470=1,COUNTIFS(COA!$A:$A,$G1470,COA!$R:$R,1)=1),1,0),"")</f>
        <v/>
      </c>
      <c r="S1470" s="43">
        <f>IF($A1470=1,IF($R1470=1,N($M1470),0),"")</f>
        <v/>
      </c>
      <c r="T1470" s="43">
        <f>IF($A1470=1,IF($R1470=1,N($N1470),0),"")</f>
        <v/>
      </c>
      <c r="U1470" s="32">
        <f>IF($A1470=1,YEAR($D1470)*100+MONTH($D1470),"")</f>
        <v/>
      </c>
      <c r="V1470" s="32">
        <f>IF($A1470=1,IF(COUNTIF(COA!$A:$A,$G1470)=0,0,INDEX(COA!$H:$H,MATCH($G1470,COA!$A:$A,0))),"")</f>
        <v/>
      </c>
      <c r="W1470" s="32">
        <f>IF($A1470=1,"","")</f>
        <v/>
      </c>
      <c r="X1470" s="32">
        <f>IF($A1470=1,IF($R1470=1,"",IF($O1470=ST_POST,IF($P1470&lt;&gt;"",$P1470,"حساب غير صالح أو غير نشط"),IF($O1470=ST_REV,"معكوس: لا أثر على الدفاتر",IF($O1470=ST_CANC,"ملغى",IF($O1470=ST_APPR,"معتمد ولم يُرحَّل","مسودة"))))),"")</f>
        <v/>
      </c>
      <c r="Y1470" s="32">
        <f>IF($A1470=1,IF(AND($R1470=1,OR(LG_Acct="",$G1470=LG_Acct),OR(LG_Party="",$K1470=LG_Party),OR(LG_Loc="ALL",$I1470=LG_Loc),OR(LG_CC="ALL",$J1470=LG_CC),$D1470&gt;=LG_From,$D1470&lt;=LG_To),$D1470+ROW()/1000000,""),"")</f>
        <v/>
      </c>
      <c r="Z1470" s="32">
        <f>IF($A1470=1,IF(Supplier_Invoices!$P53="","",Supplier_Invoices!$P53),"")</f>
        <v/>
      </c>
      <c r="AA1470" s="32">
        <f>IF($A1470=1,IF(Supplier_Invoices!$Q53="","",Supplier_Invoices!$Q53),"")</f>
        <v/>
      </c>
      <c r="AB1470" s="32">
        <f>IF($A1470=1,IF(Supplier_Invoices!$R53="","",Supplier_Invoices!$R53),"")</f>
        <v/>
      </c>
      <c r="AC1470" s="32">
        <f>IF($A1470=1,IF(Supplier_Invoices!$S53="","",Supplier_Invoices!$S53),"")</f>
        <v/>
      </c>
      <c r="AD1470" s="32">
        <f>IF($A1470=1,IF(Supplier_Invoices!$T53="","",Supplier_Invoices!$T53),"")</f>
        <v/>
      </c>
      <c r="AE1470" s="32">
        <f>IF($A1470=1,0,"")</f>
        <v/>
      </c>
      <c r="AF1470" s="32" t="inlineStr"/>
    </row>
    <row r="1471">
      <c r="A1471" s="32">
        <f>IF(AND(Supplier_Invoices!$AD53=1,N(Supplier_Invoices!$W53)&gt;0),1,0)</f>
        <v/>
      </c>
      <c r="B1471" s="32">
        <f>IF($A1471=1,$E1471&amp;"/3","")</f>
        <v/>
      </c>
      <c r="C1471" s="32">
        <f>IF($A1471=1,"J-"&amp;Supplier_Invoices!$A53,"")</f>
        <v/>
      </c>
      <c r="D1471" s="33">
        <f>IF($A1471=1,Supplier_Invoices!$E53,"")</f>
        <v/>
      </c>
      <c r="E1471" s="32">
        <f>IF($A1471=1,IF(Supplier_Invoices!$A53="","",Supplier_Invoices!$A53),"")</f>
        <v/>
      </c>
      <c r="F1471" s="32">
        <f>IF($A1471=1,"SINV","")</f>
        <v/>
      </c>
      <c r="G1471" s="32">
        <f>IF($A1471=1,ACC_SUPPLIERS,"")</f>
        <v/>
      </c>
      <c r="H1471" s="32">
        <f>IF($A1471=1,IF(COUNTIF(COA!$A:$A,$G1471)=0,"حساب غير معرف",INDEX(COA!$B:$B,MATCH($G1471,COA!$A:$A,0))),"")</f>
        <v/>
      </c>
      <c r="I1471" s="32">
        <f>IF($A1471=1,IF(Supplier_Invoices!$H53="","",Supplier_Invoices!$H53),"")</f>
        <v/>
      </c>
      <c r="J1471" s="32">
        <f>IF($A1471=1,"CC00","")</f>
        <v/>
      </c>
      <c r="K1471" s="32">
        <f>IF($A1471=1,IF(Supplier_Invoices!$C53="","",Supplier_Invoices!$C53),"")</f>
        <v/>
      </c>
      <c r="L1471" s="32">
        <f>IF($A1471=1,Supplier_Invoices!$F53&amp;" "&amp;Supplier_Invoices!$B53&amp;" - "&amp;Supplier_Invoices!$C53,"")</f>
        <v/>
      </c>
      <c r="M1471" s="43">
        <f>IF($A1471=1,IF(Supplier_Invoices!$V53="CN",Supplier_Invoices!$W53,0),"")</f>
        <v/>
      </c>
      <c r="N1471" s="43">
        <f>IF($A1471=1,IF(Supplier_Invoices!$V53="CN",0,Supplier_Invoices!$W53),"")</f>
        <v/>
      </c>
      <c r="O1471" s="32">
        <f>IF($A1471=1,Supplier_Invoices!$O53,"")</f>
        <v/>
      </c>
      <c r="P1471" s="32">
        <f>IF($A1471=1,IF(Supplier_Invoices!$AE53="","",Supplier_Invoices!$AE53),"")</f>
        <v/>
      </c>
      <c r="Q1471" s="32">
        <f>IF($A1471=1,Supplier_Invoices!$AG53,"")</f>
        <v/>
      </c>
      <c r="R1471" s="32">
        <f>IF($A1471=1,IF(AND($Q1471=1,COUNTIFS(COA!$A:$A,$G1471,COA!$R:$R,1)=1),1,0),"")</f>
        <v/>
      </c>
      <c r="S1471" s="43">
        <f>IF($A1471=1,IF($R1471=1,N($M1471),0),"")</f>
        <v/>
      </c>
      <c r="T1471" s="43">
        <f>IF($A1471=1,IF($R1471=1,N($N1471),0),"")</f>
        <v/>
      </c>
      <c r="U1471" s="32">
        <f>IF($A1471=1,YEAR($D1471)*100+MONTH($D1471),"")</f>
        <v/>
      </c>
      <c r="V1471" s="32">
        <f>IF($A1471=1,IF(COUNTIF(COA!$A:$A,$G1471)=0,0,INDEX(COA!$H:$H,MATCH($G1471,COA!$A:$A,0))),"")</f>
        <v/>
      </c>
      <c r="W1471" s="32">
        <f>IF($A1471=1,"","")</f>
        <v/>
      </c>
      <c r="X1471" s="32">
        <f>IF($A1471=1,IF($R1471=1,"",IF($O1471=ST_POST,IF($P1471&lt;&gt;"",$P1471,"حساب غير صالح أو غير نشط"),IF($O1471=ST_REV,"معكوس: لا أثر على الدفاتر",IF($O1471=ST_CANC,"ملغى",IF($O1471=ST_APPR,"معتمد ولم يُرحَّل","مسودة"))))),"")</f>
        <v/>
      </c>
      <c r="Y1471" s="32">
        <f>IF($A1471=1,IF(AND($R1471=1,OR(LG_Acct="",$G1471=LG_Acct),OR(LG_Party="",$K1471=LG_Party),OR(LG_Loc="ALL",$I1471=LG_Loc),OR(LG_CC="ALL",$J1471=LG_CC),$D1471&gt;=LG_From,$D1471&lt;=LG_To),$D1471+ROW()/1000000,""),"")</f>
        <v/>
      </c>
      <c r="Z1471" s="32">
        <f>IF($A1471=1,IF(Supplier_Invoices!$P53="","",Supplier_Invoices!$P53),"")</f>
        <v/>
      </c>
      <c r="AA1471" s="32">
        <f>IF($A1471=1,IF(Supplier_Invoices!$Q53="","",Supplier_Invoices!$Q53),"")</f>
        <v/>
      </c>
      <c r="AB1471" s="32">
        <f>IF($A1471=1,IF(Supplier_Invoices!$R53="","",Supplier_Invoices!$R53),"")</f>
        <v/>
      </c>
      <c r="AC1471" s="32">
        <f>IF($A1471=1,IF(Supplier_Invoices!$S53="","",Supplier_Invoices!$S53),"")</f>
        <v/>
      </c>
      <c r="AD1471" s="32">
        <f>IF($A1471=1,IF(Supplier_Invoices!$T53="","",Supplier_Invoices!$T53),"")</f>
        <v/>
      </c>
      <c r="AE1471" s="32">
        <f>IF($A1471=1,0,"")</f>
        <v/>
      </c>
      <c r="AF1471" s="32" t="inlineStr"/>
    </row>
    <row r="1472">
      <c r="A1472" s="32">
        <f>IF(AND(Supplier_Invoices!$AD53=1,Supplier_Invoices!$L53&lt;&gt;"",Supplier_Invoices!$V53&lt;&gt;"CN",N(Supplier_Invoices!$W53)&gt;0),1,0)</f>
        <v/>
      </c>
      <c r="B1472" s="32">
        <f>IF($A1472=1,$E1472&amp;"/4","")</f>
        <v/>
      </c>
      <c r="C1472" s="32">
        <f>IF($A1472=1,"J-"&amp;Supplier_Invoices!$A53,"")</f>
        <v/>
      </c>
      <c r="D1472" s="33">
        <f>IF($A1472=1,Supplier_Invoices!$E53,"")</f>
        <v/>
      </c>
      <c r="E1472" s="32">
        <f>IF($A1472=1,IF(Supplier_Invoices!$A53="","",Supplier_Invoices!$A53),"")</f>
        <v/>
      </c>
      <c r="F1472" s="32">
        <f>IF($A1472=1,"SINV","")</f>
        <v/>
      </c>
      <c r="G1472" s="32">
        <f>IF($A1472=1,ACC_SUPPLIERS,"")</f>
        <v/>
      </c>
      <c r="H1472" s="32">
        <f>IF($A1472=1,IF(COUNTIF(COA!$A:$A,$G1472)=0,"حساب غير معرف",INDEX(COA!$B:$B,MATCH($G1472,COA!$A:$A,0))),"")</f>
        <v/>
      </c>
      <c r="I1472" s="32">
        <f>IF($A1472=1,IF(Supplier_Invoices!$H53="","",Supplier_Invoices!$H53),"")</f>
        <v/>
      </c>
      <c r="J1472" s="32">
        <f>IF($A1472=1,"CC00","")</f>
        <v/>
      </c>
      <c r="K1472" s="32">
        <f>IF($A1472=1,IF(Supplier_Invoices!$C53="","",Supplier_Invoices!$C53),"")</f>
        <v/>
      </c>
      <c r="L1472" s="32">
        <f>IF($A1472=1,"سداد فوري - "&amp;Supplier_Invoices!$F53&amp;" "&amp;Supplier_Invoices!$B53&amp;" - "&amp;Supplier_Invoices!$C53,"")</f>
        <v/>
      </c>
      <c r="M1472" s="43">
        <f>IF($A1472=1,Supplier_Invoices!$W53,"")</f>
        <v/>
      </c>
      <c r="N1472" s="43">
        <f>IF($A1472=1,0,"")</f>
        <v/>
      </c>
      <c r="O1472" s="32">
        <f>IF($A1472=1,Supplier_Invoices!$O53,"")</f>
        <v/>
      </c>
      <c r="P1472" s="32">
        <f>IF($A1472=1,IF(Supplier_Invoices!$AE53="","",Supplier_Invoices!$AE53),"")</f>
        <v/>
      </c>
      <c r="Q1472" s="32">
        <f>IF($A1472=1,Supplier_Invoices!$AG53,"")</f>
        <v/>
      </c>
      <c r="R1472" s="32">
        <f>IF($A1472=1,IF(AND($Q1472=1,COUNTIFS(COA!$A:$A,$G1472,COA!$R:$R,1)=1),1,0),"")</f>
        <v/>
      </c>
      <c r="S1472" s="43">
        <f>IF($A1472=1,IF($R1472=1,N($M1472),0),"")</f>
        <v/>
      </c>
      <c r="T1472" s="43">
        <f>IF($A1472=1,IF($R1472=1,N($N1472),0),"")</f>
        <v/>
      </c>
      <c r="U1472" s="32">
        <f>IF($A1472=1,YEAR($D1472)*100+MONTH($D1472),"")</f>
        <v/>
      </c>
      <c r="V1472" s="32">
        <f>IF($A1472=1,IF(COUNTIF(COA!$A:$A,$G1472)=0,0,INDEX(COA!$H:$H,MATCH($G1472,COA!$A:$A,0))),"")</f>
        <v/>
      </c>
      <c r="W1472" s="32">
        <f>IF($A1472=1,"","")</f>
        <v/>
      </c>
      <c r="X1472" s="32">
        <f>IF($A1472=1,IF($R1472=1,"",IF($O1472=ST_POST,IF($P1472&lt;&gt;"",$P1472,"حساب غير صالح أو غير نشط"),IF($O1472=ST_REV,"معكوس: لا أثر على الدفاتر",IF($O1472=ST_CANC,"ملغى",IF($O1472=ST_APPR,"معتمد ولم يُرحَّل","مسودة"))))),"")</f>
        <v/>
      </c>
      <c r="Y1472" s="32">
        <f>IF($A1472=1,IF(AND($R1472=1,OR(LG_Acct="",$G1472=LG_Acct),OR(LG_Party="",$K1472=LG_Party),OR(LG_Loc="ALL",$I1472=LG_Loc),OR(LG_CC="ALL",$J1472=LG_CC),$D1472&gt;=LG_From,$D1472&lt;=LG_To),$D1472+ROW()/1000000,""),"")</f>
        <v/>
      </c>
      <c r="Z1472" s="32">
        <f>IF($A1472=1,IF(Supplier_Invoices!$P53="","",Supplier_Invoices!$P53),"")</f>
        <v/>
      </c>
      <c r="AA1472" s="32">
        <f>IF($A1472=1,IF(Supplier_Invoices!$Q53="","",Supplier_Invoices!$Q53),"")</f>
        <v/>
      </c>
      <c r="AB1472" s="32">
        <f>IF($A1472=1,IF(Supplier_Invoices!$R53="","",Supplier_Invoices!$R53),"")</f>
        <v/>
      </c>
      <c r="AC1472" s="32">
        <f>IF($A1472=1,IF(Supplier_Invoices!$S53="","",Supplier_Invoices!$S53),"")</f>
        <v/>
      </c>
      <c r="AD1472" s="32">
        <f>IF($A1472=1,IF(Supplier_Invoices!$T53="","",Supplier_Invoices!$T53),"")</f>
        <v/>
      </c>
      <c r="AE1472" s="32">
        <f>IF($A1472=1,0,"")</f>
        <v/>
      </c>
      <c r="AF1472" s="32" t="inlineStr"/>
    </row>
    <row r="1473">
      <c r="A1473" s="32">
        <f>IF(AND(Supplier_Invoices!$AD53=1,Supplier_Invoices!$L53&lt;&gt;"",Supplier_Invoices!$V53&lt;&gt;"CN",N(Supplier_Invoices!$W53)&gt;0),1,0)</f>
        <v/>
      </c>
      <c r="B1473" s="32">
        <f>IF($A1473=1,$E1473&amp;"/5","")</f>
        <v/>
      </c>
      <c r="C1473" s="32">
        <f>IF($A1473=1,"J-"&amp;Supplier_Invoices!$A53,"")</f>
        <v/>
      </c>
      <c r="D1473" s="33">
        <f>IF($A1473=1,Supplier_Invoices!$E53,"")</f>
        <v/>
      </c>
      <c r="E1473" s="32">
        <f>IF($A1473=1,IF(Supplier_Invoices!$A53="","",Supplier_Invoices!$A53),"")</f>
        <v/>
      </c>
      <c r="F1473" s="32">
        <f>IF($A1473=1,"SINV","")</f>
        <v/>
      </c>
      <c r="G1473" s="32">
        <f>IF($A1473=1,IF(Supplier_Invoices!$AA53="","",Supplier_Invoices!$AA53),"")</f>
        <v/>
      </c>
      <c r="H1473" s="32">
        <f>IF($A1473=1,IF(COUNTIF(COA!$A:$A,$G1473)=0,"حساب غير معرف",INDEX(COA!$B:$B,MATCH($G1473,COA!$A:$A,0))),"")</f>
        <v/>
      </c>
      <c r="I1473" s="32">
        <f>IF($A1473=1,IF(Supplier_Invoices!$H53="","",Supplier_Invoices!$H53),"")</f>
        <v/>
      </c>
      <c r="J1473" s="32">
        <f>IF($A1473=1,"CC00","")</f>
        <v/>
      </c>
      <c r="K1473" s="32">
        <f>IF($A1473=1,"-","")</f>
        <v/>
      </c>
      <c r="L1473" s="32">
        <f>IF($A1473=1,"سداد فوري - "&amp;Supplier_Invoices!$F53&amp;" "&amp;Supplier_Invoices!$B53&amp;" - "&amp;Supplier_Invoices!$C53,"")</f>
        <v/>
      </c>
      <c r="M1473" s="43">
        <f>IF($A1473=1,0,"")</f>
        <v/>
      </c>
      <c r="N1473" s="43">
        <f>IF($A1473=1,Supplier_Invoices!$W53,"")</f>
        <v/>
      </c>
      <c r="O1473" s="32">
        <f>IF($A1473=1,Supplier_Invoices!$O53,"")</f>
        <v/>
      </c>
      <c r="P1473" s="32">
        <f>IF($A1473=1,IF(Supplier_Invoices!$AE53="","",Supplier_Invoices!$AE53),"")</f>
        <v/>
      </c>
      <c r="Q1473" s="32">
        <f>IF($A1473=1,Supplier_Invoices!$AG53,"")</f>
        <v/>
      </c>
      <c r="R1473" s="32">
        <f>IF($A1473=1,IF(AND($Q1473=1,COUNTIFS(COA!$A:$A,$G1473,COA!$R:$R,1)=1),1,0),"")</f>
        <v/>
      </c>
      <c r="S1473" s="43">
        <f>IF($A1473=1,IF($R1473=1,N($M1473),0),"")</f>
        <v/>
      </c>
      <c r="T1473" s="43">
        <f>IF($A1473=1,IF($R1473=1,N($N1473),0),"")</f>
        <v/>
      </c>
      <c r="U1473" s="32">
        <f>IF($A1473=1,YEAR($D1473)*100+MONTH($D1473),"")</f>
        <v/>
      </c>
      <c r="V1473" s="32">
        <f>IF($A1473=1,IF(COUNTIF(COA!$A:$A,$G1473)=0,0,INDEX(COA!$H:$H,MATCH($G1473,COA!$A:$A,0))),"")</f>
        <v/>
      </c>
      <c r="W1473" s="32">
        <f>IF($A1473=1,IF(Supplier_Invoices!$AB53="","",Supplier_Invoices!$AB53),"")</f>
        <v/>
      </c>
      <c r="X1473" s="32">
        <f>IF($A1473=1,IF($R1473=1,"",IF($O1473=ST_POST,IF($P1473&lt;&gt;"",$P1473,"حساب غير صالح أو غير نشط"),IF($O1473=ST_REV,"معكوس: لا أثر على الدفاتر",IF($O1473=ST_CANC,"ملغى",IF($O1473=ST_APPR,"معتمد ولم يُرحَّل","مسودة"))))),"")</f>
        <v/>
      </c>
      <c r="Y1473" s="32">
        <f>IF($A1473=1,IF(AND($R1473=1,OR(LG_Acct="",$G1473=LG_Acct),OR(LG_Party="",$K1473=LG_Party),OR(LG_Loc="ALL",$I1473=LG_Loc),OR(LG_CC="ALL",$J1473=LG_CC),$D1473&gt;=LG_From,$D1473&lt;=LG_To),$D1473+ROW()/1000000,""),"")</f>
        <v/>
      </c>
      <c r="Z1473" s="32">
        <f>IF($A1473=1,IF(Supplier_Invoices!$P53="","",Supplier_Invoices!$P53),"")</f>
        <v/>
      </c>
      <c r="AA1473" s="32">
        <f>IF($A1473=1,IF(Supplier_Invoices!$Q53="","",Supplier_Invoices!$Q53),"")</f>
        <v/>
      </c>
      <c r="AB1473" s="32">
        <f>IF($A1473=1,IF(Supplier_Invoices!$R53="","",Supplier_Invoices!$R53),"")</f>
        <v/>
      </c>
      <c r="AC1473" s="32">
        <f>IF($A1473=1,IF(Supplier_Invoices!$S53="","",Supplier_Invoices!$S53),"")</f>
        <v/>
      </c>
      <c r="AD1473" s="32">
        <f>IF($A1473=1,IF(Supplier_Invoices!$T53="","",Supplier_Invoices!$T53),"")</f>
        <v/>
      </c>
      <c r="AE1473" s="32">
        <f>IF($A1473=1,0,"")</f>
        <v/>
      </c>
      <c r="AF1473" s="32" t="inlineStr"/>
    </row>
    <row r="1474">
      <c r="A1474" s="32">
        <f>IF(AND(Supplier_Invoices!$AD54=1,N(Supplier_Invoices!$J54)&gt;0),1,0)</f>
        <v/>
      </c>
      <c r="B1474" s="32">
        <f>IF($A1474=1,$E1474&amp;"/1","")</f>
        <v/>
      </c>
      <c r="C1474" s="32">
        <f>IF($A1474=1,"J-"&amp;Supplier_Invoices!$A54,"")</f>
        <v/>
      </c>
      <c r="D1474" s="33">
        <f>IF($A1474=1,Supplier_Invoices!$E54,"")</f>
        <v/>
      </c>
      <c r="E1474" s="32">
        <f>IF($A1474=1,IF(Supplier_Invoices!$A54="","",Supplier_Invoices!$A54),"")</f>
        <v/>
      </c>
      <c r="F1474" s="32">
        <f>IF($A1474=1,"SINV","")</f>
        <v/>
      </c>
      <c r="G1474" s="32">
        <f>IF($A1474=1,IF(Supplier_Invoices!$G54="","",Supplier_Invoices!$G54),"")</f>
        <v/>
      </c>
      <c r="H1474" s="32">
        <f>IF($A1474=1,IF(COUNTIF(COA!$A:$A,$G1474)=0,"حساب غير معرف",INDEX(COA!$B:$B,MATCH($G1474,COA!$A:$A,0))),"")</f>
        <v/>
      </c>
      <c r="I1474" s="32">
        <f>IF($A1474=1,IF(Supplier_Invoices!$H54="","",Supplier_Invoices!$H54),"")</f>
        <v/>
      </c>
      <c r="J1474" s="32">
        <f>IF($A1474=1,IF(Supplier_Invoices!$I54="","",Supplier_Invoices!$I54),"")</f>
        <v/>
      </c>
      <c r="K1474" s="32">
        <f>IF($A1474=1,"-","")</f>
        <v/>
      </c>
      <c r="L1474" s="32">
        <f>IF($A1474=1,Supplier_Invoices!$F54&amp;" "&amp;Supplier_Invoices!$B54&amp;" - "&amp;Supplier_Invoices!$C54,"")</f>
        <v/>
      </c>
      <c r="M1474" s="43">
        <f>IF($A1474=1,IF(Supplier_Invoices!$V54="CN",0,Supplier_Invoices!$J54),"")</f>
        <v/>
      </c>
      <c r="N1474" s="43">
        <f>IF($A1474=1,IF(Supplier_Invoices!$V54="CN",Supplier_Invoices!$J54,0),"")</f>
        <v/>
      </c>
      <c r="O1474" s="32">
        <f>IF($A1474=1,Supplier_Invoices!$O54,"")</f>
        <v/>
      </c>
      <c r="P1474" s="32">
        <f>IF($A1474=1,IF(Supplier_Invoices!$AE54="","",Supplier_Invoices!$AE54),"")</f>
        <v/>
      </c>
      <c r="Q1474" s="32">
        <f>IF($A1474=1,Supplier_Invoices!$AG54,"")</f>
        <v/>
      </c>
      <c r="R1474" s="32">
        <f>IF($A1474=1,IF(AND($Q1474=1,COUNTIFS(COA!$A:$A,$G1474,COA!$R:$R,1)=1),1,0),"")</f>
        <v/>
      </c>
      <c r="S1474" s="43">
        <f>IF($A1474=1,IF($R1474=1,N($M1474),0),"")</f>
        <v/>
      </c>
      <c r="T1474" s="43">
        <f>IF($A1474=1,IF($R1474=1,N($N1474),0),"")</f>
        <v/>
      </c>
      <c r="U1474" s="32">
        <f>IF($A1474=1,YEAR($D1474)*100+MONTH($D1474),"")</f>
        <v/>
      </c>
      <c r="V1474" s="32">
        <f>IF($A1474=1,IF(COUNTIF(COA!$A:$A,$G1474)=0,0,INDEX(COA!$H:$H,MATCH($G1474,COA!$A:$A,0))),"")</f>
        <v/>
      </c>
      <c r="W1474" s="32">
        <f>IF($A1474=1,"","")</f>
        <v/>
      </c>
      <c r="X1474" s="32">
        <f>IF($A1474=1,IF($R1474=1,"",IF($O1474=ST_POST,IF($P1474&lt;&gt;"",$P1474,"حساب غير صالح أو غير نشط"),IF($O1474=ST_REV,"معكوس: لا أثر على الدفاتر",IF($O1474=ST_CANC,"ملغى",IF($O1474=ST_APPR,"معتمد ولم يُرحَّل","مسودة"))))),"")</f>
        <v/>
      </c>
      <c r="Y1474" s="32">
        <f>IF($A1474=1,IF(AND($R1474=1,OR(LG_Acct="",$G1474=LG_Acct),OR(LG_Party="",$K1474=LG_Party),OR(LG_Loc="ALL",$I1474=LG_Loc),OR(LG_CC="ALL",$J1474=LG_CC),$D1474&gt;=LG_From,$D1474&lt;=LG_To),$D1474+ROW()/1000000,""),"")</f>
        <v/>
      </c>
      <c r="Z1474" s="32">
        <f>IF($A1474=1,IF(Supplier_Invoices!$P54="","",Supplier_Invoices!$P54),"")</f>
        <v/>
      </c>
      <c r="AA1474" s="32">
        <f>IF($A1474=1,IF(Supplier_Invoices!$Q54="","",Supplier_Invoices!$Q54),"")</f>
        <v/>
      </c>
      <c r="AB1474" s="32">
        <f>IF($A1474=1,IF(Supplier_Invoices!$R54="","",Supplier_Invoices!$R54),"")</f>
        <v/>
      </c>
      <c r="AC1474" s="32">
        <f>IF($A1474=1,IF(Supplier_Invoices!$S54="","",Supplier_Invoices!$S54),"")</f>
        <v/>
      </c>
      <c r="AD1474" s="32">
        <f>IF($A1474=1,IF(Supplier_Invoices!$T54="","",Supplier_Invoices!$T54),"")</f>
        <v/>
      </c>
      <c r="AE1474" s="32">
        <f>IF($A1474=1,0,"")</f>
        <v/>
      </c>
      <c r="AF1474" s="32" t="inlineStr"/>
    </row>
    <row r="1475">
      <c r="A1475" s="32">
        <f>IF(AND(Supplier_Invoices!$AD54=1,N(Supplier_Invoices!$K54)&gt;0),1,0)</f>
        <v/>
      </c>
      <c r="B1475" s="32">
        <f>IF($A1475=1,$E1475&amp;"/2","")</f>
        <v/>
      </c>
      <c r="C1475" s="32">
        <f>IF($A1475=1,"J-"&amp;Supplier_Invoices!$A54,"")</f>
        <v/>
      </c>
      <c r="D1475" s="33">
        <f>IF($A1475=1,Supplier_Invoices!$E54,"")</f>
        <v/>
      </c>
      <c r="E1475" s="32">
        <f>IF($A1475=1,IF(Supplier_Invoices!$A54="","",Supplier_Invoices!$A54),"")</f>
        <v/>
      </c>
      <c r="F1475" s="32">
        <f>IF($A1475=1,"SINV","")</f>
        <v/>
      </c>
      <c r="G1475" s="32">
        <f>IF($A1475=1,ACC_VAT_IN,"")</f>
        <v/>
      </c>
      <c r="H1475" s="32">
        <f>IF($A1475=1,IF(COUNTIF(COA!$A:$A,$G1475)=0,"حساب غير معرف",INDEX(COA!$B:$B,MATCH($G1475,COA!$A:$A,0))),"")</f>
        <v/>
      </c>
      <c r="I1475" s="32">
        <f>IF($A1475=1,IF(Supplier_Invoices!$H54="","",Supplier_Invoices!$H54),"")</f>
        <v/>
      </c>
      <c r="J1475" s="32">
        <f>IF($A1475=1,IF(Supplier_Invoices!$I54="","",Supplier_Invoices!$I54),"")</f>
        <v/>
      </c>
      <c r="K1475" s="32">
        <f>IF($A1475=1,"-","")</f>
        <v/>
      </c>
      <c r="L1475" s="32">
        <f>IF($A1475=1,"ضريبة قيمة مضافة - مدخلات","")</f>
        <v/>
      </c>
      <c r="M1475" s="43">
        <f>IF($A1475=1,IF(Supplier_Invoices!$V54="CN",0,Supplier_Invoices!$K54),"")</f>
        <v/>
      </c>
      <c r="N1475" s="43">
        <f>IF($A1475=1,IF(Supplier_Invoices!$V54="CN",Supplier_Invoices!$K54,0),"")</f>
        <v/>
      </c>
      <c r="O1475" s="32">
        <f>IF($A1475=1,Supplier_Invoices!$O54,"")</f>
        <v/>
      </c>
      <c r="P1475" s="32">
        <f>IF($A1475=1,IF(Supplier_Invoices!$AE54="","",Supplier_Invoices!$AE54),"")</f>
        <v/>
      </c>
      <c r="Q1475" s="32">
        <f>IF($A1475=1,Supplier_Invoices!$AG54,"")</f>
        <v/>
      </c>
      <c r="R1475" s="32">
        <f>IF($A1475=1,IF(AND($Q1475=1,COUNTIFS(COA!$A:$A,$G1475,COA!$R:$R,1)=1),1,0),"")</f>
        <v/>
      </c>
      <c r="S1475" s="43">
        <f>IF($A1475=1,IF($R1475=1,N($M1475),0),"")</f>
        <v/>
      </c>
      <c r="T1475" s="43">
        <f>IF($A1475=1,IF($R1475=1,N($N1475),0),"")</f>
        <v/>
      </c>
      <c r="U1475" s="32">
        <f>IF($A1475=1,YEAR($D1475)*100+MONTH($D1475),"")</f>
        <v/>
      </c>
      <c r="V1475" s="32">
        <f>IF($A1475=1,IF(COUNTIF(COA!$A:$A,$G1475)=0,0,INDEX(COA!$H:$H,MATCH($G1475,COA!$A:$A,0))),"")</f>
        <v/>
      </c>
      <c r="W1475" s="32">
        <f>IF($A1475=1,"","")</f>
        <v/>
      </c>
      <c r="X1475" s="32">
        <f>IF($A1475=1,IF($R1475=1,"",IF($O1475=ST_POST,IF($P1475&lt;&gt;"",$P1475,"حساب غير صالح أو غير نشط"),IF($O1475=ST_REV,"معكوس: لا أثر على الدفاتر",IF($O1475=ST_CANC,"ملغى",IF($O1475=ST_APPR,"معتمد ولم يُرحَّل","مسودة"))))),"")</f>
        <v/>
      </c>
      <c r="Y1475" s="32">
        <f>IF($A1475=1,IF(AND($R1475=1,OR(LG_Acct="",$G1475=LG_Acct),OR(LG_Party="",$K1475=LG_Party),OR(LG_Loc="ALL",$I1475=LG_Loc),OR(LG_CC="ALL",$J1475=LG_CC),$D1475&gt;=LG_From,$D1475&lt;=LG_To),$D1475+ROW()/1000000,""),"")</f>
        <v/>
      </c>
      <c r="Z1475" s="32">
        <f>IF($A1475=1,IF(Supplier_Invoices!$P54="","",Supplier_Invoices!$P54),"")</f>
        <v/>
      </c>
      <c r="AA1475" s="32">
        <f>IF($A1475=1,IF(Supplier_Invoices!$Q54="","",Supplier_Invoices!$Q54),"")</f>
        <v/>
      </c>
      <c r="AB1475" s="32">
        <f>IF($A1475=1,IF(Supplier_Invoices!$R54="","",Supplier_Invoices!$R54),"")</f>
        <v/>
      </c>
      <c r="AC1475" s="32">
        <f>IF($A1475=1,IF(Supplier_Invoices!$S54="","",Supplier_Invoices!$S54),"")</f>
        <v/>
      </c>
      <c r="AD1475" s="32">
        <f>IF($A1475=1,IF(Supplier_Invoices!$T54="","",Supplier_Invoices!$T54),"")</f>
        <v/>
      </c>
      <c r="AE1475" s="32">
        <f>IF($A1475=1,0,"")</f>
        <v/>
      </c>
      <c r="AF1475" s="32" t="inlineStr"/>
    </row>
    <row r="1476">
      <c r="A1476" s="32">
        <f>IF(AND(Supplier_Invoices!$AD54=1,N(Supplier_Invoices!$W54)&gt;0),1,0)</f>
        <v/>
      </c>
      <c r="B1476" s="32">
        <f>IF($A1476=1,$E1476&amp;"/3","")</f>
        <v/>
      </c>
      <c r="C1476" s="32">
        <f>IF($A1476=1,"J-"&amp;Supplier_Invoices!$A54,"")</f>
        <v/>
      </c>
      <c r="D1476" s="33">
        <f>IF($A1476=1,Supplier_Invoices!$E54,"")</f>
        <v/>
      </c>
      <c r="E1476" s="32">
        <f>IF($A1476=1,IF(Supplier_Invoices!$A54="","",Supplier_Invoices!$A54),"")</f>
        <v/>
      </c>
      <c r="F1476" s="32">
        <f>IF($A1476=1,"SINV","")</f>
        <v/>
      </c>
      <c r="G1476" s="32">
        <f>IF($A1476=1,ACC_SUPPLIERS,"")</f>
        <v/>
      </c>
      <c r="H1476" s="32">
        <f>IF($A1476=1,IF(COUNTIF(COA!$A:$A,$G1476)=0,"حساب غير معرف",INDEX(COA!$B:$B,MATCH($G1476,COA!$A:$A,0))),"")</f>
        <v/>
      </c>
      <c r="I1476" s="32">
        <f>IF($A1476=1,IF(Supplier_Invoices!$H54="","",Supplier_Invoices!$H54),"")</f>
        <v/>
      </c>
      <c r="J1476" s="32">
        <f>IF($A1476=1,"CC00","")</f>
        <v/>
      </c>
      <c r="K1476" s="32">
        <f>IF($A1476=1,IF(Supplier_Invoices!$C54="","",Supplier_Invoices!$C54),"")</f>
        <v/>
      </c>
      <c r="L1476" s="32">
        <f>IF($A1476=1,Supplier_Invoices!$F54&amp;" "&amp;Supplier_Invoices!$B54&amp;" - "&amp;Supplier_Invoices!$C54,"")</f>
        <v/>
      </c>
      <c r="M1476" s="43">
        <f>IF($A1476=1,IF(Supplier_Invoices!$V54="CN",Supplier_Invoices!$W54,0),"")</f>
        <v/>
      </c>
      <c r="N1476" s="43">
        <f>IF($A1476=1,IF(Supplier_Invoices!$V54="CN",0,Supplier_Invoices!$W54),"")</f>
        <v/>
      </c>
      <c r="O1476" s="32">
        <f>IF($A1476=1,Supplier_Invoices!$O54,"")</f>
        <v/>
      </c>
      <c r="P1476" s="32">
        <f>IF($A1476=1,IF(Supplier_Invoices!$AE54="","",Supplier_Invoices!$AE54),"")</f>
        <v/>
      </c>
      <c r="Q1476" s="32">
        <f>IF($A1476=1,Supplier_Invoices!$AG54,"")</f>
        <v/>
      </c>
      <c r="R1476" s="32">
        <f>IF($A1476=1,IF(AND($Q1476=1,COUNTIFS(COA!$A:$A,$G1476,COA!$R:$R,1)=1),1,0),"")</f>
        <v/>
      </c>
      <c r="S1476" s="43">
        <f>IF($A1476=1,IF($R1476=1,N($M1476),0),"")</f>
        <v/>
      </c>
      <c r="T1476" s="43">
        <f>IF($A1476=1,IF($R1476=1,N($N1476),0),"")</f>
        <v/>
      </c>
      <c r="U1476" s="32">
        <f>IF($A1476=1,YEAR($D1476)*100+MONTH($D1476),"")</f>
        <v/>
      </c>
      <c r="V1476" s="32">
        <f>IF($A1476=1,IF(COUNTIF(COA!$A:$A,$G1476)=0,0,INDEX(COA!$H:$H,MATCH($G1476,COA!$A:$A,0))),"")</f>
        <v/>
      </c>
      <c r="W1476" s="32">
        <f>IF($A1476=1,"","")</f>
        <v/>
      </c>
      <c r="X1476" s="32">
        <f>IF($A1476=1,IF($R1476=1,"",IF($O1476=ST_POST,IF($P1476&lt;&gt;"",$P1476,"حساب غير صالح أو غير نشط"),IF($O1476=ST_REV,"معكوس: لا أثر على الدفاتر",IF($O1476=ST_CANC,"ملغى",IF($O1476=ST_APPR,"معتمد ولم يُرحَّل","مسودة"))))),"")</f>
        <v/>
      </c>
      <c r="Y1476" s="32">
        <f>IF($A1476=1,IF(AND($R1476=1,OR(LG_Acct="",$G1476=LG_Acct),OR(LG_Party="",$K1476=LG_Party),OR(LG_Loc="ALL",$I1476=LG_Loc),OR(LG_CC="ALL",$J1476=LG_CC),$D1476&gt;=LG_From,$D1476&lt;=LG_To),$D1476+ROW()/1000000,""),"")</f>
        <v/>
      </c>
      <c r="Z1476" s="32">
        <f>IF($A1476=1,IF(Supplier_Invoices!$P54="","",Supplier_Invoices!$P54),"")</f>
        <v/>
      </c>
      <c r="AA1476" s="32">
        <f>IF($A1476=1,IF(Supplier_Invoices!$Q54="","",Supplier_Invoices!$Q54),"")</f>
        <v/>
      </c>
      <c r="AB1476" s="32">
        <f>IF($A1476=1,IF(Supplier_Invoices!$R54="","",Supplier_Invoices!$R54),"")</f>
        <v/>
      </c>
      <c r="AC1476" s="32">
        <f>IF($A1476=1,IF(Supplier_Invoices!$S54="","",Supplier_Invoices!$S54),"")</f>
        <v/>
      </c>
      <c r="AD1476" s="32">
        <f>IF($A1476=1,IF(Supplier_Invoices!$T54="","",Supplier_Invoices!$T54),"")</f>
        <v/>
      </c>
      <c r="AE1476" s="32">
        <f>IF($A1476=1,0,"")</f>
        <v/>
      </c>
      <c r="AF1476" s="32" t="inlineStr"/>
    </row>
    <row r="1477">
      <c r="A1477" s="32">
        <f>IF(AND(Supplier_Invoices!$AD54=1,Supplier_Invoices!$L54&lt;&gt;"",Supplier_Invoices!$V54&lt;&gt;"CN",N(Supplier_Invoices!$W54)&gt;0),1,0)</f>
        <v/>
      </c>
      <c r="B1477" s="32">
        <f>IF($A1477=1,$E1477&amp;"/4","")</f>
        <v/>
      </c>
      <c r="C1477" s="32">
        <f>IF($A1477=1,"J-"&amp;Supplier_Invoices!$A54,"")</f>
        <v/>
      </c>
      <c r="D1477" s="33">
        <f>IF($A1477=1,Supplier_Invoices!$E54,"")</f>
        <v/>
      </c>
      <c r="E1477" s="32">
        <f>IF($A1477=1,IF(Supplier_Invoices!$A54="","",Supplier_Invoices!$A54),"")</f>
        <v/>
      </c>
      <c r="F1477" s="32">
        <f>IF($A1477=1,"SINV","")</f>
        <v/>
      </c>
      <c r="G1477" s="32">
        <f>IF($A1477=1,ACC_SUPPLIERS,"")</f>
        <v/>
      </c>
      <c r="H1477" s="32">
        <f>IF($A1477=1,IF(COUNTIF(COA!$A:$A,$G1477)=0,"حساب غير معرف",INDEX(COA!$B:$B,MATCH($G1477,COA!$A:$A,0))),"")</f>
        <v/>
      </c>
      <c r="I1477" s="32">
        <f>IF($A1477=1,IF(Supplier_Invoices!$H54="","",Supplier_Invoices!$H54),"")</f>
        <v/>
      </c>
      <c r="J1477" s="32">
        <f>IF($A1477=1,"CC00","")</f>
        <v/>
      </c>
      <c r="K1477" s="32">
        <f>IF($A1477=1,IF(Supplier_Invoices!$C54="","",Supplier_Invoices!$C54),"")</f>
        <v/>
      </c>
      <c r="L1477" s="32">
        <f>IF($A1477=1,"سداد فوري - "&amp;Supplier_Invoices!$F54&amp;" "&amp;Supplier_Invoices!$B54&amp;" - "&amp;Supplier_Invoices!$C54,"")</f>
        <v/>
      </c>
      <c r="M1477" s="43">
        <f>IF($A1477=1,Supplier_Invoices!$W54,"")</f>
        <v/>
      </c>
      <c r="N1477" s="43">
        <f>IF($A1477=1,0,"")</f>
        <v/>
      </c>
      <c r="O1477" s="32">
        <f>IF($A1477=1,Supplier_Invoices!$O54,"")</f>
        <v/>
      </c>
      <c r="P1477" s="32">
        <f>IF($A1477=1,IF(Supplier_Invoices!$AE54="","",Supplier_Invoices!$AE54),"")</f>
        <v/>
      </c>
      <c r="Q1477" s="32">
        <f>IF($A1477=1,Supplier_Invoices!$AG54,"")</f>
        <v/>
      </c>
      <c r="R1477" s="32">
        <f>IF($A1477=1,IF(AND($Q1477=1,COUNTIFS(COA!$A:$A,$G1477,COA!$R:$R,1)=1),1,0),"")</f>
        <v/>
      </c>
      <c r="S1477" s="43">
        <f>IF($A1477=1,IF($R1477=1,N($M1477),0),"")</f>
        <v/>
      </c>
      <c r="T1477" s="43">
        <f>IF($A1477=1,IF($R1477=1,N($N1477),0),"")</f>
        <v/>
      </c>
      <c r="U1477" s="32">
        <f>IF($A1477=1,YEAR($D1477)*100+MONTH($D1477),"")</f>
        <v/>
      </c>
      <c r="V1477" s="32">
        <f>IF($A1477=1,IF(COUNTIF(COA!$A:$A,$G1477)=0,0,INDEX(COA!$H:$H,MATCH($G1477,COA!$A:$A,0))),"")</f>
        <v/>
      </c>
      <c r="W1477" s="32">
        <f>IF($A1477=1,"","")</f>
        <v/>
      </c>
      <c r="X1477" s="32">
        <f>IF($A1477=1,IF($R1477=1,"",IF($O1477=ST_POST,IF($P1477&lt;&gt;"",$P1477,"حساب غير صالح أو غير نشط"),IF($O1477=ST_REV,"معكوس: لا أثر على الدفاتر",IF($O1477=ST_CANC,"ملغى",IF($O1477=ST_APPR,"معتمد ولم يُرحَّل","مسودة"))))),"")</f>
        <v/>
      </c>
      <c r="Y1477" s="32">
        <f>IF($A1477=1,IF(AND($R1477=1,OR(LG_Acct="",$G1477=LG_Acct),OR(LG_Party="",$K1477=LG_Party),OR(LG_Loc="ALL",$I1477=LG_Loc),OR(LG_CC="ALL",$J1477=LG_CC),$D1477&gt;=LG_From,$D1477&lt;=LG_To),$D1477+ROW()/1000000,""),"")</f>
        <v/>
      </c>
      <c r="Z1477" s="32">
        <f>IF($A1477=1,IF(Supplier_Invoices!$P54="","",Supplier_Invoices!$P54),"")</f>
        <v/>
      </c>
      <c r="AA1477" s="32">
        <f>IF($A1477=1,IF(Supplier_Invoices!$Q54="","",Supplier_Invoices!$Q54),"")</f>
        <v/>
      </c>
      <c r="AB1477" s="32">
        <f>IF($A1477=1,IF(Supplier_Invoices!$R54="","",Supplier_Invoices!$R54),"")</f>
        <v/>
      </c>
      <c r="AC1477" s="32">
        <f>IF($A1477=1,IF(Supplier_Invoices!$S54="","",Supplier_Invoices!$S54),"")</f>
        <v/>
      </c>
      <c r="AD1477" s="32">
        <f>IF($A1477=1,IF(Supplier_Invoices!$T54="","",Supplier_Invoices!$T54),"")</f>
        <v/>
      </c>
      <c r="AE1477" s="32">
        <f>IF($A1477=1,0,"")</f>
        <v/>
      </c>
      <c r="AF1477" s="32" t="inlineStr"/>
    </row>
    <row r="1478">
      <c r="A1478" s="32">
        <f>IF(AND(Supplier_Invoices!$AD54=1,Supplier_Invoices!$L54&lt;&gt;"",Supplier_Invoices!$V54&lt;&gt;"CN",N(Supplier_Invoices!$W54)&gt;0),1,0)</f>
        <v/>
      </c>
      <c r="B1478" s="32">
        <f>IF($A1478=1,$E1478&amp;"/5","")</f>
        <v/>
      </c>
      <c r="C1478" s="32">
        <f>IF($A1478=1,"J-"&amp;Supplier_Invoices!$A54,"")</f>
        <v/>
      </c>
      <c r="D1478" s="33">
        <f>IF($A1478=1,Supplier_Invoices!$E54,"")</f>
        <v/>
      </c>
      <c r="E1478" s="32">
        <f>IF($A1478=1,IF(Supplier_Invoices!$A54="","",Supplier_Invoices!$A54),"")</f>
        <v/>
      </c>
      <c r="F1478" s="32">
        <f>IF($A1478=1,"SINV","")</f>
        <v/>
      </c>
      <c r="G1478" s="32">
        <f>IF($A1478=1,IF(Supplier_Invoices!$AA54="","",Supplier_Invoices!$AA54),"")</f>
        <v/>
      </c>
      <c r="H1478" s="32">
        <f>IF($A1478=1,IF(COUNTIF(COA!$A:$A,$G1478)=0,"حساب غير معرف",INDEX(COA!$B:$B,MATCH($G1478,COA!$A:$A,0))),"")</f>
        <v/>
      </c>
      <c r="I1478" s="32">
        <f>IF($A1478=1,IF(Supplier_Invoices!$H54="","",Supplier_Invoices!$H54),"")</f>
        <v/>
      </c>
      <c r="J1478" s="32">
        <f>IF($A1478=1,"CC00","")</f>
        <v/>
      </c>
      <c r="K1478" s="32">
        <f>IF($A1478=1,"-","")</f>
        <v/>
      </c>
      <c r="L1478" s="32">
        <f>IF($A1478=1,"سداد فوري - "&amp;Supplier_Invoices!$F54&amp;" "&amp;Supplier_Invoices!$B54&amp;" - "&amp;Supplier_Invoices!$C54,"")</f>
        <v/>
      </c>
      <c r="M1478" s="43">
        <f>IF($A1478=1,0,"")</f>
        <v/>
      </c>
      <c r="N1478" s="43">
        <f>IF($A1478=1,Supplier_Invoices!$W54,"")</f>
        <v/>
      </c>
      <c r="O1478" s="32">
        <f>IF($A1478=1,Supplier_Invoices!$O54,"")</f>
        <v/>
      </c>
      <c r="P1478" s="32">
        <f>IF($A1478=1,IF(Supplier_Invoices!$AE54="","",Supplier_Invoices!$AE54),"")</f>
        <v/>
      </c>
      <c r="Q1478" s="32">
        <f>IF($A1478=1,Supplier_Invoices!$AG54,"")</f>
        <v/>
      </c>
      <c r="R1478" s="32">
        <f>IF($A1478=1,IF(AND($Q1478=1,COUNTIFS(COA!$A:$A,$G1478,COA!$R:$R,1)=1),1,0),"")</f>
        <v/>
      </c>
      <c r="S1478" s="43">
        <f>IF($A1478=1,IF($R1478=1,N($M1478),0),"")</f>
        <v/>
      </c>
      <c r="T1478" s="43">
        <f>IF($A1478=1,IF($R1478=1,N($N1478),0),"")</f>
        <v/>
      </c>
      <c r="U1478" s="32">
        <f>IF($A1478=1,YEAR($D1478)*100+MONTH($D1478),"")</f>
        <v/>
      </c>
      <c r="V1478" s="32">
        <f>IF($A1478=1,IF(COUNTIF(COA!$A:$A,$G1478)=0,0,INDEX(COA!$H:$H,MATCH($G1478,COA!$A:$A,0))),"")</f>
        <v/>
      </c>
      <c r="W1478" s="32">
        <f>IF($A1478=1,IF(Supplier_Invoices!$AB54="","",Supplier_Invoices!$AB54),"")</f>
        <v/>
      </c>
      <c r="X1478" s="32">
        <f>IF($A1478=1,IF($R1478=1,"",IF($O1478=ST_POST,IF($P1478&lt;&gt;"",$P1478,"حساب غير صالح أو غير نشط"),IF($O1478=ST_REV,"معكوس: لا أثر على الدفاتر",IF($O1478=ST_CANC,"ملغى",IF($O1478=ST_APPR,"معتمد ولم يُرحَّل","مسودة"))))),"")</f>
        <v/>
      </c>
      <c r="Y1478" s="32">
        <f>IF($A1478=1,IF(AND($R1478=1,OR(LG_Acct="",$G1478=LG_Acct),OR(LG_Party="",$K1478=LG_Party),OR(LG_Loc="ALL",$I1478=LG_Loc),OR(LG_CC="ALL",$J1478=LG_CC),$D1478&gt;=LG_From,$D1478&lt;=LG_To),$D1478+ROW()/1000000,""),"")</f>
        <v/>
      </c>
      <c r="Z1478" s="32">
        <f>IF($A1478=1,IF(Supplier_Invoices!$P54="","",Supplier_Invoices!$P54),"")</f>
        <v/>
      </c>
      <c r="AA1478" s="32">
        <f>IF($A1478=1,IF(Supplier_Invoices!$Q54="","",Supplier_Invoices!$Q54),"")</f>
        <v/>
      </c>
      <c r="AB1478" s="32">
        <f>IF($A1478=1,IF(Supplier_Invoices!$R54="","",Supplier_Invoices!$R54),"")</f>
        <v/>
      </c>
      <c r="AC1478" s="32">
        <f>IF($A1478=1,IF(Supplier_Invoices!$S54="","",Supplier_Invoices!$S54),"")</f>
        <v/>
      </c>
      <c r="AD1478" s="32">
        <f>IF($A1478=1,IF(Supplier_Invoices!$T54="","",Supplier_Invoices!$T54),"")</f>
        <v/>
      </c>
      <c r="AE1478" s="32">
        <f>IF($A1478=1,0,"")</f>
        <v/>
      </c>
      <c r="AF1478" s="32" t="inlineStr"/>
    </row>
    <row r="1479">
      <c r="A1479" s="32">
        <f>IF(AND(Supplier_Invoices!$AD55=1,N(Supplier_Invoices!$J55)&gt;0),1,0)</f>
        <v/>
      </c>
      <c r="B1479" s="32">
        <f>IF($A1479=1,$E1479&amp;"/1","")</f>
        <v/>
      </c>
      <c r="C1479" s="32">
        <f>IF($A1479=1,"J-"&amp;Supplier_Invoices!$A55,"")</f>
        <v/>
      </c>
      <c r="D1479" s="33">
        <f>IF($A1479=1,Supplier_Invoices!$E55,"")</f>
        <v/>
      </c>
      <c r="E1479" s="32">
        <f>IF($A1479=1,IF(Supplier_Invoices!$A55="","",Supplier_Invoices!$A55),"")</f>
        <v/>
      </c>
      <c r="F1479" s="32">
        <f>IF($A1479=1,"SINV","")</f>
        <v/>
      </c>
      <c r="G1479" s="32">
        <f>IF($A1479=1,IF(Supplier_Invoices!$G55="","",Supplier_Invoices!$G55),"")</f>
        <v/>
      </c>
      <c r="H1479" s="32">
        <f>IF($A1479=1,IF(COUNTIF(COA!$A:$A,$G1479)=0,"حساب غير معرف",INDEX(COA!$B:$B,MATCH($G1479,COA!$A:$A,0))),"")</f>
        <v/>
      </c>
      <c r="I1479" s="32">
        <f>IF($A1479=1,IF(Supplier_Invoices!$H55="","",Supplier_Invoices!$H55),"")</f>
        <v/>
      </c>
      <c r="J1479" s="32">
        <f>IF($A1479=1,IF(Supplier_Invoices!$I55="","",Supplier_Invoices!$I55),"")</f>
        <v/>
      </c>
      <c r="K1479" s="32">
        <f>IF($A1479=1,"-","")</f>
        <v/>
      </c>
      <c r="L1479" s="32">
        <f>IF($A1479=1,Supplier_Invoices!$F55&amp;" "&amp;Supplier_Invoices!$B55&amp;" - "&amp;Supplier_Invoices!$C55,"")</f>
        <v/>
      </c>
      <c r="M1479" s="43">
        <f>IF($A1479=1,IF(Supplier_Invoices!$V55="CN",0,Supplier_Invoices!$J55),"")</f>
        <v/>
      </c>
      <c r="N1479" s="43">
        <f>IF($A1479=1,IF(Supplier_Invoices!$V55="CN",Supplier_Invoices!$J55,0),"")</f>
        <v/>
      </c>
      <c r="O1479" s="32">
        <f>IF($A1479=1,Supplier_Invoices!$O55,"")</f>
        <v/>
      </c>
      <c r="P1479" s="32">
        <f>IF($A1479=1,IF(Supplier_Invoices!$AE55="","",Supplier_Invoices!$AE55),"")</f>
        <v/>
      </c>
      <c r="Q1479" s="32">
        <f>IF($A1479=1,Supplier_Invoices!$AG55,"")</f>
        <v/>
      </c>
      <c r="R1479" s="32">
        <f>IF($A1479=1,IF(AND($Q1479=1,COUNTIFS(COA!$A:$A,$G1479,COA!$R:$R,1)=1),1,0),"")</f>
        <v/>
      </c>
      <c r="S1479" s="43">
        <f>IF($A1479=1,IF($R1479=1,N($M1479),0),"")</f>
        <v/>
      </c>
      <c r="T1479" s="43">
        <f>IF($A1479=1,IF($R1479=1,N($N1479),0),"")</f>
        <v/>
      </c>
      <c r="U1479" s="32">
        <f>IF($A1479=1,YEAR($D1479)*100+MONTH($D1479),"")</f>
        <v/>
      </c>
      <c r="V1479" s="32">
        <f>IF($A1479=1,IF(COUNTIF(COA!$A:$A,$G1479)=0,0,INDEX(COA!$H:$H,MATCH($G1479,COA!$A:$A,0))),"")</f>
        <v/>
      </c>
      <c r="W1479" s="32">
        <f>IF($A1479=1,"","")</f>
        <v/>
      </c>
      <c r="X1479" s="32">
        <f>IF($A1479=1,IF($R1479=1,"",IF($O1479=ST_POST,IF($P1479&lt;&gt;"",$P1479,"حساب غير صالح أو غير نشط"),IF($O1479=ST_REV,"معكوس: لا أثر على الدفاتر",IF($O1479=ST_CANC,"ملغى",IF($O1479=ST_APPR,"معتمد ولم يُرحَّل","مسودة"))))),"")</f>
        <v/>
      </c>
      <c r="Y1479" s="32">
        <f>IF($A1479=1,IF(AND($R1479=1,OR(LG_Acct="",$G1479=LG_Acct),OR(LG_Party="",$K1479=LG_Party),OR(LG_Loc="ALL",$I1479=LG_Loc),OR(LG_CC="ALL",$J1479=LG_CC),$D1479&gt;=LG_From,$D1479&lt;=LG_To),$D1479+ROW()/1000000,""),"")</f>
        <v/>
      </c>
      <c r="Z1479" s="32">
        <f>IF($A1479=1,IF(Supplier_Invoices!$P55="","",Supplier_Invoices!$P55),"")</f>
        <v/>
      </c>
      <c r="AA1479" s="32">
        <f>IF($A1479=1,IF(Supplier_Invoices!$Q55="","",Supplier_Invoices!$Q55),"")</f>
        <v/>
      </c>
      <c r="AB1479" s="32">
        <f>IF($A1479=1,IF(Supplier_Invoices!$R55="","",Supplier_Invoices!$R55),"")</f>
        <v/>
      </c>
      <c r="AC1479" s="32">
        <f>IF($A1479=1,IF(Supplier_Invoices!$S55="","",Supplier_Invoices!$S55),"")</f>
        <v/>
      </c>
      <c r="AD1479" s="32">
        <f>IF($A1479=1,IF(Supplier_Invoices!$T55="","",Supplier_Invoices!$T55),"")</f>
        <v/>
      </c>
      <c r="AE1479" s="32">
        <f>IF($A1479=1,0,"")</f>
        <v/>
      </c>
      <c r="AF1479" s="32" t="inlineStr"/>
    </row>
    <row r="1480">
      <c r="A1480" s="32">
        <f>IF(AND(Supplier_Invoices!$AD55=1,N(Supplier_Invoices!$K55)&gt;0),1,0)</f>
        <v/>
      </c>
      <c r="B1480" s="32">
        <f>IF($A1480=1,$E1480&amp;"/2","")</f>
        <v/>
      </c>
      <c r="C1480" s="32">
        <f>IF($A1480=1,"J-"&amp;Supplier_Invoices!$A55,"")</f>
        <v/>
      </c>
      <c r="D1480" s="33">
        <f>IF($A1480=1,Supplier_Invoices!$E55,"")</f>
        <v/>
      </c>
      <c r="E1480" s="32">
        <f>IF($A1480=1,IF(Supplier_Invoices!$A55="","",Supplier_Invoices!$A55),"")</f>
        <v/>
      </c>
      <c r="F1480" s="32">
        <f>IF($A1480=1,"SINV","")</f>
        <v/>
      </c>
      <c r="G1480" s="32">
        <f>IF($A1480=1,ACC_VAT_IN,"")</f>
        <v/>
      </c>
      <c r="H1480" s="32">
        <f>IF($A1480=1,IF(COUNTIF(COA!$A:$A,$G1480)=0,"حساب غير معرف",INDEX(COA!$B:$B,MATCH($G1480,COA!$A:$A,0))),"")</f>
        <v/>
      </c>
      <c r="I1480" s="32">
        <f>IF($A1480=1,IF(Supplier_Invoices!$H55="","",Supplier_Invoices!$H55),"")</f>
        <v/>
      </c>
      <c r="J1480" s="32">
        <f>IF($A1480=1,IF(Supplier_Invoices!$I55="","",Supplier_Invoices!$I55),"")</f>
        <v/>
      </c>
      <c r="K1480" s="32">
        <f>IF($A1480=1,"-","")</f>
        <v/>
      </c>
      <c r="L1480" s="32">
        <f>IF($A1480=1,"ضريبة قيمة مضافة - مدخلات","")</f>
        <v/>
      </c>
      <c r="M1480" s="43">
        <f>IF($A1480=1,IF(Supplier_Invoices!$V55="CN",0,Supplier_Invoices!$K55),"")</f>
        <v/>
      </c>
      <c r="N1480" s="43">
        <f>IF($A1480=1,IF(Supplier_Invoices!$V55="CN",Supplier_Invoices!$K55,0),"")</f>
        <v/>
      </c>
      <c r="O1480" s="32">
        <f>IF($A1480=1,Supplier_Invoices!$O55,"")</f>
        <v/>
      </c>
      <c r="P1480" s="32">
        <f>IF($A1480=1,IF(Supplier_Invoices!$AE55="","",Supplier_Invoices!$AE55),"")</f>
        <v/>
      </c>
      <c r="Q1480" s="32">
        <f>IF($A1480=1,Supplier_Invoices!$AG55,"")</f>
        <v/>
      </c>
      <c r="R1480" s="32">
        <f>IF($A1480=1,IF(AND($Q1480=1,COUNTIFS(COA!$A:$A,$G1480,COA!$R:$R,1)=1),1,0),"")</f>
        <v/>
      </c>
      <c r="S1480" s="43">
        <f>IF($A1480=1,IF($R1480=1,N($M1480),0),"")</f>
        <v/>
      </c>
      <c r="T1480" s="43">
        <f>IF($A1480=1,IF($R1480=1,N($N1480),0),"")</f>
        <v/>
      </c>
      <c r="U1480" s="32">
        <f>IF($A1480=1,YEAR($D1480)*100+MONTH($D1480),"")</f>
        <v/>
      </c>
      <c r="V1480" s="32">
        <f>IF($A1480=1,IF(COUNTIF(COA!$A:$A,$G1480)=0,0,INDEX(COA!$H:$H,MATCH($G1480,COA!$A:$A,0))),"")</f>
        <v/>
      </c>
      <c r="W1480" s="32">
        <f>IF($A1480=1,"","")</f>
        <v/>
      </c>
      <c r="X1480" s="32">
        <f>IF($A1480=1,IF($R1480=1,"",IF($O1480=ST_POST,IF($P1480&lt;&gt;"",$P1480,"حساب غير صالح أو غير نشط"),IF($O1480=ST_REV,"معكوس: لا أثر على الدفاتر",IF($O1480=ST_CANC,"ملغى",IF($O1480=ST_APPR,"معتمد ولم يُرحَّل","مسودة"))))),"")</f>
        <v/>
      </c>
      <c r="Y1480" s="32">
        <f>IF($A1480=1,IF(AND($R1480=1,OR(LG_Acct="",$G1480=LG_Acct),OR(LG_Party="",$K1480=LG_Party),OR(LG_Loc="ALL",$I1480=LG_Loc),OR(LG_CC="ALL",$J1480=LG_CC),$D1480&gt;=LG_From,$D1480&lt;=LG_To),$D1480+ROW()/1000000,""),"")</f>
        <v/>
      </c>
      <c r="Z1480" s="32">
        <f>IF($A1480=1,IF(Supplier_Invoices!$P55="","",Supplier_Invoices!$P55),"")</f>
        <v/>
      </c>
      <c r="AA1480" s="32">
        <f>IF($A1480=1,IF(Supplier_Invoices!$Q55="","",Supplier_Invoices!$Q55),"")</f>
        <v/>
      </c>
      <c r="AB1480" s="32">
        <f>IF($A1480=1,IF(Supplier_Invoices!$R55="","",Supplier_Invoices!$R55),"")</f>
        <v/>
      </c>
      <c r="AC1480" s="32">
        <f>IF($A1480=1,IF(Supplier_Invoices!$S55="","",Supplier_Invoices!$S55),"")</f>
        <v/>
      </c>
      <c r="AD1480" s="32">
        <f>IF($A1480=1,IF(Supplier_Invoices!$T55="","",Supplier_Invoices!$T55),"")</f>
        <v/>
      </c>
      <c r="AE1480" s="32">
        <f>IF($A1480=1,0,"")</f>
        <v/>
      </c>
      <c r="AF1480" s="32" t="inlineStr"/>
    </row>
    <row r="1481">
      <c r="A1481" s="32">
        <f>IF(AND(Supplier_Invoices!$AD55=1,N(Supplier_Invoices!$W55)&gt;0),1,0)</f>
        <v/>
      </c>
      <c r="B1481" s="32">
        <f>IF($A1481=1,$E1481&amp;"/3","")</f>
        <v/>
      </c>
      <c r="C1481" s="32">
        <f>IF($A1481=1,"J-"&amp;Supplier_Invoices!$A55,"")</f>
        <v/>
      </c>
      <c r="D1481" s="33">
        <f>IF($A1481=1,Supplier_Invoices!$E55,"")</f>
        <v/>
      </c>
      <c r="E1481" s="32">
        <f>IF($A1481=1,IF(Supplier_Invoices!$A55="","",Supplier_Invoices!$A55),"")</f>
        <v/>
      </c>
      <c r="F1481" s="32">
        <f>IF($A1481=1,"SINV","")</f>
        <v/>
      </c>
      <c r="G1481" s="32">
        <f>IF($A1481=1,ACC_SUPPLIERS,"")</f>
        <v/>
      </c>
      <c r="H1481" s="32">
        <f>IF($A1481=1,IF(COUNTIF(COA!$A:$A,$G1481)=0,"حساب غير معرف",INDEX(COA!$B:$B,MATCH($G1481,COA!$A:$A,0))),"")</f>
        <v/>
      </c>
      <c r="I1481" s="32">
        <f>IF($A1481=1,IF(Supplier_Invoices!$H55="","",Supplier_Invoices!$H55),"")</f>
        <v/>
      </c>
      <c r="J1481" s="32">
        <f>IF($A1481=1,"CC00","")</f>
        <v/>
      </c>
      <c r="K1481" s="32">
        <f>IF($A1481=1,IF(Supplier_Invoices!$C55="","",Supplier_Invoices!$C55),"")</f>
        <v/>
      </c>
      <c r="L1481" s="32">
        <f>IF($A1481=1,Supplier_Invoices!$F55&amp;" "&amp;Supplier_Invoices!$B55&amp;" - "&amp;Supplier_Invoices!$C55,"")</f>
        <v/>
      </c>
      <c r="M1481" s="43">
        <f>IF($A1481=1,IF(Supplier_Invoices!$V55="CN",Supplier_Invoices!$W55,0),"")</f>
        <v/>
      </c>
      <c r="N1481" s="43">
        <f>IF($A1481=1,IF(Supplier_Invoices!$V55="CN",0,Supplier_Invoices!$W55),"")</f>
        <v/>
      </c>
      <c r="O1481" s="32">
        <f>IF($A1481=1,Supplier_Invoices!$O55,"")</f>
        <v/>
      </c>
      <c r="P1481" s="32">
        <f>IF($A1481=1,IF(Supplier_Invoices!$AE55="","",Supplier_Invoices!$AE55),"")</f>
        <v/>
      </c>
      <c r="Q1481" s="32">
        <f>IF($A1481=1,Supplier_Invoices!$AG55,"")</f>
        <v/>
      </c>
      <c r="R1481" s="32">
        <f>IF($A1481=1,IF(AND($Q1481=1,COUNTIFS(COA!$A:$A,$G1481,COA!$R:$R,1)=1),1,0),"")</f>
        <v/>
      </c>
      <c r="S1481" s="43">
        <f>IF($A1481=1,IF($R1481=1,N($M1481),0),"")</f>
        <v/>
      </c>
      <c r="T1481" s="43">
        <f>IF($A1481=1,IF($R1481=1,N($N1481),0),"")</f>
        <v/>
      </c>
      <c r="U1481" s="32">
        <f>IF($A1481=1,YEAR($D1481)*100+MONTH($D1481),"")</f>
        <v/>
      </c>
      <c r="V1481" s="32">
        <f>IF($A1481=1,IF(COUNTIF(COA!$A:$A,$G1481)=0,0,INDEX(COA!$H:$H,MATCH($G1481,COA!$A:$A,0))),"")</f>
        <v/>
      </c>
      <c r="W1481" s="32">
        <f>IF($A1481=1,"","")</f>
        <v/>
      </c>
      <c r="X1481" s="32">
        <f>IF($A1481=1,IF($R1481=1,"",IF($O1481=ST_POST,IF($P1481&lt;&gt;"",$P1481,"حساب غير صالح أو غير نشط"),IF($O1481=ST_REV,"معكوس: لا أثر على الدفاتر",IF($O1481=ST_CANC,"ملغى",IF($O1481=ST_APPR,"معتمد ولم يُرحَّل","مسودة"))))),"")</f>
        <v/>
      </c>
      <c r="Y1481" s="32">
        <f>IF($A1481=1,IF(AND($R1481=1,OR(LG_Acct="",$G1481=LG_Acct),OR(LG_Party="",$K1481=LG_Party),OR(LG_Loc="ALL",$I1481=LG_Loc),OR(LG_CC="ALL",$J1481=LG_CC),$D1481&gt;=LG_From,$D1481&lt;=LG_To),$D1481+ROW()/1000000,""),"")</f>
        <v/>
      </c>
      <c r="Z1481" s="32">
        <f>IF($A1481=1,IF(Supplier_Invoices!$P55="","",Supplier_Invoices!$P55),"")</f>
        <v/>
      </c>
      <c r="AA1481" s="32">
        <f>IF($A1481=1,IF(Supplier_Invoices!$Q55="","",Supplier_Invoices!$Q55),"")</f>
        <v/>
      </c>
      <c r="AB1481" s="32">
        <f>IF($A1481=1,IF(Supplier_Invoices!$R55="","",Supplier_Invoices!$R55),"")</f>
        <v/>
      </c>
      <c r="AC1481" s="32">
        <f>IF($A1481=1,IF(Supplier_Invoices!$S55="","",Supplier_Invoices!$S55),"")</f>
        <v/>
      </c>
      <c r="AD1481" s="32">
        <f>IF($A1481=1,IF(Supplier_Invoices!$T55="","",Supplier_Invoices!$T55),"")</f>
        <v/>
      </c>
      <c r="AE1481" s="32">
        <f>IF($A1481=1,0,"")</f>
        <v/>
      </c>
      <c r="AF1481" s="32" t="inlineStr"/>
    </row>
    <row r="1482">
      <c r="A1482" s="32">
        <f>IF(AND(Supplier_Invoices!$AD55=1,Supplier_Invoices!$L55&lt;&gt;"",Supplier_Invoices!$V55&lt;&gt;"CN",N(Supplier_Invoices!$W55)&gt;0),1,0)</f>
        <v/>
      </c>
      <c r="B1482" s="32">
        <f>IF($A1482=1,$E1482&amp;"/4","")</f>
        <v/>
      </c>
      <c r="C1482" s="32">
        <f>IF($A1482=1,"J-"&amp;Supplier_Invoices!$A55,"")</f>
        <v/>
      </c>
      <c r="D1482" s="33">
        <f>IF($A1482=1,Supplier_Invoices!$E55,"")</f>
        <v/>
      </c>
      <c r="E1482" s="32">
        <f>IF($A1482=1,IF(Supplier_Invoices!$A55="","",Supplier_Invoices!$A55),"")</f>
        <v/>
      </c>
      <c r="F1482" s="32">
        <f>IF($A1482=1,"SINV","")</f>
        <v/>
      </c>
      <c r="G1482" s="32">
        <f>IF($A1482=1,ACC_SUPPLIERS,"")</f>
        <v/>
      </c>
      <c r="H1482" s="32">
        <f>IF($A1482=1,IF(COUNTIF(COA!$A:$A,$G1482)=0,"حساب غير معرف",INDEX(COA!$B:$B,MATCH($G1482,COA!$A:$A,0))),"")</f>
        <v/>
      </c>
      <c r="I1482" s="32">
        <f>IF($A1482=1,IF(Supplier_Invoices!$H55="","",Supplier_Invoices!$H55),"")</f>
        <v/>
      </c>
      <c r="J1482" s="32">
        <f>IF($A1482=1,"CC00","")</f>
        <v/>
      </c>
      <c r="K1482" s="32">
        <f>IF($A1482=1,IF(Supplier_Invoices!$C55="","",Supplier_Invoices!$C55),"")</f>
        <v/>
      </c>
      <c r="L1482" s="32">
        <f>IF($A1482=1,"سداد فوري - "&amp;Supplier_Invoices!$F55&amp;" "&amp;Supplier_Invoices!$B55&amp;" - "&amp;Supplier_Invoices!$C55,"")</f>
        <v/>
      </c>
      <c r="M1482" s="43">
        <f>IF($A1482=1,Supplier_Invoices!$W55,"")</f>
        <v/>
      </c>
      <c r="N1482" s="43">
        <f>IF($A1482=1,0,"")</f>
        <v/>
      </c>
      <c r="O1482" s="32">
        <f>IF($A1482=1,Supplier_Invoices!$O55,"")</f>
        <v/>
      </c>
      <c r="P1482" s="32">
        <f>IF($A1482=1,IF(Supplier_Invoices!$AE55="","",Supplier_Invoices!$AE55),"")</f>
        <v/>
      </c>
      <c r="Q1482" s="32">
        <f>IF($A1482=1,Supplier_Invoices!$AG55,"")</f>
        <v/>
      </c>
      <c r="R1482" s="32">
        <f>IF($A1482=1,IF(AND($Q1482=1,COUNTIFS(COA!$A:$A,$G1482,COA!$R:$R,1)=1),1,0),"")</f>
        <v/>
      </c>
      <c r="S1482" s="43">
        <f>IF($A1482=1,IF($R1482=1,N($M1482),0),"")</f>
        <v/>
      </c>
      <c r="T1482" s="43">
        <f>IF($A1482=1,IF($R1482=1,N($N1482),0),"")</f>
        <v/>
      </c>
      <c r="U1482" s="32">
        <f>IF($A1482=1,YEAR($D1482)*100+MONTH($D1482),"")</f>
        <v/>
      </c>
      <c r="V1482" s="32">
        <f>IF($A1482=1,IF(COUNTIF(COA!$A:$A,$G1482)=0,0,INDEX(COA!$H:$H,MATCH($G1482,COA!$A:$A,0))),"")</f>
        <v/>
      </c>
      <c r="W1482" s="32">
        <f>IF($A1482=1,"","")</f>
        <v/>
      </c>
      <c r="X1482" s="32">
        <f>IF($A1482=1,IF($R1482=1,"",IF($O1482=ST_POST,IF($P1482&lt;&gt;"",$P1482,"حساب غير صالح أو غير نشط"),IF($O1482=ST_REV,"معكوس: لا أثر على الدفاتر",IF($O1482=ST_CANC,"ملغى",IF($O1482=ST_APPR,"معتمد ولم يُرحَّل","مسودة"))))),"")</f>
        <v/>
      </c>
      <c r="Y1482" s="32">
        <f>IF($A1482=1,IF(AND($R1482=1,OR(LG_Acct="",$G1482=LG_Acct),OR(LG_Party="",$K1482=LG_Party),OR(LG_Loc="ALL",$I1482=LG_Loc),OR(LG_CC="ALL",$J1482=LG_CC),$D1482&gt;=LG_From,$D1482&lt;=LG_To),$D1482+ROW()/1000000,""),"")</f>
        <v/>
      </c>
      <c r="Z1482" s="32">
        <f>IF($A1482=1,IF(Supplier_Invoices!$P55="","",Supplier_Invoices!$P55),"")</f>
        <v/>
      </c>
      <c r="AA1482" s="32">
        <f>IF($A1482=1,IF(Supplier_Invoices!$Q55="","",Supplier_Invoices!$Q55),"")</f>
        <v/>
      </c>
      <c r="AB1482" s="32">
        <f>IF($A1482=1,IF(Supplier_Invoices!$R55="","",Supplier_Invoices!$R55),"")</f>
        <v/>
      </c>
      <c r="AC1482" s="32">
        <f>IF($A1482=1,IF(Supplier_Invoices!$S55="","",Supplier_Invoices!$S55),"")</f>
        <v/>
      </c>
      <c r="AD1482" s="32">
        <f>IF($A1482=1,IF(Supplier_Invoices!$T55="","",Supplier_Invoices!$T55),"")</f>
        <v/>
      </c>
      <c r="AE1482" s="32">
        <f>IF($A1482=1,0,"")</f>
        <v/>
      </c>
      <c r="AF1482" s="32" t="inlineStr"/>
    </row>
    <row r="1483">
      <c r="A1483" s="32">
        <f>IF(AND(Supplier_Invoices!$AD55=1,Supplier_Invoices!$L55&lt;&gt;"",Supplier_Invoices!$V55&lt;&gt;"CN",N(Supplier_Invoices!$W55)&gt;0),1,0)</f>
        <v/>
      </c>
      <c r="B1483" s="32">
        <f>IF($A1483=1,$E1483&amp;"/5","")</f>
        <v/>
      </c>
      <c r="C1483" s="32">
        <f>IF($A1483=1,"J-"&amp;Supplier_Invoices!$A55,"")</f>
        <v/>
      </c>
      <c r="D1483" s="33">
        <f>IF($A1483=1,Supplier_Invoices!$E55,"")</f>
        <v/>
      </c>
      <c r="E1483" s="32">
        <f>IF($A1483=1,IF(Supplier_Invoices!$A55="","",Supplier_Invoices!$A55),"")</f>
        <v/>
      </c>
      <c r="F1483" s="32">
        <f>IF($A1483=1,"SINV","")</f>
        <v/>
      </c>
      <c r="G1483" s="32">
        <f>IF($A1483=1,IF(Supplier_Invoices!$AA55="","",Supplier_Invoices!$AA55),"")</f>
        <v/>
      </c>
      <c r="H1483" s="32">
        <f>IF($A1483=1,IF(COUNTIF(COA!$A:$A,$G1483)=0,"حساب غير معرف",INDEX(COA!$B:$B,MATCH($G1483,COA!$A:$A,0))),"")</f>
        <v/>
      </c>
      <c r="I1483" s="32">
        <f>IF($A1483=1,IF(Supplier_Invoices!$H55="","",Supplier_Invoices!$H55),"")</f>
        <v/>
      </c>
      <c r="J1483" s="32">
        <f>IF($A1483=1,"CC00","")</f>
        <v/>
      </c>
      <c r="K1483" s="32">
        <f>IF($A1483=1,"-","")</f>
        <v/>
      </c>
      <c r="L1483" s="32">
        <f>IF($A1483=1,"سداد فوري - "&amp;Supplier_Invoices!$F55&amp;" "&amp;Supplier_Invoices!$B55&amp;" - "&amp;Supplier_Invoices!$C55,"")</f>
        <v/>
      </c>
      <c r="M1483" s="43">
        <f>IF($A1483=1,0,"")</f>
        <v/>
      </c>
      <c r="N1483" s="43">
        <f>IF($A1483=1,Supplier_Invoices!$W55,"")</f>
        <v/>
      </c>
      <c r="O1483" s="32">
        <f>IF($A1483=1,Supplier_Invoices!$O55,"")</f>
        <v/>
      </c>
      <c r="P1483" s="32">
        <f>IF($A1483=1,IF(Supplier_Invoices!$AE55="","",Supplier_Invoices!$AE55),"")</f>
        <v/>
      </c>
      <c r="Q1483" s="32">
        <f>IF($A1483=1,Supplier_Invoices!$AG55,"")</f>
        <v/>
      </c>
      <c r="R1483" s="32">
        <f>IF($A1483=1,IF(AND($Q1483=1,COUNTIFS(COA!$A:$A,$G1483,COA!$R:$R,1)=1),1,0),"")</f>
        <v/>
      </c>
      <c r="S1483" s="43">
        <f>IF($A1483=1,IF($R1483=1,N($M1483),0),"")</f>
        <v/>
      </c>
      <c r="T1483" s="43">
        <f>IF($A1483=1,IF($R1483=1,N($N1483),0),"")</f>
        <v/>
      </c>
      <c r="U1483" s="32">
        <f>IF($A1483=1,YEAR($D1483)*100+MONTH($D1483),"")</f>
        <v/>
      </c>
      <c r="V1483" s="32">
        <f>IF($A1483=1,IF(COUNTIF(COA!$A:$A,$G1483)=0,0,INDEX(COA!$H:$H,MATCH($G1483,COA!$A:$A,0))),"")</f>
        <v/>
      </c>
      <c r="W1483" s="32">
        <f>IF($A1483=1,IF(Supplier_Invoices!$AB55="","",Supplier_Invoices!$AB55),"")</f>
        <v/>
      </c>
      <c r="X1483" s="32">
        <f>IF($A1483=1,IF($R1483=1,"",IF($O1483=ST_POST,IF($P1483&lt;&gt;"",$P1483,"حساب غير صالح أو غير نشط"),IF($O1483=ST_REV,"معكوس: لا أثر على الدفاتر",IF($O1483=ST_CANC,"ملغى",IF($O1483=ST_APPR,"معتمد ولم يُرحَّل","مسودة"))))),"")</f>
        <v/>
      </c>
      <c r="Y1483" s="32">
        <f>IF($A1483=1,IF(AND($R1483=1,OR(LG_Acct="",$G1483=LG_Acct),OR(LG_Party="",$K1483=LG_Party),OR(LG_Loc="ALL",$I1483=LG_Loc),OR(LG_CC="ALL",$J1483=LG_CC),$D1483&gt;=LG_From,$D1483&lt;=LG_To),$D1483+ROW()/1000000,""),"")</f>
        <v/>
      </c>
      <c r="Z1483" s="32">
        <f>IF($A1483=1,IF(Supplier_Invoices!$P55="","",Supplier_Invoices!$P55),"")</f>
        <v/>
      </c>
      <c r="AA1483" s="32">
        <f>IF($A1483=1,IF(Supplier_Invoices!$Q55="","",Supplier_Invoices!$Q55),"")</f>
        <v/>
      </c>
      <c r="AB1483" s="32">
        <f>IF($A1483=1,IF(Supplier_Invoices!$R55="","",Supplier_Invoices!$R55),"")</f>
        <v/>
      </c>
      <c r="AC1483" s="32">
        <f>IF($A1483=1,IF(Supplier_Invoices!$S55="","",Supplier_Invoices!$S55),"")</f>
        <v/>
      </c>
      <c r="AD1483" s="32">
        <f>IF($A1483=1,IF(Supplier_Invoices!$T55="","",Supplier_Invoices!$T55),"")</f>
        <v/>
      </c>
      <c r="AE1483" s="32">
        <f>IF($A1483=1,0,"")</f>
        <v/>
      </c>
      <c r="AF1483" s="32" t="inlineStr"/>
    </row>
    <row r="1484">
      <c r="A1484" s="32">
        <f>IF(AND(Supplier_Invoices!$AD56=1,N(Supplier_Invoices!$J56)&gt;0),1,0)</f>
        <v/>
      </c>
      <c r="B1484" s="32">
        <f>IF($A1484=1,$E1484&amp;"/1","")</f>
        <v/>
      </c>
      <c r="C1484" s="32">
        <f>IF($A1484=1,"J-"&amp;Supplier_Invoices!$A56,"")</f>
        <v/>
      </c>
      <c r="D1484" s="33">
        <f>IF($A1484=1,Supplier_Invoices!$E56,"")</f>
        <v/>
      </c>
      <c r="E1484" s="32">
        <f>IF($A1484=1,IF(Supplier_Invoices!$A56="","",Supplier_Invoices!$A56),"")</f>
        <v/>
      </c>
      <c r="F1484" s="32">
        <f>IF($A1484=1,"SINV","")</f>
        <v/>
      </c>
      <c r="G1484" s="32">
        <f>IF($A1484=1,IF(Supplier_Invoices!$G56="","",Supplier_Invoices!$G56),"")</f>
        <v/>
      </c>
      <c r="H1484" s="32">
        <f>IF($A1484=1,IF(COUNTIF(COA!$A:$A,$G1484)=0,"حساب غير معرف",INDEX(COA!$B:$B,MATCH($G1484,COA!$A:$A,0))),"")</f>
        <v/>
      </c>
      <c r="I1484" s="32">
        <f>IF($A1484=1,IF(Supplier_Invoices!$H56="","",Supplier_Invoices!$H56),"")</f>
        <v/>
      </c>
      <c r="J1484" s="32">
        <f>IF($A1484=1,IF(Supplier_Invoices!$I56="","",Supplier_Invoices!$I56),"")</f>
        <v/>
      </c>
      <c r="K1484" s="32">
        <f>IF($A1484=1,"-","")</f>
        <v/>
      </c>
      <c r="L1484" s="32">
        <f>IF($A1484=1,Supplier_Invoices!$F56&amp;" "&amp;Supplier_Invoices!$B56&amp;" - "&amp;Supplier_Invoices!$C56,"")</f>
        <v/>
      </c>
      <c r="M1484" s="43">
        <f>IF($A1484=1,IF(Supplier_Invoices!$V56="CN",0,Supplier_Invoices!$J56),"")</f>
        <v/>
      </c>
      <c r="N1484" s="43">
        <f>IF($A1484=1,IF(Supplier_Invoices!$V56="CN",Supplier_Invoices!$J56,0),"")</f>
        <v/>
      </c>
      <c r="O1484" s="32">
        <f>IF($A1484=1,Supplier_Invoices!$O56,"")</f>
        <v/>
      </c>
      <c r="P1484" s="32">
        <f>IF($A1484=1,IF(Supplier_Invoices!$AE56="","",Supplier_Invoices!$AE56),"")</f>
        <v/>
      </c>
      <c r="Q1484" s="32">
        <f>IF($A1484=1,Supplier_Invoices!$AG56,"")</f>
        <v/>
      </c>
      <c r="R1484" s="32">
        <f>IF($A1484=1,IF(AND($Q1484=1,COUNTIFS(COA!$A:$A,$G1484,COA!$R:$R,1)=1),1,0),"")</f>
        <v/>
      </c>
      <c r="S1484" s="43">
        <f>IF($A1484=1,IF($R1484=1,N($M1484),0),"")</f>
        <v/>
      </c>
      <c r="T1484" s="43">
        <f>IF($A1484=1,IF($R1484=1,N($N1484),0),"")</f>
        <v/>
      </c>
      <c r="U1484" s="32">
        <f>IF($A1484=1,YEAR($D1484)*100+MONTH($D1484),"")</f>
        <v/>
      </c>
      <c r="V1484" s="32">
        <f>IF($A1484=1,IF(COUNTIF(COA!$A:$A,$G1484)=0,0,INDEX(COA!$H:$H,MATCH($G1484,COA!$A:$A,0))),"")</f>
        <v/>
      </c>
      <c r="W1484" s="32">
        <f>IF($A1484=1,"","")</f>
        <v/>
      </c>
      <c r="X1484" s="32">
        <f>IF($A1484=1,IF($R1484=1,"",IF($O1484=ST_POST,IF($P1484&lt;&gt;"",$P1484,"حساب غير صالح أو غير نشط"),IF($O1484=ST_REV,"معكوس: لا أثر على الدفاتر",IF($O1484=ST_CANC,"ملغى",IF($O1484=ST_APPR,"معتمد ولم يُرحَّل","مسودة"))))),"")</f>
        <v/>
      </c>
      <c r="Y1484" s="32">
        <f>IF($A1484=1,IF(AND($R1484=1,OR(LG_Acct="",$G1484=LG_Acct),OR(LG_Party="",$K1484=LG_Party),OR(LG_Loc="ALL",$I1484=LG_Loc),OR(LG_CC="ALL",$J1484=LG_CC),$D1484&gt;=LG_From,$D1484&lt;=LG_To),$D1484+ROW()/1000000,""),"")</f>
        <v/>
      </c>
      <c r="Z1484" s="32">
        <f>IF($A1484=1,IF(Supplier_Invoices!$P56="","",Supplier_Invoices!$P56),"")</f>
        <v/>
      </c>
      <c r="AA1484" s="32">
        <f>IF($A1484=1,IF(Supplier_Invoices!$Q56="","",Supplier_Invoices!$Q56),"")</f>
        <v/>
      </c>
      <c r="AB1484" s="32">
        <f>IF($A1484=1,IF(Supplier_Invoices!$R56="","",Supplier_Invoices!$R56),"")</f>
        <v/>
      </c>
      <c r="AC1484" s="32">
        <f>IF($A1484=1,IF(Supplier_Invoices!$S56="","",Supplier_Invoices!$S56),"")</f>
        <v/>
      </c>
      <c r="AD1484" s="32">
        <f>IF($A1484=1,IF(Supplier_Invoices!$T56="","",Supplier_Invoices!$T56),"")</f>
        <v/>
      </c>
      <c r="AE1484" s="32">
        <f>IF($A1484=1,0,"")</f>
        <v/>
      </c>
      <c r="AF1484" s="32" t="inlineStr"/>
    </row>
    <row r="1485">
      <c r="A1485" s="32">
        <f>IF(AND(Supplier_Invoices!$AD56=1,N(Supplier_Invoices!$K56)&gt;0),1,0)</f>
        <v/>
      </c>
      <c r="B1485" s="32">
        <f>IF($A1485=1,$E1485&amp;"/2","")</f>
        <v/>
      </c>
      <c r="C1485" s="32">
        <f>IF($A1485=1,"J-"&amp;Supplier_Invoices!$A56,"")</f>
        <v/>
      </c>
      <c r="D1485" s="33">
        <f>IF($A1485=1,Supplier_Invoices!$E56,"")</f>
        <v/>
      </c>
      <c r="E1485" s="32">
        <f>IF($A1485=1,IF(Supplier_Invoices!$A56="","",Supplier_Invoices!$A56),"")</f>
        <v/>
      </c>
      <c r="F1485" s="32">
        <f>IF($A1485=1,"SINV","")</f>
        <v/>
      </c>
      <c r="G1485" s="32">
        <f>IF($A1485=1,ACC_VAT_IN,"")</f>
        <v/>
      </c>
      <c r="H1485" s="32">
        <f>IF($A1485=1,IF(COUNTIF(COA!$A:$A,$G1485)=0,"حساب غير معرف",INDEX(COA!$B:$B,MATCH($G1485,COA!$A:$A,0))),"")</f>
        <v/>
      </c>
      <c r="I1485" s="32">
        <f>IF($A1485=1,IF(Supplier_Invoices!$H56="","",Supplier_Invoices!$H56),"")</f>
        <v/>
      </c>
      <c r="J1485" s="32">
        <f>IF($A1485=1,IF(Supplier_Invoices!$I56="","",Supplier_Invoices!$I56),"")</f>
        <v/>
      </c>
      <c r="K1485" s="32">
        <f>IF($A1485=1,"-","")</f>
        <v/>
      </c>
      <c r="L1485" s="32">
        <f>IF($A1485=1,"ضريبة قيمة مضافة - مدخلات","")</f>
        <v/>
      </c>
      <c r="M1485" s="43">
        <f>IF($A1485=1,IF(Supplier_Invoices!$V56="CN",0,Supplier_Invoices!$K56),"")</f>
        <v/>
      </c>
      <c r="N1485" s="43">
        <f>IF($A1485=1,IF(Supplier_Invoices!$V56="CN",Supplier_Invoices!$K56,0),"")</f>
        <v/>
      </c>
      <c r="O1485" s="32">
        <f>IF($A1485=1,Supplier_Invoices!$O56,"")</f>
        <v/>
      </c>
      <c r="P1485" s="32">
        <f>IF($A1485=1,IF(Supplier_Invoices!$AE56="","",Supplier_Invoices!$AE56),"")</f>
        <v/>
      </c>
      <c r="Q1485" s="32">
        <f>IF($A1485=1,Supplier_Invoices!$AG56,"")</f>
        <v/>
      </c>
      <c r="R1485" s="32">
        <f>IF($A1485=1,IF(AND($Q1485=1,COUNTIFS(COA!$A:$A,$G1485,COA!$R:$R,1)=1),1,0),"")</f>
        <v/>
      </c>
      <c r="S1485" s="43">
        <f>IF($A1485=1,IF($R1485=1,N($M1485),0),"")</f>
        <v/>
      </c>
      <c r="T1485" s="43">
        <f>IF($A1485=1,IF($R1485=1,N($N1485),0),"")</f>
        <v/>
      </c>
      <c r="U1485" s="32">
        <f>IF($A1485=1,YEAR($D1485)*100+MONTH($D1485),"")</f>
        <v/>
      </c>
      <c r="V1485" s="32">
        <f>IF($A1485=1,IF(COUNTIF(COA!$A:$A,$G1485)=0,0,INDEX(COA!$H:$H,MATCH($G1485,COA!$A:$A,0))),"")</f>
        <v/>
      </c>
      <c r="W1485" s="32">
        <f>IF($A1485=1,"","")</f>
        <v/>
      </c>
      <c r="X1485" s="32">
        <f>IF($A1485=1,IF($R1485=1,"",IF($O1485=ST_POST,IF($P1485&lt;&gt;"",$P1485,"حساب غير صالح أو غير نشط"),IF($O1485=ST_REV,"معكوس: لا أثر على الدفاتر",IF($O1485=ST_CANC,"ملغى",IF($O1485=ST_APPR,"معتمد ولم يُرحَّل","مسودة"))))),"")</f>
        <v/>
      </c>
      <c r="Y1485" s="32">
        <f>IF($A1485=1,IF(AND($R1485=1,OR(LG_Acct="",$G1485=LG_Acct),OR(LG_Party="",$K1485=LG_Party),OR(LG_Loc="ALL",$I1485=LG_Loc),OR(LG_CC="ALL",$J1485=LG_CC),$D1485&gt;=LG_From,$D1485&lt;=LG_To),$D1485+ROW()/1000000,""),"")</f>
        <v/>
      </c>
      <c r="Z1485" s="32">
        <f>IF($A1485=1,IF(Supplier_Invoices!$P56="","",Supplier_Invoices!$P56),"")</f>
        <v/>
      </c>
      <c r="AA1485" s="32">
        <f>IF($A1485=1,IF(Supplier_Invoices!$Q56="","",Supplier_Invoices!$Q56),"")</f>
        <v/>
      </c>
      <c r="AB1485" s="32">
        <f>IF($A1485=1,IF(Supplier_Invoices!$R56="","",Supplier_Invoices!$R56),"")</f>
        <v/>
      </c>
      <c r="AC1485" s="32">
        <f>IF($A1485=1,IF(Supplier_Invoices!$S56="","",Supplier_Invoices!$S56),"")</f>
        <v/>
      </c>
      <c r="AD1485" s="32">
        <f>IF($A1485=1,IF(Supplier_Invoices!$T56="","",Supplier_Invoices!$T56),"")</f>
        <v/>
      </c>
      <c r="AE1485" s="32">
        <f>IF($A1485=1,0,"")</f>
        <v/>
      </c>
      <c r="AF1485" s="32" t="inlineStr"/>
    </row>
    <row r="1486">
      <c r="A1486" s="32">
        <f>IF(AND(Supplier_Invoices!$AD56=1,N(Supplier_Invoices!$W56)&gt;0),1,0)</f>
        <v/>
      </c>
      <c r="B1486" s="32">
        <f>IF($A1486=1,$E1486&amp;"/3","")</f>
        <v/>
      </c>
      <c r="C1486" s="32">
        <f>IF($A1486=1,"J-"&amp;Supplier_Invoices!$A56,"")</f>
        <v/>
      </c>
      <c r="D1486" s="33">
        <f>IF($A1486=1,Supplier_Invoices!$E56,"")</f>
        <v/>
      </c>
      <c r="E1486" s="32">
        <f>IF($A1486=1,IF(Supplier_Invoices!$A56="","",Supplier_Invoices!$A56),"")</f>
        <v/>
      </c>
      <c r="F1486" s="32">
        <f>IF($A1486=1,"SINV","")</f>
        <v/>
      </c>
      <c r="G1486" s="32">
        <f>IF($A1486=1,ACC_SUPPLIERS,"")</f>
        <v/>
      </c>
      <c r="H1486" s="32">
        <f>IF($A1486=1,IF(COUNTIF(COA!$A:$A,$G1486)=0,"حساب غير معرف",INDEX(COA!$B:$B,MATCH($G1486,COA!$A:$A,0))),"")</f>
        <v/>
      </c>
      <c r="I1486" s="32">
        <f>IF($A1486=1,IF(Supplier_Invoices!$H56="","",Supplier_Invoices!$H56),"")</f>
        <v/>
      </c>
      <c r="J1486" s="32">
        <f>IF($A1486=1,"CC00","")</f>
        <v/>
      </c>
      <c r="K1486" s="32">
        <f>IF($A1486=1,IF(Supplier_Invoices!$C56="","",Supplier_Invoices!$C56),"")</f>
        <v/>
      </c>
      <c r="L1486" s="32">
        <f>IF($A1486=1,Supplier_Invoices!$F56&amp;" "&amp;Supplier_Invoices!$B56&amp;" - "&amp;Supplier_Invoices!$C56,"")</f>
        <v/>
      </c>
      <c r="M1486" s="43">
        <f>IF($A1486=1,IF(Supplier_Invoices!$V56="CN",Supplier_Invoices!$W56,0),"")</f>
        <v/>
      </c>
      <c r="N1486" s="43">
        <f>IF($A1486=1,IF(Supplier_Invoices!$V56="CN",0,Supplier_Invoices!$W56),"")</f>
        <v/>
      </c>
      <c r="O1486" s="32">
        <f>IF($A1486=1,Supplier_Invoices!$O56,"")</f>
        <v/>
      </c>
      <c r="P1486" s="32">
        <f>IF($A1486=1,IF(Supplier_Invoices!$AE56="","",Supplier_Invoices!$AE56),"")</f>
        <v/>
      </c>
      <c r="Q1486" s="32">
        <f>IF($A1486=1,Supplier_Invoices!$AG56,"")</f>
        <v/>
      </c>
      <c r="R1486" s="32">
        <f>IF($A1486=1,IF(AND($Q1486=1,COUNTIFS(COA!$A:$A,$G1486,COA!$R:$R,1)=1),1,0),"")</f>
        <v/>
      </c>
      <c r="S1486" s="43">
        <f>IF($A1486=1,IF($R1486=1,N($M1486),0),"")</f>
        <v/>
      </c>
      <c r="T1486" s="43">
        <f>IF($A1486=1,IF($R1486=1,N($N1486),0),"")</f>
        <v/>
      </c>
      <c r="U1486" s="32">
        <f>IF($A1486=1,YEAR($D1486)*100+MONTH($D1486),"")</f>
        <v/>
      </c>
      <c r="V1486" s="32">
        <f>IF($A1486=1,IF(COUNTIF(COA!$A:$A,$G1486)=0,0,INDEX(COA!$H:$H,MATCH($G1486,COA!$A:$A,0))),"")</f>
        <v/>
      </c>
      <c r="W1486" s="32">
        <f>IF($A1486=1,"","")</f>
        <v/>
      </c>
      <c r="X1486" s="32">
        <f>IF($A1486=1,IF($R1486=1,"",IF($O1486=ST_POST,IF($P1486&lt;&gt;"",$P1486,"حساب غير صالح أو غير نشط"),IF($O1486=ST_REV,"معكوس: لا أثر على الدفاتر",IF($O1486=ST_CANC,"ملغى",IF($O1486=ST_APPR,"معتمد ولم يُرحَّل","مسودة"))))),"")</f>
        <v/>
      </c>
      <c r="Y1486" s="32">
        <f>IF($A1486=1,IF(AND($R1486=1,OR(LG_Acct="",$G1486=LG_Acct),OR(LG_Party="",$K1486=LG_Party),OR(LG_Loc="ALL",$I1486=LG_Loc),OR(LG_CC="ALL",$J1486=LG_CC),$D1486&gt;=LG_From,$D1486&lt;=LG_To),$D1486+ROW()/1000000,""),"")</f>
        <v/>
      </c>
      <c r="Z1486" s="32">
        <f>IF($A1486=1,IF(Supplier_Invoices!$P56="","",Supplier_Invoices!$P56),"")</f>
        <v/>
      </c>
      <c r="AA1486" s="32">
        <f>IF($A1486=1,IF(Supplier_Invoices!$Q56="","",Supplier_Invoices!$Q56),"")</f>
        <v/>
      </c>
      <c r="AB1486" s="32">
        <f>IF($A1486=1,IF(Supplier_Invoices!$R56="","",Supplier_Invoices!$R56),"")</f>
        <v/>
      </c>
      <c r="AC1486" s="32">
        <f>IF($A1486=1,IF(Supplier_Invoices!$S56="","",Supplier_Invoices!$S56),"")</f>
        <v/>
      </c>
      <c r="AD1486" s="32">
        <f>IF($A1486=1,IF(Supplier_Invoices!$T56="","",Supplier_Invoices!$T56),"")</f>
        <v/>
      </c>
      <c r="AE1486" s="32">
        <f>IF($A1486=1,0,"")</f>
        <v/>
      </c>
      <c r="AF1486" s="32" t="inlineStr"/>
    </row>
    <row r="1487">
      <c r="A1487" s="32">
        <f>IF(AND(Supplier_Invoices!$AD56=1,Supplier_Invoices!$L56&lt;&gt;"",Supplier_Invoices!$V56&lt;&gt;"CN",N(Supplier_Invoices!$W56)&gt;0),1,0)</f>
        <v/>
      </c>
      <c r="B1487" s="32">
        <f>IF($A1487=1,$E1487&amp;"/4","")</f>
        <v/>
      </c>
      <c r="C1487" s="32">
        <f>IF($A1487=1,"J-"&amp;Supplier_Invoices!$A56,"")</f>
        <v/>
      </c>
      <c r="D1487" s="33">
        <f>IF($A1487=1,Supplier_Invoices!$E56,"")</f>
        <v/>
      </c>
      <c r="E1487" s="32">
        <f>IF($A1487=1,IF(Supplier_Invoices!$A56="","",Supplier_Invoices!$A56),"")</f>
        <v/>
      </c>
      <c r="F1487" s="32">
        <f>IF($A1487=1,"SINV","")</f>
        <v/>
      </c>
      <c r="G1487" s="32">
        <f>IF($A1487=1,ACC_SUPPLIERS,"")</f>
        <v/>
      </c>
      <c r="H1487" s="32">
        <f>IF($A1487=1,IF(COUNTIF(COA!$A:$A,$G1487)=0,"حساب غير معرف",INDEX(COA!$B:$B,MATCH($G1487,COA!$A:$A,0))),"")</f>
        <v/>
      </c>
      <c r="I1487" s="32">
        <f>IF($A1487=1,IF(Supplier_Invoices!$H56="","",Supplier_Invoices!$H56),"")</f>
        <v/>
      </c>
      <c r="J1487" s="32">
        <f>IF($A1487=1,"CC00","")</f>
        <v/>
      </c>
      <c r="K1487" s="32">
        <f>IF($A1487=1,IF(Supplier_Invoices!$C56="","",Supplier_Invoices!$C56),"")</f>
        <v/>
      </c>
      <c r="L1487" s="32">
        <f>IF($A1487=1,"سداد فوري - "&amp;Supplier_Invoices!$F56&amp;" "&amp;Supplier_Invoices!$B56&amp;" - "&amp;Supplier_Invoices!$C56,"")</f>
        <v/>
      </c>
      <c r="M1487" s="43">
        <f>IF($A1487=1,Supplier_Invoices!$W56,"")</f>
        <v/>
      </c>
      <c r="N1487" s="43">
        <f>IF($A1487=1,0,"")</f>
        <v/>
      </c>
      <c r="O1487" s="32">
        <f>IF($A1487=1,Supplier_Invoices!$O56,"")</f>
        <v/>
      </c>
      <c r="P1487" s="32">
        <f>IF($A1487=1,IF(Supplier_Invoices!$AE56="","",Supplier_Invoices!$AE56),"")</f>
        <v/>
      </c>
      <c r="Q1487" s="32">
        <f>IF($A1487=1,Supplier_Invoices!$AG56,"")</f>
        <v/>
      </c>
      <c r="R1487" s="32">
        <f>IF($A1487=1,IF(AND($Q1487=1,COUNTIFS(COA!$A:$A,$G1487,COA!$R:$R,1)=1),1,0),"")</f>
        <v/>
      </c>
      <c r="S1487" s="43">
        <f>IF($A1487=1,IF($R1487=1,N($M1487),0),"")</f>
        <v/>
      </c>
      <c r="T1487" s="43">
        <f>IF($A1487=1,IF($R1487=1,N($N1487),0),"")</f>
        <v/>
      </c>
      <c r="U1487" s="32">
        <f>IF($A1487=1,YEAR($D1487)*100+MONTH($D1487),"")</f>
        <v/>
      </c>
      <c r="V1487" s="32">
        <f>IF($A1487=1,IF(COUNTIF(COA!$A:$A,$G1487)=0,0,INDEX(COA!$H:$H,MATCH($G1487,COA!$A:$A,0))),"")</f>
        <v/>
      </c>
      <c r="W1487" s="32">
        <f>IF($A1487=1,"","")</f>
        <v/>
      </c>
      <c r="X1487" s="32">
        <f>IF($A1487=1,IF($R1487=1,"",IF($O1487=ST_POST,IF($P1487&lt;&gt;"",$P1487,"حساب غير صالح أو غير نشط"),IF($O1487=ST_REV,"معكوس: لا أثر على الدفاتر",IF($O1487=ST_CANC,"ملغى",IF($O1487=ST_APPR,"معتمد ولم يُرحَّل","مسودة"))))),"")</f>
        <v/>
      </c>
      <c r="Y1487" s="32">
        <f>IF($A1487=1,IF(AND($R1487=1,OR(LG_Acct="",$G1487=LG_Acct),OR(LG_Party="",$K1487=LG_Party),OR(LG_Loc="ALL",$I1487=LG_Loc),OR(LG_CC="ALL",$J1487=LG_CC),$D1487&gt;=LG_From,$D1487&lt;=LG_To),$D1487+ROW()/1000000,""),"")</f>
        <v/>
      </c>
      <c r="Z1487" s="32">
        <f>IF($A1487=1,IF(Supplier_Invoices!$P56="","",Supplier_Invoices!$P56),"")</f>
        <v/>
      </c>
      <c r="AA1487" s="32">
        <f>IF($A1487=1,IF(Supplier_Invoices!$Q56="","",Supplier_Invoices!$Q56),"")</f>
        <v/>
      </c>
      <c r="AB1487" s="32">
        <f>IF($A1487=1,IF(Supplier_Invoices!$R56="","",Supplier_Invoices!$R56),"")</f>
        <v/>
      </c>
      <c r="AC1487" s="32">
        <f>IF($A1487=1,IF(Supplier_Invoices!$S56="","",Supplier_Invoices!$S56),"")</f>
        <v/>
      </c>
      <c r="AD1487" s="32">
        <f>IF($A1487=1,IF(Supplier_Invoices!$T56="","",Supplier_Invoices!$T56),"")</f>
        <v/>
      </c>
      <c r="AE1487" s="32">
        <f>IF($A1487=1,0,"")</f>
        <v/>
      </c>
      <c r="AF1487" s="32" t="inlineStr"/>
    </row>
    <row r="1488">
      <c r="A1488" s="32">
        <f>IF(AND(Supplier_Invoices!$AD56=1,Supplier_Invoices!$L56&lt;&gt;"",Supplier_Invoices!$V56&lt;&gt;"CN",N(Supplier_Invoices!$W56)&gt;0),1,0)</f>
        <v/>
      </c>
      <c r="B1488" s="32">
        <f>IF($A1488=1,$E1488&amp;"/5","")</f>
        <v/>
      </c>
      <c r="C1488" s="32">
        <f>IF($A1488=1,"J-"&amp;Supplier_Invoices!$A56,"")</f>
        <v/>
      </c>
      <c r="D1488" s="33">
        <f>IF($A1488=1,Supplier_Invoices!$E56,"")</f>
        <v/>
      </c>
      <c r="E1488" s="32">
        <f>IF($A1488=1,IF(Supplier_Invoices!$A56="","",Supplier_Invoices!$A56),"")</f>
        <v/>
      </c>
      <c r="F1488" s="32">
        <f>IF($A1488=1,"SINV","")</f>
        <v/>
      </c>
      <c r="G1488" s="32">
        <f>IF($A1488=1,IF(Supplier_Invoices!$AA56="","",Supplier_Invoices!$AA56),"")</f>
        <v/>
      </c>
      <c r="H1488" s="32">
        <f>IF($A1488=1,IF(COUNTIF(COA!$A:$A,$G1488)=0,"حساب غير معرف",INDEX(COA!$B:$B,MATCH($G1488,COA!$A:$A,0))),"")</f>
        <v/>
      </c>
      <c r="I1488" s="32">
        <f>IF($A1488=1,IF(Supplier_Invoices!$H56="","",Supplier_Invoices!$H56),"")</f>
        <v/>
      </c>
      <c r="J1488" s="32">
        <f>IF($A1488=1,"CC00","")</f>
        <v/>
      </c>
      <c r="K1488" s="32">
        <f>IF($A1488=1,"-","")</f>
        <v/>
      </c>
      <c r="L1488" s="32">
        <f>IF($A1488=1,"سداد فوري - "&amp;Supplier_Invoices!$F56&amp;" "&amp;Supplier_Invoices!$B56&amp;" - "&amp;Supplier_Invoices!$C56,"")</f>
        <v/>
      </c>
      <c r="M1488" s="43">
        <f>IF($A1488=1,0,"")</f>
        <v/>
      </c>
      <c r="N1488" s="43">
        <f>IF($A1488=1,Supplier_Invoices!$W56,"")</f>
        <v/>
      </c>
      <c r="O1488" s="32">
        <f>IF($A1488=1,Supplier_Invoices!$O56,"")</f>
        <v/>
      </c>
      <c r="P1488" s="32">
        <f>IF($A1488=1,IF(Supplier_Invoices!$AE56="","",Supplier_Invoices!$AE56),"")</f>
        <v/>
      </c>
      <c r="Q1488" s="32">
        <f>IF($A1488=1,Supplier_Invoices!$AG56,"")</f>
        <v/>
      </c>
      <c r="R1488" s="32">
        <f>IF($A1488=1,IF(AND($Q1488=1,COUNTIFS(COA!$A:$A,$G1488,COA!$R:$R,1)=1),1,0),"")</f>
        <v/>
      </c>
      <c r="S1488" s="43">
        <f>IF($A1488=1,IF($R1488=1,N($M1488),0),"")</f>
        <v/>
      </c>
      <c r="T1488" s="43">
        <f>IF($A1488=1,IF($R1488=1,N($N1488),0),"")</f>
        <v/>
      </c>
      <c r="U1488" s="32">
        <f>IF($A1488=1,YEAR($D1488)*100+MONTH($D1488),"")</f>
        <v/>
      </c>
      <c r="V1488" s="32">
        <f>IF($A1488=1,IF(COUNTIF(COA!$A:$A,$G1488)=0,0,INDEX(COA!$H:$H,MATCH($G1488,COA!$A:$A,0))),"")</f>
        <v/>
      </c>
      <c r="W1488" s="32">
        <f>IF($A1488=1,IF(Supplier_Invoices!$AB56="","",Supplier_Invoices!$AB56),"")</f>
        <v/>
      </c>
      <c r="X1488" s="32">
        <f>IF($A1488=1,IF($R1488=1,"",IF($O1488=ST_POST,IF($P1488&lt;&gt;"",$P1488,"حساب غير صالح أو غير نشط"),IF($O1488=ST_REV,"معكوس: لا أثر على الدفاتر",IF($O1488=ST_CANC,"ملغى",IF($O1488=ST_APPR,"معتمد ولم يُرحَّل","مسودة"))))),"")</f>
        <v/>
      </c>
      <c r="Y1488" s="32">
        <f>IF($A1488=1,IF(AND($R1488=1,OR(LG_Acct="",$G1488=LG_Acct),OR(LG_Party="",$K1488=LG_Party),OR(LG_Loc="ALL",$I1488=LG_Loc),OR(LG_CC="ALL",$J1488=LG_CC),$D1488&gt;=LG_From,$D1488&lt;=LG_To),$D1488+ROW()/1000000,""),"")</f>
        <v/>
      </c>
      <c r="Z1488" s="32">
        <f>IF($A1488=1,IF(Supplier_Invoices!$P56="","",Supplier_Invoices!$P56),"")</f>
        <v/>
      </c>
      <c r="AA1488" s="32">
        <f>IF($A1488=1,IF(Supplier_Invoices!$Q56="","",Supplier_Invoices!$Q56),"")</f>
        <v/>
      </c>
      <c r="AB1488" s="32">
        <f>IF($A1488=1,IF(Supplier_Invoices!$R56="","",Supplier_Invoices!$R56),"")</f>
        <v/>
      </c>
      <c r="AC1488" s="32">
        <f>IF($A1488=1,IF(Supplier_Invoices!$S56="","",Supplier_Invoices!$S56),"")</f>
        <v/>
      </c>
      <c r="AD1488" s="32">
        <f>IF($A1488=1,IF(Supplier_Invoices!$T56="","",Supplier_Invoices!$T56),"")</f>
        <v/>
      </c>
      <c r="AE1488" s="32">
        <f>IF($A1488=1,0,"")</f>
        <v/>
      </c>
      <c r="AF1488" s="32" t="inlineStr"/>
    </row>
    <row r="1489">
      <c r="A1489" s="32">
        <f>IF(AND(Supplier_Invoices!$AD57=1,N(Supplier_Invoices!$J57)&gt;0),1,0)</f>
        <v/>
      </c>
      <c r="B1489" s="32">
        <f>IF($A1489=1,$E1489&amp;"/1","")</f>
        <v/>
      </c>
      <c r="C1489" s="32">
        <f>IF($A1489=1,"J-"&amp;Supplier_Invoices!$A57,"")</f>
        <v/>
      </c>
      <c r="D1489" s="33">
        <f>IF($A1489=1,Supplier_Invoices!$E57,"")</f>
        <v/>
      </c>
      <c r="E1489" s="32">
        <f>IF($A1489=1,IF(Supplier_Invoices!$A57="","",Supplier_Invoices!$A57),"")</f>
        <v/>
      </c>
      <c r="F1489" s="32">
        <f>IF($A1489=1,"SINV","")</f>
        <v/>
      </c>
      <c r="G1489" s="32">
        <f>IF($A1489=1,IF(Supplier_Invoices!$G57="","",Supplier_Invoices!$G57),"")</f>
        <v/>
      </c>
      <c r="H1489" s="32">
        <f>IF($A1489=1,IF(COUNTIF(COA!$A:$A,$G1489)=0,"حساب غير معرف",INDEX(COA!$B:$B,MATCH($G1489,COA!$A:$A,0))),"")</f>
        <v/>
      </c>
      <c r="I1489" s="32">
        <f>IF($A1489=1,IF(Supplier_Invoices!$H57="","",Supplier_Invoices!$H57),"")</f>
        <v/>
      </c>
      <c r="J1489" s="32">
        <f>IF($A1489=1,IF(Supplier_Invoices!$I57="","",Supplier_Invoices!$I57),"")</f>
        <v/>
      </c>
      <c r="K1489" s="32">
        <f>IF($A1489=1,"-","")</f>
        <v/>
      </c>
      <c r="L1489" s="32">
        <f>IF($A1489=1,Supplier_Invoices!$F57&amp;" "&amp;Supplier_Invoices!$B57&amp;" - "&amp;Supplier_Invoices!$C57,"")</f>
        <v/>
      </c>
      <c r="M1489" s="43">
        <f>IF($A1489=1,IF(Supplier_Invoices!$V57="CN",0,Supplier_Invoices!$J57),"")</f>
        <v/>
      </c>
      <c r="N1489" s="43">
        <f>IF($A1489=1,IF(Supplier_Invoices!$V57="CN",Supplier_Invoices!$J57,0),"")</f>
        <v/>
      </c>
      <c r="O1489" s="32">
        <f>IF($A1489=1,Supplier_Invoices!$O57,"")</f>
        <v/>
      </c>
      <c r="P1489" s="32">
        <f>IF($A1489=1,IF(Supplier_Invoices!$AE57="","",Supplier_Invoices!$AE57),"")</f>
        <v/>
      </c>
      <c r="Q1489" s="32">
        <f>IF($A1489=1,Supplier_Invoices!$AG57,"")</f>
        <v/>
      </c>
      <c r="R1489" s="32">
        <f>IF($A1489=1,IF(AND($Q1489=1,COUNTIFS(COA!$A:$A,$G1489,COA!$R:$R,1)=1),1,0),"")</f>
        <v/>
      </c>
      <c r="S1489" s="43">
        <f>IF($A1489=1,IF($R1489=1,N($M1489),0),"")</f>
        <v/>
      </c>
      <c r="T1489" s="43">
        <f>IF($A1489=1,IF($R1489=1,N($N1489),0),"")</f>
        <v/>
      </c>
      <c r="U1489" s="32">
        <f>IF($A1489=1,YEAR($D1489)*100+MONTH($D1489),"")</f>
        <v/>
      </c>
      <c r="V1489" s="32">
        <f>IF($A1489=1,IF(COUNTIF(COA!$A:$A,$G1489)=0,0,INDEX(COA!$H:$H,MATCH($G1489,COA!$A:$A,0))),"")</f>
        <v/>
      </c>
      <c r="W1489" s="32">
        <f>IF($A1489=1,"","")</f>
        <v/>
      </c>
      <c r="X1489" s="32">
        <f>IF($A1489=1,IF($R1489=1,"",IF($O1489=ST_POST,IF($P1489&lt;&gt;"",$P1489,"حساب غير صالح أو غير نشط"),IF($O1489=ST_REV,"معكوس: لا أثر على الدفاتر",IF($O1489=ST_CANC,"ملغى",IF($O1489=ST_APPR,"معتمد ولم يُرحَّل","مسودة"))))),"")</f>
        <v/>
      </c>
      <c r="Y1489" s="32">
        <f>IF($A1489=1,IF(AND($R1489=1,OR(LG_Acct="",$G1489=LG_Acct),OR(LG_Party="",$K1489=LG_Party),OR(LG_Loc="ALL",$I1489=LG_Loc),OR(LG_CC="ALL",$J1489=LG_CC),$D1489&gt;=LG_From,$D1489&lt;=LG_To),$D1489+ROW()/1000000,""),"")</f>
        <v/>
      </c>
      <c r="Z1489" s="32">
        <f>IF($A1489=1,IF(Supplier_Invoices!$P57="","",Supplier_Invoices!$P57),"")</f>
        <v/>
      </c>
      <c r="AA1489" s="32">
        <f>IF($A1489=1,IF(Supplier_Invoices!$Q57="","",Supplier_Invoices!$Q57),"")</f>
        <v/>
      </c>
      <c r="AB1489" s="32">
        <f>IF($A1489=1,IF(Supplier_Invoices!$R57="","",Supplier_Invoices!$R57),"")</f>
        <v/>
      </c>
      <c r="AC1489" s="32">
        <f>IF($A1489=1,IF(Supplier_Invoices!$S57="","",Supplier_Invoices!$S57),"")</f>
        <v/>
      </c>
      <c r="AD1489" s="32">
        <f>IF($A1489=1,IF(Supplier_Invoices!$T57="","",Supplier_Invoices!$T57),"")</f>
        <v/>
      </c>
      <c r="AE1489" s="32">
        <f>IF($A1489=1,0,"")</f>
        <v/>
      </c>
      <c r="AF1489" s="32" t="inlineStr"/>
    </row>
    <row r="1490">
      <c r="A1490" s="32">
        <f>IF(AND(Supplier_Invoices!$AD57=1,N(Supplier_Invoices!$K57)&gt;0),1,0)</f>
        <v/>
      </c>
      <c r="B1490" s="32">
        <f>IF($A1490=1,$E1490&amp;"/2","")</f>
        <v/>
      </c>
      <c r="C1490" s="32">
        <f>IF($A1490=1,"J-"&amp;Supplier_Invoices!$A57,"")</f>
        <v/>
      </c>
      <c r="D1490" s="33">
        <f>IF($A1490=1,Supplier_Invoices!$E57,"")</f>
        <v/>
      </c>
      <c r="E1490" s="32">
        <f>IF($A1490=1,IF(Supplier_Invoices!$A57="","",Supplier_Invoices!$A57),"")</f>
        <v/>
      </c>
      <c r="F1490" s="32">
        <f>IF($A1490=1,"SINV","")</f>
        <v/>
      </c>
      <c r="G1490" s="32">
        <f>IF($A1490=1,ACC_VAT_IN,"")</f>
        <v/>
      </c>
      <c r="H1490" s="32">
        <f>IF($A1490=1,IF(COUNTIF(COA!$A:$A,$G1490)=0,"حساب غير معرف",INDEX(COA!$B:$B,MATCH($G1490,COA!$A:$A,0))),"")</f>
        <v/>
      </c>
      <c r="I1490" s="32">
        <f>IF($A1490=1,IF(Supplier_Invoices!$H57="","",Supplier_Invoices!$H57),"")</f>
        <v/>
      </c>
      <c r="J1490" s="32">
        <f>IF($A1490=1,IF(Supplier_Invoices!$I57="","",Supplier_Invoices!$I57),"")</f>
        <v/>
      </c>
      <c r="K1490" s="32">
        <f>IF($A1490=1,"-","")</f>
        <v/>
      </c>
      <c r="L1490" s="32">
        <f>IF($A1490=1,"ضريبة قيمة مضافة - مدخلات","")</f>
        <v/>
      </c>
      <c r="M1490" s="43">
        <f>IF($A1490=1,IF(Supplier_Invoices!$V57="CN",0,Supplier_Invoices!$K57),"")</f>
        <v/>
      </c>
      <c r="N1490" s="43">
        <f>IF($A1490=1,IF(Supplier_Invoices!$V57="CN",Supplier_Invoices!$K57,0),"")</f>
        <v/>
      </c>
      <c r="O1490" s="32">
        <f>IF($A1490=1,Supplier_Invoices!$O57,"")</f>
        <v/>
      </c>
      <c r="P1490" s="32">
        <f>IF($A1490=1,IF(Supplier_Invoices!$AE57="","",Supplier_Invoices!$AE57),"")</f>
        <v/>
      </c>
      <c r="Q1490" s="32">
        <f>IF($A1490=1,Supplier_Invoices!$AG57,"")</f>
        <v/>
      </c>
      <c r="R1490" s="32">
        <f>IF($A1490=1,IF(AND($Q1490=1,COUNTIFS(COA!$A:$A,$G1490,COA!$R:$R,1)=1),1,0),"")</f>
        <v/>
      </c>
      <c r="S1490" s="43">
        <f>IF($A1490=1,IF($R1490=1,N($M1490),0),"")</f>
        <v/>
      </c>
      <c r="T1490" s="43">
        <f>IF($A1490=1,IF($R1490=1,N($N1490),0),"")</f>
        <v/>
      </c>
      <c r="U1490" s="32">
        <f>IF($A1490=1,YEAR($D1490)*100+MONTH($D1490),"")</f>
        <v/>
      </c>
      <c r="V1490" s="32">
        <f>IF($A1490=1,IF(COUNTIF(COA!$A:$A,$G1490)=0,0,INDEX(COA!$H:$H,MATCH($G1490,COA!$A:$A,0))),"")</f>
        <v/>
      </c>
      <c r="W1490" s="32">
        <f>IF($A1490=1,"","")</f>
        <v/>
      </c>
      <c r="X1490" s="32">
        <f>IF($A1490=1,IF($R1490=1,"",IF($O1490=ST_POST,IF($P1490&lt;&gt;"",$P1490,"حساب غير صالح أو غير نشط"),IF($O1490=ST_REV,"معكوس: لا أثر على الدفاتر",IF($O1490=ST_CANC,"ملغى",IF($O1490=ST_APPR,"معتمد ولم يُرحَّل","مسودة"))))),"")</f>
        <v/>
      </c>
      <c r="Y1490" s="32">
        <f>IF($A1490=1,IF(AND($R1490=1,OR(LG_Acct="",$G1490=LG_Acct),OR(LG_Party="",$K1490=LG_Party),OR(LG_Loc="ALL",$I1490=LG_Loc),OR(LG_CC="ALL",$J1490=LG_CC),$D1490&gt;=LG_From,$D1490&lt;=LG_To),$D1490+ROW()/1000000,""),"")</f>
        <v/>
      </c>
      <c r="Z1490" s="32">
        <f>IF($A1490=1,IF(Supplier_Invoices!$P57="","",Supplier_Invoices!$P57),"")</f>
        <v/>
      </c>
      <c r="AA1490" s="32">
        <f>IF($A1490=1,IF(Supplier_Invoices!$Q57="","",Supplier_Invoices!$Q57),"")</f>
        <v/>
      </c>
      <c r="AB1490" s="32">
        <f>IF($A1490=1,IF(Supplier_Invoices!$R57="","",Supplier_Invoices!$R57),"")</f>
        <v/>
      </c>
      <c r="AC1490" s="32">
        <f>IF($A1490=1,IF(Supplier_Invoices!$S57="","",Supplier_Invoices!$S57),"")</f>
        <v/>
      </c>
      <c r="AD1490" s="32">
        <f>IF($A1490=1,IF(Supplier_Invoices!$T57="","",Supplier_Invoices!$T57),"")</f>
        <v/>
      </c>
      <c r="AE1490" s="32">
        <f>IF($A1490=1,0,"")</f>
        <v/>
      </c>
      <c r="AF1490" s="32" t="inlineStr"/>
    </row>
    <row r="1491">
      <c r="A1491" s="32">
        <f>IF(AND(Supplier_Invoices!$AD57=1,N(Supplier_Invoices!$W57)&gt;0),1,0)</f>
        <v/>
      </c>
      <c r="B1491" s="32">
        <f>IF($A1491=1,$E1491&amp;"/3","")</f>
        <v/>
      </c>
      <c r="C1491" s="32">
        <f>IF($A1491=1,"J-"&amp;Supplier_Invoices!$A57,"")</f>
        <v/>
      </c>
      <c r="D1491" s="33">
        <f>IF($A1491=1,Supplier_Invoices!$E57,"")</f>
        <v/>
      </c>
      <c r="E1491" s="32">
        <f>IF($A1491=1,IF(Supplier_Invoices!$A57="","",Supplier_Invoices!$A57),"")</f>
        <v/>
      </c>
      <c r="F1491" s="32">
        <f>IF($A1491=1,"SINV","")</f>
        <v/>
      </c>
      <c r="G1491" s="32">
        <f>IF($A1491=1,ACC_SUPPLIERS,"")</f>
        <v/>
      </c>
      <c r="H1491" s="32">
        <f>IF($A1491=1,IF(COUNTIF(COA!$A:$A,$G1491)=0,"حساب غير معرف",INDEX(COA!$B:$B,MATCH($G1491,COA!$A:$A,0))),"")</f>
        <v/>
      </c>
      <c r="I1491" s="32">
        <f>IF($A1491=1,IF(Supplier_Invoices!$H57="","",Supplier_Invoices!$H57),"")</f>
        <v/>
      </c>
      <c r="J1491" s="32">
        <f>IF($A1491=1,"CC00","")</f>
        <v/>
      </c>
      <c r="K1491" s="32">
        <f>IF($A1491=1,IF(Supplier_Invoices!$C57="","",Supplier_Invoices!$C57),"")</f>
        <v/>
      </c>
      <c r="L1491" s="32">
        <f>IF($A1491=1,Supplier_Invoices!$F57&amp;" "&amp;Supplier_Invoices!$B57&amp;" - "&amp;Supplier_Invoices!$C57,"")</f>
        <v/>
      </c>
      <c r="M1491" s="43">
        <f>IF($A1491=1,IF(Supplier_Invoices!$V57="CN",Supplier_Invoices!$W57,0),"")</f>
        <v/>
      </c>
      <c r="N1491" s="43">
        <f>IF($A1491=1,IF(Supplier_Invoices!$V57="CN",0,Supplier_Invoices!$W57),"")</f>
        <v/>
      </c>
      <c r="O1491" s="32">
        <f>IF($A1491=1,Supplier_Invoices!$O57,"")</f>
        <v/>
      </c>
      <c r="P1491" s="32">
        <f>IF($A1491=1,IF(Supplier_Invoices!$AE57="","",Supplier_Invoices!$AE57),"")</f>
        <v/>
      </c>
      <c r="Q1491" s="32">
        <f>IF($A1491=1,Supplier_Invoices!$AG57,"")</f>
        <v/>
      </c>
      <c r="R1491" s="32">
        <f>IF($A1491=1,IF(AND($Q1491=1,COUNTIFS(COA!$A:$A,$G1491,COA!$R:$R,1)=1),1,0),"")</f>
        <v/>
      </c>
      <c r="S1491" s="43">
        <f>IF($A1491=1,IF($R1491=1,N($M1491),0),"")</f>
        <v/>
      </c>
      <c r="T1491" s="43">
        <f>IF($A1491=1,IF($R1491=1,N($N1491),0),"")</f>
        <v/>
      </c>
      <c r="U1491" s="32">
        <f>IF($A1491=1,YEAR($D1491)*100+MONTH($D1491),"")</f>
        <v/>
      </c>
      <c r="V1491" s="32">
        <f>IF($A1491=1,IF(COUNTIF(COA!$A:$A,$G1491)=0,0,INDEX(COA!$H:$H,MATCH($G1491,COA!$A:$A,0))),"")</f>
        <v/>
      </c>
      <c r="W1491" s="32">
        <f>IF($A1491=1,"","")</f>
        <v/>
      </c>
      <c r="X1491" s="32">
        <f>IF($A1491=1,IF($R1491=1,"",IF($O1491=ST_POST,IF($P1491&lt;&gt;"",$P1491,"حساب غير صالح أو غير نشط"),IF($O1491=ST_REV,"معكوس: لا أثر على الدفاتر",IF($O1491=ST_CANC,"ملغى",IF($O1491=ST_APPR,"معتمد ولم يُرحَّل","مسودة"))))),"")</f>
        <v/>
      </c>
      <c r="Y1491" s="32">
        <f>IF($A1491=1,IF(AND($R1491=1,OR(LG_Acct="",$G1491=LG_Acct),OR(LG_Party="",$K1491=LG_Party),OR(LG_Loc="ALL",$I1491=LG_Loc),OR(LG_CC="ALL",$J1491=LG_CC),$D1491&gt;=LG_From,$D1491&lt;=LG_To),$D1491+ROW()/1000000,""),"")</f>
        <v/>
      </c>
      <c r="Z1491" s="32">
        <f>IF($A1491=1,IF(Supplier_Invoices!$P57="","",Supplier_Invoices!$P57),"")</f>
        <v/>
      </c>
      <c r="AA1491" s="32">
        <f>IF($A1491=1,IF(Supplier_Invoices!$Q57="","",Supplier_Invoices!$Q57),"")</f>
        <v/>
      </c>
      <c r="AB1491" s="32">
        <f>IF($A1491=1,IF(Supplier_Invoices!$R57="","",Supplier_Invoices!$R57),"")</f>
        <v/>
      </c>
      <c r="AC1491" s="32">
        <f>IF($A1491=1,IF(Supplier_Invoices!$S57="","",Supplier_Invoices!$S57),"")</f>
        <v/>
      </c>
      <c r="AD1491" s="32">
        <f>IF($A1491=1,IF(Supplier_Invoices!$T57="","",Supplier_Invoices!$T57),"")</f>
        <v/>
      </c>
      <c r="AE1491" s="32">
        <f>IF($A1491=1,0,"")</f>
        <v/>
      </c>
      <c r="AF1491" s="32" t="inlineStr"/>
    </row>
    <row r="1492">
      <c r="A1492" s="32">
        <f>IF(AND(Supplier_Invoices!$AD57=1,Supplier_Invoices!$L57&lt;&gt;"",Supplier_Invoices!$V57&lt;&gt;"CN",N(Supplier_Invoices!$W57)&gt;0),1,0)</f>
        <v/>
      </c>
      <c r="B1492" s="32">
        <f>IF($A1492=1,$E1492&amp;"/4","")</f>
        <v/>
      </c>
      <c r="C1492" s="32">
        <f>IF($A1492=1,"J-"&amp;Supplier_Invoices!$A57,"")</f>
        <v/>
      </c>
      <c r="D1492" s="33">
        <f>IF($A1492=1,Supplier_Invoices!$E57,"")</f>
        <v/>
      </c>
      <c r="E1492" s="32">
        <f>IF($A1492=1,IF(Supplier_Invoices!$A57="","",Supplier_Invoices!$A57),"")</f>
        <v/>
      </c>
      <c r="F1492" s="32">
        <f>IF($A1492=1,"SINV","")</f>
        <v/>
      </c>
      <c r="G1492" s="32">
        <f>IF($A1492=1,ACC_SUPPLIERS,"")</f>
        <v/>
      </c>
      <c r="H1492" s="32">
        <f>IF($A1492=1,IF(COUNTIF(COA!$A:$A,$G1492)=0,"حساب غير معرف",INDEX(COA!$B:$B,MATCH($G1492,COA!$A:$A,0))),"")</f>
        <v/>
      </c>
      <c r="I1492" s="32">
        <f>IF($A1492=1,IF(Supplier_Invoices!$H57="","",Supplier_Invoices!$H57),"")</f>
        <v/>
      </c>
      <c r="J1492" s="32">
        <f>IF($A1492=1,"CC00","")</f>
        <v/>
      </c>
      <c r="K1492" s="32">
        <f>IF($A1492=1,IF(Supplier_Invoices!$C57="","",Supplier_Invoices!$C57),"")</f>
        <v/>
      </c>
      <c r="L1492" s="32">
        <f>IF($A1492=1,"سداد فوري - "&amp;Supplier_Invoices!$F57&amp;" "&amp;Supplier_Invoices!$B57&amp;" - "&amp;Supplier_Invoices!$C57,"")</f>
        <v/>
      </c>
      <c r="M1492" s="43">
        <f>IF($A1492=1,Supplier_Invoices!$W57,"")</f>
        <v/>
      </c>
      <c r="N1492" s="43">
        <f>IF($A1492=1,0,"")</f>
        <v/>
      </c>
      <c r="O1492" s="32">
        <f>IF($A1492=1,Supplier_Invoices!$O57,"")</f>
        <v/>
      </c>
      <c r="P1492" s="32">
        <f>IF($A1492=1,IF(Supplier_Invoices!$AE57="","",Supplier_Invoices!$AE57),"")</f>
        <v/>
      </c>
      <c r="Q1492" s="32">
        <f>IF($A1492=1,Supplier_Invoices!$AG57,"")</f>
        <v/>
      </c>
      <c r="R1492" s="32">
        <f>IF($A1492=1,IF(AND($Q1492=1,COUNTIFS(COA!$A:$A,$G1492,COA!$R:$R,1)=1),1,0),"")</f>
        <v/>
      </c>
      <c r="S1492" s="43">
        <f>IF($A1492=1,IF($R1492=1,N($M1492),0),"")</f>
        <v/>
      </c>
      <c r="T1492" s="43">
        <f>IF($A1492=1,IF($R1492=1,N($N1492),0),"")</f>
        <v/>
      </c>
      <c r="U1492" s="32">
        <f>IF($A1492=1,YEAR($D1492)*100+MONTH($D1492),"")</f>
        <v/>
      </c>
      <c r="V1492" s="32">
        <f>IF($A1492=1,IF(COUNTIF(COA!$A:$A,$G1492)=0,0,INDEX(COA!$H:$H,MATCH($G1492,COA!$A:$A,0))),"")</f>
        <v/>
      </c>
      <c r="W1492" s="32">
        <f>IF($A1492=1,"","")</f>
        <v/>
      </c>
      <c r="X1492" s="32">
        <f>IF($A1492=1,IF($R1492=1,"",IF($O1492=ST_POST,IF($P1492&lt;&gt;"",$P1492,"حساب غير صالح أو غير نشط"),IF($O1492=ST_REV,"معكوس: لا أثر على الدفاتر",IF($O1492=ST_CANC,"ملغى",IF($O1492=ST_APPR,"معتمد ولم يُرحَّل","مسودة"))))),"")</f>
        <v/>
      </c>
      <c r="Y1492" s="32">
        <f>IF($A1492=1,IF(AND($R1492=1,OR(LG_Acct="",$G1492=LG_Acct),OR(LG_Party="",$K1492=LG_Party),OR(LG_Loc="ALL",$I1492=LG_Loc),OR(LG_CC="ALL",$J1492=LG_CC),$D1492&gt;=LG_From,$D1492&lt;=LG_To),$D1492+ROW()/1000000,""),"")</f>
        <v/>
      </c>
      <c r="Z1492" s="32">
        <f>IF($A1492=1,IF(Supplier_Invoices!$P57="","",Supplier_Invoices!$P57),"")</f>
        <v/>
      </c>
      <c r="AA1492" s="32">
        <f>IF($A1492=1,IF(Supplier_Invoices!$Q57="","",Supplier_Invoices!$Q57),"")</f>
        <v/>
      </c>
      <c r="AB1492" s="32">
        <f>IF($A1492=1,IF(Supplier_Invoices!$R57="","",Supplier_Invoices!$R57),"")</f>
        <v/>
      </c>
      <c r="AC1492" s="32">
        <f>IF($A1492=1,IF(Supplier_Invoices!$S57="","",Supplier_Invoices!$S57),"")</f>
        <v/>
      </c>
      <c r="AD1492" s="32">
        <f>IF($A1492=1,IF(Supplier_Invoices!$T57="","",Supplier_Invoices!$T57),"")</f>
        <v/>
      </c>
      <c r="AE1492" s="32">
        <f>IF($A1492=1,0,"")</f>
        <v/>
      </c>
      <c r="AF1492" s="32" t="inlineStr"/>
    </row>
    <row r="1493">
      <c r="A1493" s="32">
        <f>IF(AND(Supplier_Invoices!$AD57=1,Supplier_Invoices!$L57&lt;&gt;"",Supplier_Invoices!$V57&lt;&gt;"CN",N(Supplier_Invoices!$W57)&gt;0),1,0)</f>
        <v/>
      </c>
      <c r="B1493" s="32">
        <f>IF($A1493=1,$E1493&amp;"/5","")</f>
        <v/>
      </c>
      <c r="C1493" s="32">
        <f>IF($A1493=1,"J-"&amp;Supplier_Invoices!$A57,"")</f>
        <v/>
      </c>
      <c r="D1493" s="33">
        <f>IF($A1493=1,Supplier_Invoices!$E57,"")</f>
        <v/>
      </c>
      <c r="E1493" s="32">
        <f>IF($A1493=1,IF(Supplier_Invoices!$A57="","",Supplier_Invoices!$A57),"")</f>
        <v/>
      </c>
      <c r="F1493" s="32">
        <f>IF($A1493=1,"SINV","")</f>
        <v/>
      </c>
      <c r="G1493" s="32">
        <f>IF($A1493=1,IF(Supplier_Invoices!$AA57="","",Supplier_Invoices!$AA57),"")</f>
        <v/>
      </c>
      <c r="H1493" s="32">
        <f>IF($A1493=1,IF(COUNTIF(COA!$A:$A,$G1493)=0,"حساب غير معرف",INDEX(COA!$B:$B,MATCH($G1493,COA!$A:$A,0))),"")</f>
        <v/>
      </c>
      <c r="I1493" s="32">
        <f>IF($A1493=1,IF(Supplier_Invoices!$H57="","",Supplier_Invoices!$H57),"")</f>
        <v/>
      </c>
      <c r="J1493" s="32">
        <f>IF($A1493=1,"CC00","")</f>
        <v/>
      </c>
      <c r="K1493" s="32">
        <f>IF($A1493=1,"-","")</f>
        <v/>
      </c>
      <c r="L1493" s="32">
        <f>IF($A1493=1,"سداد فوري - "&amp;Supplier_Invoices!$F57&amp;" "&amp;Supplier_Invoices!$B57&amp;" - "&amp;Supplier_Invoices!$C57,"")</f>
        <v/>
      </c>
      <c r="M1493" s="43">
        <f>IF($A1493=1,0,"")</f>
        <v/>
      </c>
      <c r="N1493" s="43">
        <f>IF($A1493=1,Supplier_Invoices!$W57,"")</f>
        <v/>
      </c>
      <c r="O1493" s="32">
        <f>IF($A1493=1,Supplier_Invoices!$O57,"")</f>
        <v/>
      </c>
      <c r="P1493" s="32">
        <f>IF($A1493=1,IF(Supplier_Invoices!$AE57="","",Supplier_Invoices!$AE57),"")</f>
        <v/>
      </c>
      <c r="Q1493" s="32">
        <f>IF($A1493=1,Supplier_Invoices!$AG57,"")</f>
        <v/>
      </c>
      <c r="R1493" s="32">
        <f>IF($A1493=1,IF(AND($Q1493=1,COUNTIFS(COA!$A:$A,$G1493,COA!$R:$R,1)=1),1,0),"")</f>
        <v/>
      </c>
      <c r="S1493" s="43">
        <f>IF($A1493=1,IF($R1493=1,N($M1493),0),"")</f>
        <v/>
      </c>
      <c r="T1493" s="43">
        <f>IF($A1493=1,IF($R1493=1,N($N1493),0),"")</f>
        <v/>
      </c>
      <c r="U1493" s="32">
        <f>IF($A1493=1,YEAR($D1493)*100+MONTH($D1493),"")</f>
        <v/>
      </c>
      <c r="V1493" s="32">
        <f>IF($A1493=1,IF(COUNTIF(COA!$A:$A,$G1493)=0,0,INDEX(COA!$H:$H,MATCH($G1493,COA!$A:$A,0))),"")</f>
        <v/>
      </c>
      <c r="W1493" s="32">
        <f>IF($A1493=1,IF(Supplier_Invoices!$AB57="","",Supplier_Invoices!$AB57),"")</f>
        <v/>
      </c>
      <c r="X1493" s="32">
        <f>IF($A1493=1,IF($R1493=1,"",IF($O1493=ST_POST,IF($P1493&lt;&gt;"",$P1493,"حساب غير صالح أو غير نشط"),IF($O1493=ST_REV,"معكوس: لا أثر على الدفاتر",IF($O1493=ST_CANC,"ملغى",IF($O1493=ST_APPR,"معتمد ولم يُرحَّل","مسودة"))))),"")</f>
        <v/>
      </c>
      <c r="Y1493" s="32">
        <f>IF($A1493=1,IF(AND($R1493=1,OR(LG_Acct="",$G1493=LG_Acct),OR(LG_Party="",$K1493=LG_Party),OR(LG_Loc="ALL",$I1493=LG_Loc),OR(LG_CC="ALL",$J1493=LG_CC),$D1493&gt;=LG_From,$D1493&lt;=LG_To),$D1493+ROW()/1000000,""),"")</f>
        <v/>
      </c>
      <c r="Z1493" s="32">
        <f>IF($A1493=1,IF(Supplier_Invoices!$P57="","",Supplier_Invoices!$P57),"")</f>
        <v/>
      </c>
      <c r="AA1493" s="32">
        <f>IF($A1493=1,IF(Supplier_Invoices!$Q57="","",Supplier_Invoices!$Q57),"")</f>
        <v/>
      </c>
      <c r="AB1493" s="32">
        <f>IF($A1493=1,IF(Supplier_Invoices!$R57="","",Supplier_Invoices!$R57),"")</f>
        <v/>
      </c>
      <c r="AC1493" s="32">
        <f>IF($A1493=1,IF(Supplier_Invoices!$S57="","",Supplier_Invoices!$S57),"")</f>
        <v/>
      </c>
      <c r="AD1493" s="32">
        <f>IF($A1493=1,IF(Supplier_Invoices!$T57="","",Supplier_Invoices!$T57),"")</f>
        <v/>
      </c>
      <c r="AE1493" s="32">
        <f>IF($A1493=1,0,"")</f>
        <v/>
      </c>
      <c r="AF1493" s="32" t="inlineStr"/>
    </row>
    <row r="1494">
      <c r="A1494" s="32">
        <f>IF(AND(Supplier_Invoices!$AD58=1,N(Supplier_Invoices!$J58)&gt;0),1,0)</f>
        <v/>
      </c>
      <c r="B1494" s="32">
        <f>IF($A1494=1,$E1494&amp;"/1","")</f>
        <v/>
      </c>
      <c r="C1494" s="32">
        <f>IF($A1494=1,"J-"&amp;Supplier_Invoices!$A58,"")</f>
        <v/>
      </c>
      <c r="D1494" s="33">
        <f>IF($A1494=1,Supplier_Invoices!$E58,"")</f>
        <v/>
      </c>
      <c r="E1494" s="32">
        <f>IF($A1494=1,IF(Supplier_Invoices!$A58="","",Supplier_Invoices!$A58),"")</f>
        <v/>
      </c>
      <c r="F1494" s="32">
        <f>IF($A1494=1,"SINV","")</f>
        <v/>
      </c>
      <c r="G1494" s="32">
        <f>IF($A1494=1,IF(Supplier_Invoices!$G58="","",Supplier_Invoices!$G58),"")</f>
        <v/>
      </c>
      <c r="H1494" s="32">
        <f>IF($A1494=1,IF(COUNTIF(COA!$A:$A,$G1494)=0,"حساب غير معرف",INDEX(COA!$B:$B,MATCH($G1494,COA!$A:$A,0))),"")</f>
        <v/>
      </c>
      <c r="I1494" s="32">
        <f>IF($A1494=1,IF(Supplier_Invoices!$H58="","",Supplier_Invoices!$H58),"")</f>
        <v/>
      </c>
      <c r="J1494" s="32">
        <f>IF($A1494=1,IF(Supplier_Invoices!$I58="","",Supplier_Invoices!$I58),"")</f>
        <v/>
      </c>
      <c r="K1494" s="32">
        <f>IF($A1494=1,"-","")</f>
        <v/>
      </c>
      <c r="L1494" s="32">
        <f>IF($A1494=1,Supplier_Invoices!$F58&amp;" "&amp;Supplier_Invoices!$B58&amp;" - "&amp;Supplier_Invoices!$C58,"")</f>
        <v/>
      </c>
      <c r="M1494" s="43">
        <f>IF($A1494=1,IF(Supplier_Invoices!$V58="CN",0,Supplier_Invoices!$J58),"")</f>
        <v/>
      </c>
      <c r="N1494" s="43">
        <f>IF($A1494=1,IF(Supplier_Invoices!$V58="CN",Supplier_Invoices!$J58,0),"")</f>
        <v/>
      </c>
      <c r="O1494" s="32">
        <f>IF($A1494=1,Supplier_Invoices!$O58,"")</f>
        <v/>
      </c>
      <c r="P1494" s="32">
        <f>IF($A1494=1,IF(Supplier_Invoices!$AE58="","",Supplier_Invoices!$AE58),"")</f>
        <v/>
      </c>
      <c r="Q1494" s="32">
        <f>IF($A1494=1,Supplier_Invoices!$AG58,"")</f>
        <v/>
      </c>
      <c r="R1494" s="32">
        <f>IF($A1494=1,IF(AND($Q1494=1,COUNTIFS(COA!$A:$A,$G1494,COA!$R:$R,1)=1),1,0),"")</f>
        <v/>
      </c>
      <c r="S1494" s="43">
        <f>IF($A1494=1,IF($R1494=1,N($M1494),0),"")</f>
        <v/>
      </c>
      <c r="T1494" s="43">
        <f>IF($A1494=1,IF($R1494=1,N($N1494),0),"")</f>
        <v/>
      </c>
      <c r="U1494" s="32">
        <f>IF($A1494=1,YEAR($D1494)*100+MONTH($D1494),"")</f>
        <v/>
      </c>
      <c r="V1494" s="32">
        <f>IF($A1494=1,IF(COUNTIF(COA!$A:$A,$G1494)=0,0,INDEX(COA!$H:$H,MATCH($G1494,COA!$A:$A,0))),"")</f>
        <v/>
      </c>
      <c r="W1494" s="32">
        <f>IF($A1494=1,"","")</f>
        <v/>
      </c>
      <c r="X1494" s="32">
        <f>IF($A1494=1,IF($R1494=1,"",IF($O1494=ST_POST,IF($P1494&lt;&gt;"",$P1494,"حساب غير صالح أو غير نشط"),IF($O1494=ST_REV,"معكوس: لا أثر على الدفاتر",IF($O1494=ST_CANC,"ملغى",IF($O1494=ST_APPR,"معتمد ولم يُرحَّل","مسودة"))))),"")</f>
        <v/>
      </c>
      <c r="Y1494" s="32">
        <f>IF($A1494=1,IF(AND($R1494=1,OR(LG_Acct="",$G1494=LG_Acct),OR(LG_Party="",$K1494=LG_Party),OR(LG_Loc="ALL",$I1494=LG_Loc),OR(LG_CC="ALL",$J1494=LG_CC),$D1494&gt;=LG_From,$D1494&lt;=LG_To),$D1494+ROW()/1000000,""),"")</f>
        <v/>
      </c>
      <c r="Z1494" s="32">
        <f>IF($A1494=1,IF(Supplier_Invoices!$P58="","",Supplier_Invoices!$P58),"")</f>
        <v/>
      </c>
      <c r="AA1494" s="32">
        <f>IF($A1494=1,IF(Supplier_Invoices!$Q58="","",Supplier_Invoices!$Q58),"")</f>
        <v/>
      </c>
      <c r="AB1494" s="32">
        <f>IF($A1494=1,IF(Supplier_Invoices!$R58="","",Supplier_Invoices!$R58),"")</f>
        <v/>
      </c>
      <c r="AC1494" s="32">
        <f>IF($A1494=1,IF(Supplier_Invoices!$S58="","",Supplier_Invoices!$S58),"")</f>
        <v/>
      </c>
      <c r="AD1494" s="32">
        <f>IF($A1494=1,IF(Supplier_Invoices!$T58="","",Supplier_Invoices!$T58),"")</f>
        <v/>
      </c>
      <c r="AE1494" s="32">
        <f>IF($A1494=1,0,"")</f>
        <v/>
      </c>
      <c r="AF1494" s="32" t="inlineStr"/>
    </row>
    <row r="1495">
      <c r="A1495" s="32">
        <f>IF(AND(Supplier_Invoices!$AD58=1,N(Supplier_Invoices!$K58)&gt;0),1,0)</f>
        <v/>
      </c>
      <c r="B1495" s="32">
        <f>IF($A1495=1,$E1495&amp;"/2","")</f>
        <v/>
      </c>
      <c r="C1495" s="32">
        <f>IF($A1495=1,"J-"&amp;Supplier_Invoices!$A58,"")</f>
        <v/>
      </c>
      <c r="D1495" s="33">
        <f>IF($A1495=1,Supplier_Invoices!$E58,"")</f>
        <v/>
      </c>
      <c r="E1495" s="32">
        <f>IF($A1495=1,IF(Supplier_Invoices!$A58="","",Supplier_Invoices!$A58),"")</f>
        <v/>
      </c>
      <c r="F1495" s="32">
        <f>IF($A1495=1,"SINV","")</f>
        <v/>
      </c>
      <c r="G1495" s="32">
        <f>IF($A1495=1,ACC_VAT_IN,"")</f>
        <v/>
      </c>
      <c r="H1495" s="32">
        <f>IF($A1495=1,IF(COUNTIF(COA!$A:$A,$G1495)=0,"حساب غير معرف",INDEX(COA!$B:$B,MATCH($G1495,COA!$A:$A,0))),"")</f>
        <v/>
      </c>
      <c r="I1495" s="32">
        <f>IF($A1495=1,IF(Supplier_Invoices!$H58="","",Supplier_Invoices!$H58),"")</f>
        <v/>
      </c>
      <c r="J1495" s="32">
        <f>IF($A1495=1,IF(Supplier_Invoices!$I58="","",Supplier_Invoices!$I58),"")</f>
        <v/>
      </c>
      <c r="K1495" s="32">
        <f>IF($A1495=1,"-","")</f>
        <v/>
      </c>
      <c r="L1495" s="32">
        <f>IF($A1495=1,"ضريبة قيمة مضافة - مدخلات","")</f>
        <v/>
      </c>
      <c r="M1495" s="43">
        <f>IF($A1495=1,IF(Supplier_Invoices!$V58="CN",0,Supplier_Invoices!$K58),"")</f>
        <v/>
      </c>
      <c r="N1495" s="43">
        <f>IF($A1495=1,IF(Supplier_Invoices!$V58="CN",Supplier_Invoices!$K58,0),"")</f>
        <v/>
      </c>
      <c r="O1495" s="32">
        <f>IF($A1495=1,Supplier_Invoices!$O58,"")</f>
        <v/>
      </c>
      <c r="P1495" s="32">
        <f>IF($A1495=1,IF(Supplier_Invoices!$AE58="","",Supplier_Invoices!$AE58),"")</f>
        <v/>
      </c>
      <c r="Q1495" s="32">
        <f>IF($A1495=1,Supplier_Invoices!$AG58,"")</f>
        <v/>
      </c>
      <c r="R1495" s="32">
        <f>IF($A1495=1,IF(AND($Q1495=1,COUNTIFS(COA!$A:$A,$G1495,COA!$R:$R,1)=1),1,0),"")</f>
        <v/>
      </c>
      <c r="S1495" s="43">
        <f>IF($A1495=1,IF($R1495=1,N($M1495),0),"")</f>
        <v/>
      </c>
      <c r="T1495" s="43">
        <f>IF($A1495=1,IF($R1495=1,N($N1495),0),"")</f>
        <v/>
      </c>
      <c r="U1495" s="32">
        <f>IF($A1495=1,YEAR($D1495)*100+MONTH($D1495),"")</f>
        <v/>
      </c>
      <c r="V1495" s="32">
        <f>IF($A1495=1,IF(COUNTIF(COA!$A:$A,$G1495)=0,0,INDEX(COA!$H:$H,MATCH($G1495,COA!$A:$A,0))),"")</f>
        <v/>
      </c>
      <c r="W1495" s="32">
        <f>IF($A1495=1,"","")</f>
        <v/>
      </c>
      <c r="X1495" s="32">
        <f>IF($A1495=1,IF($R1495=1,"",IF($O1495=ST_POST,IF($P1495&lt;&gt;"",$P1495,"حساب غير صالح أو غير نشط"),IF($O1495=ST_REV,"معكوس: لا أثر على الدفاتر",IF($O1495=ST_CANC,"ملغى",IF($O1495=ST_APPR,"معتمد ولم يُرحَّل","مسودة"))))),"")</f>
        <v/>
      </c>
      <c r="Y1495" s="32">
        <f>IF($A1495=1,IF(AND($R1495=1,OR(LG_Acct="",$G1495=LG_Acct),OR(LG_Party="",$K1495=LG_Party),OR(LG_Loc="ALL",$I1495=LG_Loc),OR(LG_CC="ALL",$J1495=LG_CC),$D1495&gt;=LG_From,$D1495&lt;=LG_To),$D1495+ROW()/1000000,""),"")</f>
        <v/>
      </c>
      <c r="Z1495" s="32">
        <f>IF($A1495=1,IF(Supplier_Invoices!$P58="","",Supplier_Invoices!$P58),"")</f>
        <v/>
      </c>
      <c r="AA1495" s="32">
        <f>IF($A1495=1,IF(Supplier_Invoices!$Q58="","",Supplier_Invoices!$Q58),"")</f>
        <v/>
      </c>
      <c r="AB1495" s="32">
        <f>IF($A1495=1,IF(Supplier_Invoices!$R58="","",Supplier_Invoices!$R58),"")</f>
        <v/>
      </c>
      <c r="AC1495" s="32">
        <f>IF($A1495=1,IF(Supplier_Invoices!$S58="","",Supplier_Invoices!$S58),"")</f>
        <v/>
      </c>
      <c r="AD1495" s="32">
        <f>IF($A1495=1,IF(Supplier_Invoices!$T58="","",Supplier_Invoices!$T58),"")</f>
        <v/>
      </c>
      <c r="AE1495" s="32">
        <f>IF($A1495=1,0,"")</f>
        <v/>
      </c>
      <c r="AF1495" s="32" t="inlineStr"/>
    </row>
    <row r="1496">
      <c r="A1496" s="32">
        <f>IF(AND(Supplier_Invoices!$AD58=1,N(Supplier_Invoices!$W58)&gt;0),1,0)</f>
        <v/>
      </c>
      <c r="B1496" s="32">
        <f>IF($A1496=1,$E1496&amp;"/3","")</f>
        <v/>
      </c>
      <c r="C1496" s="32">
        <f>IF($A1496=1,"J-"&amp;Supplier_Invoices!$A58,"")</f>
        <v/>
      </c>
      <c r="D1496" s="33">
        <f>IF($A1496=1,Supplier_Invoices!$E58,"")</f>
        <v/>
      </c>
      <c r="E1496" s="32">
        <f>IF($A1496=1,IF(Supplier_Invoices!$A58="","",Supplier_Invoices!$A58),"")</f>
        <v/>
      </c>
      <c r="F1496" s="32">
        <f>IF($A1496=1,"SINV","")</f>
        <v/>
      </c>
      <c r="G1496" s="32">
        <f>IF($A1496=1,ACC_SUPPLIERS,"")</f>
        <v/>
      </c>
      <c r="H1496" s="32">
        <f>IF($A1496=1,IF(COUNTIF(COA!$A:$A,$G1496)=0,"حساب غير معرف",INDEX(COA!$B:$B,MATCH($G1496,COA!$A:$A,0))),"")</f>
        <v/>
      </c>
      <c r="I1496" s="32">
        <f>IF($A1496=1,IF(Supplier_Invoices!$H58="","",Supplier_Invoices!$H58),"")</f>
        <v/>
      </c>
      <c r="J1496" s="32">
        <f>IF($A1496=1,"CC00","")</f>
        <v/>
      </c>
      <c r="K1496" s="32">
        <f>IF($A1496=1,IF(Supplier_Invoices!$C58="","",Supplier_Invoices!$C58),"")</f>
        <v/>
      </c>
      <c r="L1496" s="32">
        <f>IF($A1496=1,Supplier_Invoices!$F58&amp;" "&amp;Supplier_Invoices!$B58&amp;" - "&amp;Supplier_Invoices!$C58,"")</f>
        <v/>
      </c>
      <c r="M1496" s="43">
        <f>IF($A1496=1,IF(Supplier_Invoices!$V58="CN",Supplier_Invoices!$W58,0),"")</f>
        <v/>
      </c>
      <c r="N1496" s="43">
        <f>IF($A1496=1,IF(Supplier_Invoices!$V58="CN",0,Supplier_Invoices!$W58),"")</f>
        <v/>
      </c>
      <c r="O1496" s="32">
        <f>IF($A1496=1,Supplier_Invoices!$O58,"")</f>
        <v/>
      </c>
      <c r="P1496" s="32">
        <f>IF($A1496=1,IF(Supplier_Invoices!$AE58="","",Supplier_Invoices!$AE58),"")</f>
        <v/>
      </c>
      <c r="Q1496" s="32">
        <f>IF($A1496=1,Supplier_Invoices!$AG58,"")</f>
        <v/>
      </c>
      <c r="R1496" s="32">
        <f>IF($A1496=1,IF(AND($Q1496=1,COUNTIFS(COA!$A:$A,$G1496,COA!$R:$R,1)=1),1,0),"")</f>
        <v/>
      </c>
      <c r="S1496" s="43">
        <f>IF($A1496=1,IF($R1496=1,N($M1496),0),"")</f>
        <v/>
      </c>
      <c r="T1496" s="43">
        <f>IF($A1496=1,IF($R1496=1,N($N1496),0),"")</f>
        <v/>
      </c>
      <c r="U1496" s="32">
        <f>IF($A1496=1,YEAR($D1496)*100+MONTH($D1496),"")</f>
        <v/>
      </c>
      <c r="V1496" s="32">
        <f>IF($A1496=1,IF(COUNTIF(COA!$A:$A,$G1496)=0,0,INDEX(COA!$H:$H,MATCH($G1496,COA!$A:$A,0))),"")</f>
        <v/>
      </c>
      <c r="W1496" s="32">
        <f>IF($A1496=1,"","")</f>
        <v/>
      </c>
      <c r="X1496" s="32">
        <f>IF($A1496=1,IF($R1496=1,"",IF($O1496=ST_POST,IF($P1496&lt;&gt;"",$P1496,"حساب غير صالح أو غير نشط"),IF($O1496=ST_REV,"معكوس: لا أثر على الدفاتر",IF($O1496=ST_CANC,"ملغى",IF($O1496=ST_APPR,"معتمد ولم يُرحَّل","مسودة"))))),"")</f>
        <v/>
      </c>
      <c r="Y1496" s="32">
        <f>IF($A1496=1,IF(AND($R1496=1,OR(LG_Acct="",$G1496=LG_Acct),OR(LG_Party="",$K1496=LG_Party),OR(LG_Loc="ALL",$I1496=LG_Loc),OR(LG_CC="ALL",$J1496=LG_CC),$D1496&gt;=LG_From,$D1496&lt;=LG_To),$D1496+ROW()/1000000,""),"")</f>
        <v/>
      </c>
      <c r="Z1496" s="32">
        <f>IF($A1496=1,IF(Supplier_Invoices!$P58="","",Supplier_Invoices!$P58),"")</f>
        <v/>
      </c>
      <c r="AA1496" s="32">
        <f>IF($A1496=1,IF(Supplier_Invoices!$Q58="","",Supplier_Invoices!$Q58),"")</f>
        <v/>
      </c>
      <c r="AB1496" s="32">
        <f>IF($A1496=1,IF(Supplier_Invoices!$R58="","",Supplier_Invoices!$R58),"")</f>
        <v/>
      </c>
      <c r="AC1496" s="32">
        <f>IF($A1496=1,IF(Supplier_Invoices!$S58="","",Supplier_Invoices!$S58),"")</f>
        <v/>
      </c>
      <c r="AD1496" s="32">
        <f>IF($A1496=1,IF(Supplier_Invoices!$T58="","",Supplier_Invoices!$T58),"")</f>
        <v/>
      </c>
      <c r="AE1496" s="32">
        <f>IF($A1496=1,0,"")</f>
        <v/>
      </c>
      <c r="AF1496" s="32" t="inlineStr"/>
    </row>
    <row r="1497">
      <c r="A1497" s="32">
        <f>IF(AND(Supplier_Invoices!$AD58=1,Supplier_Invoices!$L58&lt;&gt;"",Supplier_Invoices!$V58&lt;&gt;"CN",N(Supplier_Invoices!$W58)&gt;0),1,0)</f>
        <v/>
      </c>
      <c r="B1497" s="32">
        <f>IF($A1497=1,$E1497&amp;"/4","")</f>
        <v/>
      </c>
      <c r="C1497" s="32">
        <f>IF($A1497=1,"J-"&amp;Supplier_Invoices!$A58,"")</f>
        <v/>
      </c>
      <c r="D1497" s="33">
        <f>IF($A1497=1,Supplier_Invoices!$E58,"")</f>
        <v/>
      </c>
      <c r="E1497" s="32">
        <f>IF($A1497=1,IF(Supplier_Invoices!$A58="","",Supplier_Invoices!$A58),"")</f>
        <v/>
      </c>
      <c r="F1497" s="32">
        <f>IF($A1497=1,"SINV","")</f>
        <v/>
      </c>
      <c r="G1497" s="32">
        <f>IF($A1497=1,ACC_SUPPLIERS,"")</f>
        <v/>
      </c>
      <c r="H1497" s="32">
        <f>IF($A1497=1,IF(COUNTIF(COA!$A:$A,$G1497)=0,"حساب غير معرف",INDEX(COA!$B:$B,MATCH($G1497,COA!$A:$A,0))),"")</f>
        <v/>
      </c>
      <c r="I1497" s="32">
        <f>IF($A1497=1,IF(Supplier_Invoices!$H58="","",Supplier_Invoices!$H58),"")</f>
        <v/>
      </c>
      <c r="J1497" s="32">
        <f>IF($A1497=1,"CC00","")</f>
        <v/>
      </c>
      <c r="K1497" s="32">
        <f>IF($A1497=1,IF(Supplier_Invoices!$C58="","",Supplier_Invoices!$C58),"")</f>
        <v/>
      </c>
      <c r="L1497" s="32">
        <f>IF($A1497=1,"سداد فوري - "&amp;Supplier_Invoices!$F58&amp;" "&amp;Supplier_Invoices!$B58&amp;" - "&amp;Supplier_Invoices!$C58,"")</f>
        <v/>
      </c>
      <c r="M1497" s="43">
        <f>IF($A1497=1,Supplier_Invoices!$W58,"")</f>
        <v/>
      </c>
      <c r="N1497" s="43">
        <f>IF($A1497=1,0,"")</f>
        <v/>
      </c>
      <c r="O1497" s="32">
        <f>IF($A1497=1,Supplier_Invoices!$O58,"")</f>
        <v/>
      </c>
      <c r="P1497" s="32">
        <f>IF($A1497=1,IF(Supplier_Invoices!$AE58="","",Supplier_Invoices!$AE58),"")</f>
        <v/>
      </c>
      <c r="Q1497" s="32">
        <f>IF($A1497=1,Supplier_Invoices!$AG58,"")</f>
        <v/>
      </c>
      <c r="R1497" s="32">
        <f>IF($A1497=1,IF(AND($Q1497=1,COUNTIFS(COA!$A:$A,$G1497,COA!$R:$R,1)=1),1,0),"")</f>
        <v/>
      </c>
      <c r="S1497" s="43">
        <f>IF($A1497=1,IF($R1497=1,N($M1497),0),"")</f>
        <v/>
      </c>
      <c r="T1497" s="43">
        <f>IF($A1497=1,IF($R1497=1,N($N1497),0),"")</f>
        <v/>
      </c>
      <c r="U1497" s="32">
        <f>IF($A1497=1,YEAR($D1497)*100+MONTH($D1497),"")</f>
        <v/>
      </c>
      <c r="V1497" s="32">
        <f>IF($A1497=1,IF(COUNTIF(COA!$A:$A,$G1497)=0,0,INDEX(COA!$H:$H,MATCH($G1497,COA!$A:$A,0))),"")</f>
        <v/>
      </c>
      <c r="W1497" s="32">
        <f>IF($A1497=1,"","")</f>
        <v/>
      </c>
      <c r="X1497" s="32">
        <f>IF($A1497=1,IF($R1497=1,"",IF($O1497=ST_POST,IF($P1497&lt;&gt;"",$P1497,"حساب غير صالح أو غير نشط"),IF($O1497=ST_REV,"معكوس: لا أثر على الدفاتر",IF($O1497=ST_CANC,"ملغى",IF($O1497=ST_APPR,"معتمد ولم يُرحَّل","مسودة"))))),"")</f>
        <v/>
      </c>
      <c r="Y1497" s="32">
        <f>IF($A1497=1,IF(AND($R1497=1,OR(LG_Acct="",$G1497=LG_Acct),OR(LG_Party="",$K1497=LG_Party),OR(LG_Loc="ALL",$I1497=LG_Loc),OR(LG_CC="ALL",$J1497=LG_CC),$D1497&gt;=LG_From,$D1497&lt;=LG_To),$D1497+ROW()/1000000,""),"")</f>
        <v/>
      </c>
      <c r="Z1497" s="32">
        <f>IF($A1497=1,IF(Supplier_Invoices!$P58="","",Supplier_Invoices!$P58),"")</f>
        <v/>
      </c>
      <c r="AA1497" s="32">
        <f>IF($A1497=1,IF(Supplier_Invoices!$Q58="","",Supplier_Invoices!$Q58),"")</f>
        <v/>
      </c>
      <c r="AB1497" s="32">
        <f>IF($A1497=1,IF(Supplier_Invoices!$R58="","",Supplier_Invoices!$R58),"")</f>
        <v/>
      </c>
      <c r="AC1497" s="32">
        <f>IF($A1497=1,IF(Supplier_Invoices!$S58="","",Supplier_Invoices!$S58),"")</f>
        <v/>
      </c>
      <c r="AD1497" s="32">
        <f>IF($A1497=1,IF(Supplier_Invoices!$T58="","",Supplier_Invoices!$T58),"")</f>
        <v/>
      </c>
      <c r="AE1497" s="32">
        <f>IF($A1497=1,0,"")</f>
        <v/>
      </c>
      <c r="AF1497" s="32" t="inlineStr"/>
    </row>
    <row r="1498">
      <c r="A1498" s="32">
        <f>IF(AND(Supplier_Invoices!$AD58=1,Supplier_Invoices!$L58&lt;&gt;"",Supplier_Invoices!$V58&lt;&gt;"CN",N(Supplier_Invoices!$W58)&gt;0),1,0)</f>
        <v/>
      </c>
      <c r="B1498" s="32">
        <f>IF($A1498=1,$E1498&amp;"/5","")</f>
        <v/>
      </c>
      <c r="C1498" s="32">
        <f>IF($A1498=1,"J-"&amp;Supplier_Invoices!$A58,"")</f>
        <v/>
      </c>
      <c r="D1498" s="33">
        <f>IF($A1498=1,Supplier_Invoices!$E58,"")</f>
        <v/>
      </c>
      <c r="E1498" s="32">
        <f>IF($A1498=1,IF(Supplier_Invoices!$A58="","",Supplier_Invoices!$A58),"")</f>
        <v/>
      </c>
      <c r="F1498" s="32">
        <f>IF($A1498=1,"SINV","")</f>
        <v/>
      </c>
      <c r="G1498" s="32">
        <f>IF($A1498=1,IF(Supplier_Invoices!$AA58="","",Supplier_Invoices!$AA58),"")</f>
        <v/>
      </c>
      <c r="H1498" s="32">
        <f>IF($A1498=1,IF(COUNTIF(COA!$A:$A,$G1498)=0,"حساب غير معرف",INDEX(COA!$B:$B,MATCH($G1498,COA!$A:$A,0))),"")</f>
        <v/>
      </c>
      <c r="I1498" s="32">
        <f>IF($A1498=1,IF(Supplier_Invoices!$H58="","",Supplier_Invoices!$H58),"")</f>
        <v/>
      </c>
      <c r="J1498" s="32">
        <f>IF($A1498=1,"CC00","")</f>
        <v/>
      </c>
      <c r="K1498" s="32">
        <f>IF($A1498=1,"-","")</f>
        <v/>
      </c>
      <c r="L1498" s="32">
        <f>IF($A1498=1,"سداد فوري - "&amp;Supplier_Invoices!$F58&amp;" "&amp;Supplier_Invoices!$B58&amp;" - "&amp;Supplier_Invoices!$C58,"")</f>
        <v/>
      </c>
      <c r="M1498" s="43">
        <f>IF($A1498=1,0,"")</f>
        <v/>
      </c>
      <c r="N1498" s="43">
        <f>IF($A1498=1,Supplier_Invoices!$W58,"")</f>
        <v/>
      </c>
      <c r="O1498" s="32">
        <f>IF($A1498=1,Supplier_Invoices!$O58,"")</f>
        <v/>
      </c>
      <c r="P1498" s="32">
        <f>IF($A1498=1,IF(Supplier_Invoices!$AE58="","",Supplier_Invoices!$AE58),"")</f>
        <v/>
      </c>
      <c r="Q1498" s="32">
        <f>IF($A1498=1,Supplier_Invoices!$AG58,"")</f>
        <v/>
      </c>
      <c r="R1498" s="32">
        <f>IF($A1498=1,IF(AND($Q1498=1,COUNTIFS(COA!$A:$A,$G1498,COA!$R:$R,1)=1),1,0),"")</f>
        <v/>
      </c>
      <c r="S1498" s="43">
        <f>IF($A1498=1,IF($R1498=1,N($M1498),0),"")</f>
        <v/>
      </c>
      <c r="T1498" s="43">
        <f>IF($A1498=1,IF($R1498=1,N($N1498),0),"")</f>
        <v/>
      </c>
      <c r="U1498" s="32">
        <f>IF($A1498=1,YEAR($D1498)*100+MONTH($D1498),"")</f>
        <v/>
      </c>
      <c r="V1498" s="32">
        <f>IF($A1498=1,IF(COUNTIF(COA!$A:$A,$G1498)=0,0,INDEX(COA!$H:$H,MATCH($G1498,COA!$A:$A,0))),"")</f>
        <v/>
      </c>
      <c r="W1498" s="32">
        <f>IF($A1498=1,IF(Supplier_Invoices!$AB58="","",Supplier_Invoices!$AB58),"")</f>
        <v/>
      </c>
      <c r="X1498" s="32">
        <f>IF($A1498=1,IF($R1498=1,"",IF($O1498=ST_POST,IF($P1498&lt;&gt;"",$P1498,"حساب غير صالح أو غير نشط"),IF($O1498=ST_REV,"معكوس: لا أثر على الدفاتر",IF($O1498=ST_CANC,"ملغى",IF($O1498=ST_APPR,"معتمد ولم يُرحَّل","مسودة"))))),"")</f>
        <v/>
      </c>
      <c r="Y1498" s="32">
        <f>IF($A1498=1,IF(AND($R1498=1,OR(LG_Acct="",$G1498=LG_Acct),OR(LG_Party="",$K1498=LG_Party),OR(LG_Loc="ALL",$I1498=LG_Loc),OR(LG_CC="ALL",$J1498=LG_CC),$D1498&gt;=LG_From,$D1498&lt;=LG_To),$D1498+ROW()/1000000,""),"")</f>
        <v/>
      </c>
      <c r="Z1498" s="32">
        <f>IF($A1498=1,IF(Supplier_Invoices!$P58="","",Supplier_Invoices!$P58),"")</f>
        <v/>
      </c>
      <c r="AA1498" s="32">
        <f>IF($A1498=1,IF(Supplier_Invoices!$Q58="","",Supplier_Invoices!$Q58),"")</f>
        <v/>
      </c>
      <c r="AB1498" s="32">
        <f>IF($A1498=1,IF(Supplier_Invoices!$R58="","",Supplier_Invoices!$R58),"")</f>
        <v/>
      </c>
      <c r="AC1498" s="32">
        <f>IF($A1498=1,IF(Supplier_Invoices!$S58="","",Supplier_Invoices!$S58),"")</f>
        <v/>
      </c>
      <c r="AD1498" s="32">
        <f>IF($A1498=1,IF(Supplier_Invoices!$T58="","",Supplier_Invoices!$T58),"")</f>
        <v/>
      </c>
      <c r="AE1498" s="32">
        <f>IF($A1498=1,0,"")</f>
        <v/>
      </c>
      <c r="AF1498" s="32" t="inlineStr"/>
    </row>
    <row r="1499">
      <c r="A1499" s="32">
        <f>IF(AND(Supplier_Invoices!$AD59=1,N(Supplier_Invoices!$J59)&gt;0),1,0)</f>
        <v/>
      </c>
      <c r="B1499" s="32">
        <f>IF($A1499=1,$E1499&amp;"/1","")</f>
        <v/>
      </c>
      <c r="C1499" s="32">
        <f>IF($A1499=1,"J-"&amp;Supplier_Invoices!$A59,"")</f>
        <v/>
      </c>
      <c r="D1499" s="33">
        <f>IF($A1499=1,Supplier_Invoices!$E59,"")</f>
        <v/>
      </c>
      <c r="E1499" s="32">
        <f>IF($A1499=1,IF(Supplier_Invoices!$A59="","",Supplier_Invoices!$A59),"")</f>
        <v/>
      </c>
      <c r="F1499" s="32">
        <f>IF($A1499=1,"SINV","")</f>
        <v/>
      </c>
      <c r="G1499" s="32">
        <f>IF($A1499=1,IF(Supplier_Invoices!$G59="","",Supplier_Invoices!$G59),"")</f>
        <v/>
      </c>
      <c r="H1499" s="32">
        <f>IF($A1499=1,IF(COUNTIF(COA!$A:$A,$G1499)=0,"حساب غير معرف",INDEX(COA!$B:$B,MATCH($G1499,COA!$A:$A,0))),"")</f>
        <v/>
      </c>
      <c r="I1499" s="32">
        <f>IF($A1499=1,IF(Supplier_Invoices!$H59="","",Supplier_Invoices!$H59),"")</f>
        <v/>
      </c>
      <c r="J1499" s="32">
        <f>IF($A1499=1,IF(Supplier_Invoices!$I59="","",Supplier_Invoices!$I59),"")</f>
        <v/>
      </c>
      <c r="K1499" s="32">
        <f>IF($A1499=1,"-","")</f>
        <v/>
      </c>
      <c r="L1499" s="32">
        <f>IF($A1499=1,Supplier_Invoices!$F59&amp;" "&amp;Supplier_Invoices!$B59&amp;" - "&amp;Supplier_Invoices!$C59,"")</f>
        <v/>
      </c>
      <c r="M1499" s="43">
        <f>IF($A1499=1,IF(Supplier_Invoices!$V59="CN",0,Supplier_Invoices!$J59),"")</f>
        <v/>
      </c>
      <c r="N1499" s="43">
        <f>IF($A1499=1,IF(Supplier_Invoices!$V59="CN",Supplier_Invoices!$J59,0),"")</f>
        <v/>
      </c>
      <c r="O1499" s="32">
        <f>IF($A1499=1,Supplier_Invoices!$O59,"")</f>
        <v/>
      </c>
      <c r="P1499" s="32">
        <f>IF($A1499=1,IF(Supplier_Invoices!$AE59="","",Supplier_Invoices!$AE59),"")</f>
        <v/>
      </c>
      <c r="Q1499" s="32">
        <f>IF($A1499=1,Supplier_Invoices!$AG59,"")</f>
        <v/>
      </c>
      <c r="R1499" s="32">
        <f>IF($A1499=1,IF(AND($Q1499=1,COUNTIFS(COA!$A:$A,$G1499,COA!$R:$R,1)=1),1,0),"")</f>
        <v/>
      </c>
      <c r="S1499" s="43">
        <f>IF($A1499=1,IF($R1499=1,N($M1499),0),"")</f>
        <v/>
      </c>
      <c r="T1499" s="43">
        <f>IF($A1499=1,IF($R1499=1,N($N1499),0),"")</f>
        <v/>
      </c>
      <c r="U1499" s="32">
        <f>IF($A1499=1,YEAR($D1499)*100+MONTH($D1499),"")</f>
        <v/>
      </c>
      <c r="V1499" s="32">
        <f>IF($A1499=1,IF(COUNTIF(COA!$A:$A,$G1499)=0,0,INDEX(COA!$H:$H,MATCH($G1499,COA!$A:$A,0))),"")</f>
        <v/>
      </c>
      <c r="W1499" s="32">
        <f>IF($A1499=1,"","")</f>
        <v/>
      </c>
      <c r="X1499" s="32">
        <f>IF($A1499=1,IF($R1499=1,"",IF($O1499=ST_POST,IF($P1499&lt;&gt;"",$P1499,"حساب غير صالح أو غير نشط"),IF($O1499=ST_REV,"معكوس: لا أثر على الدفاتر",IF($O1499=ST_CANC,"ملغى",IF($O1499=ST_APPR,"معتمد ولم يُرحَّل","مسودة"))))),"")</f>
        <v/>
      </c>
      <c r="Y1499" s="32">
        <f>IF($A1499=1,IF(AND($R1499=1,OR(LG_Acct="",$G1499=LG_Acct),OR(LG_Party="",$K1499=LG_Party),OR(LG_Loc="ALL",$I1499=LG_Loc),OR(LG_CC="ALL",$J1499=LG_CC),$D1499&gt;=LG_From,$D1499&lt;=LG_To),$D1499+ROW()/1000000,""),"")</f>
        <v/>
      </c>
      <c r="Z1499" s="32">
        <f>IF($A1499=1,IF(Supplier_Invoices!$P59="","",Supplier_Invoices!$P59),"")</f>
        <v/>
      </c>
      <c r="AA1499" s="32">
        <f>IF($A1499=1,IF(Supplier_Invoices!$Q59="","",Supplier_Invoices!$Q59),"")</f>
        <v/>
      </c>
      <c r="AB1499" s="32">
        <f>IF($A1499=1,IF(Supplier_Invoices!$R59="","",Supplier_Invoices!$R59),"")</f>
        <v/>
      </c>
      <c r="AC1499" s="32">
        <f>IF($A1499=1,IF(Supplier_Invoices!$S59="","",Supplier_Invoices!$S59),"")</f>
        <v/>
      </c>
      <c r="AD1499" s="32">
        <f>IF($A1499=1,IF(Supplier_Invoices!$T59="","",Supplier_Invoices!$T59),"")</f>
        <v/>
      </c>
      <c r="AE1499" s="32">
        <f>IF($A1499=1,0,"")</f>
        <v/>
      </c>
      <c r="AF1499" s="32" t="inlineStr"/>
    </row>
    <row r="1500">
      <c r="A1500" s="32">
        <f>IF(AND(Supplier_Invoices!$AD59=1,N(Supplier_Invoices!$K59)&gt;0),1,0)</f>
        <v/>
      </c>
      <c r="B1500" s="32">
        <f>IF($A1500=1,$E1500&amp;"/2","")</f>
        <v/>
      </c>
      <c r="C1500" s="32">
        <f>IF($A1500=1,"J-"&amp;Supplier_Invoices!$A59,"")</f>
        <v/>
      </c>
      <c r="D1500" s="33">
        <f>IF($A1500=1,Supplier_Invoices!$E59,"")</f>
        <v/>
      </c>
      <c r="E1500" s="32">
        <f>IF($A1500=1,IF(Supplier_Invoices!$A59="","",Supplier_Invoices!$A59),"")</f>
        <v/>
      </c>
      <c r="F1500" s="32">
        <f>IF($A1500=1,"SINV","")</f>
        <v/>
      </c>
      <c r="G1500" s="32">
        <f>IF($A1500=1,ACC_VAT_IN,"")</f>
        <v/>
      </c>
      <c r="H1500" s="32">
        <f>IF($A1500=1,IF(COUNTIF(COA!$A:$A,$G1500)=0,"حساب غير معرف",INDEX(COA!$B:$B,MATCH($G1500,COA!$A:$A,0))),"")</f>
        <v/>
      </c>
      <c r="I1500" s="32">
        <f>IF($A1500=1,IF(Supplier_Invoices!$H59="","",Supplier_Invoices!$H59),"")</f>
        <v/>
      </c>
      <c r="J1500" s="32">
        <f>IF($A1500=1,IF(Supplier_Invoices!$I59="","",Supplier_Invoices!$I59),"")</f>
        <v/>
      </c>
      <c r="K1500" s="32">
        <f>IF($A1500=1,"-","")</f>
        <v/>
      </c>
      <c r="L1500" s="32">
        <f>IF($A1500=1,"ضريبة قيمة مضافة - مدخلات","")</f>
        <v/>
      </c>
      <c r="M1500" s="43">
        <f>IF($A1500=1,IF(Supplier_Invoices!$V59="CN",0,Supplier_Invoices!$K59),"")</f>
        <v/>
      </c>
      <c r="N1500" s="43">
        <f>IF($A1500=1,IF(Supplier_Invoices!$V59="CN",Supplier_Invoices!$K59,0),"")</f>
        <v/>
      </c>
      <c r="O1500" s="32">
        <f>IF($A1500=1,Supplier_Invoices!$O59,"")</f>
        <v/>
      </c>
      <c r="P1500" s="32">
        <f>IF($A1500=1,IF(Supplier_Invoices!$AE59="","",Supplier_Invoices!$AE59),"")</f>
        <v/>
      </c>
      <c r="Q1500" s="32">
        <f>IF($A1500=1,Supplier_Invoices!$AG59,"")</f>
        <v/>
      </c>
      <c r="R1500" s="32">
        <f>IF($A1500=1,IF(AND($Q1500=1,COUNTIFS(COA!$A:$A,$G1500,COA!$R:$R,1)=1),1,0),"")</f>
        <v/>
      </c>
      <c r="S1500" s="43">
        <f>IF($A1500=1,IF($R1500=1,N($M1500),0),"")</f>
        <v/>
      </c>
      <c r="T1500" s="43">
        <f>IF($A1500=1,IF($R1500=1,N($N1500),0),"")</f>
        <v/>
      </c>
      <c r="U1500" s="32">
        <f>IF($A1500=1,YEAR($D1500)*100+MONTH($D1500),"")</f>
        <v/>
      </c>
      <c r="V1500" s="32">
        <f>IF($A1500=1,IF(COUNTIF(COA!$A:$A,$G1500)=0,0,INDEX(COA!$H:$H,MATCH($G1500,COA!$A:$A,0))),"")</f>
        <v/>
      </c>
      <c r="W1500" s="32">
        <f>IF($A1500=1,"","")</f>
        <v/>
      </c>
      <c r="X1500" s="32">
        <f>IF($A1500=1,IF($R1500=1,"",IF($O1500=ST_POST,IF($P1500&lt;&gt;"",$P1500,"حساب غير صالح أو غير نشط"),IF($O1500=ST_REV,"معكوس: لا أثر على الدفاتر",IF($O1500=ST_CANC,"ملغى",IF($O1500=ST_APPR,"معتمد ولم يُرحَّل","مسودة"))))),"")</f>
        <v/>
      </c>
      <c r="Y1500" s="32">
        <f>IF($A1500=1,IF(AND($R1500=1,OR(LG_Acct="",$G1500=LG_Acct),OR(LG_Party="",$K1500=LG_Party),OR(LG_Loc="ALL",$I1500=LG_Loc),OR(LG_CC="ALL",$J1500=LG_CC),$D1500&gt;=LG_From,$D1500&lt;=LG_To),$D1500+ROW()/1000000,""),"")</f>
        <v/>
      </c>
      <c r="Z1500" s="32">
        <f>IF($A1500=1,IF(Supplier_Invoices!$P59="","",Supplier_Invoices!$P59),"")</f>
        <v/>
      </c>
      <c r="AA1500" s="32">
        <f>IF($A1500=1,IF(Supplier_Invoices!$Q59="","",Supplier_Invoices!$Q59),"")</f>
        <v/>
      </c>
      <c r="AB1500" s="32">
        <f>IF($A1500=1,IF(Supplier_Invoices!$R59="","",Supplier_Invoices!$R59),"")</f>
        <v/>
      </c>
      <c r="AC1500" s="32">
        <f>IF($A1500=1,IF(Supplier_Invoices!$S59="","",Supplier_Invoices!$S59),"")</f>
        <v/>
      </c>
      <c r="AD1500" s="32">
        <f>IF($A1500=1,IF(Supplier_Invoices!$T59="","",Supplier_Invoices!$T59),"")</f>
        <v/>
      </c>
      <c r="AE1500" s="32">
        <f>IF($A1500=1,0,"")</f>
        <v/>
      </c>
      <c r="AF1500" s="32" t="inlineStr"/>
    </row>
    <row r="1501">
      <c r="A1501" s="32">
        <f>IF(AND(Supplier_Invoices!$AD59=1,N(Supplier_Invoices!$W59)&gt;0),1,0)</f>
        <v/>
      </c>
      <c r="B1501" s="32">
        <f>IF($A1501=1,$E1501&amp;"/3","")</f>
        <v/>
      </c>
      <c r="C1501" s="32">
        <f>IF($A1501=1,"J-"&amp;Supplier_Invoices!$A59,"")</f>
        <v/>
      </c>
      <c r="D1501" s="33">
        <f>IF($A1501=1,Supplier_Invoices!$E59,"")</f>
        <v/>
      </c>
      <c r="E1501" s="32">
        <f>IF($A1501=1,IF(Supplier_Invoices!$A59="","",Supplier_Invoices!$A59),"")</f>
        <v/>
      </c>
      <c r="F1501" s="32">
        <f>IF($A1501=1,"SINV","")</f>
        <v/>
      </c>
      <c r="G1501" s="32">
        <f>IF($A1501=1,ACC_SUPPLIERS,"")</f>
        <v/>
      </c>
      <c r="H1501" s="32">
        <f>IF($A1501=1,IF(COUNTIF(COA!$A:$A,$G1501)=0,"حساب غير معرف",INDEX(COA!$B:$B,MATCH($G1501,COA!$A:$A,0))),"")</f>
        <v/>
      </c>
      <c r="I1501" s="32">
        <f>IF($A1501=1,IF(Supplier_Invoices!$H59="","",Supplier_Invoices!$H59),"")</f>
        <v/>
      </c>
      <c r="J1501" s="32">
        <f>IF($A1501=1,"CC00","")</f>
        <v/>
      </c>
      <c r="K1501" s="32">
        <f>IF($A1501=1,IF(Supplier_Invoices!$C59="","",Supplier_Invoices!$C59),"")</f>
        <v/>
      </c>
      <c r="L1501" s="32">
        <f>IF($A1501=1,Supplier_Invoices!$F59&amp;" "&amp;Supplier_Invoices!$B59&amp;" - "&amp;Supplier_Invoices!$C59,"")</f>
        <v/>
      </c>
      <c r="M1501" s="43">
        <f>IF($A1501=1,IF(Supplier_Invoices!$V59="CN",Supplier_Invoices!$W59,0),"")</f>
        <v/>
      </c>
      <c r="N1501" s="43">
        <f>IF($A1501=1,IF(Supplier_Invoices!$V59="CN",0,Supplier_Invoices!$W59),"")</f>
        <v/>
      </c>
      <c r="O1501" s="32">
        <f>IF($A1501=1,Supplier_Invoices!$O59,"")</f>
        <v/>
      </c>
      <c r="P1501" s="32">
        <f>IF($A1501=1,IF(Supplier_Invoices!$AE59="","",Supplier_Invoices!$AE59),"")</f>
        <v/>
      </c>
      <c r="Q1501" s="32">
        <f>IF($A1501=1,Supplier_Invoices!$AG59,"")</f>
        <v/>
      </c>
      <c r="R1501" s="32">
        <f>IF($A1501=1,IF(AND($Q1501=1,COUNTIFS(COA!$A:$A,$G1501,COA!$R:$R,1)=1),1,0),"")</f>
        <v/>
      </c>
      <c r="S1501" s="43">
        <f>IF($A1501=1,IF($R1501=1,N($M1501),0),"")</f>
        <v/>
      </c>
      <c r="T1501" s="43">
        <f>IF($A1501=1,IF($R1501=1,N($N1501),0),"")</f>
        <v/>
      </c>
      <c r="U1501" s="32">
        <f>IF($A1501=1,YEAR($D1501)*100+MONTH($D1501),"")</f>
        <v/>
      </c>
      <c r="V1501" s="32">
        <f>IF($A1501=1,IF(COUNTIF(COA!$A:$A,$G1501)=0,0,INDEX(COA!$H:$H,MATCH($G1501,COA!$A:$A,0))),"")</f>
        <v/>
      </c>
      <c r="W1501" s="32">
        <f>IF($A1501=1,"","")</f>
        <v/>
      </c>
      <c r="X1501" s="32">
        <f>IF($A1501=1,IF($R1501=1,"",IF($O1501=ST_POST,IF($P1501&lt;&gt;"",$P1501,"حساب غير صالح أو غير نشط"),IF($O1501=ST_REV,"معكوس: لا أثر على الدفاتر",IF($O1501=ST_CANC,"ملغى",IF($O1501=ST_APPR,"معتمد ولم يُرحَّل","مسودة"))))),"")</f>
        <v/>
      </c>
      <c r="Y1501" s="32">
        <f>IF($A1501=1,IF(AND($R1501=1,OR(LG_Acct="",$G1501=LG_Acct),OR(LG_Party="",$K1501=LG_Party),OR(LG_Loc="ALL",$I1501=LG_Loc),OR(LG_CC="ALL",$J1501=LG_CC),$D1501&gt;=LG_From,$D1501&lt;=LG_To),$D1501+ROW()/1000000,""),"")</f>
        <v/>
      </c>
      <c r="Z1501" s="32">
        <f>IF($A1501=1,IF(Supplier_Invoices!$P59="","",Supplier_Invoices!$P59),"")</f>
        <v/>
      </c>
      <c r="AA1501" s="32">
        <f>IF($A1501=1,IF(Supplier_Invoices!$Q59="","",Supplier_Invoices!$Q59),"")</f>
        <v/>
      </c>
      <c r="AB1501" s="32">
        <f>IF($A1501=1,IF(Supplier_Invoices!$R59="","",Supplier_Invoices!$R59),"")</f>
        <v/>
      </c>
      <c r="AC1501" s="32">
        <f>IF($A1501=1,IF(Supplier_Invoices!$S59="","",Supplier_Invoices!$S59),"")</f>
        <v/>
      </c>
      <c r="AD1501" s="32">
        <f>IF($A1501=1,IF(Supplier_Invoices!$T59="","",Supplier_Invoices!$T59),"")</f>
        <v/>
      </c>
      <c r="AE1501" s="32">
        <f>IF($A1501=1,0,"")</f>
        <v/>
      </c>
      <c r="AF1501" s="32" t="inlineStr"/>
    </row>
    <row r="1502">
      <c r="A1502" s="32">
        <f>IF(AND(Supplier_Invoices!$AD59=1,Supplier_Invoices!$L59&lt;&gt;"",Supplier_Invoices!$V59&lt;&gt;"CN",N(Supplier_Invoices!$W59)&gt;0),1,0)</f>
        <v/>
      </c>
      <c r="B1502" s="32">
        <f>IF($A1502=1,$E1502&amp;"/4","")</f>
        <v/>
      </c>
      <c r="C1502" s="32">
        <f>IF($A1502=1,"J-"&amp;Supplier_Invoices!$A59,"")</f>
        <v/>
      </c>
      <c r="D1502" s="33">
        <f>IF($A1502=1,Supplier_Invoices!$E59,"")</f>
        <v/>
      </c>
      <c r="E1502" s="32">
        <f>IF($A1502=1,IF(Supplier_Invoices!$A59="","",Supplier_Invoices!$A59),"")</f>
        <v/>
      </c>
      <c r="F1502" s="32">
        <f>IF($A1502=1,"SINV","")</f>
        <v/>
      </c>
      <c r="G1502" s="32">
        <f>IF($A1502=1,ACC_SUPPLIERS,"")</f>
        <v/>
      </c>
      <c r="H1502" s="32">
        <f>IF($A1502=1,IF(COUNTIF(COA!$A:$A,$G1502)=0,"حساب غير معرف",INDEX(COA!$B:$B,MATCH($G1502,COA!$A:$A,0))),"")</f>
        <v/>
      </c>
      <c r="I1502" s="32">
        <f>IF($A1502=1,IF(Supplier_Invoices!$H59="","",Supplier_Invoices!$H59),"")</f>
        <v/>
      </c>
      <c r="J1502" s="32">
        <f>IF($A1502=1,"CC00","")</f>
        <v/>
      </c>
      <c r="K1502" s="32">
        <f>IF($A1502=1,IF(Supplier_Invoices!$C59="","",Supplier_Invoices!$C59),"")</f>
        <v/>
      </c>
      <c r="L1502" s="32">
        <f>IF($A1502=1,"سداد فوري - "&amp;Supplier_Invoices!$F59&amp;" "&amp;Supplier_Invoices!$B59&amp;" - "&amp;Supplier_Invoices!$C59,"")</f>
        <v/>
      </c>
      <c r="M1502" s="43">
        <f>IF($A1502=1,Supplier_Invoices!$W59,"")</f>
        <v/>
      </c>
      <c r="N1502" s="43">
        <f>IF($A1502=1,0,"")</f>
        <v/>
      </c>
      <c r="O1502" s="32">
        <f>IF($A1502=1,Supplier_Invoices!$O59,"")</f>
        <v/>
      </c>
      <c r="P1502" s="32">
        <f>IF($A1502=1,IF(Supplier_Invoices!$AE59="","",Supplier_Invoices!$AE59),"")</f>
        <v/>
      </c>
      <c r="Q1502" s="32">
        <f>IF($A1502=1,Supplier_Invoices!$AG59,"")</f>
        <v/>
      </c>
      <c r="R1502" s="32">
        <f>IF($A1502=1,IF(AND($Q1502=1,COUNTIFS(COA!$A:$A,$G1502,COA!$R:$R,1)=1),1,0),"")</f>
        <v/>
      </c>
      <c r="S1502" s="43">
        <f>IF($A1502=1,IF($R1502=1,N($M1502),0),"")</f>
        <v/>
      </c>
      <c r="T1502" s="43">
        <f>IF($A1502=1,IF($R1502=1,N($N1502),0),"")</f>
        <v/>
      </c>
      <c r="U1502" s="32">
        <f>IF($A1502=1,YEAR($D1502)*100+MONTH($D1502),"")</f>
        <v/>
      </c>
      <c r="V1502" s="32">
        <f>IF($A1502=1,IF(COUNTIF(COA!$A:$A,$G1502)=0,0,INDEX(COA!$H:$H,MATCH($G1502,COA!$A:$A,0))),"")</f>
        <v/>
      </c>
      <c r="W1502" s="32">
        <f>IF($A1502=1,"","")</f>
        <v/>
      </c>
      <c r="X1502" s="32">
        <f>IF($A1502=1,IF($R1502=1,"",IF($O1502=ST_POST,IF($P1502&lt;&gt;"",$P1502,"حساب غير صالح أو غير نشط"),IF($O1502=ST_REV,"معكوس: لا أثر على الدفاتر",IF($O1502=ST_CANC,"ملغى",IF($O1502=ST_APPR,"معتمد ولم يُرحَّل","مسودة"))))),"")</f>
        <v/>
      </c>
      <c r="Y1502" s="32">
        <f>IF($A1502=1,IF(AND($R1502=1,OR(LG_Acct="",$G1502=LG_Acct),OR(LG_Party="",$K1502=LG_Party),OR(LG_Loc="ALL",$I1502=LG_Loc),OR(LG_CC="ALL",$J1502=LG_CC),$D1502&gt;=LG_From,$D1502&lt;=LG_To),$D1502+ROW()/1000000,""),"")</f>
        <v/>
      </c>
      <c r="Z1502" s="32">
        <f>IF($A1502=1,IF(Supplier_Invoices!$P59="","",Supplier_Invoices!$P59),"")</f>
        <v/>
      </c>
      <c r="AA1502" s="32">
        <f>IF($A1502=1,IF(Supplier_Invoices!$Q59="","",Supplier_Invoices!$Q59),"")</f>
        <v/>
      </c>
      <c r="AB1502" s="32">
        <f>IF($A1502=1,IF(Supplier_Invoices!$R59="","",Supplier_Invoices!$R59),"")</f>
        <v/>
      </c>
      <c r="AC1502" s="32">
        <f>IF($A1502=1,IF(Supplier_Invoices!$S59="","",Supplier_Invoices!$S59),"")</f>
        <v/>
      </c>
      <c r="AD1502" s="32">
        <f>IF($A1502=1,IF(Supplier_Invoices!$T59="","",Supplier_Invoices!$T59),"")</f>
        <v/>
      </c>
      <c r="AE1502" s="32">
        <f>IF($A1502=1,0,"")</f>
        <v/>
      </c>
      <c r="AF1502" s="32" t="inlineStr"/>
    </row>
    <row r="1503">
      <c r="A1503" s="32">
        <f>IF(AND(Supplier_Invoices!$AD59=1,Supplier_Invoices!$L59&lt;&gt;"",Supplier_Invoices!$V59&lt;&gt;"CN",N(Supplier_Invoices!$W59)&gt;0),1,0)</f>
        <v/>
      </c>
      <c r="B1503" s="32">
        <f>IF($A1503=1,$E1503&amp;"/5","")</f>
        <v/>
      </c>
      <c r="C1503" s="32">
        <f>IF($A1503=1,"J-"&amp;Supplier_Invoices!$A59,"")</f>
        <v/>
      </c>
      <c r="D1503" s="33">
        <f>IF($A1503=1,Supplier_Invoices!$E59,"")</f>
        <v/>
      </c>
      <c r="E1503" s="32">
        <f>IF($A1503=1,IF(Supplier_Invoices!$A59="","",Supplier_Invoices!$A59),"")</f>
        <v/>
      </c>
      <c r="F1503" s="32">
        <f>IF($A1503=1,"SINV","")</f>
        <v/>
      </c>
      <c r="G1503" s="32">
        <f>IF($A1503=1,IF(Supplier_Invoices!$AA59="","",Supplier_Invoices!$AA59),"")</f>
        <v/>
      </c>
      <c r="H1503" s="32">
        <f>IF($A1503=1,IF(COUNTIF(COA!$A:$A,$G1503)=0,"حساب غير معرف",INDEX(COA!$B:$B,MATCH($G1503,COA!$A:$A,0))),"")</f>
        <v/>
      </c>
      <c r="I1503" s="32">
        <f>IF($A1503=1,IF(Supplier_Invoices!$H59="","",Supplier_Invoices!$H59),"")</f>
        <v/>
      </c>
      <c r="J1503" s="32">
        <f>IF($A1503=1,"CC00","")</f>
        <v/>
      </c>
      <c r="K1503" s="32">
        <f>IF($A1503=1,"-","")</f>
        <v/>
      </c>
      <c r="L1503" s="32">
        <f>IF($A1503=1,"سداد فوري - "&amp;Supplier_Invoices!$F59&amp;" "&amp;Supplier_Invoices!$B59&amp;" - "&amp;Supplier_Invoices!$C59,"")</f>
        <v/>
      </c>
      <c r="M1503" s="43">
        <f>IF($A1503=1,0,"")</f>
        <v/>
      </c>
      <c r="N1503" s="43">
        <f>IF($A1503=1,Supplier_Invoices!$W59,"")</f>
        <v/>
      </c>
      <c r="O1503" s="32">
        <f>IF($A1503=1,Supplier_Invoices!$O59,"")</f>
        <v/>
      </c>
      <c r="P1503" s="32">
        <f>IF($A1503=1,IF(Supplier_Invoices!$AE59="","",Supplier_Invoices!$AE59),"")</f>
        <v/>
      </c>
      <c r="Q1503" s="32">
        <f>IF($A1503=1,Supplier_Invoices!$AG59,"")</f>
        <v/>
      </c>
      <c r="R1503" s="32">
        <f>IF($A1503=1,IF(AND($Q1503=1,COUNTIFS(COA!$A:$A,$G1503,COA!$R:$R,1)=1),1,0),"")</f>
        <v/>
      </c>
      <c r="S1503" s="43">
        <f>IF($A1503=1,IF($R1503=1,N($M1503),0),"")</f>
        <v/>
      </c>
      <c r="T1503" s="43">
        <f>IF($A1503=1,IF($R1503=1,N($N1503),0),"")</f>
        <v/>
      </c>
      <c r="U1503" s="32">
        <f>IF($A1503=1,YEAR($D1503)*100+MONTH($D1503),"")</f>
        <v/>
      </c>
      <c r="V1503" s="32">
        <f>IF($A1503=1,IF(COUNTIF(COA!$A:$A,$G1503)=0,0,INDEX(COA!$H:$H,MATCH($G1503,COA!$A:$A,0))),"")</f>
        <v/>
      </c>
      <c r="W1503" s="32">
        <f>IF($A1503=1,IF(Supplier_Invoices!$AB59="","",Supplier_Invoices!$AB59),"")</f>
        <v/>
      </c>
      <c r="X1503" s="32">
        <f>IF($A1503=1,IF($R1503=1,"",IF($O1503=ST_POST,IF($P1503&lt;&gt;"",$P1503,"حساب غير صالح أو غير نشط"),IF($O1503=ST_REV,"معكوس: لا أثر على الدفاتر",IF($O1503=ST_CANC,"ملغى",IF($O1503=ST_APPR,"معتمد ولم يُرحَّل","مسودة"))))),"")</f>
        <v/>
      </c>
      <c r="Y1503" s="32">
        <f>IF($A1503=1,IF(AND($R1503=1,OR(LG_Acct="",$G1503=LG_Acct),OR(LG_Party="",$K1503=LG_Party),OR(LG_Loc="ALL",$I1503=LG_Loc),OR(LG_CC="ALL",$J1503=LG_CC),$D1503&gt;=LG_From,$D1503&lt;=LG_To),$D1503+ROW()/1000000,""),"")</f>
        <v/>
      </c>
      <c r="Z1503" s="32">
        <f>IF($A1503=1,IF(Supplier_Invoices!$P59="","",Supplier_Invoices!$P59),"")</f>
        <v/>
      </c>
      <c r="AA1503" s="32">
        <f>IF($A1503=1,IF(Supplier_Invoices!$Q59="","",Supplier_Invoices!$Q59),"")</f>
        <v/>
      </c>
      <c r="AB1503" s="32">
        <f>IF($A1503=1,IF(Supplier_Invoices!$R59="","",Supplier_Invoices!$R59),"")</f>
        <v/>
      </c>
      <c r="AC1503" s="32">
        <f>IF($A1503=1,IF(Supplier_Invoices!$S59="","",Supplier_Invoices!$S59),"")</f>
        <v/>
      </c>
      <c r="AD1503" s="32">
        <f>IF($A1503=1,IF(Supplier_Invoices!$T59="","",Supplier_Invoices!$T59),"")</f>
        <v/>
      </c>
      <c r="AE1503" s="32">
        <f>IF($A1503=1,0,"")</f>
        <v/>
      </c>
      <c r="AF1503" s="32" t="inlineStr"/>
    </row>
    <row r="1504">
      <c r="A1504" s="32">
        <f>IF(AND(Supplier_Invoices!$AD60=1,N(Supplier_Invoices!$J60)&gt;0),1,0)</f>
        <v/>
      </c>
      <c r="B1504" s="32">
        <f>IF($A1504=1,$E1504&amp;"/1","")</f>
        <v/>
      </c>
      <c r="C1504" s="32">
        <f>IF($A1504=1,"J-"&amp;Supplier_Invoices!$A60,"")</f>
        <v/>
      </c>
      <c r="D1504" s="33">
        <f>IF($A1504=1,Supplier_Invoices!$E60,"")</f>
        <v/>
      </c>
      <c r="E1504" s="32">
        <f>IF($A1504=1,IF(Supplier_Invoices!$A60="","",Supplier_Invoices!$A60),"")</f>
        <v/>
      </c>
      <c r="F1504" s="32">
        <f>IF($A1504=1,"SINV","")</f>
        <v/>
      </c>
      <c r="G1504" s="32">
        <f>IF($A1504=1,IF(Supplier_Invoices!$G60="","",Supplier_Invoices!$G60),"")</f>
        <v/>
      </c>
      <c r="H1504" s="32">
        <f>IF($A1504=1,IF(COUNTIF(COA!$A:$A,$G1504)=0,"حساب غير معرف",INDEX(COA!$B:$B,MATCH($G1504,COA!$A:$A,0))),"")</f>
        <v/>
      </c>
      <c r="I1504" s="32">
        <f>IF($A1504=1,IF(Supplier_Invoices!$H60="","",Supplier_Invoices!$H60),"")</f>
        <v/>
      </c>
      <c r="J1504" s="32">
        <f>IF($A1504=1,IF(Supplier_Invoices!$I60="","",Supplier_Invoices!$I60),"")</f>
        <v/>
      </c>
      <c r="K1504" s="32">
        <f>IF($A1504=1,"-","")</f>
        <v/>
      </c>
      <c r="L1504" s="32">
        <f>IF($A1504=1,Supplier_Invoices!$F60&amp;" "&amp;Supplier_Invoices!$B60&amp;" - "&amp;Supplier_Invoices!$C60,"")</f>
        <v/>
      </c>
      <c r="M1504" s="43">
        <f>IF($A1504=1,IF(Supplier_Invoices!$V60="CN",0,Supplier_Invoices!$J60),"")</f>
        <v/>
      </c>
      <c r="N1504" s="43">
        <f>IF($A1504=1,IF(Supplier_Invoices!$V60="CN",Supplier_Invoices!$J60,0),"")</f>
        <v/>
      </c>
      <c r="O1504" s="32">
        <f>IF($A1504=1,Supplier_Invoices!$O60,"")</f>
        <v/>
      </c>
      <c r="P1504" s="32">
        <f>IF($A1504=1,IF(Supplier_Invoices!$AE60="","",Supplier_Invoices!$AE60),"")</f>
        <v/>
      </c>
      <c r="Q1504" s="32">
        <f>IF($A1504=1,Supplier_Invoices!$AG60,"")</f>
        <v/>
      </c>
      <c r="R1504" s="32">
        <f>IF($A1504=1,IF(AND($Q1504=1,COUNTIFS(COA!$A:$A,$G1504,COA!$R:$R,1)=1),1,0),"")</f>
        <v/>
      </c>
      <c r="S1504" s="43">
        <f>IF($A1504=1,IF($R1504=1,N($M1504),0),"")</f>
        <v/>
      </c>
      <c r="T1504" s="43">
        <f>IF($A1504=1,IF($R1504=1,N($N1504),0),"")</f>
        <v/>
      </c>
      <c r="U1504" s="32">
        <f>IF($A1504=1,YEAR($D1504)*100+MONTH($D1504),"")</f>
        <v/>
      </c>
      <c r="V1504" s="32">
        <f>IF($A1504=1,IF(COUNTIF(COA!$A:$A,$G1504)=0,0,INDEX(COA!$H:$H,MATCH($G1504,COA!$A:$A,0))),"")</f>
        <v/>
      </c>
      <c r="W1504" s="32">
        <f>IF($A1504=1,"","")</f>
        <v/>
      </c>
      <c r="X1504" s="32">
        <f>IF($A1504=1,IF($R1504=1,"",IF($O1504=ST_POST,IF($P1504&lt;&gt;"",$P1504,"حساب غير صالح أو غير نشط"),IF($O1504=ST_REV,"معكوس: لا أثر على الدفاتر",IF($O1504=ST_CANC,"ملغى",IF($O1504=ST_APPR,"معتمد ولم يُرحَّل","مسودة"))))),"")</f>
        <v/>
      </c>
      <c r="Y1504" s="32">
        <f>IF($A1504=1,IF(AND($R1504=1,OR(LG_Acct="",$G1504=LG_Acct),OR(LG_Party="",$K1504=LG_Party),OR(LG_Loc="ALL",$I1504=LG_Loc),OR(LG_CC="ALL",$J1504=LG_CC),$D1504&gt;=LG_From,$D1504&lt;=LG_To),$D1504+ROW()/1000000,""),"")</f>
        <v/>
      </c>
      <c r="Z1504" s="32">
        <f>IF($A1504=1,IF(Supplier_Invoices!$P60="","",Supplier_Invoices!$P60),"")</f>
        <v/>
      </c>
      <c r="AA1504" s="32">
        <f>IF($A1504=1,IF(Supplier_Invoices!$Q60="","",Supplier_Invoices!$Q60),"")</f>
        <v/>
      </c>
      <c r="AB1504" s="32">
        <f>IF($A1504=1,IF(Supplier_Invoices!$R60="","",Supplier_Invoices!$R60),"")</f>
        <v/>
      </c>
      <c r="AC1504" s="32">
        <f>IF($A1504=1,IF(Supplier_Invoices!$S60="","",Supplier_Invoices!$S60),"")</f>
        <v/>
      </c>
      <c r="AD1504" s="32">
        <f>IF($A1504=1,IF(Supplier_Invoices!$T60="","",Supplier_Invoices!$T60),"")</f>
        <v/>
      </c>
      <c r="AE1504" s="32">
        <f>IF($A1504=1,0,"")</f>
        <v/>
      </c>
      <c r="AF1504" s="32" t="inlineStr"/>
    </row>
    <row r="1505">
      <c r="A1505" s="32">
        <f>IF(AND(Supplier_Invoices!$AD60=1,N(Supplier_Invoices!$K60)&gt;0),1,0)</f>
        <v/>
      </c>
      <c r="B1505" s="32">
        <f>IF($A1505=1,$E1505&amp;"/2","")</f>
        <v/>
      </c>
      <c r="C1505" s="32">
        <f>IF($A1505=1,"J-"&amp;Supplier_Invoices!$A60,"")</f>
        <v/>
      </c>
      <c r="D1505" s="33">
        <f>IF($A1505=1,Supplier_Invoices!$E60,"")</f>
        <v/>
      </c>
      <c r="E1505" s="32">
        <f>IF($A1505=1,IF(Supplier_Invoices!$A60="","",Supplier_Invoices!$A60),"")</f>
        <v/>
      </c>
      <c r="F1505" s="32">
        <f>IF($A1505=1,"SINV","")</f>
        <v/>
      </c>
      <c r="G1505" s="32">
        <f>IF($A1505=1,ACC_VAT_IN,"")</f>
        <v/>
      </c>
      <c r="H1505" s="32">
        <f>IF($A1505=1,IF(COUNTIF(COA!$A:$A,$G1505)=0,"حساب غير معرف",INDEX(COA!$B:$B,MATCH($G1505,COA!$A:$A,0))),"")</f>
        <v/>
      </c>
      <c r="I1505" s="32">
        <f>IF($A1505=1,IF(Supplier_Invoices!$H60="","",Supplier_Invoices!$H60),"")</f>
        <v/>
      </c>
      <c r="J1505" s="32">
        <f>IF($A1505=1,IF(Supplier_Invoices!$I60="","",Supplier_Invoices!$I60),"")</f>
        <v/>
      </c>
      <c r="K1505" s="32">
        <f>IF($A1505=1,"-","")</f>
        <v/>
      </c>
      <c r="L1505" s="32">
        <f>IF($A1505=1,"ضريبة قيمة مضافة - مدخلات","")</f>
        <v/>
      </c>
      <c r="M1505" s="43">
        <f>IF($A1505=1,IF(Supplier_Invoices!$V60="CN",0,Supplier_Invoices!$K60),"")</f>
        <v/>
      </c>
      <c r="N1505" s="43">
        <f>IF($A1505=1,IF(Supplier_Invoices!$V60="CN",Supplier_Invoices!$K60,0),"")</f>
        <v/>
      </c>
      <c r="O1505" s="32">
        <f>IF($A1505=1,Supplier_Invoices!$O60,"")</f>
        <v/>
      </c>
      <c r="P1505" s="32">
        <f>IF($A1505=1,IF(Supplier_Invoices!$AE60="","",Supplier_Invoices!$AE60),"")</f>
        <v/>
      </c>
      <c r="Q1505" s="32">
        <f>IF($A1505=1,Supplier_Invoices!$AG60,"")</f>
        <v/>
      </c>
      <c r="R1505" s="32">
        <f>IF($A1505=1,IF(AND($Q1505=1,COUNTIFS(COA!$A:$A,$G1505,COA!$R:$R,1)=1),1,0),"")</f>
        <v/>
      </c>
      <c r="S1505" s="43">
        <f>IF($A1505=1,IF($R1505=1,N($M1505),0),"")</f>
        <v/>
      </c>
      <c r="T1505" s="43">
        <f>IF($A1505=1,IF($R1505=1,N($N1505),0),"")</f>
        <v/>
      </c>
      <c r="U1505" s="32">
        <f>IF($A1505=1,YEAR($D1505)*100+MONTH($D1505),"")</f>
        <v/>
      </c>
      <c r="V1505" s="32">
        <f>IF($A1505=1,IF(COUNTIF(COA!$A:$A,$G1505)=0,0,INDEX(COA!$H:$H,MATCH($G1505,COA!$A:$A,0))),"")</f>
        <v/>
      </c>
      <c r="W1505" s="32">
        <f>IF($A1505=1,"","")</f>
        <v/>
      </c>
      <c r="X1505" s="32">
        <f>IF($A1505=1,IF($R1505=1,"",IF($O1505=ST_POST,IF($P1505&lt;&gt;"",$P1505,"حساب غير صالح أو غير نشط"),IF($O1505=ST_REV,"معكوس: لا أثر على الدفاتر",IF($O1505=ST_CANC,"ملغى",IF($O1505=ST_APPR,"معتمد ولم يُرحَّل","مسودة"))))),"")</f>
        <v/>
      </c>
      <c r="Y1505" s="32">
        <f>IF($A1505=1,IF(AND($R1505=1,OR(LG_Acct="",$G1505=LG_Acct),OR(LG_Party="",$K1505=LG_Party),OR(LG_Loc="ALL",$I1505=LG_Loc),OR(LG_CC="ALL",$J1505=LG_CC),$D1505&gt;=LG_From,$D1505&lt;=LG_To),$D1505+ROW()/1000000,""),"")</f>
        <v/>
      </c>
      <c r="Z1505" s="32">
        <f>IF($A1505=1,IF(Supplier_Invoices!$P60="","",Supplier_Invoices!$P60),"")</f>
        <v/>
      </c>
      <c r="AA1505" s="32">
        <f>IF($A1505=1,IF(Supplier_Invoices!$Q60="","",Supplier_Invoices!$Q60),"")</f>
        <v/>
      </c>
      <c r="AB1505" s="32">
        <f>IF($A1505=1,IF(Supplier_Invoices!$R60="","",Supplier_Invoices!$R60),"")</f>
        <v/>
      </c>
      <c r="AC1505" s="32">
        <f>IF($A1505=1,IF(Supplier_Invoices!$S60="","",Supplier_Invoices!$S60),"")</f>
        <v/>
      </c>
      <c r="AD1505" s="32">
        <f>IF($A1505=1,IF(Supplier_Invoices!$T60="","",Supplier_Invoices!$T60),"")</f>
        <v/>
      </c>
      <c r="AE1505" s="32">
        <f>IF($A1505=1,0,"")</f>
        <v/>
      </c>
      <c r="AF1505" s="32" t="inlineStr"/>
    </row>
    <row r="1506">
      <c r="A1506" s="32">
        <f>IF(AND(Supplier_Invoices!$AD60=1,N(Supplier_Invoices!$W60)&gt;0),1,0)</f>
        <v/>
      </c>
      <c r="B1506" s="32">
        <f>IF($A1506=1,$E1506&amp;"/3","")</f>
        <v/>
      </c>
      <c r="C1506" s="32">
        <f>IF($A1506=1,"J-"&amp;Supplier_Invoices!$A60,"")</f>
        <v/>
      </c>
      <c r="D1506" s="33">
        <f>IF($A1506=1,Supplier_Invoices!$E60,"")</f>
        <v/>
      </c>
      <c r="E1506" s="32">
        <f>IF($A1506=1,IF(Supplier_Invoices!$A60="","",Supplier_Invoices!$A60),"")</f>
        <v/>
      </c>
      <c r="F1506" s="32">
        <f>IF($A1506=1,"SINV","")</f>
        <v/>
      </c>
      <c r="G1506" s="32">
        <f>IF($A1506=1,ACC_SUPPLIERS,"")</f>
        <v/>
      </c>
      <c r="H1506" s="32">
        <f>IF($A1506=1,IF(COUNTIF(COA!$A:$A,$G1506)=0,"حساب غير معرف",INDEX(COA!$B:$B,MATCH($G1506,COA!$A:$A,0))),"")</f>
        <v/>
      </c>
      <c r="I1506" s="32">
        <f>IF($A1506=1,IF(Supplier_Invoices!$H60="","",Supplier_Invoices!$H60),"")</f>
        <v/>
      </c>
      <c r="J1506" s="32">
        <f>IF($A1506=1,"CC00","")</f>
        <v/>
      </c>
      <c r="K1506" s="32">
        <f>IF($A1506=1,IF(Supplier_Invoices!$C60="","",Supplier_Invoices!$C60),"")</f>
        <v/>
      </c>
      <c r="L1506" s="32">
        <f>IF($A1506=1,Supplier_Invoices!$F60&amp;" "&amp;Supplier_Invoices!$B60&amp;" - "&amp;Supplier_Invoices!$C60,"")</f>
        <v/>
      </c>
      <c r="M1506" s="43">
        <f>IF($A1506=1,IF(Supplier_Invoices!$V60="CN",Supplier_Invoices!$W60,0),"")</f>
        <v/>
      </c>
      <c r="N1506" s="43">
        <f>IF($A1506=1,IF(Supplier_Invoices!$V60="CN",0,Supplier_Invoices!$W60),"")</f>
        <v/>
      </c>
      <c r="O1506" s="32">
        <f>IF($A1506=1,Supplier_Invoices!$O60,"")</f>
        <v/>
      </c>
      <c r="P1506" s="32">
        <f>IF($A1506=1,IF(Supplier_Invoices!$AE60="","",Supplier_Invoices!$AE60),"")</f>
        <v/>
      </c>
      <c r="Q1506" s="32">
        <f>IF($A1506=1,Supplier_Invoices!$AG60,"")</f>
        <v/>
      </c>
      <c r="R1506" s="32">
        <f>IF($A1506=1,IF(AND($Q1506=1,COUNTIFS(COA!$A:$A,$G1506,COA!$R:$R,1)=1),1,0),"")</f>
        <v/>
      </c>
      <c r="S1506" s="43">
        <f>IF($A1506=1,IF($R1506=1,N($M1506),0),"")</f>
        <v/>
      </c>
      <c r="T1506" s="43">
        <f>IF($A1506=1,IF($R1506=1,N($N1506),0),"")</f>
        <v/>
      </c>
      <c r="U1506" s="32">
        <f>IF($A1506=1,YEAR($D1506)*100+MONTH($D1506),"")</f>
        <v/>
      </c>
      <c r="V1506" s="32">
        <f>IF($A1506=1,IF(COUNTIF(COA!$A:$A,$G1506)=0,0,INDEX(COA!$H:$H,MATCH($G1506,COA!$A:$A,0))),"")</f>
        <v/>
      </c>
      <c r="W1506" s="32">
        <f>IF($A1506=1,"","")</f>
        <v/>
      </c>
      <c r="X1506" s="32">
        <f>IF($A1506=1,IF($R1506=1,"",IF($O1506=ST_POST,IF($P1506&lt;&gt;"",$P1506,"حساب غير صالح أو غير نشط"),IF($O1506=ST_REV,"معكوس: لا أثر على الدفاتر",IF($O1506=ST_CANC,"ملغى",IF($O1506=ST_APPR,"معتمد ولم يُرحَّل","مسودة"))))),"")</f>
        <v/>
      </c>
      <c r="Y1506" s="32">
        <f>IF($A1506=1,IF(AND($R1506=1,OR(LG_Acct="",$G1506=LG_Acct),OR(LG_Party="",$K1506=LG_Party),OR(LG_Loc="ALL",$I1506=LG_Loc),OR(LG_CC="ALL",$J1506=LG_CC),$D1506&gt;=LG_From,$D1506&lt;=LG_To),$D1506+ROW()/1000000,""),"")</f>
        <v/>
      </c>
      <c r="Z1506" s="32">
        <f>IF($A1506=1,IF(Supplier_Invoices!$P60="","",Supplier_Invoices!$P60),"")</f>
        <v/>
      </c>
      <c r="AA1506" s="32">
        <f>IF($A1506=1,IF(Supplier_Invoices!$Q60="","",Supplier_Invoices!$Q60),"")</f>
        <v/>
      </c>
      <c r="AB1506" s="32">
        <f>IF($A1506=1,IF(Supplier_Invoices!$R60="","",Supplier_Invoices!$R60),"")</f>
        <v/>
      </c>
      <c r="AC1506" s="32">
        <f>IF($A1506=1,IF(Supplier_Invoices!$S60="","",Supplier_Invoices!$S60),"")</f>
        <v/>
      </c>
      <c r="AD1506" s="32">
        <f>IF($A1506=1,IF(Supplier_Invoices!$T60="","",Supplier_Invoices!$T60),"")</f>
        <v/>
      </c>
      <c r="AE1506" s="32">
        <f>IF($A1506=1,0,"")</f>
        <v/>
      </c>
      <c r="AF1506" s="32" t="inlineStr"/>
    </row>
    <row r="1507">
      <c r="A1507" s="32">
        <f>IF(AND(Supplier_Invoices!$AD60=1,Supplier_Invoices!$L60&lt;&gt;"",Supplier_Invoices!$V60&lt;&gt;"CN",N(Supplier_Invoices!$W60)&gt;0),1,0)</f>
        <v/>
      </c>
      <c r="B1507" s="32">
        <f>IF($A1507=1,$E1507&amp;"/4","")</f>
        <v/>
      </c>
      <c r="C1507" s="32">
        <f>IF($A1507=1,"J-"&amp;Supplier_Invoices!$A60,"")</f>
        <v/>
      </c>
      <c r="D1507" s="33">
        <f>IF($A1507=1,Supplier_Invoices!$E60,"")</f>
        <v/>
      </c>
      <c r="E1507" s="32">
        <f>IF($A1507=1,IF(Supplier_Invoices!$A60="","",Supplier_Invoices!$A60),"")</f>
        <v/>
      </c>
      <c r="F1507" s="32">
        <f>IF($A1507=1,"SINV","")</f>
        <v/>
      </c>
      <c r="G1507" s="32">
        <f>IF($A1507=1,ACC_SUPPLIERS,"")</f>
        <v/>
      </c>
      <c r="H1507" s="32">
        <f>IF($A1507=1,IF(COUNTIF(COA!$A:$A,$G1507)=0,"حساب غير معرف",INDEX(COA!$B:$B,MATCH($G1507,COA!$A:$A,0))),"")</f>
        <v/>
      </c>
      <c r="I1507" s="32">
        <f>IF($A1507=1,IF(Supplier_Invoices!$H60="","",Supplier_Invoices!$H60),"")</f>
        <v/>
      </c>
      <c r="J1507" s="32">
        <f>IF($A1507=1,"CC00","")</f>
        <v/>
      </c>
      <c r="K1507" s="32">
        <f>IF($A1507=1,IF(Supplier_Invoices!$C60="","",Supplier_Invoices!$C60),"")</f>
        <v/>
      </c>
      <c r="L1507" s="32">
        <f>IF($A1507=1,"سداد فوري - "&amp;Supplier_Invoices!$F60&amp;" "&amp;Supplier_Invoices!$B60&amp;" - "&amp;Supplier_Invoices!$C60,"")</f>
        <v/>
      </c>
      <c r="M1507" s="43">
        <f>IF($A1507=1,Supplier_Invoices!$W60,"")</f>
        <v/>
      </c>
      <c r="N1507" s="43">
        <f>IF($A1507=1,0,"")</f>
        <v/>
      </c>
      <c r="O1507" s="32">
        <f>IF($A1507=1,Supplier_Invoices!$O60,"")</f>
        <v/>
      </c>
      <c r="P1507" s="32">
        <f>IF($A1507=1,IF(Supplier_Invoices!$AE60="","",Supplier_Invoices!$AE60),"")</f>
        <v/>
      </c>
      <c r="Q1507" s="32">
        <f>IF($A1507=1,Supplier_Invoices!$AG60,"")</f>
        <v/>
      </c>
      <c r="R1507" s="32">
        <f>IF($A1507=1,IF(AND($Q1507=1,COUNTIFS(COA!$A:$A,$G1507,COA!$R:$R,1)=1),1,0),"")</f>
        <v/>
      </c>
      <c r="S1507" s="43">
        <f>IF($A1507=1,IF($R1507=1,N($M1507),0),"")</f>
        <v/>
      </c>
      <c r="T1507" s="43">
        <f>IF($A1507=1,IF($R1507=1,N($N1507),0),"")</f>
        <v/>
      </c>
      <c r="U1507" s="32">
        <f>IF($A1507=1,YEAR($D1507)*100+MONTH($D1507),"")</f>
        <v/>
      </c>
      <c r="V1507" s="32">
        <f>IF($A1507=1,IF(COUNTIF(COA!$A:$A,$G1507)=0,0,INDEX(COA!$H:$H,MATCH($G1507,COA!$A:$A,0))),"")</f>
        <v/>
      </c>
      <c r="W1507" s="32">
        <f>IF($A1507=1,"","")</f>
        <v/>
      </c>
      <c r="X1507" s="32">
        <f>IF($A1507=1,IF($R1507=1,"",IF($O1507=ST_POST,IF($P1507&lt;&gt;"",$P1507,"حساب غير صالح أو غير نشط"),IF($O1507=ST_REV,"معكوس: لا أثر على الدفاتر",IF($O1507=ST_CANC,"ملغى",IF($O1507=ST_APPR,"معتمد ولم يُرحَّل","مسودة"))))),"")</f>
        <v/>
      </c>
      <c r="Y1507" s="32">
        <f>IF($A1507=1,IF(AND($R1507=1,OR(LG_Acct="",$G1507=LG_Acct),OR(LG_Party="",$K1507=LG_Party),OR(LG_Loc="ALL",$I1507=LG_Loc),OR(LG_CC="ALL",$J1507=LG_CC),$D1507&gt;=LG_From,$D1507&lt;=LG_To),$D1507+ROW()/1000000,""),"")</f>
        <v/>
      </c>
      <c r="Z1507" s="32">
        <f>IF($A1507=1,IF(Supplier_Invoices!$P60="","",Supplier_Invoices!$P60),"")</f>
        <v/>
      </c>
      <c r="AA1507" s="32">
        <f>IF($A1507=1,IF(Supplier_Invoices!$Q60="","",Supplier_Invoices!$Q60),"")</f>
        <v/>
      </c>
      <c r="AB1507" s="32">
        <f>IF($A1507=1,IF(Supplier_Invoices!$R60="","",Supplier_Invoices!$R60),"")</f>
        <v/>
      </c>
      <c r="AC1507" s="32">
        <f>IF($A1507=1,IF(Supplier_Invoices!$S60="","",Supplier_Invoices!$S60),"")</f>
        <v/>
      </c>
      <c r="AD1507" s="32">
        <f>IF($A1507=1,IF(Supplier_Invoices!$T60="","",Supplier_Invoices!$T60),"")</f>
        <v/>
      </c>
      <c r="AE1507" s="32">
        <f>IF($A1507=1,0,"")</f>
        <v/>
      </c>
      <c r="AF1507" s="32" t="inlineStr"/>
    </row>
    <row r="1508">
      <c r="A1508" s="32">
        <f>IF(AND(Supplier_Invoices!$AD60=1,Supplier_Invoices!$L60&lt;&gt;"",Supplier_Invoices!$V60&lt;&gt;"CN",N(Supplier_Invoices!$W60)&gt;0),1,0)</f>
        <v/>
      </c>
      <c r="B1508" s="32">
        <f>IF($A1508=1,$E1508&amp;"/5","")</f>
        <v/>
      </c>
      <c r="C1508" s="32">
        <f>IF($A1508=1,"J-"&amp;Supplier_Invoices!$A60,"")</f>
        <v/>
      </c>
      <c r="D1508" s="33">
        <f>IF($A1508=1,Supplier_Invoices!$E60,"")</f>
        <v/>
      </c>
      <c r="E1508" s="32">
        <f>IF($A1508=1,IF(Supplier_Invoices!$A60="","",Supplier_Invoices!$A60),"")</f>
        <v/>
      </c>
      <c r="F1508" s="32">
        <f>IF($A1508=1,"SINV","")</f>
        <v/>
      </c>
      <c r="G1508" s="32">
        <f>IF($A1508=1,IF(Supplier_Invoices!$AA60="","",Supplier_Invoices!$AA60),"")</f>
        <v/>
      </c>
      <c r="H1508" s="32">
        <f>IF($A1508=1,IF(COUNTIF(COA!$A:$A,$G1508)=0,"حساب غير معرف",INDEX(COA!$B:$B,MATCH($G1508,COA!$A:$A,0))),"")</f>
        <v/>
      </c>
      <c r="I1508" s="32">
        <f>IF($A1508=1,IF(Supplier_Invoices!$H60="","",Supplier_Invoices!$H60),"")</f>
        <v/>
      </c>
      <c r="J1508" s="32">
        <f>IF($A1508=1,"CC00","")</f>
        <v/>
      </c>
      <c r="K1508" s="32">
        <f>IF($A1508=1,"-","")</f>
        <v/>
      </c>
      <c r="L1508" s="32">
        <f>IF($A1508=1,"سداد فوري - "&amp;Supplier_Invoices!$F60&amp;" "&amp;Supplier_Invoices!$B60&amp;" - "&amp;Supplier_Invoices!$C60,"")</f>
        <v/>
      </c>
      <c r="M1508" s="43">
        <f>IF($A1508=1,0,"")</f>
        <v/>
      </c>
      <c r="N1508" s="43">
        <f>IF($A1508=1,Supplier_Invoices!$W60,"")</f>
        <v/>
      </c>
      <c r="O1508" s="32">
        <f>IF($A1508=1,Supplier_Invoices!$O60,"")</f>
        <v/>
      </c>
      <c r="P1508" s="32">
        <f>IF($A1508=1,IF(Supplier_Invoices!$AE60="","",Supplier_Invoices!$AE60),"")</f>
        <v/>
      </c>
      <c r="Q1508" s="32">
        <f>IF($A1508=1,Supplier_Invoices!$AG60,"")</f>
        <v/>
      </c>
      <c r="R1508" s="32">
        <f>IF($A1508=1,IF(AND($Q1508=1,COUNTIFS(COA!$A:$A,$G1508,COA!$R:$R,1)=1),1,0),"")</f>
        <v/>
      </c>
      <c r="S1508" s="43">
        <f>IF($A1508=1,IF($R1508=1,N($M1508),0),"")</f>
        <v/>
      </c>
      <c r="T1508" s="43">
        <f>IF($A1508=1,IF($R1508=1,N($N1508),0),"")</f>
        <v/>
      </c>
      <c r="U1508" s="32">
        <f>IF($A1508=1,YEAR($D1508)*100+MONTH($D1508),"")</f>
        <v/>
      </c>
      <c r="V1508" s="32">
        <f>IF($A1508=1,IF(COUNTIF(COA!$A:$A,$G1508)=0,0,INDEX(COA!$H:$H,MATCH($G1508,COA!$A:$A,0))),"")</f>
        <v/>
      </c>
      <c r="W1508" s="32">
        <f>IF($A1508=1,IF(Supplier_Invoices!$AB60="","",Supplier_Invoices!$AB60),"")</f>
        <v/>
      </c>
      <c r="X1508" s="32">
        <f>IF($A1508=1,IF($R1508=1,"",IF($O1508=ST_POST,IF($P1508&lt;&gt;"",$P1508,"حساب غير صالح أو غير نشط"),IF($O1508=ST_REV,"معكوس: لا أثر على الدفاتر",IF($O1508=ST_CANC,"ملغى",IF($O1508=ST_APPR,"معتمد ولم يُرحَّل","مسودة"))))),"")</f>
        <v/>
      </c>
      <c r="Y1508" s="32">
        <f>IF($A1508=1,IF(AND($R1508=1,OR(LG_Acct="",$G1508=LG_Acct),OR(LG_Party="",$K1508=LG_Party),OR(LG_Loc="ALL",$I1508=LG_Loc),OR(LG_CC="ALL",$J1508=LG_CC),$D1508&gt;=LG_From,$D1508&lt;=LG_To),$D1508+ROW()/1000000,""),"")</f>
        <v/>
      </c>
      <c r="Z1508" s="32">
        <f>IF($A1508=1,IF(Supplier_Invoices!$P60="","",Supplier_Invoices!$P60),"")</f>
        <v/>
      </c>
      <c r="AA1508" s="32">
        <f>IF($A1508=1,IF(Supplier_Invoices!$Q60="","",Supplier_Invoices!$Q60),"")</f>
        <v/>
      </c>
      <c r="AB1508" s="32">
        <f>IF($A1508=1,IF(Supplier_Invoices!$R60="","",Supplier_Invoices!$R60),"")</f>
        <v/>
      </c>
      <c r="AC1508" s="32">
        <f>IF($A1508=1,IF(Supplier_Invoices!$S60="","",Supplier_Invoices!$S60),"")</f>
        <v/>
      </c>
      <c r="AD1508" s="32">
        <f>IF($A1508=1,IF(Supplier_Invoices!$T60="","",Supplier_Invoices!$T60),"")</f>
        <v/>
      </c>
      <c r="AE1508" s="32">
        <f>IF($A1508=1,0,"")</f>
        <v/>
      </c>
      <c r="AF1508" s="32" t="inlineStr"/>
    </row>
    <row r="1509">
      <c r="A1509" s="32">
        <f>IF(AND(Supplier_Invoices!$AD61=1,N(Supplier_Invoices!$J61)&gt;0),1,0)</f>
        <v/>
      </c>
      <c r="B1509" s="32">
        <f>IF($A1509=1,$E1509&amp;"/1","")</f>
        <v/>
      </c>
      <c r="C1509" s="32">
        <f>IF($A1509=1,"J-"&amp;Supplier_Invoices!$A61,"")</f>
        <v/>
      </c>
      <c r="D1509" s="33">
        <f>IF($A1509=1,Supplier_Invoices!$E61,"")</f>
        <v/>
      </c>
      <c r="E1509" s="32">
        <f>IF($A1509=1,IF(Supplier_Invoices!$A61="","",Supplier_Invoices!$A61),"")</f>
        <v/>
      </c>
      <c r="F1509" s="32">
        <f>IF($A1509=1,"SINV","")</f>
        <v/>
      </c>
      <c r="G1509" s="32">
        <f>IF($A1509=1,IF(Supplier_Invoices!$G61="","",Supplier_Invoices!$G61),"")</f>
        <v/>
      </c>
      <c r="H1509" s="32">
        <f>IF($A1509=1,IF(COUNTIF(COA!$A:$A,$G1509)=0,"حساب غير معرف",INDEX(COA!$B:$B,MATCH($G1509,COA!$A:$A,0))),"")</f>
        <v/>
      </c>
      <c r="I1509" s="32">
        <f>IF($A1509=1,IF(Supplier_Invoices!$H61="","",Supplier_Invoices!$H61),"")</f>
        <v/>
      </c>
      <c r="J1509" s="32">
        <f>IF($A1509=1,IF(Supplier_Invoices!$I61="","",Supplier_Invoices!$I61),"")</f>
        <v/>
      </c>
      <c r="K1509" s="32">
        <f>IF($A1509=1,"-","")</f>
        <v/>
      </c>
      <c r="L1509" s="32">
        <f>IF($A1509=1,Supplier_Invoices!$F61&amp;" "&amp;Supplier_Invoices!$B61&amp;" - "&amp;Supplier_Invoices!$C61,"")</f>
        <v/>
      </c>
      <c r="M1509" s="43">
        <f>IF($A1509=1,IF(Supplier_Invoices!$V61="CN",0,Supplier_Invoices!$J61),"")</f>
        <v/>
      </c>
      <c r="N1509" s="43">
        <f>IF($A1509=1,IF(Supplier_Invoices!$V61="CN",Supplier_Invoices!$J61,0),"")</f>
        <v/>
      </c>
      <c r="O1509" s="32">
        <f>IF($A1509=1,Supplier_Invoices!$O61,"")</f>
        <v/>
      </c>
      <c r="P1509" s="32">
        <f>IF($A1509=1,IF(Supplier_Invoices!$AE61="","",Supplier_Invoices!$AE61),"")</f>
        <v/>
      </c>
      <c r="Q1509" s="32">
        <f>IF($A1509=1,Supplier_Invoices!$AG61,"")</f>
        <v/>
      </c>
      <c r="R1509" s="32">
        <f>IF($A1509=1,IF(AND($Q1509=1,COUNTIFS(COA!$A:$A,$G1509,COA!$R:$R,1)=1),1,0),"")</f>
        <v/>
      </c>
      <c r="S1509" s="43">
        <f>IF($A1509=1,IF($R1509=1,N($M1509),0),"")</f>
        <v/>
      </c>
      <c r="T1509" s="43">
        <f>IF($A1509=1,IF($R1509=1,N($N1509),0),"")</f>
        <v/>
      </c>
      <c r="U1509" s="32">
        <f>IF($A1509=1,YEAR($D1509)*100+MONTH($D1509),"")</f>
        <v/>
      </c>
      <c r="V1509" s="32">
        <f>IF($A1509=1,IF(COUNTIF(COA!$A:$A,$G1509)=0,0,INDEX(COA!$H:$H,MATCH($G1509,COA!$A:$A,0))),"")</f>
        <v/>
      </c>
      <c r="W1509" s="32">
        <f>IF($A1509=1,"","")</f>
        <v/>
      </c>
      <c r="X1509" s="32">
        <f>IF($A1509=1,IF($R1509=1,"",IF($O1509=ST_POST,IF($P1509&lt;&gt;"",$P1509,"حساب غير صالح أو غير نشط"),IF($O1509=ST_REV,"معكوس: لا أثر على الدفاتر",IF($O1509=ST_CANC,"ملغى",IF($O1509=ST_APPR,"معتمد ولم يُرحَّل","مسودة"))))),"")</f>
        <v/>
      </c>
      <c r="Y1509" s="32">
        <f>IF($A1509=1,IF(AND($R1509=1,OR(LG_Acct="",$G1509=LG_Acct),OR(LG_Party="",$K1509=LG_Party),OR(LG_Loc="ALL",$I1509=LG_Loc),OR(LG_CC="ALL",$J1509=LG_CC),$D1509&gt;=LG_From,$D1509&lt;=LG_To),$D1509+ROW()/1000000,""),"")</f>
        <v/>
      </c>
      <c r="Z1509" s="32">
        <f>IF($A1509=1,IF(Supplier_Invoices!$P61="","",Supplier_Invoices!$P61),"")</f>
        <v/>
      </c>
      <c r="AA1509" s="32">
        <f>IF($A1509=1,IF(Supplier_Invoices!$Q61="","",Supplier_Invoices!$Q61),"")</f>
        <v/>
      </c>
      <c r="AB1509" s="32">
        <f>IF($A1509=1,IF(Supplier_Invoices!$R61="","",Supplier_Invoices!$R61),"")</f>
        <v/>
      </c>
      <c r="AC1509" s="32">
        <f>IF($A1509=1,IF(Supplier_Invoices!$S61="","",Supplier_Invoices!$S61),"")</f>
        <v/>
      </c>
      <c r="AD1509" s="32">
        <f>IF($A1509=1,IF(Supplier_Invoices!$T61="","",Supplier_Invoices!$T61),"")</f>
        <v/>
      </c>
      <c r="AE1509" s="32">
        <f>IF($A1509=1,0,"")</f>
        <v/>
      </c>
      <c r="AF1509" s="32" t="inlineStr"/>
    </row>
    <row r="1510">
      <c r="A1510" s="32">
        <f>IF(AND(Supplier_Invoices!$AD61=1,N(Supplier_Invoices!$K61)&gt;0),1,0)</f>
        <v/>
      </c>
      <c r="B1510" s="32">
        <f>IF($A1510=1,$E1510&amp;"/2","")</f>
        <v/>
      </c>
      <c r="C1510" s="32">
        <f>IF($A1510=1,"J-"&amp;Supplier_Invoices!$A61,"")</f>
        <v/>
      </c>
      <c r="D1510" s="33">
        <f>IF($A1510=1,Supplier_Invoices!$E61,"")</f>
        <v/>
      </c>
      <c r="E1510" s="32">
        <f>IF($A1510=1,IF(Supplier_Invoices!$A61="","",Supplier_Invoices!$A61),"")</f>
        <v/>
      </c>
      <c r="F1510" s="32">
        <f>IF($A1510=1,"SINV","")</f>
        <v/>
      </c>
      <c r="G1510" s="32">
        <f>IF($A1510=1,ACC_VAT_IN,"")</f>
        <v/>
      </c>
      <c r="H1510" s="32">
        <f>IF($A1510=1,IF(COUNTIF(COA!$A:$A,$G1510)=0,"حساب غير معرف",INDEX(COA!$B:$B,MATCH($G1510,COA!$A:$A,0))),"")</f>
        <v/>
      </c>
      <c r="I1510" s="32">
        <f>IF($A1510=1,IF(Supplier_Invoices!$H61="","",Supplier_Invoices!$H61),"")</f>
        <v/>
      </c>
      <c r="J1510" s="32">
        <f>IF($A1510=1,IF(Supplier_Invoices!$I61="","",Supplier_Invoices!$I61),"")</f>
        <v/>
      </c>
      <c r="K1510" s="32">
        <f>IF($A1510=1,"-","")</f>
        <v/>
      </c>
      <c r="L1510" s="32">
        <f>IF($A1510=1,"ضريبة قيمة مضافة - مدخلات","")</f>
        <v/>
      </c>
      <c r="M1510" s="43">
        <f>IF($A1510=1,IF(Supplier_Invoices!$V61="CN",0,Supplier_Invoices!$K61),"")</f>
        <v/>
      </c>
      <c r="N1510" s="43">
        <f>IF($A1510=1,IF(Supplier_Invoices!$V61="CN",Supplier_Invoices!$K61,0),"")</f>
        <v/>
      </c>
      <c r="O1510" s="32">
        <f>IF($A1510=1,Supplier_Invoices!$O61,"")</f>
        <v/>
      </c>
      <c r="P1510" s="32">
        <f>IF($A1510=1,IF(Supplier_Invoices!$AE61="","",Supplier_Invoices!$AE61),"")</f>
        <v/>
      </c>
      <c r="Q1510" s="32">
        <f>IF($A1510=1,Supplier_Invoices!$AG61,"")</f>
        <v/>
      </c>
      <c r="R1510" s="32">
        <f>IF($A1510=1,IF(AND($Q1510=1,COUNTIFS(COA!$A:$A,$G1510,COA!$R:$R,1)=1),1,0),"")</f>
        <v/>
      </c>
      <c r="S1510" s="43">
        <f>IF($A1510=1,IF($R1510=1,N($M1510),0),"")</f>
        <v/>
      </c>
      <c r="T1510" s="43">
        <f>IF($A1510=1,IF($R1510=1,N($N1510),0),"")</f>
        <v/>
      </c>
      <c r="U1510" s="32">
        <f>IF($A1510=1,YEAR($D1510)*100+MONTH($D1510),"")</f>
        <v/>
      </c>
      <c r="V1510" s="32">
        <f>IF($A1510=1,IF(COUNTIF(COA!$A:$A,$G1510)=0,0,INDEX(COA!$H:$H,MATCH($G1510,COA!$A:$A,0))),"")</f>
        <v/>
      </c>
      <c r="W1510" s="32">
        <f>IF($A1510=1,"","")</f>
        <v/>
      </c>
      <c r="X1510" s="32">
        <f>IF($A1510=1,IF($R1510=1,"",IF($O1510=ST_POST,IF($P1510&lt;&gt;"",$P1510,"حساب غير صالح أو غير نشط"),IF($O1510=ST_REV,"معكوس: لا أثر على الدفاتر",IF($O1510=ST_CANC,"ملغى",IF($O1510=ST_APPR,"معتمد ولم يُرحَّل","مسودة"))))),"")</f>
        <v/>
      </c>
      <c r="Y1510" s="32">
        <f>IF($A1510=1,IF(AND($R1510=1,OR(LG_Acct="",$G1510=LG_Acct),OR(LG_Party="",$K1510=LG_Party),OR(LG_Loc="ALL",$I1510=LG_Loc),OR(LG_CC="ALL",$J1510=LG_CC),$D1510&gt;=LG_From,$D1510&lt;=LG_To),$D1510+ROW()/1000000,""),"")</f>
        <v/>
      </c>
      <c r="Z1510" s="32">
        <f>IF($A1510=1,IF(Supplier_Invoices!$P61="","",Supplier_Invoices!$P61),"")</f>
        <v/>
      </c>
      <c r="AA1510" s="32">
        <f>IF($A1510=1,IF(Supplier_Invoices!$Q61="","",Supplier_Invoices!$Q61),"")</f>
        <v/>
      </c>
      <c r="AB1510" s="32">
        <f>IF($A1510=1,IF(Supplier_Invoices!$R61="","",Supplier_Invoices!$R61),"")</f>
        <v/>
      </c>
      <c r="AC1510" s="32">
        <f>IF($A1510=1,IF(Supplier_Invoices!$S61="","",Supplier_Invoices!$S61),"")</f>
        <v/>
      </c>
      <c r="AD1510" s="32">
        <f>IF($A1510=1,IF(Supplier_Invoices!$T61="","",Supplier_Invoices!$T61),"")</f>
        <v/>
      </c>
      <c r="AE1510" s="32">
        <f>IF($A1510=1,0,"")</f>
        <v/>
      </c>
      <c r="AF1510" s="32" t="inlineStr"/>
    </row>
    <row r="1511">
      <c r="A1511" s="32">
        <f>IF(AND(Supplier_Invoices!$AD61=1,N(Supplier_Invoices!$W61)&gt;0),1,0)</f>
        <v/>
      </c>
      <c r="B1511" s="32">
        <f>IF($A1511=1,$E1511&amp;"/3","")</f>
        <v/>
      </c>
      <c r="C1511" s="32">
        <f>IF($A1511=1,"J-"&amp;Supplier_Invoices!$A61,"")</f>
        <v/>
      </c>
      <c r="D1511" s="33">
        <f>IF($A1511=1,Supplier_Invoices!$E61,"")</f>
        <v/>
      </c>
      <c r="E1511" s="32">
        <f>IF($A1511=1,IF(Supplier_Invoices!$A61="","",Supplier_Invoices!$A61),"")</f>
        <v/>
      </c>
      <c r="F1511" s="32">
        <f>IF($A1511=1,"SINV","")</f>
        <v/>
      </c>
      <c r="G1511" s="32">
        <f>IF($A1511=1,ACC_SUPPLIERS,"")</f>
        <v/>
      </c>
      <c r="H1511" s="32">
        <f>IF($A1511=1,IF(COUNTIF(COA!$A:$A,$G1511)=0,"حساب غير معرف",INDEX(COA!$B:$B,MATCH($G1511,COA!$A:$A,0))),"")</f>
        <v/>
      </c>
      <c r="I1511" s="32">
        <f>IF($A1511=1,IF(Supplier_Invoices!$H61="","",Supplier_Invoices!$H61),"")</f>
        <v/>
      </c>
      <c r="J1511" s="32">
        <f>IF($A1511=1,"CC00","")</f>
        <v/>
      </c>
      <c r="K1511" s="32">
        <f>IF($A1511=1,IF(Supplier_Invoices!$C61="","",Supplier_Invoices!$C61),"")</f>
        <v/>
      </c>
      <c r="L1511" s="32">
        <f>IF($A1511=1,Supplier_Invoices!$F61&amp;" "&amp;Supplier_Invoices!$B61&amp;" - "&amp;Supplier_Invoices!$C61,"")</f>
        <v/>
      </c>
      <c r="M1511" s="43">
        <f>IF($A1511=1,IF(Supplier_Invoices!$V61="CN",Supplier_Invoices!$W61,0),"")</f>
        <v/>
      </c>
      <c r="N1511" s="43">
        <f>IF($A1511=1,IF(Supplier_Invoices!$V61="CN",0,Supplier_Invoices!$W61),"")</f>
        <v/>
      </c>
      <c r="O1511" s="32">
        <f>IF($A1511=1,Supplier_Invoices!$O61,"")</f>
        <v/>
      </c>
      <c r="P1511" s="32">
        <f>IF($A1511=1,IF(Supplier_Invoices!$AE61="","",Supplier_Invoices!$AE61),"")</f>
        <v/>
      </c>
      <c r="Q1511" s="32">
        <f>IF($A1511=1,Supplier_Invoices!$AG61,"")</f>
        <v/>
      </c>
      <c r="R1511" s="32">
        <f>IF($A1511=1,IF(AND($Q1511=1,COUNTIFS(COA!$A:$A,$G1511,COA!$R:$R,1)=1),1,0),"")</f>
        <v/>
      </c>
      <c r="S1511" s="43">
        <f>IF($A1511=1,IF($R1511=1,N($M1511),0),"")</f>
        <v/>
      </c>
      <c r="T1511" s="43">
        <f>IF($A1511=1,IF($R1511=1,N($N1511),0),"")</f>
        <v/>
      </c>
      <c r="U1511" s="32">
        <f>IF($A1511=1,YEAR($D1511)*100+MONTH($D1511),"")</f>
        <v/>
      </c>
      <c r="V1511" s="32">
        <f>IF($A1511=1,IF(COUNTIF(COA!$A:$A,$G1511)=0,0,INDEX(COA!$H:$H,MATCH($G1511,COA!$A:$A,0))),"")</f>
        <v/>
      </c>
      <c r="W1511" s="32">
        <f>IF($A1511=1,"","")</f>
        <v/>
      </c>
      <c r="X1511" s="32">
        <f>IF($A1511=1,IF($R1511=1,"",IF($O1511=ST_POST,IF($P1511&lt;&gt;"",$P1511,"حساب غير صالح أو غير نشط"),IF($O1511=ST_REV,"معكوس: لا أثر على الدفاتر",IF($O1511=ST_CANC,"ملغى",IF($O1511=ST_APPR,"معتمد ولم يُرحَّل","مسودة"))))),"")</f>
        <v/>
      </c>
      <c r="Y1511" s="32">
        <f>IF($A1511=1,IF(AND($R1511=1,OR(LG_Acct="",$G1511=LG_Acct),OR(LG_Party="",$K1511=LG_Party),OR(LG_Loc="ALL",$I1511=LG_Loc),OR(LG_CC="ALL",$J1511=LG_CC),$D1511&gt;=LG_From,$D1511&lt;=LG_To),$D1511+ROW()/1000000,""),"")</f>
        <v/>
      </c>
      <c r="Z1511" s="32">
        <f>IF($A1511=1,IF(Supplier_Invoices!$P61="","",Supplier_Invoices!$P61),"")</f>
        <v/>
      </c>
      <c r="AA1511" s="32">
        <f>IF($A1511=1,IF(Supplier_Invoices!$Q61="","",Supplier_Invoices!$Q61),"")</f>
        <v/>
      </c>
      <c r="AB1511" s="32">
        <f>IF($A1511=1,IF(Supplier_Invoices!$R61="","",Supplier_Invoices!$R61),"")</f>
        <v/>
      </c>
      <c r="AC1511" s="32">
        <f>IF($A1511=1,IF(Supplier_Invoices!$S61="","",Supplier_Invoices!$S61),"")</f>
        <v/>
      </c>
      <c r="AD1511" s="32">
        <f>IF($A1511=1,IF(Supplier_Invoices!$T61="","",Supplier_Invoices!$T61),"")</f>
        <v/>
      </c>
      <c r="AE1511" s="32">
        <f>IF($A1511=1,0,"")</f>
        <v/>
      </c>
      <c r="AF1511" s="32" t="inlineStr"/>
    </row>
    <row r="1512">
      <c r="A1512" s="32">
        <f>IF(AND(Supplier_Invoices!$AD61=1,Supplier_Invoices!$L61&lt;&gt;"",Supplier_Invoices!$V61&lt;&gt;"CN",N(Supplier_Invoices!$W61)&gt;0),1,0)</f>
        <v/>
      </c>
      <c r="B1512" s="32">
        <f>IF($A1512=1,$E1512&amp;"/4","")</f>
        <v/>
      </c>
      <c r="C1512" s="32">
        <f>IF($A1512=1,"J-"&amp;Supplier_Invoices!$A61,"")</f>
        <v/>
      </c>
      <c r="D1512" s="33">
        <f>IF($A1512=1,Supplier_Invoices!$E61,"")</f>
        <v/>
      </c>
      <c r="E1512" s="32">
        <f>IF($A1512=1,IF(Supplier_Invoices!$A61="","",Supplier_Invoices!$A61),"")</f>
        <v/>
      </c>
      <c r="F1512" s="32">
        <f>IF($A1512=1,"SINV","")</f>
        <v/>
      </c>
      <c r="G1512" s="32">
        <f>IF($A1512=1,ACC_SUPPLIERS,"")</f>
        <v/>
      </c>
      <c r="H1512" s="32">
        <f>IF($A1512=1,IF(COUNTIF(COA!$A:$A,$G1512)=0,"حساب غير معرف",INDEX(COA!$B:$B,MATCH($G1512,COA!$A:$A,0))),"")</f>
        <v/>
      </c>
      <c r="I1512" s="32">
        <f>IF($A1512=1,IF(Supplier_Invoices!$H61="","",Supplier_Invoices!$H61),"")</f>
        <v/>
      </c>
      <c r="J1512" s="32">
        <f>IF($A1512=1,"CC00","")</f>
        <v/>
      </c>
      <c r="K1512" s="32">
        <f>IF($A1512=1,IF(Supplier_Invoices!$C61="","",Supplier_Invoices!$C61),"")</f>
        <v/>
      </c>
      <c r="L1512" s="32">
        <f>IF($A1512=1,"سداد فوري - "&amp;Supplier_Invoices!$F61&amp;" "&amp;Supplier_Invoices!$B61&amp;" - "&amp;Supplier_Invoices!$C61,"")</f>
        <v/>
      </c>
      <c r="M1512" s="43">
        <f>IF($A1512=1,Supplier_Invoices!$W61,"")</f>
        <v/>
      </c>
      <c r="N1512" s="43">
        <f>IF($A1512=1,0,"")</f>
        <v/>
      </c>
      <c r="O1512" s="32">
        <f>IF($A1512=1,Supplier_Invoices!$O61,"")</f>
        <v/>
      </c>
      <c r="P1512" s="32">
        <f>IF($A1512=1,IF(Supplier_Invoices!$AE61="","",Supplier_Invoices!$AE61),"")</f>
        <v/>
      </c>
      <c r="Q1512" s="32">
        <f>IF($A1512=1,Supplier_Invoices!$AG61,"")</f>
        <v/>
      </c>
      <c r="R1512" s="32">
        <f>IF($A1512=1,IF(AND($Q1512=1,COUNTIFS(COA!$A:$A,$G1512,COA!$R:$R,1)=1),1,0),"")</f>
        <v/>
      </c>
      <c r="S1512" s="43">
        <f>IF($A1512=1,IF($R1512=1,N($M1512),0),"")</f>
        <v/>
      </c>
      <c r="T1512" s="43">
        <f>IF($A1512=1,IF($R1512=1,N($N1512),0),"")</f>
        <v/>
      </c>
      <c r="U1512" s="32">
        <f>IF($A1512=1,YEAR($D1512)*100+MONTH($D1512),"")</f>
        <v/>
      </c>
      <c r="V1512" s="32">
        <f>IF($A1512=1,IF(COUNTIF(COA!$A:$A,$G1512)=0,0,INDEX(COA!$H:$H,MATCH($G1512,COA!$A:$A,0))),"")</f>
        <v/>
      </c>
      <c r="W1512" s="32">
        <f>IF($A1512=1,"","")</f>
        <v/>
      </c>
      <c r="X1512" s="32">
        <f>IF($A1512=1,IF($R1512=1,"",IF($O1512=ST_POST,IF($P1512&lt;&gt;"",$P1512,"حساب غير صالح أو غير نشط"),IF($O1512=ST_REV,"معكوس: لا أثر على الدفاتر",IF($O1512=ST_CANC,"ملغى",IF($O1512=ST_APPR,"معتمد ولم يُرحَّل","مسودة"))))),"")</f>
        <v/>
      </c>
      <c r="Y1512" s="32">
        <f>IF($A1512=1,IF(AND($R1512=1,OR(LG_Acct="",$G1512=LG_Acct),OR(LG_Party="",$K1512=LG_Party),OR(LG_Loc="ALL",$I1512=LG_Loc),OR(LG_CC="ALL",$J1512=LG_CC),$D1512&gt;=LG_From,$D1512&lt;=LG_To),$D1512+ROW()/1000000,""),"")</f>
        <v/>
      </c>
      <c r="Z1512" s="32">
        <f>IF($A1512=1,IF(Supplier_Invoices!$P61="","",Supplier_Invoices!$P61),"")</f>
        <v/>
      </c>
      <c r="AA1512" s="32">
        <f>IF($A1512=1,IF(Supplier_Invoices!$Q61="","",Supplier_Invoices!$Q61),"")</f>
        <v/>
      </c>
      <c r="AB1512" s="32">
        <f>IF($A1512=1,IF(Supplier_Invoices!$R61="","",Supplier_Invoices!$R61),"")</f>
        <v/>
      </c>
      <c r="AC1512" s="32">
        <f>IF($A1512=1,IF(Supplier_Invoices!$S61="","",Supplier_Invoices!$S61),"")</f>
        <v/>
      </c>
      <c r="AD1512" s="32">
        <f>IF($A1512=1,IF(Supplier_Invoices!$T61="","",Supplier_Invoices!$T61),"")</f>
        <v/>
      </c>
      <c r="AE1512" s="32">
        <f>IF($A1512=1,0,"")</f>
        <v/>
      </c>
      <c r="AF1512" s="32" t="inlineStr"/>
    </row>
    <row r="1513">
      <c r="A1513" s="32">
        <f>IF(AND(Supplier_Invoices!$AD61=1,Supplier_Invoices!$L61&lt;&gt;"",Supplier_Invoices!$V61&lt;&gt;"CN",N(Supplier_Invoices!$W61)&gt;0),1,0)</f>
        <v/>
      </c>
      <c r="B1513" s="32">
        <f>IF($A1513=1,$E1513&amp;"/5","")</f>
        <v/>
      </c>
      <c r="C1513" s="32">
        <f>IF($A1513=1,"J-"&amp;Supplier_Invoices!$A61,"")</f>
        <v/>
      </c>
      <c r="D1513" s="33">
        <f>IF($A1513=1,Supplier_Invoices!$E61,"")</f>
        <v/>
      </c>
      <c r="E1513" s="32">
        <f>IF($A1513=1,IF(Supplier_Invoices!$A61="","",Supplier_Invoices!$A61),"")</f>
        <v/>
      </c>
      <c r="F1513" s="32">
        <f>IF($A1513=1,"SINV","")</f>
        <v/>
      </c>
      <c r="G1513" s="32">
        <f>IF($A1513=1,IF(Supplier_Invoices!$AA61="","",Supplier_Invoices!$AA61),"")</f>
        <v/>
      </c>
      <c r="H1513" s="32">
        <f>IF($A1513=1,IF(COUNTIF(COA!$A:$A,$G1513)=0,"حساب غير معرف",INDEX(COA!$B:$B,MATCH($G1513,COA!$A:$A,0))),"")</f>
        <v/>
      </c>
      <c r="I1513" s="32">
        <f>IF($A1513=1,IF(Supplier_Invoices!$H61="","",Supplier_Invoices!$H61),"")</f>
        <v/>
      </c>
      <c r="J1513" s="32">
        <f>IF($A1513=1,"CC00","")</f>
        <v/>
      </c>
      <c r="K1513" s="32">
        <f>IF($A1513=1,"-","")</f>
        <v/>
      </c>
      <c r="L1513" s="32">
        <f>IF($A1513=1,"سداد فوري - "&amp;Supplier_Invoices!$F61&amp;" "&amp;Supplier_Invoices!$B61&amp;" - "&amp;Supplier_Invoices!$C61,"")</f>
        <v/>
      </c>
      <c r="M1513" s="43">
        <f>IF($A1513=1,0,"")</f>
        <v/>
      </c>
      <c r="N1513" s="43">
        <f>IF($A1513=1,Supplier_Invoices!$W61,"")</f>
        <v/>
      </c>
      <c r="O1513" s="32">
        <f>IF($A1513=1,Supplier_Invoices!$O61,"")</f>
        <v/>
      </c>
      <c r="P1513" s="32">
        <f>IF($A1513=1,IF(Supplier_Invoices!$AE61="","",Supplier_Invoices!$AE61),"")</f>
        <v/>
      </c>
      <c r="Q1513" s="32">
        <f>IF($A1513=1,Supplier_Invoices!$AG61,"")</f>
        <v/>
      </c>
      <c r="R1513" s="32">
        <f>IF($A1513=1,IF(AND($Q1513=1,COUNTIFS(COA!$A:$A,$G1513,COA!$R:$R,1)=1),1,0),"")</f>
        <v/>
      </c>
      <c r="S1513" s="43">
        <f>IF($A1513=1,IF($R1513=1,N($M1513),0),"")</f>
        <v/>
      </c>
      <c r="T1513" s="43">
        <f>IF($A1513=1,IF($R1513=1,N($N1513),0),"")</f>
        <v/>
      </c>
      <c r="U1513" s="32">
        <f>IF($A1513=1,YEAR($D1513)*100+MONTH($D1513),"")</f>
        <v/>
      </c>
      <c r="V1513" s="32">
        <f>IF($A1513=1,IF(COUNTIF(COA!$A:$A,$G1513)=0,0,INDEX(COA!$H:$H,MATCH($G1513,COA!$A:$A,0))),"")</f>
        <v/>
      </c>
      <c r="W1513" s="32">
        <f>IF($A1513=1,IF(Supplier_Invoices!$AB61="","",Supplier_Invoices!$AB61),"")</f>
        <v/>
      </c>
      <c r="X1513" s="32">
        <f>IF($A1513=1,IF($R1513=1,"",IF($O1513=ST_POST,IF($P1513&lt;&gt;"",$P1513,"حساب غير صالح أو غير نشط"),IF($O1513=ST_REV,"معكوس: لا أثر على الدفاتر",IF($O1513=ST_CANC,"ملغى",IF($O1513=ST_APPR,"معتمد ولم يُرحَّل","مسودة"))))),"")</f>
        <v/>
      </c>
      <c r="Y1513" s="32">
        <f>IF($A1513=1,IF(AND($R1513=1,OR(LG_Acct="",$G1513=LG_Acct),OR(LG_Party="",$K1513=LG_Party),OR(LG_Loc="ALL",$I1513=LG_Loc),OR(LG_CC="ALL",$J1513=LG_CC),$D1513&gt;=LG_From,$D1513&lt;=LG_To),$D1513+ROW()/1000000,""),"")</f>
        <v/>
      </c>
      <c r="Z1513" s="32">
        <f>IF($A1513=1,IF(Supplier_Invoices!$P61="","",Supplier_Invoices!$P61),"")</f>
        <v/>
      </c>
      <c r="AA1513" s="32">
        <f>IF($A1513=1,IF(Supplier_Invoices!$Q61="","",Supplier_Invoices!$Q61),"")</f>
        <v/>
      </c>
      <c r="AB1513" s="32">
        <f>IF($A1513=1,IF(Supplier_Invoices!$R61="","",Supplier_Invoices!$R61),"")</f>
        <v/>
      </c>
      <c r="AC1513" s="32">
        <f>IF($A1513=1,IF(Supplier_Invoices!$S61="","",Supplier_Invoices!$S61),"")</f>
        <v/>
      </c>
      <c r="AD1513" s="32">
        <f>IF($A1513=1,IF(Supplier_Invoices!$T61="","",Supplier_Invoices!$T61),"")</f>
        <v/>
      </c>
      <c r="AE1513" s="32">
        <f>IF($A1513=1,0,"")</f>
        <v/>
      </c>
      <c r="AF1513" s="32" t="inlineStr"/>
    </row>
    <row r="1514">
      <c r="A1514" s="32">
        <f>IF(AND(Supplier_Invoices!$AD62=1,N(Supplier_Invoices!$J62)&gt;0),1,0)</f>
        <v/>
      </c>
      <c r="B1514" s="32">
        <f>IF($A1514=1,$E1514&amp;"/1","")</f>
        <v/>
      </c>
      <c r="C1514" s="32">
        <f>IF($A1514=1,"J-"&amp;Supplier_Invoices!$A62,"")</f>
        <v/>
      </c>
      <c r="D1514" s="33">
        <f>IF($A1514=1,Supplier_Invoices!$E62,"")</f>
        <v/>
      </c>
      <c r="E1514" s="32">
        <f>IF($A1514=1,IF(Supplier_Invoices!$A62="","",Supplier_Invoices!$A62),"")</f>
        <v/>
      </c>
      <c r="F1514" s="32">
        <f>IF($A1514=1,"SINV","")</f>
        <v/>
      </c>
      <c r="G1514" s="32">
        <f>IF($A1514=1,IF(Supplier_Invoices!$G62="","",Supplier_Invoices!$G62),"")</f>
        <v/>
      </c>
      <c r="H1514" s="32">
        <f>IF($A1514=1,IF(COUNTIF(COA!$A:$A,$G1514)=0,"حساب غير معرف",INDEX(COA!$B:$B,MATCH($G1514,COA!$A:$A,0))),"")</f>
        <v/>
      </c>
      <c r="I1514" s="32">
        <f>IF($A1514=1,IF(Supplier_Invoices!$H62="","",Supplier_Invoices!$H62),"")</f>
        <v/>
      </c>
      <c r="J1514" s="32">
        <f>IF($A1514=1,IF(Supplier_Invoices!$I62="","",Supplier_Invoices!$I62),"")</f>
        <v/>
      </c>
      <c r="K1514" s="32">
        <f>IF($A1514=1,"-","")</f>
        <v/>
      </c>
      <c r="L1514" s="32">
        <f>IF($A1514=1,Supplier_Invoices!$F62&amp;" "&amp;Supplier_Invoices!$B62&amp;" - "&amp;Supplier_Invoices!$C62,"")</f>
        <v/>
      </c>
      <c r="M1514" s="43">
        <f>IF($A1514=1,IF(Supplier_Invoices!$V62="CN",0,Supplier_Invoices!$J62),"")</f>
        <v/>
      </c>
      <c r="N1514" s="43">
        <f>IF($A1514=1,IF(Supplier_Invoices!$V62="CN",Supplier_Invoices!$J62,0),"")</f>
        <v/>
      </c>
      <c r="O1514" s="32">
        <f>IF($A1514=1,Supplier_Invoices!$O62,"")</f>
        <v/>
      </c>
      <c r="P1514" s="32">
        <f>IF($A1514=1,IF(Supplier_Invoices!$AE62="","",Supplier_Invoices!$AE62),"")</f>
        <v/>
      </c>
      <c r="Q1514" s="32">
        <f>IF($A1514=1,Supplier_Invoices!$AG62,"")</f>
        <v/>
      </c>
      <c r="R1514" s="32">
        <f>IF($A1514=1,IF(AND($Q1514=1,COUNTIFS(COA!$A:$A,$G1514,COA!$R:$R,1)=1),1,0),"")</f>
        <v/>
      </c>
      <c r="S1514" s="43">
        <f>IF($A1514=1,IF($R1514=1,N($M1514),0),"")</f>
        <v/>
      </c>
      <c r="T1514" s="43">
        <f>IF($A1514=1,IF($R1514=1,N($N1514),0),"")</f>
        <v/>
      </c>
      <c r="U1514" s="32">
        <f>IF($A1514=1,YEAR($D1514)*100+MONTH($D1514),"")</f>
        <v/>
      </c>
      <c r="V1514" s="32">
        <f>IF($A1514=1,IF(COUNTIF(COA!$A:$A,$G1514)=0,0,INDEX(COA!$H:$H,MATCH($G1514,COA!$A:$A,0))),"")</f>
        <v/>
      </c>
      <c r="W1514" s="32">
        <f>IF($A1514=1,"","")</f>
        <v/>
      </c>
      <c r="X1514" s="32">
        <f>IF($A1514=1,IF($R1514=1,"",IF($O1514=ST_POST,IF($P1514&lt;&gt;"",$P1514,"حساب غير صالح أو غير نشط"),IF($O1514=ST_REV,"معكوس: لا أثر على الدفاتر",IF($O1514=ST_CANC,"ملغى",IF($O1514=ST_APPR,"معتمد ولم يُرحَّل","مسودة"))))),"")</f>
        <v/>
      </c>
      <c r="Y1514" s="32">
        <f>IF($A1514=1,IF(AND($R1514=1,OR(LG_Acct="",$G1514=LG_Acct),OR(LG_Party="",$K1514=LG_Party),OR(LG_Loc="ALL",$I1514=LG_Loc),OR(LG_CC="ALL",$J1514=LG_CC),$D1514&gt;=LG_From,$D1514&lt;=LG_To),$D1514+ROW()/1000000,""),"")</f>
        <v/>
      </c>
      <c r="Z1514" s="32">
        <f>IF($A1514=1,IF(Supplier_Invoices!$P62="","",Supplier_Invoices!$P62),"")</f>
        <v/>
      </c>
      <c r="AA1514" s="32">
        <f>IF($A1514=1,IF(Supplier_Invoices!$Q62="","",Supplier_Invoices!$Q62),"")</f>
        <v/>
      </c>
      <c r="AB1514" s="32">
        <f>IF($A1514=1,IF(Supplier_Invoices!$R62="","",Supplier_Invoices!$R62),"")</f>
        <v/>
      </c>
      <c r="AC1514" s="32">
        <f>IF($A1514=1,IF(Supplier_Invoices!$S62="","",Supplier_Invoices!$S62),"")</f>
        <v/>
      </c>
      <c r="AD1514" s="32">
        <f>IF($A1514=1,IF(Supplier_Invoices!$T62="","",Supplier_Invoices!$T62),"")</f>
        <v/>
      </c>
      <c r="AE1514" s="32">
        <f>IF($A1514=1,0,"")</f>
        <v/>
      </c>
      <c r="AF1514" s="32" t="inlineStr"/>
    </row>
    <row r="1515">
      <c r="A1515" s="32">
        <f>IF(AND(Supplier_Invoices!$AD62=1,N(Supplier_Invoices!$K62)&gt;0),1,0)</f>
        <v/>
      </c>
      <c r="B1515" s="32">
        <f>IF($A1515=1,$E1515&amp;"/2","")</f>
        <v/>
      </c>
      <c r="C1515" s="32">
        <f>IF($A1515=1,"J-"&amp;Supplier_Invoices!$A62,"")</f>
        <v/>
      </c>
      <c r="D1515" s="33">
        <f>IF($A1515=1,Supplier_Invoices!$E62,"")</f>
        <v/>
      </c>
      <c r="E1515" s="32">
        <f>IF($A1515=1,IF(Supplier_Invoices!$A62="","",Supplier_Invoices!$A62),"")</f>
        <v/>
      </c>
      <c r="F1515" s="32">
        <f>IF($A1515=1,"SINV","")</f>
        <v/>
      </c>
      <c r="G1515" s="32">
        <f>IF($A1515=1,ACC_VAT_IN,"")</f>
        <v/>
      </c>
      <c r="H1515" s="32">
        <f>IF($A1515=1,IF(COUNTIF(COA!$A:$A,$G1515)=0,"حساب غير معرف",INDEX(COA!$B:$B,MATCH($G1515,COA!$A:$A,0))),"")</f>
        <v/>
      </c>
      <c r="I1515" s="32">
        <f>IF($A1515=1,IF(Supplier_Invoices!$H62="","",Supplier_Invoices!$H62),"")</f>
        <v/>
      </c>
      <c r="J1515" s="32">
        <f>IF($A1515=1,IF(Supplier_Invoices!$I62="","",Supplier_Invoices!$I62),"")</f>
        <v/>
      </c>
      <c r="K1515" s="32">
        <f>IF($A1515=1,"-","")</f>
        <v/>
      </c>
      <c r="L1515" s="32">
        <f>IF($A1515=1,"ضريبة قيمة مضافة - مدخلات","")</f>
        <v/>
      </c>
      <c r="M1515" s="43">
        <f>IF($A1515=1,IF(Supplier_Invoices!$V62="CN",0,Supplier_Invoices!$K62),"")</f>
        <v/>
      </c>
      <c r="N1515" s="43">
        <f>IF($A1515=1,IF(Supplier_Invoices!$V62="CN",Supplier_Invoices!$K62,0),"")</f>
        <v/>
      </c>
      <c r="O1515" s="32">
        <f>IF($A1515=1,Supplier_Invoices!$O62,"")</f>
        <v/>
      </c>
      <c r="P1515" s="32">
        <f>IF($A1515=1,IF(Supplier_Invoices!$AE62="","",Supplier_Invoices!$AE62),"")</f>
        <v/>
      </c>
      <c r="Q1515" s="32">
        <f>IF($A1515=1,Supplier_Invoices!$AG62,"")</f>
        <v/>
      </c>
      <c r="R1515" s="32">
        <f>IF($A1515=1,IF(AND($Q1515=1,COUNTIFS(COA!$A:$A,$G1515,COA!$R:$R,1)=1),1,0),"")</f>
        <v/>
      </c>
      <c r="S1515" s="43">
        <f>IF($A1515=1,IF($R1515=1,N($M1515),0),"")</f>
        <v/>
      </c>
      <c r="T1515" s="43">
        <f>IF($A1515=1,IF($R1515=1,N($N1515),0),"")</f>
        <v/>
      </c>
      <c r="U1515" s="32">
        <f>IF($A1515=1,YEAR($D1515)*100+MONTH($D1515),"")</f>
        <v/>
      </c>
      <c r="V1515" s="32">
        <f>IF($A1515=1,IF(COUNTIF(COA!$A:$A,$G1515)=0,0,INDEX(COA!$H:$H,MATCH($G1515,COA!$A:$A,0))),"")</f>
        <v/>
      </c>
      <c r="W1515" s="32">
        <f>IF($A1515=1,"","")</f>
        <v/>
      </c>
      <c r="X1515" s="32">
        <f>IF($A1515=1,IF($R1515=1,"",IF($O1515=ST_POST,IF($P1515&lt;&gt;"",$P1515,"حساب غير صالح أو غير نشط"),IF($O1515=ST_REV,"معكوس: لا أثر على الدفاتر",IF($O1515=ST_CANC,"ملغى",IF($O1515=ST_APPR,"معتمد ولم يُرحَّل","مسودة"))))),"")</f>
        <v/>
      </c>
      <c r="Y1515" s="32">
        <f>IF($A1515=1,IF(AND($R1515=1,OR(LG_Acct="",$G1515=LG_Acct),OR(LG_Party="",$K1515=LG_Party),OR(LG_Loc="ALL",$I1515=LG_Loc),OR(LG_CC="ALL",$J1515=LG_CC),$D1515&gt;=LG_From,$D1515&lt;=LG_To),$D1515+ROW()/1000000,""),"")</f>
        <v/>
      </c>
      <c r="Z1515" s="32">
        <f>IF($A1515=1,IF(Supplier_Invoices!$P62="","",Supplier_Invoices!$P62),"")</f>
        <v/>
      </c>
      <c r="AA1515" s="32">
        <f>IF($A1515=1,IF(Supplier_Invoices!$Q62="","",Supplier_Invoices!$Q62),"")</f>
        <v/>
      </c>
      <c r="AB1515" s="32">
        <f>IF($A1515=1,IF(Supplier_Invoices!$R62="","",Supplier_Invoices!$R62),"")</f>
        <v/>
      </c>
      <c r="AC1515" s="32">
        <f>IF($A1515=1,IF(Supplier_Invoices!$S62="","",Supplier_Invoices!$S62),"")</f>
        <v/>
      </c>
      <c r="AD1515" s="32">
        <f>IF($A1515=1,IF(Supplier_Invoices!$T62="","",Supplier_Invoices!$T62),"")</f>
        <v/>
      </c>
      <c r="AE1515" s="32">
        <f>IF($A1515=1,0,"")</f>
        <v/>
      </c>
      <c r="AF1515" s="32" t="inlineStr"/>
    </row>
    <row r="1516">
      <c r="A1516" s="32">
        <f>IF(AND(Supplier_Invoices!$AD62=1,N(Supplier_Invoices!$W62)&gt;0),1,0)</f>
        <v/>
      </c>
      <c r="B1516" s="32">
        <f>IF($A1516=1,$E1516&amp;"/3","")</f>
        <v/>
      </c>
      <c r="C1516" s="32">
        <f>IF($A1516=1,"J-"&amp;Supplier_Invoices!$A62,"")</f>
        <v/>
      </c>
      <c r="D1516" s="33">
        <f>IF($A1516=1,Supplier_Invoices!$E62,"")</f>
        <v/>
      </c>
      <c r="E1516" s="32">
        <f>IF($A1516=1,IF(Supplier_Invoices!$A62="","",Supplier_Invoices!$A62),"")</f>
        <v/>
      </c>
      <c r="F1516" s="32">
        <f>IF($A1516=1,"SINV","")</f>
        <v/>
      </c>
      <c r="G1516" s="32">
        <f>IF($A1516=1,ACC_SUPPLIERS,"")</f>
        <v/>
      </c>
      <c r="H1516" s="32">
        <f>IF($A1516=1,IF(COUNTIF(COA!$A:$A,$G1516)=0,"حساب غير معرف",INDEX(COA!$B:$B,MATCH($G1516,COA!$A:$A,0))),"")</f>
        <v/>
      </c>
      <c r="I1516" s="32">
        <f>IF($A1516=1,IF(Supplier_Invoices!$H62="","",Supplier_Invoices!$H62),"")</f>
        <v/>
      </c>
      <c r="J1516" s="32">
        <f>IF($A1516=1,"CC00","")</f>
        <v/>
      </c>
      <c r="K1516" s="32">
        <f>IF($A1516=1,IF(Supplier_Invoices!$C62="","",Supplier_Invoices!$C62),"")</f>
        <v/>
      </c>
      <c r="L1516" s="32">
        <f>IF($A1516=1,Supplier_Invoices!$F62&amp;" "&amp;Supplier_Invoices!$B62&amp;" - "&amp;Supplier_Invoices!$C62,"")</f>
        <v/>
      </c>
      <c r="M1516" s="43">
        <f>IF($A1516=1,IF(Supplier_Invoices!$V62="CN",Supplier_Invoices!$W62,0),"")</f>
        <v/>
      </c>
      <c r="N1516" s="43">
        <f>IF($A1516=1,IF(Supplier_Invoices!$V62="CN",0,Supplier_Invoices!$W62),"")</f>
        <v/>
      </c>
      <c r="O1516" s="32">
        <f>IF($A1516=1,Supplier_Invoices!$O62,"")</f>
        <v/>
      </c>
      <c r="P1516" s="32">
        <f>IF($A1516=1,IF(Supplier_Invoices!$AE62="","",Supplier_Invoices!$AE62),"")</f>
        <v/>
      </c>
      <c r="Q1516" s="32">
        <f>IF($A1516=1,Supplier_Invoices!$AG62,"")</f>
        <v/>
      </c>
      <c r="R1516" s="32">
        <f>IF($A1516=1,IF(AND($Q1516=1,COUNTIFS(COA!$A:$A,$G1516,COA!$R:$R,1)=1),1,0),"")</f>
        <v/>
      </c>
      <c r="S1516" s="43">
        <f>IF($A1516=1,IF($R1516=1,N($M1516),0),"")</f>
        <v/>
      </c>
      <c r="T1516" s="43">
        <f>IF($A1516=1,IF($R1516=1,N($N1516),0),"")</f>
        <v/>
      </c>
      <c r="U1516" s="32">
        <f>IF($A1516=1,YEAR($D1516)*100+MONTH($D1516),"")</f>
        <v/>
      </c>
      <c r="V1516" s="32">
        <f>IF($A1516=1,IF(COUNTIF(COA!$A:$A,$G1516)=0,0,INDEX(COA!$H:$H,MATCH($G1516,COA!$A:$A,0))),"")</f>
        <v/>
      </c>
      <c r="W1516" s="32">
        <f>IF($A1516=1,"","")</f>
        <v/>
      </c>
      <c r="X1516" s="32">
        <f>IF($A1516=1,IF($R1516=1,"",IF($O1516=ST_POST,IF($P1516&lt;&gt;"",$P1516,"حساب غير صالح أو غير نشط"),IF($O1516=ST_REV,"معكوس: لا أثر على الدفاتر",IF($O1516=ST_CANC,"ملغى",IF($O1516=ST_APPR,"معتمد ولم يُرحَّل","مسودة"))))),"")</f>
        <v/>
      </c>
      <c r="Y1516" s="32">
        <f>IF($A1516=1,IF(AND($R1516=1,OR(LG_Acct="",$G1516=LG_Acct),OR(LG_Party="",$K1516=LG_Party),OR(LG_Loc="ALL",$I1516=LG_Loc),OR(LG_CC="ALL",$J1516=LG_CC),$D1516&gt;=LG_From,$D1516&lt;=LG_To),$D1516+ROW()/1000000,""),"")</f>
        <v/>
      </c>
      <c r="Z1516" s="32">
        <f>IF($A1516=1,IF(Supplier_Invoices!$P62="","",Supplier_Invoices!$P62),"")</f>
        <v/>
      </c>
      <c r="AA1516" s="32">
        <f>IF($A1516=1,IF(Supplier_Invoices!$Q62="","",Supplier_Invoices!$Q62),"")</f>
        <v/>
      </c>
      <c r="AB1516" s="32">
        <f>IF($A1516=1,IF(Supplier_Invoices!$R62="","",Supplier_Invoices!$R62),"")</f>
        <v/>
      </c>
      <c r="AC1516" s="32">
        <f>IF($A1516=1,IF(Supplier_Invoices!$S62="","",Supplier_Invoices!$S62),"")</f>
        <v/>
      </c>
      <c r="AD1516" s="32">
        <f>IF($A1516=1,IF(Supplier_Invoices!$T62="","",Supplier_Invoices!$T62),"")</f>
        <v/>
      </c>
      <c r="AE1516" s="32">
        <f>IF($A1516=1,0,"")</f>
        <v/>
      </c>
      <c r="AF1516" s="32" t="inlineStr"/>
    </row>
    <row r="1517">
      <c r="A1517" s="32">
        <f>IF(AND(Supplier_Invoices!$AD62=1,Supplier_Invoices!$L62&lt;&gt;"",Supplier_Invoices!$V62&lt;&gt;"CN",N(Supplier_Invoices!$W62)&gt;0),1,0)</f>
        <v/>
      </c>
      <c r="B1517" s="32">
        <f>IF($A1517=1,$E1517&amp;"/4","")</f>
        <v/>
      </c>
      <c r="C1517" s="32">
        <f>IF($A1517=1,"J-"&amp;Supplier_Invoices!$A62,"")</f>
        <v/>
      </c>
      <c r="D1517" s="33">
        <f>IF($A1517=1,Supplier_Invoices!$E62,"")</f>
        <v/>
      </c>
      <c r="E1517" s="32">
        <f>IF($A1517=1,IF(Supplier_Invoices!$A62="","",Supplier_Invoices!$A62),"")</f>
        <v/>
      </c>
      <c r="F1517" s="32">
        <f>IF($A1517=1,"SINV","")</f>
        <v/>
      </c>
      <c r="G1517" s="32">
        <f>IF($A1517=1,ACC_SUPPLIERS,"")</f>
        <v/>
      </c>
      <c r="H1517" s="32">
        <f>IF($A1517=1,IF(COUNTIF(COA!$A:$A,$G1517)=0,"حساب غير معرف",INDEX(COA!$B:$B,MATCH($G1517,COA!$A:$A,0))),"")</f>
        <v/>
      </c>
      <c r="I1517" s="32">
        <f>IF($A1517=1,IF(Supplier_Invoices!$H62="","",Supplier_Invoices!$H62),"")</f>
        <v/>
      </c>
      <c r="J1517" s="32">
        <f>IF($A1517=1,"CC00","")</f>
        <v/>
      </c>
      <c r="K1517" s="32">
        <f>IF($A1517=1,IF(Supplier_Invoices!$C62="","",Supplier_Invoices!$C62),"")</f>
        <v/>
      </c>
      <c r="L1517" s="32">
        <f>IF($A1517=1,"سداد فوري - "&amp;Supplier_Invoices!$F62&amp;" "&amp;Supplier_Invoices!$B62&amp;" - "&amp;Supplier_Invoices!$C62,"")</f>
        <v/>
      </c>
      <c r="M1517" s="43">
        <f>IF($A1517=1,Supplier_Invoices!$W62,"")</f>
        <v/>
      </c>
      <c r="N1517" s="43">
        <f>IF($A1517=1,0,"")</f>
        <v/>
      </c>
      <c r="O1517" s="32">
        <f>IF($A1517=1,Supplier_Invoices!$O62,"")</f>
        <v/>
      </c>
      <c r="P1517" s="32">
        <f>IF($A1517=1,IF(Supplier_Invoices!$AE62="","",Supplier_Invoices!$AE62),"")</f>
        <v/>
      </c>
      <c r="Q1517" s="32">
        <f>IF($A1517=1,Supplier_Invoices!$AG62,"")</f>
        <v/>
      </c>
      <c r="R1517" s="32">
        <f>IF($A1517=1,IF(AND($Q1517=1,COUNTIFS(COA!$A:$A,$G1517,COA!$R:$R,1)=1),1,0),"")</f>
        <v/>
      </c>
      <c r="S1517" s="43">
        <f>IF($A1517=1,IF($R1517=1,N($M1517),0),"")</f>
        <v/>
      </c>
      <c r="T1517" s="43">
        <f>IF($A1517=1,IF($R1517=1,N($N1517),0),"")</f>
        <v/>
      </c>
      <c r="U1517" s="32">
        <f>IF($A1517=1,YEAR($D1517)*100+MONTH($D1517),"")</f>
        <v/>
      </c>
      <c r="V1517" s="32">
        <f>IF($A1517=1,IF(COUNTIF(COA!$A:$A,$G1517)=0,0,INDEX(COA!$H:$H,MATCH($G1517,COA!$A:$A,0))),"")</f>
        <v/>
      </c>
      <c r="W1517" s="32">
        <f>IF($A1517=1,"","")</f>
        <v/>
      </c>
      <c r="X1517" s="32">
        <f>IF($A1517=1,IF($R1517=1,"",IF($O1517=ST_POST,IF($P1517&lt;&gt;"",$P1517,"حساب غير صالح أو غير نشط"),IF($O1517=ST_REV,"معكوس: لا أثر على الدفاتر",IF($O1517=ST_CANC,"ملغى",IF($O1517=ST_APPR,"معتمد ولم يُرحَّل","مسودة"))))),"")</f>
        <v/>
      </c>
      <c r="Y1517" s="32">
        <f>IF($A1517=1,IF(AND($R1517=1,OR(LG_Acct="",$G1517=LG_Acct),OR(LG_Party="",$K1517=LG_Party),OR(LG_Loc="ALL",$I1517=LG_Loc),OR(LG_CC="ALL",$J1517=LG_CC),$D1517&gt;=LG_From,$D1517&lt;=LG_To),$D1517+ROW()/1000000,""),"")</f>
        <v/>
      </c>
      <c r="Z1517" s="32">
        <f>IF($A1517=1,IF(Supplier_Invoices!$P62="","",Supplier_Invoices!$P62),"")</f>
        <v/>
      </c>
      <c r="AA1517" s="32">
        <f>IF($A1517=1,IF(Supplier_Invoices!$Q62="","",Supplier_Invoices!$Q62),"")</f>
        <v/>
      </c>
      <c r="AB1517" s="32">
        <f>IF($A1517=1,IF(Supplier_Invoices!$R62="","",Supplier_Invoices!$R62),"")</f>
        <v/>
      </c>
      <c r="AC1517" s="32">
        <f>IF($A1517=1,IF(Supplier_Invoices!$S62="","",Supplier_Invoices!$S62),"")</f>
        <v/>
      </c>
      <c r="AD1517" s="32">
        <f>IF($A1517=1,IF(Supplier_Invoices!$T62="","",Supplier_Invoices!$T62),"")</f>
        <v/>
      </c>
      <c r="AE1517" s="32">
        <f>IF($A1517=1,0,"")</f>
        <v/>
      </c>
      <c r="AF1517" s="32" t="inlineStr"/>
    </row>
    <row r="1518">
      <c r="A1518" s="32">
        <f>IF(AND(Supplier_Invoices!$AD62=1,Supplier_Invoices!$L62&lt;&gt;"",Supplier_Invoices!$V62&lt;&gt;"CN",N(Supplier_Invoices!$W62)&gt;0),1,0)</f>
        <v/>
      </c>
      <c r="B1518" s="32">
        <f>IF($A1518=1,$E1518&amp;"/5","")</f>
        <v/>
      </c>
      <c r="C1518" s="32">
        <f>IF($A1518=1,"J-"&amp;Supplier_Invoices!$A62,"")</f>
        <v/>
      </c>
      <c r="D1518" s="33">
        <f>IF($A1518=1,Supplier_Invoices!$E62,"")</f>
        <v/>
      </c>
      <c r="E1518" s="32">
        <f>IF($A1518=1,IF(Supplier_Invoices!$A62="","",Supplier_Invoices!$A62),"")</f>
        <v/>
      </c>
      <c r="F1518" s="32">
        <f>IF($A1518=1,"SINV","")</f>
        <v/>
      </c>
      <c r="G1518" s="32">
        <f>IF($A1518=1,IF(Supplier_Invoices!$AA62="","",Supplier_Invoices!$AA62),"")</f>
        <v/>
      </c>
      <c r="H1518" s="32">
        <f>IF($A1518=1,IF(COUNTIF(COA!$A:$A,$G1518)=0,"حساب غير معرف",INDEX(COA!$B:$B,MATCH($G1518,COA!$A:$A,0))),"")</f>
        <v/>
      </c>
      <c r="I1518" s="32">
        <f>IF($A1518=1,IF(Supplier_Invoices!$H62="","",Supplier_Invoices!$H62),"")</f>
        <v/>
      </c>
      <c r="J1518" s="32">
        <f>IF($A1518=1,"CC00","")</f>
        <v/>
      </c>
      <c r="K1518" s="32">
        <f>IF($A1518=1,"-","")</f>
        <v/>
      </c>
      <c r="L1518" s="32">
        <f>IF($A1518=1,"سداد فوري - "&amp;Supplier_Invoices!$F62&amp;" "&amp;Supplier_Invoices!$B62&amp;" - "&amp;Supplier_Invoices!$C62,"")</f>
        <v/>
      </c>
      <c r="M1518" s="43">
        <f>IF($A1518=1,0,"")</f>
        <v/>
      </c>
      <c r="N1518" s="43">
        <f>IF($A1518=1,Supplier_Invoices!$W62,"")</f>
        <v/>
      </c>
      <c r="O1518" s="32">
        <f>IF($A1518=1,Supplier_Invoices!$O62,"")</f>
        <v/>
      </c>
      <c r="P1518" s="32">
        <f>IF($A1518=1,IF(Supplier_Invoices!$AE62="","",Supplier_Invoices!$AE62),"")</f>
        <v/>
      </c>
      <c r="Q1518" s="32">
        <f>IF($A1518=1,Supplier_Invoices!$AG62,"")</f>
        <v/>
      </c>
      <c r="R1518" s="32">
        <f>IF($A1518=1,IF(AND($Q1518=1,COUNTIFS(COA!$A:$A,$G1518,COA!$R:$R,1)=1),1,0),"")</f>
        <v/>
      </c>
      <c r="S1518" s="43">
        <f>IF($A1518=1,IF($R1518=1,N($M1518),0),"")</f>
        <v/>
      </c>
      <c r="T1518" s="43">
        <f>IF($A1518=1,IF($R1518=1,N($N1518),0),"")</f>
        <v/>
      </c>
      <c r="U1518" s="32">
        <f>IF($A1518=1,YEAR($D1518)*100+MONTH($D1518),"")</f>
        <v/>
      </c>
      <c r="V1518" s="32">
        <f>IF($A1518=1,IF(COUNTIF(COA!$A:$A,$G1518)=0,0,INDEX(COA!$H:$H,MATCH($G1518,COA!$A:$A,0))),"")</f>
        <v/>
      </c>
      <c r="W1518" s="32">
        <f>IF($A1518=1,IF(Supplier_Invoices!$AB62="","",Supplier_Invoices!$AB62),"")</f>
        <v/>
      </c>
      <c r="X1518" s="32">
        <f>IF($A1518=1,IF($R1518=1,"",IF($O1518=ST_POST,IF($P1518&lt;&gt;"",$P1518,"حساب غير صالح أو غير نشط"),IF($O1518=ST_REV,"معكوس: لا أثر على الدفاتر",IF($O1518=ST_CANC,"ملغى",IF($O1518=ST_APPR,"معتمد ولم يُرحَّل","مسودة"))))),"")</f>
        <v/>
      </c>
      <c r="Y1518" s="32">
        <f>IF($A1518=1,IF(AND($R1518=1,OR(LG_Acct="",$G1518=LG_Acct),OR(LG_Party="",$K1518=LG_Party),OR(LG_Loc="ALL",$I1518=LG_Loc),OR(LG_CC="ALL",$J1518=LG_CC),$D1518&gt;=LG_From,$D1518&lt;=LG_To),$D1518+ROW()/1000000,""),"")</f>
        <v/>
      </c>
      <c r="Z1518" s="32">
        <f>IF($A1518=1,IF(Supplier_Invoices!$P62="","",Supplier_Invoices!$P62),"")</f>
        <v/>
      </c>
      <c r="AA1518" s="32">
        <f>IF($A1518=1,IF(Supplier_Invoices!$Q62="","",Supplier_Invoices!$Q62),"")</f>
        <v/>
      </c>
      <c r="AB1518" s="32">
        <f>IF($A1518=1,IF(Supplier_Invoices!$R62="","",Supplier_Invoices!$R62),"")</f>
        <v/>
      </c>
      <c r="AC1518" s="32">
        <f>IF($A1518=1,IF(Supplier_Invoices!$S62="","",Supplier_Invoices!$S62),"")</f>
        <v/>
      </c>
      <c r="AD1518" s="32">
        <f>IF($A1518=1,IF(Supplier_Invoices!$T62="","",Supplier_Invoices!$T62),"")</f>
        <v/>
      </c>
      <c r="AE1518" s="32">
        <f>IF($A1518=1,0,"")</f>
        <v/>
      </c>
      <c r="AF1518" s="32" t="inlineStr"/>
    </row>
    <row r="1519">
      <c r="A1519" s="32">
        <f>IF(AND(Supplier_Invoices!$AD63=1,N(Supplier_Invoices!$J63)&gt;0),1,0)</f>
        <v/>
      </c>
      <c r="B1519" s="32">
        <f>IF($A1519=1,$E1519&amp;"/1","")</f>
        <v/>
      </c>
      <c r="C1519" s="32">
        <f>IF($A1519=1,"J-"&amp;Supplier_Invoices!$A63,"")</f>
        <v/>
      </c>
      <c r="D1519" s="33">
        <f>IF($A1519=1,Supplier_Invoices!$E63,"")</f>
        <v/>
      </c>
      <c r="E1519" s="32">
        <f>IF($A1519=1,IF(Supplier_Invoices!$A63="","",Supplier_Invoices!$A63),"")</f>
        <v/>
      </c>
      <c r="F1519" s="32">
        <f>IF($A1519=1,"SINV","")</f>
        <v/>
      </c>
      <c r="G1519" s="32">
        <f>IF($A1519=1,IF(Supplier_Invoices!$G63="","",Supplier_Invoices!$G63),"")</f>
        <v/>
      </c>
      <c r="H1519" s="32">
        <f>IF($A1519=1,IF(COUNTIF(COA!$A:$A,$G1519)=0,"حساب غير معرف",INDEX(COA!$B:$B,MATCH($G1519,COA!$A:$A,0))),"")</f>
        <v/>
      </c>
      <c r="I1519" s="32">
        <f>IF($A1519=1,IF(Supplier_Invoices!$H63="","",Supplier_Invoices!$H63),"")</f>
        <v/>
      </c>
      <c r="J1519" s="32">
        <f>IF($A1519=1,IF(Supplier_Invoices!$I63="","",Supplier_Invoices!$I63),"")</f>
        <v/>
      </c>
      <c r="K1519" s="32">
        <f>IF($A1519=1,"-","")</f>
        <v/>
      </c>
      <c r="L1519" s="32">
        <f>IF($A1519=1,Supplier_Invoices!$F63&amp;" "&amp;Supplier_Invoices!$B63&amp;" - "&amp;Supplier_Invoices!$C63,"")</f>
        <v/>
      </c>
      <c r="M1519" s="43">
        <f>IF($A1519=1,IF(Supplier_Invoices!$V63="CN",0,Supplier_Invoices!$J63),"")</f>
        <v/>
      </c>
      <c r="N1519" s="43">
        <f>IF($A1519=1,IF(Supplier_Invoices!$V63="CN",Supplier_Invoices!$J63,0),"")</f>
        <v/>
      </c>
      <c r="O1519" s="32">
        <f>IF($A1519=1,Supplier_Invoices!$O63,"")</f>
        <v/>
      </c>
      <c r="P1519" s="32">
        <f>IF($A1519=1,IF(Supplier_Invoices!$AE63="","",Supplier_Invoices!$AE63),"")</f>
        <v/>
      </c>
      <c r="Q1519" s="32">
        <f>IF($A1519=1,Supplier_Invoices!$AG63,"")</f>
        <v/>
      </c>
      <c r="R1519" s="32">
        <f>IF($A1519=1,IF(AND($Q1519=1,COUNTIFS(COA!$A:$A,$G1519,COA!$R:$R,1)=1),1,0),"")</f>
        <v/>
      </c>
      <c r="S1519" s="43">
        <f>IF($A1519=1,IF($R1519=1,N($M1519),0),"")</f>
        <v/>
      </c>
      <c r="T1519" s="43">
        <f>IF($A1519=1,IF($R1519=1,N($N1519),0),"")</f>
        <v/>
      </c>
      <c r="U1519" s="32">
        <f>IF($A1519=1,YEAR($D1519)*100+MONTH($D1519),"")</f>
        <v/>
      </c>
      <c r="V1519" s="32">
        <f>IF($A1519=1,IF(COUNTIF(COA!$A:$A,$G1519)=0,0,INDEX(COA!$H:$H,MATCH($G1519,COA!$A:$A,0))),"")</f>
        <v/>
      </c>
      <c r="W1519" s="32">
        <f>IF($A1519=1,"","")</f>
        <v/>
      </c>
      <c r="X1519" s="32">
        <f>IF($A1519=1,IF($R1519=1,"",IF($O1519=ST_POST,IF($P1519&lt;&gt;"",$P1519,"حساب غير صالح أو غير نشط"),IF($O1519=ST_REV,"معكوس: لا أثر على الدفاتر",IF($O1519=ST_CANC,"ملغى",IF($O1519=ST_APPR,"معتمد ولم يُرحَّل","مسودة"))))),"")</f>
        <v/>
      </c>
      <c r="Y1519" s="32">
        <f>IF($A1519=1,IF(AND($R1519=1,OR(LG_Acct="",$G1519=LG_Acct),OR(LG_Party="",$K1519=LG_Party),OR(LG_Loc="ALL",$I1519=LG_Loc),OR(LG_CC="ALL",$J1519=LG_CC),$D1519&gt;=LG_From,$D1519&lt;=LG_To),$D1519+ROW()/1000000,""),"")</f>
        <v/>
      </c>
      <c r="Z1519" s="32">
        <f>IF($A1519=1,IF(Supplier_Invoices!$P63="","",Supplier_Invoices!$P63),"")</f>
        <v/>
      </c>
      <c r="AA1519" s="32">
        <f>IF($A1519=1,IF(Supplier_Invoices!$Q63="","",Supplier_Invoices!$Q63),"")</f>
        <v/>
      </c>
      <c r="AB1519" s="32">
        <f>IF($A1519=1,IF(Supplier_Invoices!$R63="","",Supplier_Invoices!$R63),"")</f>
        <v/>
      </c>
      <c r="AC1519" s="32">
        <f>IF($A1519=1,IF(Supplier_Invoices!$S63="","",Supplier_Invoices!$S63),"")</f>
        <v/>
      </c>
      <c r="AD1519" s="32">
        <f>IF($A1519=1,IF(Supplier_Invoices!$T63="","",Supplier_Invoices!$T63),"")</f>
        <v/>
      </c>
      <c r="AE1519" s="32">
        <f>IF($A1519=1,0,"")</f>
        <v/>
      </c>
      <c r="AF1519" s="32" t="inlineStr"/>
    </row>
    <row r="1520">
      <c r="A1520" s="32">
        <f>IF(AND(Supplier_Invoices!$AD63=1,N(Supplier_Invoices!$K63)&gt;0),1,0)</f>
        <v/>
      </c>
      <c r="B1520" s="32">
        <f>IF($A1520=1,$E1520&amp;"/2","")</f>
        <v/>
      </c>
      <c r="C1520" s="32">
        <f>IF($A1520=1,"J-"&amp;Supplier_Invoices!$A63,"")</f>
        <v/>
      </c>
      <c r="D1520" s="33">
        <f>IF($A1520=1,Supplier_Invoices!$E63,"")</f>
        <v/>
      </c>
      <c r="E1520" s="32">
        <f>IF($A1520=1,IF(Supplier_Invoices!$A63="","",Supplier_Invoices!$A63),"")</f>
        <v/>
      </c>
      <c r="F1520" s="32">
        <f>IF($A1520=1,"SINV","")</f>
        <v/>
      </c>
      <c r="G1520" s="32">
        <f>IF($A1520=1,ACC_VAT_IN,"")</f>
        <v/>
      </c>
      <c r="H1520" s="32">
        <f>IF($A1520=1,IF(COUNTIF(COA!$A:$A,$G1520)=0,"حساب غير معرف",INDEX(COA!$B:$B,MATCH($G1520,COA!$A:$A,0))),"")</f>
        <v/>
      </c>
      <c r="I1520" s="32">
        <f>IF($A1520=1,IF(Supplier_Invoices!$H63="","",Supplier_Invoices!$H63),"")</f>
        <v/>
      </c>
      <c r="J1520" s="32">
        <f>IF($A1520=1,IF(Supplier_Invoices!$I63="","",Supplier_Invoices!$I63),"")</f>
        <v/>
      </c>
      <c r="K1520" s="32">
        <f>IF($A1520=1,"-","")</f>
        <v/>
      </c>
      <c r="L1520" s="32">
        <f>IF($A1520=1,"ضريبة قيمة مضافة - مدخلات","")</f>
        <v/>
      </c>
      <c r="M1520" s="43">
        <f>IF($A1520=1,IF(Supplier_Invoices!$V63="CN",0,Supplier_Invoices!$K63),"")</f>
        <v/>
      </c>
      <c r="N1520" s="43">
        <f>IF($A1520=1,IF(Supplier_Invoices!$V63="CN",Supplier_Invoices!$K63,0),"")</f>
        <v/>
      </c>
      <c r="O1520" s="32">
        <f>IF($A1520=1,Supplier_Invoices!$O63,"")</f>
        <v/>
      </c>
      <c r="P1520" s="32">
        <f>IF($A1520=1,IF(Supplier_Invoices!$AE63="","",Supplier_Invoices!$AE63),"")</f>
        <v/>
      </c>
      <c r="Q1520" s="32">
        <f>IF($A1520=1,Supplier_Invoices!$AG63,"")</f>
        <v/>
      </c>
      <c r="R1520" s="32">
        <f>IF($A1520=1,IF(AND($Q1520=1,COUNTIFS(COA!$A:$A,$G1520,COA!$R:$R,1)=1),1,0),"")</f>
        <v/>
      </c>
      <c r="S1520" s="43">
        <f>IF($A1520=1,IF($R1520=1,N($M1520),0),"")</f>
        <v/>
      </c>
      <c r="T1520" s="43">
        <f>IF($A1520=1,IF($R1520=1,N($N1520),0),"")</f>
        <v/>
      </c>
      <c r="U1520" s="32">
        <f>IF($A1520=1,YEAR($D1520)*100+MONTH($D1520),"")</f>
        <v/>
      </c>
      <c r="V1520" s="32">
        <f>IF($A1520=1,IF(COUNTIF(COA!$A:$A,$G1520)=0,0,INDEX(COA!$H:$H,MATCH($G1520,COA!$A:$A,0))),"")</f>
        <v/>
      </c>
      <c r="W1520" s="32">
        <f>IF($A1520=1,"","")</f>
        <v/>
      </c>
      <c r="X1520" s="32">
        <f>IF($A1520=1,IF($R1520=1,"",IF($O1520=ST_POST,IF($P1520&lt;&gt;"",$P1520,"حساب غير صالح أو غير نشط"),IF($O1520=ST_REV,"معكوس: لا أثر على الدفاتر",IF($O1520=ST_CANC,"ملغى",IF($O1520=ST_APPR,"معتمد ولم يُرحَّل","مسودة"))))),"")</f>
        <v/>
      </c>
      <c r="Y1520" s="32">
        <f>IF($A1520=1,IF(AND($R1520=1,OR(LG_Acct="",$G1520=LG_Acct),OR(LG_Party="",$K1520=LG_Party),OR(LG_Loc="ALL",$I1520=LG_Loc),OR(LG_CC="ALL",$J1520=LG_CC),$D1520&gt;=LG_From,$D1520&lt;=LG_To),$D1520+ROW()/1000000,""),"")</f>
        <v/>
      </c>
      <c r="Z1520" s="32">
        <f>IF($A1520=1,IF(Supplier_Invoices!$P63="","",Supplier_Invoices!$P63),"")</f>
        <v/>
      </c>
      <c r="AA1520" s="32">
        <f>IF($A1520=1,IF(Supplier_Invoices!$Q63="","",Supplier_Invoices!$Q63),"")</f>
        <v/>
      </c>
      <c r="AB1520" s="32">
        <f>IF($A1520=1,IF(Supplier_Invoices!$R63="","",Supplier_Invoices!$R63),"")</f>
        <v/>
      </c>
      <c r="AC1520" s="32">
        <f>IF($A1520=1,IF(Supplier_Invoices!$S63="","",Supplier_Invoices!$S63),"")</f>
        <v/>
      </c>
      <c r="AD1520" s="32">
        <f>IF($A1520=1,IF(Supplier_Invoices!$T63="","",Supplier_Invoices!$T63),"")</f>
        <v/>
      </c>
      <c r="AE1520" s="32">
        <f>IF($A1520=1,0,"")</f>
        <v/>
      </c>
      <c r="AF1520" s="32" t="inlineStr"/>
    </row>
    <row r="1521">
      <c r="A1521" s="32">
        <f>IF(AND(Supplier_Invoices!$AD63=1,N(Supplier_Invoices!$W63)&gt;0),1,0)</f>
        <v/>
      </c>
      <c r="B1521" s="32">
        <f>IF($A1521=1,$E1521&amp;"/3","")</f>
        <v/>
      </c>
      <c r="C1521" s="32">
        <f>IF($A1521=1,"J-"&amp;Supplier_Invoices!$A63,"")</f>
        <v/>
      </c>
      <c r="D1521" s="33">
        <f>IF($A1521=1,Supplier_Invoices!$E63,"")</f>
        <v/>
      </c>
      <c r="E1521" s="32">
        <f>IF($A1521=1,IF(Supplier_Invoices!$A63="","",Supplier_Invoices!$A63),"")</f>
        <v/>
      </c>
      <c r="F1521" s="32">
        <f>IF($A1521=1,"SINV","")</f>
        <v/>
      </c>
      <c r="G1521" s="32">
        <f>IF($A1521=1,ACC_SUPPLIERS,"")</f>
        <v/>
      </c>
      <c r="H1521" s="32">
        <f>IF($A1521=1,IF(COUNTIF(COA!$A:$A,$G1521)=0,"حساب غير معرف",INDEX(COA!$B:$B,MATCH($G1521,COA!$A:$A,0))),"")</f>
        <v/>
      </c>
      <c r="I1521" s="32">
        <f>IF($A1521=1,IF(Supplier_Invoices!$H63="","",Supplier_Invoices!$H63),"")</f>
        <v/>
      </c>
      <c r="J1521" s="32">
        <f>IF($A1521=1,"CC00","")</f>
        <v/>
      </c>
      <c r="K1521" s="32">
        <f>IF($A1521=1,IF(Supplier_Invoices!$C63="","",Supplier_Invoices!$C63),"")</f>
        <v/>
      </c>
      <c r="L1521" s="32">
        <f>IF($A1521=1,Supplier_Invoices!$F63&amp;" "&amp;Supplier_Invoices!$B63&amp;" - "&amp;Supplier_Invoices!$C63,"")</f>
        <v/>
      </c>
      <c r="M1521" s="43">
        <f>IF($A1521=1,IF(Supplier_Invoices!$V63="CN",Supplier_Invoices!$W63,0),"")</f>
        <v/>
      </c>
      <c r="N1521" s="43">
        <f>IF($A1521=1,IF(Supplier_Invoices!$V63="CN",0,Supplier_Invoices!$W63),"")</f>
        <v/>
      </c>
      <c r="O1521" s="32">
        <f>IF($A1521=1,Supplier_Invoices!$O63,"")</f>
        <v/>
      </c>
      <c r="P1521" s="32">
        <f>IF($A1521=1,IF(Supplier_Invoices!$AE63="","",Supplier_Invoices!$AE63),"")</f>
        <v/>
      </c>
      <c r="Q1521" s="32">
        <f>IF($A1521=1,Supplier_Invoices!$AG63,"")</f>
        <v/>
      </c>
      <c r="R1521" s="32">
        <f>IF($A1521=1,IF(AND($Q1521=1,COUNTIFS(COA!$A:$A,$G1521,COA!$R:$R,1)=1),1,0),"")</f>
        <v/>
      </c>
      <c r="S1521" s="43">
        <f>IF($A1521=1,IF($R1521=1,N($M1521),0),"")</f>
        <v/>
      </c>
      <c r="T1521" s="43">
        <f>IF($A1521=1,IF($R1521=1,N($N1521),0),"")</f>
        <v/>
      </c>
      <c r="U1521" s="32">
        <f>IF($A1521=1,YEAR($D1521)*100+MONTH($D1521),"")</f>
        <v/>
      </c>
      <c r="V1521" s="32">
        <f>IF($A1521=1,IF(COUNTIF(COA!$A:$A,$G1521)=0,0,INDEX(COA!$H:$H,MATCH($G1521,COA!$A:$A,0))),"")</f>
        <v/>
      </c>
      <c r="W1521" s="32">
        <f>IF($A1521=1,"","")</f>
        <v/>
      </c>
      <c r="X1521" s="32">
        <f>IF($A1521=1,IF($R1521=1,"",IF($O1521=ST_POST,IF($P1521&lt;&gt;"",$P1521,"حساب غير صالح أو غير نشط"),IF($O1521=ST_REV,"معكوس: لا أثر على الدفاتر",IF($O1521=ST_CANC,"ملغى",IF($O1521=ST_APPR,"معتمد ولم يُرحَّل","مسودة"))))),"")</f>
        <v/>
      </c>
      <c r="Y1521" s="32">
        <f>IF($A1521=1,IF(AND($R1521=1,OR(LG_Acct="",$G1521=LG_Acct),OR(LG_Party="",$K1521=LG_Party),OR(LG_Loc="ALL",$I1521=LG_Loc),OR(LG_CC="ALL",$J1521=LG_CC),$D1521&gt;=LG_From,$D1521&lt;=LG_To),$D1521+ROW()/1000000,""),"")</f>
        <v/>
      </c>
      <c r="Z1521" s="32">
        <f>IF($A1521=1,IF(Supplier_Invoices!$P63="","",Supplier_Invoices!$P63),"")</f>
        <v/>
      </c>
      <c r="AA1521" s="32">
        <f>IF($A1521=1,IF(Supplier_Invoices!$Q63="","",Supplier_Invoices!$Q63),"")</f>
        <v/>
      </c>
      <c r="AB1521" s="32">
        <f>IF($A1521=1,IF(Supplier_Invoices!$R63="","",Supplier_Invoices!$R63),"")</f>
        <v/>
      </c>
      <c r="AC1521" s="32">
        <f>IF($A1521=1,IF(Supplier_Invoices!$S63="","",Supplier_Invoices!$S63),"")</f>
        <v/>
      </c>
      <c r="AD1521" s="32">
        <f>IF($A1521=1,IF(Supplier_Invoices!$T63="","",Supplier_Invoices!$T63),"")</f>
        <v/>
      </c>
      <c r="AE1521" s="32">
        <f>IF($A1521=1,0,"")</f>
        <v/>
      </c>
      <c r="AF1521" s="32" t="inlineStr"/>
    </row>
    <row r="1522">
      <c r="A1522" s="32">
        <f>IF(AND(Supplier_Invoices!$AD63=1,Supplier_Invoices!$L63&lt;&gt;"",Supplier_Invoices!$V63&lt;&gt;"CN",N(Supplier_Invoices!$W63)&gt;0),1,0)</f>
        <v/>
      </c>
      <c r="B1522" s="32">
        <f>IF($A1522=1,$E1522&amp;"/4","")</f>
        <v/>
      </c>
      <c r="C1522" s="32">
        <f>IF($A1522=1,"J-"&amp;Supplier_Invoices!$A63,"")</f>
        <v/>
      </c>
      <c r="D1522" s="33">
        <f>IF($A1522=1,Supplier_Invoices!$E63,"")</f>
        <v/>
      </c>
      <c r="E1522" s="32">
        <f>IF($A1522=1,IF(Supplier_Invoices!$A63="","",Supplier_Invoices!$A63),"")</f>
        <v/>
      </c>
      <c r="F1522" s="32">
        <f>IF($A1522=1,"SINV","")</f>
        <v/>
      </c>
      <c r="G1522" s="32">
        <f>IF($A1522=1,ACC_SUPPLIERS,"")</f>
        <v/>
      </c>
      <c r="H1522" s="32">
        <f>IF($A1522=1,IF(COUNTIF(COA!$A:$A,$G1522)=0,"حساب غير معرف",INDEX(COA!$B:$B,MATCH($G1522,COA!$A:$A,0))),"")</f>
        <v/>
      </c>
      <c r="I1522" s="32">
        <f>IF($A1522=1,IF(Supplier_Invoices!$H63="","",Supplier_Invoices!$H63),"")</f>
        <v/>
      </c>
      <c r="J1522" s="32">
        <f>IF($A1522=1,"CC00","")</f>
        <v/>
      </c>
      <c r="K1522" s="32">
        <f>IF($A1522=1,IF(Supplier_Invoices!$C63="","",Supplier_Invoices!$C63),"")</f>
        <v/>
      </c>
      <c r="L1522" s="32">
        <f>IF($A1522=1,"سداد فوري - "&amp;Supplier_Invoices!$F63&amp;" "&amp;Supplier_Invoices!$B63&amp;" - "&amp;Supplier_Invoices!$C63,"")</f>
        <v/>
      </c>
      <c r="M1522" s="43">
        <f>IF($A1522=1,Supplier_Invoices!$W63,"")</f>
        <v/>
      </c>
      <c r="N1522" s="43">
        <f>IF($A1522=1,0,"")</f>
        <v/>
      </c>
      <c r="O1522" s="32">
        <f>IF($A1522=1,Supplier_Invoices!$O63,"")</f>
        <v/>
      </c>
      <c r="P1522" s="32">
        <f>IF($A1522=1,IF(Supplier_Invoices!$AE63="","",Supplier_Invoices!$AE63),"")</f>
        <v/>
      </c>
      <c r="Q1522" s="32">
        <f>IF($A1522=1,Supplier_Invoices!$AG63,"")</f>
        <v/>
      </c>
      <c r="R1522" s="32">
        <f>IF($A1522=1,IF(AND($Q1522=1,COUNTIFS(COA!$A:$A,$G1522,COA!$R:$R,1)=1),1,0),"")</f>
        <v/>
      </c>
      <c r="S1522" s="43">
        <f>IF($A1522=1,IF($R1522=1,N($M1522),0),"")</f>
        <v/>
      </c>
      <c r="T1522" s="43">
        <f>IF($A1522=1,IF($R1522=1,N($N1522),0),"")</f>
        <v/>
      </c>
      <c r="U1522" s="32">
        <f>IF($A1522=1,YEAR($D1522)*100+MONTH($D1522),"")</f>
        <v/>
      </c>
      <c r="V1522" s="32">
        <f>IF($A1522=1,IF(COUNTIF(COA!$A:$A,$G1522)=0,0,INDEX(COA!$H:$H,MATCH($G1522,COA!$A:$A,0))),"")</f>
        <v/>
      </c>
      <c r="W1522" s="32">
        <f>IF($A1522=1,"","")</f>
        <v/>
      </c>
      <c r="X1522" s="32">
        <f>IF($A1522=1,IF($R1522=1,"",IF($O1522=ST_POST,IF($P1522&lt;&gt;"",$P1522,"حساب غير صالح أو غير نشط"),IF($O1522=ST_REV,"معكوس: لا أثر على الدفاتر",IF($O1522=ST_CANC,"ملغى",IF($O1522=ST_APPR,"معتمد ولم يُرحَّل","مسودة"))))),"")</f>
        <v/>
      </c>
      <c r="Y1522" s="32">
        <f>IF($A1522=1,IF(AND($R1522=1,OR(LG_Acct="",$G1522=LG_Acct),OR(LG_Party="",$K1522=LG_Party),OR(LG_Loc="ALL",$I1522=LG_Loc),OR(LG_CC="ALL",$J1522=LG_CC),$D1522&gt;=LG_From,$D1522&lt;=LG_To),$D1522+ROW()/1000000,""),"")</f>
        <v/>
      </c>
      <c r="Z1522" s="32">
        <f>IF($A1522=1,IF(Supplier_Invoices!$P63="","",Supplier_Invoices!$P63),"")</f>
        <v/>
      </c>
      <c r="AA1522" s="32">
        <f>IF($A1522=1,IF(Supplier_Invoices!$Q63="","",Supplier_Invoices!$Q63),"")</f>
        <v/>
      </c>
      <c r="AB1522" s="32">
        <f>IF($A1522=1,IF(Supplier_Invoices!$R63="","",Supplier_Invoices!$R63),"")</f>
        <v/>
      </c>
      <c r="AC1522" s="32">
        <f>IF($A1522=1,IF(Supplier_Invoices!$S63="","",Supplier_Invoices!$S63),"")</f>
        <v/>
      </c>
      <c r="AD1522" s="32">
        <f>IF($A1522=1,IF(Supplier_Invoices!$T63="","",Supplier_Invoices!$T63),"")</f>
        <v/>
      </c>
      <c r="AE1522" s="32">
        <f>IF($A1522=1,0,"")</f>
        <v/>
      </c>
      <c r="AF1522" s="32" t="inlineStr"/>
    </row>
    <row r="1523">
      <c r="A1523" s="32">
        <f>IF(AND(Supplier_Invoices!$AD63=1,Supplier_Invoices!$L63&lt;&gt;"",Supplier_Invoices!$V63&lt;&gt;"CN",N(Supplier_Invoices!$W63)&gt;0),1,0)</f>
        <v/>
      </c>
      <c r="B1523" s="32">
        <f>IF($A1523=1,$E1523&amp;"/5","")</f>
        <v/>
      </c>
      <c r="C1523" s="32">
        <f>IF($A1523=1,"J-"&amp;Supplier_Invoices!$A63,"")</f>
        <v/>
      </c>
      <c r="D1523" s="33">
        <f>IF($A1523=1,Supplier_Invoices!$E63,"")</f>
        <v/>
      </c>
      <c r="E1523" s="32">
        <f>IF($A1523=1,IF(Supplier_Invoices!$A63="","",Supplier_Invoices!$A63),"")</f>
        <v/>
      </c>
      <c r="F1523" s="32">
        <f>IF($A1523=1,"SINV","")</f>
        <v/>
      </c>
      <c r="G1523" s="32">
        <f>IF($A1523=1,IF(Supplier_Invoices!$AA63="","",Supplier_Invoices!$AA63),"")</f>
        <v/>
      </c>
      <c r="H1523" s="32">
        <f>IF($A1523=1,IF(COUNTIF(COA!$A:$A,$G1523)=0,"حساب غير معرف",INDEX(COA!$B:$B,MATCH($G1523,COA!$A:$A,0))),"")</f>
        <v/>
      </c>
      <c r="I1523" s="32">
        <f>IF($A1523=1,IF(Supplier_Invoices!$H63="","",Supplier_Invoices!$H63),"")</f>
        <v/>
      </c>
      <c r="J1523" s="32">
        <f>IF($A1523=1,"CC00","")</f>
        <v/>
      </c>
      <c r="K1523" s="32">
        <f>IF($A1523=1,"-","")</f>
        <v/>
      </c>
      <c r="L1523" s="32">
        <f>IF($A1523=1,"سداد فوري - "&amp;Supplier_Invoices!$F63&amp;" "&amp;Supplier_Invoices!$B63&amp;" - "&amp;Supplier_Invoices!$C63,"")</f>
        <v/>
      </c>
      <c r="M1523" s="43">
        <f>IF($A1523=1,0,"")</f>
        <v/>
      </c>
      <c r="N1523" s="43">
        <f>IF($A1523=1,Supplier_Invoices!$W63,"")</f>
        <v/>
      </c>
      <c r="O1523" s="32">
        <f>IF($A1523=1,Supplier_Invoices!$O63,"")</f>
        <v/>
      </c>
      <c r="P1523" s="32">
        <f>IF($A1523=1,IF(Supplier_Invoices!$AE63="","",Supplier_Invoices!$AE63),"")</f>
        <v/>
      </c>
      <c r="Q1523" s="32">
        <f>IF($A1523=1,Supplier_Invoices!$AG63,"")</f>
        <v/>
      </c>
      <c r="R1523" s="32">
        <f>IF($A1523=1,IF(AND($Q1523=1,COUNTIFS(COA!$A:$A,$G1523,COA!$R:$R,1)=1),1,0),"")</f>
        <v/>
      </c>
      <c r="S1523" s="43">
        <f>IF($A1523=1,IF($R1523=1,N($M1523),0),"")</f>
        <v/>
      </c>
      <c r="T1523" s="43">
        <f>IF($A1523=1,IF($R1523=1,N($N1523),0),"")</f>
        <v/>
      </c>
      <c r="U1523" s="32">
        <f>IF($A1523=1,YEAR($D1523)*100+MONTH($D1523),"")</f>
        <v/>
      </c>
      <c r="V1523" s="32">
        <f>IF($A1523=1,IF(COUNTIF(COA!$A:$A,$G1523)=0,0,INDEX(COA!$H:$H,MATCH($G1523,COA!$A:$A,0))),"")</f>
        <v/>
      </c>
      <c r="W1523" s="32">
        <f>IF($A1523=1,IF(Supplier_Invoices!$AB63="","",Supplier_Invoices!$AB63),"")</f>
        <v/>
      </c>
      <c r="X1523" s="32">
        <f>IF($A1523=1,IF($R1523=1,"",IF($O1523=ST_POST,IF($P1523&lt;&gt;"",$P1523,"حساب غير صالح أو غير نشط"),IF($O1523=ST_REV,"معكوس: لا أثر على الدفاتر",IF($O1523=ST_CANC,"ملغى",IF($O1523=ST_APPR,"معتمد ولم يُرحَّل","مسودة"))))),"")</f>
        <v/>
      </c>
      <c r="Y1523" s="32">
        <f>IF($A1523=1,IF(AND($R1523=1,OR(LG_Acct="",$G1523=LG_Acct),OR(LG_Party="",$K1523=LG_Party),OR(LG_Loc="ALL",$I1523=LG_Loc),OR(LG_CC="ALL",$J1523=LG_CC),$D1523&gt;=LG_From,$D1523&lt;=LG_To),$D1523+ROW()/1000000,""),"")</f>
        <v/>
      </c>
      <c r="Z1523" s="32">
        <f>IF($A1523=1,IF(Supplier_Invoices!$P63="","",Supplier_Invoices!$P63),"")</f>
        <v/>
      </c>
      <c r="AA1523" s="32">
        <f>IF($A1523=1,IF(Supplier_Invoices!$Q63="","",Supplier_Invoices!$Q63),"")</f>
        <v/>
      </c>
      <c r="AB1523" s="32">
        <f>IF($A1523=1,IF(Supplier_Invoices!$R63="","",Supplier_Invoices!$R63),"")</f>
        <v/>
      </c>
      <c r="AC1523" s="32">
        <f>IF($A1523=1,IF(Supplier_Invoices!$S63="","",Supplier_Invoices!$S63),"")</f>
        <v/>
      </c>
      <c r="AD1523" s="32">
        <f>IF($A1523=1,IF(Supplier_Invoices!$T63="","",Supplier_Invoices!$T63),"")</f>
        <v/>
      </c>
      <c r="AE1523" s="32">
        <f>IF($A1523=1,0,"")</f>
        <v/>
      </c>
      <c r="AF1523" s="32" t="inlineStr"/>
    </row>
    <row r="1524">
      <c r="A1524" s="32">
        <f>IF(AND(Supplier_Invoices!$AD64=1,N(Supplier_Invoices!$J64)&gt;0),1,0)</f>
        <v/>
      </c>
      <c r="B1524" s="32">
        <f>IF($A1524=1,$E1524&amp;"/1","")</f>
        <v/>
      </c>
      <c r="C1524" s="32">
        <f>IF($A1524=1,"J-"&amp;Supplier_Invoices!$A64,"")</f>
        <v/>
      </c>
      <c r="D1524" s="33">
        <f>IF($A1524=1,Supplier_Invoices!$E64,"")</f>
        <v/>
      </c>
      <c r="E1524" s="32">
        <f>IF($A1524=1,IF(Supplier_Invoices!$A64="","",Supplier_Invoices!$A64),"")</f>
        <v/>
      </c>
      <c r="F1524" s="32">
        <f>IF($A1524=1,"SINV","")</f>
        <v/>
      </c>
      <c r="G1524" s="32">
        <f>IF($A1524=1,IF(Supplier_Invoices!$G64="","",Supplier_Invoices!$G64),"")</f>
        <v/>
      </c>
      <c r="H1524" s="32">
        <f>IF($A1524=1,IF(COUNTIF(COA!$A:$A,$G1524)=0,"حساب غير معرف",INDEX(COA!$B:$B,MATCH($G1524,COA!$A:$A,0))),"")</f>
        <v/>
      </c>
      <c r="I1524" s="32">
        <f>IF($A1524=1,IF(Supplier_Invoices!$H64="","",Supplier_Invoices!$H64),"")</f>
        <v/>
      </c>
      <c r="J1524" s="32">
        <f>IF($A1524=1,IF(Supplier_Invoices!$I64="","",Supplier_Invoices!$I64),"")</f>
        <v/>
      </c>
      <c r="K1524" s="32">
        <f>IF($A1524=1,"-","")</f>
        <v/>
      </c>
      <c r="L1524" s="32">
        <f>IF($A1524=1,Supplier_Invoices!$F64&amp;" "&amp;Supplier_Invoices!$B64&amp;" - "&amp;Supplier_Invoices!$C64,"")</f>
        <v/>
      </c>
      <c r="M1524" s="43">
        <f>IF($A1524=1,IF(Supplier_Invoices!$V64="CN",0,Supplier_Invoices!$J64),"")</f>
        <v/>
      </c>
      <c r="N1524" s="43">
        <f>IF($A1524=1,IF(Supplier_Invoices!$V64="CN",Supplier_Invoices!$J64,0),"")</f>
        <v/>
      </c>
      <c r="O1524" s="32">
        <f>IF($A1524=1,Supplier_Invoices!$O64,"")</f>
        <v/>
      </c>
      <c r="P1524" s="32">
        <f>IF($A1524=1,IF(Supplier_Invoices!$AE64="","",Supplier_Invoices!$AE64),"")</f>
        <v/>
      </c>
      <c r="Q1524" s="32">
        <f>IF($A1524=1,Supplier_Invoices!$AG64,"")</f>
        <v/>
      </c>
      <c r="R1524" s="32">
        <f>IF($A1524=1,IF(AND($Q1524=1,COUNTIFS(COA!$A:$A,$G1524,COA!$R:$R,1)=1),1,0),"")</f>
        <v/>
      </c>
      <c r="S1524" s="43">
        <f>IF($A1524=1,IF($R1524=1,N($M1524),0),"")</f>
        <v/>
      </c>
      <c r="T1524" s="43">
        <f>IF($A1524=1,IF($R1524=1,N($N1524),0),"")</f>
        <v/>
      </c>
      <c r="U1524" s="32">
        <f>IF($A1524=1,YEAR($D1524)*100+MONTH($D1524),"")</f>
        <v/>
      </c>
      <c r="V1524" s="32">
        <f>IF($A1524=1,IF(COUNTIF(COA!$A:$A,$G1524)=0,0,INDEX(COA!$H:$H,MATCH($G1524,COA!$A:$A,0))),"")</f>
        <v/>
      </c>
      <c r="W1524" s="32">
        <f>IF($A1524=1,"","")</f>
        <v/>
      </c>
      <c r="X1524" s="32">
        <f>IF($A1524=1,IF($R1524=1,"",IF($O1524=ST_POST,IF($P1524&lt;&gt;"",$P1524,"حساب غير صالح أو غير نشط"),IF($O1524=ST_REV,"معكوس: لا أثر على الدفاتر",IF($O1524=ST_CANC,"ملغى",IF($O1524=ST_APPR,"معتمد ولم يُرحَّل","مسودة"))))),"")</f>
        <v/>
      </c>
      <c r="Y1524" s="32">
        <f>IF($A1524=1,IF(AND($R1524=1,OR(LG_Acct="",$G1524=LG_Acct),OR(LG_Party="",$K1524=LG_Party),OR(LG_Loc="ALL",$I1524=LG_Loc),OR(LG_CC="ALL",$J1524=LG_CC),$D1524&gt;=LG_From,$D1524&lt;=LG_To),$D1524+ROW()/1000000,""),"")</f>
        <v/>
      </c>
      <c r="Z1524" s="32">
        <f>IF($A1524=1,IF(Supplier_Invoices!$P64="","",Supplier_Invoices!$P64),"")</f>
        <v/>
      </c>
      <c r="AA1524" s="32">
        <f>IF($A1524=1,IF(Supplier_Invoices!$Q64="","",Supplier_Invoices!$Q64),"")</f>
        <v/>
      </c>
      <c r="AB1524" s="32">
        <f>IF($A1524=1,IF(Supplier_Invoices!$R64="","",Supplier_Invoices!$R64),"")</f>
        <v/>
      </c>
      <c r="AC1524" s="32">
        <f>IF($A1524=1,IF(Supplier_Invoices!$S64="","",Supplier_Invoices!$S64),"")</f>
        <v/>
      </c>
      <c r="AD1524" s="32">
        <f>IF($A1524=1,IF(Supplier_Invoices!$T64="","",Supplier_Invoices!$T64),"")</f>
        <v/>
      </c>
      <c r="AE1524" s="32">
        <f>IF($A1524=1,0,"")</f>
        <v/>
      </c>
      <c r="AF1524" s="32" t="inlineStr"/>
    </row>
    <row r="1525">
      <c r="A1525" s="32">
        <f>IF(AND(Supplier_Invoices!$AD64=1,N(Supplier_Invoices!$K64)&gt;0),1,0)</f>
        <v/>
      </c>
      <c r="B1525" s="32">
        <f>IF($A1525=1,$E1525&amp;"/2","")</f>
        <v/>
      </c>
      <c r="C1525" s="32">
        <f>IF($A1525=1,"J-"&amp;Supplier_Invoices!$A64,"")</f>
        <v/>
      </c>
      <c r="D1525" s="33">
        <f>IF($A1525=1,Supplier_Invoices!$E64,"")</f>
        <v/>
      </c>
      <c r="E1525" s="32">
        <f>IF($A1525=1,IF(Supplier_Invoices!$A64="","",Supplier_Invoices!$A64),"")</f>
        <v/>
      </c>
      <c r="F1525" s="32">
        <f>IF($A1525=1,"SINV","")</f>
        <v/>
      </c>
      <c r="G1525" s="32">
        <f>IF($A1525=1,ACC_VAT_IN,"")</f>
        <v/>
      </c>
      <c r="H1525" s="32">
        <f>IF($A1525=1,IF(COUNTIF(COA!$A:$A,$G1525)=0,"حساب غير معرف",INDEX(COA!$B:$B,MATCH($G1525,COA!$A:$A,0))),"")</f>
        <v/>
      </c>
      <c r="I1525" s="32">
        <f>IF($A1525=1,IF(Supplier_Invoices!$H64="","",Supplier_Invoices!$H64),"")</f>
        <v/>
      </c>
      <c r="J1525" s="32">
        <f>IF($A1525=1,IF(Supplier_Invoices!$I64="","",Supplier_Invoices!$I64),"")</f>
        <v/>
      </c>
      <c r="K1525" s="32">
        <f>IF($A1525=1,"-","")</f>
        <v/>
      </c>
      <c r="L1525" s="32">
        <f>IF($A1525=1,"ضريبة قيمة مضافة - مدخلات","")</f>
        <v/>
      </c>
      <c r="M1525" s="43">
        <f>IF($A1525=1,IF(Supplier_Invoices!$V64="CN",0,Supplier_Invoices!$K64),"")</f>
        <v/>
      </c>
      <c r="N1525" s="43">
        <f>IF($A1525=1,IF(Supplier_Invoices!$V64="CN",Supplier_Invoices!$K64,0),"")</f>
        <v/>
      </c>
      <c r="O1525" s="32">
        <f>IF($A1525=1,Supplier_Invoices!$O64,"")</f>
        <v/>
      </c>
      <c r="P1525" s="32">
        <f>IF($A1525=1,IF(Supplier_Invoices!$AE64="","",Supplier_Invoices!$AE64),"")</f>
        <v/>
      </c>
      <c r="Q1525" s="32">
        <f>IF($A1525=1,Supplier_Invoices!$AG64,"")</f>
        <v/>
      </c>
      <c r="R1525" s="32">
        <f>IF($A1525=1,IF(AND($Q1525=1,COUNTIFS(COA!$A:$A,$G1525,COA!$R:$R,1)=1),1,0),"")</f>
        <v/>
      </c>
      <c r="S1525" s="43">
        <f>IF($A1525=1,IF($R1525=1,N($M1525),0),"")</f>
        <v/>
      </c>
      <c r="T1525" s="43">
        <f>IF($A1525=1,IF($R1525=1,N($N1525),0),"")</f>
        <v/>
      </c>
      <c r="U1525" s="32">
        <f>IF($A1525=1,YEAR($D1525)*100+MONTH($D1525),"")</f>
        <v/>
      </c>
      <c r="V1525" s="32">
        <f>IF($A1525=1,IF(COUNTIF(COA!$A:$A,$G1525)=0,0,INDEX(COA!$H:$H,MATCH($G1525,COA!$A:$A,0))),"")</f>
        <v/>
      </c>
      <c r="W1525" s="32">
        <f>IF($A1525=1,"","")</f>
        <v/>
      </c>
      <c r="X1525" s="32">
        <f>IF($A1525=1,IF($R1525=1,"",IF($O1525=ST_POST,IF($P1525&lt;&gt;"",$P1525,"حساب غير صالح أو غير نشط"),IF($O1525=ST_REV,"معكوس: لا أثر على الدفاتر",IF($O1525=ST_CANC,"ملغى",IF($O1525=ST_APPR,"معتمد ولم يُرحَّل","مسودة"))))),"")</f>
        <v/>
      </c>
      <c r="Y1525" s="32">
        <f>IF($A1525=1,IF(AND($R1525=1,OR(LG_Acct="",$G1525=LG_Acct),OR(LG_Party="",$K1525=LG_Party),OR(LG_Loc="ALL",$I1525=LG_Loc),OR(LG_CC="ALL",$J1525=LG_CC),$D1525&gt;=LG_From,$D1525&lt;=LG_To),$D1525+ROW()/1000000,""),"")</f>
        <v/>
      </c>
      <c r="Z1525" s="32">
        <f>IF($A1525=1,IF(Supplier_Invoices!$P64="","",Supplier_Invoices!$P64),"")</f>
        <v/>
      </c>
      <c r="AA1525" s="32">
        <f>IF($A1525=1,IF(Supplier_Invoices!$Q64="","",Supplier_Invoices!$Q64),"")</f>
        <v/>
      </c>
      <c r="AB1525" s="32">
        <f>IF($A1525=1,IF(Supplier_Invoices!$R64="","",Supplier_Invoices!$R64),"")</f>
        <v/>
      </c>
      <c r="AC1525" s="32">
        <f>IF($A1525=1,IF(Supplier_Invoices!$S64="","",Supplier_Invoices!$S64),"")</f>
        <v/>
      </c>
      <c r="AD1525" s="32">
        <f>IF($A1525=1,IF(Supplier_Invoices!$T64="","",Supplier_Invoices!$T64),"")</f>
        <v/>
      </c>
      <c r="AE1525" s="32">
        <f>IF($A1525=1,0,"")</f>
        <v/>
      </c>
      <c r="AF1525" s="32" t="inlineStr"/>
    </row>
    <row r="1526">
      <c r="A1526" s="32">
        <f>IF(AND(Supplier_Invoices!$AD64=1,N(Supplier_Invoices!$W64)&gt;0),1,0)</f>
        <v/>
      </c>
      <c r="B1526" s="32">
        <f>IF($A1526=1,$E1526&amp;"/3","")</f>
        <v/>
      </c>
      <c r="C1526" s="32">
        <f>IF($A1526=1,"J-"&amp;Supplier_Invoices!$A64,"")</f>
        <v/>
      </c>
      <c r="D1526" s="33">
        <f>IF($A1526=1,Supplier_Invoices!$E64,"")</f>
        <v/>
      </c>
      <c r="E1526" s="32">
        <f>IF($A1526=1,IF(Supplier_Invoices!$A64="","",Supplier_Invoices!$A64),"")</f>
        <v/>
      </c>
      <c r="F1526" s="32">
        <f>IF($A1526=1,"SINV","")</f>
        <v/>
      </c>
      <c r="G1526" s="32">
        <f>IF($A1526=1,ACC_SUPPLIERS,"")</f>
        <v/>
      </c>
      <c r="H1526" s="32">
        <f>IF($A1526=1,IF(COUNTIF(COA!$A:$A,$G1526)=0,"حساب غير معرف",INDEX(COA!$B:$B,MATCH($G1526,COA!$A:$A,0))),"")</f>
        <v/>
      </c>
      <c r="I1526" s="32">
        <f>IF($A1526=1,IF(Supplier_Invoices!$H64="","",Supplier_Invoices!$H64),"")</f>
        <v/>
      </c>
      <c r="J1526" s="32">
        <f>IF($A1526=1,"CC00","")</f>
        <v/>
      </c>
      <c r="K1526" s="32">
        <f>IF($A1526=1,IF(Supplier_Invoices!$C64="","",Supplier_Invoices!$C64),"")</f>
        <v/>
      </c>
      <c r="L1526" s="32">
        <f>IF($A1526=1,Supplier_Invoices!$F64&amp;" "&amp;Supplier_Invoices!$B64&amp;" - "&amp;Supplier_Invoices!$C64,"")</f>
        <v/>
      </c>
      <c r="M1526" s="43">
        <f>IF($A1526=1,IF(Supplier_Invoices!$V64="CN",Supplier_Invoices!$W64,0),"")</f>
        <v/>
      </c>
      <c r="N1526" s="43">
        <f>IF($A1526=1,IF(Supplier_Invoices!$V64="CN",0,Supplier_Invoices!$W64),"")</f>
        <v/>
      </c>
      <c r="O1526" s="32">
        <f>IF($A1526=1,Supplier_Invoices!$O64,"")</f>
        <v/>
      </c>
      <c r="P1526" s="32">
        <f>IF($A1526=1,IF(Supplier_Invoices!$AE64="","",Supplier_Invoices!$AE64),"")</f>
        <v/>
      </c>
      <c r="Q1526" s="32">
        <f>IF($A1526=1,Supplier_Invoices!$AG64,"")</f>
        <v/>
      </c>
      <c r="R1526" s="32">
        <f>IF($A1526=1,IF(AND($Q1526=1,COUNTIFS(COA!$A:$A,$G1526,COA!$R:$R,1)=1),1,0),"")</f>
        <v/>
      </c>
      <c r="S1526" s="43">
        <f>IF($A1526=1,IF($R1526=1,N($M1526),0),"")</f>
        <v/>
      </c>
      <c r="T1526" s="43">
        <f>IF($A1526=1,IF($R1526=1,N($N1526),0),"")</f>
        <v/>
      </c>
      <c r="U1526" s="32">
        <f>IF($A1526=1,YEAR($D1526)*100+MONTH($D1526),"")</f>
        <v/>
      </c>
      <c r="V1526" s="32">
        <f>IF($A1526=1,IF(COUNTIF(COA!$A:$A,$G1526)=0,0,INDEX(COA!$H:$H,MATCH($G1526,COA!$A:$A,0))),"")</f>
        <v/>
      </c>
      <c r="W1526" s="32">
        <f>IF($A1526=1,"","")</f>
        <v/>
      </c>
      <c r="X1526" s="32">
        <f>IF($A1526=1,IF($R1526=1,"",IF($O1526=ST_POST,IF($P1526&lt;&gt;"",$P1526,"حساب غير صالح أو غير نشط"),IF($O1526=ST_REV,"معكوس: لا أثر على الدفاتر",IF($O1526=ST_CANC,"ملغى",IF($O1526=ST_APPR,"معتمد ولم يُرحَّل","مسودة"))))),"")</f>
        <v/>
      </c>
      <c r="Y1526" s="32">
        <f>IF($A1526=1,IF(AND($R1526=1,OR(LG_Acct="",$G1526=LG_Acct),OR(LG_Party="",$K1526=LG_Party),OR(LG_Loc="ALL",$I1526=LG_Loc),OR(LG_CC="ALL",$J1526=LG_CC),$D1526&gt;=LG_From,$D1526&lt;=LG_To),$D1526+ROW()/1000000,""),"")</f>
        <v/>
      </c>
      <c r="Z1526" s="32">
        <f>IF($A1526=1,IF(Supplier_Invoices!$P64="","",Supplier_Invoices!$P64),"")</f>
        <v/>
      </c>
      <c r="AA1526" s="32">
        <f>IF($A1526=1,IF(Supplier_Invoices!$Q64="","",Supplier_Invoices!$Q64),"")</f>
        <v/>
      </c>
      <c r="AB1526" s="32">
        <f>IF($A1526=1,IF(Supplier_Invoices!$R64="","",Supplier_Invoices!$R64),"")</f>
        <v/>
      </c>
      <c r="AC1526" s="32">
        <f>IF($A1526=1,IF(Supplier_Invoices!$S64="","",Supplier_Invoices!$S64),"")</f>
        <v/>
      </c>
      <c r="AD1526" s="32">
        <f>IF($A1526=1,IF(Supplier_Invoices!$T64="","",Supplier_Invoices!$T64),"")</f>
        <v/>
      </c>
      <c r="AE1526" s="32">
        <f>IF($A1526=1,0,"")</f>
        <v/>
      </c>
      <c r="AF1526" s="32" t="inlineStr"/>
    </row>
    <row r="1527">
      <c r="A1527" s="32">
        <f>IF(AND(Supplier_Invoices!$AD64=1,Supplier_Invoices!$L64&lt;&gt;"",Supplier_Invoices!$V64&lt;&gt;"CN",N(Supplier_Invoices!$W64)&gt;0),1,0)</f>
        <v/>
      </c>
      <c r="B1527" s="32">
        <f>IF($A1527=1,$E1527&amp;"/4","")</f>
        <v/>
      </c>
      <c r="C1527" s="32">
        <f>IF($A1527=1,"J-"&amp;Supplier_Invoices!$A64,"")</f>
        <v/>
      </c>
      <c r="D1527" s="33">
        <f>IF($A1527=1,Supplier_Invoices!$E64,"")</f>
        <v/>
      </c>
      <c r="E1527" s="32">
        <f>IF($A1527=1,IF(Supplier_Invoices!$A64="","",Supplier_Invoices!$A64),"")</f>
        <v/>
      </c>
      <c r="F1527" s="32">
        <f>IF($A1527=1,"SINV","")</f>
        <v/>
      </c>
      <c r="G1527" s="32">
        <f>IF($A1527=1,ACC_SUPPLIERS,"")</f>
        <v/>
      </c>
      <c r="H1527" s="32">
        <f>IF($A1527=1,IF(COUNTIF(COA!$A:$A,$G1527)=0,"حساب غير معرف",INDEX(COA!$B:$B,MATCH($G1527,COA!$A:$A,0))),"")</f>
        <v/>
      </c>
      <c r="I1527" s="32">
        <f>IF($A1527=1,IF(Supplier_Invoices!$H64="","",Supplier_Invoices!$H64),"")</f>
        <v/>
      </c>
      <c r="J1527" s="32">
        <f>IF($A1527=1,"CC00","")</f>
        <v/>
      </c>
      <c r="K1527" s="32">
        <f>IF($A1527=1,IF(Supplier_Invoices!$C64="","",Supplier_Invoices!$C64),"")</f>
        <v/>
      </c>
      <c r="L1527" s="32">
        <f>IF($A1527=1,"سداد فوري - "&amp;Supplier_Invoices!$F64&amp;" "&amp;Supplier_Invoices!$B64&amp;" - "&amp;Supplier_Invoices!$C64,"")</f>
        <v/>
      </c>
      <c r="M1527" s="43">
        <f>IF($A1527=1,Supplier_Invoices!$W64,"")</f>
        <v/>
      </c>
      <c r="N1527" s="43">
        <f>IF($A1527=1,0,"")</f>
        <v/>
      </c>
      <c r="O1527" s="32">
        <f>IF($A1527=1,Supplier_Invoices!$O64,"")</f>
        <v/>
      </c>
      <c r="P1527" s="32">
        <f>IF($A1527=1,IF(Supplier_Invoices!$AE64="","",Supplier_Invoices!$AE64),"")</f>
        <v/>
      </c>
      <c r="Q1527" s="32">
        <f>IF($A1527=1,Supplier_Invoices!$AG64,"")</f>
        <v/>
      </c>
      <c r="R1527" s="32">
        <f>IF($A1527=1,IF(AND($Q1527=1,COUNTIFS(COA!$A:$A,$G1527,COA!$R:$R,1)=1),1,0),"")</f>
        <v/>
      </c>
      <c r="S1527" s="43">
        <f>IF($A1527=1,IF($R1527=1,N($M1527),0),"")</f>
        <v/>
      </c>
      <c r="T1527" s="43">
        <f>IF($A1527=1,IF($R1527=1,N($N1527),0),"")</f>
        <v/>
      </c>
      <c r="U1527" s="32">
        <f>IF($A1527=1,YEAR($D1527)*100+MONTH($D1527),"")</f>
        <v/>
      </c>
      <c r="V1527" s="32">
        <f>IF($A1527=1,IF(COUNTIF(COA!$A:$A,$G1527)=0,0,INDEX(COA!$H:$H,MATCH($G1527,COA!$A:$A,0))),"")</f>
        <v/>
      </c>
      <c r="W1527" s="32">
        <f>IF($A1527=1,"","")</f>
        <v/>
      </c>
      <c r="X1527" s="32">
        <f>IF($A1527=1,IF($R1527=1,"",IF($O1527=ST_POST,IF($P1527&lt;&gt;"",$P1527,"حساب غير صالح أو غير نشط"),IF($O1527=ST_REV,"معكوس: لا أثر على الدفاتر",IF($O1527=ST_CANC,"ملغى",IF($O1527=ST_APPR,"معتمد ولم يُرحَّل","مسودة"))))),"")</f>
        <v/>
      </c>
      <c r="Y1527" s="32">
        <f>IF($A1527=1,IF(AND($R1527=1,OR(LG_Acct="",$G1527=LG_Acct),OR(LG_Party="",$K1527=LG_Party),OR(LG_Loc="ALL",$I1527=LG_Loc),OR(LG_CC="ALL",$J1527=LG_CC),$D1527&gt;=LG_From,$D1527&lt;=LG_To),$D1527+ROW()/1000000,""),"")</f>
        <v/>
      </c>
      <c r="Z1527" s="32">
        <f>IF($A1527=1,IF(Supplier_Invoices!$P64="","",Supplier_Invoices!$P64),"")</f>
        <v/>
      </c>
      <c r="AA1527" s="32">
        <f>IF($A1527=1,IF(Supplier_Invoices!$Q64="","",Supplier_Invoices!$Q64),"")</f>
        <v/>
      </c>
      <c r="AB1527" s="32">
        <f>IF($A1527=1,IF(Supplier_Invoices!$R64="","",Supplier_Invoices!$R64),"")</f>
        <v/>
      </c>
      <c r="AC1527" s="32">
        <f>IF($A1527=1,IF(Supplier_Invoices!$S64="","",Supplier_Invoices!$S64),"")</f>
        <v/>
      </c>
      <c r="AD1527" s="32">
        <f>IF($A1527=1,IF(Supplier_Invoices!$T64="","",Supplier_Invoices!$T64),"")</f>
        <v/>
      </c>
      <c r="AE1527" s="32">
        <f>IF($A1527=1,0,"")</f>
        <v/>
      </c>
      <c r="AF1527" s="32" t="inlineStr"/>
    </row>
    <row r="1528">
      <c r="A1528" s="32">
        <f>IF(AND(Supplier_Invoices!$AD64=1,Supplier_Invoices!$L64&lt;&gt;"",Supplier_Invoices!$V64&lt;&gt;"CN",N(Supplier_Invoices!$W64)&gt;0),1,0)</f>
        <v/>
      </c>
      <c r="B1528" s="32">
        <f>IF($A1528=1,$E1528&amp;"/5","")</f>
        <v/>
      </c>
      <c r="C1528" s="32">
        <f>IF($A1528=1,"J-"&amp;Supplier_Invoices!$A64,"")</f>
        <v/>
      </c>
      <c r="D1528" s="33">
        <f>IF($A1528=1,Supplier_Invoices!$E64,"")</f>
        <v/>
      </c>
      <c r="E1528" s="32">
        <f>IF($A1528=1,IF(Supplier_Invoices!$A64="","",Supplier_Invoices!$A64),"")</f>
        <v/>
      </c>
      <c r="F1528" s="32">
        <f>IF($A1528=1,"SINV","")</f>
        <v/>
      </c>
      <c r="G1528" s="32">
        <f>IF($A1528=1,IF(Supplier_Invoices!$AA64="","",Supplier_Invoices!$AA64),"")</f>
        <v/>
      </c>
      <c r="H1528" s="32">
        <f>IF($A1528=1,IF(COUNTIF(COA!$A:$A,$G1528)=0,"حساب غير معرف",INDEX(COA!$B:$B,MATCH($G1528,COA!$A:$A,0))),"")</f>
        <v/>
      </c>
      <c r="I1528" s="32">
        <f>IF($A1528=1,IF(Supplier_Invoices!$H64="","",Supplier_Invoices!$H64),"")</f>
        <v/>
      </c>
      <c r="J1528" s="32">
        <f>IF($A1528=1,"CC00","")</f>
        <v/>
      </c>
      <c r="K1528" s="32">
        <f>IF($A1528=1,"-","")</f>
        <v/>
      </c>
      <c r="L1528" s="32">
        <f>IF($A1528=1,"سداد فوري - "&amp;Supplier_Invoices!$F64&amp;" "&amp;Supplier_Invoices!$B64&amp;" - "&amp;Supplier_Invoices!$C64,"")</f>
        <v/>
      </c>
      <c r="M1528" s="43">
        <f>IF($A1528=1,0,"")</f>
        <v/>
      </c>
      <c r="N1528" s="43">
        <f>IF($A1528=1,Supplier_Invoices!$W64,"")</f>
        <v/>
      </c>
      <c r="O1528" s="32">
        <f>IF($A1528=1,Supplier_Invoices!$O64,"")</f>
        <v/>
      </c>
      <c r="P1528" s="32">
        <f>IF($A1528=1,IF(Supplier_Invoices!$AE64="","",Supplier_Invoices!$AE64),"")</f>
        <v/>
      </c>
      <c r="Q1528" s="32">
        <f>IF($A1528=1,Supplier_Invoices!$AG64,"")</f>
        <v/>
      </c>
      <c r="R1528" s="32">
        <f>IF($A1528=1,IF(AND($Q1528=1,COUNTIFS(COA!$A:$A,$G1528,COA!$R:$R,1)=1),1,0),"")</f>
        <v/>
      </c>
      <c r="S1528" s="43">
        <f>IF($A1528=1,IF($R1528=1,N($M1528),0),"")</f>
        <v/>
      </c>
      <c r="T1528" s="43">
        <f>IF($A1528=1,IF($R1528=1,N($N1528),0),"")</f>
        <v/>
      </c>
      <c r="U1528" s="32">
        <f>IF($A1528=1,YEAR($D1528)*100+MONTH($D1528),"")</f>
        <v/>
      </c>
      <c r="V1528" s="32">
        <f>IF($A1528=1,IF(COUNTIF(COA!$A:$A,$G1528)=0,0,INDEX(COA!$H:$H,MATCH($G1528,COA!$A:$A,0))),"")</f>
        <v/>
      </c>
      <c r="W1528" s="32">
        <f>IF($A1528=1,IF(Supplier_Invoices!$AB64="","",Supplier_Invoices!$AB64),"")</f>
        <v/>
      </c>
      <c r="X1528" s="32">
        <f>IF($A1528=1,IF($R1528=1,"",IF($O1528=ST_POST,IF($P1528&lt;&gt;"",$P1528,"حساب غير صالح أو غير نشط"),IF($O1528=ST_REV,"معكوس: لا أثر على الدفاتر",IF($O1528=ST_CANC,"ملغى",IF($O1528=ST_APPR,"معتمد ولم يُرحَّل","مسودة"))))),"")</f>
        <v/>
      </c>
      <c r="Y1528" s="32">
        <f>IF($A1528=1,IF(AND($R1528=1,OR(LG_Acct="",$G1528=LG_Acct),OR(LG_Party="",$K1528=LG_Party),OR(LG_Loc="ALL",$I1528=LG_Loc),OR(LG_CC="ALL",$J1528=LG_CC),$D1528&gt;=LG_From,$D1528&lt;=LG_To),$D1528+ROW()/1000000,""),"")</f>
        <v/>
      </c>
      <c r="Z1528" s="32">
        <f>IF($A1528=1,IF(Supplier_Invoices!$P64="","",Supplier_Invoices!$P64),"")</f>
        <v/>
      </c>
      <c r="AA1528" s="32">
        <f>IF($A1528=1,IF(Supplier_Invoices!$Q64="","",Supplier_Invoices!$Q64),"")</f>
        <v/>
      </c>
      <c r="AB1528" s="32">
        <f>IF($A1528=1,IF(Supplier_Invoices!$R64="","",Supplier_Invoices!$R64),"")</f>
        <v/>
      </c>
      <c r="AC1528" s="32">
        <f>IF($A1528=1,IF(Supplier_Invoices!$S64="","",Supplier_Invoices!$S64),"")</f>
        <v/>
      </c>
      <c r="AD1528" s="32">
        <f>IF($A1528=1,IF(Supplier_Invoices!$T64="","",Supplier_Invoices!$T64),"")</f>
        <v/>
      </c>
      <c r="AE1528" s="32">
        <f>IF($A1528=1,0,"")</f>
        <v/>
      </c>
      <c r="AF1528" s="32" t="inlineStr"/>
    </row>
    <row r="1529">
      <c r="A1529" s="32">
        <f>IF(AND(Supplier_Invoices!$AD65=1,N(Supplier_Invoices!$J65)&gt;0),1,0)</f>
        <v/>
      </c>
      <c r="B1529" s="32">
        <f>IF($A1529=1,$E1529&amp;"/1","")</f>
        <v/>
      </c>
      <c r="C1529" s="32">
        <f>IF($A1529=1,"J-"&amp;Supplier_Invoices!$A65,"")</f>
        <v/>
      </c>
      <c r="D1529" s="33">
        <f>IF($A1529=1,Supplier_Invoices!$E65,"")</f>
        <v/>
      </c>
      <c r="E1529" s="32">
        <f>IF($A1529=1,IF(Supplier_Invoices!$A65="","",Supplier_Invoices!$A65),"")</f>
        <v/>
      </c>
      <c r="F1529" s="32">
        <f>IF($A1529=1,"SINV","")</f>
        <v/>
      </c>
      <c r="G1529" s="32">
        <f>IF($A1529=1,IF(Supplier_Invoices!$G65="","",Supplier_Invoices!$G65),"")</f>
        <v/>
      </c>
      <c r="H1529" s="32">
        <f>IF($A1529=1,IF(COUNTIF(COA!$A:$A,$G1529)=0,"حساب غير معرف",INDEX(COA!$B:$B,MATCH($G1529,COA!$A:$A,0))),"")</f>
        <v/>
      </c>
      <c r="I1529" s="32">
        <f>IF($A1529=1,IF(Supplier_Invoices!$H65="","",Supplier_Invoices!$H65),"")</f>
        <v/>
      </c>
      <c r="J1529" s="32">
        <f>IF($A1529=1,IF(Supplier_Invoices!$I65="","",Supplier_Invoices!$I65),"")</f>
        <v/>
      </c>
      <c r="K1529" s="32">
        <f>IF($A1529=1,"-","")</f>
        <v/>
      </c>
      <c r="L1529" s="32">
        <f>IF($A1529=1,Supplier_Invoices!$F65&amp;" "&amp;Supplier_Invoices!$B65&amp;" - "&amp;Supplier_Invoices!$C65,"")</f>
        <v/>
      </c>
      <c r="M1529" s="43">
        <f>IF($A1529=1,IF(Supplier_Invoices!$V65="CN",0,Supplier_Invoices!$J65),"")</f>
        <v/>
      </c>
      <c r="N1529" s="43">
        <f>IF($A1529=1,IF(Supplier_Invoices!$V65="CN",Supplier_Invoices!$J65,0),"")</f>
        <v/>
      </c>
      <c r="O1529" s="32">
        <f>IF($A1529=1,Supplier_Invoices!$O65,"")</f>
        <v/>
      </c>
      <c r="P1529" s="32">
        <f>IF($A1529=1,IF(Supplier_Invoices!$AE65="","",Supplier_Invoices!$AE65),"")</f>
        <v/>
      </c>
      <c r="Q1529" s="32">
        <f>IF($A1529=1,Supplier_Invoices!$AG65,"")</f>
        <v/>
      </c>
      <c r="R1529" s="32">
        <f>IF($A1529=1,IF(AND($Q1529=1,COUNTIFS(COA!$A:$A,$G1529,COA!$R:$R,1)=1),1,0),"")</f>
        <v/>
      </c>
      <c r="S1529" s="43">
        <f>IF($A1529=1,IF($R1529=1,N($M1529),0),"")</f>
        <v/>
      </c>
      <c r="T1529" s="43">
        <f>IF($A1529=1,IF($R1529=1,N($N1529),0),"")</f>
        <v/>
      </c>
      <c r="U1529" s="32">
        <f>IF($A1529=1,YEAR($D1529)*100+MONTH($D1529),"")</f>
        <v/>
      </c>
      <c r="V1529" s="32">
        <f>IF($A1529=1,IF(COUNTIF(COA!$A:$A,$G1529)=0,0,INDEX(COA!$H:$H,MATCH($G1529,COA!$A:$A,0))),"")</f>
        <v/>
      </c>
      <c r="W1529" s="32">
        <f>IF($A1529=1,"","")</f>
        <v/>
      </c>
      <c r="X1529" s="32">
        <f>IF($A1529=1,IF($R1529=1,"",IF($O1529=ST_POST,IF($P1529&lt;&gt;"",$P1529,"حساب غير صالح أو غير نشط"),IF($O1529=ST_REV,"معكوس: لا أثر على الدفاتر",IF($O1529=ST_CANC,"ملغى",IF($O1529=ST_APPR,"معتمد ولم يُرحَّل","مسودة"))))),"")</f>
        <v/>
      </c>
      <c r="Y1529" s="32">
        <f>IF($A1529=1,IF(AND($R1529=1,OR(LG_Acct="",$G1529=LG_Acct),OR(LG_Party="",$K1529=LG_Party),OR(LG_Loc="ALL",$I1529=LG_Loc),OR(LG_CC="ALL",$J1529=LG_CC),$D1529&gt;=LG_From,$D1529&lt;=LG_To),$D1529+ROW()/1000000,""),"")</f>
        <v/>
      </c>
      <c r="Z1529" s="32">
        <f>IF($A1529=1,IF(Supplier_Invoices!$P65="","",Supplier_Invoices!$P65),"")</f>
        <v/>
      </c>
      <c r="AA1529" s="32">
        <f>IF($A1529=1,IF(Supplier_Invoices!$Q65="","",Supplier_Invoices!$Q65),"")</f>
        <v/>
      </c>
      <c r="AB1529" s="32">
        <f>IF($A1529=1,IF(Supplier_Invoices!$R65="","",Supplier_Invoices!$R65),"")</f>
        <v/>
      </c>
      <c r="AC1529" s="32">
        <f>IF($A1529=1,IF(Supplier_Invoices!$S65="","",Supplier_Invoices!$S65),"")</f>
        <v/>
      </c>
      <c r="AD1529" s="32">
        <f>IF($A1529=1,IF(Supplier_Invoices!$T65="","",Supplier_Invoices!$T65),"")</f>
        <v/>
      </c>
      <c r="AE1529" s="32">
        <f>IF($A1529=1,0,"")</f>
        <v/>
      </c>
      <c r="AF1529" s="32" t="inlineStr"/>
    </row>
    <row r="1530">
      <c r="A1530" s="32">
        <f>IF(AND(Supplier_Invoices!$AD65=1,N(Supplier_Invoices!$K65)&gt;0),1,0)</f>
        <v/>
      </c>
      <c r="B1530" s="32">
        <f>IF($A1530=1,$E1530&amp;"/2","")</f>
        <v/>
      </c>
      <c r="C1530" s="32">
        <f>IF($A1530=1,"J-"&amp;Supplier_Invoices!$A65,"")</f>
        <v/>
      </c>
      <c r="D1530" s="33">
        <f>IF($A1530=1,Supplier_Invoices!$E65,"")</f>
        <v/>
      </c>
      <c r="E1530" s="32">
        <f>IF($A1530=1,IF(Supplier_Invoices!$A65="","",Supplier_Invoices!$A65),"")</f>
        <v/>
      </c>
      <c r="F1530" s="32">
        <f>IF($A1530=1,"SINV","")</f>
        <v/>
      </c>
      <c r="G1530" s="32">
        <f>IF($A1530=1,ACC_VAT_IN,"")</f>
        <v/>
      </c>
      <c r="H1530" s="32">
        <f>IF($A1530=1,IF(COUNTIF(COA!$A:$A,$G1530)=0,"حساب غير معرف",INDEX(COA!$B:$B,MATCH($G1530,COA!$A:$A,0))),"")</f>
        <v/>
      </c>
      <c r="I1530" s="32">
        <f>IF($A1530=1,IF(Supplier_Invoices!$H65="","",Supplier_Invoices!$H65),"")</f>
        <v/>
      </c>
      <c r="J1530" s="32">
        <f>IF($A1530=1,IF(Supplier_Invoices!$I65="","",Supplier_Invoices!$I65),"")</f>
        <v/>
      </c>
      <c r="K1530" s="32">
        <f>IF($A1530=1,"-","")</f>
        <v/>
      </c>
      <c r="L1530" s="32">
        <f>IF($A1530=1,"ضريبة قيمة مضافة - مدخلات","")</f>
        <v/>
      </c>
      <c r="M1530" s="43">
        <f>IF($A1530=1,IF(Supplier_Invoices!$V65="CN",0,Supplier_Invoices!$K65),"")</f>
        <v/>
      </c>
      <c r="N1530" s="43">
        <f>IF($A1530=1,IF(Supplier_Invoices!$V65="CN",Supplier_Invoices!$K65,0),"")</f>
        <v/>
      </c>
      <c r="O1530" s="32">
        <f>IF($A1530=1,Supplier_Invoices!$O65,"")</f>
        <v/>
      </c>
      <c r="P1530" s="32">
        <f>IF($A1530=1,IF(Supplier_Invoices!$AE65="","",Supplier_Invoices!$AE65),"")</f>
        <v/>
      </c>
      <c r="Q1530" s="32">
        <f>IF($A1530=1,Supplier_Invoices!$AG65,"")</f>
        <v/>
      </c>
      <c r="R1530" s="32">
        <f>IF($A1530=1,IF(AND($Q1530=1,COUNTIFS(COA!$A:$A,$G1530,COA!$R:$R,1)=1),1,0),"")</f>
        <v/>
      </c>
      <c r="S1530" s="43">
        <f>IF($A1530=1,IF($R1530=1,N($M1530),0),"")</f>
        <v/>
      </c>
      <c r="T1530" s="43">
        <f>IF($A1530=1,IF($R1530=1,N($N1530),0),"")</f>
        <v/>
      </c>
      <c r="U1530" s="32">
        <f>IF($A1530=1,YEAR($D1530)*100+MONTH($D1530),"")</f>
        <v/>
      </c>
      <c r="V1530" s="32">
        <f>IF($A1530=1,IF(COUNTIF(COA!$A:$A,$G1530)=0,0,INDEX(COA!$H:$H,MATCH($G1530,COA!$A:$A,0))),"")</f>
        <v/>
      </c>
      <c r="W1530" s="32">
        <f>IF($A1530=1,"","")</f>
        <v/>
      </c>
      <c r="X1530" s="32">
        <f>IF($A1530=1,IF($R1530=1,"",IF($O1530=ST_POST,IF($P1530&lt;&gt;"",$P1530,"حساب غير صالح أو غير نشط"),IF($O1530=ST_REV,"معكوس: لا أثر على الدفاتر",IF($O1530=ST_CANC,"ملغى",IF($O1530=ST_APPR,"معتمد ولم يُرحَّل","مسودة"))))),"")</f>
        <v/>
      </c>
      <c r="Y1530" s="32">
        <f>IF($A1530=1,IF(AND($R1530=1,OR(LG_Acct="",$G1530=LG_Acct),OR(LG_Party="",$K1530=LG_Party),OR(LG_Loc="ALL",$I1530=LG_Loc),OR(LG_CC="ALL",$J1530=LG_CC),$D1530&gt;=LG_From,$D1530&lt;=LG_To),$D1530+ROW()/1000000,""),"")</f>
        <v/>
      </c>
      <c r="Z1530" s="32">
        <f>IF($A1530=1,IF(Supplier_Invoices!$P65="","",Supplier_Invoices!$P65),"")</f>
        <v/>
      </c>
      <c r="AA1530" s="32">
        <f>IF($A1530=1,IF(Supplier_Invoices!$Q65="","",Supplier_Invoices!$Q65),"")</f>
        <v/>
      </c>
      <c r="AB1530" s="32">
        <f>IF($A1530=1,IF(Supplier_Invoices!$R65="","",Supplier_Invoices!$R65),"")</f>
        <v/>
      </c>
      <c r="AC1530" s="32">
        <f>IF($A1530=1,IF(Supplier_Invoices!$S65="","",Supplier_Invoices!$S65),"")</f>
        <v/>
      </c>
      <c r="AD1530" s="32">
        <f>IF($A1530=1,IF(Supplier_Invoices!$T65="","",Supplier_Invoices!$T65),"")</f>
        <v/>
      </c>
      <c r="AE1530" s="32">
        <f>IF($A1530=1,0,"")</f>
        <v/>
      </c>
      <c r="AF1530" s="32" t="inlineStr"/>
    </row>
    <row r="1531">
      <c r="A1531" s="32">
        <f>IF(AND(Supplier_Invoices!$AD65=1,N(Supplier_Invoices!$W65)&gt;0),1,0)</f>
        <v/>
      </c>
      <c r="B1531" s="32">
        <f>IF($A1531=1,$E1531&amp;"/3","")</f>
        <v/>
      </c>
      <c r="C1531" s="32">
        <f>IF($A1531=1,"J-"&amp;Supplier_Invoices!$A65,"")</f>
        <v/>
      </c>
      <c r="D1531" s="33">
        <f>IF($A1531=1,Supplier_Invoices!$E65,"")</f>
        <v/>
      </c>
      <c r="E1531" s="32">
        <f>IF($A1531=1,IF(Supplier_Invoices!$A65="","",Supplier_Invoices!$A65),"")</f>
        <v/>
      </c>
      <c r="F1531" s="32">
        <f>IF($A1531=1,"SINV","")</f>
        <v/>
      </c>
      <c r="G1531" s="32">
        <f>IF($A1531=1,ACC_SUPPLIERS,"")</f>
        <v/>
      </c>
      <c r="H1531" s="32">
        <f>IF($A1531=1,IF(COUNTIF(COA!$A:$A,$G1531)=0,"حساب غير معرف",INDEX(COA!$B:$B,MATCH($G1531,COA!$A:$A,0))),"")</f>
        <v/>
      </c>
      <c r="I1531" s="32">
        <f>IF($A1531=1,IF(Supplier_Invoices!$H65="","",Supplier_Invoices!$H65),"")</f>
        <v/>
      </c>
      <c r="J1531" s="32">
        <f>IF($A1531=1,"CC00","")</f>
        <v/>
      </c>
      <c r="K1531" s="32">
        <f>IF($A1531=1,IF(Supplier_Invoices!$C65="","",Supplier_Invoices!$C65),"")</f>
        <v/>
      </c>
      <c r="L1531" s="32">
        <f>IF($A1531=1,Supplier_Invoices!$F65&amp;" "&amp;Supplier_Invoices!$B65&amp;" - "&amp;Supplier_Invoices!$C65,"")</f>
        <v/>
      </c>
      <c r="M1531" s="43">
        <f>IF($A1531=1,IF(Supplier_Invoices!$V65="CN",Supplier_Invoices!$W65,0),"")</f>
        <v/>
      </c>
      <c r="N1531" s="43">
        <f>IF($A1531=1,IF(Supplier_Invoices!$V65="CN",0,Supplier_Invoices!$W65),"")</f>
        <v/>
      </c>
      <c r="O1531" s="32">
        <f>IF($A1531=1,Supplier_Invoices!$O65,"")</f>
        <v/>
      </c>
      <c r="P1531" s="32">
        <f>IF($A1531=1,IF(Supplier_Invoices!$AE65="","",Supplier_Invoices!$AE65),"")</f>
        <v/>
      </c>
      <c r="Q1531" s="32">
        <f>IF($A1531=1,Supplier_Invoices!$AG65,"")</f>
        <v/>
      </c>
      <c r="R1531" s="32">
        <f>IF($A1531=1,IF(AND($Q1531=1,COUNTIFS(COA!$A:$A,$G1531,COA!$R:$R,1)=1),1,0),"")</f>
        <v/>
      </c>
      <c r="S1531" s="43">
        <f>IF($A1531=1,IF($R1531=1,N($M1531),0),"")</f>
        <v/>
      </c>
      <c r="T1531" s="43">
        <f>IF($A1531=1,IF($R1531=1,N($N1531),0),"")</f>
        <v/>
      </c>
      <c r="U1531" s="32">
        <f>IF($A1531=1,YEAR($D1531)*100+MONTH($D1531),"")</f>
        <v/>
      </c>
      <c r="V1531" s="32">
        <f>IF($A1531=1,IF(COUNTIF(COA!$A:$A,$G1531)=0,0,INDEX(COA!$H:$H,MATCH($G1531,COA!$A:$A,0))),"")</f>
        <v/>
      </c>
      <c r="W1531" s="32">
        <f>IF($A1531=1,"","")</f>
        <v/>
      </c>
      <c r="X1531" s="32">
        <f>IF($A1531=1,IF($R1531=1,"",IF($O1531=ST_POST,IF($P1531&lt;&gt;"",$P1531,"حساب غير صالح أو غير نشط"),IF($O1531=ST_REV,"معكوس: لا أثر على الدفاتر",IF($O1531=ST_CANC,"ملغى",IF($O1531=ST_APPR,"معتمد ولم يُرحَّل","مسودة"))))),"")</f>
        <v/>
      </c>
      <c r="Y1531" s="32">
        <f>IF($A1531=1,IF(AND($R1531=1,OR(LG_Acct="",$G1531=LG_Acct),OR(LG_Party="",$K1531=LG_Party),OR(LG_Loc="ALL",$I1531=LG_Loc),OR(LG_CC="ALL",$J1531=LG_CC),$D1531&gt;=LG_From,$D1531&lt;=LG_To),$D1531+ROW()/1000000,""),"")</f>
        <v/>
      </c>
      <c r="Z1531" s="32">
        <f>IF($A1531=1,IF(Supplier_Invoices!$P65="","",Supplier_Invoices!$P65),"")</f>
        <v/>
      </c>
      <c r="AA1531" s="32">
        <f>IF($A1531=1,IF(Supplier_Invoices!$Q65="","",Supplier_Invoices!$Q65),"")</f>
        <v/>
      </c>
      <c r="AB1531" s="32">
        <f>IF($A1531=1,IF(Supplier_Invoices!$R65="","",Supplier_Invoices!$R65),"")</f>
        <v/>
      </c>
      <c r="AC1531" s="32">
        <f>IF($A1531=1,IF(Supplier_Invoices!$S65="","",Supplier_Invoices!$S65),"")</f>
        <v/>
      </c>
      <c r="AD1531" s="32">
        <f>IF($A1531=1,IF(Supplier_Invoices!$T65="","",Supplier_Invoices!$T65),"")</f>
        <v/>
      </c>
      <c r="AE1531" s="32">
        <f>IF($A1531=1,0,"")</f>
        <v/>
      </c>
      <c r="AF1531" s="32" t="inlineStr"/>
    </row>
    <row r="1532">
      <c r="A1532" s="32">
        <f>IF(AND(Supplier_Invoices!$AD65=1,Supplier_Invoices!$L65&lt;&gt;"",Supplier_Invoices!$V65&lt;&gt;"CN",N(Supplier_Invoices!$W65)&gt;0),1,0)</f>
        <v/>
      </c>
      <c r="B1532" s="32">
        <f>IF($A1532=1,$E1532&amp;"/4","")</f>
        <v/>
      </c>
      <c r="C1532" s="32">
        <f>IF($A1532=1,"J-"&amp;Supplier_Invoices!$A65,"")</f>
        <v/>
      </c>
      <c r="D1532" s="33">
        <f>IF($A1532=1,Supplier_Invoices!$E65,"")</f>
        <v/>
      </c>
      <c r="E1532" s="32">
        <f>IF($A1532=1,IF(Supplier_Invoices!$A65="","",Supplier_Invoices!$A65),"")</f>
        <v/>
      </c>
      <c r="F1532" s="32">
        <f>IF($A1532=1,"SINV","")</f>
        <v/>
      </c>
      <c r="G1532" s="32">
        <f>IF($A1532=1,ACC_SUPPLIERS,"")</f>
        <v/>
      </c>
      <c r="H1532" s="32">
        <f>IF($A1532=1,IF(COUNTIF(COA!$A:$A,$G1532)=0,"حساب غير معرف",INDEX(COA!$B:$B,MATCH($G1532,COA!$A:$A,0))),"")</f>
        <v/>
      </c>
      <c r="I1532" s="32">
        <f>IF($A1532=1,IF(Supplier_Invoices!$H65="","",Supplier_Invoices!$H65),"")</f>
        <v/>
      </c>
      <c r="J1532" s="32">
        <f>IF($A1532=1,"CC00","")</f>
        <v/>
      </c>
      <c r="K1532" s="32">
        <f>IF($A1532=1,IF(Supplier_Invoices!$C65="","",Supplier_Invoices!$C65),"")</f>
        <v/>
      </c>
      <c r="L1532" s="32">
        <f>IF($A1532=1,"سداد فوري - "&amp;Supplier_Invoices!$F65&amp;" "&amp;Supplier_Invoices!$B65&amp;" - "&amp;Supplier_Invoices!$C65,"")</f>
        <v/>
      </c>
      <c r="M1532" s="43">
        <f>IF($A1532=1,Supplier_Invoices!$W65,"")</f>
        <v/>
      </c>
      <c r="N1532" s="43">
        <f>IF($A1532=1,0,"")</f>
        <v/>
      </c>
      <c r="O1532" s="32">
        <f>IF($A1532=1,Supplier_Invoices!$O65,"")</f>
        <v/>
      </c>
      <c r="P1532" s="32">
        <f>IF($A1532=1,IF(Supplier_Invoices!$AE65="","",Supplier_Invoices!$AE65),"")</f>
        <v/>
      </c>
      <c r="Q1532" s="32">
        <f>IF($A1532=1,Supplier_Invoices!$AG65,"")</f>
        <v/>
      </c>
      <c r="R1532" s="32">
        <f>IF($A1532=1,IF(AND($Q1532=1,COUNTIFS(COA!$A:$A,$G1532,COA!$R:$R,1)=1),1,0),"")</f>
        <v/>
      </c>
      <c r="S1532" s="43">
        <f>IF($A1532=1,IF($R1532=1,N($M1532),0),"")</f>
        <v/>
      </c>
      <c r="T1532" s="43">
        <f>IF($A1532=1,IF($R1532=1,N($N1532),0),"")</f>
        <v/>
      </c>
      <c r="U1532" s="32">
        <f>IF($A1532=1,YEAR($D1532)*100+MONTH($D1532),"")</f>
        <v/>
      </c>
      <c r="V1532" s="32">
        <f>IF($A1532=1,IF(COUNTIF(COA!$A:$A,$G1532)=0,0,INDEX(COA!$H:$H,MATCH($G1532,COA!$A:$A,0))),"")</f>
        <v/>
      </c>
      <c r="W1532" s="32">
        <f>IF($A1532=1,"","")</f>
        <v/>
      </c>
      <c r="X1532" s="32">
        <f>IF($A1532=1,IF($R1532=1,"",IF($O1532=ST_POST,IF($P1532&lt;&gt;"",$P1532,"حساب غير صالح أو غير نشط"),IF($O1532=ST_REV,"معكوس: لا أثر على الدفاتر",IF($O1532=ST_CANC,"ملغى",IF($O1532=ST_APPR,"معتمد ولم يُرحَّل","مسودة"))))),"")</f>
        <v/>
      </c>
      <c r="Y1532" s="32">
        <f>IF($A1532=1,IF(AND($R1532=1,OR(LG_Acct="",$G1532=LG_Acct),OR(LG_Party="",$K1532=LG_Party),OR(LG_Loc="ALL",$I1532=LG_Loc),OR(LG_CC="ALL",$J1532=LG_CC),$D1532&gt;=LG_From,$D1532&lt;=LG_To),$D1532+ROW()/1000000,""),"")</f>
        <v/>
      </c>
      <c r="Z1532" s="32">
        <f>IF($A1532=1,IF(Supplier_Invoices!$P65="","",Supplier_Invoices!$P65),"")</f>
        <v/>
      </c>
      <c r="AA1532" s="32">
        <f>IF($A1532=1,IF(Supplier_Invoices!$Q65="","",Supplier_Invoices!$Q65),"")</f>
        <v/>
      </c>
      <c r="AB1532" s="32">
        <f>IF($A1532=1,IF(Supplier_Invoices!$R65="","",Supplier_Invoices!$R65),"")</f>
        <v/>
      </c>
      <c r="AC1532" s="32">
        <f>IF($A1532=1,IF(Supplier_Invoices!$S65="","",Supplier_Invoices!$S65),"")</f>
        <v/>
      </c>
      <c r="AD1532" s="32">
        <f>IF($A1532=1,IF(Supplier_Invoices!$T65="","",Supplier_Invoices!$T65),"")</f>
        <v/>
      </c>
      <c r="AE1532" s="32">
        <f>IF($A1532=1,0,"")</f>
        <v/>
      </c>
      <c r="AF1532" s="32" t="inlineStr"/>
    </row>
    <row r="1533">
      <c r="A1533" s="32">
        <f>IF(AND(Supplier_Invoices!$AD65=1,Supplier_Invoices!$L65&lt;&gt;"",Supplier_Invoices!$V65&lt;&gt;"CN",N(Supplier_Invoices!$W65)&gt;0),1,0)</f>
        <v/>
      </c>
      <c r="B1533" s="32">
        <f>IF($A1533=1,$E1533&amp;"/5","")</f>
        <v/>
      </c>
      <c r="C1533" s="32">
        <f>IF($A1533=1,"J-"&amp;Supplier_Invoices!$A65,"")</f>
        <v/>
      </c>
      <c r="D1533" s="33">
        <f>IF($A1533=1,Supplier_Invoices!$E65,"")</f>
        <v/>
      </c>
      <c r="E1533" s="32">
        <f>IF($A1533=1,IF(Supplier_Invoices!$A65="","",Supplier_Invoices!$A65),"")</f>
        <v/>
      </c>
      <c r="F1533" s="32">
        <f>IF($A1533=1,"SINV","")</f>
        <v/>
      </c>
      <c r="G1533" s="32">
        <f>IF($A1533=1,IF(Supplier_Invoices!$AA65="","",Supplier_Invoices!$AA65),"")</f>
        <v/>
      </c>
      <c r="H1533" s="32">
        <f>IF($A1533=1,IF(COUNTIF(COA!$A:$A,$G1533)=0,"حساب غير معرف",INDEX(COA!$B:$B,MATCH($G1533,COA!$A:$A,0))),"")</f>
        <v/>
      </c>
      <c r="I1533" s="32">
        <f>IF($A1533=1,IF(Supplier_Invoices!$H65="","",Supplier_Invoices!$H65),"")</f>
        <v/>
      </c>
      <c r="J1533" s="32">
        <f>IF($A1533=1,"CC00","")</f>
        <v/>
      </c>
      <c r="K1533" s="32">
        <f>IF($A1533=1,"-","")</f>
        <v/>
      </c>
      <c r="L1533" s="32">
        <f>IF($A1533=1,"سداد فوري - "&amp;Supplier_Invoices!$F65&amp;" "&amp;Supplier_Invoices!$B65&amp;" - "&amp;Supplier_Invoices!$C65,"")</f>
        <v/>
      </c>
      <c r="M1533" s="43">
        <f>IF($A1533=1,0,"")</f>
        <v/>
      </c>
      <c r="N1533" s="43">
        <f>IF($A1533=1,Supplier_Invoices!$W65,"")</f>
        <v/>
      </c>
      <c r="O1533" s="32">
        <f>IF($A1533=1,Supplier_Invoices!$O65,"")</f>
        <v/>
      </c>
      <c r="P1533" s="32">
        <f>IF($A1533=1,IF(Supplier_Invoices!$AE65="","",Supplier_Invoices!$AE65),"")</f>
        <v/>
      </c>
      <c r="Q1533" s="32">
        <f>IF($A1533=1,Supplier_Invoices!$AG65,"")</f>
        <v/>
      </c>
      <c r="R1533" s="32">
        <f>IF($A1533=1,IF(AND($Q1533=1,COUNTIFS(COA!$A:$A,$G1533,COA!$R:$R,1)=1),1,0),"")</f>
        <v/>
      </c>
      <c r="S1533" s="43">
        <f>IF($A1533=1,IF($R1533=1,N($M1533),0),"")</f>
        <v/>
      </c>
      <c r="T1533" s="43">
        <f>IF($A1533=1,IF($R1533=1,N($N1533),0),"")</f>
        <v/>
      </c>
      <c r="U1533" s="32">
        <f>IF($A1533=1,YEAR($D1533)*100+MONTH($D1533),"")</f>
        <v/>
      </c>
      <c r="V1533" s="32">
        <f>IF($A1533=1,IF(COUNTIF(COA!$A:$A,$G1533)=0,0,INDEX(COA!$H:$H,MATCH($G1533,COA!$A:$A,0))),"")</f>
        <v/>
      </c>
      <c r="W1533" s="32">
        <f>IF($A1533=1,IF(Supplier_Invoices!$AB65="","",Supplier_Invoices!$AB65),"")</f>
        <v/>
      </c>
      <c r="X1533" s="32">
        <f>IF($A1533=1,IF($R1533=1,"",IF($O1533=ST_POST,IF($P1533&lt;&gt;"",$P1533,"حساب غير صالح أو غير نشط"),IF($O1533=ST_REV,"معكوس: لا أثر على الدفاتر",IF($O1533=ST_CANC,"ملغى",IF($O1533=ST_APPR,"معتمد ولم يُرحَّل","مسودة"))))),"")</f>
        <v/>
      </c>
      <c r="Y1533" s="32">
        <f>IF($A1533=1,IF(AND($R1533=1,OR(LG_Acct="",$G1533=LG_Acct),OR(LG_Party="",$K1533=LG_Party),OR(LG_Loc="ALL",$I1533=LG_Loc),OR(LG_CC="ALL",$J1533=LG_CC),$D1533&gt;=LG_From,$D1533&lt;=LG_To),$D1533+ROW()/1000000,""),"")</f>
        <v/>
      </c>
      <c r="Z1533" s="32">
        <f>IF($A1533=1,IF(Supplier_Invoices!$P65="","",Supplier_Invoices!$P65),"")</f>
        <v/>
      </c>
      <c r="AA1533" s="32">
        <f>IF($A1533=1,IF(Supplier_Invoices!$Q65="","",Supplier_Invoices!$Q65),"")</f>
        <v/>
      </c>
      <c r="AB1533" s="32">
        <f>IF($A1533=1,IF(Supplier_Invoices!$R65="","",Supplier_Invoices!$R65),"")</f>
        <v/>
      </c>
      <c r="AC1533" s="32">
        <f>IF($A1533=1,IF(Supplier_Invoices!$S65="","",Supplier_Invoices!$S65),"")</f>
        <v/>
      </c>
      <c r="AD1533" s="32">
        <f>IF($A1533=1,IF(Supplier_Invoices!$T65="","",Supplier_Invoices!$T65),"")</f>
        <v/>
      </c>
      <c r="AE1533" s="32">
        <f>IF($A1533=1,0,"")</f>
        <v/>
      </c>
      <c r="AF1533" s="32" t="inlineStr"/>
    </row>
    <row r="1534">
      <c r="A1534" s="32">
        <f>IF(AND(Supplier_Invoices!$AD66=1,N(Supplier_Invoices!$J66)&gt;0),1,0)</f>
        <v/>
      </c>
      <c r="B1534" s="32">
        <f>IF($A1534=1,$E1534&amp;"/1","")</f>
        <v/>
      </c>
      <c r="C1534" s="32">
        <f>IF($A1534=1,"J-"&amp;Supplier_Invoices!$A66,"")</f>
        <v/>
      </c>
      <c r="D1534" s="33">
        <f>IF($A1534=1,Supplier_Invoices!$E66,"")</f>
        <v/>
      </c>
      <c r="E1534" s="32">
        <f>IF($A1534=1,IF(Supplier_Invoices!$A66="","",Supplier_Invoices!$A66),"")</f>
        <v/>
      </c>
      <c r="F1534" s="32">
        <f>IF($A1534=1,"SINV","")</f>
        <v/>
      </c>
      <c r="G1534" s="32">
        <f>IF($A1534=1,IF(Supplier_Invoices!$G66="","",Supplier_Invoices!$G66),"")</f>
        <v/>
      </c>
      <c r="H1534" s="32">
        <f>IF($A1534=1,IF(COUNTIF(COA!$A:$A,$G1534)=0,"حساب غير معرف",INDEX(COA!$B:$B,MATCH($G1534,COA!$A:$A,0))),"")</f>
        <v/>
      </c>
      <c r="I1534" s="32">
        <f>IF($A1534=1,IF(Supplier_Invoices!$H66="","",Supplier_Invoices!$H66),"")</f>
        <v/>
      </c>
      <c r="J1534" s="32">
        <f>IF($A1534=1,IF(Supplier_Invoices!$I66="","",Supplier_Invoices!$I66),"")</f>
        <v/>
      </c>
      <c r="K1534" s="32">
        <f>IF($A1534=1,"-","")</f>
        <v/>
      </c>
      <c r="L1534" s="32">
        <f>IF($A1534=1,Supplier_Invoices!$F66&amp;" "&amp;Supplier_Invoices!$B66&amp;" - "&amp;Supplier_Invoices!$C66,"")</f>
        <v/>
      </c>
      <c r="M1534" s="43">
        <f>IF($A1534=1,IF(Supplier_Invoices!$V66="CN",0,Supplier_Invoices!$J66),"")</f>
        <v/>
      </c>
      <c r="N1534" s="43">
        <f>IF($A1534=1,IF(Supplier_Invoices!$V66="CN",Supplier_Invoices!$J66,0),"")</f>
        <v/>
      </c>
      <c r="O1534" s="32">
        <f>IF($A1534=1,Supplier_Invoices!$O66,"")</f>
        <v/>
      </c>
      <c r="P1534" s="32">
        <f>IF($A1534=1,IF(Supplier_Invoices!$AE66="","",Supplier_Invoices!$AE66),"")</f>
        <v/>
      </c>
      <c r="Q1534" s="32">
        <f>IF($A1534=1,Supplier_Invoices!$AG66,"")</f>
        <v/>
      </c>
      <c r="R1534" s="32">
        <f>IF($A1534=1,IF(AND($Q1534=1,COUNTIFS(COA!$A:$A,$G1534,COA!$R:$R,1)=1),1,0),"")</f>
        <v/>
      </c>
      <c r="S1534" s="43">
        <f>IF($A1534=1,IF($R1534=1,N($M1534),0),"")</f>
        <v/>
      </c>
      <c r="T1534" s="43">
        <f>IF($A1534=1,IF($R1534=1,N($N1534),0),"")</f>
        <v/>
      </c>
      <c r="U1534" s="32">
        <f>IF($A1534=1,YEAR($D1534)*100+MONTH($D1534),"")</f>
        <v/>
      </c>
      <c r="V1534" s="32">
        <f>IF($A1534=1,IF(COUNTIF(COA!$A:$A,$G1534)=0,0,INDEX(COA!$H:$H,MATCH($G1534,COA!$A:$A,0))),"")</f>
        <v/>
      </c>
      <c r="W1534" s="32">
        <f>IF($A1534=1,"","")</f>
        <v/>
      </c>
      <c r="X1534" s="32">
        <f>IF($A1534=1,IF($R1534=1,"",IF($O1534=ST_POST,IF($P1534&lt;&gt;"",$P1534,"حساب غير صالح أو غير نشط"),IF($O1534=ST_REV,"معكوس: لا أثر على الدفاتر",IF($O1534=ST_CANC,"ملغى",IF($O1534=ST_APPR,"معتمد ولم يُرحَّل","مسودة"))))),"")</f>
        <v/>
      </c>
      <c r="Y1534" s="32">
        <f>IF($A1534=1,IF(AND($R1534=1,OR(LG_Acct="",$G1534=LG_Acct),OR(LG_Party="",$K1534=LG_Party),OR(LG_Loc="ALL",$I1534=LG_Loc),OR(LG_CC="ALL",$J1534=LG_CC),$D1534&gt;=LG_From,$D1534&lt;=LG_To),$D1534+ROW()/1000000,""),"")</f>
        <v/>
      </c>
      <c r="Z1534" s="32">
        <f>IF($A1534=1,IF(Supplier_Invoices!$P66="","",Supplier_Invoices!$P66),"")</f>
        <v/>
      </c>
      <c r="AA1534" s="32">
        <f>IF($A1534=1,IF(Supplier_Invoices!$Q66="","",Supplier_Invoices!$Q66),"")</f>
        <v/>
      </c>
      <c r="AB1534" s="32">
        <f>IF($A1534=1,IF(Supplier_Invoices!$R66="","",Supplier_Invoices!$R66),"")</f>
        <v/>
      </c>
      <c r="AC1534" s="32">
        <f>IF($A1534=1,IF(Supplier_Invoices!$S66="","",Supplier_Invoices!$S66),"")</f>
        <v/>
      </c>
      <c r="AD1534" s="32">
        <f>IF($A1534=1,IF(Supplier_Invoices!$T66="","",Supplier_Invoices!$T66),"")</f>
        <v/>
      </c>
      <c r="AE1534" s="32">
        <f>IF($A1534=1,0,"")</f>
        <v/>
      </c>
      <c r="AF1534" s="32" t="inlineStr"/>
    </row>
    <row r="1535">
      <c r="A1535" s="32">
        <f>IF(AND(Supplier_Invoices!$AD66=1,N(Supplier_Invoices!$K66)&gt;0),1,0)</f>
        <v/>
      </c>
      <c r="B1535" s="32">
        <f>IF($A1535=1,$E1535&amp;"/2","")</f>
        <v/>
      </c>
      <c r="C1535" s="32">
        <f>IF($A1535=1,"J-"&amp;Supplier_Invoices!$A66,"")</f>
        <v/>
      </c>
      <c r="D1535" s="33">
        <f>IF($A1535=1,Supplier_Invoices!$E66,"")</f>
        <v/>
      </c>
      <c r="E1535" s="32">
        <f>IF($A1535=1,IF(Supplier_Invoices!$A66="","",Supplier_Invoices!$A66),"")</f>
        <v/>
      </c>
      <c r="F1535" s="32">
        <f>IF($A1535=1,"SINV","")</f>
        <v/>
      </c>
      <c r="G1535" s="32">
        <f>IF($A1535=1,ACC_VAT_IN,"")</f>
        <v/>
      </c>
      <c r="H1535" s="32">
        <f>IF($A1535=1,IF(COUNTIF(COA!$A:$A,$G1535)=0,"حساب غير معرف",INDEX(COA!$B:$B,MATCH($G1535,COA!$A:$A,0))),"")</f>
        <v/>
      </c>
      <c r="I1535" s="32">
        <f>IF($A1535=1,IF(Supplier_Invoices!$H66="","",Supplier_Invoices!$H66),"")</f>
        <v/>
      </c>
      <c r="J1535" s="32">
        <f>IF($A1535=1,IF(Supplier_Invoices!$I66="","",Supplier_Invoices!$I66),"")</f>
        <v/>
      </c>
      <c r="K1535" s="32">
        <f>IF($A1535=1,"-","")</f>
        <v/>
      </c>
      <c r="L1535" s="32">
        <f>IF($A1535=1,"ضريبة قيمة مضافة - مدخلات","")</f>
        <v/>
      </c>
      <c r="M1535" s="43">
        <f>IF($A1535=1,IF(Supplier_Invoices!$V66="CN",0,Supplier_Invoices!$K66),"")</f>
        <v/>
      </c>
      <c r="N1535" s="43">
        <f>IF($A1535=1,IF(Supplier_Invoices!$V66="CN",Supplier_Invoices!$K66,0),"")</f>
        <v/>
      </c>
      <c r="O1535" s="32">
        <f>IF($A1535=1,Supplier_Invoices!$O66,"")</f>
        <v/>
      </c>
      <c r="P1535" s="32">
        <f>IF($A1535=1,IF(Supplier_Invoices!$AE66="","",Supplier_Invoices!$AE66),"")</f>
        <v/>
      </c>
      <c r="Q1535" s="32">
        <f>IF($A1535=1,Supplier_Invoices!$AG66,"")</f>
        <v/>
      </c>
      <c r="R1535" s="32">
        <f>IF($A1535=1,IF(AND($Q1535=1,COUNTIFS(COA!$A:$A,$G1535,COA!$R:$R,1)=1),1,0),"")</f>
        <v/>
      </c>
      <c r="S1535" s="43">
        <f>IF($A1535=1,IF($R1535=1,N($M1535),0),"")</f>
        <v/>
      </c>
      <c r="T1535" s="43">
        <f>IF($A1535=1,IF($R1535=1,N($N1535),0),"")</f>
        <v/>
      </c>
      <c r="U1535" s="32">
        <f>IF($A1535=1,YEAR($D1535)*100+MONTH($D1535),"")</f>
        <v/>
      </c>
      <c r="V1535" s="32">
        <f>IF($A1535=1,IF(COUNTIF(COA!$A:$A,$G1535)=0,0,INDEX(COA!$H:$H,MATCH($G1535,COA!$A:$A,0))),"")</f>
        <v/>
      </c>
      <c r="W1535" s="32">
        <f>IF($A1535=1,"","")</f>
        <v/>
      </c>
      <c r="X1535" s="32">
        <f>IF($A1535=1,IF($R1535=1,"",IF($O1535=ST_POST,IF($P1535&lt;&gt;"",$P1535,"حساب غير صالح أو غير نشط"),IF($O1535=ST_REV,"معكوس: لا أثر على الدفاتر",IF($O1535=ST_CANC,"ملغى",IF($O1535=ST_APPR,"معتمد ولم يُرحَّل","مسودة"))))),"")</f>
        <v/>
      </c>
      <c r="Y1535" s="32">
        <f>IF($A1535=1,IF(AND($R1535=1,OR(LG_Acct="",$G1535=LG_Acct),OR(LG_Party="",$K1535=LG_Party),OR(LG_Loc="ALL",$I1535=LG_Loc),OR(LG_CC="ALL",$J1535=LG_CC),$D1535&gt;=LG_From,$D1535&lt;=LG_To),$D1535+ROW()/1000000,""),"")</f>
        <v/>
      </c>
      <c r="Z1535" s="32">
        <f>IF($A1535=1,IF(Supplier_Invoices!$P66="","",Supplier_Invoices!$P66),"")</f>
        <v/>
      </c>
      <c r="AA1535" s="32">
        <f>IF($A1535=1,IF(Supplier_Invoices!$Q66="","",Supplier_Invoices!$Q66),"")</f>
        <v/>
      </c>
      <c r="AB1535" s="32">
        <f>IF($A1535=1,IF(Supplier_Invoices!$R66="","",Supplier_Invoices!$R66),"")</f>
        <v/>
      </c>
      <c r="AC1535" s="32">
        <f>IF($A1535=1,IF(Supplier_Invoices!$S66="","",Supplier_Invoices!$S66),"")</f>
        <v/>
      </c>
      <c r="AD1535" s="32">
        <f>IF($A1535=1,IF(Supplier_Invoices!$T66="","",Supplier_Invoices!$T66),"")</f>
        <v/>
      </c>
      <c r="AE1535" s="32">
        <f>IF($A1535=1,0,"")</f>
        <v/>
      </c>
      <c r="AF1535" s="32" t="inlineStr"/>
    </row>
    <row r="1536">
      <c r="A1536" s="32">
        <f>IF(AND(Supplier_Invoices!$AD66=1,N(Supplier_Invoices!$W66)&gt;0),1,0)</f>
        <v/>
      </c>
      <c r="B1536" s="32">
        <f>IF($A1536=1,$E1536&amp;"/3","")</f>
        <v/>
      </c>
      <c r="C1536" s="32">
        <f>IF($A1536=1,"J-"&amp;Supplier_Invoices!$A66,"")</f>
        <v/>
      </c>
      <c r="D1536" s="33">
        <f>IF($A1536=1,Supplier_Invoices!$E66,"")</f>
        <v/>
      </c>
      <c r="E1536" s="32">
        <f>IF($A1536=1,IF(Supplier_Invoices!$A66="","",Supplier_Invoices!$A66),"")</f>
        <v/>
      </c>
      <c r="F1536" s="32">
        <f>IF($A1536=1,"SINV","")</f>
        <v/>
      </c>
      <c r="G1536" s="32">
        <f>IF($A1536=1,ACC_SUPPLIERS,"")</f>
        <v/>
      </c>
      <c r="H1536" s="32">
        <f>IF($A1536=1,IF(COUNTIF(COA!$A:$A,$G1536)=0,"حساب غير معرف",INDEX(COA!$B:$B,MATCH($G1536,COA!$A:$A,0))),"")</f>
        <v/>
      </c>
      <c r="I1536" s="32">
        <f>IF($A1536=1,IF(Supplier_Invoices!$H66="","",Supplier_Invoices!$H66),"")</f>
        <v/>
      </c>
      <c r="J1536" s="32">
        <f>IF($A1536=1,"CC00","")</f>
        <v/>
      </c>
      <c r="K1536" s="32">
        <f>IF($A1536=1,IF(Supplier_Invoices!$C66="","",Supplier_Invoices!$C66),"")</f>
        <v/>
      </c>
      <c r="L1536" s="32">
        <f>IF($A1536=1,Supplier_Invoices!$F66&amp;" "&amp;Supplier_Invoices!$B66&amp;" - "&amp;Supplier_Invoices!$C66,"")</f>
        <v/>
      </c>
      <c r="M1536" s="43">
        <f>IF($A1536=1,IF(Supplier_Invoices!$V66="CN",Supplier_Invoices!$W66,0),"")</f>
        <v/>
      </c>
      <c r="N1536" s="43">
        <f>IF($A1536=1,IF(Supplier_Invoices!$V66="CN",0,Supplier_Invoices!$W66),"")</f>
        <v/>
      </c>
      <c r="O1536" s="32">
        <f>IF($A1536=1,Supplier_Invoices!$O66,"")</f>
        <v/>
      </c>
      <c r="P1536" s="32">
        <f>IF($A1536=1,IF(Supplier_Invoices!$AE66="","",Supplier_Invoices!$AE66),"")</f>
        <v/>
      </c>
      <c r="Q1536" s="32">
        <f>IF($A1536=1,Supplier_Invoices!$AG66,"")</f>
        <v/>
      </c>
      <c r="R1536" s="32">
        <f>IF($A1536=1,IF(AND($Q1536=1,COUNTIFS(COA!$A:$A,$G1536,COA!$R:$R,1)=1),1,0),"")</f>
        <v/>
      </c>
      <c r="S1536" s="43">
        <f>IF($A1536=1,IF($R1536=1,N($M1536),0),"")</f>
        <v/>
      </c>
      <c r="T1536" s="43">
        <f>IF($A1536=1,IF($R1536=1,N($N1536),0),"")</f>
        <v/>
      </c>
      <c r="U1536" s="32">
        <f>IF($A1536=1,YEAR($D1536)*100+MONTH($D1536),"")</f>
        <v/>
      </c>
      <c r="V1536" s="32">
        <f>IF($A1536=1,IF(COUNTIF(COA!$A:$A,$G1536)=0,0,INDEX(COA!$H:$H,MATCH($G1536,COA!$A:$A,0))),"")</f>
        <v/>
      </c>
      <c r="W1536" s="32">
        <f>IF($A1536=1,"","")</f>
        <v/>
      </c>
      <c r="X1536" s="32">
        <f>IF($A1536=1,IF($R1536=1,"",IF($O1536=ST_POST,IF($P1536&lt;&gt;"",$P1536,"حساب غير صالح أو غير نشط"),IF($O1536=ST_REV,"معكوس: لا أثر على الدفاتر",IF($O1536=ST_CANC,"ملغى",IF($O1536=ST_APPR,"معتمد ولم يُرحَّل","مسودة"))))),"")</f>
        <v/>
      </c>
      <c r="Y1536" s="32">
        <f>IF($A1536=1,IF(AND($R1536=1,OR(LG_Acct="",$G1536=LG_Acct),OR(LG_Party="",$K1536=LG_Party),OR(LG_Loc="ALL",$I1536=LG_Loc),OR(LG_CC="ALL",$J1536=LG_CC),$D1536&gt;=LG_From,$D1536&lt;=LG_To),$D1536+ROW()/1000000,""),"")</f>
        <v/>
      </c>
      <c r="Z1536" s="32">
        <f>IF($A1536=1,IF(Supplier_Invoices!$P66="","",Supplier_Invoices!$P66),"")</f>
        <v/>
      </c>
      <c r="AA1536" s="32">
        <f>IF($A1536=1,IF(Supplier_Invoices!$Q66="","",Supplier_Invoices!$Q66),"")</f>
        <v/>
      </c>
      <c r="AB1536" s="32">
        <f>IF($A1536=1,IF(Supplier_Invoices!$R66="","",Supplier_Invoices!$R66),"")</f>
        <v/>
      </c>
      <c r="AC1536" s="32">
        <f>IF($A1536=1,IF(Supplier_Invoices!$S66="","",Supplier_Invoices!$S66),"")</f>
        <v/>
      </c>
      <c r="AD1536" s="32">
        <f>IF($A1536=1,IF(Supplier_Invoices!$T66="","",Supplier_Invoices!$T66),"")</f>
        <v/>
      </c>
      <c r="AE1536" s="32">
        <f>IF($A1536=1,0,"")</f>
        <v/>
      </c>
      <c r="AF1536" s="32" t="inlineStr"/>
    </row>
    <row r="1537">
      <c r="A1537" s="32">
        <f>IF(AND(Supplier_Invoices!$AD66=1,Supplier_Invoices!$L66&lt;&gt;"",Supplier_Invoices!$V66&lt;&gt;"CN",N(Supplier_Invoices!$W66)&gt;0),1,0)</f>
        <v/>
      </c>
      <c r="B1537" s="32">
        <f>IF($A1537=1,$E1537&amp;"/4","")</f>
        <v/>
      </c>
      <c r="C1537" s="32">
        <f>IF($A1537=1,"J-"&amp;Supplier_Invoices!$A66,"")</f>
        <v/>
      </c>
      <c r="D1537" s="33">
        <f>IF($A1537=1,Supplier_Invoices!$E66,"")</f>
        <v/>
      </c>
      <c r="E1537" s="32">
        <f>IF($A1537=1,IF(Supplier_Invoices!$A66="","",Supplier_Invoices!$A66),"")</f>
        <v/>
      </c>
      <c r="F1537" s="32">
        <f>IF($A1537=1,"SINV","")</f>
        <v/>
      </c>
      <c r="G1537" s="32">
        <f>IF($A1537=1,ACC_SUPPLIERS,"")</f>
        <v/>
      </c>
      <c r="H1537" s="32">
        <f>IF($A1537=1,IF(COUNTIF(COA!$A:$A,$G1537)=0,"حساب غير معرف",INDEX(COA!$B:$B,MATCH($G1537,COA!$A:$A,0))),"")</f>
        <v/>
      </c>
      <c r="I1537" s="32">
        <f>IF($A1537=1,IF(Supplier_Invoices!$H66="","",Supplier_Invoices!$H66),"")</f>
        <v/>
      </c>
      <c r="J1537" s="32">
        <f>IF($A1537=1,"CC00","")</f>
        <v/>
      </c>
      <c r="K1537" s="32">
        <f>IF($A1537=1,IF(Supplier_Invoices!$C66="","",Supplier_Invoices!$C66),"")</f>
        <v/>
      </c>
      <c r="L1537" s="32">
        <f>IF($A1537=1,"سداد فوري - "&amp;Supplier_Invoices!$F66&amp;" "&amp;Supplier_Invoices!$B66&amp;" - "&amp;Supplier_Invoices!$C66,"")</f>
        <v/>
      </c>
      <c r="M1537" s="43">
        <f>IF($A1537=1,Supplier_Invoices!$W66,"")</f>
        <v/>
      </c>
      <c r="N1537" s="43">
        <f>IF($A1537=1,0,"")</f>
        <v/>
      </c>
      <c r="O1537" s="32">
        <f>IF($A1537=1,Supplier_Invoices!$O66,"")</f>
        <v/>
      </c>
      <c r="P1537" s="32">
        <f>IF($A1537=1,IF(Supplier_Invoices!$AE66="","",Supplier_Invoices!$AE66),"")</f>
        <v/>
      </c>
      <c r="Q1537" s="32">
        <f>IF($A1537=1,Supplier_Invoices!$AG66,"")</f>
        <v/>
      </c>
      <c r="R1537" s="32">
        <f>IF($A1537=1,IF(AND($Q1537=1,COUNTIFS(COA!$A:$A,$G1537,COA!$R:$R,1)=1),1,0),"")</f>
        <v/>
      </c>
      <c r="S1537" s="43">
        <f>IF($A1537=1,IF($R1537=1,N($M1537),0),"")</f>
        <v/>
      </c>
      <c r="T1537" s="43">
        <f>IF($A1537=1,IF($R1537=1,N($N1537),0),"")</f>
        <v/>
      </c>
      <c r="U1537" s="32">
        <f>IF($A1537=1,YEAR($D1537)*100+MONTH($D1537),"")</f>
        <v/>
      </c>
      <c r="V1537" s="32">
        <f>IF($A1537=1,IF(COUNTIF(COA!$A:$A,$G1537)=0,0,INDEX(COA!$H:$H,MATCH($G1537,COA!$A:$A,0))),"")</f>
        <v/>
      </c>
      <c r="W1537" s="32">
        <f>IF($A1537=1,"","")</f>
        <v/>
      </c>
      <c r="X1537" s="32">
        <f>IF($A1537=1,IF($R1537=1,"",IF($O1537=ST_POST,IF($P1537&lt;&gt;"",$P1537,"حساب غير صالح أو غير نشط"),IF($O1537=ST_REV,"معكوس: لا أثر على الدفاتر",IF($O1537=ST_CANC,"ملغى",IF($O1537=ST_APPR,"معتمد ولم يُرحَّل","مسودة"))))),"")</f>
        <v/>
      </c>
      <c r="Y1537" s="32">
        <f>IF($A1537=1,IF(AND($R1537=1,OR(LG_Acct="",$G1537=LG_Acct),OR(LG_Party="",$K1537=LG_Party),OR(LG_Loc="ALL",$I1537=LG_Loc),OR(LG_CC="ALL",$J1537=LG_CC),$D1537&gt;=LG_From,$D1537&lt;=LG_To),$D1537+ROW()/1000000,""),"")</f>
        <v/>
      </c>
      <c r="Z1537" s="32">
        <f>IF($A1537=1,IF(Supplier_Invoices!$P66="","",Supplier_Invoices!$P66),"")</f>
        <v/>
      </c>
      <c r="AA1537" s="32">
        <f>IF($A1537=1,IF(Supplier_Invoices!$Q66="","",Supplier_Invoices!$Q66),"")</f>
        <v/>
      </c>
      <c r="AB1537" s="32">
        <f>IF($A1537=1,IF(Supplier_Invoices!$R66="","",Supplier_Invoices!$R66),"")</f>
        <v/>
      </c>
      <c r="AC1537" s="32">
        <f>IF($A1537=1,IF(Supplier_Invoices!$S66="","",Supplier_Invoices!$S66),"")</f>
        <v/>
      </c>
      <c r="AD1537" s="32">
        <f>IF($A1537=1,IF(Supplier_Invoices!$T66="","",Supplier_Invoices!$T66),"")</f>
        <v/>
      </c>
      <c r="AE1537" s="32">
        <f>IF($A1537=1,0,"")</f>
        <v/>
      </c>
      <c r="AF1537" s="32" t="inlineStr"/>
    </row>
    <row r="1538">
      <c r="A1538" s="32">
        <f>IF(AND(Supplier_Invoices!$AD66=1,Supplier_Invoices!$L66&lt;&gt;"",Supplier_Invoices!$V66&lt;&gt;"CN",N(Supplier_Invoices!$W66)&gt;0),1,0)</f>
        <v/>
      </c>
      <c r="B1538" s="32">
        <f>IF($A1538=1,$E1538&amp;"/5","")</f>
        <v/>
      </c>
      <c r="C1538" s="32">
        <f>IF($A1538=1,"J-"&amp;Supplier_Invoices!$A66,"")</f>
        <v/>
      </c>
      <c r="D1538" s="33">
        <f>IF($A1538=1,Supplier_Invoices!$E66,"")</f>
        <v/>
      </c>
      <c r="E1538" s="32">
        <f>IF($A1538=1,IF(Supplier_Invoices!$A66="","",Supplier_Invoices!$A66),"")</f>
        <v/>
      </c>
      <c r="F1538" s="32">
        <f>IF($A1538=1,"SINV","")</f>
        <v/>
      </c>
      <c r="G1538" s="32">
        <f>IF($A1538=1,IF(Supplier_Invoices!$AA66="","",Supplier_Invoices!$AA66),"")</f>
        <v/>
      </c>
      <c r="H1538" s="32">
        <f>IF($A1538=1,IF(COUNTIF(COA!$A:$A,$G1538)=0,"حساب غير معرف",INDEX(COA!$B:$B,MATCH($G1538,COA!$A:$A,0))),"")</f>
        <v/>
      </c>
      <c r="I1538" s="32">
        <f>IF($A1538=1,IF(Supplier_Invoices!$H66="","",Supplier_Invoices!$H66),"")</f>
        <v/>
      </c>
      <c r="J1538" s="32">
        <f>IF($A1538=1,"CC00","")</f>
        <v/>
      </c>
      <c r="K1538" s="32">
        <f>IF($A1538=1,"-","")</f>
        <v/>
      </c>
      <c r="L1538" s="32">
        <f>IF($A1538=1,"سداد فوري - "&amp;Supplier_Invoices!$F66&amp;" "&amp;Supplier_Invoices!$B66&amp;" - "&amp;Supplier_Invoices!$C66,"")</f>
        <v/>
      </c>
      <c r="M1538" s="43">
        <f>IF($A1538=1,0,"")</f>
        <v/>
      </c>
      <c r="N1538" s="43">
        <f>IF($A1538=1,Supplier_Invoices!$W66,"")</f>
        <v/>
      </c>
      <c r="O1538" s="32">
        <f>IF($A1538=1,Supplier_Invoices!$O66,"")</f>
        <v/>
      </c>
      <c r="P1538" s="32">
        <f>IF($A1538=1,IF(Supplier_Invoices!$AE66="","",Supplier_Invoices!$AE66),"")</f>
        <v/>
      </c>
      <c r="Q1538" s="32">
        <f>IF($A1538=1,Supplier_Invoices!$AG66,"")</f>
        <v/>
      </c>
      <c r="R1538" s="32">
        <f>IF($A1538=1,IF(AND($Q1538=1,COUNTIFS(COA!$A:$A,$G1538,COA!$R:$R,1)=1),1,0),"")</f>
        <v/>
      </c>
      <c r="S1538" s="43">
        <f>IF($A1538=1,IF($R1538=1,N($M1538),0),"")</f>
        <v/>
      </c>
      <c r="T1538" s="43">
        <f>IF($A1538=1,IF($R1538=1,N($N1538),0),"")</f>
        <v/>
      </c>
      <c r="U1538" s="32">
        <f>IF($A1538=1,YEAR($D1538)*100+MONTH($D1538),"")</f>
        <v/>
      </c>
      <c r="V1538" s="32">
        <f>IF($A1538=1,IF(COUNTIF(COA!$A:$A,$G1538)=0,0,INDEX(COA!$H:$H,MATCH($G1538,COA!$A:$A,0))),"")</f>
        <v/>
      </c>
      <c r="W1538" s="32">
        <f>IF($A1538=1,IF(Supplier_Invoices!$AB66="","",Supplier_Invoices!$AB66),"")</f>
        <v/>
      </c>
      <c r="X1538" s="32">
        <f>IF($A1538=1,IF($R1538=1,"",IF($O1538=ST_POST,IF($P1538&lt;&gt;"",$P1538,"حساب غير صالح أو غير نشط"),IF($O1538=ST_REV,"معكوس: لا أثر على الدفاتر",IF($O1538=ST_CANC,"ملغى",IF($O1538=ST_APPR,"معتمد ولم يُرحَّل","مسودة"))))),"")</f>
        <v/>
      </c>
      <c r="Y1538" s="32">
        <f>IF($A1538=1,IF(AND($R1538=1,OR(LG_Acct="",$G1538=LG_Acct),OR(LG_Party="",$K1538=LG_Party),OR(LG_Loc="ALL",$I1538=LG_Loc),OR(LG_CC="ALL",$J1538=LG_CC),$D1538&gt;=LG_From,$D1538&lt;=LG_To),$D1538+ROW()/1000000,""),"")</f>
        <v/>
      </c>
      <c r="Z1538" s="32">
        <f>IF($A1538=1,IF(Supplier_Invoices!$P66="","",Supplier_Invoices!$P66),"")</f>
        <v/>
      </c>
      <c r="AA1538" s="32">
        <f>IF($A1538=1,IF(Supplier_Invoices!$Q66="","",Supplier_Invoices!$Q66),"")</f>
        <v/>
      </c>
      <c r="AB1538" s="32">
        <f>IF($A1538=1,IF(Supplier_Invoices!$R66="","",Supplier_Invoices!$R66),"")</f>
        <v/>
      </c>
      <c r="AC1538" s="32">
        <f>IF($A1538=1,IF(Supplier_Invoices!$S66="","",Supplier_Invoices!$S66),"")</f>
        <v/>
      </c>
      <c r="AD1538" s="32">
        <f>IF($A1538=1,IF(Supplier_Invoices!$T66="","",Supplier_Invoices!$T66),"")</f>
        <v/>
      </c>
      <c r="AE1538" s="32">
        <f>IF($A1538=1,0,"")</f>
        <v/>
      </c>
      <c r="AF1538" s="32" t="inlineStr"/>
    </row>
    <row r="1539">
      <c r="A1539" s="32">
        <f>IF(AND(Supplier_Invoices!$AD67=1,N(Supplier_Invoices!$J67)&gt;0),1,0)</f>
        <v/>
      </c>
      <c r="B1539" s="32">
        <f>IF($A1539=1,$E1539&amp;"/1","")</f>
        <v/>
      </c>
      <c r="C1539" s="32">
        <f>IF($A1539=1,"J-"&amp;Supplier_Invoices!$A67,"")</f>
        <v/>
      </c>
      <c r="D1539" s="33">
        <f>IF($A1539=1,Supplier_Invoices!$E67,"")</f>
        <v/>
      </c>
      <c r="E1539" s="32">
        <f>IF($A1539=1,IF(Supplier_Invoices!$A67="","",Supplier_Invoices!$A67),"")</f>
        <v/>
      </c>
      <c r="F1539" s="32">
        <f>IF($A1539=1,"SINV","")</f>
        <v/>
      </c>
      <c r="G1539" s="32">
        <f>IF($A1539=1,IF(Supplier_Invoices!$G67="","",Supplier_Invoices!$G67),"")</f>
        <v/>
      </c>
      <c r="H1539" s="32">
        <f>IF($A1539=1,IF(COUNTIF(COA!$A:$A,$G1539)=0,"حساب غير معرف",INDEX(COA!$B:$B,MATCH($G1539,COA!$A:$A,0))),"")</f>
        <v/>
      </c>
      <c r="I1539" s="32">
        <f>IF($A1539=1,IF(Supplier_Invoices!$H67="","",Supplier_Invoices!$H67),"")</f>
        <v/>
      </c>
      <c r="J1539" s="32">
        <f>IF($A1539=1,IF(Supplier_Invoices!$I67="","",Supplier_Invoices!$I67),"")</f>
        <v/>
      </c>
      <c r="K1539" s="32">
        <f>IF($A1539=1,"-","")</f>
        <v/>
      </c>
      <c r="L1539" s="32">
        <f>IF($A1539=1,Supplier_Invoices!$F67&amp;" "&amp;Supplier_Invoices!$B67&amp;" - "&amp;Supplier_Invoices!$C67,"")</f>
        <v/>
      </c>
      <c r="M1539" s="43">
        <f>IF($A1539=1,IF(Supplier_Invoices!$V67="CN",0,Supplier_Invoices!$J67),"")</f>
        <v/>
      </c>
      <c r="N1539" s="43">
        <f>IF($A1539=1,IF(Supplier_Invoices!$V67="CN",Supplier_Invoices!$J67,0),"")</f>
        <v/>
      </c>
      <c r="O1539" s="32">
        <f>IF($A1539=1,Supplier_Invoices!$O67,"")</f>
        <v/>
      </c>
      <c r="P1539" s="32">
        <f>IF($A1539=1,IF(Supplier_Invoices!$AE67="","",Supplier_Invoices!$AE67),"")</f>
        <v/>
      </c>
      <c r="Q1539" s="32">
        <f>IF($A1539=1,Supplier_Invoices!$AG67,"")</f>
        <v/>
      </c>
      <c r="R1539" s="32">
        <f>IF($A1539=1,IF(AND($Q1539=1,COUNTIFS(COA!$A:$A,$G1539,COA!$R:$R,1)=1),1,0),"")</f>
        <v/>
      </c>
      <c r="S1539" s="43">
        <f>IF($A1539=1,IF($R1539=1,N($M1539),0),"")</f>
        <v/>
      </c>
      <c r="T1539" s="43">
        <f>IF($A1539=1,IF($R1539=1,N($N1539),0),"")</f>
        <v/>
      </c>
      <c r="U1539" s="32">
        <f>IF($A1539=1,YEAR($D1539)*100+MONTH($D1539),"")</f>
        <v/>
      </c>
      <c r="V1539" s="32">
        <f>IF($A1539=1,IF(COUNTIF(COA!$A:$A,$G1539)=0,0,INDEX(COA!$H:$H,MATCH($G1539,COA!$A:$A,0))),"")</f>
        <v/>
      </c>
      <c r="W1539" s="32">
        <f>IF($A1539=1,"","")</f>
        <v/>
      </c>
      <c r="X1539" s="32">
        <f>IF($A1539=1,IF($R1539=1,"",IF($O1539=ST_POST,IF($P1539&lt;&gt;"",$P1539,"حساب غير صالح أو غير نشط"),IF($O1539=ST_REV,"معكوس: لا أثر على الدفاتر",IF($O1539=ST_CANC,"ملغى",IF($O1539=ST_APPR,"معتمد ولم يُرحَّل","مسودة"))))),"")</f>
        <v/>
      </c>
      <c r="Y1539" s="32">
        <f>IF($A1539=1,IF(AND($R1539=1,OR(LG_Acct="",$G1539=LG_Acct),OR(LG_Party="",$K1539=LG_Party),OR(LG_Loc="ALL",$I1539=LG_Loc),OR(LG_CC="ALL",$J1539=LG_CC),$D1539&gt;=LG_From,$D1539&lt;=LG_To),$D1539+ROW()/1000000,""),"")</f>
        <v/>
      </c>
      <c r="Z1539" s="32">
        <f>IF($A1539=1,IF(Supplier_Invoices!$P67="","",Supplier_Invoices!$P67),"")</f>
        <v/>
      </c>
      <c r="AA1539" s="32">
        <f>IF($A1539=1,IF(Supplier_Invoices!$Q67="","",Supplier_Invoices!$Q67),"")</f>
        <v/>
      </c>
      <c r="AB1539" s="32">
        <f>IF($A1539=1,IF(Supplier_Invoices!$R67="","",Supplier_Invoices!$R67),"")</f>
        <v/>
      </c>
      <c r="AC1539" s="32">
        <f>IF($A1539=1,IF(Supplier_Invoices!$S67="","",Supplier_Invoices!$S67),"")</f>
        <v/>
      </c>
      <c r="AD1539" s="32">
        <f>IF($A1539=1,IF(Supplier_Invoices!$T67="","",Supplier_Invoices!$T67),"")</f>
        <v/>
      </c>
      <c r="AE1539" s="32">
        <f>IF($A1539=1,0,"")</f>
        <v/>
      </c>
      <c r="AF1539" s="32" t="inlineStr"/>
    </row>
    <row r="1540">
      <c r="A1540" s="32">
        <f>IF(AND(Supplier_Invoices!$AD67=1,N(Supplier_Invoices!$K67)&gt;0),1,0)</f>
        <v/>
      </c>
      <c r="B1540" s="32">
        <f>IF($A1540=1,$E1540&amp;"/2","")</f>
        <v/>
      </c>
      <c r="C1540" s="32">
        <f>IF($A1540=1,"J-"&amp;Supplier_Invoices!$A67,"")</f>
        <v/>
      </c>
      <c r="D1540" s="33">
        <f>IF($A1540=1,Supplier_Invoices!$E67,"")</f>
        <v/>
      </c>
      <c r="E1540" s="32">
        <f>IF($A1540=1,IF(Supplier_Invoices!$A67="","",Supplier_Invoices!$A67),"")</f>
        <v/>
      </c>
      <c r="F1540" s="32">
        <f>IF($A1540=1,"SINV","")</f>
        <v/>
      </c>
      <c r="G1540" s="32">
        <f>IF($A1540=1,ACC_VAT_IN,"")</f>
        <v/>
      </c>
      <c r="H1540" s="32">
        <f>IF($A1540=1,IF(COUNTIF(COA!$A:$A,$G1540)=0,"حساب غير معرف",INDEX(COA!$B:$B,MATCH($G1540,COA!$A:$A,0))),"")</f>
        <v/>
      </c>
      <c r="I1540" s="32">
        <f>IF($A1540=1,IF(Supplier_Invoices!$H67="","",Supplier_Invoices!$H67),"")</f>
        <v/>
      </c>
      <c r="J1540" s="32">
        <f>IF($A1540=1,IF(Supplier_Invoices!$I67="","",Supplier_Invoices!$I67),"")</f>
        <v/>
      </c>
      <c r="K1540" s="32">
        <f>IF($A1540=1,"-","")</f>
        <v/>
      </c>
      <c r="L1540" s="32">
        <f>IF($A1540=1,"ضريبة قيمة مضافة - مدخلات","")</f>
        <v/>
      </c>
      <c r="M1540" s="43">
        <f>IF($A1540=1,IF(Supplier_Invoices!$V67="CN",0,Supplier_Invoices!$K67),"")</f>
        <v/>
      </c>
      <c r="N1540" s="43">
        <f>IF($A1540=1,IF(Supplier_Invoices!$V67="CN",Supplier_Invoices!$K67,0),"")</f>
        <v/>
      </c>
      <c r="O1540" s="32">
        <f>IF($A1540=1,Supplier_Invoices!$O67,"")</f>
        <v/>
      </c>
      <c r="P1540" s="32">
        <f>IF($A1540=1,IF(Supplier_Invoices!$AE67="","",Supplier_Invoices!$AE67),"")</f>
        <v/>
      </c>
      <c r="Q1540" s="32">
        <f>IF($A1540=1,Supplier_Invoices!$AG67,"")</f>
        <v/>
      </c>
      <c r="R1540" s="32">
        <f>IF($A1540=1,IF(AND($Q1540=1,COUNTIFS(COA!$A:$A,$G1540,COA!$R:$R,1)=1),1,0),"")</f>
        <v/>
      </c>
      <c r="S1540" s="43">
        <f>IF($A1540=1,IF($R1540=1,N($M1540),0),"")</f>
        <v/>
      </c>
      <c r="T1540" s="43">
        <f>IF($A1540=1,IF($R1540=1,N($N1540),0),"")</f>
        <v/>
      </c>
      <c r="U1540" s="32">
        <f>IF($A1540=1,YEAR($D1540)*100+MONTH($D1540),"")</f>
        <v/>
      </c>
      <c r="V1540" s="32">
        <f>IF($A1540=1,IF(COUNTIF(COA!$A:$A,$G1540)=0,0,INDEX(COA!$H:$H,MATCH($G1540,COA!$A:$A,0))),"")</f>
        <v/>
      </c>
      <c r="W1540" s="32">
        <f>IF($A1540=1,"","")</f>
        <v/>
      </c>
      <c r="X1540" s="32">
        <f>IF($A1540=1,IF($R1540=1,"",IF($O1540=ST_POST,IF($P1540&lt;&gt;"",$P1540,"حساب غير صالح أو غير نشط"),IF($O1540=ST_REV,"معكوس: لا أثر على الدفاتر",IF($O1540=ST_CANC,"ملغى",IF($O1540=ST_APPR,"معتمد ولم يُرحَّل","مسودة"))))),"")</f>
        <v/>
      </c>
      <c r="Y1540" s="32">
        <f>IF($A1540=1,IF(AND($R1540=1,OR(LG_Acct="",$G1540=LG_Acct),OR(LG_Party="",$K1540=LG_Party),OR(LG_Loc="ALL",$I1540=LG_Loc),OR(LG_CC="ALL",$J1540=LG_CC),$D1540&gt;=LG_From,$D1540&lt;=LG_To),$D1540+ROW()/1000000,""),"")</f>
        <v/>
      </c>
      <c r="Z1540" s="32">
        <f>IF($A1540=1,IF(Supplier_Invoices!$P67="","",Supplier_Invoices!$P67),"")</f>
        <v/>
      </c>
      <c r="AA1540" s="32">
        <f>IF($A1540=1,IF(Supplier_Invoices!$Q67="","",Supplier_Invoices!$Q67),"")</f>
        <v/>
      </c>
      <c r="AB1540" s="32">
        <f>IF($A1540=1,IF(Supplier_Invoices!$R67="","",Supplier_Invoices!$R67),"")</f>
        <v/>
      </c>
      <c r="AC1540" s="32">
        <f>IF($A1540=1,IF(Supplier_Invoices!$S67="","",Supplier_Invoices!$S67),"")</f>
        <v/>
      </c>
      <c r="AD1540" s="32">
        <f>IF($A1540=1,IF(Supplier_Invoices!$T67="","",Supplier_Invoices!$T67),"")</f>
        <v/>
      </c>
      <c r="AE1540" s="32">
        <f>IF($A1540=1,0,"")</f>
        <v/>
      </c>
      <c r="AF1540" s="32" t="inlineStr"/>
    </row>
    <row r="1541">
      <c r="A1541" s="32">
        <f>IF(AND(Supplier_Invoices!$AD67=1,N(Supplier_Invoices!$W67)&gt;0),1,0)</f>
        <v/>
      </c>
      <c r="B1541" s="32">
        <f>IF($A1541=1,$E1541&amp;"/3","")</f>
        <v/>
      </c>
      <c r="C1541" s="32">
        <f>IF($A1541=1,"J-"&amp;Supplier_Invoices!$A67,"")</f>
        <v/>
      </c>
      <c r="D1541" s="33">
        <f>IF($A1541=1,Supplier_Invoices!$E67,"")</f>
        <v/>
      </c>
      <c r="E1541" s="32">
        <f>IF($A1541=1,IF(Supplier_Invoices!$A67="","",Supplier_Invoices!$A67),"")</f>
        <v/>
      </c>
      <c r="F1541" s="32">
        <f>IF($A1541=1,"SINV","")</f>
        <v/>
      </c>
      <c r="G1541" s="32">
        <f>IF($A1541=1,ACC_SUPPLIERS,"")</f>
        <v/>
      </c>
      <c r="H1541" s="32">
        <f>IF($A1541=1,IF(COUNTIF(COA!$A:$A,$G1541)=0,"حساب غير معرف",INDEX(COA!$B:$B,MATCH($G1541,COA!$A:$A,0))),"")</f>
        <v/>
      </c>
      <c r="I1541" s="32">
        <f>IF($A1541=1,IF(Supplier_Invoices!$H67="","",Supplier_Invoices!$H67),"")</f>
        <v/>
      </c>
      <c r="J1541" s="32">
        <f>IF($A1541=1,"CC00","")</f>
        <v/>
      </c>
      <c r="K1541" s="32">
        <f>IF($A1541=1,IF(Supplier_Invoices!$C67="","",Supplier_Invoices!$C67),"")</f>
        <v/>
      </c>
      <c r="L1541" s="32">
        <f>IF($A1541=1,Supplier_Invoices!$F67&amp;" "&amp;Supplier_Invoices!$B67&amp;" - "&amp;Supplier_Invoices!$C67,"")</f>
        <v/>
      </c>
      <c r="M1541" s="43">
        <f>IF($A1541=1,IF(Supplier_Invoices!$V67="CN",Supplier_Invoices!$W67,0),"")</f>
        <v/>
      </c>
      <c r="N1541" s="43">
        <f>IF($A1541=1,IF(Supplier_Invoices!$V67="CN",0,Supplier_Invoices!$W67),"")</f>
        <v/>
      </c>
      <c r="O1541" s="32">
        <f>IF($A1541=1,Supplier_Invoices!$O67,"")</f>
        <v/>
      </c>
      <c r="P1541" s="32">
        <f>IF($A1541=1,IF(Supplier_Invoices!$AE67="","",Supplier_Invoices!$AE67),"")</f>
        <v/>
      </c>
      <c r="Q1541" s="32">
        <f>IF($A1541=1,Supplier_Invoices!$AG67,"")</f>
        <v/>
      </c>
      <c r="R1541" s="32">
        <f>IF($A1541=1,IF(AND($Q1541=1,COUNTIFS(COA!$A:$A,$G1541,COA!$R:$R,1)=1),1,0),"")</f>
        <v/>
      </c>
      <c r="S1541" s="43">
        <f>IF($A1541=1,IF($R1541=1,N($M1541),0),"")</f>
        <v/>
      </c>
      <c r="T1541" s="43">
        <f>IF($A1541=1,IF($R1541=1,N($N1541),0),"")</f>
        <v/>
      </c>
      <c r="U1541" s="32">
        <f>IF($A1541=1,YEAR($D1541)*100+MONTH($D1541),"")</f>
        <v/>
      </c>
      <c r="V1541" s="32">
        <f>IF($A1541=1,IF(COUNTIF(COA!$A:$A,$G1541)=0,0,INDEX(COA!$H:$H,MATCH($G1541,COA!$A:$A,0))),"")</f>
        <v/>
      </c>
      <c r="W1541" s="32">
        <f>IF($A1541=1,"","")</f>
        <v/>
      </c>
      <c r="X1541" s="32">
        <f>IF($A1541=1,IF($R1541=1,"",IF($O1541=ST_POST,IF($P1541&lt;&gt;"",$P1541,"حساب غير صالح أو غير نشط"),IF($O1541=ST_REV,"معكوس: لا أثر على الدفاتر",IF($O1541=ST_CANC,"ملغى",IF($O1541=ST_APPR,"معتمد ولم يُرحَّل","مسودة"))))),"")</f>
        <v/>
      </c>
      <c r="Y1541" s="32">
        <f>IF($A1541=1,IF(AND($R1541=1,OR(LG_Acct="",$G1541=LG_Acct),OR(LG_Party="",$K1541=LG_Party),OR(LG_Loc="ALL",$I1541=LG_Loc),OR(LG_CC="ALL",$J1541=LG_CC),$D1541&gt;=LG_From,$D1541&lt;=LG_To),$D1541+ROW()/1000000,""),"")</f>
        <v/>
      </c>
      <c r="Z1541" s="32">
        <f>IF($A1541=1,IF(Supplier_Invoices!$P67="","",Supplier_Invoices!$P67),"")</f>
        <v/>
      </c>
      <c r="AA1541" s="32">
        <f>IF($A1541=1,IF(Supplier_Invoices!$Q67="","",Supplier_Invoices!$Q67),"")</f>
        <v/>
      </c>
      <c r="AB1541" s="32">
        <f>IF($A1541=1,IF(Supplier_Invoices!$R67="","",Supplier_Invoices!$R67),"")</f>
        <v/>
      </c>
      <c r="AC1541" s="32">
        <f>IF($A1541=1,IF(Supplier_Invoices!$S67="","",Supplier_Invoices!$S67),"")</f>
        <v/>
      </c>
      <c r="AD1541" s="32">
        <f>IF($A1541=1,IF(Supplier_Invoices!$T67="","",Supplier_Invoices!$T67),"")</f>
        <v/>
      </c>
      <c r="AE1541" s="32">
        <f>IF($A1541=1,0,"")</f>
        <v/>
      </c>
      <c r="AF1541" s="32" t="inlineStr"/>
    </row>
    <row r="1542">
      <c r="A1542" s="32">
        <f>IF(AND(Supplier_Invoices!$AD67=1,Supplier_Invoices!$L67&lt;&gt;"",Supplier_Invoices!$V67&lt;&gt;"CN",N(Supplier_Invoices!$W67)&gt;0),1,0)</f>
        <v/>
      </c>
      <c r="B1542" s="32">
        <f>IF($A1542=1,$E1542&amp;"/4","")</f>
        <v/>
      </c>
      <c r="C1542" s="32">
        <f>IF($A1542=1,"J-"&amp;Supplier_Invoices!$A67,"")</f>
        <v/>
      </c>
      <c r="D1542" s="33">
        <f>IF($A1542=1,Supplier_Invoices!$E67,"")</f>
        <v/>
      </c>
      <c r="E1542" s="32">
        <f>IF($A1542=1,IF(Supplier_Invoices!$A67="","",Supplier_Invoices!$A67),"")</f>
        <v/>
      </c>
      <c r="F1542" s="32">
        <f>IF($A1542=1,"SINV","")</f>
        <v/>
      </c>
      <c r="G1542" s="32">
        <f>IF($A1542=1,ACC_SUPPLIERS,"")</f>
        <v/>
      </c>
      <c r="H1542" s="32">
        <f>IF($A1542=1,IF(COUNTIF(COA!$A:$A,$G1542)=0,"حساب غير معرف",INDEX(COA!$B:$B,MATCH($G1542,COA!$A:$A,0))),"")</f>
        <v/>
      </c>
      <c r="I1542" s="32">
        <f>IF($A1542=1,IF(Supplier_Invoices!$H67="","",Supplier_Invoices!$H67),"")</f>
        <v/>
      </c>
      <c r="J1542" s="32">
        <f>IF($A1542=1,"CC00","")</f>
        <v/>
      </c>
      <c r="K1542" s="32">
        <f>IF($A1542=1,IF(Supplier_Invoices!$C67="","",Supplier_Invoices!$C67),"")</f>
        <v/>
      </c>
      <c r="L1542" s="32">
        <f>IF($A1542=1,"سداد فوري - "&amp;Supplier_Invoices!$F67&amp;" "&amp;Supplier_Invoices!$B67&amp;" - "&amp;Supplier_Invoices!$C67,"")</f>
        <v/>
      </c>
      <c r="M1542" s="43">
        <f>IF($A1542=1,Supplier_Invoices!$W67,"")</f>
        <v/>
      </c>
      <c r="N1542" s="43">
        <f>IF($A1542=1,0,"")</f>
        <v/>
      </c>
      <c r="O1542" s="32">
        <f>IF($A1542=1,Supplier_Invoices!$O67,"")</f>
        <v/>
      </c>
      <c r="P1542" s="32">
        <f>IF($A1542=1,IF(Supplier_Invoices!$AE67="","",Supplier_Invoices!$AE67),"")</f>
        <v/>
      </c>
      <c r="Q1542" s="32">
        <f>IF($A1542=1,Supplier_Invoices!$AG67,"")</f>
        <v/>
      </c>
      <c r="R1542" s="32">
        <f>IF($A1542=1,IF(AND($Q1542=1,COUNTIFS(COA!$A:$A,$G1542,COA!$R:$R,1)=1),1,0),"")</f>
        <v/>
      </c>
      <c r="S1542" s="43">
        <f>IF($A1542=1,IF($R1542=1,N($M1542),0),"")</f>
        <v/>
      </c>
      <c r="T1542" s="43">
        <f>IF($A1542=1,IF($R1542=1,N($N1542),0),"")</f>
        <v/>
      </c>
      <c r="U1542" s="32">
        <f>IF($A1542=1,YEAR($D1542)*100+MONTH($D1542),"")</f>
        <v/>
      </c>
      <c r="V1542" s="32">
        <f>IF($A1542=1,IF(COUNTIF(COA!$A:$A,$G1542)=0,0,INDEX(COA!$H:$H,MATCH($G1542,COA!$A:$A,0))),"")</f>
        <v/>
      </c>
      <c r="W1542" s="32">
        <f>IF($A1542=1,"","")</f>
        <v/>
      </c>
      <c r="X1542" s="32">
        <f>IF($A1542=1,IF($R1542=1,"",IF($O1542=ST_POST,IF($P1542&lt;&gt;"",$P1542,"حساب غير صالح أو غير نشط"),IF($O1542=ST_REV,"معكوس: لا أثر على الدفاتر",IF($O1542=ST_CANC,"ملغى",IF($O1542=ST_APPR,"معتمد ولم يُرحَّل","مسودة"))))),"")</f>
        <v/>
      </c>
      <c r="Y1542" s="32">
        <f>IF($A1542=1,IF(AND($R1542=1,OR(LG_Acct="",$G1542=LG_Acct),OR(LG_Party="",$K1542=LG_Party),OR(LG_Loc="ALL",$I1542=LG_Loc),OR(LG_CC="ALL",$J1542=LG_CC),$D1542&gt;=LG_From,$D1542&lt;=LG_To),$D1542+ROW()/1000000,""),"")</f>
        <v/>
      </c>
      <c r="Z1542" s="32">
        <f>IF($A1542=1,IF(Supplier_Invoices!$P67="","",Supplier_Invoices!$P67),"")</f>
        <v/>
      </c>
      <c r="AA1542" s="32">
        <f>IF($A1542=1,IF(Supplier_Invoices!$Q67="","",Supplier_Invoices!$Q67),"")</f>
        <v/>
      </c>
      <c r="AB1542" s="32">
        <f>IF($A1542=1,IF(Supplier_Invoices!$R67="","",Supplier_Invoices!$R67),"")</f>
        <v/>
      </c>
      <c r="AC1542" s="32">
        <f>IF($A1542=1,IF(Supplier_Invoices!$S67="","",Supplier_Invoices!$S67),"")</f>
        <v/>
      </c>
      <c r="AD1542" s="32">
        <f>IF($A1542=1,IF(Supplier_Invoices!$T67="","",Supplier_Invoices!$T67),"")</f>
        <v/>
      </c>
      <c r="AE1542" s="32">
        <f>IF($A1542=1,0,"")</f>
        <v/>
      </c>
      <c r="AF1542" s="32" t="inlineStr"/>
    </row>
    <row r="1543">
      <c r="A1543" s="32">
        <f>IF(AND(Supplier_Invoices!$AD67=1,Supplier_Invoices!$L67&lt;&gt;"",Supplier_Invoices!$V67&lt;&gt;"CN",N(Supplier_Invoices!$W67)&gt;0),1,0)</f>
        <v/>
      </c>
      <c r="B1543" s="32">
        <f>IF($A1543=1,$E1543&amp;"/5","")</f>
        <v/>
      </c>
      <c r="C1543" s="32">
        <f>IF($A1543=1,"J-"&amp;Supplier_Invoices!$A67,"")</f>
        <v/>
      </c>
      <c r="D1543" s="33">
        <f>IF($A1543=1,Supplier_Invoices!$E67,"")</f>
        <v/>
      </c>
      <c r="E1543" s="32">
        <f>IF($A1543=1,IF(Supplier_Invoices!$A67="","",Supplier_Invoices!$A67),"")</f>
        <v/>
      </c>
      <c r="F1543" s="32">
        <f>IF($A1543=1,"SINV","")</f>
        <v/>
      </c>
      <c r="G1543" s="32">
        <f>IF($A1543=1,IF(Supplier_Invoices!$AA67="","",Supplier_Invoices!$AA67),"")</f>
        <v/>
      </c>
      <c r="H1543" s="32">
        <f>IF($A1543=1,IF(COUNTIF(COA!$A:$A,$G1543)=0,"حساب غير معرف",INDEX(COA!$B:$B,MATCH($G1543,COA!$A:$A,0))),"")</f>
        <v/>
      </c>
      <c r="I1543" s="32">
        <f>IF($A1543=1,IF(Supplier_Invoices!$H67="","",Supplier_Invoices!$H67),"")</f>
        <v/>
      </c>
      <c r="J1543" s="32">
        <f>IF($A1543=1,"CC00","")</f>
        <v/>
      </c>
      <c r="K1543" s="32">
        <f>IF($A1543=1,"-","")</f>
        <v/>
      </c>
      <c r="L1543" s="32">
        <f>IF($A1543=1,"سداد فوري - "&amp;Supplier_Invoices!$F67&amp;" "&amp;Supplier_Invoices!$B67&amp;" - "&amp;Supplier_Invoices!$C67,"")</f>
        <v/>
      </c>
      <c r="M1543" s="43">
        <f>IF($A1543=1,0,"")</f>
        <v/>
      </c>
      <c r="N1543" s="43">
        <f>IF($A1543=1,Supplier_Invoices!$W67,"")</f>
        <v/>
      </c>
      <c r="O1543" s="32">
        <f>IF($A1543=1,Supplier_Invoices!$O67,"")</f>
        <v/>
      </c>
      <c r="P1543" s="32">
        <f>IF($A1543=1,IF(Supplier_Invoices!$AE67="","",Supplier_Invoices!$AE67),"")</f>
        <v/>
      </c>
      <c r="Q1543" s="32">
        <f>IF($A1543=1,Supplier_Invoices!$AG67,"")</f>
        <v/>
      </c>
      <c r="R1543" s="32">
        <f>IF($A1543=1,IF(AND($Q1543=1,COUNTIFS(COA!$A:$A,$G1543,COA!$R:$R,1)=1),1,0),"")</f>
        <v/>
      </c>
      <c r="S1543" s="43">
        <f>IF($A1543=1,IF($R1543=1,N($M1543),0),"")</f>
        <v/>
      </c>
      <c r="T1543" s="43">
        <f>IF($A1543=1,IF($R1543=1,N($N1543),0),"")</f>
        <v/>
      </c>
      <c r="U1543" s="32">
        <f>IF($A1543=1,YEAR($D1543)*100+MONTH($D1543),"")</f>
        <v/>
      </c>
      <c r="V1543" s="32">
        <f>IF($A1543=1,IF(COUNTIF(COA!$A:$A,$G1543)=0,0,INDEX(COA!$H:$H,MATCH($G1543,COA!$A:$A,0))),"")</f>
        <v/>
      </c>
      <c r="W1543" s="32">
        <f>IF($A1543=1,IF(Supplier_Invoices!$AB67="","",Supplier_Invoices!$AB67),"")</f>
        <v/>
      </c>
      <c r="X1543" s="32">
        <f>IF($A1543=1,IF($R1543=1,"",IF($O1543=ST_POST,IF($P1543&lt;&gt;"",$P1543,"حساب غير صالح أو غير نشط"),IF($O1543=ST_REV,"معكوس: لا أثر على الدفاتر",IF($O1543=ST_CANC,"ملغى",IF($O1543=ST_APPR,"معتمد ولم يُرحَّل","مسودة"))))),"")</f>
        <v/>
      </c>
      <c r="Y1543" s="32">
        <f>IF($A1543=1,IF(AND($R1543=1,OR(LG_Acct="",$G1543=LG_Acct),OR(LG_Party="",$K1543=LG_Party),OR(LG_Loc="ALL",$I1543=LG_Loc),OR(LG_CC="ALL",$J1543=LG_CC),$D1543&gt;=LG_From,$D1543&lt;=LG_To),$D1543+ROW()/1000000,""),"")</f>
        <v/>
      </c>
      <c r="Z1543" s="32">
        <f>IF($A1543=1,IF(Supplier_Invoices!$P67="","",Supplier_Invoices!$P67),"")</f>
        <v/>
      </c>
      <c r="AA1543" s="32">
        <f>IF($A1543=1,IF(Supplier_Invoices!$Q67="","",Supplier_Invoices!$Q67),"")</f>
        <v/>
      </c>
      <c r="AB1543" s="32">
        <f>IF($A1543=1,IF(Supplier_Invoices!$R67="","",Supplier_Invoices!$R67),"")</f>
        <v/>
      </c>
      <c r="AC1543" s="32">
        <f>IF($A1543=1,IF(Supplier_Invoices!$S67="","",Supplier_Invoices!$S67),"")</f>
        <v/>
      </c>
      <c r="AD1543" s="32">
        <f>IF($A1543=1,IF(Supplier_Invoices!$T67="","",Supplier_Invoices!$T67),"")</f>
        <v/>
      </c>
      <c r="AE1543" s="32">
        <f>IF($A1543=1,0,"")</f>
        <v/>
      </c>
      <c r="AF1543" s="32" t="inlineStr"/>
    </row>
    <row r="1544">
      <c r="A1544" s="32">
        <f>IF(AND(Supplier_Invoices!$AD68=1,N(Supplier_Invoices!$J68)&gt;0),1,0)</f>
        <v/>
      </c>
      <c r="B1544" s="32">
        <f>IF($A1544=1,$E1544&amp;"/1","")</f>
        <v/>
      </c>
      <c r="C1544" s="32">
        <f>IF($A1544=1,"J-"&amp;Supplier_Invoices!$A68,"")</f>
        <v/>
      </c>
      <c r="D1544" s="33">
        <f>IF($A1544=1,Supplier_Invoices!$E68,"")</f>
        <v/>
      </c>
      <c r="E1544" s="32">
        <f>IF($A1544=1,IF(Supplier_Invoices!$A68="","",Supplier_Invoices!$A68),"")</f>
        <v/>
      </c>
      <c r="F1544" s="32">
        <f>IF($A1544=1,"SINV","")</f>
        <v/>
      </c>
      <c r="G1544" s="32">
        <f>IF($A1544=1,IF(Supplier_Invoices!$G68="","",Supplier_Invoices!$G68),"")</f>
        <v/>
      </c>
      <c r="H1544" s="32">
        <f>IF($A1544=1,IF(COUNTIF(COA!$A:$A,$G1544)=0,"حساب غير معرف",INDEX(COA!$B:$B,MATCH($G1544,COA!$A:$A,0))),"")</f>
        <v/>
      </c>
      <c r="I1544" s="32">
        <f>IF($A1544=1,IF(Supplier_Invoices!$H68="","",Supplier_Invoices!$H68),"")</f>
        <v/>
      </c>
      <c r="J1544" s="32">
        <f>IF($A1544=1,IF(Supplier_Invoices!$I68="","",Supplier_Invoices!$I68),"")</f>
        <v/>
      </c>
      <c r="K1544" s="32">
        <f>IF($A1544=1,"-","")</f>
        <v/>
      </c>
      <c r="L1544" s="32">
        <f>IF($A1544=1,Supplier_Invoices!$F68&amp;" "&amp;Supplier_Invoices!$B68&amp;" - "&amp;Supplier_Invoices!$C68,"")</f>
        <v/>
      </c>
      <c r="M1544" s="43">
        <f>IF($A1544=1,IF(Supplier_Invoices!$V68="CN",0,Supplier_Invoices!$J68),"")</f>
        <v/>
      </c>
      <c r="N1544" s="43">
        <f>IF($A1544=1,IF(Supplier_Invoices!$V68="CN",Supplier_Invoices!$J68,0),"")</f>
        <v/>
      </c>
      <c r="O1544" s="32">
        <f>IF($A1544=1,Supplier_Invoices!$O68,"")</f>
        <v/>
      </c>
      <c r="P1544" s="32">
        <f>IF($A1544=1,IF(Supplier_Invoices!$AE68="","",Supplier_Invoices!$AE68),"")</f>
        <v/>
      </c>
      <c r="Q1544" s="32">
        <f>IF($A1544=1,Supplier_Invoices!$AG68,"")</f>
        <v/>
      </c>
      <c r="R1544" s="32">
        <f>IF($A1544=1,IF(AND($Q1544=1,COUNTIFS(COA!$A:$A,$G1544,COA!$R:$R,1)=1),1,0),"")</f>
        <v/>
      </c>
      <c r="S1544" s="43">
        <f>IF($A1544=1,IF($R1544=1,N($M1544),0),"")</f>
        <v/>
      </c>
      <c r="T1544" s="43">
        <f>IF($A1544=1,IF($R1544=1,N($N1544),0),"")</f>
        <v/>
      </c>
      <c r="U1544" s="32">
        <f>IF($A1544=1,YEAR($D1544)*100+MONTH($D1544),"")</f>
        <v/>
      </c>
      <c r="V1544" s="32">
        <f>IF($A1544=1,IF(COUNTIF(COA!$A:$A,$G1544)=0,0,INDEX(COA!$H:$H,MATCH($G1544,COA!$A:$A,0))),"")</f>
        <v/>
      </c>
      <c r="W1544" s="32">
        <f>IF($A1544=1,"","")</f>
        <v/>
      </c>
      <c r="X1544" s="32">
        <f>IF($A1544=1,IF($R1544=1,"",IF($O1544=ST_POST,IF($P1544&lt;&gt;"",$P1544,"حساب غير صالح أو غير نشط"),IF($O1544=ST_REV,"معكوس: لا أثر على الدفاتر",IF($O1544=ST_CANC,"ملغى",IF($O1544=ST_APPR,"معتمد ولم يُرحَّل","مسودة"))))),"")</f>
        <v/>
      </c>
      <c r="Y1544" s="32">
        <f>IF($A1544=1,IF(AND($R1544=1,OR(LG_Acct="",$G1544=LG_Acct),OR(LG_Party="",$K1544=LG_Party),OR(LG_Loc="ALL",$I1544=LG_Loc),OR(LG_CC="ALL",$J1544=LG_CC),$D1544&gt;=LG_From,$D1544&lt;=LG_To),$D1544+ROW()/1000000,""),"")</f>
        <v/>
      </c>
      <c r="Z1544" s="32">
        <f>IF($A1544=1,IF(Supplier_Invoices!$P68="","",Supplier_Invoices!$P68),"")</f>
        <v/>
      </c>
      <c r="AA1544" s="32">
        <f>IF($A1544=1,IF(Supplier_Invoices!$Q68="","",Supplier_Invoices!$Q68),"")</f>
        <v/>
      </c>
      <c r="AB1544" s="32">
        <f>IF($A1544=1,IF(Supplier_Invoices!$R68="","",Supplier_Invoices!$R68),"")</f>
        <v/>
      </c>
      <c r="AC1544" s="32">
        <f>IF($A1544=1,IF(Supplier_Invoices!$S68="","",Supplier_Invoices!$S68),"")</f>
        <v/>
      </c>
      <c r="AD1544" s="32">
        <f>IF($A1544=1,IF(Supplier_Invoices!$T68="","",Supplier_Invoices!$T68),"")</f>
        <v/>
      </c>
      <c r="AE1544" s="32">
        <f>IF($A1544=1,0,"")</f>
        <v/>
      </c>
      <c r="AF1544" s="32" t="inlineStr"/>
    </row>
    <row r="1545">
      <c r="A1545" s="32">
        <f>IF(AND(Supplier_Invoices!$AD68=1,N(Supplier_Invoices!$K68)&gt;0),1,0)</f>
        <v/>
      </c>
      <c r="B1545" s="32">
        <f>IF($A1545=1,$E1545&amp;"/2","")</f>
        <v/>
      </c>
      <c r="C1545" s="32">
        <f>IF($A1545=1,"J-"&amp;Supplier_Invoices!$A68,"")</f>
        <v/>
      </c>
      <c r="D1545" s="33">
        <f>IF($A1545=1,Supplier_Invoices!$E68,"")</f>
        <v/>
      </c>
      <c r="E1545" s="32">
        <f>IF($A1545=1,IF(Supplier_Invoices!$A68="","",Supplier_Invoices!$A68),"")</f>
        <v/>
      </c>
      <c r="F1545" s="32">
        <f>IF($A1545=1,"SINV","")</f>
        <v/>
      </c>
      <c r="G1545" s="32">
        <f>IF($A1545=1,ACC_VAT_IN,"")</f>
        <v/>
      </c>
      <c r="H1545" s="32">
        <f>IF($A1545=1,IF(COUNTIF(COA!$A:$A,$G1545)=0,"حساب غير معرف",INDEX(COA!$B:$B,MATCH($G1545,COA!$A:$A,0))),"")</f>
        <v/>
      </c>
      <c r="I1545" s="32">
        <f>IF($A1545=1,IF(Supplier_Invoices!$H68="","",Supplier_Invoices!$H68),"")</f>
        <v/>
      </c>
      <c r="J1545" s="32">
        <f>IF($A1545=1,IF(Supplier_Invoices!$I68="","",Supplier_Invoices!$I68),"")</f>
        <v/>
      </c>
      <c r="K1545" s="32">
        <f>IF($A1545=1,"-","")</f>
        <v/>
      </c>
      <c r="L1545" s="32">
        <f>IF($A1545=1,"ضريبة قيمة مضافة - مدخلات","")</f>
        <v/>
      </c>
      <c r="M1545" s="43">
        <f>IF($A1545=1,IF(Supplier_Invoices!$V68="CN",0,Supplier_Invoices!$K68),"")</f>
        <v/>
      </c>
      <c r="N1545" s="43">
        <f>IF($A1545=1,IF(Supplier_Invoices!$V68="CN",Supplier_Invoices!$K68,0),"")</f>
        <v/>
      </c>
      <c r="O1545" s="32">
        <f>IF($A1545=1,Supplier_Invoices!$O68,"")</f>
        <v/>
      </c>
      <c r="P1545" s="32">
        <f>IF($A1545=1,IF(Supplier_Invoices!$AE68="","",Supplier_Invoices!$AE68),"")</f>
        <v/>
      </c>
      <c r="Q1545" s="32">
        <f>IF($A1545=1,Supplier_Invoices!$AG68,"")</f>
        <v/>
      </c>
      <c r="R1545" s="32">
        <f>IF($A1545=1,IF(AND($Q1545=1,COUNTIFS(COA!$A:$A,$G1545,COA!$R:$R,1)=1),1,0),"")</f>
        <v/>
      </c>
      <c r="S1545" s="43">
        <f>IF($A1545=1,IF($R1545=1,N($M1545),0),"")</f>
        <v/>
      </c>
      <c r="T1545" s="43">
        <f>IF($A1545=1,IF($R1545=1,N($N1545),0),"")</f>
        <v/>
      </c>
      <c r="U1545" s="32">
        <f>IF($A1545=1,YEAR($D1545)*100+MONTH($D1545),"")</f>
        <v/>
      </c>
      <c r="V1545" s="32">
        <f>IF($A1545=1,IF(COUNTIF(COA!$A:$A,$G1545)=0,0,INDEX(COA!$H:$H,MATCH($G1545,COA!$A:$A,0))),"")</f>
        <v/>
      </c>
      <c r="W1545" s="32">
        <f>IF($A1545=1,"","")</f>
        <v/>
      </c>
      <c r="X1545" s="32">
        <f>IF($A1545=1,IF($R1545=1,"",IF($O1545=ST_POST,IF($P1545&lt;&gt;"",$P1545,"حساب غير صالح أو غير نشط"),IF($O1545=ST_REV,"معكوس: لا أثر على الدفاتر",IF($O1545=ST_CANC,"ملغى",IF($O1545=ST_APPR,"معتمد ولم يُرحَّل","مسودة"))))),"")</f>
        <v/>
      </c>
      <c r="Y1545" s="32">
        <f>IF($A1545=1,IF(AND($R1545=1,OR(LG_Acct="",$G1545=LG_Acct),OR(LG_Party="",$K1545=LG_Party),OR(LG_Loc="ALL",$I1545=LG_Loc),OR(LG_CC="ALL",$J1545=LG_CC),$D1545&gt;=LG_From,$D1545&lt;=LG_To),$D1545+ROW()/1000000,""),"")</f>
        <v/>
      </c>
      <c r="Z1545" s="32">
        <f>IF($A1545=1,IF(Supplier_Invoices!$P68="","",Supplier_Invoices!$P68),"")</f>
        <v/>
      </c>
      <c r="AA1545" s="32">
        <f>IF($A1545=1,IF(Supplier_Invoices!$Q68="","",Supplier_Invoices!$Q68),"")</f>
        <v/>
      </c>
      <c r="AB1545" s="32">
        <f>IF($A1545=1,IF(Supplier_Invoices!$R68="","",Supplier_Invoices!$R68),"")</f>
        <v/>
      </c>
      <c r="AC1545" s="32">
        <f>IF($A1545=1,IF(Supplier_Invoices!$S68="","",Supplier_Invoices!$S68),"")</f>
        <v/>
      </c>
      <c r="AD1545" s="32">
        <f>IF($A1545=1,IF(Supplier_Invoices!$T68="","",Supplier_Invoices!$T68),"")</f>
        <v/>
      </c>
      <c r="AE1545" s="32">
        <f>IF($A1545=1,0,"")</f>
        <v/>
      </c>
      <c r="AF1545" s="32" t="inlineStr"/>
    </row>
    <row r="1546">
      <c r="A1546" s="32">
        <f>IF(AND(Supplier_Invoices!$AD68=1,N(Supplier_Invoices!$W68)&gt;0),1,0)</f>
        <v/>
      </c>
      <c r="B1546" s="32">
        <f>IF($A1546=1,$E1546&amp;"/3","")</f>
        <v/>
      </c>
      <c r="C1546" s="32">
        <f>IF($A1546=1,"J-"&amp;Supplier_Invoices!$A68,"")</f>
        <v/>
      </c>
      <c r="D1546" s="33">
        <f>IF($A1546=1,Supplier_Invoices!$E68,"")</f>
        <v/>
      </c>
      <c r="E1546" s="32">
        <f>IF($A1546=1,IF(Supplier_Invoices!$A68="","",Supplier_Invoices!$A68),"")</f>
        <v/>
      </c>
      <c r="F1546" s="32">
        <f>IF($A1546=1,"SINV","")</f>
        <v/>
      </c>
      <c r="G1546" s="32">
        <f>IF($A1546=1,ACC_SUPPLIERS,"")</f>
        <v/>
      </c>
      <c r="H1546" s="32">
        <f>IF($A1546=1,IF(COUNTIF(COA!$A:$A,$G1546)=0,"حساب غير معرف",INDEX(COA!$B:$B,MATCH($G1546,COA!$A:$A,0))),"")</f>
        <v/>
      </c>
      <c r="I1546" s="32">
        <f>IF($A1546=1,IF(Supplier_Invoices!$H68="","",Supplier_Invoices!$H68),"")</f>
        <v/>
      </c>
      <c r="J1546" s="32">
        <f>IF($A1546=1,"CC00","")</f>
        <v/>
      </c>
      <c r="K1546" s="32">
        <f>IF($A1546=1,IF(Supplier_Invoices!$C68="","",Supplier_Invoices!$C68),"")</f>
        <v/>
      </c>
      <c r="L1546" s="32">
        <f>IF($A1546=1,Supplier_Invoices!$F68&amp;" "&amp;Supplier_Invoices!$B68&amp;" - "&amp;Supplier_Invoices!$C68,"")</f>
        <v/>
      </c>
      <c r="M1546" s="43">
        <f>IF($A1546=1,IF(Supplier_Invoices!$V68="CN",Supplier_Invoices!$W68,0),"")</f>
        <v/>
      </c>
      <c r="N1546" s="43">
        <f>IF($A1546=1,IF(Supplier_Invoices!$V68="CN",0,Supplier_Invoices!$W68),"")</f>
        <v/>
      </c>
      <c r="O1546" s="32">
        <f>IF($A1546=1,Supplier_Invoices!$O68,"")</f>
        <v/>
      </c>
      <c r="P1546" s="32">
        <f>IF($A1546=1,IF(Supplier_Invoices!$AE68="","",Supplier_Invoices!$AE68),"")</f>
        <v/>
      </c>
      <c r="Q1546" s="32">
        <f>IF($A1546=1,Supplier_Invoices!$AG68,"")</f>
        <v/>
      </c>
      <c r="R1546" s="32">
        <f>IF($A1546=1,IF(AND($Q1546=1,COUNTIFS(COA!$A:$A,$G1546,COA!$R:$R,1)=1),1,0),"")</f>
        <v/>
      </c>
      <c r="S1546" s="43">
        <f>IF($A1546=1,IF($R1546=1,N($M1546),0),"")</f>
        <v/>
      </c>
      <c r="T1546" s="43">
        <f>IF($A1546=1,IF($R1546=1,N($N1546),0),"")</f>
        <v/>
      </c>
      <c r="U1546" s="32">
        <f>IF($A1546=1,YEAR($D1546)*100+MONTH($D1546),"")</f>
        <v/>
      </c>
      <c r="V1546" s="32">
        <f>IF($A1546=1,IF(COUNTIF(COA!$A:$A,$G1546)=0,0,INDEX(COA!$H:$H,MATCH($G1546,COA!$A:$A,0))),"")</f>
        <v/>
      </c>
      <c r="W1546" s="32">
        <f>IF($A1546=1,"","")</f>
        <v/>
      </c>
      <c r="X1546" s="32">
        <f>IF($A1546=1,IF($R1546=1,"",IF($O1546=ST_POST,IF($P1546&lt;&gt;"",$P1546,"حساب غير صالح أو غير نشط"),IF($O1546=ST_REV,"معكوس: لا أثر على الدفاتر",IF($O1546=ST_CANC,"ملغى",IF($O1546=ST_APPR,"معتمد ولم يُرحَّل","مسودة"))))),"")</f>
        <v/>
      </c>
      <c r="Y1546" s="32">
        <f>IF($A1546=1,IF(AND($R1546=1,OR(LG_Acct="",$G1546=LG_Acct),OR(LG_Party="",$K1546=LG_Party),OR(LG_Loc="ALL",$I1546=LG_Loc),OR(LG_CC="ALL",$J1546=LG_CC),$D1546&gt;=LG_From,$D1546&lt;=LG_To),$D1546+ROW()/1000000,""),"")</f>
        <v/>
      </c>
      <c r="Z1546" s="32">
        <f>IF($A1546=1,IF(Supplier_Invoices!$P68="","",Supplier_Invoices!$P68),"")</f>
        <v/>
      </c>
      <c r="AA1546" s="32">
        <f>IF($A1546=1,IF(Supplier_Invoices!$Q68="","",Supplier_Invoices!$Q68),"")</f>
        <v/>
      </c>
      <c r="AB1546" s="32">
        <f>IF($A1546=1,IF(Supplier_Invoices!$R68="","",Supplier_Invoices!$R68),"")</f>
        <v/>
      </c>
      <c r="AC1546" s="32">
        <f>IF($A1546=1,IF(Supplier_Invoices!$S68="","",Supplier_Invoices!$S68),"")</f>
        <v/>
      </c>
      <c r="AD1546" s="32">
        <f>IF($A1546=1,IF(Supplier_Invoices!$T68="","",Supplier_Invoices!$T68),"")</f>
        <v/>
      </c>
      <c r="AE1546" s="32">
        <f>IF($A1546=1,0,"")</f>
        <v/>
      </c>
      <c r="AF1546" s="32" t="inlineStr"/>
    </row>
    <row r="1547">
      <c r="A1547" s="32">
        <f>IF(AND(Supplier_Invoices!$AD68=1,Supplier_Invoices!$L68&lt;&gt;"",Supplier_Invoices!$V68&lt;&gt;"CN",N(Supplier_Invoices!$W68)&gt;0),1,0)</f>
        <v/>
      </c>
      <c r="B1547" s="32">
        <f>IF($A1547=1,$E1547&amp;"/4","")</f>
        <v/>
      </c>
      <c r="C1547" s="32">
        <f>IF($A1547=1,"J-"&amp;Supplier_Invoices!$A68,"")</f>
        <v/>
      </c>
      <c r="D1547" s="33">
        <f>IF($A1547=1,Supplier_Invoices!$E68,"")</f>
        <v/>
      </c>
      <c r="E1547" s="32">
        <f>IF($A1547=1,IF(Supplier_Invoices!$A68="","",Supplier_Invoices!$A68),"")</f>
        <v/>
      </c>
      <c r="F1547" s="32">
        <f>IF($A1547=1,"SINV","")</f>
        <v/>
      </c>
      <c r="G1547" s="32">
        <f>IF($A1547=1,ACC_SUPPLIERS,"")</f>
        <v/>
      </c>
      <c r="H1547" s="32">
        <f>IF($A1547=1,IF(COUNTIF(COA!$A:$A,$G1547)=0,"حساب غير معرف",INDEX(COA!$B:$B,MATCH($G1547,COA!$A:$A,0))),"")</f>
        <v/>
      </c>
      <c r="I1547" s="32">
        <f>IF($A1547=1,IF(Supplier_Invoices!$H68="","",Supplier_Invoices!$H68),"")</f>
        <v/>
      </c>
      <c r="J1547" s="32">
        <f>IF($A1547=1,"CC00","")</f>
        <v/>
      </c>
      <c r="K1547" s="32">
        <f>IF($A1547=1,IF(Supplier_Invoices!$C68="","",Supplier_Invoices!$C68),"")</f>
        <v/>
      </c>
      <c r="L1547" s="32">
        <f>IF($A1547=1,"سداد فوري - "&amp;Supplier_Invoices!$F68&amp;" "&amp;Supplier_Invoices!$B68&amp;" - "&amp;Supplier_Invoices!$C68,"")</f>
        <v/>
      </c>
      <c r="M1547" s="43">
        <f>IF($A1547=1,Supplier_Invoices!$W68,"")</f>
        <v/>
      </c>
      <c r="N1547" s="43">
        <f>IF($A1547=1,0,"")</f>
        <v/>
      </c>
      <c r="O1547" s="32">
        <f>IF($A1547=1,Supplier_Invoices!$O68,"")</f>
        <v/>
      </c>
      <c r="P1547" s="32">
        <f>IF($A1547=1,IF(Supplier_Invoices!$AE68="","",Supplier_Invoices!$AE68),"")</f>
        <v/>
      </c>
      <c r="Q1547" s="32">
        <f>IF($A1547=1,Supplier_Invoices!$AG68,"")</f>
        <v/>
      </c>
      <c r="R1547" s="32">
        <f>IF($A1547=1,IF(AND($Q1547=1,COUNTIFS(COA!$A:$A,$G1547,COA!$R:$R,1)=1),1,0),"")</f>
        <v/>
      </c>
      <c r="S1547" s="43">
        <f>IF($A1547=1,IF($R1547=1,N($M1547),0),"")</f>
        <v/>
      </c>
      <c r="T1547" s="43">
        <f>IF($A1547=1,IF($R1547=1,N($N1547),0),"")</f>
        <v/>
      </c>
      <c r="U1547" s="32">
        <f>IF($A1547=1,YEAR($D1547)*100+MONTH($D1547),"")</f>
        <v/>
      </c>
      <c r="V1547" s="32">
        <f>IF($A1547=1,IF(COUNTIF(COA!$A:$A,$G1547)=0,0,INDEX(COA!$H:$H,MATCH($G1547,COA!$A:$A,0))),"")</f>
        <v/>
      </c>
      <c r="W1547" s="32">
        <f>IF($A1547=1,"","")</f>
        <v/>
      </c>
      <c r="X1547" s="32">
        <f>IF($A1547=1,IF($R1547=1,"",IF($O1547=ST_POST,IF($P1547&lt;&gt;"",$P1547,"حساب غير صالح أو غير نشط"),IF($O1547=ST_REV,"معكوس: لا أثر على الدفاتر",IF($O1547=ST_CANC,"ملغى",IF($O1547=ST_APPR,"معتمد ولم يُرحَّل","مسودة"))))),"")</f>
        <v/>
      </c>
      <c r="Y1547" s="32">
        <f>IF($A1547=1,IF(AND($R1547=1,OR(LG_Acct="",$G1547=LG_Acct),OR(LG_Party="",$K1547=LG_Party),OR(LG_Loc="ALL",$I1547=LG_Loc),OR(LG_CC="ALL",$J1547=LG_CC),$D1547&gt;=LG_From,$D1547&lt;=LG_To),$D1547+ROW()/1000000,""),"")</f>
        <v/>
      </c>
      <c r="Z1547" s="32">
        <f>IF($A1547=1,IF(Supplier_Invoices!$P68="","",Supplier_Invoices!$P68),"")</f>
        <v/>
      </c>
      <c r="AA1547" s="32">
        <f>IF($A1547=1,IF(Supplier_Invoices!$Q68="","",Supplier_Invoices!$Q68),"")</f>
        <v/>
      </c>
      <c r="AB1547" s="32">
        <f>IF($A1547=1,IF(Supplier_Invoices!$R68="","",Supplier_Invoices!$R68),"")</f>
        <v/>
      </c>
      <c r="AC1547" s="32">
        <f>IF($A1547=1,IF(Supplier_Invoices!$S68="","",Supplier_Invoices!$S68),"")</f>
        <v/>
      </c>
      <c r="AD1547" s="32">
        <f>IF($A1547=1,IF(Supplier_Invoices!$T68="","",Supplier_Invoices!$T68),"")</f>
        <v/>
      </c>
      <c r="AE1547" s="32">
        <f>IF($A1547=1,0,"")</f>
        <v/>
      </c>
      <c r="AF1547" s="32" t="inlineStr"/>
    </row>
    <row r="1548">
      <c r="A1548" s="32">
        <f>IF(AND(Supplier_Invoices!$AD68=1,Supplier_Invoices!$L68&lt;&gt;"",Supplier_Invoices!$V68&lt;&gt;"CN",N(Supplier_Invoices!$W68)&gt;0),1,0)</f>
        <v/>
      </c>
      <c r="B1548" s="32">
        <f>IF($A1548=1,$E1548&amp;"/5","")</f>
        <v/>
      </c>
      <c r="C1548" s="32">
        <f>IF($A1548=1,"J-"&amp;Supplier_Invoices!$A68,"")</f>
        <v/>
      </c>
      <c r="D1548" s="33">
        <f>IF($A1548=1,Supplier_Invoices!$E68,"")</f>
        <v/>
      </c>
      <c r="E1548" s="32">
        <f>IF($A1548=1,IF(Supplier_Invoices!$A68="","",Supplier_Invoices!$A68),"")</f>
        <v/>
      </c>
      <c r="F1548" s="32">
        <f>IF($A1548=1,"SINV","")</f>
        <v/>
      </c>
      <c r="G1548" s="32">
        <f>IF($A1548=1,IF(Supplier_Invoices!$AA68="","",Supplier_Invoices!$AA68),"")</f>
        <v/>
      </c>
      <c r="H1548" s="32">
        <f>IF($A1548=1,IF(COUNTIF(COA!$A:$A,$G1548)=0,"حساب غير معرف",INDEX(COA!$B:$B,MATCH($G1548,COA!$A:$A,0))),"")</f>
        <v/>
      </c>
      <c r="I1548" s="32">
        <f>IF($A1548=1,IF(Supplier_Invoices!$H68="","",Supplier_Invoices!$H68),"")</f>
        <v/>
      </c>
      <c r="J1548" s="32">
        <f>IF($A1548=1,"CC00","")</f>
        <v/>
      </c>
      <c r="K1548" s="32">
        <f>IF($A1548=1,"-","")</f>
        <v/>
      </c>
      <c r="L1548" s="32">
        <f>IF($A1548=1,"سداد فوري - "&amp;Supplier_Invoices!$F68&amp;" "&amp;Supplier_Invoices!$B68&amp;" - "&amp;Supplier_Invoices!$C68,"")</f>
        <v/>
      </c>
      <c r="M1548" s="43">
        <f>IF($A1548=1,0,"")</f>
        <v/>
      </c>
      <c r="N1548" s="43">
        <f>IF($A1548=1,Supplier_Invoices!$W68,"")</f>
        <v/>
      </c>
      <c r="O1548" s="32">
        <f>IF($A1548=1,Supplier_Invoices!$O68,"")</f>
        <v/>
      </c>
      <c r="P1548" s="32">
        <f>IF($A1548=1,IF(Supplier_Invoices!$AE68="","",Supplier_Invoices!$AE68),"")</f>
        <v/>
      </c>
      <c r="Q1548" s="32">
        <f>IF($A1548=1,Supplier_Invoices!$AG68,"")</f>
        <v/>
      </c>
      <c r="R1548" s="32">
        <f>IF($A1548=1,IF(AND($Q1548=1,COUNTIFS(COA!$A:$A,$G1548,COA!$R:$R,1)=1),1,0),"")</f>
        <v/>
      </c>
      <c r="S1548" s="43">
        <f>IF($A1548=1,IF($R1548=1,N($M1548),0),"")</f>
        <v/>
      </c>
      <c r="T1548" s="43">
        <f>IF($A1548=1,IF($R1548=1,N($N1548),0),"")</f>
        <v/>
      </c>
      <c r="U1548" s="32">
        <f>IF($A1548=1,YEAR($D1548)*100+MONTH($D1548),"")</f>
        <v/>
      </c>
      <c r="V1548" s="32">
        <f>IF($A1548=1,IF(COUNTIF(COA!$A:$A,$G1548)=0,0,INDEX(COA!$H:$H,MATCH($G1548,COA!$A:$A,0))),"")</f>
        <v/>
      </c>
      <c r="W1548" s="32">
        <f>IF($A1548=1,IF(Supplier_Invoices!$AB68="","",Supplier_Invoices!$AB68),"")</f>
        <v/>
      </c>
      <c r="X1548" s="32">
        <f>IF($A1548=1,IF($R1548=1,"",IF($O1548=ST_POST,IF($P1548&lt;&gt;"",$P1548,"حساب غير صالح أو غير نشط"),IF($O1548=ST_REV,"معكوس: لا أثر على الدفاتر",IF($O1548=ST_CANC,"ملغى",IF($O1548=ST_APPR,"معتمد ولم يُرحَّل","مسودة"))))),"")</f>
        <v/>
      </c>
      <c r="Y1548" s="32">
        <f>IF($A1548=1,IF(AND($R1548=1,OR(LG_Acct="",$G1548=LG_Acct),OR(LG_Party="",$K1548=LG_Party),OR(LG_Loc="ALL",$I1548=LG_Loc),OR(LG_CC="ALL",$J1548=LG_CC),$D1548&gt;=LG_From,$D1548&lt;=LG_To),$D1548+ROW()/1000000,""),"")</f>
        <v/>
      </c>
      <c r="Z1548" s="32">
        <f>IF($A1548=1,IF(Supplier_Invoices!$P68="","",Supplier_Invoices!$P68),"")</f>
        <v/>
      </c>
      <c r="AA1548" s="32">
        <f>IF($A1548=1,IF(Supplier_Invoices!$Q68="","",Supplier_Invoices!$Q68),"")</f>
        <v/>
      </c>
      <c r="AB1548" s="32">
        <f>IF($A1548=1,IF(Supplier_Invoices!$R68="","",Supplier_Invoices!$R68),"")</f>
        <v/>
      </c>
      <c r="AC1548" s="32">
        <f>IF($A1548=1,IF(Supplier_Invoices!$S68="","",Supplier_Invoices!$S68),"")</f>
        <v/>
      </c>
      <c r="AD1548" s="32">
        <f>IF($A1548=1,IF(Supplier_Invoices!$T68="","",Supplier_Invoices!$T68),"")</f>
        <v/>
      </c>
      <c r="AE1548" s="32">
        <f>IF($A1548=1,0,"")</f>
        <v/>
      </c>
      <c r="AF1548" s="32" t="inlineStr"/>
    </row>
    <row r="1549">
      <c r="A1549" s="32">
        <f>IF(AND(Supplier_Invoices!$AD69=1,N(Supplier_Invoices!$J69)&gt;0),1,0)</f>
        <v/>
      </c>
      <c r="B1549" s="32">
        <f>IF($A1549=1,$E1549&amp;"/1","")</f>
        <v/>
      </c>
      <c r="C1549" s="32">
        <f>IF($A1549=1,"J-"&amp;Supplier_Invoices!$A69,"")</f>
        <v/>
      </c>
      <c r="D1549" s="33">
        <f>IF($A1549=1,Supplier_Invoices!$E69,"")</f>
        <v/>
      </c>
      <c r="E1549" s="32">
        <f>IF($A1549=1,IF(Supplier_Invoices!$A69="","",Supplier_Invoices!$A69),"")</f>
        <v/>
      </c>
      <c r="F1549" s="32">
        <f>IF($A1549=1,"SINV","")</f>
        <v/>
      </c>
      <c r="G1549" s="32">
        <f>IF($A1549=1,IF(Supplier_Invoices!$G69="","",Supplier_Invoices!$G69),"")</f>
        <v/>
      </c>
      <c r="H1549" s="32">
        <f>IF($A1549=1,IF(COUNTIF(COA!$A:$A,$G1549)=0,"حساب غير معرف",INDEX(COA!$B:$B,MATCH($G1549,COA!$A:$A,0))),"")</f>
        <v/>
      </c>
      <c r="I1549" s="32">
        <f>IF($A1549=1,IF(Supplier_Invoices!$H69="","",Supplier_Invoices!$H69),"")</f>
        <v/>
      </c>
      <c r="J1549" s="32">
        <f>IF($A1549=1,IF(Supplier_Invoices!$I69="","",Supplier_Invoices!$I69),"")</f>
        <v/>
      </c>
      <c r="K1549" s="32">
        <f>IF($A1549=1,"-","")</f>
        <v/>
      </c>
      <c r="L1549" s="32">
        <f>IF($A1549=1,Supplier_Invoices!$F69&amp;" "&amp;Supplier_Invoices!$B69&amp;" - "&amp;Supplier_Invoices!$C69,"")</f>
        <v/>
      </c>
      <c r="M1549" s="43">
        <f>IF($A1549=1,IF(Supplier_Invoices!$V69="CN",0,Supplier_Invoices!$J69),"")</f>
        <v/>
      </c>
      <c r="N1549" s="43">
        <f>IF($A1549=1,IF(Supplier_Invoices!$V69="CN",Supplier_Invoices!$J69,0),"")</f>
        <v/>
      </c>
      <c r="O1549" s="32">
        <f>IF($A1549=1,Supplier_Invoices!$O69,"")</f>
        <v/>
      </c>
      <c r="P1549" s="32">
        <f>IF($A1549=1,IF(Supplier_Invoices!$AE69="","",Supplier_Invoices!$AE69),"")</f>
        <v/>
      </c>
      <c r="Q1549" s="32">
        <f>IF($A1549=1,Supplier_Invoices!$AG69,"")</f>
        <v/>
      </c>
      <c r="R1549" s="32">
        <f>IF($A1549=1,IF(AND($Q1549=1,COUNTIFS(COA!$A:$A,$G1549,COA!$R:$R,1)=1),1,0),"")</f>
        <v/>
      </c>
      <c r="S1549" s="43">
        <f>IF($A1549=1,IF($R1549=1,N($M1549),0),"")</f>
        <v/>
      </c>
      <c r="T1549" s="43">
        <f>IF($A1549=1,IF($R1549=1,N($N1549),0),"")</f>
        <v/>
      </c>
      <c r="U1549" s="32">
        <f>IF($A1549=1,YEAR($D1549)*100+MONTH($D1549),"")</f>
        <v/>
      </c>
      <c r="V1549" s="32">
        <f>IF($A1549=1,IF(COUNTIF(COA!$A:$A,$G1549)=0,0,INDEX(COA!$H:$H,MATCH($G1549,COA!$A:$A,0))),"")</f>
        <v/>
      </c>
      <c r="W1549" s="32">
        <f>IF($A1549=1,"","")</f>
        <v/>
      </c>
      <c r="X1549" s="32">
        <f>IF($A1549=1,IF($R1549=1,"",IF($O1549=ST_POST,IF($P1549&lt;&gt;"",$P1549,"حساب غير صالح أو غير نشط"),IF($O1549=ST_REV,"معكوس: لا أثر على الدفاتر",IF($O1549=ST_CANC,"ملغى",IF($O1549=ST_APPR,"معتمد ولم يُرحَّل","مسودة"))))),"")</f>
        <v/>
      </c>
      <c r="Y1549" s="32">
        <f>IF($A1549=1,IF(AND($R1549=1,OR(LG_Acct="",$G1549=LG_Acct),OR(LG_Party="",$K1549=LG_Party),OR(LG_Loc="ALL",$I1549=LG_Loc),OR(LG_CC="ALL",$J1549=LG_CC),$D1549&gt;=LG_From,$D1549&lt;=LG_To),$D1549+ROW()/1000000,""),"")</f>
        <v/>
      </c>
      <c r="Z1549" s="32">
        <f>IF($A1549=1,IF(Supplier_Invoices!$P69="","",Supplier_Invoices!$P69),"")</f>
        <v/>
      </c>
      <c r="AA1549" s="32">
        <f>IF($A1549=1,IF(Supplier_Invoices!$Q69="","",Supplier_Invoices!$Q69),"")</f>
        <v/>
      </c>
      <c r="AB1549" s="32">
        <f>IF($A1549=1,IF(Supplier_Invoices!$R69="","",Supplier_Invoices!$R69),"")</f>
        <v/>
      </c>
      <c r="AC1549" s="32">
        <f>IF($A1549=1,IF(Supplier_Invoices!$S69="","",Supplier_Invoices!$S69),"")</f>
        <v/>
      </c>
      <c r="AD1549" s="32">
        <f>IF($A1549=1,IF(Supplier_Invoices!$T69="","",Supplier_Invoices!$T69),"")</f>
        <v/>
      </c>
      <c r="AE1549" s="32">
        <f>IF($A1549=1,0,"")</f>
        <v/>
      </c>
      <c r="AF1549" s="32" t="inlineStr"/>
    </row>
    <row r="1550">
      <c r="A1550" s="32">
        <f>IF(AND(Supplier_Invoices!$AD69=1,N(Supplier_Invoices!$K69)&gt;0),1,0)</f>
        <v/>
      </c>
      <c r="B1550" s="32">
        <f>IF($A1550=1,$E1550&amp;"/2","")</f>
        <v/>
      </c>
      <c r="C1550" s="32">
        <f>IF($A1550=1,"J-"&amp;Supplier_Invoices!$A69,"")</f>
        <v/>
      </c>
      <c r="D1550" s="33">
        <f>IF($A1550=1,Supplier_Invoices!$E69,"")</f>
        <v/>
      </c>
      <c r="E1550" s="32">
        <f>IF($A1550=1,IF(Supplier_Invoices!$A69="","",Supplier_Invoices!$A69),"")</f>
        <v/>
      </c>
      <c r="F1550" s="32">
        <f>IF($A1550=1,"SINV","")</f>
        <v/>
      </c>
      <c r="G1550" s="32">
        <f>IF($A1550=1,ACC_VAT_IN,"")</f>
        <v/>
      </c>
      <c r="H1550" s="32">
        <f>IF($A1550=1,IF(COUNTIF(COA!$A:$A,$G1550)=0,"حساب غير معرف",INDEX(COA!$B:$B,MATCH($G1550,COA!$A:$A,0))),"")</f>
        <v/>
      </c>
      <c r="I1550" s="32">
        <f>IF($A1550=1,IF(Supplier_Invoices!$H69="","",Supplier_Invoices!$H69),"")</f>
        <v/>
      </c>
      <c r="J1550" s="32">
        <f>IF($A1550=1,IF(Supplier_Invoices!$I69="","",Supplier_Invoices!$I69),"")</f>
        <v/>
      </c>
      <c r="K1550" s="32">
        <f>IF($A1550=1,"-","")</f>
        <v/>
      </c>
      <c r="L1550" s="32">
        <f>IF($A1550=1,"ضريبة قيمة مضافة - مدخلات","")</f>
        <v/>
      </c>
      <c r="M1550" s="43">
        <f>IF($A1550=1,IF(Supplier_Invoices!$V69="CN",0,Supplier_Invoices!$K69),"")</f>
        <v/>
      </c>
      <c r="N1550" s="43">
        <f>IF($A1550=1,IF(Supplier_Invoices!$V69="CN",Supplier_Invoices!$K69,0),"")</f>
        <v/>
      </c>
      <c r="O1550" s="32">
        <f>IF($A1550=1,Supplier_Invoices!$O69,"")</f>
        <v/>
      </c>
      <c r="P1550" s="32">
        <f>IF($A1550=1,IF(Supplier_Invoices!$AE69="","",Supplier_Invoices!$AE69),"")</f>
        <v/>
      </c>
      <c r="Q1550" s="32">
        <f>IF($A1550=1,Supplier_Invoices!$AG69,"")</f>
        <v/>
      </c>
      <c r="R1550" s="32">
        <f>IF($A1550=1,IF(AND($Q1550=1,COUNTIFS(COA!$A:$A,$G1550,COA!$R:$R,1)=1),1,0),"")</f>
        <v/>
      </c>
      <c r="S1550" s="43">
        <f>IF($A1550=1,IF($R1550=1,N($M1550),0),"")</f>
        <v/>
      </c>
      <c r="T1550" s="43">
        <f>IF($A1550=1,IF($R1550=1,N($N1550),0),"")</f>
        <v/>
      </c>
      <c r="U1550" s="32">
        <f>IF($A1550=1,YEAR($D1550)*100+MONTH($D1550),"")</f>
        <v/>
      </c>
      <c r="V1550" s="32">
        <f>IF($A1550=1,IF(COUNTIF(COA!$A:$A,$G1550)=0,0,INDEX(COA!$H:$H,MATCH($G1550,COA!$A:$A,0))),"")</f>
        <v/>
      </c>
      <c r="W1550" s="32">
        <f>IF($A1550=1,"","")</f>
        <v/>
      </c>
      <c r="X1550" s="32">
        <f>IF($A1550=1,IF($R1550=1,"",IF($O1550=ST_POST,IF($P1550&lt;&gt;"",$P1550,"حساب غير صالح أو غير نشط"),IF($O1550=ST_REV,"معكوس: لا أثر على الدفاتر",IF($O1550=ST_CANC,"ملغى",IF($O1550=ST_APPR,"معتمد ولم يُرحَّل","مسودة"))))),"")</f>
        <v/>
      </c>
      <c r="Y1550" s="32">
        <f>IF($A1550=1,IF(AND($R1550=1,OR(LG_Acct="",$G1550=LG_Acct),OR(LG_Party="",$K1550=LG_Party),OR(LG_Loc="ALL",$I1550=LG_Loc),OR(LG_CC="ALL",$J1550=LG_CC),$D1550&gt;=LG_From,$D1550&lt;=LG_To),$D1550+ROW()/1000000,""),"")</f>
        <v/>
      </c>
      <c r="Z1550" s="32">
        <f>IF($A1550=1,IF(Supplier_Invoices!$P69="","",Supplier_Invoices!$P69),"")</f>
        <v/>
      </c>
      <c r="AA1550" s="32">
        <f>IF($A1550=1,IF(Supplier_Invoices!$Q69="","",Supplier_Invoices!$Q69),"")</f>
        <v/>
      </c>
      <c r="AB1550" s="32">
        <f>IF($A1550=1,IF(Supplier_Invoices!$R69="","",Supplier_Invoices!$R69),"")</f>
        <v/>
      </c>
      <c r="AC1550" s="32">
        <f>IF($A1550=1,IF(Supplier_Invoices!$S69="","",Supplier_Invoices!$S69),"")</f>
        <v/>
      </c>
      <c r="AD1550" s="32">
        <f>IF($A1550=1,IF(Supplier_Invoices!$T69="","",Supplier_Invoices!$T69),"")</f>
        <v/>
      </c>
      <c r="AE1550" s="32">
        <f>IF($A1550=1,0,"")</f>
        <v/>
      </c>
      <c r="AF1550" s="32" t="inlineStr"/>
    </row>
    <row r="1551">
      <c r="A1551" s="32">
        <f>IF(AND(Supplier_Invoices!$AD69=1,N(Supplier_Invoices!$W69)&gt;0),1,0)</f>
        <v/>
      </c>
      <c r="B1551" s="32">
        <f>IF($A1551=1,$E1551&amp;"/3","")</f>
        <v/>
      </c>
      <c r="C1551" s="32">
        <f>IF($A1551=1,"J-"&amp;Supplier_Invoices!$A69,"")</f>
        <v/>
      </c>
      <c r="D1551" s="33">
        <f>IF($A1551=1,Supplier_Invoices!$E69,"")</f>
        <v/>
      </c>
      <c r="E1551" s="32">
        <f>IF($A1551=1,IF(Supplier_Invoices!$A69="","",Supplier_Invoices!$A69),"")</f>
        <v/>
      </c>
      <c r="F1551" s="32">
        <f>IF($A1551=1,"SINV","")</f>
        <v/>
      </c>
      <c r="G1551" s="32">
        <f>IF($A1551=1,ACC_SUPPLIERS,"")</f>
        <v/>
      </c>
      <c r="H1551" s="32">
        <f>IF($A1551=1,IF(COUNTIF(COA!$A:$A,$G1551)=0,"حساب غير معرف",INDEX(COA!$B:$B,MATCH($G1551,COA!$A:$A,0))),"")</f>
        <v/>
      </c>
      <c r="I1551" s="32">
        <f>IF($A1551=1,IF(Supplier_Invoices!$H69="","",Supplier_Invoices!$H69),"")</f>
        <v/>
      </c>
      <c r="J1551" s="32">
        <f>IF($A1551=1,"CC00","")</f>
        <v/>
      </c>
      <c r="K1551" s="32">
        <f>IF($A1551=1,IF(Supplier_Invoices!$C69="","",Supplier_Invoices!$C69),"")</f>
        <v/>
      </c>
      <c r="L1551" s="32">
        <f>IF($A1551=1,Supplier_Invoices!$F69&amp;" "&amp;Supplier_Invoices!$B69&amp;" - "&amp;Supplier_Invoices!$C69,"")</f>
        <v/>
      </c>
      <c r="M1551" s="43">
        <f>IF($A1551=1,IF(Supplier_Invoices!$V69="CN",Supplier_Invoices!$W69,0),"")</f>
        <v/>
      </c>
      <c r="N1551" s="43">
        <f>IF($A1551=1,IF(Supplier_Invoices!$V69="CN",0,Supplier_Invoices!$W69),"")</f>
        <v/>
      </c>
      <c r="O1551" s="32">
        <f>IF($A1551=1,Supplier_Invoices!$O69,"")</f>
        <v/>
      </c>
      <c r="P1551" s="32">
        <f>IF($A1551=1,IF(Supplier_Invoices!$AE69="","",Supplier_Invoices!$AE69),"")</f>
        <v/>
      </c>
      <c r="Q1551" s="32">
        <f>IF($A1551=1,Supplier_Invoices!$AG69,"")</f>
        <v/>
      </c>
      <c r="R1551" s="32">
        <f>IF($A1551=1,IF(AND($Q1551=1,COUNTIFS(COA!$A:$A,$G1551,COA!$R:$R,1)=1),1,0),"")</f>
        <v/>
      </c>
      <c r="S1551" s="43">
        <f>IF($A1551=1,IF($R1551=1,N($M1551),0),"")</f>
        <v/>
      </c>
      <c r="T1551" s="43">
        <f>IF($A1551=1,IF($R1551=1,N($N1551),0),"")</f>
        <v/>
      </c>
      <c r="U1551" s="32">
        <f>IF($A1551=1,YEAR($D1551)*100+MONTH($D1551),"")</f>
        <v/>
      </c>
      <c r="V1551" s="32">
        <f>IF($A1551=1,IF(COUNTIF(COA!$A:$A,$G1551)=0,0,INDEX(COA!$H:$H,MATCH($G1551,COA!$A:$A,0))),"")</f>
        <v/>
      </c>
      <c r="W1551" s="32">
        <f>IF($A1551=1,"","")</f>
        <v/>
      </c>
      <c r="X1551" s="32">
        <f>IF($A1551=1,IF($R1551=1,"",IF($O1551=ST_POST,IF($P1551&lt;&gt;"",$P1551,"حساب غير صالح أو غير نشط"),IF($O1551=ST_REV,"معكوس: لا أثر على الدفاتر",IF($O1551=ST_CANC,"ملغى",IF($O1551=ST_APPR,"معتمد ولم يُرحَّل","مسودة"))))),"")</f>
        <v/>
      </c>
      <c r="Y1551" s="32">
        <f>IF($A1551=1,IF(AND($R1551=1,OR(LG_Acct="",$G1551=LG_Acct),OR(LG_Party="",$K1551=LG_Party),OR(LG_Loc="ALL",$I1551=LG_Loc),OR(LG_CC="ALL",$J1551=LG_CC),$D1551&gt;=LG_From,$D1551&lt;=LG_To),$D1551+ROW()/1000000,""),"")</f>
        <v/>
      </c>
      <c r="Z1551" s="32">
        <f>IF($A1551=1,IF(Supplier_Invoices!$P69="","",Supplier_Invoices!$P69),"")</f>
        <v/>
      </c>
      <c r="AA1551" s="32">
        <f>IF($A1551=1,IF(Supplier_Invoices!$Q69="","",Supplier_Invoices!$Q69),"")</f>
        <v/>
      </c>
      <c r="AB1551" s="32">
        <f>IF($A1551=1,IF(Supplier_Invoices!$R69="","",Supplier_Invoices!$R69),"")</f>
        <v/>
      </c>
      <c r="AC1551" s="32">
        <f>IF($A1551=1,IF(Supplier_Invoices!$S69="","",Supplier_Invoices!$S69),"")</f>
        <v/>
      </c>
      <c r="AD1551" s="32">
        <f>IF($A1551=1,IF(Supplier_Invoices!$T69="","",Supplier_Invoices!$T69),"")</f>
        <v/>
      </c>
      <c r="AE1551" s="32">
        <f>IF($A1551=1,0,"")</f>
        <v/>
      </c>
      <c r="AF1551" s="32" t="inlineStr"/>
    </row>
    <row r="1552">
      <c r="A1552" s="32">
        <f>IF(AND(Supplier_Invoices!$AD69=1,Supplier_Invoices!$L69&lt;&gt;"",Supplier_Invoices!$V69&lt;&gt;"CN",N(Supplier_Invoices!$W69)&gt;0),1,0)</f>
        <v/>
      </c>
      <c r="B1552" s="32">
        <f>IF($A1552=1,$E1552&amp;"/4","")</f>
        <v/>
      </c>
      <c r="C1552" s="32">
        <f>IF($A1552=1,"J-"&amp;Supplier_Invoices!$A69,"")</f>
        <v/>
      </c>
      <c r="D1552" s="33">
        <f>IF($A1552=1,Supplier_Invoices!$E69,"")</f>
        <v/>
      </c>
      <c r="E1552" s="32">
        <f>IF($A1552=1,IF(Supplier_Invoices!$A69="","",Supplier_Invoices!$A69),"")</f>
        <v/>
      </c>
      <c r="F1552" s="32">
        <f>IF($A1552=1,"SINV","")</f>
        <v/>
      </c>
      <c r="G1552" s="32">
        <f>IF($A1552=1,ACC_SUPPLIERS,"")</f>
        <v/>
      </c>
      <c r="H1552" s="32">
        <f>IF($A1552=1,IF(COUNTIF(COA!$A:$A,$G1552)=0,"حساب غير معرف",INDEX(COA!$B:$B,MATCH($G1552,COA!$A:$A,0))),"")</f>
        <v/>
      </c>
      <c r="I1552" s="32">
        <f>IF($A1552=1,IF(Supplier_Invoices!$H69="","",Supplier_Invoices!$H69),"")</f>
        <v/>
      </c>
      <c r="J1552" s="32">
        <f>IF($A1552=1,"CC00","")</f>
        <v/>
      </c>
      <c r="K1552" s="32">
        <f>IF($A1552=1,IF(Supplier_Invoices!$C69="","",Supplier_Invoices!$C69),"")</f>
        <v/>
      </c>
      <c r="L1552" s="32">
        <f>IF($A1552=1,"سداد فوري - "&amp;Supplier_Invoices!$F69&amp;" "&amp;Supplier_Invoices!$B69&amp;" - "&amp;Supplier_Invoices!$C69,"")</f>
        <v/>
      </c>
      <c r="M1552" s="43">
        <f>IF($A1552=1,Supplier_Invoices!$W69,"")</f>
        <v/>
      </c>
      <c r="N1552" s="43">
        <f>IF($A1552=1,0,"")</f>
        <v/>
      </c>
      <c r="O1552" s="32">
        <f>IF($A1552=1,Supplier_Invoices!$O69,"")</f>
        <v/>
      </c>
      <c r="P1552" s="32">
        <f>IF($A1552=1,IF(Supplier_Invoices!$AE69="","",Supplier_Invoices!$AE69),"")</f>
        <v/>
      </c>
      <c r="Q1552" s="32">
        <f>IF($A1552=1,Supplier_Invoices!$AG69,"")</f>
        <v/>
      </c>
      <c r="R1552" s="32">
        <f>IF($A1552=1,IF(AND($Q1552=1,COUNTIFS(COA!$A:$A,$G1552,COA!$R:$R,1)=1),1,0),"")</f>
        <v/>
      </c>
      <c r="S1552" s="43">
        <f>IF($A1552=1,IF($R1552=1,N($M1552),0),"")</f>
        <v/>
      </c>
      <c r="T1552" s="43">
        <f>IF($A1552=1,IF($R1552=1,N($N1552),0),"")</f>
        <v/>
      </c>
      <c r="U1552" s="32">
        <f>IF($A1552=1,YEAR($D1552)*100+MONTH($D1552),"")</f>
        <v/>
      </c>
      <c r="V1552" s="32">
        <f>IF($A1552=1,IF(COUNTIF(COA!$A:$A,$G1552)=0,0,INDEX(COA!$H:$H,MATCH($G1552,COA!$A:$A,0))),"")</f>
        <v/>
      </c>
      <c r="W1552" s="32">
        <f>IF($A1552=1,"","")</f>
        <v/>
      </c>
      <c r="X1552" s="32">
        <f>IF($A1552=1,IF($R1552=1,"",IF($O1552=ST_POST,IF($P1552&lt;&gt;"",$P1552,"حساب غير صالح أو غير نشط"),IF($O1552=ST_REV,"معكوس: لا أثر على الدفاتر",IF($O1552=ST_CANC,"ملغى",IF($O1552=ST_APPR,"معتمد ولم يُرحَّل","مسودة"))))),"")</f>
        <v/>
      </c>
      <c r="Y1552" s="32">
        <f>IF($A1552=1,IF(AND($R1552=1,OR(LG_Acct="",$G1552=LG_Acct),OR(LG_Party="",$K1552=LG_Party),OR(LG_Loc="ALL",$I1552=LG_Loc),OR(LG_CC="ALL",$J1552=LG_CC),$D1552&gt;=LG_From,$D1552&lt;=LG_To),$D1552+ROW()/1000000,""),"")</f>
        <v/>
      </c>
      <c r="Z1552" s="32">
        <f>IF($A1552=1,IF(Supplier_Invoices!$P69="","",Supplier_Invoices!$P69),"")</f>
        <v/>
      </c>
      <c r="AA1552" s="32">
        <f>IF($A1552=1,IF(Supplier_Invoices!$Q69="","",Supplier_Invoices!$Q69),"")</f>
        <v/>
      </c>
      <c r="AB1552" s="32">
        <f>IF($A1552=1,IF(Supplier_Invoices!$R69="","",Supplier_Invoices!$R69),"")</f>
        <v/>
      </c>
      <c r="AC1552" s="32">
        <f>IF($A1552=1,IF(Supplier_Invoices!$S69="","",Supplier_Invoices!$S69),"")</f>
        <v/>
      </c>
      <c r="AD1552" s="32">
        <f>IF($A1552=1,IF(Supplier_Invoices!$T69="","",Supplier_Invoices!$T69),"")</f>
        <v/>
      </c>
      <c r="AE1552" s="32">
        <f>IF($A1552=1,0,"")</f>
        <v/>
      </c>
      <c r="AF1552" s="32" t="inlineStr"/>
    </row>
    <row r="1553">
      <c r="A1553" s="32">
        <f>IF(AND(Supplier_Invoices!$AD69=1,Supplier_Invoices!$L69&lt;&gt;"",Supplier_Invoices!$V69&lt;&gt;"CN",N(Supplier_Invoices!$W69)&gt;0),1,0)</f>
        <v/>
      </c>
      <c r="B1553" s="32">
        <f>IF($A1553=1,$E1553&amp;"/5","")</f>
        <v/>
      </c>
      <c r="C1553" s="32">
        <f>IF($A1553=1,"J-"&amp;Supplier_Invoices!$A69,"")</f>
        <v/>
      </c>
      <c r="D1553" s="33">
        <f>IF($A1553=1,Supplier_Invoices!$E69,"")</f>
        <v/>
      </c>
      <c r="E1553" s="32">
        <f>IF($A1553=1,IF(Supplier_Invoices!$A69="","",Supplier_Invoices!$A69),"")</f>
        <v/>
      </c>
      <c r="F1553" s="32">
        <f>IF($A1553=1,"SINV","")</f>
        <v/>
      </c>
      <c r="G1553" s="32">
        <f>IF($A1553=1,IF(Supplier_Invoices!$AA69="","",Supplier_Invoices!$AA69),"")</f>
        <v/>
      </c>
      <c r="H1553" s="32">
        <f>IF($A1553=1,IF(COUNTIF(COA!$A:$A,$G1553)=0,"حساب غير معرف",INDEX(COA!$B:$B,MATCH($G1553,COA!$A:$A,0))),"")</f>
        <v/>
      </c>
      <c r="I1553" s="32">
        <f>IF($A1553=1,IF(Supplier_Invoices!$H69="","",Supplier_Invoices!$H69),"")</f>
        <v/>
      </c>
      <c r="J1553" s="32">
        <f>IF($A1553=1,"CC00","")</f>
        <v/>
      </c>
      <c r="K1553" s="32">
        <f>IF($A1553=1,"-","")</f>
        <v/>
      </c>
      <c r="L1553" s="32">
        <f>IF($A1553=1,"سداد فوري - "&amp;Supplier_Invoices!$F69&amp;" "&amp;Supplier_Invoices!$B69&amp;" - "&amp;Supplier_Invoices!$C69,"")</f>
        <v/>
      </c>
      <c r="M1553" s="43">
        <f>IF($A1553=1,0,"")</f>
        <v/>
      </c>
      <c r="N1553" s="43">
        <f>IF($A1553=1,Supplier_Invoices!$W69,"")</f>
        <v/>
      </c>
      <c r="O1553" s="32">
        <f>IF($A1553=1,Supplier_Invoices!$O69,"")</f>
        <v/>
      </c>
      <c r="P1553" s="32">
        <f>IF($A1553=1,IF(Supplier_Invoices!$AE69="","",Supplier_Invoices!$AE69),"")</f>
        <v/>
      </c>
      <c r="Q1553" s="32">
        <f>IF($A1553=1,Supplier_Invoices!$AG69,"")</f>
        <v/>
      </c>
      <c r="R1553" s="32">
        <f>IF($A1553=1,IF(AND($Q1553=1,COUNTIFS(COA!$A:$A,$G1553,COA!$R:$R,1)=1),1,0),"")</f>
        <v/>
      </c>
      <c r="S1553" s="43">
        <f>IF($A1553=1,IF($R1553=1,N($M1553),0),"")</f>
        <v/>
      </c>
      <c r="T1553" s="43">
        <f>IF($A1553=1,IF($R1553=1,N($N1553),0),"")</f>
        <v/>
      </c>
      <c r="U1553" s="32">
        <f>IF($A1553=1,YEAR($D1553)*100+MONTH($D1553),"")</f>
        <v/>
      </c>
      <c r="V1553" s="32">
        <f>IF($A1553=1,IF(COUNTIF(COA!$A:$A,$G1553)=0,0,INDEX(COA!$H:$H,MATCH($G1553,COA!$A:$A,0))),"")</f>
        <v/>
      </c>
      <c r="W1553" s="32">
        <f>IF($A1553=1,IF(Supplier_Invoices!$AB69="","",Supplier_Invoices!$AB69),"")</f>
        <v/>
      </c>
      <c r="X1553" s="32">
        <f>IF($A1553=1,IF($R1553=1,"",IF($O1553=ST_POST,IF($P1553&lt;&gt;"",$P1553,"حساب غير صالح أو غير نشط"),IF($O1553=ST_REV,"معكوس: لا أثر على الدفاتر",IF($O1553=ST_CANC,"ملغى",IF($O1553=ST_APPR,"معتمد ولم يُرحَّل","مسودة"))))),"")</f>
        <v/>
      </c>
      <c r="Y1553" s="32">
        <f>IF($A1553=1,IF(AND($R1553=1,OR(LG_Acct="",$G1553=LG_Acct),OR(LG_Party="",$K1553=LG_Party),OR(LG_Loc="ALL",$I1553=LG_Loc),OR(LG_CC="ALL",$J1553=LG_CC),$D1553&gt;=LG_From,$D1553&lt;=LG_To),$D1553+ROW()/1000000,""),"")</f>
        <v/>
      </c>
      <c r="Z1553" s="32">
        <f>IF($A1553=1,IF(Supplier_Invoices!$P69="","",Supplier_Invoices!$P69),"")</f>
        <v/>
      </c>
      <c r="AA1553" s="32">
        <f>IF($A1553=1,IF(Supplier_Invoices!$Q69="","",Supplier_Invoices!$Q69),"")</f>
        <v/>
      </c>
      <c r="AB1553" s="32">
        <f>IF($A1553=1,IF(Supplier_Invoices!$R69="","",Supplier_Invoices!$R69),"")</f>
        <v/>
      </c>
      <c r="AC1553" s="32">
        <f>IF($A1553=1,IF(Supplier_Invoices!$S69="","",Supplier_Invoices!$S69),"")</f>
        <v/>
      </c>
      <c r="AD1553" s="32">
        <f>IF($A1553=1,IF(Supplier_Invoices!$T69="","",Supplier_Invoices!$T69),"")</f>
        <v/>
      </c>
      <c r="AE1553" s="32">
        <f>IF($A1553=1,0,"")</f>
        <v/>
      </c>
      <c r="AF1553" s="32" t="inlineStr"/>
    </row>
    <row r="1554">
      <c r="A1554" s="32">
        <f>IF(AND(Supplier_Invoices!$AD70=1,N(Supplier_Invoices!$J70)&gt;0),1,0)</f>
        <v/>
      </c>
      <c r="B1554" s="32">
        <f>IF($A1554=1,$E1554&amp;"/1","")</f>
        <v/>
      </c>
      <c r="C1554" s="32">
        <f>IF($A1554=1,"J-"&amp;Supplier_Invoices!$A70,"")</f>
        <v/>
      </c>
      <c r="D1554" s="33">
        <f>IF($A1554=1,Supplier_Invoices!$E70,"")</f>
        <v/>
      </c>
      <c r="E1554" s="32">
        <f>IF($A1554=1,IF(Supplier_Invoices!$A70="","",Supplier_Invoices!$A70),"")</f>
        <v/>
      </c>
      <c r="F1554" s="32">
        <f>IF($A1554=1,"SINV","")</f>
        <v/>
      </c>
      <c r="G1554" s="32">
        <f>IF($A1554=1,IF(Supplier_Invoices!$G70="","",Supplier_Invoices!$G70),"")</f>
        <v/>
      </c>
      <c r="H1554" s="32">
        <f>IF($A1554=1,IF(COUNTIF(COA!$A:$A,$G1554)=0,"حساب غير معرف",INDEX(COA!$B:$B,MATCH($G1554,COA!$A:$A,0))),"")</f>
        <v/>
      </c>
      <c r="I1554" s="32">
        <f>IF($A1554=1,IF(Supplier_Invoices!$H70="","",Supplier_Invoices!$H70),"")</f>
        <v/>
      </c>
      <c r="J1554" s="32">
        <f>IF($A1554=1,IF(Supplier_Invoices!$I70="","",Supplier_Invoices!$I70),"")</f>
        <v/>
      </c>
      <c r="K1554" s="32">
        <f>IF($A1554=1,"-","")</f>
        <v/>
      </c>
      <c r="L1554" s="32">
        <f>IF($A1554=1,Supplier_Invoices!$F70&amp;" "&amp;Supplier_Invoices!$B70&amp;" - "&amp;Supplier_Invoices!$C70,"")</f>
        <v/>
      </c>
      <c r="M1554" s="43">
        <f>IF($A1554=1,IF(Supplier_Invoices!$V70="CN",0,Supplier_Invoices!$J70),"")</f>
        <v/>
      </c>
      <c r="N1554" s="43">
        <f>IF($A1554=1,IF(Supplier_Invoices!$V70="CN",Supplier_Invoices!$J70,0),"")</f>
        <v/>
      </c>
      <c r="O1554" s="32">
        <f>IF($A1554=1,Supplier_Invoices!$O70,"")</f>
        <v/>
      </c>
      <c r="P1554" s="32">
        <f>IF($A1554=1,IF(Supplier_Invoices!$AE70="","",Supplier_Invoices!$AE70),"")</f>
        <v/>
      </c>
      <c r="Q1554" s="32">
        <f>IF($A1554=1,Supplier_Invoices!$AG70,"")</f>
        <v/>
      </c>
      <c r="R1554" s="32">
        <f>IF($A1554=1,IF(AND($Q1554=1,COUNTIFS(COA!$A:$A,$G1554,COA!$R:$R,1)=1),1,0),"")</f>
        <v/>
      </c>
      <c r="S1554" s="43">
        <f>IF($A1554=1,IF($R1554=1,N($M1554),0),"")</f>
        <v/>
      </c>
      <c r="T1554" s="43">
        <f>IF($A1554=1,IF($R1554=1,N($N1554),0),"")</f>
        <v/>
      </c>
      <c r="U1554" s="32">
        <f>IF($A1554=1,YEAR($D1554)*100+MONTH($D1554),"")</f>
        <v/>
      </c>
      <c r="V1554" s="32">
        <f>IF($A1554=1,IF(COUNTIF(COA!$A:$A,$G1554)=0,0,INDEX(COA!$H:$H,MATCH($G1554,COA!$A:$A,0))),"")</f>
        <v/>
      </c>
      <c r="W1554" s="32">
        <f>IF($A1554=1,"","")</f>
        <v/>
      </c>
      <c r="X1554" s="32">
        <f>IF($A1554=1,IF($R1554=1,"",IF($O1554=ST_POST,IF($P1554&lt;&gt;"",$P1554,"حساب غير صالح أو غير نشط"),IF($O1554=ST_REV,"معكوس: لا أثر على الدفاتر",IF($O1554=ST_CANC,"ملغى",IF($O1554=ST_APPR,"معتمد ولم يُرحَّل","مسودة"))))),"")</f>
        <v/>
      </c>
      <c r="Y1554" s="32">
        <f>IF($A1554=1,IF(AND($R1554=1,OR(LG_Acct="",$G1554=LG_Acct),OR(LG_Party="",$K1554=LG_Party),OR(LG_Loc="ALL",$I1554=LG_Loc),OR(LG_CC="ALL",$J1554=LG_CC),$D1554&gt;=LG_From,$D1554&lt;=LG_To),$D1554+ROW()/1000000,""),"")</f>
        <v/>
      </c>
      <c r="Z1554" s="32">
        <f>IF($A1554=1,IF(Supplier_Invoices!$P70="","",Supplier_Invoices!$P70),"")</f>
        <v/>
      </c>
      <c r="AA1554" s="32">
        <f>IF($A1554=1,IF(Supplier_Invoices!$Q70="","",Supplier_Invoices!$Q70),"")</f>
        <v/>
      </c>
      <c r="AB1554" s="32">
        <f>IF($A1554=1,IF(Supplier_Invoices!$R70="","",Supplier_Invoices!$R70),"")</f>
        <v/>
      </c>
      <c r="AC1554" s="32">
        <f>IF($A1554=1,IF(Supplier_Invoices!$S70="","",Supplier_Invoices!$S70),"")</f>
        <v/>
      </c>
      <c r="AD1554" s="32">
        <f>IF($A1554=1,IF(Supplier_Invoices!$T70="","",Supplier_Invoices!$T70),"")</f>
        <v/>
      </c>
      <c r="AE1554" s="32">
        <f>IF($A1554=1,0,"")</f>
        <v/>
      </c>
      <c r="AF1554" s="32" t="inlineStr"/>
    </row>
    <row r="1555">
      <c r="A1555" s="32">
        <f>IF(AND(Supplier_Invoices!$AD70=1,N(Supplier_Invoices!$K70)&gt;0),1,0)</f>
        <v/>
      </c>
      <c r="B1555" s="32">
        <f>IF($A1555=1,$E1555&amp;"/2","")</f>
        <v/>
      </c>
      <c r="C1555" s="32">
        <f>IF($A1555=1,"J-"&amp;Supplier_Invoices!$A70,"")</f>
        <v/>
      </c>
      <c r="D1555" s="33">
        <f>IF($A1555=1,Supplier_Invoices!$E70,"")</f>
        <v/>
      </c>
      <c r="E1555" s="32">
        <f>IF($A1555=1,IF(Supplier_Invoices!$A70="","",Supplier_Invoices!$A70),"")</f>
        <v/>
      </c>
      <c r="F1555" s="32">
        <f>IF($A1555=1,"SINV","")</f>
        <v/>
      </c>
      <c r="G1555" s="32">
        <f>IF($A1555=1,ACC_VAT_IN,"")</f>
        <v/>
      </c>
      <c r="H1555" s="32">
        <f>IF($A1555=1,IF(COUNTIF(COA!$A:$A,$G1555)=0,"حساب غير معرف",INDEX(COA!$B:$B,MATCH($G1555,COA!$A:$A,0))),"")</f>
        <v/>
      </c>
      <c r="I1555" s="32">
        <f>IF($A1555=1,IF(Supplier_Invoices!$H70="","",Supplier_Invoices!$H70),"")</f>
        <v/>
      </c>
      <c r="J1555" s="32">
        <f>IF($A1555=1,IF(Supplier_Invoices!$I70="","",Supplier_Invoices!$I70),"")</f>
        <v/>
      </c>
      <c r="K1555" s="32">
        <f>IF($A1555=1,"-","")</f>
        <v/>
      </c>
      <c r="L1555" s="32">
        <f>IF($A1555=1,"ضريبة قيمة مضافة - مدخلات","")</f>
        <v/>
      </c>
      <c r="M1555" s="43">
        <f>IF($A1555=1,IF(Supplier_Invoices!$V70="CN",0,Supplier_Invoices!$K70),"")</f>
        <v/>
      </c>
      <c r="N1555" s="43">
        <f>IF($A1555=1,IF(Supplier_Invoices!$V70="CN",Supplier_Invoices!$K70,0),"")</f>
        <v/>
      </c>
      <c r="O1555" s="32">
        <f>IF($A1555=1,Supplier_Invoices!$O70,"")</f>
        <v/>
      </c>
      <c r="P1555" s="32">
        <f>IF($A1555=1,IF(Supplier_Invoices!$AE70="","",Supplier_Invoices!$AE70),"")</f>
        <v/>
      </c>
      <c r="Q1555" s="32">
        <f>IF($A1555=1,Supplier_Invoices!$AG70,"")</f>
        <v/>
      </c>
      <c r="R1555" s="32">
        <f>IF($A1555=1,IF(AND($Q1555=1,COUNTIFS(COA!$A:$A,$G1555,COA!$R:$R,1)=1),1,0),"")</f>
        <v/>
      </c>
      <c r="S1555" s="43">
        <f>IF($A1555=1,IF($R1555=1,N($M1555),0),"")</f>
        <v/>
      </c>
      <c r="T1555" s="43">
        <f>IF($A1555=1,IF($R1555=1,N($N1555),0),"")</f>
        <v/>
      </c>
      <c r="U1555" s="32">
        <f>IF($A1555=1,YEAR($D1555)*100+MONTH($D1555),"")</f>
        <v/>
      </c>
      <c r="V1555" s="32">
        <f>IF($A1555=1,IF(COUNTIF(COA!$A:$A,$G1555)=0,0,INDEX(COA!$H:$H,MATCH($G1555,COA!$A:$A,0))),"")</f>
        <v/>
      </c>
      <c r="W1555" s="32">
        <f>IF($A1555=1,"","")</f>
        <v/>
      </c>
      <c r="X1555" s="32">
        <f>IF($A1555=1,IF($R1555=1,"",IF($O1555=ST_POST,IF($P1555&lt;&gt;"",$P1555,"حساب غير صالح أو غير نشط"),IF($O1555=ST_REV,"معكوس: لا أثر على الدفاتر",IF($O1555=ST_CANC,"ملغى",IF($O1555=ST_APPR,"معتمد ولم يُرحَّل","مسودة"))))),"")</f>
        <v/>
      </c>
      <c r="Y1555" s="32">
        <f>IF($A1555=1,IF(AND($R1555=1,OR(LG_Acct="",$G1555=LG_Acct),OR(LG_Party="",$K1555=LG_Party),OR(LG_Loc="ALL",$I1555=LG_Loc),OR(LG_CC="ALL",$J1555=LG_CC),$D1555&gt;=LG_From,$D1555&lt;=LG_To),$D1555+ROW()/1000000,""),"")</f>
        <v/>
      </c>
      <c r="Z1555" s="32">
        <f>IF($A1555=1,IF(Supplier_Invoices!$P70="","",Supplier_Invoices!$P70),"")</f>
        <v/>
      </c>
      <c r="AA1555" s="32">
        <f>IF($A1555=1,IF(Supplier_Invoices!$Q70="","",Supplier_Invoices!$Q70),"")</f>
        <v/>
      </c>
      <c r="AB1555" s="32">
        <f>IF($A1555=1,IF(Supplier_Invoices!$R70="","",Supplier_Invoices!$R70),"")</f>
        <v/>
      </c>
      <c r="AC1555" s="32">
        <f>IF($A1555=1,IF(Supplier_Invoices!$S70="","",Supplier_Invoices!$S70),"")</f>
        <v/>
      </c>
      <c r="AD1555" s="32">
        <f>IF($A1555=1,IF(Supplier_Invoices!$T70="","",Supplier_Invoices!$T70),"")</f>
        <v/>
      </c>
      <c r="AE1555" s="32">
        <f>IF($A1555=1,0,"")</f>
        <v/>
      </c>
      <c r="AF1555" s="32" t="inlineStr"/>
    </row>
    <row r="1556">
      <c r="A1556" s="32">
        <f>IF(AND(Supplier_Invoices!$AD70=1,N(Supplier_Invoices!$W70)&gt;0),1,0)</f>
        <v/>
      </c>
      <c r="B1556" s="32">
        <f>IF($A1556=1,$E1556&amp;"/3","")</f>
        <v/>
      </c>
      <c r="C1556" s="32">
        <f>IF($A1556=1,"J-"&amp;Supplier_Invoices!$A70,"")</f>
        <v/>
      </c>
      <c r="D1556" s="33">
        <f>IF($A1556=1,Supplier_Invoices!$E70,"")</f>
        <v/>
      </c>
      <c r="E1556" s="32">
        <f>IF($A1556=1,IF(Supplier_Invoices!$A70="","",Supplier_Invoices!$A70),"")</f>
        <v/>
      </c>
      <c r="F1556" s="32">
        <f>IF($A1556=1,"SINV","")</f>
        <v/>
      </c>
      <c r="G1556" s="32">
        <f>IF($A1556=1,ACC_SUPPLIERS,"")</f>
        <v/>
      </c>
      <c r="H1556" s="32">
        <f>IF($A1556=1,IF(COUNTIF(COA!$A:$A,$G1556)=0,"حساب غير معرف",INDEX(COA!$B:$B,MATCH($G1556,COA!$A:$A,0))),"")</f>
        <v/>
      </c>
      <c r="I1556" s="32">
        <f>IF($A1556=1,IF(Supplier_Invoices!$H70="","",Supplier_Invoices!$H70),"")</f>
        <v/>
      </c>
      <c r="J1556" s="32">
        <f>IF($A1556=1,"CC00","")</f>
        <v/>
      </c>
      <c r="K1556" s="32">
        <f>IF($A1556=1,IF(Supplier_Invoices!$C70="","",Supplier_Invoices!$C70),"")</f>
        <v/>
      </c>
      <c r="L1556" s="32">
        <f>IF($A1556=1,Supplier_Invoices!$F70&amp;" "&amp;Supplier_Invoices!$B70&amp;" - "&amp;Supplier_Invoices!$C70,"")</f>
        <v/>
      </c>
      <c r="M1556" s="43">
        <f>IF($A1556=1,IF(Supplier_Invoices!$V70="CN",Supplier_Invoices!$W70,0),"")</f>
        <v/>
      </c>
      <c r="N1556" s="43">
        <f>IF($A1556=1,IF(Supplier_Invoices!$V70="CN",0,Supplier_Invoices!$W70),"")</f>
        <v/>
      </c>
      <c r="O1556" s="32">
        <f>IF($A1556=1,Supplier_Invoices!$O70,"")</f>
        <v/>
      </c>
      <c r="P1556" s="32">
        <f>IF($A1556=1,IF(Supplier_Invoices!$AE70="","",Supplier_Invoices!$AE70),"")</f>
        <v/>
      </c>
      <c r="Q1556" s="32">
        <f>IF($A1556=1,Supplier_Invoices!$AG70,"")</f>
        <v/>
      </c>
      <c r="R1556" s="32">
        <f>IF($A1556=1,IF(AND($Q1556=1,COUNTIFS(COA!$A:$A,$G1556,COA!$R:$R,1)=1),1,0),"")</f>
        <v/>
      </c>
      <c r="S1556" s="43">
        <f>IF($A1556=1,IF($R1556=1,N($M1556),0),"")</f>
        <v/>
      </c>
      <c r="T1556" s="43">
        <f>IF($A1556=1,IF($R1556=1,N($N1556),0),"")</f>
        <v/>
      </c>
      <c r="U1556" s="32">
        <f>IF($A1556=1,YEAR($D1556)*100+MONTH($D1556),"")</f>
        <v/>
      </c>
      <c r="V1556" s="32">
        <f>IF($A1556=1,IF(COUNTIF(COA!$A:$A,$G1556)=0,0,INDEX(COA!$H:$H,MATCH($G1556,COA!$A:$A,0))),"")</f>
        <v/>
      </c>
      <c r="W1556" s="32">
        <f>IF($A1556=1,"","")</f>
        <v/>
      </c>
      <c r="X1556" s="32">
        <f>IF($A1556=1,IF($R1556=1,"",IF($O1556=ST_POST,IF($P1556&lt;&gt;"",$P1556,"حساب غير صالح أو غير نشط"),IF($O1556=ST_REV,"معكوس: لا أثر على الدفاتر",IF($O1556=ST_CANC,"ملغى",IF($O1556=ST_APPR,"معتمد ولم يُرحَّل","مسودة"))))),"")</f>
        <v/>
      </c>
      <c r="Y1556" s="32">
        <f>IF($A1556=1,IF(AND($R1556=1,OR(LG_Acct="",$G1556=LG_Acct),OR(LG_Party="",$K1556=LG_Party),OR(LG_Loc="ALL",$I1556=LG_Loc),OR(LG_CC="ALL",$J1556=LG_CC),$D1556&gt;=LG_From,$D1556&lt;=LG_To),$D1556+ROW()/1000000,""),"")</f>
        <v/>
      </c>
      <c r="Z1556" s="32">
        <f>IF($A1556=1,IF(Supplier_Invoices!$P70="","",Supplier_Invoices!$P70),"")</f>
        <v/>
      </c>
      <c r="AA1556" s="32">
        <f>IF($A1556=1,IF(Supplier_Invoices!$Q70="","",Supplier_Invoices!$Q70),"")</f>
        <v/>
      </c>
      <c r="AB1556" s="32">
        <f>IF($A1556=1,IF(Supplier_Invoices!$R70="","",Supplier_Invoices!$R70),"")</f>
        <v/>
      </c>
      <c r="AC1556" s="32">
        <f>IF($A1556=1,IF(Supplier_Invoices!$S70="","",Supplier_Invoices!$S70),"")</f>
        <v/>
      </c>
      <c r="AD1556" s="32">
        <f>IF($A1556=1,IF(Supplier_Invoices!$T70="","",Supplier_Invoices!$T70),"")</f>
        <v/>
      </c>
      <c r="AE1556" s="32">
        <f>IF($A1556=1,0,"")</f>
        <v/>
      </c>
      <c r="AF1556" s="32" t="inlineStr"/>
    </row>
    <row r="1557">
      <c r="A1557" s="32">
        <f>IF(AND(Supplier_Invoices!$AD70=1,Supplier_Invoices!$L70&lt;&gt;"",Supplier_Invoices!$V70&lt;&gt;"CN",N(Supplier_Invoices!$W70)&gt;0),1,0)</f>
        <v/>
      </c>
      <c r="B1557" s="32">
        <f>IF($A1557=1,$E1557&amp;"/4","")</f>
        <v/>
      </c>
      <c r="C1557" s="32">
        <f>IF($A1557=1,"J-"&amp;Supplier_Invoices!$A70,"")</f>
        <v/>
      </c>
      <c r="D1557" s="33">
        <f>IF($A1557=1,Supplier_Invoices!$E70,"")</f>
        <v/>
      </c>
      <c r="E1557" s="32">
        <f>IF($A1557=1,IF(Supplier_Invoices!$A70="","",Supplier_Invoices!$A70),"")</f>
        <v/>
      </c>
      <c r="F1557" s="32">
        <f>IF($A1557=1,"SINV","")</f>
        <v/>
      </c>
      <c r="G1557" s="32">
        <f>IF($A1557=1,ACC_SUPPLIERS,"")</f>
        <v/>
      </c>
      <c r="H1557" s="32">
        <f>IF($A1557=1,IF(COUNTIF(COA!$A:$A,$G1557)=0,"حساب غير معرف",INDEX(COA!$B:$B,MATCH($G1557,COA!$A:$A,0))),"")</f>
        <v/>
      </c>
      <c r="I1557" s="32">
        <f>IF($A1557=1,IF(Supplier_Invoices!$H70="","",Supplier_Invoices!$H70),"")</f>
        <v/>
      </c>
      <c r="J1557" s="32">
        <f>IF($A1557=1,"CC00","")</f>
        <v/>
      </c>
      <c r="K1557" s="32">
        <f>IF($A1557=1,IF(Supplier_Invoices!$C70="","",Supplier_Invoices!$C70),"")</f>
        <v/>
      </c>
      <c r="L1557" s="32">
        <f>IF($A1557=1,"سداد فوري - "&amp;Supplier_Invoices!$F70&amp;" "&amp;Supplier_Invoices!$B70&amp;" - "&amp;Supplier_Invoices!$C70,"")</f>
        <v/>
      </c>
      <c r="M1557" s="43">
        <f>IF($A1557=1,Supplier_Invoices!$W70,"")</f>
        <v/>
      </c>
      <c r="N1557" s="43">
        <f>IF($A1557=1,0,"")</f>
        <v/>
      </c>
      <c r="O1557" s="32">
        <f>IF($A1557=1,Supplier_Invoices!$O70,"")</f>
        <v/>
      </c>
      <c r="P1557" s="32">
        <f>IF($A1557=1,IF(Supplier_Invoices!$AE70="","",Supplier_Invoices!$AE70),"")</f>
        <v/>
      </c>
      <c r="Q1557" s="32">
        <f>IF($A1557=1,Supplier_Invoices!$AG70,"")</f>
        <v/>
      </c>
      <c r="R1557" s="32">
        <f>IF($A1557=1,IF(AND($Q1557=1,COUNTIFS(COA!$A:$A,$G1557,COA!$R:$R,1)=1),1,0),"")</f>
        <v/>
      </c>
      <c r="S1557" s="43">
        <f>IF($A1557=1,IF($R1557=1,N($M1557),0),"")</f>
        <v/>
      </c>
      <c r="T1557" s="43">
        <f>IF($A1557=1,IF($R1557=1,N($N1557),0),"")</f>
        <v/>
      </c>
      <c r="U1557" s="32">
        <f>IF($A1557=1,YEAR($D1557)*100+MONTH($D1557),"")</f>
        <v/>
      </c>
      <c r="V1557" s="32">
        <f>IF($A1557=1,IF(COUNTIF(COA!$A:$A,$G1557)=0,0,INDEX(COA!$H:$H,MATCH($G1557,COA!$A:$A,0))),"")</f>
        <v/>
      </c>
      <c r="W1557" s="32">
        <f>IF($A1557=1,"","")</f>
        <v/>
      </c>
      <c r="X1557" s="32">
        <f>IF($A1557=1,IF($R1557=1,"",IF($O1557=ST_POST,IF($P1557&lt;&gt;"",$P1557,"حساب غير صالح أو غير نشط"),IF($O1557=ST_REV,"معكوس: لا أثر على الدفاتر",IF($O1557=ST_CANC,"ملغى",IF($O1557=ST_APPR,"معتمد ولم يُرحَّل","مسودة"))))),"")</f>
        <v/>
      </c>
      <c r="Y1557" s="32">
        <f>IF($A1557=1,IF(AND($R1557=1,OR(LG_Acct="",$G1557=LG_Acct),OR(LG_Party="",$K1557=LG_Party),OR(LG_Loc="ALL",$I1557=LG_Loc),OR(LG_CC="ALL",$J1557=LG_CC),$D1557&gt;=LG_From,$D1557&lt;=LG_To),$D1557+ROW()/1000000,""),"")</f>
        <v/>
      </c>
      <c r="Z1557" s="32">
        <f>IF($A1557=1,IF(Supplier_Invoices!$P70="","",Supplier_Invoices!$P70),"")</f>
        <v/>
      </c>
      <c r="AA1557" s="32">
        <f>IF($A1557=1,IF(Supplier_Invoices!$Q70="","",Supplier_Invoices!$Q70),"")</f>
        <v/>
      </c>
      <c r="AB1557" s="32">
        <f>IF($A1557=1,IF(Supplier_Invoices!$R70="","",Supplier_Invoices!$R70),"")</f>
        <v/>
      </c>
      <c r="AC1557" s="32">
        <f>IF($A1557=1,IF(Supplier_Invoices!$S70="","",Supplier_Invoices!$S70),"")</f>
        <v/>
      </c>
      <c r="AD1557" s="32">
        <f>IF($A1557=1,IF(Supplier_Invoices!$T70="","",Supplier_Invoices!$T70),"")</f>
        <v/>
      </c>
      <c r="AE1557" s="32">
        <f>IF($A1557=1,0,"")</f>
        <v/>
      </c>
      <c r="AF1557" s="32" t="inlineStr"/>
    </row>
    <row r="1558">
      <c r="A1558" s="32">
        <f>IF(AND(Supplier_Invoices!$AD70=1,Supplier_Invoices!$L70&lt;&gt;"",Supplier_Invoices!$V70&lt;&gt;"CN",N(Supplier_Invoices!$W70)&gt;0),1,0)</f>
        <v/>
      </c>
      <c r="B1558" s="32">
        <f>IF($A1558=1,$E1558&amp;"/5","")</f>
        <v/>
      </c>
      <c r="C1558" s="32">
        <f>IF($A1558=1,"J-"&amp;Supplier_Invoices!$A70,"")</f>
        <v/>
      </c>
      <c r="D1558" s="33">
        <f>IF($A1558=1,Supplier_Invoices!$E70,"")</f>
        <v/>
      </c>
      <c r="E1558" s="32">
        <f>IF($A1558=1,IF(Supplier_Invoices!$A70="","",Supplier_Invoices!$A70),"")</f>
        <v/>
      </c>
      <c r="F1558" s="32">
        <f>IF($A1558=1,"SINV","")</f>
        <v/>
      </c>
      <c r="G1558" s="32">
        <f>IF($A1558=1,IF(Supplier_Invoices!$AA70="","",Supplier_Invoices!$AA70),"")</f>
        <v/>
      </c>
      <c r="H1558" s="32">
        <f>IF($A1558=1,IF(COUNTIF(COA!$A:$A,$G1558)=0,"حساب غير معرف",INDEX(COA!$B:$B,MATCH($G1558,COA!$A:$A,0))),"")</f>
        <v/>
      </c>
      <c r="I1558" s="32">
        <f>IF($A1558=1,IF(Supplier_Invoices!$H70="","",Supplier_Invoices!$H70),"")</f>
        <v/>
      </c>
      <c r="J1558" s="32">
        <f>IF($A1558=1,"CC00","")</f>
        <v/>
      </c>
      <c r="K1558" s="32">
        <f>IF($A1558=1,"-","")</f>
        <v/>
      </c>
      <c r="L1558" s="32">
        <f>IF($A1558=1,"سداد فوري - "&amp;Supplier_Invoices!$F70&amp;" "&amp;Supplier_Invoices!$B70&amp;" - "&amp;Supplier_Invoices!$C70,"")</f>
        <v/>
      </c>
      <c r="M1558" s="43">
        <f>IF($A1558=1,0,"")</f>
        <v/>
      </c>
      <c r="N1558" s="43">
        <f>IF($A1558=1,Supplier_Invoices!$W70,"")</f>
        <v/>
      </c>
      <c r="O1558" s="32">
        <f>IF($A1558=1,Supplier_Invoices!$O70,"")</f>
        <v/>
      </c>
      <c r="P1558" s="32">
        <f>IF($A1558=1,IF(Supplier_Invoices!$AE70="","",Supplier_Invoices!$AE70),"")</f>
        <v/>
      </c>
      <c r="Q1558" s="32">
        <f>IF($A1558=1,Supplier_Invoices!$AG70,"")</f>
        <v/>
      </c>
      <c r="R1558" s="32">
        <f>IF($A1558=1,IF(AND($Q1558=1,COUNTIFS(COA!$A:$A,$G1558,COA!$R:$R,1)=1),1,0),"")</f>
        <v/>
      </c>
      <c r="S1558" s="43">
        <f>IF($A1558=1,IF($R1558=1,N($M1558),0),"")</f>
        <v/>
      </c>
      <c r="T1558" s="43">
        <f>IF($A1558=1,IF($R1558=1,N($N1558),0),"")</f>
        <v/>
      </c>
      <c r="U1558" s="32">
        <f>IF($A1558=1,YEAR($D1558)*100+MONTH($D1558),"")</f>
        <v/>
      </c>
      <c r="V1558" s="32">
        <f>IF($A1558=1,IF(COUNTIF(COA!$A:$A,$G1558)=0,0,INDEX(COA!$H:$H,MATCH($G1558,COA!$A:$A,0))),"")</f>
        <v/>
      </c>
      <c r="W1558" s="32">
        <f>IF($A1558=1,IF(Supplier_Invoices!$AB70="","",Supplier_Invoices!$AB70),"")</f>
        <v/>
      </c>
      <c r="X1558" s="32">
        <f>IF($A1558=1,IF($R1558=1,"",IF($O1558=ST_POST,IF($P1558&lt;&gt;"",$P1558,"حساب غير صالح أو غير نشط"),IF($O1558=ST_REV,"معكوس: لا أثر على الدفاتر",IF($O1558=ST_CANC,"ملغى",IF($O1558=ST_APPR,"معتمد ولم يُرحَّل","مسودة"))))),"")</f>
        <v/>
      </c>
      <c r="Y1558" s="32">
        <f>IF($A1558=1,IF(AND($R1558=1,OR(LG_Acct="",$G1558=LG_Acct),OR(LG_Party="",$K1558=LG_Party),OR(LG_Loc="ALL",$I1558=LG_Loc),OR(LG_CC="ALL",$J1558=LG_CC),$D1558&gt;=LG_From,$D1558&lt;=LG_To),$D1558+ROW()/1000000,""),"")</f>
        <v/>
      </c>
      <c r="Z1558" s="32">
        <f>IF($A1558=1,IF(Supplier_Invoices!$P70="","",Supplier_Invoices!$P70),"")</f>
        <v/>
      </c>
      <c r="AA1558" s="32">
        <f>IF($A1558=1,IF(Supplier_Invoices!$Q70="","",Supplier_Invoices!$Q70),"")</f>
        <v/>
      </c>
      <c r="AB1558" s="32">
        <f>IF($A1558=1,IF(Supplier_Invoices!$R70="","",Supplier_Invoices!$R70),"")</f>
        <v/>
      </c>
      <c r="AC1558" s="32">
        <f>IF($A1558=1,IF(Supplier_Invoices!$S70="","",Supplier_Invoices!$S70),"")</f>
        <v/>
      </c>
      <c r="AD1558" s="32">
        <f>IF($A1558=1,IF(Supplier_Invoices!$T70="","",Supplier_Invoices!$T70),"")</f>
        <v/>
      </c>
      <c r="AE1558" s="32">
        <f>IF($A1558=1,0,"")</f>
        <v/>
      </c>
      <c r="AF1558" s="32" t="inlineStr"/>
    </row>
    <row r="1559">
      <c r="A1559" s="32">
        <f>IF(AND(Supplier_Invoices!$AD71=1,N(Supplier_Invoices!$J71)&gt;0),1,0)</f>
        <v/>
      </c>
      <c r="B1559" s="32">
        <f>IF($A1559=1,$E1559&amp;"/1","")</f>
        <v/>
      </c>
      <c r="C1559" s="32">
        <f>IF($A1559=1,"J-"&amp;Supplier_Invoices!$A71,"")</f>
        <v/>
      </c>
      <c r="D1559" s="33">
        <f>IF($A1559=1,Supplier_Invoices!$E71,"")</f>
        <v/>
      </c>
      <c r="E1559" s="32">
        <f>IF($A1559=1,IF(Supplier_Invoices!$A71="","",Supplier_Invoices!$A71),"")</f>
        <v/>
      </c>
      <c r="F1559" s="32">
        <f>IF($A1559=1,"SINV","")</f>
        <v/>
      </c>
      <c r="G1559" s="32">
        <f>IF($A1559=1,IF(Supplier_Invoices!$G71="","",Supplier_Invoices!$G71),"")</f>
        <v/>
      </c>
      <c r="H1559" s="32">
        <f>IF($A1559=1,IF(COUNTIF(COA!$A:$A,$G1559)=0,"حساب غير معرف",INDEX(COA!$B:$B,MATCH($G1559,COA!$A:$A,0))),"")</f>
        <v/>
      </c>
      <c r="I1559" s="32">
        <f>IF($A1559=1,IF(Supplier_Invoices!$H71="","",Supplier_Invoices!$H71),"")</f>
        <v/>
      </c>
      <c r="J1559" s="32">
        <f>IF($A1559=1,IF(Supplier_Invoices!$I71="","",Supplier_Invoices!$I71),"")</f>
        <v/>
      </c>
      <c r="K1559" s="32">
        <f>IF($A1559=1,"-","")</f>
        <v/>
      </c>
      <c r="L1559" s="32">
        <f>IF($A1559=1,Supplier_Invoices!$F71&amp;" "&amp;Supplier_Invoices!$B71&amp;" - "&amp;Supplier_Invoices!$C71,"")</f>
        <v/>
      </c>
      <c r="M1559" s="43">
        <f>IF($A1559=1,IF(Supplier_Invoices!$V71="CN",0,Supplier_Invoices!$J71),"")</f>
        <v/>
      </c>
      <c r="N1559" s="43">
        <f>IF($A1559=1,IF(Supplier_Invoices!$V71="CN",Supplier_Invoices!$J71,0),"")</f>
        <v/>
      </c>
      <c r="O1559" s="32">
        <f>IF($A1559=1,Supplier_Invoices!$O71,"")</f>
        <v/>
      </c>
      <c r="P1559" s="32">
        <f>IF($A1559=1,IF(Supplier_Invoices!$AE71="","",Supplier_Invoices!$AE71),"")</f>
        <v/>
      </c>
      <c r="Q1559" s="32">
        <f>IF($A1559=1,Supplier_Invoices!$AG71,"")</f>
        <v/>
      </c>
      <c r="R1559" s="32">
        <f>IF($A1559=1,IF(AND($Q1559=1,COUNTIFS(COA!$A:$A,$G1559,COA!$R:$R,1)=1),1,0),"")</f>
        <v/>
      </c>
      <c r="S1559" s="43">
        <f>IF($A1559=1,IF($R1559=1,N($M1559),0),"")</f>
        <v/>
      </c>
      <c r="T1559" s="43">
        <f>IF($A1559=1,IF($R1559=1,N($N1559),0),"")</f>
        <v/>
      </c>
      <c r="U1559" s="32">
        <f>IF($A1559=1,YEAR($D1559)*100+MONTH($D1559),"")</f>
        <v/>
      </c>
      <c r="V1559" s="32">
        <f>IF($A1559=1,IF(COUNTIF(COA!$A:$A,$G1559)=0,0,INDEX(COA!$H:$H,MATCH($G1559,COA!$A:$A,0))),"")</f>
        <v/>
      </c>
      <c r="W1559" s="32">
        <f>IF($A1559=1,"","")</f>
        <v/>
      </c>
      <c r="X1559" s="32">
        <f>IF($A1559=1,IF($R1559=1,"",IF($O1559=ST_POST,IF($P1559&lt;&gt;"",$P1559,"حساب غير صالح أو غير نشط"),IF($O1559=ST_REV,"معكوس: لا أثر على الدفاتر",IF($O1559=ST_CANC,"ملغى",IF($O1559=ST_APPR,"معتمد ولم يُرحَّل","مسودة"))))),"")</f>
        <v/>
      </c>
      <c r="Y1559" s="32">
        <f>IF($A1559=1,IF(AND($R1559=1,OR(LG_Acct="",$G1559=LG_Acct),OR(LG_Party="",$K1559=LG_Party),OR(LG_Loc="ALL",$I1559=LG_Loc),OR(LG_CC="ALL",$J1559=LG_CC),$D1559&gt;=LG_From,$D1559&lt;=LG_To),$D1559+ROW()/1000000,""),"")</f>
        <v/>
      </c>
      <c r="Z1559" s="32">
        <f>IF($A1559=1,IF(Supplier_Invoices!$P71="","",Supplier_Invoices!$P71),"")</f>
        <v/>
      </c>
      <c r="AA1559" s="32">
        <f>IF($A1559=1,IF(Supplier_Invoices!$Q71="","",Supplier_Invoices!$Q71),"")</f>
        <v/>
      </c>
      <c r="AB1559" s="32">
        <f>IF($A1559=1,IF(Supplier_Invoices!$R71="","",Supplier_Invoices!$R71),"")</f>
        <v/>
      </c>
      <c r="AC1559" s="32">
        <f>IF($A1559=1,IF(Supplier_Invoices!$S71="","",Supplier_Invoices!$S71),"")</f>
        <v/>
      </c>
      <c r="AD1559" s="32">
        <f>IF($A1559=1,IF(Supplier_Invoices!$T71="","",Supplier_Invoices!$T71),"")</f>
        <v/>
      </c>
      <c r="AE1559" s="32">
        <f>IF($A1559=1,0,"")</f>
        <v/>
      </c>
      <c r="AF1559" s="32" t="inlineStr"/>
    </row>
    <row r="1560">
      <c r="A1560" s="32">
        <f>IF(AND(Supplier_Invoices!$AD71=1,N(Supplier_Invoices!$K71)&gt;0),1,0)</f>
        <v/>
      </c>
      <c r="B1560" s="32">
        <f>IF($A1560=1,$E1560&amp;"/2","")</f>
        <v/>
      </c>
      <c r="C1560" s="32">
        <f>IF($A1560=1,"J-"&amp;Supplier_Invoices!$A71,"")</f>
        <v/>
      </c>
      <c r="D1560" s="33">
        <f>IF($A1560=1,Supplier_Invoices!$E71,"")</f>
        <v/>
      </c>
      <c r="E1560" s="32">
        <f>IF($A1560=1,IF(Supplier_Invoices!$A71="","",Supplier_Invoices!$A71),"")</f>
        <v/>
      </c>
      <c r="F1560" s="32">
        <f>IF($A1560=1,"SINV","")</f>
        <v/>
      </c>
      <c r="G1560" s="32">
        <f>IF($A1560=1,ACC_VAT_IN,"")</f>
        <v/>
      </c>
      <c r="H1560" s="32">
        <f>IF($A1560=1,IF(COUNTIF(COA!$A:$A,$G1560)=0,"حساب غير معرف",INDEX(COA!$B:$B,MATCH($G1560,COA!$A:$A,0))),"")</f>
        <v/>
      </c>
      <c r="I1560" s="32">
        <f>IF($A1560=1,IF(Supplier_Invoices!$H71="","",Supplier_Invoices!$H71),"")</f>
        <v/>
      </c>
      <c r="J1560" s="32">
        <f>IF($A1560=1,IF(Supplier_Invoices!$I71="","",Supplier_Invoices!$I71),"")</f>
        <v/>
      </c>
      <c r="K1560" s="32">
        <f>IF($A1560=1,"-","")</f>
        <v/>
      </c>
      <c r="L1560" s="32">
        <f>IF($A1560=1,"ضريبة قيمة مضافة - مدخلات","")</f>
        <v/>
      </c>
      <c r="M1560" s="43">
        <f>IF($A1560=1,IF(Supplier_Invoices!$V71="CN",0,Supplier_Invoices!$K71),"")</f>
        <v/>
      </c>
      <c r="N1560" s="43">
        <f>IF($A1560=1,IF(Supplier_Invoices!$V71="CN",Supplier_Invoices!$K71,0),"")</f>
        <v/>
      </c>
      <c r="O1560" s="32">
        <f>IF($A1560=1,Supplier_Invoices!$O71,"")</f>
        <v/>
      </c>
      <c r="P1560" s="32">
        <f>IF($A1560=1,IF(Supplier_Invoices!$AE71="","",Supplier_Invoices!$AE71),"")</f>
        <v/>
      </c>
      <c r="Q1560" s="32">
        <f>IF($A1560=1,Supplier_Invoices!$AG71,"")</f>
        <v/>
      </c>
      <c r="R1560" s="32">
        <f>IF($A1560=1,IF(AND($Q1560=1,COUNTIFS(COA!$A:$A,$G1560,COA!$R:$R,1)=1),1,0),"")</f>
        <v/>
      </c>
      <c r="S1560" s="43">
        <f>IF($A1560=1,IF($R1560=1,N($M1560),0),"")</f>
        <v/>
      </c>
      <c r="T1560" s="43">
        <f>IF($A1560=1,IF($R1560=1,N($N1560),0),"")</f>
        <v/>
      </c>
      <c r="U1560" s="32">
        <f>IF($A1560=1,YEAR($D1560)*100+MONTH($D1560),"")</f>
        <v/>
      </c>
      <c r="V1560" s="32">
        <f>IF($A1560=1,IF(COUNTIF(COA!$A:$A,$G1560)=0,0,INDEX(COA!$H:$H,MATCH($G1560,COA!$A:$A,0))),"")</f>
        <v/>
      </c>
      <c r="W1560" s="32">
        <f>IF($A1560=1,"","")</f>
        <v/>
      </c>
      <c r="X1560" s="32">
        <f>IF($A1560=1,IF($R1560=1,"",IF($O1560=ST_POST,IF($P1560&lt;&gt;"",$P1560,"حساب غير صالح أو غير نشط"),IF($O1560=ST_REV,"معكوس: لا أثر على الدفاتر",IF($O1560=ST_CANC,"ملغى",IF($O1560=ST_APPR,"معتمد ولم يُرحَّل","مسودة"))))),"")</f>
        <v/>
      </c>
      <c r="Y1560" s="32">
        <f>IF($A1560=1,IF(AND($R1560=1,OR(LG_Acct="",$G1560=LG_Acct),OR(LG_Party="",$K1560=LG_Party),OR(LG_Loc="ALL",$I1560=LG_Loc),OR(LG_CC="ALL",$J1560=LG_CC),$D1560&gt;=LG_From,$D1560&lt;=LG_To),$D1560+ROW()/1000000,""),"")</f>
        <v/>
      </c>
      <c r="Z1560" s="32">
        <f>IF($A1560=1,IF(Supplier_Invoices!$P71="","",Supplier_Invoices!$P71),"")</f>
        <v/>
      </c>
      <c r="AA1560" s="32">
        <f>IF($A1560=1,IF(Supplier_Invoices!$Q71="","",Supplier_Invoices!$Q71),"")</f>
        <v/>
      </c>
      <c r="AB1560" s="32">
        <f>IF($A1560=1,IF(Supplier_Invoices!$R71="","",Supplier_Invoices!$R71),"")</f>
        <v/>
      </c>
      <c r="AC1560" s="32">
        <f>IF($A1560=1,IF(Supplier_Invoices!$S71="","",Supplier_Invoices!$S71),"")</f>
        <v/>
      </c>
      <c r="AD1560" s="32">
        <f>IF($A1560=1,IF(Supplier_Invoices!$T71="","",Supplier_Invoices!$T71),"")</f>
        <v/>
      </c>
      <c r="AE1560" s="32">
        <f>IF($A1560=1,0,"")</f>
        <v/>
      </c>
      <c r="AF1560" s="32" t="inlineStr"/>
    </row>
    <row r="1561">
      <c r="A1561" s="32">
        <f>IF(AND(Supplier_Invoices!$AD71=1,N(Supplier_Invoices!$W71)&gt;0),1,0)</f>
        <v/>
      </c>
      <c r="B1561" s="32">
        <f>IF($A1561=1,$E1561&amp;"/3","")</f>
        <v/>
      </c>
      <c r="C1561" s="32">
        <f>IF($A1561=1,"J-"&amp;Supplier_Invoices!$A71,"")</f>
        <v/>
      </c>
      <c r="D1561" s="33">
        <f>IF($A1561=1,Supplier_Invoices!$E71,"")</f>
        <v/>
      </c>
      <c r="E1561" s="32">
        <f>IF($A1561=1,IF(Supplier_Invoices!$A71="","",Supplier_Invoices!$A71),"")</f>
        <v/>
      </c>
      <c r="F1561" s="32">
        <f>IF($A1561=1,"SINV","")</f>
        <v/>
      </c>
      <c r="G1561" s="32">
        <f>IF($A1561=1,ACC_SUPPLIERS,"")</f>
        <v/>
      </c>
      <c r="H1561" s="32">
        <f>IF($A1561=1,IF(COUNTIF(COA!$A:$A,$G1561)=0,"حساب غير معرف",INDEX(COA!$B:$B,MATCH($G1561,COA!$A:$A,0))),"")</f>
        <v/>
      </c>
      <c r="I1561" s="32">
        <f>IF($A1561=1,IF(Supplier_Invoices!$H71="","",Supplier_Invoices!$H71),"")</f>
        <v/>
      </c>
      <c r="J1561" s="32">
        <f>IF($A1561=1,"CC00","")</f>
        <v/>
      </c>
      <c r="K1561" s="32">
        <f>IF($A1561=1,IF(Supplier_Invoices!$C71="","",Supplier_Invoices!$C71),"")</f>
        <v/>
      </c>
      <c r="L1561" s="32">
        <f>IF($A1561=1,Supplier_Invoices!$F71&amp;" "&amp;Supplier_Invoices!$B71&amp;" - "&amp;Supplier_Invoices!$C71,"")</f>
        <v/>
      </c>
      <c r="M1561" s="43">
        <f>IF($A1561=1,IF(Supplier_Invoices!$V71="CN",Supplier_Invoices!$W71,0),"")</f>
        <v/>
      </c>
      <c r="N1561" s="43">
        <f>IF($A1561=1,IF(Supplier_Invoices!$V71="CN",0,Supplier_Invoices!$W71),"")</f>
        <v/>
      </c>
      <c r="O1561" s="32">
        <f>IF($A1561=1,Supplier_Invoices!$O71,"")</f>
        <v/>
      </c>
      <c r="P1561" s="32">
        <f>IF($A1561=1,IF(Supplier_Invoices!$AE71="","",Supplier_Invoices!$AE71),"")</f>
        <v/>
      </c>
      <c r="Q1561" s="32">
        <f>IF($A1561=1,Supplier_Invoices!$AG71,"")</f>
        <v/>
      </c>
      <c r="R1561" s="32">
        <f>IF($A1561=1,IF(AND($Q1561=1,COUNTIFS(COA!$A:$A,$G1561,COA!$R:$R,1)=1),1,0),"")</f>
        <v/>
      </c>
      <c r="S1561" s="43">
        <f>IF($A1561=1,IF($R1561=1,N($M1561),0),"")</f>
        <v/>
      </c>
      <c r="T1561" s="43">
        <f>IF($A1561=1,IF($R1561=1,N($N1561),0),"")</f>
        <v/>
      </c>
      <c r="U1561" s="32">
        <f>IF($A1561=1,YEAR($D1561)*100+MONTH($D1561),"")</f>
        <v/>
      </c>
      <c r="V1561" s="32">
        <f>IF($A1561=1,IF(COUNTIF(COA!$A:$A,$G1561)=0,0,INDEX(COA!$H:$H,MATCH($G1561,COA!$A:$A,0))),"")</f>
        <v/>
      </c>
      <c r="W1561" s="32">
        <f>IF($A1561=1,"","")</f>
        <v/>
      </c>
      <c r="X1561" s="32">
        <f>IF($A1561=1,IF($R1561=1,"",IF($O1561=ST_POST,IF($P1561&lt;&gt;"",$P1561,"حساب غير صالح أو غير نشط"),IF($O1561=ST_REV,"معكوس: لا أثر على الدفاتر",IF($O1561=ST_CANC,"ملغى",IF($O1561=ST_APPR,"معتمد ولم يُرحَّل","مسودة"))))),"")</f>
        <v/>
      </c>
      <c r="Y1561" s="32">
        <f>IF($A1561=1,IF(AND($R1561=1,OR(LG_Acct="",$G1561=LG_Acct),OR(LG_Party="",$K1561=LG_Party),OR(LG_Loc="ALL",$I1561=LG_Loc),OR(LG_CC="ALL",$J1561=LG_CC),$D1561&gt;=LG_From,$D1561&lt;=LG_To),$D1561+ROW()/1000000,""),"")</f>
        <v/>
      </c>
      <c r="Z1561" s="32">
        <f>IF($A1561=1,IF(Supplier_Invoices!$P71="","",Supplier_Invoices!$P71),"")</f>
        <v/>
      </c>
      <c r="AA1561" s="32">
        <f>IF($A1561=1,IF(Supplier_Invoices!$Q71="","",Supplier_Invoices!$Q71),"")</f>
        <v/>
      </c>
      <c r="AB1561" s="32">
        <f>IF($A1561=1,IF(Supplier_Invoices!$R71="","",Supplier_Invoices!$R71),"")</f>
        <v/>
      </c>
      <c r="AC1561" s="32">
        <f>IF($A1561=1,IF(Supplier_Invoices!$S71="","",Supplier_Invoices!$S71),"")</f>
        <v/>
      </c>
      <c r="AD1561" s="32">
        <f>IF($A1561=1,IF(Supplier_Invoices!$T71="","",Supplier_Invoices!$T71),"")</f>
        <v/>
      </c>
      <c r="AE1561" s="32">
        <f>IF($A1561=1,0,"")</f>
        <v/>
      </c>
      <c r="AF1561" s="32" t="inlineStr"/>
    </row>
    <row r="1562">
      <c r="A1562" s="32">
        <f>IF(AND(Supplier_Invoices!$AD71=1,Supplier_Invoices!$L71&lt;&gt;"",Supplier_Invoices!$V71&lt;&gt;"CN",N(Supplier_Invoices!$W71)&gt;0),1,0)</f>
        <v/>
      </c>
      <c r="B1562" s="32">
        <f>IF($A1562=1,$E1562&amp;"/4","")</f>
        <v/>
      </c>
      <c r="C1562" s="32">
        <f>IF($A1562=1,"J-"&amp;Supplier_Invoices!$A71,"")</f>
        <v/>
      </c>
      <c r="D1562" s="33">
        <f>IF($A1562=1,Supplier_Invoices!$E71,"")</f>
        <v/>
      </c>
      <c r="E1562" s="32">
        <f>IF($A1562=1,IF(Supplier_Invoices!$A71="","",Supplier_Invoices!$A71),"")</f>
        <v/>
      </c>
      <c r="F1562" s="32">
        <f>IF($A1562=1,"SINV","")</f>
        <v/>
      </c>
      <c r="G1562" s="32">
        <f>IF($A1562=1,ACC_SUPPLIERS,"")</f>
        <v/>
      </c>
      <c r="H1562" s="32">
        <f>IF($A1562=1,IF(COUNTIF(COA!$A:$A,$G1562)=0,"حساب غير معرف",INDEX(COA!$B:$B,MATCH($G1562,COA!$A:$A,0))),"")</f>
        <v/>
      </c>
      <c r="I1562" s="32">
        <f>IF($A1562=1,IF(Supplier_Invoices!$H71="","",Supplier_Invoices!$H71),"")</f>
        <v/>
      </c>
      <c r="J1562" s="32">
        <f>IF($A1562=1,"CC00","")</f>
        <v/>
      </c>
      <c r="K1562" s="32">
        <f>IF($A1562=1,IF(Supplier_Invoices!$C71="","",Supplier_Invoices!$C71),"")</f>
        <v/>
      </c>
      <c r="L1562" s="32">
        <f>IF($A1562=1,"سداد فوري - "&amp;Supplier_Invoices!$F71&amp;" "&amp;Supplier_Invoices!$B71&amp;" - "&amp;Supplier_Invoices!$C71,"")</f>
        <v/>
      </c>
      <c r="M1562" s="43">
        <f>IF($A1562=1,Supplier_Invoices!$W71,"")</f>
        <v/>
      </c>
      <c r="N1562" s="43">
        <f>IF($A1562=1,0,"")</f>
        <v/>
      </c>
      <c r="O1562" s="32">
        <f>IF($A1562=1,Supplier_Invoices!$O71,"")</f>
        <v/>
      </c>
      <c r="P1562" s="32">
        <f>IF($A1562=1,IF(Supplier_Invoices!$AE71="","",Supplier_Invoices!$AE71),"")</f>
        <v/>
      </c>
      <c r="Q1562" s="32">
        <f>IF($A1562=1,Supplier_Invoices!$AG71,"")</f>
        <v/>
      </c>
      <c r="R1562" s="32">
        <f>IF($A1562=1,IF(AND($Q1562=1,COUNTIFS(COA!$A:$A,$G1562,COA!$R:$R,1)=1),1,0),"")</f>
        <v/>
      </c>
      <c r="S1562" s="43">
        <f>IF($A1562=1,IF($R1562=1,N($M1562),0),"")</f>
        <v/>
      </c>
      <c r="T1562" s="43">
        <f>IF($A1562=1,IF($R1562=1,N($N1562),0),"")</f>
        <v/>
      </c>
      <c r="U1562" s="32">
        <f>IF($A1562=1,YEAR($D1562)*100+MONTH($D1562),"")</f>
        <v/>
      </c>
      <c r="V1562" s="32">
        <f>IF($A1562=1,IF(COUNTIF(COA!$A:$A,$G1562)=0,0,INDEX(COA!$H:$H,MATCH($G1562,COA!$A:$A,0))),"")</f>
        <v/>
      </c>
      <c r="W1562" s="32">
        <f>IF($A1562=1,"","")</f>
        <v/>
      </c>
      <c r="X1562" s="32">
        <f>IF($A1562=1,IF($R1562=1,"",IF($O1562=ST_POST,IF($P1562&lt;&gt;"",$P1562,"حساب غير صالح أو غير نشط"),IF($O1562=ST_REV,"معكوس: لا أثر على الدفاتر",IF($O1562=ST_CANC,"ملغى",IF($O1562=ST_APPR,"معتمد ولم يُرحَّل","مسودة"))))),"")</f>
        <v/>
      </c>
      <c r="Y1562" s="32">
        <f>IF($A1562=1,IF(AND($R1562=1,OR(LG_Acct="",$G1562=LG_Acct),OR(LG_Party="",$K1562=LG_Party),OR(LG_Loc="ALL",$I1562=LG_Loc),OR(LG_CC="ALL",$J1562=LG_CC),$D1562&gt;=LG_From,$D1562&lt;=LG_To),$D1562+ROW()/1000000,""),"")</f>
        <v/>
      </c>
      <c r="Z1562" s="32">
        <f>IF($A1562=1,IF(Supplier_Invoices!$P71="","",Supplier_Invoices!$P71),"")</f>
        <v/>
      </c>
      <c r="AA1562" s="32">
        <f>IF($A1562=1,IF(Supplier_Invoices!$Q71="","",Supplier_Invoices!$Q71),"")</f>
        <v/>
      </c>
      <c r="AB1562" s="32">
        <f>IF($A1562=1,IF(Supplier_Invoices!$R71="","",Supplier_Invoices!$R71),"")</f>
        <v/>
      </c>
      <c r="AC1562" s="32">
        <f>IF($A1562=1,IF(Supplier_Invoices!$S71="","",Supplier_Invoices!$S71),"")</f>
        <v/>
      </c>
      <c r="AD1562" s="32">
        <f>IF($A1562=1,IF(Supplier_Invoices!$T71="","",Supplier_Invoices!$T71),"")</f>
        <v/>
      </c>
      <c r="AE1562" s="32">
        <f>IF($A1562=1,0,"")</f>
        <v/>
      </c>
      <c r="AF1562" s="32" t="inlineStr"/>
    </row>
    <row r="1563">
      <c r="A1563" s="32">
        <f>IF(AND(Supplier_Invoices!$AD71=1,Supplier_Invoices!$L71&lt;&gt;"",Supplier_Invoices!$V71&lt;&gt;"CN",N(Supplier_Invoices!$W71)&gt;0),1,0)</f>
        <v/>
      </c>
      <c r="B1563" s="32">
        <f>IF($A1563=1,$E1563&amp;"/5","")</f>
        <v/>
      </c>
      <c r="C1563" s="32">
        <f>IF($A1563=1,"J-"&amp;Supplier_Invoices!$A71,"")</f>
        <v/>
      </c>
      <c r="D1563" s="33">
        <f>IF($A1563=1,Supplier_Invoices!$E71,"")</f>
        <v/>
      </c>
      <c r="E1563" s="32">
        <f>IF($A1563=1,IF(Supplier_Invoices!$A71="","",Supplier_Invoices!$A71),"")</f>
        <v/>
      </c>
      <c r="F1563" s="32">
        <f>IF($A1563=1,"SINV","")</f>
        <v/>
      </c>
      <c r="G1563" s="32">
        <f>IF($A1563=1,IF(Supplier_Invoices!$AA71="","",Supplier_Invoices!$AA71),"")</f>
        <v/>
      </c>
      <c r="H1563" s="32">
        <f>IF($A1563=1,IF(COUNTIF(COA!$A:$A,$G1563)=0,"حساب غير معرف",INDEX(COA!$B:$B,MATCH($G1563,COA!$A:$A,0))),"")</f>
        <v/>
      </c>
      <c r="I1563" s="32">
        <f>IF($A1563=1,IF(Supplier_Invoices!$H71="","",Supplier_Invoices!$H71),"")</f>
        <v/>
      </c>
      <c r="J1563" s="32">
        <f>IF($A1563=1,"CC00","")</f>
        <v/>
      </c>
      <c r="K1563" s="32">
        <f>IF($A1563=1,"-","")</f>
        <v/>
      </c>
      <c r="L1563" s="32">
        <f>IF($A1563=1,"سداد فوري - "&amp;Supplier_Invoices!$F71&amp;" "&amp;Supplier_Invoices!$B71&amp;" - "&amp;Supplier_Invoices!$C71,"")</f>
        <v/>
      </c>
      <c r="M1563" s="43">
        <f>IF($A1563=1,0,"")</f>
        <v/>
      </c>
      <c r="N1563" s="43">
        <f>IF($A1563=1,Supplier_Invoices!$W71,"")</f>
        <v/>
      </c>
      <c r="O1563" s="32">
        <f>IF($A1563=1,Supplier_Invoices!$O71,"")</f>
        <v/>
      </c>
      <c r="P1563" s="32">
        <f>IF($A1563=1,IF(Supplier_Invoices!$AE71="","",Supplier_Invoices!$AE71),"")</f>
        <v/>
      </c>
      <c r="Q1563" s="32">
        <f>IF($A1563=1,Supplier_Invoices!$AG71,"")</f>
        <v/>
      </c>
      <c r="R1563" s="32">
        <f>IF($A1563=1,IF(AND($Q1563=1,COUNTIFS(COA!$A:$A,$G1563,COA!$R:$R,1)=1),1,0),"")</f>
        <v/>
      </c>
      <c r="S1563" s="43">
        <f>IF($A1563=1,IF($R1563=1,N($M1563),0),"")</f>
        <v/>
      </c>
      <c r="T1563" s="43">
        <f>IF($A1563=1,IF($R1563=1,N($N1563),0),"")</f>
        <v/>
      </c>
      <c r="U1563" s="32">
        <f>IF($A1563=1,YEAR($D1563)*100+MONTH($D1563),"")</f>
        <v/>
      </c>
      <c r="V1563" s="32">
        <f>IF($A1563=1,IF(COUNTIF(COA!$A:$A,$G1563)=0,0,INDEX(COA!$H:$H,MATCH($G1563,COA!$A:$A,0))),"")</f>
        <v/>
      </c>
      <c r="W1563" s="32">
        <f>IF($A1563=1,IF(Supplier_Invoices!$AB71="","",Supplier_Invoices!$AB71),"")</f>
        <v/>
      </c>
      <c r="X1563" s="32">
        <f>IF($A1563=1,IF($R1563=1,"",IF($O1563=ST_POST,IF($P1563&lt;&gt;"",$P1563,"حساب غير صالح أو غير نشط"),IF($O1563=ST_REV,"معكوس: لا أثر على الدفاتر",IF($O1563=ST_CANC,"ملغى",IF($O1563=ST_APPR,"معتمد ولم يُرحَّل","مسودة"))))),"")</f>
        <v/>
      </c>
      <c r="Y1563" s="32">
        <f>IF($A1563=1,IF(AND($R1563=1,OR(LG_Acct="",$G1563=LG_Acct),OR(LG_Party="",$K1563=LG_Party),OR(LG_Loc="ALL",$I1563=LG_Loc),OR(LG_CC="ALL",$J1563=LG_CC),$D1563&gt;=LG_From,$D1563&lt;=LG_To),$D1563+ROW()/1000000,""),"")</f>
        <v/>
      </c>
      <c r="Z1563" s="32">
        <f>IF($A1563=1,IF(Supplier_Invoices!$P71="","",Supplier_Invoices!$P71),"")</f>
        <v/>
      </c>
      <c r="AA1563" s="32">
        <f>IF($A1563=1,IF(Supplier_Invoices!$Q71="","",Supplier_Invoices!$Q71),"")</f>
        <v/>
      </c>
      <c r="AB1563" s="32">
        <f>IF($A1563=1,IF(Supplier_Invoices!$R71="","",Supplier_Invoices!$R71),"")</f>
        <v/>
      </c>
      <c r="AC1563" s="32">
        <f>IF($A1563=1,IF(Supplier_Invoices!$S71="","",Supplier_Invoices!$S71),"")</f>
        <v/>
      </c>
      <c r="AD1563" s="32">
        <f>IF($A1563=1,IF(Supplier_Invoices!$T71="","",Supplier_Invoices!$T71),"")</f>
        <v/>
      </c>
      <c r="AE1563" s="32">
        <f>IF($A1563=1,0,"")</f>
        <v/>
      </c>
      <c r="AF1563" s="32" t="inlineStr"/>
    </row>
    <row r="1564">
      <c r="A1564" s="32">
        <f>IF(AND(Supplier_Invoices!$AD72=1,N(Supplier_Invoices!$J72)&gt;0),1,0)</f>
        <v/>
      </c>
      <c r="B1564" s="32">
        <f>IF($A1564=1,$E1564&amp;"/1","")</f>
        <v/>
      </c>
      <c r="C1564" s="32">
        <f>IF($A1564=1,"J-"&amp;Supplier_Invoices!$A72,"")</f>
        <v/>
      </c>
      <c r="D1564" s="33">
        <f>IF($A1564=1,Supplier_Invoices!$E72,"")</f>
        <v/>
      </c>
      <c r="E1564" s="32">
        <f>IF($A1564=1,IF(Supplier_Invoices!$A72="","",Supplier_Invoices!$A72),"")</f>
        <v/>
      </c>
      <c r="F1564" s="32">
        <f>IF($A1564=1,"SINV","")</f>
        <v/>
      </c>
      <c r="G1564" s="32">
        <f>IF($A1564=1,IF(Supplier_Invoices!$G72="","",Supplier_Invoices!$G72),"")</f>
        <v/>
      </c>
      <c r="H1564" s="32">
        <f>IF($A1564=1,IF(COUNTIF(COA!$A:$A,$G1564)=0,"حساب غير معرف",INDEX(COA!$B:$B,MATCH($G1564,COA!$A:$A,0))),"")</f>
        <v/>
      </c>
      <c r="I1564" s="32">
        <f>IF($A1564=1,IF(Supplier_Invoices!$H72="","",Supplier_Invoices!$H72),"")</f>
        <v/>
      </c>
      <c r="J1564" s="32">
        <f>IF($A1564=1,IF(Supplier_Invoices!$I72="","",Supplier_Invoices!$I72),"")</f>
        <v/>
      </c>
      <c r="K1564" s="32">
        <f>IF($A1564=1,"-","")</f>
        <v/>
      </c>
      <c r="L1564" s="32">
        <f>IF($A1564=1,Supplier_Invoices!$F72&amp;" "&amp;Supplier_Invoices!$B72&amp;" - "&amp;Supplier_Invoices!$C72,"")</f>
        <v/>
      </c>
      <c r="M1564" s="43">
        <f>IF($A1564=1,IF(Supplier_Invoices!$V72="CN",0,Supplier_Invoices!$J72),"")</f>
        <v/>
      </c>
      <c r="N1564" s="43">
        <f>IF($A1564=1,IF(Supplier_Invoices!$V72="CN",Supplier_Invoices!$J72,0),"")</f>
        <v/>
      </c>
      <c r="O1564" s="32">
        <f>IF($A1564=1,Supplier_Invoices!$O72,"")</f>
        <v/>
      </c>
      <c r="P1564" s="32">
        <f>IF($A1564=1,IF(Supplier_Invoices!$AE72="","",Supplier_Invoices!$AE72),"")</f>
        <v/>
      </c>
      <c r="Q1564" s="32">
        <f>IF($A1564=1,Supplier_Invoices!$AG72,"")</f>
        <v/>
      </c>
      <c r="R1564" s="32">
        <f>IF($A1564=1,IF(AND($Q1564=1,COUNTIFS(COA!$A:$A,$G1564,COA!$R:$R,1)=1),1,0),"")</f>
        <v/>
      </c>
      <c r="S1564" s="43">
        <f>IF($A1564=1,IF($R1564=1,N($M1564),0),"")</f>
        <v/>
      </c>
      <c r="T1564" s="43">
        <f>IF($A1564=1,IF($R1564=1,N($N1564),0),"")</f>
        <v/>
      </c>
      <c r="U1564" s="32">
        <f>IF($A1564=1,YEAR($D1564)*100+MONTH($D1564),"")</f>
        <v/>
      </c>
      <c r="V1564" s="32">
        <f>IF($A1564=1,IF(COUNTIF(COA!$A:$A,$G1564)=0,0,INDEX(COA!$H:$H,MATCH($G1564,COA!$A:$A,0))),"")</f>
        <v/>
      </c>
      <c r="W1564" s="32">
        <f>IF($A1564=1,"","")</f>
        <v/>
      </c>
      <c r="X1564" s="32">
        <f>IF($A1564=1,IF($R1564=1,"",IF($O1564=ST_POST,IF($P1564&lt;&gt;"",$P1564,"حساب غير صالح أو غير نشط"),IF($O1564=ST_REV,"معكوس: لا أثر على الدفاتر",IF($O1564=ST_CANC,"ملغى",IF($O1564=ST_APPR,"معتمد ولم يُرحَّل","مسودة"))))),"")</f>
        <v/>
      </c>
      <c r="Y1564" s="32">
        <f>IF($A1564=1,IF(AND($R1564=1,OR(LG_Acct="",$G1564=LG_Acct),OR(LG_Party="",$K1564=LG_Party),OR(LG_Loc="ALL",$I1564=LG_Loc),OR(LG_CC="ALL",$J1564=LG_CC),$D1564&gt;=LG_From,$D1564&lt;=LG_To),$D1564+ROW()/1000000,""),"")</f>
        <v/>
      </c>
      <c r="Z1564" s="32">
        <f>IF($A1564=1,IF(Supplier_Invoices!$P72="","",Supplier_Invoices!$P72),"")</f>
        <v/>
      </c>
      <c r="AA1564" s="32">
        <f>IF($A1564=1,IF(Supplier_Invoices!$Q72="","",Supplier_Invoices!$Q72),"")</f>
        <v/>
      </c>
      <c r="AB1564" s="32">
        <f>IF($A1564=1,IF(Supplier_Invoices!$R72="","",Supplier_Invoices!$R72),"")</f>
        <v/>
      </c>
      <c r="AC1564" s="32">
        <f>IF($A1564=1,IF(Supplier_Invoices!$S72="","",Supplier_Invoices!$S72),"")</f>
        <v/>
      </c>
      <c r="AD1564" s="32">
        <f>IF($A1564=1,IF(Supplier_Invoices!$T72="","",Supplier_Invoices!$T72),"")</f>
        <v/>
      </c>
      <c r="AE1564" s="32">
        <f>IF($A1564=1,0,"")</f>
        <v/>
      </c>
      <c r="AF1564" s="32" t="inlineStr"/>
    </row>
    <row r="1565">
      <c r="A1565" s="32">
        <f>IF(AND(Supplier_Invoices!$AD72=1,N(Supplier_Invoices!$K72)&gt;0),1,0)</f>
        <v/>
      </c>
      <c r="B1565" s="32">
        <f>IF($A1565=1,$E1565&amp;"/2","")</f>
        <v/>
      </c>
      <c r="C1565" s="32">
        <f>IF($A1565=1,"J-"&amp;Supplier_Invoices!$A72,"")</f>
        <v/>
      </c>
      <c r="D1565" s="33">
        <f>IF($A1565=1,Supplier_Invoices!$E72,"")</f>
        <v/>
      </c>
      <c r="E1565" s="32">
        <f>IF($A1565=1,IF(Supplier_Invoices!$A72="","",Supplier_Invoices!$A72),"")</f>
        <v/>
      </c>
      <c r="F1565" s="32">
        <f>IF($A1565=1,"SINV","")</f>
        <v/>
      </c>
      <c r="G1565" s="32">
        <f>IF($A1565=1,ACC_VAT_IN,"")</f>
        <v/>
      </c>
      <c r="H1565" s="32">
        <f>IF($A1565=1,IF(COUNTIF(COA!$A:$A,$G1565)=0,"حساب غير معرف",INDEX(COA!$B:$B,MATCH($G1565,COA!$A:$A,0))),"")</f>
        <v/>
      </c>
      <c r="I1565" s="32">
        <f>IF($A1565=1,IF(Supplier_Invoices!$H72="","",Supplier_Invoices!$H72),"")</f>
        <v/>
      </c>
      <c r="J1565" s="32">
        <f>IF($A1565=1,IF(Supplier_Invoices!$I72="","",Supplier_Invoices!$I72),"")</f>
        <v/>
      </c>
      <c r="K1565" s="32">
        <f>IF($A1565=1,"-","")</f>
        <v/>
      </c>
      <c r="L1565" s="32">
        <f>IF($A1565=1,"ضريبة قيمة مضافة - مدخلات","")</f>
        <v/>
      </c>
      <c r="M1565" s="43">
        <f>IF($A1565=1,IF(Supplier_Invoices!$V72="CN",0,Supplier_Invoices!$K72),"")</f>
        <v/>
      </c>
      <c r="N1565" s="43">
        <f>IF($A1565=1,IF(Supplier_Invoices!$V72="CN",Supplier_Invoices!$K72,0),"")</f>
        <v/>
      </c>
      <c r="O1565" s="32">
        <f>IF($A1565=1,Supplier_Invoices!$O72,"")</f>
        <v/>
      </c>
      <c r="P1565" s="32">
        <f>IF($A1565=1,IF(Supplier_Invoices!$AE72="","",Supplier_Invoices!$AE72),"")</f>
        <v/>
      </c>
      <c r="Q1565" s="32">
        <f>IF($A1565=1,Supplier_Invoices!$AG72,"")</f>
        <v/>
      </c>
      <c r="R1565" s="32">
        <f>IF($A1565=1,IF(AND($Q1565=1,COUNTIFS(COA!$A:$A,$G1565,COA!$R:$R,1)=1),1,0),"")</f>
        <v/>
      </c>
      <c r="S1565" s="43">
        <f>IF($A1565=1,IF($R1565=1,N($M1565),0),"")</f>
        <v/>
      </c>
      <c r="T1565" s="43">
        <f>IF($A1565=1,IF($R1565=1,N($N1565),0),"")</f>
        <v/>
      </c>
      <c r="U1565" s="32">
        <f>IF($A1565=1,YEAR($D1565)*100+MONTH($D1565),"")</f>
        <v/>
      </c>
      <c r="V1565" s="32">
        <f>IF($A1565=1,IF(COUNTIF(COA!$A:$A,$G1565)=0,0,INDEX(COA!$H:$H,MATCH($G1565,COA!$A:$A,0))),"")</f>
        <v/>
      </c>
      <c r="W1565" s="32">
        <f>IF($A1565=1,"","")</f>
        <v/>
      </c>
      <c r="X1565" s="32">
        <f>IF($A1565=1,IF($R1565=1,"",IF($O1565=ST_POST,IF($P1565&lt;&gt;"",$P1565,"حساب غير صالح أو غير نشط"),IF($O1565=ST_REV,"معكوس: لا أثر على الدفاتر",IF($O1565=ST_CANC,"ملغى",IF($O1565=ST_APPR,"معتمد ولم يُرحَّل","مسودة"))))),"")</f>
        <v/>
      </c>
      <c r="Y1565" s="32">
        <f>IF($A1565=1,IF(AND($R1565=1,OR(LG_Acct="",$G1565=LG_Acct),OR(LG_Party="",$K1565=LG_Party),OR(LG_Loc="ALL",$I1565=LG_Loc),OR(LG_CC="ALL",$J1565=LG_CC),$D1565&gt;=LG_From,$D1565&lt;=LG_To),$D1565+ROW()/1000000,""),"")</f>
        <v/>
      </c>
      <c r="Z1565" s="32">
        <f>IF($A1565=1,IF(Supplier_Invoices!$P72="","",Supplier_Invoices!$P72),"")</f>
        <v/>
      </c>
      <c r="AA1565" s="32">
        <f>IF($A1565=1,IF(Supplier_Invoices!$Q72="","",Supplier_Invoices!$Q72),"")</f>
        <v/>
      </c>
      <c r="AB1565" s="32">
        <f>IF($A1565=1,IF(Supplier_Invoices!$R72="","",Supplier_Invoices!$R72),"")</f>
        <v/>
      </c>
      <c r="AC1565" s="32">
        <f>IF($A1565=1,IF(Supplier_Invoices!$S72="","",Supplier_Invoices!$S72),"")</f>
        <v/>
      </c>
      <c r="AD1565" s="32">
        <f>IF($A1565=1,IF(Supplier_Invoices!$T72="","",Supplier_Invoices!$T72),"")</f>
        <v/>
      </c>
      <c r="AE1565" s="32">
        <f>IF($A1565=1,0,"")</f>
        <v/>
      </c>
      <c r="AF1565" s="32" t="inlineStr"/>
    </row>
    <row r="1566">
      <c r="A1566" s="32">
        <f>IF(AND(Supplier_Invoices!$AD72=1,N(Supplier_Invoices!$W72)&gt;0),1,0)</f>
        <v/>
      </c>
      <c r="B1566" s="32">
        <f>IF($A1566=1,$E1566&amp;"/3","")</f>
        <v/>
      </c>
      <c r="C1566" s="32">
        <f>IF($A1566=1,"J-"&amp;Supplier_Invoices!$A72,"")</f>
        <v/>
      </c>
      <c r="D1566" s="33">
        <f>IF($A1566=1,Supplier_Invoices!$E72,"")</f>
        <v/>
      </c>
      <c r="E1566" s="32">
        <f>IF($A1566=1,IF(Supplier_Invoices!$A72="","",Supplier_Invoices!$A72),"")</f>
        <v/>
      </c>
      <c r="F1566" s="32">
        <f>IF($A1566=1,"SINV","")</f>
        <v/>
      </c>
      <c r="G1566" s="32">
        <f>IF($A1566=1,ACC_SUPPLIERS,"")</f>
        <v/>
      </c>
      <c r="H1566" s="32">
        <f>IF($A1566=1,IF(COUNTIF(COA!$A:$A,$G1566)=0,"حساب غير معرف",INDEX(COA!$B:$B,MATCH($G1566,COA!$A:$A,0))),"")</f>
        <v/>
      </c>
      <c r="I1566" s="32">
        <f>IF($A1566=1,IF(Supplier_Invoices!$H72="","",Supplier_Invoices!$H72),"")</f>
        <v/>
      </c>
      <c r="J1566" s="32">
        <f>IF($A1566=1,"CC00","")</f>
        <v/>
      </c>
      <c r="K1566" s="32">
        <f>IF($A1566=1,IF(Supplier_Invoices!$C72="","",Supplier_Invoices!$C72),"")</f>
        <v/>
      </c>
      <c r="L1566" s="32">
        <f>IF($A1566=1,Supplier_Invoices!$F72&amp;" "&amp;Supplier_Invoices!$B72&amp;" - "&amp;Supplier_Invoices!$C72,"")</f>
        <v/>
      </c>
      <c r="M1566" s="43">
        <f>IF($A1566=1,IF(Supplier_Invoices!$V72="CN",Supplier_Invoices!$W72,0),"")</f>
        <v/>
      </c>
      <c r="N1566" s="43">
        <f>IF($A1566=1,IF(Supplier_Invoices!$V72="CN",0,Supplier_Invoices!$W72),"")</f>
        <v/>
      </c>
      <c r="O1566" s="32">
        <f>IF($A1566=1,Supplier_Invoices!$O72,"")</f>
        <v/>
      </c>
      <c r="P1566" s="32">
        <f>IF($A1566=1,IF(Supplier_Invoices!$AE72="","",Supplier_Invoices!$AE72),"")</f>
        <v/>
      </c>
      <c r="Q1566" s="32">
        <f>IF($A1566=1,Supplier_Invoices!$AG72,"")</f>
        <v/>
      </c>
      <c r="R1566" s="32">
        <f>IF($A1566=1,IF(AND($Q1566=1,COUNTIFS(COA!$A:$A,$G1566,COA!$R:$R,1)=1),1,0),"")</f>
        <v/>
      </c>
      <c r="S1566" s="43">
        <f>IF($A1566=1,IF($R1566=1,N($M1566),0),"")</f>
        <v/>
      </c>
      <c r="T1566" s="43">
        <f>IF($A1566=1,IF($R1566=1,N($N1566),0),"")</f>
        <v/>
      </c>
      <c r="U1566" s="32">
        <f>IF($A1566=1,YEAR($D1566)*100+MONTH($D1566),"")</f>
        <v/>
      </c>
      <c r="V1566" s="32">
        <f>IF($A1566=1,IF(COUNTIF(COA!$A:$A,$G1566)=0,0,INDEX(COA!$H:$H,MATCH($G1566,COA!$A:$A,0))),"")</f>
        <v/>
      </c>
      <c r="W1566" s="32">
        <f>IF($A1566=1,"","")</f>
        <v/>
      </c>
      <c r="X1566" s="32">
        <f>IF($A1566=1,IF($R1566=1,"",IF($O1566=ST_POST,IF($P1566&lt;&gt;"",$P1566,"حساب غير صالح أو غير نشط"),IF($O1566=ST_REV,"معكوس: لا أثر على الدفاتر",IF($O1566=ST_CANC,"ملغى",IF($O1566=ST_APPR,"معتمد ولم يُرحَّل","مسودة"))))),"")</f>
        <v/>
      </c>
      <c r="Y1566" s="32">
        <f>IF($A1566=1,IF(AND($R1566=1,OR(LG_Acct="",$G1566=LG_Acct),OR(LG_Party="",$K1566=LG_Party),OR(LG_Loc="ALL",$I1566=LG_Loc),OR(LG_CC="ALL",$J1566=LG_CC),$D1566&gt;=LG_From,$D1566&lt;=LG_To),$D1566+ROW()/1000000,""),"")</f>
        <v/>
      </c>
      <c r="Z1566" s="32">
        <f>IF($A1566=1,IF(Supplier_Invoices!$P72="","",Supplier_Invoices!$P72),"")</f>
        <v/>
      </c>
      <c r="AA1566" s="32">
        <f>IF($A1566=1,IF(Supplier_Invoices!$Q72="","",Supplier_Invoices!$Q72),"")</f>
        <v/>
      </c>
      <c r="AB1566" s="32">
        <f>IF($A1566=1,IF(Supplier_Invoices!$R72="","",Supplier_Invoices!$R72),"")</f>
        <v/>
      </c>
      <c r="AC1566" s="32">
        <f>IF($A1566=1,IF(Supplier_Invoices!$S72="","",Supplier_Invoices!$S72),"")</f>
        <v/>
      </c>
      <c r="AD1566" s="32">
        <f>IF($A1566=1,IF(Supplier_Invoices!$T72="","",Supplier_Invoices!$T72),"")</f>
        <v/>
      </c>
      <c r="AE1566" s="32">
        <f>IF($A1566=1,0,"")</f>
        <v/>
      </c>
      <c r="AF1566" s="32" t="inlineStr"/>
    </row>
    <row r="1567">
      <c r="A1567" s="32">
        <f>IF(AND(Supplier_Invoices!$AD72=1,Supplier_Invoices!$L72&lt;&gt;"",Supplier_Invoices!$V72&lt;&gt;"CN",N(Supplier_Invoices!$W72)&gt;0),1,0)</f>
        <v/>
      </c>
      <c r="B1567" s="32">
        <f>IF($A1567=1,$E1567&amp;"/4","")</f>
        <v/>
      </c>
      <c r="C1567" s="32">
        <f>IF($A1567=1,"J-"&amp;Supplier_Invoices!$A72,"")</f>
        <v/>
      </c>
      <c r="D1567" s="33">
        <f>IF($A1567=1,Supplier_Invoices!$E72,"")</f>
        <v/>
      </c>
      <c r="E1567" s="32">
        <f>IF($A1567=1,IF(Supplier_Invoices!$A72="","",Supplier_Invoices!$A72),"")</f>
        <v/>
      </c>
      <c r="F1567" s="32">
        <f>IF($A1567=1,"SINV","")</f>
        <v/>
      </c>
      <c r="G1567" s="32">
        <f>IF($A1567=1,ACC_SUPPLIERS,"")</f>
        <v/>
      </c>
      <c r="H1567" s="32">
        <f>IF($A1567=1,IF(COUNTIF(COA!$A:$A,$G1567)=0,"حساب غير معرف",INDEX(COA!$B:$B,MATCH($G1567,COA!$A:$A,0))),"")</f>
        <v/>
      </c>
      <c r="I1567" s="32">
        <f>IF($A1567=1,IF(Supplier_Invoices!$H72="","",Supplier_Invoices!$H72),"")</f>
        <v/>
      </c>
      <c r="J1567" s="32">
        <f>IF($A1567=1,"CC00","")</f>
        <v/>
      </c>
      <c r="K1567" s="32">
        <f>IF($A1567=1,IF(Supplier_Invoices!$C72="","",Supplier_Invoices!$C72),"")</f>
        <v/>
      </c>
      <c r="L1567" s="32">
        <f>IF($A1567=1,"سداد فوري - "&amp;Supplier_Invoices!$F72&amp;" "&amp;Supplier_Invoices!$B72&amp;" - "&amp;Supplier_Invoices!$C72,"")</f>
        <v/>
      </c>
      <c r="M1567" s="43">
        <f>IF($A1567=1,Supplier_Invoices!$W72,"")</f>
        <v/>
      </c>
      <c r="N1567" s="43">
        <f>IF($A1567=1,0,"")</f>
        <v/>
      </c>
      <c r="O1567" s="32">
        <f>IF($A1567=1,Supplier_Invoices!$O72,"")</f>
        <v/>
      </c>
      <c r="P1567" s="32">
        <f>IF($A1567=1,IF(Supplier_Invoices!$AE72="","",Supplier_Invoices!$AE72),"")</f>
        <v/>
      </c>
      <c r="Q1567" s="32">
        <f>IF($A1567=1,Supplier_Invoices!$AG72,"")</f>
        <v/>
      </c>
      <c r="R1567" s="32">
        <f>IF($A1567=1,IF(AND($Q1567=1,COUNTIFS(COA!$A:$A,$G1567,COA!$R:$R,1)=1),1,0),"")</f>
        <v/>
      </c>
      <c r="S1567" s="43">
        <f>IF($A1567=1,IF($R1567=1,N($M1567),0),"")</f>
        <v/>
      </c>
      <c r="T1567" s="43">
        <f>IF($A1567=1,IF($R1567=1,N($N1567),0),"")</f>
        <v/>
      </c>
      <c r="U1567" s="32">
        <f>IF($A1567=1,YEAR($D1567)*100+MONTH($D1567),"")</f>
        <v/>
      </c>
      <c r="V1567" s="32">
        <f>IF($A1567=1,IF(COUNTIF(COA!$A:$A,$G1567)=0,0,INDEX(COA!$H:$H,MATCH($G1567,COA!$A:$A,0))),"")</f>
        <v/>
      </c>
      <c r="W1567" s="32">
        <f>IF($A1567=1,"","")</f>
        <v/>
      </c>
      <c r="X1567" s="32">
        <f>IF($A1567=1,IF($R1567=1,"",IF($O1567=ST_POST,IF($P1567&lt;&gt;"",$P1567,"حساب غير صالح أو غير نشط"),IF($O1567=ST_REV,"معكوس: لا أثر على الدفاتر",IF($O1567=ST_CANC,"ملغى",IF($O1567=ST_APPR,"معتمد ولم يُرحَّل","مسودة"))))),"")</f>
        <v/>
      </c>
      <c r="Y1567" s="32">
        <f>IF($A1567=1,IF(AND($R1567=1,OR(LG_Acct="",$G1567=LG_Acct),OR(LG_Party="",$K1567=LG_Party),OR(LG_Loc="ALL",$I1567=LG_Loc),OR(LG_CC="ALL",$J1567=LG_CC),$D1567&gt;=LG_From,$D1567&lt;=LG_To),$D1567+ROW()/1000000,""),"")</f>
        <v/>
      </c>
      <c r="Z1567" s="32">
        <f>IF($A1567=1,IF(Supplier_Invoices!$P72="","",Supplier_Invoices!$P72),"")</f>
        <v/>
      </c>
      <c r="AA1567" s="32">
        <f>IF($A1567=1,IF(Supplier_Invoices!$Q72="","",Supplier_Invoices!$Q72),"")</f>
        <v/>
      </c>
      <c r="AB1567" s="32">
        <f>IF($A1567=1,IF(Supplier_Invoices!$R72="","",Supplier_Invoices!$R72),"")</f>
        <v/>
      </c>
      <c r="AC1567" s="32">
        <f>IF($A1567=1,IF(Supplier_Invoices!$S72="","",Supplier_Invoices!$S72),"")</f>
        <v/>
      </c>
      <c r="AD1567" s="32">
        <f>IF($A1567=1,IF(Supplier_Invoices!$T72="","",Supplier_Invoices!$T72),"")</f>
        <v/>
      </c>
      <c r="AE1567" s="32">
        <f>IF($A1567=1,0,"")</f>
        <v/>
      </c>
      <c r="AF1567" s="32" t="inlineStr"/>
    </row>
    <row r="1568">
      <c r="A1568" s="32">
        <f>IF(AND(Supplier_Invoices!$AD72=1,Supplier_Invoices!$L72&lt;&gt;"",Supplier_Invoices!$V72&lt;&gt;"CN",N(Supplier_Invoices!$W72)&gt;0),1,0)</f>
        <v/>
      </c>
      <c r="B1568" s="32">
        <f>IF($A1568=1,$E1568&amp;"/5","")</f>
        <v/>
      </c>
      <c r="C1568" s="32">
        <f>IF($A1568=1,"J-"&amp;Supplier_Invoices!$A72,"")</f>
        <v/>
      </c>
      <c r="D1568" s="33">
        <f>IF($A1568=1,Supplier_Invoices!$E72,"")</f>
        <v/>
      </c>
      <c r="E1568" s="32">
        <f>IF($A1568=1,IF(Supplier_Invoices!$A72="","",Supplier_Invoices!$A72),"")</f>
        <v/>
      </c>
      <c r="F1568" s="32">
        <f>IF($A1568=1,"SINV","")</f>
        <v/>
      </c>
      <c r="G1568" s="32">
        <f>IF($A1568=1,IF(Supplier_Invoices!$AA72="","",Supplier_Invoices!$AA72),"")</f>
        <v/>
      </c>
      <c r="H1568" s="32">
        <f>IF($A1568=1,IF(COUNTIF(COA!$A:$A,$G1568)=0,"حساب غير معرف",INDEX(COA!$B:$B,MATCH($G1568,COA!$A:$A,0))),"")</f>
        <v/>
      </c>
      <c r="I1568" s="32">
        <f>IF($A1568=1,IF(Supplier_Invoices!$H72="","",Supplier_Invoices!$H72),"")</f>
        <v/>
      </c>
      <c r="J1568" s="32">
        <f>IF($A1568=1,"CC00","")</f>
        <v/>
      </c>
      <c r="K1568" s="32">
        <f>IF($A1568=1,"-","")</f>
        <v/>
      </c>
      <c r="L1568" s="32">
        <f>IF($A1568=1,"سداد فوري - "&amp;Supplier_Invoices!$F72&amp;" "&amp;Supplier_Invoices!$B72&amp;" - "&amp;Supplier_Invoices!$C72,"")</f>
        <v/>
      </c>
      <c r="M1568" s="43">
        <f>IF($A1568=1,0,"")</f>
        <v/>
      </c>
      <c r="N1568" s="43">
        <f>IF($A1568=1,Supplier_Invoices!$W72,"")</f>
        <v/>
      </c>
      <c r="O1568" s="32">
        <f>IF($A1568=1,Supplier_Invoices!$O72,"")</f>
        <v/>
      </c>
      <c r="P1568" s="32">
        <f>IF($A1568=1,IF(Supplier_Invoices!$AE72="","",Supplier_Invoices!$AE72),"")</f>
        <v/>
      </c>
      <c r="Q1568" s="32">
        <f>IF($A1568=1,Supplier_Invoices!$AG72,"")</f>
        <v/>
      </c>
      <c r="R1568" s="32">
        <f>IF($A1568=1,IF(AND($Q1568=1,COUNTIFS(COA!$A:$A,$G1568,COA!$R:$R,1)=1),1,0),"")</f>
        <v/>
      </c>
      <c r="S1568" s="43">
        <f>IF($A1568=1,IF($R1568=1,N($M1568),0),"")</f>
        <v/>
      </c>
      <c r="T1568" s="43">
        <f>IF($A1568=1,IF($R1568=1,N($N1568),0),"")</f>
        <v/>
      </c>
      <c r="U1568" s="32">
        <f>IF($A1568=1,YEAR($D1568)*100+MONTH($D1568),"")</f>
        <v/>
      </c>
      <c r="V1568" s="32">
        <f>IF($A1568=1,IF(COUNTIF(COA!$A:$A,$G1568)=0,0,INDEX(COA!$H:$H,MATCH($G1568,COA!$A:$A,0))),"")</f>
        <v/>
      </c>
      <c r="W1568" s="32">
        <f>IF($A1568=1,IF(Supplier_Invoices!$AB72="","",Supplier_Invoices!$AB72),"")</f>
        <v/>
      </c>
      <c r="X1568" s="32">
        <f>IF($A1568=1,IF($R1568=1,"",IF($O1568=ST_POST,IF($P1568&lt;&gt;"",$P1568,"حساب غير صالح أو غير نشط"),IF($O1568=ST_REV,"معكوس: لا أثر على الدفاتر",IF($O1568=ST_CANC,"ملغى",IF($O1568=ST_APPR,"معتمد ولم يُرحَّل","مسودة"))))),"")</f>
        <v/>
      </c>
      <c r="Y1568" s="32">
        <f>IF($A1568=1,IF(AND($R1568=1,OR(LG_Acct="",$G1568=LG_Acct),OR(LG_Party="",$K1568=LG_Party),OR(LG_Loc="ALL",$I1568=LG_Loc),OR(LG_CC="ALL",$J1568=LG_CC),$D1568&gt;=LG_From,$D1568&lt;=LG_To),$D1568+ROW()/1000000,""),"")</f>
        <v/>
      </c>
      <c r="Z1568" s="32">
        <f>IF($A1568=1,IF(Supplier_Invoices!$P72="","",Supplier_Invoices!$P72),"")</f>
        <v/>
      </c>
      <c r="AA1568" s="32">
        <f>IF($A1568=1,IF(Supplier_Invoices!$Q72="","",Supplier_Invoices!$Q72),"")</f>
        <v/>
      </c>
      <c r="AB1568" s="32">
        <f>IF($A1568=1,IF(Supplier_Invoices!$R72="","",Supplier_Invoices!$R72),"")</f>
        <v/>
      </c>
      <c r="AC1568" s="32">
        <f>IF($A1568=1,IF(Supplier_Invoices!$S72="","",Supplier_Invoices!$S72),"")</f>
        <v/>
      </c>
      <c r="AD1568" s="32">
        <f>IF($A1568=1,IF(Supplier_Invoices!$T72="","",Supplier_Invoices!$T72),"")</f>
        <v/>
      </c>
      <c r="AE1568" s="32">
        <f>IF($A1568=1,0,"")</f>
        <v/>
      </c>
      <c r="AF1568" s="32" t="inlineStr"/>
    </row>
    <row r="1569">
      <c r="A1569" s="32">
        <f>IF(AND(Supplier_Invoices!$AD73=1,N(Supplier_Invoices!$J73)&gt;0),1,0)</f>
        <v/>
      </c>
      <c r="B1569" s="32">
        <f>IF($A1569=1,$E1569&amp;"/1","")</f>
        <v/>
      </c>
      <c r="C1569" s="32">
        <f>IF($A1569=1,"J-"&amp;Supplier_Invoices!$A73,"")</f>
        <v/>
      </c>
      <c r="D1569" s="33">
        <f>IF($A1569=1,Supplier_Invoices!$E73,"")</f>
        <v/>
      </c>
      <c r="E1569" s="32">
        <f>IF($A1569=1,IF(Supplier_Invoices!$A73="","",Supplier_Invoices!$A73),"")</f>
        <v/>
      </c>
      <c r="F1569" s="32">
        <f>IF($A1569=1,"SINV","")</f>
        <v/>
      </c>
      <c r="G1569" s="32">
        <f>IF($A1569=1,IF(Supplier_Invoices!$G73="","",Supplier_Invoices!$G73),"")</f>
        <v/>
      </c>
      <c r="H1569" s="32">
        <f>IF($A1569=1,IF(COUNTIF(COA!$A:$A,$G1569)=0,"حساب غير معرف",INDEX(COA!$B:$B,MATCH($G1569,COA!$A:$A,0))),"")</f>
        <v/>
      </c>
      <c r="I1569" s="32">
        <f>IF($A1569=1,IF(Supplier_Invoices!$H73="","",Supplier_Invoices!$H73),"")</f>
        <v/>
      </c>
      <c r="J1569" s="32">
        <f>IF($A1569=1,IF(Supplier_Invoices!$I73="","",Supplier_Invoices!$I73),"")</f>
        <v/>
      </c>
      <c r="K1569" s="32">
        <f>IF($A1569=1,"-","")</f>
        <v/>
      </c>
      <c r="L1569" s="32">
        <f>IF($A1569=1,Supplier_Invoices!$F73&amp;" "&amp;Supplier_Invoices!$B73&amp;" - "&amp;Supplier_Invoices!$C73,"")</f>
        <v/>
      </c>
      <c r="M1569" s="43">
        <f>IF($A1569=1,IF(Supplier_Invoices!$V73="CN",0,Supplier_Invoices!$J73),"")</f>
        <v/>
      </c>
      <c r="N1569" s="43">
        <f>IF($A1569=1,IF(Supplier_Invoices!$V73="CN",Supplier_Invoices!$J73,0),"")</f>
        <v/>
      </c>
      <c r="O1569" s="32">
        <f>IF($A1569=1,Supplier_Invoices!$O73,"")</f>
        <v/>
      </c>
      <c r="P1569" s="32">
        <f>IF($A1569=1,IF(Supplier_Invoices!$AE73="","",Supplier_Invoices!$AE73),"")</f>
        <v/>
      </c>
      <c r="Q1569" s="32">
        <f>IF($A1569=1,Supplier_Invoices!$AG73,"")</f>
        <v/>
      </c>
      <c r="R1569" s="32">
        <f>IF($A1569=1,IF(AND($Q1569=1,COUNTIFS(COA!$A:$A,$G1569,COA!$R:$R,1)=1),1,0),"")</f>
        <v/>
      </c>
      <c r="S1569" s="43">
        <f>IF($A1569=1,IF($R1569=1,N($M1569),0),"")</f>
        <v/>
      </c>
      <c r="T1569" s="43">
        <f>IF($A1569=1,IF($R1569=1,N($N1569),0),"")</f>
        <v/>
      </c>
      <c r="U1569" s="32">
        <f>IF($A1569=1,YEAR($D1569)*100+MONTH($D1569),"")</f>
        <v/>
      </c>
      <c r="V1569" s="32">
        <f>IF($A1569=1,IF(COUNTIF(COA!$A:$A,$G1569)=0,0,INDEX(COA!$H:$H,MATCH($G1569,COA!$A:$A,0))),"")</f>
        <v/>
      </c>
      <c r="W1569" s="32">
        <f>IF($A1569=1,"","")</f>
        <v/>
      </c>
      <c r="X1569" s="32">
        <f>IF($A1569=1,IF($R1569=1,"",IF($O1569=ST_POST,IF($P1569&lt;&gt;"",$P1569,"حساب غير صالح أو غير نشط"),IF($O1569=ST_REV,"معكوس: لا أثر على الدفاتر",IF($O1569=ST_CANC,"ملغى",IF($O1569=ST_APPR,"معتمد ولم يُرحَّل","مسودة"))))),"")</f>
        <v/>
      </c>
      <c r="Y1569" s="32">
        <f>IF($A1569=1,IF(AND($R1569=1,OR(LG_Acct="",$G1569=LG_Acct),OR(LG_Party="",$K1569=LG_Party),OR(LG_Loc="ALL",$I1569=LG_Loc),OR(LG_CC="ALL",$J1569=LG_CC),$D1569&gt;=LG_From,$D1569&lt;=LG_To),$D1569+ROW()/1000000,""),"")</f>
        <v/>
      </c>
      <c r="Z1569" s="32">
        <f>IF($A1569=1,IF(Supplier_Invoices!$P73="","",Supplier_Invoices!$P73),"")</f>
        <v/>
      </c>
      <c r="AA1569" s="32">
        <f>IF($A1569=1,IF(Supplier_Invoices!$Q73="","",Supplier_Invoices!$Q73),"")</f>
        <v/>
      </c>
      <c r="AB1569" s="32">
        <f>IF($A1569=1,IF(Supplier_Invoices!$R73="","",Supplier_Invoices!$R73),"")</f>
        <v/>
      </c>
      <c r="AC1569" s="32">
        <f>IF($A1569=1,IF(Supplier_Invoices!$S73="","",Supplier_Invoices!$S73),"")</f>
        <v/>
      </c>
      <c r="AD1569" s="32">
        <f>IF($A1569=1,IF(Supplier_Invoices!$T73="","",Supplier_Invoices!$T73),"")</f>
        <v/>
      </c>
      <c r="AE1569" s="32">
        <f>IF($A1569=1,0,"")</f>
        <v/>
      </c>
      <c r="AF1569" s="32" t="inlineStr"/>
    </row>
    <row r="1570">
      <c r="A1570" s="32">
        <f>IF(AND(Supplier_Invoices!$AD73=1,N(Supplier_Invoices!$K73)&gt;0),1,0)</f>
        <v/>
      </c>
      <c r="B1570" s="32">
        <f>IF($A1570=1,$E1570&amp;"/2","")</f>
        <v/>
      </c>
      <c r="C1570" s="32">
        <f>IF($A1570=1,"J-"&amp;Supplier_Invoices!$A73,"")</f>
        <v/>
      </c>
      <c r="D1570" s="33">
        <f>IF($A1570=1,Supplier_Invoices!$E73,"")</f>
        <v/>
      </c>
      <c r="E1570" s="32">
        <f>IF($A1570=1,IF(Supplier_Invoices!$A73="","",Supplier_Invoices!$A73),"")</f>
        <v/>
      </c>
      <c r="F1570" s="32">
        <f>IF($A1570=1,"SINV","")</f>
        <v/>
      </c>
      <c r="G1570" s="32">
        <f>IF($A1570=1,ACC_VAT_IN,"")</f>
        <v/>
      </c>
      <c r="H1570" s="32">
        <f>IF($A1570=1,IF(COUNTIF(COA!$A:$A,$G1570)=0,"حساب غير معرف",INDEX(COA!$B:$B,MATCH($G1570,COA!$A:$A,0))),"")</f>
        <v/>
      </c>
      <c r="I1570" s="32">
        <f>IF($A1570=1,IF(Supplier_Invoices!$H73="","",Supplier_Invoices!$H73),"")</f>
        <v/>
      </c>
      <c r="J1570" s="32">
        <f>IF($A1570=1,IF(Supplier_Invoices!$I73="","",Supplier_Invoices!$I73),"")</f>
        <v/>
      </c>
      <c r="K1570" s="32">
        <f>IF($A1570=1,"-","")</f>
        <v/>
      </c>
      <c r="L1570" s="32">
        <f>IF($A1570=1,"ضريبة قيمة مضافة - مدخلات","")</f>
        <v/>
      </c>
      <c r="M1570" s="43">
        <f>IF($A1570=1,IF(Supplier_Invoices!$V73="CN",0,Supplier_Invoices!$K73),"")</f>
        <v/>
      </c>
      <c r="N1570" s="43">
        <f>IF($A1570=1,IF(Supplier_Invoices!$V73="CN",Supplier_Invoices!$K73,0),"")</f>
        <v/>
      </c>
      <c r="O1570" s="32">
        <f>IF($A1570=1,Supplier_Invoices!$O73,"")</f>
        <v/>
      </c>
      <c r="P1570" s="32">
        <f>IF($A1570=1,IF(Supplier_Invoices!$AE73="","",Supplier_Invoices!$AE73),"")</f>
        <v/>
      </c>
      <c r="Q1570" s="32">
        <f>IF($A1570=1,Supplier_Invoices!$AG73,"")</f>
        <v/>
      </c>
      <c r="R1570" s="32">
        <f>IF($A1570=1,IF(AND($Q1570=1,COUNTIFS(COA!$A:$A,$G1570,COA!$R:$R,1)=1),1,0),"")</f>
        <v/>
      </c>
      <c r="S1570" s="43">
        <f>IF($A1570=1,IF($R1570=1,N($M1570),0),"")</f>
        <v/>
      </c>
      <c r="T1570" s="43">
        <f>IF($A1570=1,IF($R1570=1,N($N1570),0),"")</f>
        <v/>
      </c>
      <c r="U1570" s="32">
        <f>IF($A1570=1,YEAR($D1570)*100+MONTH($D1570),"")</f>
        <v/>
      </c>
      <c r="V1570" s="32">
        <f>IF($A1570=1,IF(COUNTIF(COA!$A:$A,$G1570)=0,0,INDEX(COA!$H:$H,MATCH($G1570,COA!$A:$A,0))),"")</f>
        <v/>
      </c>
      <c r="W1570" s="32">
        <f>IF($A1570=1,"","")</f>
        <v/>
      </c>
      <c r="X1570" s="32">
        <f>IF($A1570=1,IF($R1570=1,"",IF($O1570=ST_POST,IF($P1570&lt;&gt;"",$P1570,"حساب غير صالح أو غير نشط"),IF($O1570=ST_REV,"معكوس: لا أثر على الدفاتر",IF($O1570=ST_CANC,"ملغى",IF($O1570=ST_APPR,"معتمد ولم يُرحَّل","مسودة"))))),"")</f>
        <v/>
      </c>
      <c r="Y1570" s="32">
        <f>IF($A1570=1,IF(AND($R1570=1,OR(LG_Acct="",$G1570=LG_Acct),OR(LG_Party="",$K1570=LG_Party),OR(LG_Loc="ALL",$I1570=LG_Loc),OR(LG_CC="ALL",$J1570=LG_CC),$D1570&gt;=LG_From,$D1570&lt;=LG_To),$D1570+ROW()/1000000,""),"")</f>
        <v/>
      </c>
      <c r="Z1570" s="32">
        <f>IF($A1570=1,IF(Supplier_Invoices!$P73="","",Supplier_Invoices!$P73),"")</f>
        <v/>
      </c>
      <c r="AA1570" s="32">
        <f>IF($A1570=1,IF(Supplier_Invoices!$Q73="","",Supplier_Invoices!$Q73),"")</f>
        <v/>
      </c>
      <c r="AB1570" s="32">
        <f>IF($A1570=1,IF(Supplier_Invoices!$R73="","",Supplier_Invoices!$R73),"")</f>
        <v/>
      </c>
      <c r="AC1570" s="32">
        <f>IF($A1570=1,IF(Supplier_Invoices!$S73="","",Supplier_Invoices!$S73),"")</f>
        <v/>
      </c>
      <c r="AD1570" s="32">
        <f>IF($A1570=1,IF(Supplier_Invoices!$T73="","",Supplier_Invoices!$T73),"")</f>
        <v/>
      </c>
      <c r="AE1570" s="32">
        <f>IF($A1570=1,0,"")</f>
        <v/>
      </c>
      <c r="AF1570" s="32" t="inlineStr"/>
    </row>
    <row r="1571">
      <c r="A1571" s="32">
        <f>IF(AND(Supplier_Invoices!$AD73=1,N(Supplier_Invoices!$W73)&gt;0),1,0)</f>
        <v/>
      </c>
      <c r="B1571" s="32">
        <f>IF($A1571=1,$E1571&amp;"/3","")</f>
        <v/>
      </c>
      <c r="C1571" s="32">
        <f>IF($A1571=1,"J-"&amp;Supplier_Invoices!$A73,"")</f>
        <v/>
      </c>
      <c r="D1571" s="33">
        <f>IF($A1571=1,Supplier_Invoices!$E73,"")</f>
        <v/>
      </c>
      <c r="E1571" s="32">
        <f>IF($A1571=1,IF(Supplier_Invoices!$A73="","",Supplier_Invoices!$A73),"")</f>
        <v/>
      </c>
      <c r="F1571" s="32">
        <f>IF($A1571=1,"SINV","")</f>
        <v/>
      </c>
      <c r="G1571" s="32">
        <f>IF($A1571=1,ACC_SUPPLIERS,"")</f>
        <v/>
      </c>
      <c r="H1571" s="32">
        <f>IF($A1571=1,IF(COUNTIF(COA!$A:$A,$G1571)=0,"حساب غير معرف",INDEX(COA!$B:$B,MATCH($G1571,COA!$A:$A,0))),"")</f>
        <v/>
      </c>
      <c r="I1571" s="32">
        <f>IF($A1571=1,IF(Supplier_Invoices!$H73="","",Supplier_Invoices!$H73),"")</f>
        <v/>
      </c>
      <c r="J1571" s="32">
        <f>IF($A1571=1,"CC00","")</f>
        <v/>
      </c>
      <c r="K1571" s="32">
        <f>IF($A1571=1,IF(Supplier_Invoices!$C73="","",Supplier_Invoices!$C73),"")</f>
        <v/>
      </c>
      <c r="L1571" s="32">
        <f>IF($A1571=1,Supplier_Invoices!$F73&amp;" "&amp;Supplier_Invoices!$B73&amp;" - "&amp;Supplier_Invoices!$C73,"")</f>
        <v/>
      </c>
      <c r="M1571" s="43">
        <f>IF($A1571=1,IF(Supplier_Invoices!$V73="CN",Supplier_Invoices!$W73,0),"")</f>
        <v/>
      </c>
      <c r="N1571" s="43">
        <f>IF($A1571=1,IF(Supplier_Invoices!$V73="CN",0,Supplier_Invoices!$W73),"")</f>
        <v/>
      </c>
      <c r="O1571" s="32">
        <f>IF($A1571=1,Supplier_Invoices!$O73,"")</f>
        <v/>
      </c>
      <c r="P1571" s="32">
        <f>IF($A1571=1,IF(Supplier_Invoices!$AE73="","",Supplier_Invoices!$AE73),"")</f>
        <v/>
      </c>
      <c r="Q1571" s="32">
        <f>IF($A1571=1,Supplier_Invoices!$AG73,"")</f>
        <v/>
      </c>
      <c r="R1571" s="32">
        <f>IF($A1571=1,IF(AND($Q1571=1,COUNTIFS(COA!$A:$A,$G1571,COA!$R:$R,1)=1),1,0),"")</f>
        <v/>
      </c>
      <c r="S1571" s="43">
        <f>IF($A1571=1,IF($R1571=1,N($M1571),0),"")</f>
        <v/>
      </c>
      <c r="T1571" s="43">
        <f>IF($A1571=1,IF($R1571=1,N($N1571),0),"")</f>
        <v/>
      </c>
      <c r="U1571" s="32">
        <f>IF($A1571=1,YEAR($D1571)*100+MONTH($D1571),"")</f>
        <v/>
      </c>
      <c r="V1571" s="32">
        <f>IF($A1571=1,IF(COUNTIF(COA!$A:$A,$G1571)=0,0,INDEX(COA!$H:$H,MATCH($G1571,COA!$A:$A,0))),"")</f>
        <v/>
      </c>
      <c r="W1571" s="32">
        <f>IF($A1571=1,"","")</f>
        <v/>
      </c>
      <c r="X1571" s="32">
        <f>IF($A1571=1,IF($R1571=1,"",IF($O1571=ST_POST,IF($P1571&lt;&gt;"",$P1571,"حساب غير صالح أو غير نشط"),IF($O1571=ST_REV,"معكوس: لا أثر على الدفاتر",IF($O1571=ST_CANC,"ملغى",IF($O1571=ST_APPR,"معتمد ولم يُرحَّل","مسودة"))))),"")</f>
        <v/>
      </c>
      <c r="Y1571" s="32">
        <f>IF($A1571=1,IF(AND($R1571=1,OR(LG_Acct="",$G1571=LG_Acct),OR(LG_Party="",$K1571=LG_Party),OR(LG_Loc="ALL",$I1571=LG_Loc),OR(LG_CC="ALL",$J1571=LG_CC),$D1571&gt;=LG_From,$D1571&lt;=LG_To),$D1571+ROW()/1000000,""),"")</f>
        <v/>
      </c>
      <c r="Z1571" s="32">
        <f>IF($A1571=1,IF(Supplier_Invoices!$P73="","",Supplier_Invoices!$P73),"")</f>
        <v/>
      </c>
      <c r="AA1571" s="32">
        <f>IF($A1571=1,IF(Supplier_Invoices!$Q73="","",Supplier_Invoices!$Q73),"")</f>
        <v/>
      </c>
      <c r="AB1571" s="32">
        <f>IF($A1571=1,IF(Supplier_Invoices!$R73="","",Supplier_Invoices!$R73),"")</f>
        <v/>
      </c>
      <c r="AC1571" s="32">
        <f>IF($A1571=1,IF(Supplier_Invoices!$S73="","",Supplier_Invoices!$S73),"")</f>
        <v/>
      </c>
      <c r="AD1571" s="32">
        <f>IF($A1571=1,IF(Supplier_Invoices!$T73="","",Supplier_Invoices!$T73),"")</f>
        <v/>
      </c>
      <c r="AE1571" s="32">
        <f>IF($A1571=1,0,"")</f>
        <v/>
      </c>
      <c r="AF1571" s="32" t="inlineStr"/>
    </row>
    <row r="1572">
      <c r="A1572" s="32">
        <f>IF(AND(Supplier_Invoices!$AD73=1,Supplier_Invoices!$L73&lt;&gt;"",Supplier_Invoices!$V73&lt;&gt;"CN",N(Supplier_Invoices!$W73)&gt;0),1,0)</f>
        <v/>
      </c>
      <c r="B1572" s="32">
        <f>IF($A1572=1,$E1572&amp;"/4","")</f>
        <v/>
      </c>
      <c r="C1572" s="32">
        <f>IF($A1572=1,"J-"&amp;Supplier_Invoices!$A73,"")</f>
        <v/>
      </c>
      <c r="D1572" s="33">
        <f>IF($A1572=1,Supplier_Invoices!$E73,"")</f>
        <v/>
      </c>
      <c r="E1572" s="32">
        <f>IF($A1572=1,IF(Supplier_Invoices!$A73="","",Supplier_Invoices!$A73),"")</f>
        <v/>
      </c>
      <c r="F1572" s="32">
        <f>IF($A1572=1,"SINV","")</f>
        <v/>
      </c>
      <c r="G1572" s="32">
        <f>IF($A1572=1,ACC_SUPPLIERS,"")</f>
        <v/>
      </c>
      <c r="H1572" s="32">
        <f>IF($A1572=1,IF(COUNTIF(COA!$A:$A,$G1572)=0,"حساب غير معرف",INDEX(COA!$B:$B,MATCH($G1572,COA!$A:$A,0))),"")</f>
        <v/>
      </c>
      <c r="I1572" s="32">
        <f>IF($A1572=1,IF(Supplier_Invoices!$H73="","",Supplier_Invoices!$H73),"")</f>
        <v/>
      </c>
      <c r="J1572" s="32">
        <f>IF($A1572=1,"CC00","")</f>
        <v/>
      </c>
      <c r="K1572" s="32">
        <f>IF($A1572=1,IF(Supplier_Invoices!$C73="","",Supplier_Invoices!$C73),"")</f>
        <v/>
      </c>
      <c r="L1572" s="32">
        <f>IF($A1572=1,"سداد فوري - "&amp;Supplier_Invoices!$F73&amp;" "&amp;Supplier_Invoices!$B73&amp;" - "&amp;Supplier_Invoices!$C73,"")</f>
        <v/>
      </c>
      <c r="M1572" s="43">
        <f>IF($A1572=1,Supplier_Invoices!$W73,"")</f>
        <v/>
      </c>
      <c r="N1572" s="43">
        <f>IF($A1572=1,0,"")</f>
        <v/>
      </c>
      <c r="O1572" s="32">
        <f>IF($A1572=1,Supplier_Invoices!$O73,"")</f>
        <v/>
      </c>
      <c r="P1572" s="32">
        <f>IF($A1572=1,IF(Supplier_Invoices!$AE73="","",Supplier_Invoices!$AE73),"")</f>
        <v/>
      </c>
      <c r="Q1572" s="32">
        <f>IF($A1572=1,Supplier_Invoices!$AG73,"")</f>
        <v/>
      </c>
      <c r="R1572" s="32">
        <f>IF($A1572=1,IF(AND($Q1572=1,COUNTIFS(COA!$A:$A,$G1572,COA!$R:$R,1)=1),1,0),"")</f>
        <v/>
      </c>
      <c r="S1572" s="43">
        <f>IF($A1572=1,IF($R1572=1,N($M1572),0),"")</f>
        <v/>
      </c>
      <c r="T1572" s="43">
        <f>IF($A1572=1,IF($R1572=1,N($N1572),0),"")</f>
        <v/>
      </c>
      <c r="U1572" s="32">
        <f>IF($A1572=1,YEAR($D1572)*100+MONTH($D1572),"")</f>
        <v/>
      </c>
      <c r="V1572" s="32">
        <f>IF($A1572=1,IF(COUNTIF(COA!$A:$A,$G1572)=0,0,INDEX(COA!$H:$H,MATCH($G1572,COA!$A:$A,0))),"")</f>
        <v/>
      </c>
      <c r="W1572" s="32">
        <f>IF($A1572=1,"","")</f>
        <v/>
      </c>
      <c r="X1572" s="32">
        <f>IF($A1572=1,IF($R1572=1,"",IF($O1572=ST_POST,IF($P1572&lt;&gt;"",$P1572,"حساب غير صالح أو غير نشط"),IF($O1572=ST_REV,"معكوس: لا أثر على الدفاتر",IF($O1572=ST_CANC,"ملغى",IF($O1572=ST_APPR,"معتمد ولم يُرحَّل","مسودة"))))),"")</f>
        <v/>
      </c>
      <c r="Y1572" s="32">
        <f>IF($A1572=1,IF(AND($R1572=1,OR(LG_Acct="",$G1572=LG_Acct),OR(LG_Party="",$K1572=LG_Party),OR(LG_Loc="ALL",$I1572=LG_Loc),OR(LG_CC="ALL",$J1572=LG_CC),$D1572&gt;=LG_From,$D1572&lt;=LG_To),$D1572+ROW()/1000000,""),"")</f>
        <v/>
      </c>
      <c r="Z1572" s="32">
        <f>IF($A1572=1,IF(Supplier_Invoices!$P73="","",Supplier_Invoices!$P73),"")</f>
        <v/>
      </c>
      <c r="AA1572" s="32">
        <f>IF($A1572=1,IF(Supplier_Invoices!$Q73="","",Supplier_Invoices!$Q73),"")</f>
        <v/>
      </c>
      <c r="AB1572" s="32">
        <f>IF($A1572=1,IF(Supplier_Invoices!$R73="","",Supplier_Invoices!$R73),"")</f>
        <v/>
      </c>
      <c r="AC1572" s="32">
        <f>IF($A1572=1,IF(Supplier_Invoices!$S73="","",Supplier_Invoices!$S73),"")</f>
        <v/>
      </c>
      <c r="AD1572" s="32">
        <f>IF($A1572=1,IF(Supplier_Invoices!$T73="","",Supplier_Invoices!$T73),"")</f>
        <v/>
      </c>
      <c r="AE1572" s="32">
        <f>IF($A1572=1,0,"")</f>
        <v/>
      </c>
      <c r="AF1572" s="32" t="inlineStr"/>
    </row>
    <row r="1573">
      <c r="A1573" s="32">
        <f>IF(AND(Supplier_Invoices!$AD73=1,Supplier_Invoices!$L73&lt;&gt;"",Supplier_Invoices!$V73&lt;&gt;"CN",N(Supplier_Invoices!$W73)&gt;0),1,0)</f>
        <v/>
      </c>
      <c r="B1573" s="32">
        <f>IF($A1573=1,$E1573&amp;"/5","")</f>
        <v/>
      </c>
      <c r="C1573" s="32">
        <f>IF($A1573=1,"J-"&amp;Supplier_Invoices!$A73,"")</f>
        <v/>
      </c>
      <c r="D1573" s="33">
        <f>IF($A1573=1,Supplier_Invoices!$E73,"")</f>
        <v/>
      </c>
      <c r="E1573" s="32">
        <f>IF($A1573=1,IF(Supplier_Invoices!$A73="","",Supplier_Invoices!$A73),"")</f>
        <v/>
      </c>
      <c r="F1573" s="32">
        <f>IF($A1573=1,"SINV","")</f>
        <v/>
      </c>
      <c r="G1573" s="32">
        <f>IF($A1573=1,IF(Supplier_Invoices!$AA73="","",Supplier_Invoices!$AA73),"")</f>
        <v/>
      </c>
      <c r="H1573" s="32">
        <f>IF($A1573=1,IF(COUNTIF(COA!$A:$A,$G1573)=0,"حساب غير معرف",INDEX(COA!$B:$B,MATCH($G1573,COA!$A:$A,0))),"")</f>
        <v/>
      </c>
      <c r="I1573" s="32">
        <f>IF($A1573=1,IF(Supplier_Invoices!$H73="","",Supplier_Invoices!$H73),"")</f>
        <v/>
      </c>
      <c r="J1573" s="32">
        <f>IF($A1573=1,"CC00","")</f>
        <v/>
      </c>
      <c r="K1573" s="32">
        <f>IF($A1573=1,"-","")</f>
        <v/>
      </c>
      <c r="L1573" s="32">
        <f>IF($A1573=1,"سداد فوري - "&amp;Supplier_Invoices!$F73&amp;" "&amp;Supplier_Invoices!$B73&amp;" - "&amp;Supplier_Invoices!$C73,"")</f>
        <v/>
      </c>
      <c r="M1573" s="43">
        <f>IF($A1573=1,0,"")</f>
        <v/>
      </c>
      <c r="N1573" s="43">
        <f>IF($A1573=1,Supplier_Invoices!$W73,"")</f>
        <v/>
      </c>
      <c r="O1573" s="32">
        <f>IF($A1573=1,Supplier_Invoices!$O73,"")</f>
        <v/>
      </c>
      <c r="P1573" s="32">
        <f>IF($A1573=1,IF(Supplier_Invoices!$AE73="","",Supplier_Invoices!$AE73),"")</f>
        <v/>
      </c>
      <c r="Q1573" s="32">
        <f>IF($A1573=1,Supplier_Invoices!$AG73,"")</f>
        <v/>
      </c>
      <c r="R1573" s="32">
        <f>IF($A1573=1,IF(AND($Q1573=1,COUNTIFS(COA!$A:$A,$G1573,COA!$R:$R,1)=1),1,0),"")</f>
        <v/>
      </c>
      <c r="S1573" s="43">
        <f>IF($A1573=1,IF($R1573=1,N($M1573),0),"")</f>
        <v/>
      </c>
      <c r="T1573" s="43">
        <f>IF($A1573=1,IF($R1573=1,N($N1573),0),"")</f>
        <v/>
      </c>
      <c r="U1573" s="32">
        <f>IF($A1573=1,YEAR($D1573)*100+MONTH($D1573),"")</f>
        <v/>
      </c>
      <c r="V1573" s="32">
        <f>IF($A1573=1,IF(COUNTIF(COA!$A:$A,$G1573)=0,0,INDEX(COA!$H:$H,MATCH($G1573,COA!$A:$A,0))),"")</f>
        <v/>
      </c>
      <c r="W1573" s="32">
        <f>IF($A1573=1,IF(Supplier_Invoices!$AB73="","",Supplier_Invoices!$AB73),"")</f>
        <v/>
      </c>
      <c r="X1573" s="32">
        <f>IF($A1573=1,IF($R1573=1,"",IF($O1573=ST_POST,IF($P1573&lt;&gt;"",$P1573,"حساب غير صالح أو غير نشط"),IF($O1573=ST_REV,"معكوس: لا أثر على الدفاتر",IF($O1573=ST_CANC,"ملغى",IF($O1573=ST_APPR,"معتمد ولم يُرحَّل","مسودة"))))),"")</f>
        <v/>
      </c>
      <c r="Y1573" s="32">
        <f>IF($A1573=1,IF(AND($R1573=1,OR(LG_Acct="",$G1573=LG_Acct),OR(LG_Party="",$K1573=LG_Party),OR(LG_Loc="ALL",$I1573=LG_Loc),OR(LG_CC="ALL",$J1573=LG_CC),$D1573&gt;=LG_From,$D1573&lt;=LG_To),$D1573+ROW()/1000000,""),"")</f>
        <v/>
      </c>
      <c r="Z1573" s="32">
        <f>IF($A1573=1,IF(Supplier_Invoices!$P73="","",Supplier_Invoices!$P73),"")</f>
        <v/>
      </c>
      <c r="AA1573" s="32">
        <f>IF($A1573=1,IF(Supplier_Invoices!$Q73="","",Supplier_Invoices!$Q73),"")</f>
        <v/>
      </c>
      <c r="AB1573" s="32">
        <f>IF($A1573=1,IF(Supplier_Invoices!$R73="","",Supplier_Invoices!$R73),"")</f>
        <v/>
      </c>
      <c r="AC1573" s="32">
        <f>IF($A1573=1,IF(Supplier_Invoices!$S73="","",Supplier_Invoices!$S73),"")</f>
        <v/>
      </c>
      <c r="AD1573" s="32">
        <f>IF($A1573=1,IF(Supplier_Invoices!$T73="","",Supplier_Invoices!$T73),"")</f>
        <v/>
      </c>
      <c r="AE1573" s="32">
        <f>IF($A1573=1,0,"")</f>
        <v/>
      </c>
      <c r="AF1573" s="32" t="inlineStr"/>
    </row>
    <row r="1574">
      <c r="A1574" s="32">
        <f>IF(AND(Supplier_Invoices!$AD74=1,N(Supplier_Invoices!$J74)&gt;0),1,0)</f>
        <v/>
      </c>
      <c r="B1574" s="32">
        <f>IF($A1574=1,$E1574&amp;"/1","")</f>
        <v/>
      </c>
      <c r="C1574" s="32">
        <f>IF($A1574=1,"J-"&amp;Supplier_Invoices!$A74,"")</f>
        <v/>
      </c>
      <c r="D1574" s="33">
        <f>IF($A1574=1,Supplier_Invoices!$E74,"")</f>
        <v/>
      </c>
      <c r="E1574" s="32">
        <f>IF($A1574=1,IF(Supplier_Invoices!$A74="","",Supplier_Invoices!$A74),"")</f>
        <v/>
      </c>
      <c r="F1574" s="32">
        <f>IF($A1574=1,"SINV","")</f>
        <v/>
      </c>
      <c r="G1574" s="32">
        <f>IF($A1574=1,IF(Supplier_Invoices!$G74="","",Supplier_Invoices!$G74),"")</f>
        <v/>
      </c>
      <c r="H1574" s="32">
        <f>IF($A1574=1,IF(COUNTIF(COA!$A:$A,$G1574)=0,"حساب غير معرف",INDEX(COA!$B:$B,MATCH($G1574,COA!$A:$A,0))),"")</f>
        <v/>
      </c>
      <c r="I1574" s="32">
        <f>IF($A1574=1,IF(Supplier_Invoices!$H74="","",Supplier_Invoices!$H74),"")</f>
        <v/>
      </c>
      <c r="J1574" s="32">
        <f>IF($A1574=1,IF(Supplier_Invoices!$I74="","",Supplier_Invoices!$I74),"")</f>
        <v/>
      </c>
      <c r="K1574" s="32">
        <f>IF($A1574=1,"-","")</f>
        <v/>
      </c>
      <c r="L1574" s="32">
        <f>IF($A1574=1,Supplier_Invoices!$F74&amp;" "&amp;Supplier_Invoices!$B74&amp;" - "&amp;Supplier_Invoices!$C74,"")</f>
        <v/>
      </c>
      <c r="M1574" s="43">
        <f>IF($A1574=1,IF(Supplier_Invoices!$V74="CN",0,Supplier_Invoices!$J74),"")</f>
        <v/>
      </c>
      <c r="N1574" s="43">
        <f>IF($A1574=1,IF(Supplier_Invoices!$V74="CN",Supplier_Invoices!$J74,0),"")</f>
        <v/>
      </c>
      <c r="O1574" s="32">
        <f>IF($A1574=1,Supplier_Invoices!$O74,"")</f>
        <v/>
      </c>
      <c r="P1574" s="32">
        <f>IF($A1574=1,IF(Supplier_Invoices!$AE74="","",Supplier_Invoices!$AE74),"")</f>
        <v/>
      </c>
      <c r="Q1574" s="32">
        <f>IF($A1574=1,Supplier_Invoices!$AG74,"")</f>
        <v/>
      </c>
      <c r="R1574" s="32">
        <f>IF($A1574=1,IF(AND($Q1574=1,COUNTIFS(COA!$A:$A,$G1574,COA!$R:$R,1)=1),1,0),"")</f>
        <v/>
      </c>
      <c r="S1574" s="43">
        <f>IF($A1574=1,IF($R1574=1,N($M1574),0),"")</f>
        <v/>
      </c>
      <c r="T1574" s="43">
        <f>IF($A1574=1,IF($R1574=1,N($N1574),0),"")</f>
        <v/>
      </c>
      <c r="U1574" s="32">
        <f>IF($A1574=1,YEAR($D1574)*100+MONTH($D1574),"")</f>
        <v/>
      </c>
      <c r="V1574" s="32">
        <f>IF($A1574=1,IF(COUNTIF(COA!$A:$A,$G1574)=0,0,INDEX(COA!$H:$H,MATCH($G1574,COA!$A:$A,0))),"")</f>
        <v/>
      </c>
      <c r="W1574" s="32">
        <f>IF($A1574=1,"","")</f>
        <v/>
      </c>
      <c r="X1574" s="32">
        <f>IF($A1574=1,IF($R1574=1,"",IF($O1574=ST_POST,IF($P1574&lt;&gt;"",$P1574,"حساب غير صالح أو غير نشط"),IF($O1574=ST_REV,"معكوس: لا أثر على الدفاتر",IF($O1574=ST_CANC,"ملغى",IF($O1574=ST_APPR,"معتمد ولم يُرحَّل","مسودة"))))),"")</f>
        <v/>
      </c>
      <c r="Y1574" s="32">
        <f>IF($A1574=1,IF(AND($R1574=1,OR(LG_Acct="",$G1574=LG_Acct),OR(LG_Party="",$K1574=LG_Party),OR(LG_Loc="ALL",$I1574=LG_Loc),OR(LG_CC="ALL",$J1574=LG_CC),$D1574&gt;=LG_From,$D1574&lt;=LG_To),$D1574+ROW()/1000000,""),"")</f>
        <v/>
      </c>
      <c r="Z1574" s="32">
        <f>IF($A1574=1,IF(Supplier_Invoices!$P74="","",Supplier_Invoices!$P74),"")</f>
        <v/>
      </c>
      <c r="AA1574" s="32">
        <f>IF($A1574=1,IF(Supplier_Invoices!$Q74="","",Supplier_Invoices!$Q74),"")</f>
        <v/>
      </c>
      <c r="AB1574" s="32">
        <f>IF($A1574=1,IF(Supplier_Invoices!$R74="","",Supplier_Invoices!$R74),"")</f>
        <v/>
      </c>
      <c r="AC1574" s="32">
        <f>IF($A1574=1,IF(Supplier_Invoices!$S74="","",Supplier_Invoices!$S74),"")</f>
        <v/>
      </c>
      <c r="AD1574" s="32">
        <f>IF($A1574=1,IF(Supplier_Invoices!$T74="","",Supplier_Invoices!$T74),"")</f>
        <v/>
      </c>
      <c r="AE1574" s="32">
        <f>IF($A1574=1,0,"")</f>
        <v/>
      </c>
      <c r="AF1574" s="32" t="inlineStr"/>
    </row>
    <row r="1575">
      <c r="A1575" s="32">
        <f>IF(AND(Supplier_Invoices!$AD74=1,N(Supplier_Invoices!$K74)&gt;0),1,0)</f>
        <v/>
      </c>
      <c r="B1575" s="32">
        <f>IF($A1575=1,$E1575&amp;"/2","")</f>
        <v/>
      </c>
      <c r="C1575" s="32">
        <f>IF($A1575=1,"J-"&amp;Supplier_Invoices!$A74,"")</f>
        <v/>
      </c>
      <c r="D1575" s="33">
        <f>IF($A1575=1,Supplier_Invoices!$E74,"")</f>
        <v/>
      </c>
      <c r="E1575" s="32">
        <f>IF($A1575=1,IF(Supplier_Invoices!$A74="","",Supplier_Invoices!$A74),"")</f>
        <v/>
      </c>
      <c r="F1575" s="32">
        <f>IF($A1575=1,"SINV","")</f>
        <v/>
      </c>
      <c r="G1575" s="32">
        <f>IF($A1575=1,ACC_VAT_IN,"")</f>
        <v/>
      </c>
      <c r="H1575" s="32">
        <f>IF($A1575=1,IF(COUNTIF(COA!$A:$A,$G1575)=0,"حساب غير معرف",INDEX(COA!$B:$B,MATCH($G1575,COA!$A:$A,0))),"")</f>
        <v/>
      </c>
      <c r="I1575" s="32">
        <f>IF($A1575=1,IF(Supplier_Invoices!$H74="","",Supplier_Invoices!$H74),"")</f>
        <v/>
      </c>
      <c r="J1575" s="32">
        <f>IF($A1575=1,IF(Supplier_Invoices!$I74="","",Supplier_Invoices!$I74),"")</f>
        <v/>
      </c>
      <c r="K1575" s="32">
        <f>IF($A1575=1,"-","")</f>
        <v/>
      </c>
      <c r="L1575" s="32">
        <f>IF($A1575=1,"ضريبة قيمة مضافة - مدخلات","")</f>
        <v/>
      </c>
      <c r="M1575" s="43">
        <f>IF($A1575=1,IF(Supplier_Invoices!$V74="CN",0,Supplier_Invoices!$K74),"")</f>
        <v/>
      </c>
      <c r="N1575" s="43">
        <f>IF($A1575=1,IF(Supplier_Invoices!$V74="CN",Supplier_Invoices!$K74,0),"")</f>
        <v/>
      </c>
      <c r="O1575" s="32">
        <f>IF($A1575=1,Supplier_Invoices!$O74,"")</f>
        <v/>
      </c>
      <c r="P1575" s="32">
        <f>IF($A1575=1,IF(Supplier_Invoices!$AE74="","",Supplier_Invoices!$AE74),"")</f>
        <v/>
      </c>
      <c r="Q1575" s="32">
        <f>IF($A1575=1,Supplier_Invoices!$AG74,"")</f>
        <v/>
      </c>
      <c r="R1575" s="32">
        <f>IF($A1575=1,IF(AND($Q1575=1,COUNTIFS(COA!$A:$A,$G1575,COA!$R:$R,1)=1),1,0),"")</f>
        <v/>
      </c>
      <c r="S1575" s="43">
        <f>IF($A1575=1,IF($R1575=1,N($M1575),0),"")</f>
        <v/>
      </c>
      <c r="T1575" s="43">
        <f>IF($A1575=1,IF($R1575=1,N($N1575),0),"")</f>
        <v/>
      </c>
      <c r="U1575" s="32">
        <f>IF($A1575=1,YEAR($D1575)*100+MONTH($D1575),"")</f>
        <v/>
      </c>
      <c r="V1575" s="32">
        <f>IF($A1575=1,IF(COUNTIF(COA!$A:$A,$G1575)=0,0,INDEX(COA!$H:$H,MATCH($G1575,COA!$A:$A,0))),"")</f>
        <v/>
      </c>
      <c r="W1575" s="32">
        <f>IF($A1575=1,"","")</f>
        <v/>
      </c>
      <c r="X1575" s="32">
        <f>IF($A1575=1,IF($R1575=1,"",IF($O1575=ST_POST,IF($P1575&lt;&gt;"",$P1575,"حساب غير صالح أو غير نشط"),IF($O1575=ST_REV,"معكوس: لا أثر على الدفاتر",IF($O1575=ST_CANC,"ملغى",IF($O1575=ST_APPR,"معتمد ولم يُرحَّل","مسودة"))))),"")</f>
        <v/>
      </c>
      <c r="Y1575" s="32">
        <f>IF($A1575=1,IF(AND($R1575=1,OR(LG_Acct="",$G1575=LG_Acct),OR(LG_Party="",$K1575=LG_Party),OR(LG_Loc="ALL",$I1575=LG_Loc),OR(LG_CC="ALL",$J1575=LG_CC),$D1575&gt;=LG_From,$D1575&lt;=LG_To),$D1575+ROW()/1000000,""),"")</f>
        <v/>
      </c>
      <c r="Z1575" s="32">
        <f>IF($A1575=1,IF(Supplier_Invoices!$P74="","",Supplier_Invoices!$P74),"")</f>
        <v/>
      </c>
      <c r="AA1575" s="32">
        <f>IF($A1575=1,IF(Supplier_Invoices!$Q74="","",Supplier_Invoices!$Q74),"")</f>
        <v/>
      </c>
      <c r="AB1575" s="32">
        <f>IF($A1575=1,IF(Supplier_Invoices!$R74="","",Supplier_Invoices!$R74),"")</f>
        <v/>
      </c>
      <c r="AC1575" s="32">
        <f>IF($A1575=1,IF(Supplier_Invoices!$S74="","",Supplier_Invoices!$S74),"")</f>
        <v/>
      </c>
      <c r="AD1575" s="32">
        <f>IF($A1575=1,IF(Supplier_Invoices!$T74="","",Supplier_Invoices!$T74),"")</f>
        <v/>
      </c>
      <c r="AE1575" s="32">
        <f>IF($A1575=1,0,"")</f>
        <v/>
      </c>
      <c r="AF1575" s="32" t="inlineStr"/>
    </row>
    <row r="1576">
      <c r="A1576" s="32">
        <f>IF(AND(Supplier_Invoices!$AD74=1,N(Supplier_Invoices!$W74)&gt;0),1,0)</f>
        <v/>
      </c>
      <c r="B1576" s="32">
        <f>IF($A1576=1,$E1576&amp;"/3","")</f>
        <v/>
      </c>
      <c r="C1576" s="32">
        <f>IF($A1576=1,"J-"&amp;Supplier_Invoices!$A74,"")</f>
        <v/>
      </c>
      <c r="D1576" s="33">
        <f>IF($A1576=1,Supplier_Invoices!$E74,"")</f>
        <v/>
      </c>
      <c r="E1576" s="32">
        <f>IF($A1576=1,IF(Supplier_Invoices!$A74="","",Supplier_Invoices!$A74),"")</f>
        <v/>
      </c>
      <c r="F1576" s="32">
        <f>IF($A1576=1,"SINV","")</f>
        <v/>
      </c>
      <c r="G1576" s="32">
        <f>IF($A1576=1,ACC_SUPPLIERS,"")</f>
        <v/>
      </c>
      <c r="H1576" s="32">
        <f>IF($A1576=1,IF(COUNTIF(COA!$A:$A,$G1576)=0,"حساب غير معرف",INDEX(COA!$B:$B,MATCH($G1576,COA!$A:$A,0))),"")</f>
        <v/>
      </c>
      <c r="I1576" s="32">
        <f>IF($A1576=1,IF(Supplier_Invoices!$H74="","",Supplier_Invoices!$H74),"")</f>
        <v/>
      </c>
      <c r="J1576" s="32">
        <f>IF($A1576=1,"CC00","")</f>
        <v/>
      </c>
      <c r="K1576" s="32">
        <f>IF($A1576=1,IF(Supplier_Invoices!$C74="","",Supplier_Invoices!$C74),"")</f>
        <v/>
      </c>
      <c r="L1576" s="32">
        <f>IF($A1576=1,Supplier_Invoices!$F74&amp;" "&amp;Supplier_Invoices!$B74&amp;" - "&amp;Supplier_Invoices!$C74,"")</f>
        <v/>
      </c>
      <c r="M1576" s="43">
        <f>IF($A1576=1,IF(Supplier_Invoices!$V74="CN",Supplier_Invoices!$W74,0),"")</f>
        <v/>
      </c>
      <c r="N1576" s="43">
        <f>IF($A1576=1,IF(Supplier_Invoices!$V74="CN",0,Supplier_Invoices!$W74),"")</f>
        <v/>
      </c>
      <c r="O1576" s="32">
        <f>IF($A1576=1,Supplier_Invoices!$O74,"")</f>
        <v/>
      </c>
      <c r="P1576" s="32">
        <f>IF($A1576=1,IF(Supplier_Invoices!$AE74="","",Supplier_Invoices!$AE74),"")</f>
        <v/>
      </c>
      <c r="Q1576" s="32">
        <f>IF($A1576=1,Supplier_Invoices!$AG74,"")</f>
        <v/>
      </c>
      <c r="R1576" s="32">
        <f>IF($A1576=1,IF(AND($Q1576=1,COUNTIFS(COA!$A:$A,$G1576,COA!$R:$R,1)=1),1,0),"")</f>
        <v/>
      </c>
      <c r="S1576" s="43">
        <f>IF($A1576=1,IF($R1576=1,N($M1576),0),"")</f>
        <v/>
      </c>
      <c r="T1576" s="43">
        <f>IF($A1576=1,IF($R1576=1,N($N1576),0),"")</f>
        <v/>
      </c>
      <c r="U1576" s="32">
        <f>IF($A1576=1,YEAR($D1576)*100+MONTH($D1576),"")</f>
        <v/>
      </c>
      <c r="V1576" s="32">
        <f>IF($A1576=1,IF(COUNTIF(COA!$A:$A,$G1576)=0,0,INDEX(COA!$H:$H,MATCH($G1576,COA!$A:$A,0))),"")</f>
        <v/>
      </c>
      <c r="W1576" s="32">
        <f>IF($A1576=1,"","")</f>
        <v/>
      </c>
      <c r="X1576" s="32">
        <f>IF($A1576=1,IF($R1576=1,"",IF($O1576=ST_POST,IF($P1576&lt;&gt;"",$P1576,"حساب غير صالح أو غير نشط"),IF($O1576=ST_REV,"معكوس: لا أثر على الدفاتر",IF($O1576=ST_CANC,"ملغى",IF($O1576=ST_APPR,"معتمد ولم يُرحَّل","مسودة"))))),"")</f>
        <v/>
      </c>
      <c r="Y1576" s="32">
        <f>IF($A1576=1,IF(AND($R1576=1,OR(LG_Acct="",$G1576=LG_Acct),OR(LG_Party="",$K1576=LG_Party),OR(LG_Loc="ALL",$I1576=LG_Loc),OR(LG_CC="ALL",$J1576=LG_CC),$D1576&gt;=LG_From,$D1576&lt;=LG_To),$D1576+ROW()/1000000,""),"")</f>
        <v/>
      </c>
      <c r="Z1576" s="32">
        <f>IF($A1576=1,IF(Supplier_Invoices!$P74="","",Supplier_Invoices!$P74),"")</f>
        <v/>
      </c>
      <c r="AA1576" s="32">
        <f>IF($A1576=1,IF(Supplier_Invoices!$Q74="","",Supplier_Invoices!$Q74),"")</f>
        <v/>
      </c>
      <c r="AB1576" s="32">
        <f>IF($A1576=1,IF(Supplier_Invoices!$R74="","",Supplier_Invoices!$R74),"")</f>
        <v/>
      </c>
      <c r="AC1576" s="32">
        <f>IF($A1576=1,IF(Supplier_Invoices!$S74="","",Supplier_Invoices!$S74),"")</f>
        <v/>
      </c>
      <c r="AD1576" s="32">
        <f>IF($A1576=1,IF(Supplier_Invoices!$T74="","",Supplier_Invoices!$T74),"")</f>
        <v/>
      </c>
      <c r="AE1576" s="32">
        <f>IF($A1576=1,0,"")</f>
        <v/>
      </c>
      <c r="AF1576" s="32" t="inlineStr"/>
    </row>
    <row r="1577">
      <c r="A1577" s="32">
        <f>IF(AND(Supplier_Invoices!$AD74=1,Supplier_Invoices!$L74&lt;&gt;"",Supplier_Invoices!$V74&lt;&gt;"CN",N(Supplier_Invoices!$W74)&gt;0),1,0)</f>
        <v/>
      </c>
      <c r="B1577" s="32">
        <f>IF($A1577=1,$E1577&amp;"/4","")</f>
        <v/>
      </c>
      <c r="C1577" s="32">
        <f>IF($A1577=1,"J-"&amp;Supplier_Invoices!$A74,"")</f>
        <v/>
      </c>
      <c r="D1577" s="33">
        <f>IF($A1577=1,Supplier_Invoices!$E74,"")</f>
        <v/>
      </c>
      <c r="E1577" s="32">
        <f>IF($A1577=1,IF(Supplier_Invoices!$A74="","",Supplier_Invoices!$A74),"")</f>
        <v/>
      </c>
      <c r="F1577" s="32">
        <f>IF($A1577=1,"SINV","")</f>
        <v/>
      </c>
      <c r="G1577" s="32">
        <f>IF($A1577=1,ACC_SUPPLIERS,"")</f>
        <v/>
      </c>
      <c r="H1577" s="32">
        <f>IF($A1577=1,IF(COUNTIF(COA!$A:$A,$G1577)=0,"حساب غير معرف",INDEX(COA!$B:$B,MATCH($G1577,COA!$A:$A,0))),"")</f>
        <v/>
      </c>
      <c r="I1577" s="32">
        <f>IF($A1577=1,IF(Supplier_Invoices!$H74="","",Supplier_Invoices!$H74),"")</f>
        <v/>
      </c>
      <c r="J1577" s="32">
        <f>IF($A1577=1,"CC00","")</f>
        <v/>
      </c>
      <c r="K1577" s="32">
        <f>IF($A1577=1,IF(Supplier_Invoices!$C74="","",Supplier_Invoices!$C74),"")</f>
        <v/>
      </c>
      <c r="L1577" s="32">
        <f>IF($A1577=1,"سداد فوري - "&amp;Supplier_Invoices!$F74&amp;" "&amp;Supplier_Invoices!$B74&amp;" - "&amp;Supplier_Invoices!$C74,"")</f>
        <v/>
      </c>
      <c r="M1577" s="43">
        <f>IF($A1577=1,Supplier_Invoices!$W74,"")</f>
        <v/>
      </c>
      <c r="N1577" s="43">
        <f>IF($A1577=1,0,"")</f>
        <v/>
      </c>
      <c r="O1577" s="32">
        <f>IF($A1577=1,Supplier_Invoices!$O74,"")</f>
        <v/>
      </c>
      <c r="P1577" s="32">
        <f>IF($A1577=1,IF(Supplier_Invoices!$AE74="","",Supplier_Invoices!$AE74),"")</f>
        <v/>
      </c>
      <c r="Q1577" s="32">
        <f>IF($A1577=1,Supplier_Invoices!$AG74,"")</f>
        <v/>
      </c>
      <c r="R1577" s="32">
        <f>IF($A1577=1,IF(AND($Q1577=1,COUNTIFS(COA!$A:$A,$G1577,COA!$R:$R,1)=1),1,0),"")</f>
        <v/>
      </c>
      <c r="S1577" s="43">
        <f>IF($A1577=1,IF($R1577=1,N($M1577),0),"")</f>
        <v/>
      </c>
      <c r="T1577" s="43">
        <f>IF($A1577=1,IF($R1577=1,N($N1577),0),"")</f>
        <v/>
      </c>
      <c r="U1577" s="32">
        <f>IF($A1577=1,YEAR($D1577)*100+MONTH($D1577),"")</f>
        <v/>
      </c>
      <c r="V1577" s="32">
        <f>IF($A1577=1,IF(COUNTIF(COA!$A:$A,$G1577)=0,0,INDEX(COA!$H:$H,MATCH($G1577,COA!$A:$A,0))),"")</f>
        <v/>
      </c>
      <c r="W1577" s="32">
        <f>IF($A1577=1,"","")</f>
        <v/>
      </c>
      <c r="X1577" s="32">
        <f>IF($A1577=1,IF($R1577=1,"",IF($O1577=ST_POST,IF($P1577&lt;&gt;"",$P1577,"حساب غير صالح أو غير نشط"),IF($O1577=ST_REV,"معكوس: لا أثر على الدفاتر",IF($O1577=ST_CANC,"ملغى",IF($O1577=ST_APPR,"معتمد ولم يُرحَّل","مسودة"))))),"")</f>
        <v/>
      </c>
      <c r="Y1577" s="32">
        <f>IF($A1577=1,IF(AND($R1577=1,OR(LG_Acct="",$G1577=LG_Acct),OR(LG_Party="",$K1577=LG_Party),OR(LG_Loc="ALL",$I1577=LG_Loc),OR(LG_CC="ALL",$J1577=LG_CC),$D1577&gt;=LG_From,$D1577&lt;=LG_To),$D1577+ROW()/1000000,""),"")</f>
        <v/>
      </c>
      <c r="Z1577" s="32">
        <f>IF($A1577=1,IF(Supplier_Invoices!$P74="","",Supplier_Invoices!$P74),"")</f>
        <v/>
      </c>
      <c r="AA1577" s="32">
        <f>IF($A1577=1,IF(Supplier_Invoices!$Q74="","",Supplier_Invoices!$Q74),"")</f>
        <v/>
      </c>
      <c r="AB1577" s="32">
        <f>IF($A1577=1,IF(Supplier_Invoices!$R74="","",Supplier_Invoices!$R74),"")</f>
        <v/>
      </c>
      <c r="AC1577" s="32">
        <f>IF($A1577=1,IF(Supplier_Invoices!$S74="","",Supplier_Invoices!$S74),"")</f>
        <v/>
      </c>
      <c r="AD1577" s="32">
        <f>IF($A1577=1,IF(Supplier_Invoices!$T74="","",Supplier_Invoices!$T74),"")</f>
        <v/>
      </c>
      <c r="AE1577" s="32">
        <f>IF($A1577=1,0,"")</f>
        <v/>
      </c>
      <c r="AF1577" s="32" t="inlineStr"/>
    </row>
    <row r="1578">
      <c r="A1578" s="32">
        <f>IF(AND(Supplier_Invoices!$AD74=1,Supplier_Invoices!$L74&lt;&gt;"",Supplier_Invoices!$V74&lt;&gt;"CN",N(Supplier_Invoices!$W74)&gt;0),1,0)</f>
        <v/>
      </c>
      <c r="B1578" s="32">
        <f>IF($A1578=1,$E1578&amp;"/5","")</f>
        <v/>
      </c>
      <c r="C1578" s="32">
        <f>IF($A1578=1,"J-"&amp;Supplier_Invoices!$A74,"")</f>
        <v/>
      </c>
      <c r="D1578" s="33">
        <f>IF($A1578=1,Supplier_Invoices!$E74,"")</f>
        <v/>
      </c>
      <c r="E1578" s="32">
        <f>IF($A1578=1,IF(Supplier_Invoices!$A74="","",Supplier_Invoices!$A74),"")</f>
        <v/>
      </c>
      <c r="F1578" s="32">
        <f>IF($A1578=1,"SINV","")</f>
        <v/>
      </c>
      <c r="G1578" s="32">
        <f>IF($A1578=1,IF(Supplier_Invoices!$AA74="","",Supplier_Invoices!$AA74),"")</f>
        <v/>
      </c>
      <c r="H1578" s="32">
        <f>IF($A1578=1,IF(COUNTIF(COA!$A:$A,$G1578)=0,"حساب غير معرف",INDEX(COA!$B:$B,MATCH($G1578,COA!$A:$A,0))),"")</f>
        <v/>
      </c>
      <c r="I1578" s="32">
        <f>IF($A1578=1,IF(Supplier_Invoices!$H74="","",Supplier_Invoices!$H74),"")</f>
        <v/>
      </c>
      <c r="J1578" s="32">
        <f>IF($A1578=1,"CC00","")</f>
        <v/>
      </c>
      <c r="K1578" s="32">
        <f>IF($A1578=1,"-","")</f>
        <v/>
      </c>
      <c r="L1578" s="32">
        <f>IF($A1578=1,"سداد فوري - "&amp;Supplier_Invoices!$F74&amp;" "&amp;Supplier_Invoices!$B74&amp;" - "&amp;Supplier_Invoices!$C74,"")</f>
        <v/>
      </c>
      <c r="M1578" s="43">
        <f>IF($A1578=1,0,"")</f>
        <v/>
      </c>
      <c r="N1578" s="43">
        <f>IF($A1578=1,Supplier_Invoices!$W74,"")</f>
        <v/>
      </c>
      <c r="O1578" s="32">
        <f>IF($A1578=1,Supplier_Invoices!$O74,"")</f>
        <v/>
      </c>
      <c r="P1578" s="32">
        <f>IF($A1578=1,IF(Supplier_Invoices!$AE74="","",Supplier_Invoices!$AE74),"")</f>
        <v/>
      </c>
      <c r="Q1578" s="32">
        <f>IF($A1578=1,Supplier_Invoices!$AG74,"")</f>
        <v/>
      </c>
      <c r="R1578" s="32">
        <f>IF($A1578=1,IF(AND($Q1578=1,COUNTIFS(COA!$A:$A,$G1578,COA!$R:$R,1)=1),1,0),"")</f>
        <v/>
      </c>
      <c r="S1578" s="43">
        <f>IF($A1578=1,IF($R1578=1,N($M1578),0),"")</f>
        <v/>
      </c>
      <c r="T1578" s="43">
        <f>IF($A1578=1,IF($R1578=1,N($N1578),0),"")</f>
        <v/>
      </c>
      <c r="U1578" s="32">
        <f>IF($A1578=1,YEAR($D1578)*100+MONTH($D1578),"")</f>
        <v/>
      </c>
      <c r="V1578" s="32">
        <f>IF($A1578=1,IF(COUNTIF(COA!$A:$A,$G1578)=0,0,INDEX(COA!$H:$H,MATCH($G1578,COA!$A:$A,0))),"")</f>
        <v/>
      </c>
      <c r="W1578" s="32">
        <f>IF($A1578=1,IF(Supplier_Invoices!$AB74="","",Supplier_Invoices!$AB74),"")</f>
        <v/>
      </c>
      <c r="X1578" s="32">
        <f>IF($A1578=1,IF($R1578=1,"",IF($O1578=ST_POST,IF($P1578&lt;&gt;"",$P1578,"حساب غير صالح أو غير نشط"),IF($O1578=ST_REV,"معكوس: لا أثر على الدفاتر",IF($O1578=ST_CANC,"ملغى",IF($O1578=ST_APPR,"معتمد ولم يُرحَّل","مسودة"))))),"")</f>
        <v/>
      </c>
      <c r="Y1578" s="32">
        <f>IF($A1578=1,IF(AND($R1578=1,OR(LG_Acct="",$G1578=LG_Acct),OR(LG_Party="",$K1578=LG_Party),OR(LG_Loc="ALL",$I1578=LG_Loc),OR(LG_CC="ALL",$J1578=LG_CC),$D1578&gt;=LG_From,$D1578&lt;=LG_To),$D1578+ROW()/1000000,""),"")</f>
        <v/>
      </c>
      <c r="Z1578" s="32">
        <f>IF($A1578=1,IF(Supplier_Invoices!$P74="","",Supplier_Invoices!$P74),"")</f>
        <v/>
      </c>
      <c r="AA1578" s="32">
        <f>IF($A1578=1,IF(Supplier_Invoices!$Q74="","",Supplier_Invoices!$Q74),"")</f>
        <v/>
      </c>
      <c r="AB1578" s="32">
        <f>IF($A1578=1,IF(Supplier_Invoices!$R74="","",Supplier_Invoices!$R74),"")</f>
        <v/>
      </c>
      <c r="AC1578" s="32">
        <f>IF($A1578=1,IF(Supplier_Invoices!$S74="","",Supplier_Invoices!$S74),"")</f>
        <v/>
      </c>
      <c r="AD1578" s="32">
        <f>IF($A1578=1,IF(Supplier_Invoices!$T74="","",Supplier_Invoices!$T74),"")</f>
        <v/>
      </c>
      <c r="AE1578" s="32">
        <f>IF($A1578=1,0,"")</f>
        <v/>
      </c>
      <c r="AF1578" s="32" t="inlineStr"/>
    </row>
    <row r="1579">
      <c r="A1579" s="32">
        <f>IF(AND(Supplier_Invoices!$AD75=1,N(Supplier_Invoices!$J75)&gt;0),1,0)</f>
        <v/>
      </c>
      <c r="B1579" s="32">
        <f>IF($A1579=1,$E1579&amp;"/1","")</f>
        <v/>
      </c>
      <c r="C1579" s="32">
        <f>IF($A1579=1,"J-"&amp;Supplier_Invoices!$A75,"")</f>
        <v/>
      </c>
      <c r="D1579" s="33">
        <f>IF($A1579=1,Supplier_Invoices!$E75,"")</f>
        <v/>
      </c>
      <c r="E1579" s="32">
        <f>IF($A1579=1,IF(Supplier_Invoices!$A75="","",Supplier_Invoices!$A75),"")</f>
        <v/>
      </c>
      <c r="F1579" s="32">
        <f>IF($A1579=1,"SINV","")</f>
        <v/>
      </c>
      <c r="G1579" s="32">
        <f>IF($A1579=1,IF(Supplier_Invoices!$G75="","",Supplier_Invoices!$G75),"")</f>
        <v/>
      </c>
      <c r="H1579" s="32">
        <f>IF($A1579=1,IF(COUNTIF(COA!$A:$A,$G1579)=0,"حساب غير معرف",INDEX(COA!$B:$B,MATCH($G1579,COA!$A:$A,0))),"")</f>
        <v/>
      </c>
      <c r="I1579" s="32">
        <f>IF($A1579=1,IF(Supplier_Invoices!$H75="","",Supplier_Invoices!$H75),"")</f>
        <v/>
      </c>
      <c r="J1579" s="32">
        <f>IF($A1579=1,IF(Supplier_Invoices!$I75="","",Supplier_Invoices!$I75),"")</f>
        <v/>
      </c>
      <c r="K1579" s="32">
        <f>IF($A1579=1,"-","")</f>
        <v/>
      </c>
      <c r="L1579" s="32">
        <f>IF($A1579=1,Supplier_Invoices!$F75&amp;" "&amp;Supplier_Invoices!$B75&amp;" - "&amp;Supplier_Invoices!$C75,"")</f>
        <v/>
      </c>
      <c r="M1579" s="43">
        <f>IF($A1579=1,IF(Supplier_Invoices!$V75="CN",0,Supplier_Invoices!$J75),"")</f>
        <v/>
      </c>
      <c r="N1579" s="43">
        <f>IF($A1579=1,IF(Supplier_Invoices!$V75="CN",Supplier_Invoices!$J75,0),"")</f>
        <v/>
      </c>
      <c r="O1579" s="32">
        <f>IF($A1579=1,Supplier_Invoices!$O75,"")</f>
        <v/>
      </c>
      <c r="P1579" s="32">
        <f>IF($A1579=1,IF(Supplier_Invoices!$AE75="","",Supplier_Invoices!$AE75),"")</f>
        <v/>
      </c>
      <c r="Q1579" s="32">
        <f>IF($A1579=1,Supplier_Invoices!$AG75,"")</f>
        <v/>
      </c>
      <c r="R1579" s="32">
        <f>IF($A1579=1,IF(AND($Q1579=1,COUNTIFS(COA!$A:$A,$G1579,COA!$R:$R,1)=1),1,0),"")</f>
        <v/>
      </c>
      <c r="S1579" s="43">
        <f>IF($A1579=1,IF($R1579=1,N($M1579),0),"")</f>
        <v/>
      </c>
      <c r="T1579" s="43">
        <f>IF($A1579=1,IF($R1579=1,N($N1579),0),"")</f>
        <v/>
      </c>
      <c r="U1579" s="32">
        <f>IF($A1579=1,YEAR($D1579)*100+MONTH($D1579),"")</f>
        <v/>
      </c>
      <c r="V1579" s="32">
        <f>IF($A1579=1,IF(COUNTIF(COA!$A:$A,$G1579)=0,0,INDEX(COA!$H:$H,MATCH($G1579,COA!$A:$A,0))),"")</f>
        <v/>
      </c>
      <c r="W1579" s="32">
        <f>IF($A1579=1,"","")</f>
        <v/>
      </c>
      <c r="X1579" s="32">
        <f>IF($A1579=1,IF($R1579=1,"",IF($O1579=ST_POST,IF($P1579&lt;&gt;"",$P1579,"حساب غير صالح أو غير نشط"),IF($O1579=ST_REV,"معكوس: لا أثر على الدفاتر",IF($O1579=ST_CANC,"ملغى",IF($O1579=ST_APPR,"معتمد ولم يُرحَّل","مسودة"))))),"")</f>
        <v/>
      </c>
      <c r="Y1579" s="32">
        <f>IF($A1579=1,IF(AND($R1579=1,OR(LG_Acct="",$G1579=LG_Acct),OR(LG_Party="",$K1579=LG_Party),OR(LG_Loc="ALL",$I1579=LG_Loc),OR(LG_CC="ALL",$J1579=LG_CC),$D1579&gt;=LG_From,$D1579&lt;=LG_To),$D1579+ROW()/1000000,""),"")</f>
        <v/>
      </c>
      <c r="Z1579" s="32">
        <f>IF($A1579=1,IF(Supplier_Invoices!$P75="","",Supplier_Invoices!$P75),"")</f>
        <v/>
      </c>
      <c r="AA1579" s="32">
        <f>IF($A1579=1,IF(Supplier_Invoices!$Q75="","",Supplier_Invoices!$Q75),"")</f>
        <v/>
      </c>
      <c r="AB1579" s="32">
        <f>IF($A1579=1,IF(Supplier_Invoices!$R75="","",Supplier_Invoices!$R75),"")</f>
        <v/>
      </c>
      <c r="AC1579" s="32">
        <f>IF($A1579=1,IF(Supplier_Invoices!$S75="","",Supplier_Invoices!$S75),"")</f>
        <v/>
      </c>
      <c r="AD1579" s="32">
        <f>IF($A1579=1,IF(Supplier_Invoices!$T75="","",Supplier_Invoices!$T75),"")</f>
        <v/>
      </c>
      <c r="AE1579" s="32">
        <f>IF($A1579=1,0,"")</f>
        <v/>
      </c>
      <c r="AF1579" s="32" t="inlineStr"/>
    </row>
    <row r="1580">
      <c r="A1580" s="32">
        <f>IF(AND(Supplier_Invoices!$AD75=1,N(Supplier_Invoices!$K75)&gt;0),1,0)</f>
        <v/>
      </c>
      <c r="B1580" s="32">
        <f>IF($A1580=1,$E1580&amp;"/2","")</f>
        <v/>
      </c>
      <c r="C1580" s="32">
        <f>IF($A1580=1,"J-"&amp;Supplier_Invoices!$A75,"")</f>
        <v/>
      </c>
      <c r="D1580" s="33">
        <f>IF($A1580=1,Supplier_Invoices!$E75,"")</f>
        <v/>
      </c>
      <c r="E1580" s="32">
        <f>IF($A1580=1,IF(Supplier_Invoices!$A75="","",Supplier_Invoices!$A75),"")</f>
        <v/>
      </c>
      <c r="F1580" s="32">
        <f>IF($A1580=1,"SINV","")</f>
        <v/>
      </c>
      <c r="G1580" s="32">
        <f>IF($A1580=1,ACC_VAT_IN,"")</f>
        <v/>
      </c>
      <c r="H1580" s="32">
        <f>IF($A1580=1,IF(COUNTIF(COA!$A:$A,$G1580)=0,"حساب غير معرف",INDEX(COA!$B:$B,MATCH($G1580,COA!$A:$A,0))),"")</f>
        <v/>
      </c>
      <c r="I1580" s="32">
        <f>IF($A1580=1,IF(Supplier_Invoices!$H75="","",Supplier_Invoices!$H75),"")</f>
        <v/>
      </c>
      <c r="J1580" s="32">
        <f>IF($A1580=1,IF(Supplier_Invoices!$I75="","",Supplier_Invoices!$I75),"")</f>
        <v/>
      </c>
      <c r="K1580" s="32">
        <f>IF($A1580=1,"-","")</f>
        <v/>
      </c>
      <c r="L1580" s="32">
        <f>IF($A1580=1,"ضريبة قيمة مضافة - مدخلات","")</f>
        <v/>
      </c>
      <c r="M1580" s="43">
        <f>IF($A1580=1,IF(Supplier_Invoices!$V75="CN",0,Supplier_Invoices!$K75),"")</f>
        <v/>
      </c>
      <c r="N1580" s="43">
        <f>IF($A1580=1,IF(Supplier_Invoices!$V75="CN",Supplier_Invoices!$K75,0),"")</f>
        <v/>
      </c>
      <c r="O1580" s="32">
        <f>IF($A1580=1,Supplier_Invoices!$O75,"")</f>
        <v/>
      </c>
      <c r="P1580" s="32">
        <f>IF($A1580=1,IF(Supplier_Invoices!$AE75="","",Supplier_Invoices!$AE75),"")</f>
        <v/>
      </c>
      <c r="Q1580" s="32">
        <f>IF($A1580=1,Supplier_Invoices!$AG75,"")</f>
        <v/>
      </c>
      <c r="R1580" s="32">
        <f>IF($A1580=1,IF(AND($Q1580=1,COUNTIFS(COA!$A:$A,$G1580,COA!$R:$R,1)=1),1,0),"")</f>
        <v/>
      </c>
      <c r="S1580" s="43">
        <f>IF($A1580=1,IF($R1580=1,N($M1580),0),"")</f>
        <v/>
      </c>
      <c r="T1580" s="43">
        <f>IF($A1580=1,IF($R1580=1,N($N1580),0),"")</f>
        <v/>
      </c>
      <c r="U1580" s="32">
        <f>IF($A1580=1,YEAR($D1580)*100+MONTH($D1580),"")</f>
        <v/>
      </c>
      <c r="V1580" s="32">
        <f>IF($A1580=1,IF(COUNTIF(COA!$A:$A,$G1580)=0,0,INDEX(COA!$H:$H,MATCH($G1580,COA!$A:$A,0))),"")</f>
        <v/>
      </c>
      <c r="W1580" s="32">
        <f>IF($A1580=1,"","")</f>
        <v/>
      </c>
      <c r="X1580" s="32">
        <f>IF($A1580=1,IF($R1580=1,"",IF($O1580=ST_POST,IF($P1580&lt;&gt;"",$P1580,"حساب غير صالح أو غير نشط"),IF($O1580=ST_REV,"معكوس: لا أثر على الدفاتر",IF($O1580=ST_CANC,"ملغى",IF($O1580=ST_APPR,"معتمد ولم يُرحَّل","مسودة"))))),"")</f>
        <v/>
      </c>
      <c r="Y1580" s="32">
        <f>IF($A1580=1,IF(AND($R1580=1,OR(LG_Acct="",$G1580=LG_Acct),OR(LG_Party="",$K1580=LG_Party),OR(LG_Loc="ALL",$I1580=LG_Loc),OR(LG_CC="ALL",$J1580=LG_CC),$D1580&gt;=LG_From,$D1580&lt;=LG_To),$D1580+ROW()/1000000,""),"")</f>
        <v/>
      </c>
      <c r="Z1580" s="32">
        <f>IF($A1580=1,IF(Supplier_Invoices!$P75="","",Supplier_Invoices!$P75),"")</f>
        <v/>
      </c>
      <c r="AA1580" s="32">
        <f>IF($A1580=1,IF(Supplier_Invoices!$Q75="","",Supplier_Invoices!$Q75),"")</f>
        <v/>
      </c>
      <c r="AB1580" s="32">
        <f>IF($A1580=1,IF(Supplier_Invoices!$R75="","",Supplier_Invoices!$R75),"")</f>
        <v/>
      </c>
      <c r="AC1580" s="32">
        <f>IF($A1580=1,IF(Supplier_Invoices!$S75="","",Supplier_Invoices!$S75),"")</f>
        <v/>
      </c>
      <c r="AD1580" s="32">
        <f>IF($A1580=1,IF(Supplier_Invoices!$T75="","",Supplier_Invoices!$T75),"")</f>
        <v/>
      </c>
      <c r="AE1580" s="32">
        <f>IF($A1580=1,0,"")</f>
        <v/>
      </c>
      <c r="AF1580" s="32" t="inlineStr"/>
    </row>
    <row r="1581">
      <c r="A1581" s="32">
        <f>IF(AND(Supplier_Invoices!$AD75=1,N(Supplier_Invoices!$W75)&gt;0),1,0)</f>
        <v/>
      </c>
      <c r="B1581" s="32">
        <f>IF($A1581=1,$E1581&amp;"/3","")</f>
        <v/>
      </c>
      <c r="C1581" s="32">
        <f>IF($A1581=1,"J-"&amp;Supplier_Invoices!$A75,"")</f>
        <v/>
      </c>
      <c r="D1581" s="33">
        <f>IF($A1581=1,Supplier_Invoices!$E75,"")</f>
        <v/>
      </c>
      <c r="E1581" s="32">
        <f>IF($A1581=1,IF(Supplier_Invoices!$A75="","",Supplier_Invoices!$A75),"")</f>
        <v/>
      </c>
      <c r="F1581" s="32">
        <f>IF($A1581=1,"SINV","")</f>
        <v/>
      </c>
      <c r="G1581" s="32">
        <f>IF($A1581=1,ACC_SUPPLIERS,"")</f>
        <v/>
      </c>
      <c r="H1581" s="32">
        <f>IF($A1581=1,IF(COUNTIF(COA!$A:$A,$G1581)=0,"حساب غير معرف",INDEX(COA!$B:$B,MATCH($G1581,COA!$A:$A,0))),"")</f>
        <v/>
      </c>
      <c r="I1581" s="32">
        <f>IF($A1581=1,IF(Supplier_Invoices!$H75="","",Supplier_Invoices!$H75),"")</f>
        <v/>
      </c>
      <c r="J1581" s="32">
        <f>IF($A1581=1,"CC00","")</f>
        <v/>
      </c>
      <c r="K1581" s="32">
        <f>IF($A1581=1,IF(Supplier_Invoices!$C75="","",Supplier_Invoices!$C75),"")</f>
        <v/>
      </c>
      <c r="L1581" s="32">
        <f>IF($A1581=1,Supplier_Invoices!$F75&amp;" "&amp;Supplier_Invoices!$B75&amp;" - "&amp;Supplier_Invoices!$C75,"")</f>
        <v/>
      </c>
      <c r="M1581" s="43">
        <f>IF($A1581=1,IF(Supplier_Invoices!$V75="CN",Supplier_Invoices!$W75,0),"")</f>
        <v/>
      </c>
      <c r="N1581" s="43">
        <f>IF($A1581=1,IF(Supplier_Invoices!$V75="CN",0,Supplier_Invoices!$W75),"")</f>
        <v/>
      </c>
      <c r="O1581" s="32">
        <f>IF($A1581=1,Supplier_Invoices!$O75,"")</f>
        <v/>
      </c>
      <c r="P1581" s="32">
        <f>IF($A1581=1,IF(Supplier_Invoices!$AE75="","",Supplier_Invoices!$AE75),"")</f>
        <v/>
      </c>
      <c r="Q1581" s="32">
        <f>IF($A1581=1,Supplier_Invoices!$AG75,"")</f>
        <v/>
      </c>
      <c r="R1581" s="32">
        <f>IF($A1581=1,IF(AND($Q1581=1,COUNTIFS(COA!$A:$A,$G1581,COA!$R:$R,1)=1),1,0),"")</f>
        <v/>
      </c>
      <c r="S1581" s="43">
        <f>IF($A1581=1,IF($R1581=1,N($M1581),0),"")</f>
        <v/>
      </c>
      <c r="T1581" s="43">
        <f>IF($A1581=1,IF($R1581=1,N($N1581),0),"")</f>
        <v/>
      </c>
      <c r="U1581" s="32">
        <f>IF($A1581=1,YEAR($D1581)*100+MONTH($D1581),"")</f>
        <v/>
      </c>
      <c r="V1581" s="32">
        <f>IF($A1581=1,IF(COUNTIF(COA!$A:$A,$G1581)=0,0,INDEX(COA!$H:$H,MATCH($G1581,COA!$A:$A,0))),"")</f>
        <v/>
      </c>
      <c r="W1581" s="32">
        <f>IF($A1581=1,"","")</f>
        <v/>
      </c>
      <c r="X1581" s="32">
        <f>IF($A1581=1,IF($R1581=1,"",IF($O1581=ST_POST,IF($P1581&lt;&gt;"",$P1581,"حساب غير صالح أو غير نشط"),IF($O1581=ST_REV,"معكوس: لا أثر على الدفاتر",IF($O1581=ST_CANC,"ملغى",IF($O1581=ST_APPR,"معتمد ولم يُرحَّل","مسودة"))))),"")</f>
        <v/>
      </c>
      <c r="Y1581" s="32">
        <f>IF($A1581=1,IF(AND($R1581=1,OR(LG_Acct="",$G1581=LG_Acct),OR(LG_Party="",$K1581=LG_Party),OR(LG_Loc="ALL",$I1581=LG_Loc),OR(LG_CC="ALL",$J1581=LG_CC),$D1581&gt;=LG_From,$D1581&lt;=LG_To),$D1581+ROW()/1000000,""),"")</f>
        <v/>
      </c>
      <c r="Z1581" s="32">
        <f>IF($A1581=1,IF(Supplier_Invoices!$P75="","",Supplier_Invoices!$P75),"")</f>
        <v/>
      </c>
      <c r="AA1581" s="32">
        <f>IF($A1581=1,IF(Supplier_Invoices!$Q75="","",Supplier_Invoices!$Q75),"")</f>
        <v/>
      </c>
      <c r="AB1581" s="32">
        <f>IF($A1581=1,IF(Supplier_Invoices!$R75="","",Supplier_Invoices!$R75),"")</f>
        <v/>
      </c>
      <c r="AC1581" s="32">
        <f>IF($A1581=1,IF(Supplier_Invoices!$S75="","",Supplier_Invoices!$S75),"")</f>
        <v/>
      </c>
      <c r="AD1581" s="32">
        <f>IF($A1581=1,IF(Supplier_Invoices!$T75="","",Supplier_Invoices!$T75),"")</f>
        <v/>
      </c>
      <c r="AE1581" s="32">
        <f>IF($A1581=1,0,"")</f>
        <v/>
      </c>
      <c r="AF1581" s="32" t="inlineStr"/>
    </row>
    <row r="1582">
      <c r="A1582" s="32">
        <f>IF(AND(Supplier_Invoices!$AD75=1,Supplier_Invoices!$L75&lt;&gt;"",Supplier_Invoices!$V75&lt;&gt;"CN",N(Supplier_Invoices!$W75)&gt;0),1,0)</f>
        <v/>
      </c>
      <c r="B1582" s="32">
        <f>IF($A1582=1,$E1582&amp;"/4","")</f>
        <v/>
      </c>
      <c r="C1582" s="32">
        <f>IF($A1582=1,"J-"&amp;Supplier_Invoices!$A75,"")</f>
        <v/>
      </c>
      <c r="D1582" s="33">
        <f>IF($A1582=1,Supplier_Invoices!$E75,"")</f>
        <v/>
      </c>
      <c r="E1582" s="32">
        <f>IF($A1582=1,IF(Supplier_Invoices!$A75="","",Supplier_Invoices!$A75),"")</f>
        <v/>
      </c>
      <c r="F1582" s="32">
        <f>IF($A1582=1,"SINV","")</f>
        <v/>
      </c>
      <c r="G1582" s="32">
        <f>IF($A1582=1,ACC_SUPPLIERS,"")</f>
        <v/>
      </c>
      <c r="H1582" s="32">
        <f>IF($A1582=1,IF(COUNTIF(COA!$A:$A,$G1582)=0,"حساب غير معرف",INDEX(COA!$B:$B,MATCH($G1582,COA!$A:$A,0))),"")</f>
        <v/>
      </c>
      <c r="I1582" s="32">
        <f>IF($A1582=1,IF(Supplier_Invoices!$H75="","",Supplier_Invoices!$H75),"")</f>
        <v/>
      </c>
      <c r="J1582" s="32">
        <f>IF($A1582=1,"CC00","")</f>
        <v/>
      </c>
      <c r="K1582" s="32">
        <f>IF($A1582=1,IF(Supplier_Invoices!$C75="","",Supplier_Invoices!$C75),"")</f>
        <v/>
      </c>
      <c r="L1582" s="32">
        <f>IF($A1582=1,"سداد فوري - "&amp;Supplier_Invoices!$F75&amp;" "&amp;Supplier_Invoices!$B75&amp;" - "&amp;Supplier_Invoices!$C75,"")</f>
        <v/>
      </c>
      <c r="M1582" s="43">
        <f>IF($A1582=1,Supplier_Invoices!$W75,"")</f>
        <v/>
      </c>
      <c r="N1582" s="43">
        <f>IF($A1582=1,0,"")</f>
        <v/>
      </c>
      <c r="O1582" s="32">
        <f>IF($A1582=1,Supplier_Invoices!$O75,"")</f>
        <v/>
      </c>
      <c r="P1582" s="32">
        <f>IF($A1582=1,IF(Supplier_Invoices!$AE75="","",Supplier_Invoices!$AE75),"")</f>
        <v/>
      </c>
      <c r="Q1582" s="32">
        <f>IF($A1582=1,Supplier_Invoices!$AG75,"")</f>
        <v/>
      </c>
      <c r="R1582" s="32">
        <f>IF($A1582=1,IF(AND($Q1582=1,COUNTIFS(COA!$A:$A,$G1582,COA!$R:$R,1)=1),1,0),"")</f>
        <v/>
      </c>
      <c r="S1582" s="43">
        <f>IF($A1582=1,IF($R1582=1,N($M1582),0),"")</f>
        <v/>
      </c>
      <c r="T1582" s="43">
        <f>IF($A1582=1,IF($R1582=1,N($N1582),0),"")</f>
        <v/>
      </c>
      <c r="U1582" s="32">
        <f>IF($A1582=1,YEAR($D1582)*100+MONTH($D1582),"")</f>
        <v/>
      </c>
      <c r="V1582" s="32">
        <f>IF($A1582=1,IF(COUNTIF(COA!$A:$A,$G1582)=0,0,INDEX(COA!$H:$H,MATCH($G1582,COA!$A:$A,0))),"")</f>
        <v/>
      </c>
      <c r="W1582" s="32">
        <f>IF($A1582=1,"","")</f>
        <v/>
      </c>
      <c r="X1582" s="32">
        <f>IF($A1582=1,IF($R1582=1,"",IF($O1582=ST_POST,IF($P1582&lt;&gt;"",$P1582,"حساب غير صالح أو غير نشط"),IF($O1582=ST_REV,"معكوس: لا أثر على الدفاتر",IF($O1582=ST_CANC,"ملغى",IF($O1582=ST_APPR,"معتمد ولم يُرحَّل","مسودة"))))),"")</f>
        <v/>
      </c>
      <c r="Y1582" s="32">
        <f>IF($A1582=1,IF(AND($R1582=1,OR(LG_Acct="",$G1582=LG_Acct),OR(LG_Party="",$K1582=LG_Party),OR(LG_Loc="ALL",$I1582=LG_Loc),OR(LG_CC="ALL",$J1582=LG_CC),$D1582&gt;=LG_From,$D1582&lt;=LG_To),$D1582+ROW()/1000000,""),"")</f>
        <v/>
      </c>
      <c r="Z1582" s="32">
        <f>IF($A1582=1,IF(Supplier_Invoices!$P75="","",Supplier_Invoices!$P75),"")</f>
        <v/>
      </c>
      <c r="AA1582" s="32">
        <f>IF($A1582=1,IF(Supplier_Invoices!$Q75="","",Supplier_Invoices!$Q75),"")</f>
        <v/>
      </c>
      <c r="AB1582" s="32">
        <f>IF($A1582=1,IF(Supplier_Invoices!$R75="","",Supplier_Invoices!$R75),"")</f>
        <v/>
      </c>
      <c r="AC1582" s="32">
        <f>IF($A1582=1,IF(Supplier_Invoices!$S75="","",Supplier_Invoices!$S75),"")</f>
        <v/>
      </c>
      <c r="AD1582" s="32">
        <f>IF($A1582=1,IF(Supplier_Invoices!$T75="","",Supplier_Invoices!$T75),"")</f>
        <v/>
      </c>
      <c r="AE1582" s="32">
        <f>IF($A1582=1,0,"")</f>
        <v/>
      </c>
      <c r="AF1582" s="32" t="inlineStr"/>
    </row>
    <row r="1583">
      <c r="A1583" s="32">
        <f>IF(AND(Supplier_Invoices!$AD75=1,Supplier_Invoices!$L75&lt;&gt;"",Supplier_Invoices!$V75&lt;&gt;"CN",N(Supplier_Invoices!$W75)&gt;0),1,0)</f>
        <v/>
      </c>
      <c r="B1583" s="32">
        <f>IF($A1583=1,$E1583&amp;"/5","")</f>
        <v/>
      </c>
      <c r="C1583" s="32">
        <f>IF($A1583=1,"J-"&amp;Supplier_Invoices!$A75,"")</f>
        <v/>
      </c>
      <c r="D1583" s="33">
        <f>IF($A1583=1,Supplier_Invoices!$E75,"")</f>
        <v/>
      </c>
      <c r="E1583" s="32">
        <f>IF($A1583=1,IF(Supplier_Invoices!$A75="","",Supplier_Invoices!$A75),"")</f>
        <v/>
      </c>
      <c r="F1583" s="32">
        <f>IF($A1583=1,"SINV","")</f>
        <v/>
      </c>
      <c r="G1583" s="32">
        <f>IF($A1583=1,IF(Supplier_Invoices!$AA75="","",Supplier_Invoices!$AA75),"")</f>
        <v/>
      </c>
      <c r="H1583" s="32">
        <f>IF($A1583=1,IF(COUNTIF(COA!$A:$A,$G1583)=0,"حساب غير معرف",INDEX(COA!$B:$B,MATCH($G1583,COA!$A:$A,0))),"")</f>
        <v/>
      </c>
      <c r="I1583" s="32">
        <f>IF($A1583=1,IF(Supplier_Invoices!$H75="","",Supplier_Invoices!$H75),"")</f>
        <v/>
      </c>
      <c r="J1583" s="32">
        <f>IF($A1583=1,"CC00","")</f>
        <v/>
      </c>
      <c r="K1583" s="32">
        <f>IF($A1583=1,"-","")</f>
        <v/>
      </c>
      <c r="L1583" s="32">
        <f>IF($A1583=1,"سداد فوري - "&amp;Supplier_Invoices!$F75&amp;" "&amp;Supplier_Invoices!$B75&amp;" - "&amp;Supplier_Invoices!$C75,"")</f>
        <v/>
      </c>
      <c r="M1583" s="43">
        <f>IF($A1583=1,0,"")</f>
        <v/>
      </c>
      <c r="N1583" s="43">
        <f>IF($A1583=1,Supplier_Invoices!$W75,"")</f>
        <v/>
      </c>
      <c r="O1583" s="32">
        <f>IF($A1583=1,Supplier_Invoices!$O75,"")</f>
        <v/>
      </c>
      <c r="P1583" s="32">
        <f>IF($A1583=1,IF(Supplier_Invoices!$AE75="","",Supplier_Invoices!$AE75),"")</f>
        <v/>
      </c>
      <c r="Q1583" s="32">
        <f>IF($A1583=1,Supplier_Invoices!$AG75,"")</f>
        <v/>
      </c>
      <c r="R1583" s="32">
        <f>IF($A1583=1,IF(AND($Q1583=1,COUNTIFS(COA!$A:$A,$G1583,COA!$R:$R,1)=1),1,0),"")</f>
        <v/>
      </c>
      <c r="S1583" s="43">
        <f>IF($A1583=1,IF($R1583=1,N($M1583),0),"")</f>
        <v/>
      </c>
      <c r="T1583" s="43">
        <f>IF($A1583=1,IF($R1583=1,N($N1583),0),"")</f>
        <v/>
      </c>
      <c r="U1583" s="32">
        <f>IF($A1583=1,YEAR($D1583)*100+MONTH($D1583),"")</f>
        <v/>
      </c>
      <c r="V1583" s="32">
        <f>IF($A1583=1,IF(COUNTIF(COA!$A:$A,$G1583)=0,0,INDEX(COA!$H:$H,MATCH($G1583,COA!$A:$A,0))),"")</f>
        <v/>
      </c>
      <c r="W1583" s="32">
        <f>IF($A1583=1,IF(Supplier_Invoices!$AB75="","",Supplier_Invoices!$AB75),"")</f>
        <v/>
      </c>
      <c r="X1583" s="32">
        <f>IF($A1583=1,IF($R1583=1,"",IF($O1583=ST_POST,IF($P1583&lt;&gt;"",$P1583,"حساب غير صالح أو غير نشط"),IF($O1583=ST_REV,"معكوس: لا أثر على الدفاتر",IF($O1583=ST_CANC,"ملغى",IF($O1583=ST_APPR,"معتمد ولم يُرحَّل","مسودة"))))),"")</f>
        <v/>
      </c>
      <c r="Y1583" s="32">
        <f>IF($A1583=1,IF(AND($R1583=1,OR(LG_Acct="",$G1583=LG_Acct),OR(LG_Party="",$K1583=LG_Party),OR(LG_Loc="ALL",$I1583=LG_Loc),OR(LG_CC="ALL",$J1583=LG_CC),$D1583&gt;=LG_From,$D1583&lt;=LG_To),$D1583+ROW()/1000000,""),"")</f>
        <v/>
      </c>
      <c r="Z1583" s="32">
        <f>IF($A1583=1,IF(Supplier_Invoices!$P75="","",Supplier_Invoices!$P75),"")</f>
        <v/>
      </c>
      <c r="AA1583" s="32">
        <f>IF($A1583=1,IF(Supplier_Invoices!$Q75="","",Supplier_Invoices!$Q75),"")</f>
        <v/>
      </c>
      <c r="AB1583" s="32">
        <f>IF($A1583=1,IF(Supplier_Invoices!$R75="","",Supplier_Invoices!$R75),"")</f>
        <v/>
      </c>
      <c r="AC1583" s="32">
        <f>IF($A1583=1,IF(Supplier_Invoices!$S75="","",Supplier_Invoices!$S75),"")</f>
        <v/>
      </c>
      <c r="AD1583" s="32">
        <f>IF($A1583=1,IF(Supplier_Invoices!$T75="","",Supplier_Invoices!$T75),"")</f>
        <v/>
      </c>
      <c r="AE1583" s="32">
        <f>IF($A1583=1,0,"")</f>
        <v/>
      </c>
      <c r="AF1583" s="32" t="inlineStr"/>
    </row>
    <row r="1584">
      <c r="A1584" s="32">
        <f>IF(AND(Supplier_Invoices!$AD76=1,N(Supplier_Invoices!$J76)&gt;0),1,0)</f>
        <v/>
      </c>
      <c r="B1584" s="32">
        <f>IF($A1584=1,$E1584&amp;"/1","")</f>
        <v/>
      </c>
      <c r="C1584" s="32">
        <f>IF($A1584=1,"J-"&amp;Supplier_Invoices!$A76,"")</f>
        <v/>
      </c>
      <c r="D1584" s="33">
        <f>IF($A1584=1,Supplier_Invoices!$E76,"")</f>
        <v/>
      </c>
      <c r="E1584" s="32">
        <f>IF($A1584=1,IF(Supplier_Invoices!$A76="","",Supplier_Invoices!$A76),"")</f>
        <v/>
      </c>
      <c r="F1584" s="32">
        <f>IF($A1584=1,"SINV","")</f>
        <v/>
      </c>
      <c r="G1584" s="32">
        <f>IF($A1584=1,IF(Supplier_Invoices!$G76="","",Supplier_Invoices!$G76),"")</f>
        <v/>
      </c>
      <c r="H1584" s="32">
        <f>IF($A1584=1,IF(COUNTIF(COA!$A:$A,$G1584)=0,"حساب غير معرف",INDEX(COA!$B:$B,MATCH($G1584,COA!$A:$A,0))),"")</f>
        <v/>
      </c>
      <c r="I1584" s="32">
        <f>IF($A1584=1,IF(Supplier_Invoices!$H76="","",Supplier_Invoices!$H76),"")</f>
        <v/>
      </c>
      <c r="J1584" s="32">
        <f>IF($A1584=1,IF(Supplier_Invoices!$I76="","",Supplier_Invoices!$I76),"")</f>
        <v/>
      </c>
      <c r="K1584" s="32">
        <f>IF($A1584=1,"-","")</f>
        <v/>
      </c>
      <c r="L1584" s="32">
        <f>IF($A1584=1,Supplier_Invoices!$F76&amp;" "&amp;Supplier_Invoices!$B76&amp;" - "&amp;Supplier_Invoices!$C76,"")</f>
        <v/>
      </c>
      <c r="M1584" s="43">
        <f>IF($A1584=1,IF(Supplier_Invoices!$V76="CN",0,Supplier_Invoices!$J76),"")</f>
        <v/>
      </c>
      <c r="N1584" s="43">
        <f>IF($A1584=1,IF(Supplier_Invoices!$V76="CN",Supplier_Invoices!$J76,0),"")</f>
        <v/>
      </c>
      <c r="O1584" s="32">
        <f>IF($A1584=1,Supplier_Invoices!$O76,"")</f>
        <v/>
      </c>
      <c r="P1584" s="32">
        <f>IF($A1584=1,IF(Supplier_Invoices!$AE76="","",Supplier_Invoices!$AE76),"")</f>
        <v/>
      </c>
      <c r="Q1584" s="32">
        <f>IF($A1584=1,Supplier_Invoices!$AG76,"")</f>
        <v/>
      </c>
      <c r="R1584" s="32">
        <f>IF($A1584=1,IF(AND($Q1584=1,COUNTIFS(COA!$A:$A,$G1584,COA!$R:$R,1)=1),1,0),"")</f>
        <v/>
      </c>
      <c r="S1584" s="43">
        <f>IF($A1584=1,IF($R1584=1,N($M1584),0),"")</f>
        <v/>
      </c>
      <c r="T1584" s="43">
        <f>IF($A1584=1,IF($R1584=1,N($N1584),0),"")</f>
        <v/>
      </c>
      <c r="U1584" s="32">
        <f>IF($A1584=1,YEAR($D1584)*100+MONTH($D1584),"")</f>
        <v/>
      </c>
      <c r="V1584" s="32">
        <f>IF($A1584=1,IF(COUNTIF(COA!$A:$A,$G1584)=0,0,INDEX(COA!$H:$H,MATCH($G1584,COA!$A:$A,0))),"")</f>
        <v/>
      </c>
      <c r="W1584" s="32">
        <f>IF($A1584=1,"","")</f>
        <v/>
      </c>
      <c r="X1584" s="32">
        <f>IF($A1584=1,IF($R1584=1,"",IF($O1584=ST_POST,IF($P1584&lt;&gt;"",$P1584,"حساب غير صالح أو غير نشط"),IF($O1584=ST_REV,"معكوس: لا أثر على الدفاتر",IF($O1584=ST_CANC,"ملغى",IF($O1584=ST_APPR,"معتمد ولم يُرحَّل","مسودة"))))),"")</f>
        <v/>
      </c>
      <c r="Y1584" s="32">
        <f>IF($A1584=1,IF(AND($R1584=1,OR(LG_Acct="",$G1584=LG_Acct),OR(LG_Party="",$K1584=LG_Party),OR(LG_Loc="ALL",$I1584=LG_Loc),OR(LG_CC="ALL",$J1584=LG_CC),$D1584&gt;=LG_From,$D1584&lt;=LG_To),$D1584+ROW()/1000000,""),"")</f>
        <v/>
      </c>
      <c r="Z1584" s="32">
        <f>IF($A1584=1,IF(Supplier_Invoices!$P76="","",Supplier_Invoices!$P76),"")</f>
        <v/>
      </c>
      <c r="AA1584" s="32">
        <f>IF($A1584=1,IF(Supplier_Invoices!$Q76="","",Supplier_Invoices!$Q76),"")</f>
        <v/>
      </c>
      <c r="AB1584" s="32">
        <f>IF($A1584=1,IF(Supplier_Invoices!$R76="","",Supplier_Invoices!$R76),"")</f>
        <v/>
      </c>
      <c r="AC1584" s="32">
        <f>IF($A1584=1,IF(Supplier_Invoices!$S76="","",Supplier_Invoices!$S76),"")</f>
        <v/>
      </c>
      <c r="AD1584" s="32">
        <f>IF($A1584=1,IF(Supplier_Invoices!$T76="","",Supplier_Invoices!$T76),"")</f>
        <v/>
      </c>
      <c r="AE1584" s="32">
        <f>IF($A1584=1,0,"")</f>
        <v/>
      </c>
      <c r="AF1584" s="32" t="inlineStr"/>
    </row>
    <row r="1585">
      <c r="A1585" s="32">
        <f>IF(AND(Supplier_Invoices!$AD76=1,N(Supplier_Invoices!$K76)&gt;0),1,0)</f>
        <v/>
      </c>
      <c r="B1585" s="32">
        <f>IF($A1585=1,$E1585&amp;"/2","")</f>
        <v/>
      </c>
      <c r="C1585" s="32">
        <f>IF($A1585=1,"J-"&amp;Supplier_Invoices!$A76,"")</f>
        <v/>
      </c>
      <c r="D1585" s="33">
        <f>IF($A1585=1,Supplier_Invoices!$E76,"")</f>
        <v/>
      </c>
      <c r="E1585" s="32">
        <f>IF($A1585=1,IF(Supplier_Invoices!$A76="","",Supplier_Invoices!$A76),"")</f>
        <v/>
      </c>
      <c r="F1585" s="32">
        <f>IF($A1585=1,"SINV","")</f>
        <v/>
      </c>
      <c r="G1585" s="32">
        <f>IF($A1585=1,ACC_VAT_IN,"")</f>
        <v/>
      </c>
      <c r="H1585" s="32">
        <f>IF($A1585=1,IF(COUNTIF(COA!$A:$A,$G1585)=0,"حساب غير معرف",INDEX(COA!$B:$B,MATCH($G1585,COA!$A:$A,0))),"")</f>
        <v/>
      </c>
      <c r="I1585" s="32">
        <f>IF($A1585=1,IF(Supplier_Invoices!$H76="","",Supplier_Invoices!$H76),"")</f>
        <v/>
      </c>
      <c r="J1585" s="32">
        <f>IF($A1585=1,IF(Supplier_Invoices!$I76="","",Supplier_Invoices!$I76),"")</f>
        <v/>
      </c>
      <c r="K1585" s="32">
        <f>IF($A1585=1,"-","")</f>
        <v/>
      </c>
      <c r="L1585" s="32">
        <f>IF($A1585=1,"ضريبة قيمة مضافة - مدخلات","")</f>
        <v/>
      </c>
      <c r="M1585" s="43">
        <f>IF($A1585=1,IF(Supplier_Invoices!$V76="CN",0,Supplier_Invoices!$K76),"")</f>
        <v/>
      </c>
      <c r="N1585" s="43">
        <f>IF($A1585=1,IF(Supplier_Invoices!$V76="CN",Supplier_Invoices!$K76,0),"")</f>
        <v/>
      </c>
      <c r="O1585" s="32">
        <f>IF($A1585=1,Supplier_Invoices!$O76,"")</f>
        <v/>
      </c>
      <c r="P1585" s="32">
        <f>IF($A1585=1,IF(Supplier_Invoices!$AE76="","",Supplier_Invoices!$AE76),"")</f>
        <v/>
      </c>
      <c r="Q1585" s="32">
        <f>IF($A1585=1,Supplier_Invoices!$AG76,"")</f>
        <v/>
      </c>
      <c r="R1585" s="32">
        <f>IF($A1585=1,IF(AND($Q1585=1,COUNTIFS(COA!$A:$A,$G1585,COA!$R:$R,1)=1),1,0),"")</f>
        <v/>
      </c>
      <c r="S1585" s="43">
        <f>IF($A1585=1,IF($R1585=1,N($M1585),0),"")</f>
        <v/>
      </c>
      <c r="T1585" s="43">
        <f>IF($A1585=1,IF($R1585=1,N($N1585),0),"")</f>
        <v/>
      </c>
      <c r="U1585" s="32">
        <f>IF($A1585=1,YEAR($D1585)*100+MONTH($D1585),"")</f>
        <v/>
      </c>
      <c r="V1585" s="32">
        <f>IF($A1585=1,IF(COUNTIF(COA!$A:$A,$G1585)=0,0,INDEX(COA!$H:$H,MATCH($G1585,COA!$A:$A,0))),"")</f>
        <v/>
      </c>
      <c r="W1585" s="32">
        <f>IF($A1585=1,"","")</f>
        <v/>
      </c>
      <c r="X1585" s="32">
        <f>IF($A1585=1,IF($R1585=1,"",IF($O1585=ST_POST,IF($P1585&lt;&gt;"",$P1585,"حساب غير صالح أو غير نشط"),IF($O1585=ST_REV,"معكوس: لا أثر على الدفاتر",IF($O1585=ST_CANC,"ملغى",IF($O1585=ST_APPR,"معتمد ولم يُرحَّل","مسودة"))))),"")</f>
        <v/>
      </c>
      <c r="Y1585" s="32">
        <f>IF($A1585=1,IF(AND($R1585=1,OR(LG_Acct="",$G1585=LG_Acct),OR(LG_Party="",$K1585=LG_Party),OR(LG_Loc="ALL",$I1585=LG_Loc),OR(LG_CC="ALL",$J1585=LG_CC),$D1585&gt;=LG_From,$D1585&lt;=LG_To),$D1585+ROW()/1000000,""),"")</f>
        <v/>
      </c>
      <c r="Z1585" s="32">
        <f>IF($A1585=1,IF(Supplier_Invoices!$P76="","",Supplier_Invoices!$P76),"")</f>
        <v/>
      </c>
      <c r="AA1585" s="32">
        <f>IF($A1585=1,IF(Supplier_Invoices!$Q76="","",Supplier_Invoices!$Q76),"")</f>
        <v/>
      </c>
      <c r="AB1585" s="32">
        <f>IF($A1585=1,IF(Supplier_Invoices!$R76="","",Supplier_Invoices!$R76),"")</f>
        <v/>
      </c>
      <c r="AC1585" s="32">
        <f>IF($A1585=1,IF(Supplier_Invoices!$S76="","",Supplier_Invoices!$S76),"")</f>
        <v/>
      </c>
      <c r="AD1585" s="32">
        <f>IF($A1585=1,IF(Supplier_Invoices!$T76="","",Supplier_Invoices!$T76),"")</f>
        <v/>
      </c>
      <c r="AE1585" s="32">
        <f>IF($A1585=1,0,"")</f>
        <v/>
      </c>
      <c r="AF1585" s="32" t="inlineStr"/>
    </row>
    <row r="1586">
      <c r="A1586" s="32">
        <f>IF(AND(Supplier_Invoices!$AD76=1,N(Supplier_Invoices!$W76)&gt;0),1,0)</f>
        <v/>
      </c>
      <c r="B1586" s="32">
        <f>IF($A1586=1,$E1586&amp;"/3","")</f>
        <v/>
      </c>
      <c r="C1586" s="32">
        <f>IF($A1586=1,"J-"&amp;Supplier_Invoices!$A76,"")</f>
        <v/>
      </c>
      <c r="D1586" s="33">
        <f>IF($A1586=1,Supplier_Invoices!$E76,"")</f>
        <v/>
      </c>
      <c r="E1586" s="32">
        <f>IF($A1586=1,IF(Supplier_Invoices!$A76="","",Supplier_Invoices!$A76),"")</f>
        <v/>
      </c>
      <c r="F1586" s="32">
        <f>IF($A1586=1,"SINV","")</f>
        <v/>
      </c>
      <c r="G1586" s="32">
        <f>IF($A1586=1,ACC_SUPPLIERS,"")</f>
        <v/>
      </c>
      <c r="H1586" s="32">
        <f>IF($A1586=1,IF(COUNTIF(COA!$A:$A,$G1586)=0,"حساب غير معرف",INDEX(COA!$B:$B,MATCH($G1586,COA!$A:$A,0))),"")</f>
        <v/>
      </c>
      <c r="I1586" s="32">
        <f>IF($A1586=1,IF(Supplier_Invoices!$H76="","",Supplier_Invoices!$H76),"")</f>
        <v/>
      </c>
      <c r="J1586" s="32">
        <f>IF($A1586=1,"CC00","")</f>
        <v/>
      </c>
      <c r="K1586" s="32">
        <f>IF($A1586=1,IF(Supplier_Invoices!$C76="","",Supplier_Invoices!$C76),"")</f>
        <v/>
      </c>
      <c r="L1586" s="32">
        <f>IF($A1586=1,Supplier_Invoices!$F76&amp;" "&amp;Supplier_Invoices!$B76&amp;" - "&amp;Supplier_Invoices!$C76,"")</f>
        <v/>
      </c>
      <c r="M1586" s="43">
        <f>IF($A1586=1,IF(Supplier_Invoices!$V76="CN",Supplier_Invoices!$W76,0),"")</f>
        <v/>
      </c>
      <c r="N1586" s="43">
        <f>IF($A1586=1,IF(Supplier_Invoices!$V76="CN",0,Supplier_Invoices!$W76),"")</f>
        <v/>
      </c>
      <c r="O1586" s="32">
        <f>IF($A1586=1,Supplier_Invoices!$O76,"")</f>
        <v/>
      </c>
      <c r="P1586" s="32">
        <f>IF($A1586=1,IF(Supplier_Invoices!$AE76="","",Supplier_Invoices!$AE76),"")</f>
        <v/>
      </c>
      <c r="Q1586" s="32">
        <f>IF($A1586=1,Supplier_Invoices!$AG76,"")</f>
        <v/>
      </c>
      <c r="R1586" s="32">
        <f>IF($A1586=1,IF(AND($Q1586=1,COUNTIFS(COA!$A:$A,$G1586,COA!$R:$R,1)=1),1,0),"")</f>
        <v/>
      </c>
      <c r="S1586" s="43">
        <f>IF($A1586=1,IF($R1586=1,N($M1586),0),"")</f>
        <v/>
      </c>
      <c r="T1586" s="43">
        <f>IF($A1586=1,IF($R1586=1,N($N1586),0),"")</f>
        <v/>
      </c>
      <c r="U1586" s="32">
        <f>IF($A1586=1,YEAR($D1586)*100+MONTH($D1586),"")</f>
        <v/>
      </c>
      <c r="V1586" s="32">
        <f>IF($A1586=1,IF(COUNTIF(COA!$A:$A,$G1586)=0,0,INDEX(COA!$H:$H,MATCH($G1586,COA!$A:$A,0))),"")</f>
        <v/>
      </c>
      <c r="W1586" s="32">
        <f>IF($A1586=1,"","")</f>
        <v/>
      </c>
      <c r="X1586" s="32">
        <f>IF($A1586=1,IF($R1586=1,"",IF($O1586=ST_POST,IF($P1586&lt;&gt;"",$P1586,"حساب غير صالح أو غير نشط"),IF($O1586=ST_REV,"معكوس: لا أثر على الدفاتر",IF($O1586=ST_CANC,"ملغى",IF($O1586=ST_APPR,"معتمد ولم يُرحَّل","مسودة"))))),"")</f>
        <v/>
      </c>
      <c r="Y1586" s="32">
        <f>IF($A1586=1,IF(AND($R1586=1,OR(LG_Acct="",$G1586=LG_Acct),OR(LG_Party="",$K1586=LG_Party),OR(LG_Loc="ALL",$I1586=LG_Loc),OR(LG_CC="ALL",$J1586=LG_CC),$D1586&gt;=LG_From,$D1586&lt;=LG_To),$D1586+ROW()/1000000,""),"")</f>
        <v/>
      </c>
      <c r="Z1586" s="32">
        <f>IF($A1586=1,IF(Supplier_Invoices!$P76="","",Supplier_Invoices!$P76),"")</f>
        <v/>
      </c>
      <c r="AA1586" s="32">
        <f>IF($A1586=1,IF(Supplier_Invoices!$Q76="","",Supplier_Invoices!$Q76),"")</f>
        <v/>
      </c>
      <c r="AB1586" s="32">
        <f>IF($A1586=1,IF(Supplier_Invoices!$R76="","",Supplier_Invoices!$R76),"")</f>
        <v/>
      </c>
      <c r="AC1586" s="32">
        <f>IF($A1586=1,IF(Supplier_Invoices!$S76="","",Supplier_Invoices!$S76),"")</f>
        <v/>
      </c>
      <c r="AD1586" s="32">
        <f>IF($A1586=1,IF(Supplier_Invoices!$T76="","",Supplier_Invoices!$T76),"")</f>
        <v/>
      </c>
      <c r="AE1586" s="32">
        <f>IF($A1586=1,0,"")</f>
        <v/>
      </c>
      <c r="AF1586" s="32" t="inlineStr"/>
    </row>
    <row r="1587">
      <c r="A1587" s="32">
        <f>IF(AND(Supplier_Invoices!$AD76=1,Supplier_Invoices!$L76&lt;&gt;"",Supplier_Invoices!$V76&lt;&gt;"CN",N(Supplier_Invoices!$W76)&gt;0),1,0)</f>
        <v/>
      </c>
      <c r="B1587" s="32">
        <f>IF($A1587=1,$E1587&amp;"/4","")</f>
        <v/>
      </c>
      <c r="C1587" s="32">
        <f>IF($A1587=1,"J-"&amp;Supplier_Invoices!$A76,"")</f>
        <v/>
      </c>
      <c r="D1587" s="33">
        <f>IF($A1587=1,Supplier_Invoices!$E76,"")</f>
        <v/>
      </c>
      <c r="E1587" s="32">
        <f>IF($A1587=1,IF(Supplier_Invoices!$A76="","",Supplier_Invoices!$A76),"")</f>
        <v/>
      </c>
      <c r="F1587" s="32">
        <f>IF($A1587=1,"SINV","")</f>
        <v/>
      </c>
      <c r="G1587" s="32">
        <f>IF($A1587=1,ACC_SUPPLIERS,"")</f>
        <v/>
      </c>
      <c r="H1587" s="32">
        <f>IF($A1587=1,IF(COUNTIF(COA!$A:$A,$G1587)=0,"حساب غير معرف",INDEX(COA!$B:$B,MATCH($G1587,COA!$A:$A,0))),"")</f>
        <v/>
      </c>
      <c r="I1587" s="32">
        <f>IF($A1587=1,IF(Supplier_Invoices!$H76="","",Supplier_Invoices!$H76),"")</f>
        <v/>
      </c>
      <c r="J1587" s="32">
        <f>IF($A1587=1,"CC00","")</f>
        <v/>
      </c>
      <c r="K1587" s="32">
        <f>IF($A1587=1,IF(Supplier_Invoices!$C76="","",Supplier_Invoices!$C76),"")</f>
        <v/>
      </c>
      <c r="L1587" s="32">
        <f>IF($A1587=1,"سداد فوري - "&amp;Supplier_Invoices!$F76&amp;" "&amp;Supplier_Invoices!$B76&amp;" - "&amp;Supplier_Invoices!$C76,"")</f>
        <v/>
      </c>
      <c r="M1587" s="43">
        <f>IF($A1587=1,Supplier_Invoices!$W76,"")</f>
        <v/>
      </c>
      <c r="N1587" s="43">
        <f>IF($A1587=1,0,"")</f>
        <v/>
      </c>
      <c r="O1587" s="32">
        <f>IF($A1587=1,Supplier_Invoices!$O76,"")</f>
        <v/>
      </c>
      <c r="P1587" s="32">
        <f>IF($A1587=1,IF(Supplier_Invoices!$AE76="","",Supplier_Invoices!$AE76),"")</f>
        <v/>
      </c>
      <c r="Q1587" s="32">
        <f>IF($A1587=1,Supplier_Invoices!$AG76,"")</f>
        <v/>
      </c>
      <c r="R1587" s="32">
        <f>IF($A1587=1,IF(AND($Q1587=1,COUNTIFS(COA!$A:$A,$G1587,COA!$R:$R,1)=1),1,0),"")</f>
        <v/>
      </c>
      <c r="S1587" s="43">
        <f>IF($A1587=1,IF($R1587=1,N($M1587),0),"")</f>
        <v/>
      </c>
      <c r="T1587" s="43">
        <f>IF($A1587=1,IF($R1587=1,N($N1587),0),"")</f>
        <v/>
      </c>
      <c r="U1587" s="32">
        <f>IF($A1587=1,YEAR($D1587)*100+MONTH($D1587),"")</f>
        <v/>
      </c>
      <c r="V1587" s="32">
        <f>IF($A1587=1,IF(COUNTIF(COA!$A:$A,$G1587)=0,0,INDEX(COA!$H:$H,MATCH($G1587,COA!$A:$A,0))),"")</f>
        <v/>
      </c>
      <c r="W1587" s="32">
        <f>IF($A1587=1,"","")</f>
        <v/>
      </c>
      <c r="X1587" s="32">
        <f>IF($A1587=1,IF($R1587=1,"",IF($O1587=ST_POST,IF($P1587&lt;&gt;"",$P1587,"حساب غير صالح أو غير نشط"),IF($O1587=ST_REV,"معكوس: لا أثر على الدفاتر",IF($O1587=ST_CANC,"ملغى",IF($O1587=ST_APPR,"معتمد ولم يُرحَّل","مسودة"))))),"")</f>
        <v/>
      </c>
      <c r="Y1587" s="32">
        <f>IF($A1587=1,IF(AND($R1587=1,OR(LG_Acct="",$G1587=LG_Acct),OR(LG_Party="",$K1587=LG_Party),OR(LG_Loc="ALL",$I1587=LG_Loc),OR(LG_CC="ALL",$J1587=LG_CC),$D1587&gt;=LG_From,$D1587&lt;=LG_To),$D1587+ROW()/1000000,""),"")</f>
        <v/>
      </c>
      <c r="Z1587" s="32">
        <f>IF($A1587=1,IF(Supplier_Invoices!$P76="","",Supplier_Invoices!$P76),"")</f>
        <v/>
      </c>
      <c r="AA1587" s="32">
        <f>IF($A1587=1,IF(Supplier_Invoices!$Q76="","",Supplier_Invoices!$Q76),"")</f>
        <v/>
      </c>
      <c r="AB1587" s="32">
        <f>IF($A1587=1,IF(Supplier_Invoices!$R76="","",Supplier_Invoices!$R76),"")</f>
        <v/>
      </c>
      <c r="AC1587" s="32">
        <f>IF($A1587=1,IF(Supplier_Invoices!$S76="","",Supplier_Invoices!$S76),"")</f>
        <v/>
      </c>
      <c r="AD1587" s="32">
        <f>IF($A1587=1,IF(Supplier_Invoices!$T76="","",Supplier_Invoices!$T76),"")</f>
        <v/>
      </c>
      <c r="AE1587" s="32">
        <f>IF($A1587=1,0,"")</f>
        <v/>
      </c>
      <c r="AF1587" s="32" t="inlineStr"/>
    </row>
    <row r="1588">
      <c r="A1588" s="32">
        <f>IF(AND(Supplier_Invoices!$AD76=1,Supplier_Invoices!$L76&lt;&gt;"",Supplier_Invoices!$V76&lt;&gt;"CN",N(Supplier_Invoices!$W76)&gt;0),1,0)</f>
        <v/>
      </c>
      <c r="B1588" s="32">
        <f>IF($A1588=1,$E1588&amp;"/5","")</f>
        <v/>
      </c>
      <c r="C1588" s="32">
        <f>IF($A1588=1,"J-"&amp;Supplier_Invoices!$A76,"")</f>
        <v/>
      </c>
      <c r="D1588" s="33">
        <f>IF($A1588=1,Supplier_Invoices!$E76,"")</f>
        <v/>
      </c>
      <c r="E1588" s="32">
        <f>IF($A1588=1,IF(Supplier_Invoices!$A76="","",Supplier_Invoices!$A76),"")</f>
        <v/>
      </c>
      <c r="F1588" s="32">
        <f>IF($A1588=1,"SINV","")</f>
        <v/>
      </c>
      <c r="G1588" s="32">
        <f>IF($A1588=1,IF(Supplier_Invoices!$AA76="","",Supplier_Invoices!$AA76),"")</f>
        <v/>
      </c>
      <c r="H1588" s="32">
        <f>IF($A1588=1,IF(COUNTIF(COA!$A:$A,$G1588)=0,"حساب غير معرف",INDEX(COA!$B:$B,MATCH($G1588,COA!$A:$A,0))),"")</f>
        <v/>
      </c>
      <c r="I1588" s="32">
        <f>IF($A1588=1,IF(Supplier_Invoices!$H76="","",Supplier_Invoices!$H76),"")</f>
        <v/>
      </c>
      <c r="J1588" s="32">
        <f>IF($A1588=1,"CC00","")</f>
        <v/>
      </c>
      <c r="K1588" s="32">
        <f>IF($A1588=1,"-","")</f>
        <v/>
      </c>
      <c r="L1588" s="32">
        <f>IF($A1588=1,"سداد فوري - "&amp;Supplier_Invoices!$F76&amp;" "&amp;Supplier_Invoices!$B76&amp;" - "&amp;Supplier_Invoices!$C76,"")</f>
        <v/>
      </c>
      <c r="M1588" s="43">
        <f>IF($A1588=1,0,"")</f>
        <v/>
      </c>
      <c r="N1588" s="43">
        <f>IF($A1588=1,Supplier_Invoices!$W76,"")</f>
        <v/>
      </c>
      <c r="O1588" s="32">
        <f>IF($A1588=1,Supplier_Invoices!$O76,"")</f>
        <v/>
      </c>
      <c r="P1588" s="32">
        <f>IF($A1588=1,IF(Supplier_Invoices!$AE76="","",Supplier_Invoices!$AE76),"")</f>
        <v/>
      </c>
      <c r="Q1588" s="32">
        <f>IF($A1588=1,Supplier_Invoices!$AG76,"")</f>
        <v/>
      </c>
      <c r="R1588" s="32">
        <f>IF($A1588=1,IF(AND($Q1588=1,COUNTIFS(COA!$A:$A,$G1588,COA!$R:$R,1)=1),1,0),"")</f>
        <v/>
      </c>
      <c r="S1588" s="43">
        <f>IF($A1588=1,IF($R1588=1,N($M1588),0),"")</f>
        <v/>
      </c>
      <c r="T1588" s="43">
        <f>IF($A1588=1,IF($R1588=1,N($N1588),0),"")</f>
        <v/>
      </c>
      <c r="U1588" s="32">
        <f>IF($A1588=1,YEAR($D1588)*100+MONTH($D1588),"")</f>
        <v/>
      </c>
      <c r="V1588" s="32">
        <f>IF($A1588=1,IF(COUNTIF(COA!$A:$A,$G1588)=0,0,INDEX(COA!$H:$H,MATCH($G1588,COA!$A:$A,0))),"")</f>
        <v/>
      </c>
      <c r="W1588" s="32">
        <f>IF($A1588=1,IF(Supplier_Invoices!$AB76="","",Supplier_Invoices!$AB76),"")</f>
        <v/>
      </c>
      <c r="X1588" s="32">
        <f>IF($A1588=1,IF($R1588=1,"",IF($O1588=ST_POST,IF($P1588&lt;&gt;"",$P1588,"حساب غير صالح أو غير نشط"),IF($O1588=ST_REV,"معكوس: لا أثر على الدفاتر",IF($O1588=ST_CANC,"ملغى",IF($O1588=ST_APPR,"معتمد ولم يُرحَّل","مسودة"))))),"")</f>
        <v/>
      </c>
      <c r="Y1588" s="32">
        <f>IF($A1588=1,IF(AND($R1588=1,OR(LG_Acct="",$G1588=LG_Acct),OR(LG_Party="",$K1588=LG_Party),OR(LG_Loc="ALL",$I1588=LG_Loc),OR(LG_CC="ALL",$J1588=LG_CC),$D1588&gt;=LG_From,$D1588&lt;=LG_To),$D1588+ROW()/1000000,""),"")</f>
        <v/>
      </c>
      <c r="Z1588" s="32">
        <f>IF($A1588=1,IF(Supplier_Invoices!$P76="","",Supplier_Invoices!$P76),"")</f>
        <v/>
      </c>
      <c r="AA1588" s="32">
        <f>IF($A1588=1,IF(Supplier_Invoices!$Q76="","",Supplier_Invoices!$Q76),"")</f>
        <v/>
      </c>
      <c r="AB1588" s="32">
        <f>IF($A1588=1,IF(Supplier_Invoices!$R76="","",Supplier_Invoices!$R76),"")</f>
        <v/>
      </c>
      <c r="AC1588" s="32">
        <f>IF($A1588=1,IF(Supplier_Invoices!$S76="","",Supplier_Invoices!$S76),"")</f>
        <v/>
      </c>
      <c r="AD1588" s="32">
        <f>IF($A1588=1,IF(Supplier_Invoices!$T76="","",Supplier_Invoices!$T76),"")</f>
        <v/>
      </c>
      <c r="AE1588" s="32">
        <f>IF($A1588=1,0,"")</f>
        <v/>
      </c>
      <c r="AF1588" s="32" t="inlineStr"/>
    </row>
    <row r="1589">
      <c r="A1589" s="32">
        <f>IF(AND(Supplier_Invoices!$AD77=1,N(Supplier_Invoices!$J77)&gt;0),1,0)</f>
        <v/>
      </c>
      <c r="B1589" s="32">
        <f>IF($A1589=1,$E1589&amp;"/1","")</f>
        <v/>
      </c>
      <c r="C1589" s="32">
        <f>IF($A1589=1,"J-"&amp;Supplier_Invoices!$A77,"")</f>
        <v/>
      </c>
      <c r="D1589" s="33">
        <f>IF($A1589=1,Supplier_Invoices!$E77,"")</f>
        <v/>
      </c>
      <c r="E1589" s="32">
        <f>IF($A1589=1,IF(Supplier_Invoices!$A77="","",Supplier_Invoices!$A77),"")</f>
        <v/>
      </c>
      <c r="F1589" s="32">
        <f>IF($A1589=1,"SINV","")</f>
        <v/>
      </c>
      <c r="G1589" s="32">
        <f>IF($A1589=1,IF(Supplier_Invoices!$G77="","",Supplier_Invoices!$G77),"")</f>
        <v/>
      </c>
      <c r="H1589" s="32">
        <f>IF($A1589=1,IF(COUNTIF(COA!$A:$A,$G1589)=0,"حساب غير معرف",INDEX(COA!$B:$B,MATCH($G1589,COA!$A:$A,0))),"")</f>
        <v/>
      </c>
      <c r="I1589" s="32">
        <f>IF($A1589=1,IF(Supplier_Invoices!$H77="","",Supplier_Invoices!$H77),"")</f>
        <v/>
      </c>
      <c r="J1589" s="32">
        <f>IF($A1589=1,IF(Supplier_Invoices!$I77="","",Supplier_Invoices!$I77),"")</f>
        <v/>
      </c>
      <c r="K1589" s="32">
        <f>IF($A1589=1,"-","")</f>
        <v/>
      </c>
      <c r="L1589" s="32">
        <f>IF($A1589=1,Supplier_Invoices!$F77&amp;" "&amp;Supplier_Invoices!$B77&amp;" - "&amp;Supplier_Invoices!$C77,"")</f>
        <v/>
      </c>
      <c r="M1589" s="43">
        <f>IF($A1589=1,IF(Supplier_Invoices!$V77="CN",0,Supplier_Invoices!$J77),"")</f>
        <v/>
      </c>
      <c r="N1589" s="43">
        <f>IF($A1589=1,IF(Supplier_Invoices!$V77="CN",Supplier_Invoices!$J77,0),"")</f>
        <v/>
      </c>
      <c r="O1589" s="32">
        <f>IF($A1589=1,Supplier_Invoices!$O77,"")</f>
        <v/>
      </c>
      <c r="P1589" s="32">
        <f>IF($A1589=1,IF(Supplier_Invoices!$AE77="","",Supplier_Invoices!$AE77),"")</f>
        <v/>
      </c>
      <c r="Q1589" s="32">
        <f>IF($A1589=1,Supplier_Invoices!$AG77,"")</f>
        <v/>
      </c>
      <c r="R1589" s="32">
        <f>IF($A1589=1,IF(AND($Q1589=1,COUNTIFS(COA!$A:$A,$G1589,COA!$R:$R,1)=1),1,0),"")</f>
        <v/>
      </c>
      <c r="S1589" s="43">
        <f>IF($A1589=1,IF($R1589=1,N($M1589),0),"")</f>
        <v/>
      </c>
      <c r="T1589" s="43">
        <f>IF($A1589=1,IF($R1589=1,N($N1589),0),"")</f>
        <v/>
      </c>
      <c r="U1589" s="32">
        <f>IF($A1589=1,YEAR($D1589)*100+MONTH($D1589),"")</f>
        <v/>
      </c>
      <c r="V1589" s="32">
        <f>IF($A1589=1,IF(COUNTIF(COA!$A:$A,$G1589)=0,0,INDEX(COA!$H:$H,MATCH($G1589,COA!$A:$A,0))),"")</f>
        <v/>
      </c>
      <c r="W1589" s="32">
        <f>IF($A1589=1,"","")</f>
        <v/>
      </c>
      <c r="X1589" s="32">
        <f>IF($A1589=1,IF($R1589=1,"",IF($O1589=ST_POST,IF($P1589&lt;&gt;"",$P1589,"حساب غير صالح أو غير نشط"),IF($O1589=ST_REV,"معكوس: لا أثر على الدفاتر",IF($O1589=ST_CANC,"ملغى",IF($O1589=ST_APPR,"معتمد ولم يُرحَّل","مسودة"))))),"")</f>
        <v/>
      </c>
      <c r="Y1589" s="32">
        <f>IF($A1589=1,IF(AND($R1589=1,OR(LG_Acct="",$G1589=LG_Acct),OR(LG_Party="",$K1589=LG_Party),OR(LG_Loc="ALL",$I1589=LG_Loc),OR(LG_CC="ALL",$J1589=LG_CC),$D1589&gt;=LG_From,$D1589&lt;=LG_To),$D1589+ROW()/1000000,""),"")</f>
        <v/>
      </c>
      <c r="Z1589" s="32">
        <f>IF($A1589=1,IF(Supplier_Invoices!$P77="","",Supplier_Invoices!$P77),"")</f>
        <v/>
      </c>
      <c r="AA1589" s="32">
        <f>IF($A1589=1,IF(Supplier_Invoices!$Q77="","",Supplier_Invoices!$Q77),"")</f>
        <v/>
      </c>
      <c r="AB1589" s="32">
        <f>IF($A1589=1,IF(Supplier_Invoices!$R77="","",Supplier_Invoices!$R77),"")</f>
        <v/>
      </c>
      <c r="AC1589" s="32">
        <f>IF($A1589=1,IF(Supplier_Invoices!$S77="","",Supplier_Invoices!$S77),"")</f>
        <v/>
      </c>
      <c r="AD1589" s="32">
        <f>IF($A1589=1,IF(Supplier_Invoices!$T77="","",Supplier_Invoices!$T77),"")</f>
        <v/>
      </c>
      <c r="AE1589" s="32">
        <f>IF($A1589=1,0,"")</f>
        <v/>
      </c>
      <c r="AF1589" s="32" t="inlineStr"/>
    </row>
    <row r="1590">
      <c r="A1590" s="32">
        <f>IF(AND(Supplier_Invoices!$AD77=1,N(Supplier_Invoices!$K77)&gt;0),1,0)</f>
        <v/>
      </c>
      <c r="B1590" s="32">
        <f>IF($A1590=1,$E1590&amp;"/2","")</f>
        <v/>
      </c>
      <c r="C1590" s="32">
        <f>IF($A1590=1,"J-"&amp;Supplier_Invoices!$A77,"")</f>
        <v/>
      </c>
      <c r="D1590" s="33">
        <f>IF($A1590=1,Supplier_Invoices!$E77,"")</f>
        <v/>
      </c>
      <c r="E1590" s="32">
        <f>IF($A1590=1,IF(Supplier_Invoices!$A77="","",Supplier_Invoices!$A77),"")</f>
        <v/>
      </c>
      <c r="F1590" s="32">
        <f>IF($A1590=1,"SINV","")</f>
        <v/>
      </c>
      <c r="G1590" s="32">
        <f>IF($A1590=1,ACC_VAT_IN,"")</f>
        <v/>
      </c>
      <c r="H1590" s="32">
        <f>IF($A1590=1,IF(COUNTIF(COA!$A:$A,$G1590)=0,"حساب غير معرف",INDEX(COA!$B:$B,MATCH($G1590,COA!$A:$A,0))),"")</f>
        <v/>
      </c>
      <c r="I1590" s="32">
        <f>IF($A1590=1,IF(Supplier_Invoices!$H77="","",Supplier_Invoices!$H77),"")</f>
        <v/>
      </c>
      <c r="J1590" s="32">
        <f>IF($A1590=1,IF(Supplier_Invoices!$I77="","",Supplier_Invoices!$I77),"")</f>
        <v/>
      </c>
      <c r="K1590" s="32">
        <f>IF($A1590=1,"-","")</f>
        <v/>
      </c>
      <c r="L1590" s="32">
        <f>IF($A1590=1,"ضريبة قيمة مضافة - مدخلات","")</f>
        <v/>
      </c>
      <c r="M1590" s="43">
        <f>IF($A1590=1,IF(Supplier_Invoices!$V77="CN",0,Supplier_Invoices!$K77),"")</f>
        <v/>
      </c>
      <c r="N1590" s="43">
        <f>IF($A1590=1,IF(Supplier_Invoices!$V77="CN",Supplier_Invoices!$K77,0),"")</f>
        <v/>
      </c>
      <c r="O1590" s="32">
        <f>IF($A1590=1,Supplier_Invoices!$O77,"")</f>
        <v/>
      </c>
      <c r="P1590" s="32">
        <f>IF($A1590=1,IF(Supplier_Invoices!$AE77="","",Supplier_Invoices!$AE77),"")</f>
        <v/>
      </c>
      <c r="Q1590" s="32">
        <f>IF($A1590=1,Supplier_Invoices!$AG77,"")</f>
        <v/>
      </c>
      <c r="R1590" s="32">
        <f>IF($A1590=1,IF(AND($Q1590=1,COUNTIFS(COA!$A:$A,$G1590,COA!$R:$R,1)=1),1,0),"")</f>
        <v/>
      </c>
      <c r="S1590" s="43">
        <f>IF($A1590=1,IF($R1590=1,N($M1590),0),"")</f>
        <v/>
      </c>
      <c r="T1590" s="43">
        <f>IF($A1590=1,IF($R1590=1,N($N1590),0),"")</f>
        <v/>
      </c>
      <c r="U1590" s="32">
        <f>IF($A1590=1,YEAR($D1590)*100+MONTH($D1590),"")</f>
        <v/>
      </c>
      <c r="V1590" s="32">
        <f>IF($A1590=1,IF(COUNTIF(COA!$A:$A,$G1590)=0,0,INDEX(COA!$H:$H,MATCH($G1590,COA!$A:$A,0))),"")</f>
        <v/>
      </c>
      <c r="W1590" s="32">
        <f>IF($A1590=1,"","")</f>
        <v/>
      </c>
      <c r="X1590" s="32">
        <f>IF($A1590=1,IF($R1590=1,"",IF($O1590=ST_POST,IF($P1590&lt;&gt;"",$P1590,"حساب غير صالح أو غير نشط"),IF($O1590=ST_REV,"معكوس: لا أثر على الدفاتر",IF($O1590=ST_CANC,"ملغى",IF($O1590=ST_APPR,"معتمد ولم يُرحَّل","مسودة"))))),"")</f>
        <v/>
      </c>
      <c r="Y1590" s="32">
        <f>IF($A1590=1,IF(AND($R1590=1,OR(LG_Acct="",$G1590=LG_Acct),OR(LG_Party="",$K1590=LG_Party),OR(LG_Loc="ALL",$I1590=LG_Loc),OR(LG_CC="ALL",$J1590=LG_CC),$D1590&gt;=LG_From,$D1590&lt;=LG_To),$D1590+ROW()/1000000,""),"")</f>
        <v/>
      </c>
      <c r="Z1590" s="32">
        <f>IF($A1590=1,IF(Supplier_Invoices!$P77="","",Supplier_Invoices!$P77),"")</f>
        <v/>
      </c>
      <c r="AA1590" s="32">
        <f>IF($A1590=1,IF(Supplier_Invoices!$Q77="","",Supplier_Invoices!$Q77),"")</f>
        <v/>
      </c>
      <c r="AB1590" s="32">
        <f>IF($A1590=1,IF(Supplier_Invoices!$R77="","",Supplier_Invoices!$R77),"")</f>
        <v/>
      </c>
      <c r="AC1590" s="32">
        <f>IF($A1590=1,IF(Supplier_Invoices!$S77="","",Supplier_Invoices!$S77),"")</f>
        <v/>
      </c>
      <c r="AD1590" s="32">
        <f>IF($A1590=1,IF(Supplier_Invoices!$T77="","",Supplier_Invoices!$T77),"")</f>
        <v/>
      </c>
      <c r="AE1590" s="32">
        <f>IF($A1590=1,0,"")</f>
        <v/>
      </c>
      <c r="AF1590" s="32" t="inlineStr"/>
    </row>
    <row r="1591">
      <c r="A1591" s="32">
        <f>IF(AND(Supplier_Invoices!$AD77=1,N(Supplier_Invoices!$W77)&gt;0),1,0)</f>
        <v/>
      </c>
      <c r="B1591" s="32">
        <f>IF($A1591=1,$E1591&amp;"/3","")</f>
        <v/>
      </c>
      <c r="C1591" s="32">
        <f>IF($A1591=1,"J-"&amp;Supplier_Invoices!$A77,"")</f>
        <v/>
      </c>
      <c r="D1591" s="33">
        <f>IF($A1591=1,Supplier_Invoices!$E77,"")</f>
        <v/>
      </c>
      <c r="E1591" s="32">
        <f>IF($A1591=1,IF(Supplier_Invoices!$A77="","",Supplier_Invoices!$A77),"")</f>
        <v/>
      </c>
      <c r="F1591" s="32">
        <f>IF($A1591=1,"SINV","")</f>
        <v/>
      </c>
      <c r="G1591" s="32">
        <f>IF($A1591=1,ACC_SUPPLIERS,"")</f>
        <v/>
      </c>
      <c r="H1591" s="32">
        <f>IF($A1591=1,IF(COUNTIF(COA!$A:$A,$G1591)=0,"حساب غير معرف",INDEX(COA!$B:$B,MATCH($G1591,COA!$A:$A,0))),"")</f>
        <v/>
      </c>
      <c r="I1591" s="32">
        <f>IF($A1591=1,IF(Supplier_Invoices!$H77="","",Supplier_Invoices!$H77),"")</f>
        <v/>
      </c>
      <c r="J1591" s="32">
        <f>IF($A1591=1,"CC00","")</f>
        <v/>
      </c>
      <c r="K1591" s="32">
        <f>IF($A1591=1,IF(Supplier_Invoices!$C77="","",Supplier_Invoices!$C77),"")</f>
        <v/>
      </c>
      <c r="L1591" s="32">
        <f>IF($A1591=1,Supplier_Invoices!$F77&amp;" "&amp;Supplier_Invoices!$B77&amp;" - "&amp;Supplier_Invoices!$C77,"")</f>
        <v/>
      </c>
      <c r="M1591" s="43">
        <f>IF($A1591=1,IF(Supplier_Invoices!$V77="CN",Supplier_Invoices!$W77,0),"")</f>
        <v/>
      </c>
      <c r="N1591" s="43">
        <f>IF($A1591=1,IF(Supplier_Invoices!$V77="CN",0,Supplier_Invoices!$W77),"")</f>
        <v/>
      </c>
      <c r="O1591" s="32">
        <f>IF($A1591=1,Supplier_Invoices!$O77,"")</f>
        <v/>
      </c>
      <c r="P1591" s="32">
        <f>IF($A1591=1,IF(Supplier_Invoices!$AE77="","",Supplier_Invoices!$AE77),"")</f>
        <v/>
      </c>
      <c r="Q1591" s="32">
        <f>IF($A1591=1,Supplier_Invoices!$AG77,"")</f>
        <v/>
      </c>
      <c r="R1591" s="32">
        <f>IF($A1591=1,IF(AND($Q1591=1,COUNTIFS(COA!$A:$A,$G1591,COA!$R:$R,1)=1),1,0),"")</f>
        <v/>
      </c>
      <c r="S1591" s="43">
        <f>IF($A1591=1,IF($R1591=1,N($M1591),0),"")</f>
        <v/>
      </c>
      <c r="T1591" s="43">
        <f>IF($A1591=1,IF($R1591=1,N($N1591),0),"")</f>
        <v/>
      </c>
      <c r="U1591" s="32">
        <f>IF($A1591=1,YEAR($D1591)*100+MONTH($D1591),"")</f>
        <v/>
      </c>
      <c r="V1591" s="32">
        <f>IF($A1591=1,IF(COUNTIF(COA!$A:$A,$G1591)=0,0,INDEX(COA!$H:$H,MATCH($G1591,COA!$A:$A,0))),"")</f>
        <v/>
      </c>
      <c r="W1591" s="32">
        <f>IF($A1591=1,"","")</f>
        <v/>
      </c>
      <c r="X1591" s="32">
        <f>IF($A1591=1,IF($R1591=1,"",IF($O1591=ST_POST,IF($P1591&lt;&gt;"",$P1591,"حساب غير صالح أو غير نشط"),IF($O1591=ST_REV,"معكوس: لا أثر على الدفاتر",IF($O1591=ST_CANC,"ملغى",IF($O1591=ST_APPR,"معتمد ولم يُرحَّل","مسودة"))))),"")</f>
        <v/>
      </c>
      <c r="Y1591" s="32">
        <f>IF($A1591=1,IF(AND($R1591=1,OR(LG_Acct="",$G1591=LG_Acct),OR(LG_Party="",$K1591=LG_Party),OR(LG_Loc="ALL",$I1591=LG_Loc),OR(LG_CC="ALL",$J1591=LG_CC),$D1591&gt;=LG_From,$D1591&lt;=LG_To),$D1591+ROW()/1000000,""),"")</f>
        <v/>
      </c>
      <c r="Z1591" s="32">
        <f>IF($A1591=1,IF(Supplier_Invoices!$P77="","",Supplier_Invoices!$P77),"")</f>
        <v/>
      </c>
      <c r="AA1591" s="32">
        <f>IF($A1591=1,IF(Supplier_Invoices!$Q77="","",Supplier_Invoices!$Q77),"")</f>
        <v/>
      </c>
      <c r="AB1591" s="32">
        <f>IF($A1591=1,IF(Supplier_Invoices!$R77="","",Supplier_Invoices!$R77),"")</f>
        <v/>
      </c>
      <c r="AC1591" s="32">
        <f>IF($A1591=1,IF(Supplier_Invoices!$S77="","",Supplier_Invoices!$S77),"")</f>
        <v/>
      </c>
      <c r="AD1591" s="32">
        <f>IF($A1591=1,IF(Supplier_Invoices!$T77="","",Supplier_Invoices!$T77),"")</f>
        <v/>
      </c>
      <c r="AE1591" s="32">
        <f>IF($A1591=1,0,"")</f>
        <v/>
      </c>
      <c r="AF1591" s="32" t="inlineStr"/>
    </row>
    <row r="1592">
      <c r="A1592" s="32">
        <f>IF(AND(Supplier_Invoices!$AD77=1,Supplier_Invoices!$L77&lt;&gt;"",Supplier_Invoices!$V77&lt;&gt;"CN",N(Supplier_Invoices!$W77)&gt;0),1,0)</f>
        <v/>
      </c>
      <c r="B1592" s="32">
        <f>IF($A1592=1,$E1592&amp;"/4","")</f>
        <v/>
      </c>
      <c r="C1592" s="32">
        <f>IF($A1592=1,"J-"&amp;Supplier_Invoices!$A77,"")</f>
        <v/>
      </c>
      <c r="D1592" s="33">
        <f>IF($A1592=1,Supplier_Invoices!$E77,"")</f>
        <v/>
      </c>
      <c r="E1592" s="32">
        <f>IF($A1592=1,IF(Supplier_Invoices!$A77="","",Supplier_Invoices!$A77),"")</f>
        <v/>
      </c>
      <c r="F1592" s="32">
        <f>IF($A1592=1,"SINV","")</f>
        <v/>
      </c>
      <c r="G1592" s="32">
        <f>IF($A1592=1,ACC_SUPPLIERS,"")</f>
        <v/>
      </c>
      <c r="H1592" s="32">
        <f>IF($A1592=1,IF(COUNTIF(COA!$A:$A,$G1592)=0,"حساب غير معرف",INDEX(COA!$B:$B,MATCH($G1592,COA!$A:$A,0))),"")</f>
        <v/>
      </c>
      <c r="I1592" s="32">
        <f>IF($A1592=1,IF(Supplier_Invoices!$H77="","",Supplier_Invoices!$H77),"")</f>
        <v/>
      </c>
      <c r="J1592" s="32">
        <f>IF($A1592=1,"CC00","")</f>
        <v/>
      </c>
      <c r="K1592" s="32">
        <f>IF($A1592=1,IF(Supplier_Invoices!$C77="","",Supplier_Invoices!$C77),"")</f>
        <v/>
      </c>
      <c r="L1592" s="32">
        <f>IF($A1592=1,"سداد فوري - "&amp;Supplier_Invoices!$F77&amp;" "&amp;Supplier_Invoices!$B77&amp;" - "&amp;Supplier_Invoices!$C77,"")</f>
        <v/>
      </c>
      <c r="M1592" s="43">
        <f>IF($A1592=1,Supplier_Invoices!$W77,"")</f>
        <v/>
      </c>
      <c r="N1592" s="43">
        <f>IF($A1592=1,0,"")</f>
        <v/>
      </c>
      <c r="O1592" s="32">
        <f>IF($A1592=1,Supplier_Invoices!$O77,"")</f>
        <v/>
      </c>
      <c r="P1592" s="32">
        <f>IF($A1592=1,IF(Supplier_Invoices!$AE77="","",Supplier_Invoices!$AE77),"")</f>
        <v/>
      </c>
      <c r="Q1592" s="32">
        <f>IF($A1592=1,Supplier_Invoices!$AG77,"")</f>
        <v/>
      </c>
      <c r="R1592" s="32">
        <f>IF($A1592=1,IF(AND($Q1592=1,COUNTIFS(COA!$A:$A,$G1592,COA!$R:$R,1)=1),1,0),"")</f>
        <v/>
      </c>
      <c r="S1592" s="43">
        <f>IF($A1592=1,IF($R1592=1,N($M1592),0),"")</f>
        <v/>
      </c>
      <c r="T1592" s="43">
        <f>IF($A1592=1,IF($R1592=1,N($N1592),0),"")</f>
        <v/>
      </c>
      <c r="U1592" s="32">
        <f>IF($A1592=1,YEAR($D1592)*100+MONTH($D1592),"")</f>
        <v/>
      </c>
      <c r="V1592" s="32">
        <f>IF($A1592=1,IF(COUNTIF(COA!$A:$A,$G1592)=0,0,INDEX(COA!$H:$H,MATCH($G1592,COA!$A:$A,0))),"")</f>
        <v/>
      </c>
      <c r="W1592" s="32">
        <f>IF($A1592=1,"","")</f>
        <v/>
      </c>
      <c r="X1592" s="32">
        <f>IF($A1592=1,IF($R1592=1,"",IF($O1592=ST_POST,IF($P1592&lt;&gt;"",$P1592,"حساب غير صالح أو غير نشط"),IF($O1592=ST_REV,"معكوس: لا أثر على الدفاتر",IF($O1592=ST_CANC,"ملغى",IF($O1592=ST_APPR,"معتمد ولم يُرحَّل","مسودة"))))),"")</f>
        <v/>
      </c>
      <c r="Y1592" s="32">
        <f>IF($A1592=1,IF(AND($R1592=1,OR(LG_Acct="",$G1592=LG_Acct),OR(LG_Party="",$K1592=LG_Party),OR(LG_Loc="ALL",$I1592=LG_Loc),OR(LG_CC="ALL",$J1592=LG_CC),$D1592&gt;=LG_From,$D1592&lt;=LG_To),$D1592+ROW()/1000000,""),"")</f>
        <v/>
      </c>
      <c r="Z1592" s="32">
        <f>IF($A1592=1,IF(Supplier_Invoices!$P77="","",Supplier_Invoices!$P77),"")</f>
        <v/>
      </c>
      <c r="AA1592" s="32">
        <f>IF($A1592=1,IF(Supplier_Invoices!$Q77="","",Supplier_Invoices!$Q77),"")</f>
        <v/>
      </c>
      <c r="AB1592" s="32">
        <f>IF($A1592=1,IF(Supplier_Invoices!$R77="","",Supplier_Invoices!$R77),"")</f>
        <v/>
      </c>
      <c r="AC1592" s="32">
        <f>IF($A1592=1,IF(Supplier_Invoices!$S77="","",Supplier_Invoices!$S77),"")</f>
        <v/>
      </c>
      <c r="AD1592" s="32">
        <f>IF($A1592=1,IF(Supplier_Invoices!$T77="","",Supplier_Invoices!$T77),"")</f>
        <v/>
      </c>
      <c r="AE1592" s="32">
        <f>IF($A1592=1,0,"")</f>
        <v/>
      </c>
      <c r="AF1592" s="32" t="inlineStr"/>
    </row>
    <row r="1593">
      <c r="A1593" s="32">
        <f>IF(AND(Supplier_Invoices!$AD77=1,Supplier_Invoices!$L77&lt;&gt;"",Supplier_Invoices!$V77&lt;&gt;"CN",N(Supplier_Invoices!$W77)&gt;0),1,0)</f>
        <v/>
      </c>
      <c r="B1593" s="32">
        <f>IF($A1593=1,$E1593&amp;"/5","")</f>
        <v/>
      </c>
      <c r="C1593" s="32">
        <f>IF($A1593=1,"J-"&amp;Supplier_Invoices!$A77,"")</f>
        <v/>
      </c>
      <c r="D1593" s="33">
        <f>IF($A1593=1,Supplier_Invoices!$E77,"")</f>
        <v/>
      </c>
      <c r="E1593" s="32">
        <f>IF($A1593=1,IF(Supplier_Invoices!$A77="","",Supplier_Invoices!$A77),"")</f>
        <v/>
      </c>
      <c r="F1593" s="32">
        <f>IF($A1593=1,"SINV","")</f>
        <v/>
      </c>
      <c r="G1593" s="32">
        <f>IF($A1593=1,IF(Supplier_Invoices!$AA77="","",Supplier_Invoices!$AA77),"")</f>
        <v/>
      </c>
      <c r="H1593" s="32">
        <f>IF($A1593=1,IF(COUNTIF(COA!$A:$A,$G1593)=0,"حساب غير معرف",INDEX(COA!$B:$B,MATCH($G1593,COA!$A:$A,0))),"")</f>
        <v/>
      </c>
      <c r="I1593" s="32">
        <f>IF($A1593=1,IF(Supplier_Invoices!$H77="","",Supplier_Invoices!$H77),"")</f>
        <v/>
      </c>
      <c r="J1593" s="32">
        <f>IF($A1593=1,"CC00","")</f>
        <v/>
      </c>
      <c r="K1593" s="32">
        <f>IF($A1593=1,"-","")</f>
        <v/>
      </c>
      <c r="L1593" s="32">
        <f>IF($A1593=1,"سداد فوري - "&amp;Supplier_Invoices!$F77&amp;" "&amp;Supplier_Invoices!$B77&amp;" - "&amp;Supplier_Invoices!$C77,"")</f>
        <v/>
      </c>
      <c r="M1593" s="43">
        <f>IF($A1593=1,0,"")</f>
        <v/>
      </c>
      <c r="N1593" s="43">
        <f>IF($A1593=1,Supplier_Invoices!$W77,"")</f>
        <v/>
      </c>
      <c r="O1593" s="32">
        <f>IF($A1593=1,Supplier_Invoices!$O77,"")</f>
        <v/>
      </c>
      <c r="P1593" s="32">
        <f>IF($A1593=1,IF(Supplier_Invoices!$AE77="","",Supplier_Invoices!$AE77),"")</f>
        <v/>
      </c>
      <c r="Q1593" s="32">
        <f>IF($A1593=1,Supplier_Invoices!$AG77,"")</f>
        <v/>
      </c>
      <c r="R1593" s="32">
        <f>IF($A1593=1,IF(AND($Q1593=1,COUNTIFS(COA!$A:$A,$G1593,COA!$R:$R,1)=1),1,0),"")</f>
        <v/>
      </c>
      <c r="S1593" s="43">
        <f>IF($A1593=1,IF($R1593=1,N($M1593),0),"")</f>
        <v/>
      </c>
      <c r="T1593" s="43">
        <f>IF($A1593=1,IF($R1593=1,N($N1593),0),"")</f>
        <v/>
      </c>
      <c r="U1593" s="32">
        <f>IF($A1593=1,YEAR($D1593)*100+MONTH($D1593),"")</f>
        <v/>
      </c>
      <c r="V1593" s="32">
        <f>IF($A1593=1,IF(COUNTIF(COA!$A:$A,$G1593)=0,0,INDEX(COA!$H:$H,MATCH($G1593,COA!$A:$A,0))),"")</f>
        <v/>
      </c>
      <c r="W1593" s="32">
        <f>IF($A1593=1,IF(Supplier_Invoices!$AB77="","",Supplier_Invoices!$AB77),"")</f>
        <v/>
      </c>
      <c r="X1593" s="32">
        <f>IF($A1593=1,IF($R1593=1,"",IF($O1593=ST_POST,IF($P1593&lt;&gt;"",$P1593,"حساب غير صالح أو غير نشط"),IF($O1593=ST_REV,"معكوس: لا أثر على الدفاتر",IF($O1593=ST_CANC,"ملغى",IF($O1593=ST_APPR,"معتمد ولم يُرحَّل","مسودة"))))),"")</f>
        <v/>
      </c>
      <c r="Y1593" s="32">
        <f>IF($A1593=1,IF(AND($R1593=1,OR(LG_Acct="",$G1593=LG_Acct),OR(LG_Party="",$K1593=LG_Party),OR(LG_Loc="ALL",$I1593=LG_Loc),OR(LG_CC="ALL",$J1593=LG_CC),$D1593&gt;=LG_From,$D1593&lt;=LG_To),$D1593+ROW()/1000000,""),"")</f>
        <v/>
      </c>
      <c r="Z1593" s="32">
        <f>IF($A1593=1,IF(Supplier_Invoices!$P77="","",Supplier_Invoices!$P77),"")</f>
        <v/>
      </c>
      <c r="AA1593" s="32">
        <f>IF($A1593=1,IF(Supplier_Invoices!$Q77="","",Supplier_Invoices!$Q77),"")</f>
        <v/>
      </c>
      <c r="AB1593" s="32">
        <f>IF($A1593=1,IF(Supplier_Invoices!$R77="","",Supplier_Invoices!$R77),"")</f>
        <v/>
      </c>
      <c r="AC1593" s="32">
        <f>IF($A1593=1,IF(Supplier_Invoices!$S77="","",Supplier_Invoices!$S77),"")</f>
        <v/>
      </c>
      <c r="AD1593" s="32">
        <f>IF($A1593=1,IF(Supplier_Invoices!$T77="","",Supplier_Invoices!$T77),"")</f>
        <v/>
      </c>
      <c r="AE1593" s="32">
        <f>IF($A1593=1,0,"")</f>
        <v/>
      </c>
      <c r="AF1593" s="32" t="inlineStr"/>
    </row>
    <row r="1594">
      <c r="A1594" s="32">
        <f>IF(AND(Supplier_Invoices!$AD78=1,N(Supplier_Invoices!$J78)&gt;0),1,0)</f>
        <v/>
      </c>
      <c r="B1594" s="32">
        <f>IF($A1594=1,$E1594&amp;"/1","")</f>
        <v/>
      </c>
      <c r="C1594" s="32">
        <f>IF($A1594=1,"J-"&amp;Supplier_Invoices!$A78,"")</f>
        <v/>
      </c>
      <c r="D1594" s="33">
        <f>IF($A1594=1,Supplier_Invoices!$E78,"")</f>
        <v/>
      </c>
      <c r="E1594" s="32">
        <f>IF($A1594=1,IF(Supplier_Invoices!$A78="","",Supplier_Invoices!$A78),"")</f>
        <v/>
      </c>
      <c r="F1594" s="32">
        <f>IF($A1594=1,"SINV","")</f>
        <v/>
      </c>
      <c r="G1594" s="32">
        <f>IF($A1594=1,IF(Supplier_Invoices!$G78="","",Supplier_Invoices!$G78),"")</f>
        <v/>
      </c>
      <c r="H1594" s="32">
        <f>IF($A1594=1,IF(COUNTIF(COA!$A:$A,$G1594)=0,"حساب غير معرف",INDEX(COA!$B:$B,MATCH($G1594,COA!$A:$A,0))),"")</f>
        <v/>
      </c>
      <c r="I1594" s="32">
        <f>IF($A1594=1,IF(Supplier_Invoices!$H78="","",Supplier_Invoices!$H78),"")</f>
        <v/>
      </c>
      <c r="J1594" s="32">
        <f>IF($A1594=1,IF(Supplier_Invoices!$I78="","",Supplier_Invoices!$I78),"")</f>
        <v/>
      </c>
      <c r="K1594" s="32">
        <f>IF($A1594=1,"-","")</f>
        <v/>
      </c>
      <c r="L1594" s="32">
        <f>IF($A1594=1,Supplier_Invoices!$F78&amp;" "&amp;Supplier_Invoices!$B78&amp;" - "&amp;Supplier_Invoices!$C78,"")</f>
        <v/>
      </c>
      <c r="M1594" s="43">
        <f>IF($A1594=1,IF(Supplier_Invoices!$V78="CN",0,Supplier_Invoices!$J78),"")</f>
        <v/>
      </c>
      <c r="N1594" s="43">
        <f>IF($A1594=1,IF(Supplier_Invoices!$V78="CN",Supplier_Invoices!$J78,0),"")</f>
        <v/>
      </c>
      <c r="O1594" s="32">
        <f>IF($A1594=1,Supplier_Invoices!$O78,"")</f>
        <v/>
      </c>
      <c r="P1594" s="32">
        <f>IF($A1594=1,IF(Supplier_Invoices!$AE78="","",Supplier_Invoices!$AE78),"")</f>
        <v/>
      </c>
      <c r="Q1594" s="32">
        <f>IF($A1594=1,Supplier_Invoices!$AG78,"")</f>
        <v/>
      </c>
      <c r="R1594" s="32">
        <f>IF($A1594=1,IF(AND($Q1594=1,COUNTIFS(COA!$A:$A,$G1594,COA!$R:$R,1)=1),1,0),"")</f>
        <v/>
      </c>
      <c r="S1594" s="43">
        <f>IF($A1594=1,IF($R1594=1,N($M1594),0),"")</f>
        <v/>
      </c>
      <c r="T1594" s="43">
        <f>IF($A1594=1,IF($R1594=1,N($N1594),0),"")</f>
        <v/>
      </c>
      <c r="U1594" s="32">
        <f>IF($A1594=1,YEAR($D1594)*100+MONTH($D1594),"")</f>
        <v/>
      </c>
      <c r="V1594" s="32">
        <f>IF($A1594=1,IF(COUNTIF(COA!$A:$A,$G1594)=0,0,INDEX(COA!$H:$H,MATCH($G1594,COA!$A:$A,0))),"")</f>
        <v/>
      </c>
      <c r="W1594" s="32">
        <f>IF($A1594=1,"","")</f>
        <v/>
      </c>
      <c r="X1594" s="32">
        <f>IF($A1594=1,IF($R1594=1,"",IF($O1594=ST_POST,IF($P1594&lt;&gt;"",$P1594,"حساب غير صالح أو غير نشط"),IF($O1594=ST_REV,"معكوس: لا أثر على الدفاتر",IF($O1594=ST_CANC,"ملغى",IF($O1594=ST_APPR,"معتمد ولم يُرحَّل","مسودة"))))),"")</f>
        <v/>
      </c>
      <c r="Y1594" s="32">
        <f>IF($A1594=1,IF(AND($R1594=1,OR(LG_Acct="",$G1594=LG_Acct),OR(LG_Party="",$K1594=LG_Party),OR(LG_Loc="ALL",$I1594=LG_Loc),OR(LG_CC="ALL",$J1594=LG_CC),$D1594&gt;=LG_From,$D1594&lt;=LG_To),$D1594+ROW()/1000000,""),"")</f>
        <v/>
      </c>
      <c r="Z1594" s="32">
        <f>IF($A1594=1,IF(Supplier_Invoices!$P78="","",Supplier_Invoices!$P78),"")</f>
        <v/>
      </c>
      <c r="AA1594" s="32">
        <f>IF($A1594=1,IF(Supplier_Invoices!$Q78="","",Supplier_Invoices!$Q78),"")</f>
        <v/>
      </c>
      <c r="AB1594" s="32">
        <f>IF($A1594=1,IF(Supplier_Invoices!$R78="","",Supplier_Invoices!$R78),"")</f>
        <v/>
      </c>
      <c r="AC1594" s="32">
        <f>IF($A1594=1,IF(Supplier_Invoices!$S78="","",Supplier_Invoices!$S78),"")</f>
        <v/>
      </c>
      <c r="AD1594" s="32">
        <f>IF($A1594=1,IF(Supplier_Invoices!$T78="","",Supplier_Invoices!$T78),"")</f>
        <v/>
      </c>
      <c r="AE1594" s="32">
        <f>IF($A1594=1,0,"")</f>
        <v/>
      </c>
      <c r="AF1594" s="32" t="inlineStr"/>
    </row>
    <row r="1595">
      <c r="A1595" s="32">
        <f>IF(AND(Supplier_Invoices!$AD78=1,N(Supplier_Invoices!$K78)&gt;0),1,0)</f>
        <v/>
      </c>
      <c r="B1595" s="32">
        <f>IF($A1595=1,$E1595&amp;"/2","")</f>
        <v/>
      </c>
      <c r="C1595" s="32">
        <f>IF($A1595=1,"J-"&amp;Supplier_Invoices!$A78,"")</f>
        <v/>
      </c>
      <c r="D1595" s="33">
        <f>IF($A1595=1,Supplier_Invoices!$E78,"")</f>
        <v/>
      </c>
      <c r="E1595" s="32">
        <f>IF($A1595=1,IF(Supplier_Invoices!$A78="","",Supplier_Invoices!$A78),"")</f>
        <v/>
      </c>
      <c r="F1595" s="32">
        <f>IF($A1595=1,"SINV","")</f>
        <v/>
      </c>
      <c r="G1595" s="32">
        <f>IF($A1595=1,ACC_VAT_IN,"")</f>
        <v/>
      </c>
      <c r="H1595" s="32">
        <f>IF($A1595=1,IF(COUNTIF(COA!$A:$A,$G1595)=0,"حساب غير معرف",INDEX(COA!$B:$B,MATCH($G1595,COA!$A:$A,0))),"")</f>
        <v/>
      </c>
      <c r="I1595" s="32">
        <f>IF($A1595=1,IF(Supplier_Invoices!$H78="","",Supplier_Invoices!$H78),"")</f>
        <v/>
      </c>
      <c r="J1595" s="32">
        <f>IF($A1595=1,IF(Supplier_Invoices!$I78="","",Supplier_Invoices!$I78),"")</f>
        <v/>
      </c>
      <c r="K1595" s="32">
        <f>IF($A1595=1,"-","")</f>
        <v/>
      </c>
      <c r="L1595" s="32">
        <f>IF($A1595=1,"ضريبة قيمة مضافة - مدخلات","")</f>
        <v/>
      </c>
      <c r="M1595" s="43">
        <f>IF($A1595=1,IF(Supplier_Invoices!$V78="CN",0,Supplier_Invoices!$K78),"")</f>
        <v/>
      </c>
      <c r="N1595" s="43">
        <f>IF($A1595=1,IF(Supplier_Invoices!$V78="CN",Supplier_Invoices!$K78,0),"")</f>
        <v/>
      </c>
      <c r="O1595" s="32">
        <f>IF($A1595=1,Supplier_Invoices!$O78,"")</f>
        <v/>
      </c>
      <c r="P1595" s="32">
        <f>IF($A1595=1,IF(Supplier_Invoices!$AE78="","",Supplier_Invoices!$AE78),"")</f>
        <v/>
      </c>
      <c r="Q1595" s="32">
        <f>IF($A1595=1,Supplier_Invoices!$AG78,"")</f>
        <v/>
      </c>
      <c r="R1595" s="32">
        <f>IF($A1595=1,IF(AND($Q1595=1,COUNTIFS(COA!$A:$A,$G1595,COA!$R:$R,1)=1),1,0),"")</f>
        <v/>
      </c>
      <c r="S1595" s="43">
        <f>IF($A1595=1,IF($R1595=1,N($M1595),0),"")</f>
        <v/>
      </c>
      <c r="T1595" s="43">
        <f>IF($A1595=1,IF($R1595=1,N($N1595),0),"")</f>
        <v/>
      </c>
      <c r="U1595" s="32">
        <f>IF($A1595=1,YEAR($D1595)*100+MONTH($D1595),"")</f>
        <v/>
      </c>
      <c r="V1595" s="32">
        <f>IF($A1595=1,IF(COUNTIF(COA!$A:$A,$G1595)=0,0,INDEX(COA!$H:$H,MATCH($G1595,COA!$A:$A,0))),"")</f>
        <v/>
      </c>
      <c r="W1595" s="32">
        <f>IF($A1595=1,"","")</f>
        <v/>
      </c>
      <c r="X1595" s="32">
        <f>IF($A1595=1,IF($R1595=1,"",IF($O1595=ST_POST,IF($P1595&lt;&gt;"",$P1595,"حساب غير صالح أو غير نشط"),IF($O1595=ST_REV,"معكوس: لا أثر على الدفاتر",IF($O1595=ST_CANC,"ملغى",IF($O1595=ST_APPR,"معتمد ولم يُرحَّل","مسودة"))))),"")</f>
        <v/>
      </c>
      <c r="Y1595" s="32">
        <f>IF($A1595=1,IF(AND($R1595=1,OR(LG_Acct="",$G1595=LG_Acct),OR(LG_Party="",$K1595=LG_Party),OR(LG_Loc="ALL",$I1595=LG_Loc),OR(LG_CC="ALL",$J1595=LG_CC),$D1595&gt;=LG_From,$D1595&lt;=LG_To),$D1595+ROW()/1000000,""),"")</f>
        <v/>
      </c>
      <c r="Z1595" s="32">
        <f>IF($A1595=1,IF(Supplier_Invoices!$P78="","",Supplier_Invoices!$P78),"")</f>
        <v/>
      </c>
      <c r="AA1595" s="32">
        <f>IF($A1595=1,IF(Supplier_Invoices!$Q78="","",Supplier_Invoices!$Q78),"")</f>
        <v/>
      </c>
      <c r="AB1595" s="32">
        <f>IF($A1595=1,IF(Supplier_Invoices!$R78="","",Supplier_Invoices!$R78),"")</f>
        <v/>
      </c>
      <c r="AC1595" s="32">
        <f>IF($A1595=1,IF(Supplier_Invoices!$S78="","",Supplier_Invoices!$S78),"")</f>
        <v/>
      </c>
      <c r="AD1595" s="32">
        <f>IF($A1595=1,IF(Supplier_Invoices!$T78="","",Supplier_Invoices!$T78),"")</f>
        <v/>
      </c>
      <c r="AE1595" s="32">
        <f>IF($A1595=1,0,"")</f>
        <v/>
      </c>
      <c r="AF1595" s="32" t="inlineStr"/>
    </row>
    <row r="1596">
      <c r="A1596" s="32">
        <f>IF(AND(Supplier_Invoices!$AD78=1,N(Supplier_Invoices!$W78)&gt;0),1,0)</f>
        <v/>
      </c>
      <c r="B1596" s="32">
        <f>IF($A1596=1,$E1596&amp;"/3","")</f>
        <v/>
      </c>
      <c r="C1596" s="32">
        <f>IF($A1596=1,"J-"&amp;Supplier_Invoices!$A78,"")</f>
        <v/>
      </c>
      <c r="D1596" s="33">
        <f>IF($A1596=1,Supplier_Invoices!$E78,"")</f>
        <v/>
      </c>
      <c r="E1596" s="32">
        <f>IF($A1596=1,IF(Supplier_Invoices!$A78="","",Supplier_Invoices!$A78),"")</f>
        <v/>
      </c>
      <c r="F1596" s="32">
        <f>IF($A1596=1,"SINV","")</f>
        <v/>
      </c>
      <c r="G1596" s="32">
        <f>IF($A1596=1,ACC_SUPPLIERS,"")</f>
        <v/>
      </c>
      <c r="H1596" s="32">
        <f>IF($A1596=1,IF(COUNTIF(COA!$A:$A,$G1596)=0,"حساب غير معرف",INDEX(COA!$B:$B,MATCH($G1596,COA!$A:$A,0))),"")</f>
        <v/>
      </c>
      <c r="I1596" s="32">
        <f>IF($A1596=1,IF(Supplier_Invoices!$H78="","",Supplier_Invoices!$H78),"")</f>
        <v/>
      </c>
      <c r="J1596" s="32">
        <f>IF($A1596=1,"CC00","")</f>
        <v/>
      </c>
      <c r="K1596" s="32">
        <f>IF($A1596=1,IF(Supplier_Invoices!$C78="","",Supplier_Invoices!$C78),"")</f>
        <v/>
      </c>
      <c r="L1596" s="32">
        <f>IF($A1596=1,Supplier_Invoices!$F78&amp;" "&amp;Supplier_Invoices!$B78&amp;" - "&amp;Supplier_Invoices!$C78,"")</f>
        <v/>
      </c>
      <c r="M1596" s="43">
        <f>IF($A1596=1,IF(Supplier_Invoices!$V78="CN",Supplier_Invoices!$W78,0),"")</f>
        <v/>
      </c>
      <c r="N1596" s="43">
        <f>IF($A1596=1,IF(Supplier_Invoices!$V78="CN",0,Supplier_Invoices!$W78),"")</f>
        <v/>
      </c>
      <c r="O1596" s="32">
        <f>IF($A1596=1,Supplier_Invoices!$O78,"")</f>
        <v/>
      </c>
      <c r="P1596" s="32">
        <f>IF($A1596=1,IF(Supplier_Invoices!$AE78="","",Supplier_Invoices!$AE78),"")</f>
        <v/>
      </c>
      <c r="Q1596" s="32">
        <f>IF($A1596=1,Supplier_Invoices!$AG78,"")</f>
        <v/>
      </c>
      <c r="R1596" s="32">
        <f>IF($A1596=1,IF(AND($Q1596=1,COUNTIFS(COA!$A:$A,$G1596,COA!$R:$R,1)=1),1,0),"")</f>
        <v/>
      </c>
      <c r="S1596" s="43">
        <f>IF($A1596=1,IF($R1596=1,N($M1596),0),"")</f>
        <v/>
      </c>
      <c r="T1596" s="43">
        <f>IF($A1596=1,IF($R1596=1,N($N1596),0),"")</f>
        <v/>
      </c>
      <c r="U1596" s="32">
        <f>IF($A1596=1,YEAR($D1596)*100+MONTH($D1596),"")</f>
        <v/>
      </c>
      <c r="V1596" s="32">
        <f>IF($A1596=1,IF(COUNTIF(COA!$A:$A,$G1596)=0,0,INDEX(COA!$H:$H,MATCH($G1596,COA!$A:$A,0))),"")</f>
        <v/>
      </c>
      <c r="W1596" s="32">
        <f>IF($A1596=1,"","")</f>
        <v/>
      </c>
      <c r="X1596" s="32">
        <f>IF($A1596=1,IF($R1596=1,"",IF($O1596=ST_POST,IF($P1596&lt;&gt;"",$P1596,"حساب غير صالح أو غير نشط"),IF($O1596=ST_REV,"معكوس: لا أثر على الدفاتر",IF($O1596=ST_CANC,"ملغى",IF($O1596=ST_APPR,"معتمد ولم يُرحَّل","مسودة"))))),"")</f>
        <v/>
      </c>
      <c r="Y1596" s="32">
        <f>IF($A1596=1,IF(AND($R1596=1,OR(LG_Acct="",$G1596=LG_Acct),OR(LG_Party="",$K1596=LG_Party),OR(LG_Loc="ALL",$I1596=LG_Loc),OR(LG_CC="ALL",$J1596=LG_CC),$D1596&gt;=LG_From,$D1596&lt;=LG_To),$D1596+ROW()/1000000,""),"")</f>
        <v/>
      </c>
      <c r="Z1596" s="32">
        <f>IF($A1596=1,IF(Supplier_Invoices!$P78="","",Supplier_Invoices!$P78),"")</f>
        <v/>
      </c>
      <c r="AA1596" s="32">
        <f>IF($A1596=1,IF(Supplier_Invoices!$Q78="","",Supplier_Invoices!$Q78),"")</f>
        <v/>
      </c>
      <c r="AB1596" s="32">
        <f>IF($A1596=1,IF(Supplier_Invoices!$R78="","",Supplier_Invoices!$R78),"")</f>
        <v/>
      </c>
      <c r="AC1596" s="32">
        <f>IF($A1596=1,IF(Supplier_Invoices!$S78="","",Supplier_Invoices!$S78),"")</f>
        <v/>
      </c>
      <c r="AD1596" s="32">
        <f>IF($A1596=1,IF(Supplier_Invoices!$T78="","",Supplier_Invoices!$T78),"")</f>
        <v/>
      </c>
      <c r="AE1596" s="32">
        <f>IF($A1596=1,0,"")</f>
        <v/>
      </c>
      <c r="AF1596" s="32" t="inlineStr"/>
    </row>
    <row r="1597">
      <c r="A1597" s="32">
        <f>IF(AND(Supplier_Invoices!$AD78=1,Supplier_Invoices!$L78&lt;&gt;"",Supplier_Invoices!$V78&lt;&gt;"CN",N(Supplier_Invoices!$W78)&gt;0),1,0)</f>
        <v/>
      </c>
      <c r="B1597" s="32">
        <f>IF($A1597=1,$E1597&amp;"/4","")</f>
        <v/>
      </c>
      <c r="C1597" s="32">
        <f>IF($A1597=1,"J-"&amp;Supplier_Invoices!$A78,"")</f>
        <v/>
      </c>
      <c r="D1597" s="33">
        <f>IF($A1597=1,Supplier_Invoices!$E78,"")</f>
        <v/>
      </c>
      <c r="E1597" s="32">
        <f>IF($A1597=1,IF(Supplier_Invoices!$A78="","",Supplier_Invoices!$A78),"")</f>
        <v/>
      </c>
      <c r="F1597" s="32">
        <f>IF($A1597=1,"SINV","")</f>
        <v/>
      </c>
      <c r="G1597" s="32">
        <f>IF($A1597=1,ACC_SUPPLIERS,"")</f>
        <v/>
      </c>
      <c r="H1597" s="32">
        <f>IF($A1597=1,IF(COUNTIF(COA!$A:$A,$G1597)=0,"حساب غير معرف",INDEX(COA!$B:$B,MATCH($G1597,COA!$A:$A,0))),"")</f>
        <v/>
      </c>
      <c r="I1597" s="32">
        <f>IF($A1597=1,IF(Supplier_Invoices!$H78="","",Supplier_Invoices!$H78),"")</f>
        <v/>
      </c>
      <c r="J1597" s="32">
        <f>IF($A1597=1,"CC00","")</f>
        <v/>
      </c>
      <c r="K1597" s="32">
        <f>IF($A1597=1,IF(Supplier_Invoices!$C78="","",Supplier_Invoices!$C78),"")</f>
        <v/>
      </c>
      <c r="L1597" s="32">
        <f>IF($A1597=1,"سداد فوري - "&amp;Supplier_Invoices!$F78&amp;" "&amp;Supplier_Invoices!$B78&amp;" - "&amp;Supplier_Invoices!$C78,"")</f>
        <v/>
      </c>
      <c r="M1597" s="43">
        <f>IF($A1597=1,Supplier_Invoices!$W78,"")</f>
        <v/>
      </c>
      <c r="N1597" s="43">
        <f>IF($A1597=1,0,"")</f>
        <v/>
      </c>
      <c r="O1597" s="32">
        <f>IF($A1597=1,Supplier_Invoices!$O78,"")</f>
        <v/>
      </c>
      <c r="P1597" s="32">
        <f>IF($A1597=1,IF(Supplier_Invoices!$AE78="","",Supplier_Invoices!$AE78),"")</f>
        <v/>
      </c>
      <c r="Q1597" s="32">
        <f>IF($A1597=1,Supplier_Invoices!$AG78,"")</f>
        <v/>
      </c>
      <c r="R1597" s="32">
        <f>IF($A1597=1,IF(AND($Q1597=1,COUNTIFS(COA!$A:$A,$G1597,COA!$R:$R,1)=1),1,0),"")</f>
        <v/>
      </c>
      <c r="S1597" s="43">
        <f>IF($A1597=1,IF($R1597=1,N($M1597),0),"")</f>
        <v/>
      </c>
      <c r="T1597" s="43">
        <f>IF($A1597=1,IF($R1597=1,N($N1597),0),"")</f>
        <v/>
      </c>
      <c r="U1597" s="32">
        <f>IF($A1597=1,YEAR($D1597)*100+MONTH($D1597),"")</f>
        <v/>
      </c>
      <c r="V1597" s="32">
        <f>IF($A1597=1,IF(COUNTIF(COA!$A:$A,$G1597)=0,0,INDEX(COA!$H:$H,MATCH($G1597,COA!$A:$A,0))),"")</f>
        <v/>
      </c>
      <c r="W1597" s="32">
        <f>IF($A1597=1,"","")</f>
        <v/>
      </c>
      <c r="X1597" s="32">
        <f>IF($A1597=1,IF($R1597=1,"",IF($O1597=ST_POST,IF($P1597&lt;&gt;"",$P1597,"حساب غير صالح أو غير نشط"),IF($O1597=ST_REV,"معكوس: لا أثر على الدفاتر",IF($O1597=ST_CANC,"ملغى",IF($O1597=ST_APPR,"معتمد ولم يُرحَّل","مسودة"))))),"")</f>
        <v/>
      </c>
      <c r="Y1597" s="32">
        <f>IF($A1597=1,IF(AND($R1597=1,OR(LG_Acct="",$G1597=LG_Acct),OR(LG_Party="",$K1597=LG_Party),OR(LG_Loc="ALL",$I1597=LG_Loc),OR(LG_CC="ALL",$J1597=LG_CC),$D1597&gt;=LG_From,$D1597&lt;=LG_To),$D1597+ROW()/1000000,""),"")</f>
        <v/>
      </c>
      <c r="Z1597" s="32">
        <f>IF($A1597=1,IF(Supplier_Invoices!$P78="","",Supplier_Invoices!$P78),"")</f>
        <v/>
      </c>
      <c r="AA1597" s="32">
        <f>IF($A1597=1,IF(Supplier_Invoices!$Q78="","",Supplier_Invoices!$Q78),"")</f>
        <v/>
      </c>
      <c r="AB1597" s="32">
        <f>IF($A1597=1,IF(Supplier_Invoices!$R78="","",Supplier_Invoices!$R78),"")</f>
        <v/>
      </c>
      <c r="AC1597" s="32">
        <f>IF($A1597=1,IF(Supplier_Invoices!$S78="","",Supplier_Invoices!$S78),"")</f>
        <v/>
      </c>
      <c r="AD1597" s="32">
        <f>IF($A1597=1,IF(Supplier_Invoices!$T78="","",Supplier_Invoices!$T78),"")</f>
        <v/>
      </c>
      <c r="AE1597" s="32">
        <f>IF($A1597=1,0,"")</f>
        <v/>
      </c>
      <c r="AF1597" s="32" t="inlineStr"/>
    </row>
    <row r="1598">
      <c r="A1598" s="32">
        <f>IF(AND(Supplier_Invoices!$AD78=1,Supplier_Invoices!$L78&lt;&gt;"",Supplier_Invoices!$V78&lt;&gt;"CN",N(Supplier_Invoices!$W78)&gt;0),1,0)</f>
        <v/>
      </c>
      <c r="B1598" s="32">
        <f>IF($A1598=1,$E1598&amp;"/5","")</f>
        <v/>
      </c>
      <c r="C1598" s="32">
        <f>IF($A1598=1,"J-"&amp;Supplier_Invoices!$A78,"")</f>
        <v/>
      </c>
      <c r="D1598" s="33">
        <f>IF($A1598=1,Supplier_Invoices!$E78,"")</f>
        <v/>
      </c>
      <c r="E1598" s="32">
        <f>IF($A1598=1,IF(Supplier_Invoices!$A78="","",Supplier_Invoices!$A78),"")</f>
        <v/>
      </c>
      <c r="F1598" s="32">
        <f>IF($A1598=1,"SINV","")</f>
        <v/>
      </c>
      <c r="G1598" s="32">
        <f>IF($A1598=1,IF(Supplier_Invoices!$AA78="","",Supplier_Invoices!$AA78),"")</f>
        <v/>
      </c>
      <c r="H1598" s="32">
        <f>IF($A1598=1,IF(COUNTIF(COA!$A:$A,$G1598)=0,"حساب غير معرف",INDEX(COA!$B:$B,MATCH($G1598,COA!$A:$A,0))),"")</f>
        <v/>
      </c>
      <c r="I1598" s="32">
        <f>IF($A1598=1,IF(Supplier_Invoices!$H78="","",Supplier_Invoices!$H78),"")</f>
        <v/>
      </c>
      <c r="J1598" s="32">
        <f>IF($A1598=1,"CC00","")</f>
        <v/>
      </c>
      <c r="K1598" s="32">
        <f>IF($A1598=1,"-","")</f>
        <v/>
      </c>
      <c r="L1598" s="32">
        <f>IF($A1598=1,"سداد فوري - "&amp;Supplier_Invoices!$F78&amp;" "&amp;Supplier_Invoices!$B78&amp;" - "&amp;Supplier_Invoices!$C78,"")</f>
        <v/>
      </c>
      <c r="M1598" s="43">
        <f>IF($A1598=1,0,"")</f>
        <v/>
      </c>
      <c r="N1598" s="43">
        <f>IF($A1598=1,Supplier_Invoices!$W78,"")</f>
        <v/>
      </c>
      <c r="O1598" s="32">
        <f>IF($A1598=1,Supplier_Invoices!$O78,"")</f>
        <v/>
      </c>
      <c r="P1598" s="32">
        <f>IF($A1598=1,IF(Supplier_Invoices!$AE78="","",Supplier_Invoices!$AE78),"")</f>
        <v/>
      </c>
      <c r="Q1598" s="32">
        <f>IF($A1598=1,Supplier_Invoices!$AG78,"")</f>
        <v/>
      </c>
      <c r="R1598" s="32">
        <f>IF($A1598=1,IF(AND($Q1598=1,COUNTIFS(COA!$A:$A,$G1598,COA!$R:$R,1)=1),1,0),"")</f>
        <v/>
      </c>
      <c r="S1598" s="43">
        <f>IF($A1598=1,IF($R1598=1,N($M1598),0),"")</f>
        <v/>
      </c>
      <c r="T1598" s="43">
        <f>IF($A1598=1,IF($R1598=1,N($N1598),0),"")</f>
        <v/>
      </c>
      <c r="U1598" s="32">
        <f>IF($A1598=1,YEAR($D1598)*100+MONTH($D1598),"")</f>
        <v/>
      </c>
      <c r="V1598" s="32">
        <f>IF($A1598=1,IF(COUNTIF(COA!$A:$A,$G1598)=0,0,INDEX(COA!$H:$H,MATCH($G1598,COA!$A:$A,0))),"")</f>
        <v/>
      </c>
      <c r="W1598" s="32">
        <f>IF($A1598=1,IF(Supplier_Invoices!$AB78="","",Supplier_Invoices!$AB78),"")</f>
        <v/>
      </c>
      <c r="X1598" s="32">
        <f>IF($A1598=1,IF($R1598=1,"",IF($O1598=ST_POST,IF($P1598&lt;&gt;"",$P1598,"حساب غير صالح أو غير نشط"),IF($O1598=ST_REV,"معكوس: لا أثر على الدفاتر",IF($O1598=ST_CANC,"ملغى",IF($O1598=ST_APPR,"معتمد ولم يُرحَّل","مسودة"))))),"")</f>
        <v/>
      </c>
      <c r="Y1598" s="32">
        <f>IF($A1598=1,IF(AND($R1598=1,OR(LG_Acct="",$G1598=LG_Acct),OR(LG_Party="",$K1598=LG_Party),OR(LG_Loc="ALL",$I1598=LG_Loc),OR(LG_CC="ALL",$J1598=LG_CC),$D1598&gt;=LG_From,$D1598&lt;=LG_To),$D1598+ROW()/1000000,""),"")</f>
        <v/>
      </c>
      <c r="Z1598" s="32">
        <f>IF($A1598=1,IF(Supplier_Invoices!$P78="","",Supplier_Invoices!$P78),"")</f>
        <v/>
      </c>
      <c r="AA1598" s="32">
        <f>IF($A1598=1,IF(Supplier_Invoices!$Q78="","",Supplier_Invoices!$Q78),"")</f>
        <v/>
      </c>
      <c r="AB1598" s="32">
        <f>IF($A1598=1,IF(Supplier_Invoices!$R78="","",Supplier_Invoices!$R78),"")</f>
        <v/>
      </c>
      <c r="AC1598" s="32">
        <f>IF($A1598=1,IF(Supplier_Invoices!$S78="","",Supplier_Invoices!$S78),"")</f>
        <v/>
      </c>
      <c r="AD1598" s="32">
        <f>IF($A1598=1,IF(Supplier_Invoices!$T78="","",Supplier_Invoices!$T78),"")</f>
        <v/>
      </c>
      <c r="AE1598" s="32">
        <f>IF($A1598=1,0,"")</f>
        <v/>
      </c>
      <c r="AF1598" s="32" t="inlineStr"/>
    </row>
    <row r="1599">
      <c r="A1599" s="32">
        <f>IF(AND(Supplier_Invoices!$AD79=1,N(Supplier_Invoices!$J79)&gt;0),1,0)</f>
        <v/>
      </c>
      <c r="B1599" s="32">
        <f>IF($A1599=1,$E1599&amp;"/1","")</f>
        <v/>
      </c>
      <c r="C1599" s="32">
        <f>IF($A1599=1,"J-"&amp;Supplier_Invoices!$A79,"")</f>
        <v/>
      </c>
      <c r="D1599" s="33">
        <f>IF($A1599=1,Supplier_Invoices!$E79,"")</f>
        <v/>
      </c>
      <c r="E1599" s="32">
        <f>IF($A1599=1,IF(Supplier_Invoices!$A79="","",Supplier_Invoices!$A79),"")</f>
        <v/>
      </c>
      <c r="F1599" s="32">
        <f>IF($A1599=1,"SINV","")</f>
        <v/>
      </c>
      <c r="G1599" s="32">
        <f>IF($A1599=1,IF(Supplier_Invoices!$G79="","",Supplier_Invoices!$G79),"")</f>
        <v/>
      </c>
      <c r="H1599" s="32">
        <f>IF($A1599=1,IF(COUNTIF(COA!$A:$A,$G1599)=0,"حساب غير معرف",INDEX(COA!$B:$B,MATCH($G1599,COA!$A:$A,0))),"")</f>
        <v/>
      </c>
      <c r="I1599" s="32">
        <f>IF($A1599=1,IF(Supplier_Invoices!$H79="","",Supplier_Invoices!$H79),"")</f>
        <v/>
      </c>
      <c r="J1599" s="32">
        <f>IF($A1599=1,IF(Supplier_Invoices!$I79="","",Supplier_Invoices!$I79),"")</f>
        <v/>
      </c>
      <c r="K1599" s="32">
        <f>IF($A1599=1,"-","")</f>
        <v/>
      </c>
      <c r="L1599" s="32">
        <f>IF($A1599=1,Supplier_Invoices!$F79&amp;" "&amp;Supplier_Invoices!$B79&amp;" - "&amp;Supplier_Invoices!$C79,"")</f>
        <v/>
      </c>
      <c r="M1599" s="43">
        <f>IF($A1599=1,IF(Supplier_Invoices!$V79="CN",0,Supplier_Invoices!$J79),"")</f>
        <v/>
      </c>
      <c r="N1599" s="43">
        <f>IF($A1599=1,IF(Supplier_Invoices!$V79="CN",Supplier_Invoices!$J79,0),"")</f>
        <v/>
      </c>
      <c r="O1599" s="32">
        <f>IF($A1599=1,Supplier_Invoices!$O79,"")</f>
        <v/>
      </c>
      <c r="P1599" s="32">
        <f>IF($A1599=1,IF(Supplier_Invoices!$AE79="","",Supplier_Invoices!$AE79),"")</f>
        <v/>
      </c>
      <c r="Q1599" s="32">
        <f>IF($A1599=1,Supplier_Invoices!$AG79,"")</f>
        <v/>
      </c>
      <c r="R1599" s="32">
        <f>IF($A1599=1,IF(AND($Q1599=1,COUNTIFS(COA!$A:$A,$G1599,COA!$R:$R,1)=1),1,0),"")</f>
        <v/>
      </c>
      <c r="S1599" s="43">
        <f>IF($A1599=1,IF($R1599=1,N($M1599),0),"")</f>
        <v/>
      </c>
      <c r="T1599" s="43">
        <f>IF($A1599=1,IF($R1599=1,N($N1599),0),"")</f>
        <v/>
      </c>
      <c r="U1599" s="32">
        <f>IF($A1599=1,YEAR($D1599)*100+MONTH($D1599),"")</f>
        <v/>
      </c>
      <c r="V1599" s="32">
        <f>IF($A1599=1,IF(COUNTIF(COA!$A:$A,$G1599)=0,0,INDEX(COA!$H:$H,MATCH($G1599,COA!$A:$A,0))),"")</f>
        <v/>
      </c>
      <c r="W1599" s="32">
        <f>IF($A1599=1,"","")</f>
        <v/>
      </c>
      <c r="X1599" s="32">
        <f>IF($A1599=1,IF($R1599=1,"",IF($O1599=ST_POST,IF($P1599&lt;&gt;"",$P1599,"حساب غير صالح أو غير نشط"),IF($O1599=ST_REV,"معكوس: لا أثر على الدفاتر",IF($O1599=ST_CANC,"ملغى",IF($O1599=ST_APPR,"معتمد ولم يُرحَّل","مسودة"))))),"")</f>
        <v/>
      </c>
      <c r="Y1599" s="32">
        <f>IF($A1599=1,IF(AND($R1599=1,OR(LG_Acct="",$G1599=LG_Acct),OR(LG_Party="",$K1599=LG_Party),OR(LG_Loc="ALL",$I1599=LG_Loc),OR(LG_CC="ALL",$J1599=LG_CC),$D1599&gt;=LG_From,$D1599&lt;=LG_To),$D1599+ROW()/1000000,""),"")</f>
        <v/>
      </c>
      <c r="Z1599" s="32">
        <f>IF($A1599=1,IF(Supplier_Invoices!$P79="","",Supplier_Invoices!$P79),"")</f>
        <v/>
      </c>
      <c r="AA1599" s="32">
        <f>IF($A1599=1,IF(Supplier_Invoices!$Q79="","",Supplier_Invoices!$Q79),"")</f>
        <v/>
      </c>
      <c r="AB1599" s="32">
        <f>IF($A1599=1,IF(Supplier_Invoices!$R79="","",Supplier_Invoices!$R79),"")</f>
        <v/>
      </c>
      <c r="AC1599" s="32">
        <f>IF($A1599=1,IF(Supplier_Invoices!$S79="","",Supplier_Invoices!$S79),"")</f>
        <v/>
      </c>
      <c r="AD1599" s="32">
        <f>IF($A1599=1,IF(Supplier_Invoices!$T79="","",Supplier_Invoices!$T79),"")</f>
        <v/>
      </c>
      <c r="AE1599" s="32">
        <f>IF($A1599=1,0,"")</f>
        <v/>
      </c>
      <c r="AF1599" s="32" t="inlineStr"/>
    </row>
    <row r="1600">
      <c r="A1600" s="32">
        <f>IF(AND(Supplier_Invoices!$AD79=1,N(Supplier_Invoices!$K79)&gt;0),1,0)</f>
        <v/>
      </c>
      <c r="B1600" s="32">
        <f>IF($A1600=1,$E1600&amp;"/2","")</f>
        <v/>
      </c>
      <c r="C1600" s="32">
        <f>IF($A1600=1,"J-"&amp;Supplier_Invoices!$A79,"")</f>
        <v/>
      </c>
      <c r="D1600" s="33">
        <f>IF($A1600=1,Supplier_Invoices!$E79,"")</f>
        <v/>
      </c>
      <c r="E1600" s="32">
        <f>IF($A1600=1,IF(Supplier_Invoices!$A79="","",Supplier_Invoices!$A79),"")</f>
        <v/>
      </c>
      <c r="F1600" s="32">
        <f>IF($A1600=1,"SINV","")</f>
        <v/>
      </c>
      <c r="G1600" s="32">
        <f>IF($A1600=1,ACC_VAT_IN,"")</f>
        <v/>
      </c>
      <c r="H1600" s="32">
        <f>IF($A1600=1,IF(COUNTIF(COA!$A:$A,$G1600)=0,"حساب غير معرف",INDEX(COA!$B:$B,MATCH($G1600,COA!$A:$A,0))),"")</f>
        <v/>
      </c>
      <c r="I1600" s="32">
        <f>IF($A1600=1,IF(Supplier_Invoices!$H79="","",Supplier_Invoices!$H79),"")</f>
        <v/>
      </c>
      <c r="J1600" s="32">
        <f>IF($A1600=1,IF(Supplier_Invoices!$I79="","",Supplier_Invoices!$I79),"")</f>
        <v/>
      </c>
      <c r="K1600" s="32">
        <f>IF($A1600=1,"-","")</f>
        <v/>
      </c>
      <c r="L1600" s="32">
        <f>IF($A1600=1,"ضريبة قيمة مضافة - مدخلات","")</f>
        <v/>
      </c>
      <c r="M1600" s="43">
        <f>IF($A1600=1,IF(Supplier_Invoices!$V79="CN",0,Supplier_Invoices!$K79),"")</f>
        <v/>
      </c>
      <c r="N1600" s="43">
        <f>IF($A1600=1,IF(Supplier_Invoices!$V79="CN",Supplier_Invoices!$K79,0),"")</f>
        <v/>
      </c>
      <c r="O1600" s="32">
        <f>IF($A1600=1,Supplier_Invoices!$O79,"")</f>
        <v/>
      </c>
      <c r="P1600" s="32">
        <f>IF($A1600=1,IF(Supplier_Invoices!$AE79="","",Supplier_Invoices!$AE79),"")</f>
        <v/>
      </c>
      <c r="Q1600" s="32">
        <f>IF($A1600=1,Supplier_Invoices!$AG79,"")</f>
        <v/>
      </c>
      <c r="R1600" s="32">
        <f>IF($A1600=1,IF(AND($Q1600=1,COUNTIFS(COA!$A:$A,$G1600,COA!$R:$R,1)=1),1,0),"")</f>
        <v/>
      </c>
      <c r="S1600" s="43">
        <f>IF($A1600=1,IF($R1600=1,N($M1600),0),"")</f>
        <v/>
      </c>
      <c r="T1600" s="43">
        <f>IF($A1600=1,IF($R1600=1,N($N1600),0),"")</f>
        <v/>
      </c>
      <c r="U1600" s="32">
        <f>IF($A1600=1,YEAR($D1600)*100+MONTH($D1600),"")</f>
        <v/>
      </c>
      <c r="V1600" s="32">
        <f>IF($A1600=1,IF(COUNTIF(COA!$A:$A,$G1600)=0,0,INDEX(COA!$H:$H,MATCH($G1600,COA!$A:$A,0))),"")</f>
        <v/>
      </c>
      <c r="W1600" s="32">
        <f>IF($A1600=1,"","")</f>
        <v/>
      </c>
      <c r="X1600" s="32">
        <f>IF($A1600=1,IF($R1600=1,"",IF($O1600=ST_POST,IF($P1600&lt;&gt;"",$P1600,"حساب غير صالح أو غير نشط"),IF($O1600=ST_REV,"معكوس: لا أثر على الدفاتر",IF($O1600=ST_CANC,"ملغى",IF($O1600=ST_APPR,"معتمد ولم يُرحَّل","مسودة"))))),"")</f>
        <v/>
      </c>
      <c r="Y1600" s="32">
        <f>IF($A1600=1,IF(AND($R1600=1,OR(LG_Acct="",$G1600=LG_Acct),OR(LG_Party="",$K1600=LG_Party),OR(LG_Loc="ALL",$I1600=LG_Loc),OR(LG_CC="ALL",$J1600=LG_CC),$D1600&gt;=LG_From,$D1600&lt;=LG_To),$D1600+ROW()/1000000,""),"")</f>
        <v/>
      </c>
      <c r="Z1600" s="32">
        <f>IF($A1600=1,IF(Supplier_Invoices!$P79="","",Supplier_Invoices!$P79),"")</f>
        <v/>
      </c>
      <c r="AA1600" s="32">
        <f>IF($A1600=1,IF(Supplier_Invoices!$Q79="","",Supplier_Invoices!$Q79),"")</f>
        <v/>
      </c>
      <c r="AB1600" s="32">
        <f>IF($A1600=1,IF(Supplier_Invoices!$R79="","",Supplier_Invoices!$R79),"")</f>
        <v/>
      </c>
      <c r="AC1600" s="32">
        <f>IF($A1600=1,IF(Supplier_Invoices!$S79="","",Supplier_Invoices!$S79),"")</f>
        <v/>
      </c>
      <c r="AD1600" s="32">
        <f>IF($A1600=1,IF(Supplier_Invoices!$T79="","",Supplier_Invoices!$T79),"")</f>
        <v/>
      </c>
      <c r="AE1600" s="32">
        <f>IF($A1600=1,0,"")</f>
        <v/>
      </c>
      <c r="AF1600" s="32" t="inlineStr"/>
    </row>
    <row r="1601">
      <c r="A1601" s="32">
        <f>IF(AND(Supplier_Invoices!$AD79=1,N(Supplier_Invoices!$W79)&gt;0),1,0)</f>
        <v/>
      </c>
      <c r="B1601" s="32">
        <f>IF($A1601=1,$E1601&amp;"/3","")</f>
        <v/>
      </c>
      <c r="C1601" s="32">
        <f>IF($A1601=1,"J-"&amp;Supplier_Invoices!$A79,"")</f>
        <v/>
      </c>
      <c r="D1601" s="33">
        <f>IF($A1601=1,Supplier_Invoices!$E79,"")</f>
        <v/>
      </c>
      <c r="E1601" s="32">
        <f>IF($A1601=1,IF(Supplier_Invoices!$A79="","",Supplier_Invoices!$A79),"")</f>
        <v/>
      </c>
      <c r="F1601" s="32">
        <f>IF($A1601=1,"SINV","")</f>
        <v/>
      </c>
      <c r="G1601" s="32">
        <f>IF($A1601=1,ACC_SUPPLIERS,"")</f>
        <v/>
      </c>
      <c r="H1601" s="32">
        <f>IF($A1601=1,IF(COUNTIF(COA!$A:$A,$G1601)=0,"حساب غير معرف",INDEX(COA!$B:$B,MATCH($G1601,COA!$A:$A,0))),"")</f>
        <v/>
      </c>
      <c r="I1601" s="32">
        <f>IF($A1601=1,IF(Supplier_Invoices!$H79="","",Supplier_Invoices!$H79),"")</f>
        <v/>
      </c>
      <c r="J1601" s="32">
        <f>IF($A1601=1,"CC00","")</f>
        <v/>
      </c>
      <c r="K1601" s="32">
        <f>IF($A1601=1,IF(Supplier_Invoices!$C79="","",Supplier_Invoices!$C79),"")</f>
        <v/>
      </c>
      <c r="L1601" s="32">
        <f>IF($A1601=1,Supplier_Invoices!$F79&amp;" "&amp;Supplier_Invoices!$B79&amp;" - "&amp;Supplier_Invoices!$C79,"")</f>
        <v/>
      </c>
      <c r="M1601" s="43">
        <f>IF($A1601=1,IF(Supplier_Invoices!$V79="CN",Supplier_Invoices!$W79,0),"")</f>
        <v/>
      </c>
      <c r="N1601" s="43">
        <f>IF($A1601=1,IF(Supplier_Invoices!$V79="CN",0,Supplier_Invoices!$W79),"")</f>
        <v/>
      </c>
      <c r="O1601" s="32">
        <f>IF($A1601=1,Supplier_Invoices!$O79,"")</f>
        <v/>
      </c>
      <c r="P1601" s="32">
        <f>IF($A1601=1,IF(Supplier_Invoices!$AE79="","",Supplier_Invoices!$AE79),"")</f>
        <v/>
      </c>
      <c r="Q1601" s="32">
        <f>IF($A1601=1,Supplier_Invoices!$AG79,"")</f>
        <v/>
      </c>
      <c r="R1601" s="32">
        <f>IF($A1601=1,IF(AND($Q1601=1,COUNTIFS(COA!$A:$A,$G1601,COA!$R:$R,1)=1),1,0),"")</f>
        <v/>
      </c>
      <c r="S1601" s="43">
        <f>IF($A1601=1,IF($R1601=1,N($M1601),0),"")</f>
        <v/>
      </c>
      <c r="T1601" s="43">
        <f>IF($A1601=1,IF($R1601=1,N($N1601),0),"")</f>
        <v/>
      </c>
      <c r="U1601" s="32">
        <f>IF($A1601=1,YEAR($D1601)*100+MONTH($D1601),"")</f>
        <v/>
      </c>
      <c r="V1601" s="32">
        <f>IF($A1601=1,IF(COUNTIF(COA!$A:$A,$G1601)=0,0,INDEX(COA!$H:$H,MATCH($G1601,COA!$A:$A,0))),"")</f>
        <v/>
      </c>
      <c r="W1601" s="32">
        <f>IF($A1601=1,"","")</f>
        <v/>
      </c>
      <c r="X1601" s="32">
        <f>IF($A1601=1,IF($R1601=1,"",IF($O1601=ST_POST,IF($P1601&lt;&gt;"",$P1601,"حساب غير صالح أو غير نشط"),IF($O1601=ST_REV,"معكوس: لا أثر على الدفاتر",IF($O1601=ST_CANC,"ملغى",IF($O1601=ST_APPR,"معتمد ولم يُرحَّل","مسودة"))))),"")</f>
        <v/>
      </c>
      <c r="Y1601" s="32">
        <f>IF($A1601=1,IF(AND($R1601=1,OR(LG_Acct="",$G1601=LG_Acct),OR(LG_Party="",$K1601=LG_Party),OR(LG_Loc="ALL",$I1601=LG_Loc),OR(LG_CC="ALL",$J1601=LG_CC),$D1601&gt;=LG_From,$D1601&lt;=LG_To),$D1601+ROW()/1000000,""),"")</f>
        <v/>
      </c>
      <c r="Z1601" s="32">
        <f>IF($A1601=1,IF(Supplier_Invoices!$P79="","",Supplier_Invoices!$P79),"")</f>
        <v/>
      </c>
      <c r="AA1601" s="32">
        <f>IF($A1601=1,IF(Supplier_Invoices!$Q79="","",Supplier_Invoices!$Q79),"")</f>
        <v/>
      </c>
      <c r="AB1601" s="32">
        <f>IF($A1601=1,IF(Supplier_Invoices!$R79="","",Supplier_Invoices!$R79),"")</f>
        <v/>
      </c>
      <c r="AC1601" s="32">
        <f>IF($A1601=1,IF(Supplier_Invoices!$S79="","",Supplier_Invoices!$S79),"")</f>
        <v/>
      </c>
      <c r="AD1601" s="32">
        <f>IF($A1601=1,IF(Supplier_Invoices!$T79="","",Supplier_Invoices!$T79),"")</f>
        <v/>
      </c>
      <c r="AE1601" s="32">
        <f>IF($A1601=1,0,"")</f>
        <v/>
      </c>
      <c r="AF1601" s="32" t="inlineStr"/>
    </row>
    <row r="1602">
      <c r="A1602" s="32">
        <f>IF(AND(Supplier_Invoices!$AD79=1,Supplier_Invoices!$L79&lt;&gt;"",Supplier_Invoices!$V79&lt;&gt;"CN",N(Supplier_Invoices!$W79)&gt;0),1,0)</f>
        <v/>
      </c>
      <c r="B1602" s="32">
        <f>IF($A1602=1,$E1602&amp;"/4","")</f>
        <v/>
      </c>
      <c r="C1602" s="32">
        <f>IF($A1602=1,"J-"&amp;Supplier_Invoices!$A79,"")</f>
        <v/>
      </c>
      <c r="D1602" s="33">
        <f>IF($A1602=1,Supplier_Invoices!$E79,"")</f>
        <v/>
      </c>
      <c r="E1602" s="32">
        <f>IF($A1602=1,IF(Supplier_Invoices!$A79="","",Supplier_Invoices!$A79),"")</f>
        <v/>
      </c>
      <c r="F1602" s="32">
        <f>IF($A1602=1,"SINV","")</f>
        <v/>
      </c>
      <c r="G1602" s="32">
        <f>IF($A1602=1,ACC_SUPPLIERS,"")</f>
        <v/>
      </c>
      <c r="H1602" s="32">
        <f>IF($A1602=1,IF(COUNTIF(COA!$A:$A,$G1602)=0,"حساب غير معرف",INDEX(COA!$B:$B,MATCH($G1602,COA!$A:$A,0))),"")</f>
        <v/>
      </c>
      <c r="I1602" s="32">
        <f>IF($A1602=1,IF(Supplier_Invoices!$H79="","",Supplier_Invoices!$H79),"")</f>
        <v/>
      </c>
      <c r="J1602" s="32">
        <f>IF($A1602=1,"CC00","")</f>
        <v/>
      </c>
      <c r="K1602" s="32">
        <f>IF($A1602=1,IF(Supplier_Invoices!$C79="","",Supplier_Invoices!$C79),"")</f>
        <v/>
      </c>
      <c r="L1602" s="32">
        <f>IF($A1602=1,"سداد فوري - "&amp;Supplier_Invoices!$F79&amp;" "&amp;Supplier_Invoices!$B79&amp;" - "&amp;Supplier_Invoices!$C79,"")</f>
        <v/>
      </c>
      <c r="M1602" s="43">
        <f>IF($A1602=1,Supplier_Invoices!$W79,"")</f>
        <v/>
      </c>
      <c r="N1602" s="43">
        <f>IF($A1602=1,0,"")</f>
        <v/>
      </c>
      <c r="O1602" s="32">
        <f>IF($A1602=1,Supplier_Invoices!$O79,"")</f>
        <v/>
      </c>
      <c r="P1602" s="32">
        <f>IF($A1602=1,IF(Supplier_Invoices!$AE79="","",Supplier_Invoices!$AE79),"")</f>
        <v/>
      </c>
      <c r="Q1602" s="32">
        <f>IF($A1602=1,Supplier_Invoices!$AG79,"")</f>
        <v/>
      </c>
      <c r="R1602" s="32">
        <f>IF($A1602=1,IF(AND($Q1602=1,COUNTIFS(COA!$A:$A,$G1602,COA!$R:$R,1)=1),1,0),"")</f>
        <v/>
      </c>
      <c r="S1602" s="43">
        <f>IF($A1602=1,IF($R1602=1,N($M1602),0),"")</f>
        <v/>
      </c>
      <c r="T1602" s="43">
        <f>IF($A1602=1,IF($R1602=1,N($N1602),0),"")</f>
        <v/>
      </c>
      <c r="U1602" s="32">
        <f>IF($A1602=1,YEAR($D1602)*100+MONTH($D1602),"")</f>
        <v/>
      </c>
      <c r="V1602" s="32">
        <f>IF($A1602=1,IF(COUNTIF(COA!$A:$A,$G1602)=0,0,INDEX(COA!$H:$H,MATCH($G1602,COA!$A:$A,0))),"")</f>
        <v/>
      </c>
      <c r="W1602" s="32">
        <f>IF($A1602=1,"","")</f>
        <v/>
      </c>
      <c r="X1602" s="32">
        <f>IF($A1602=1,IF($R1602=1,"",IF($O1602=ST_POST,IF($P1602&lt;&gt;"",$P1602,"حساب غير صالح أو غير نشط"),IF($O1602=ST_REV,"معكوس: لا أثر على الدفاتر",IF($O1602=ST_CANC,"ملغى",IF($O1602=ST_APPR,"معتمد ولم يُرحَّل","مسودة"))))),"")</f>
        <v/>
      </c>
      <c r="Y1602" s="32">
        <f>IF($A1602=1,IF(AND($R1602=1,OR(LG_Acct="",$G1602=LG_Acct),OR(LG_Party="",$K1602=LG_Party),OR(LG_Loc="ALL",$I1602=LG_Loc),OR(LG_CC="ALL",$J1602=LG_CC),$D1602&gt;=LG_From,$D1602&lt;=LG_To),$D1602+ROW()/1000000,""),"")</f>
        <v/>
      </c>
      <c r="Z1602" s="32">
        <f>IF($A1602=1,IF(Supplier_Invoices!$P79="","",Supplier_Invoices!$P79),"")</f>
        <v/>
      </c>
      <c r="AA1602" s="32">
        <f>IF($A1602=1,IF(Supplier_Invoices!$Q79="","",Supplier_Invoices!$Q79),"")</f>
        <v/>
      </c>
      <c r="AB1602" s="32">
        <f>IF($A1602=1,IF(Supplier_Invoices!$R79="","",Supplier_Invoices!$R79),"")</f>
        <v/>
      </c>
      <c r="AC1602" s="32">
        <f>IF($A1602=1,IF(Supplier_Invoices!$S79="","",Supplier_Invoices!$S79),"")</f>
        <v/>
      </c>
      <c r="AD1602" s="32">
        <f>IF($A1602=1,IF(Supplier_Invoices!$T79="","",Supplier_Invoices!$T79),"")</f>
        <v/>
      </c>
      <c r="AE1602" s="32">
        <f>IF($A1602=1,0,"")</f>
        <v/>
      </c>
      <c r="AF1602" s="32" t="inlineStr"/>
    </row>
    <row r="1603">
      <c r="A1603" s="32">
        <f>IF(AND(Supplier_Invoices!$AD79=1,Supplier_Invoices!$L79&lt;&gt;"",Supplier_Invoices!$V79&lt;&gt;"CN",N(Supplier_Invoices!$W79)&gt;0),1,0)</f>
        <v/>
      </c>
      <c r="B1603" s="32">
        <f>IF($A1603=1,$E1603&amp;"/5","")</f>
        <v/>
      </c>
      <c r="C1603" s="32">
        <f>IF($A1603=1,"J-"&amp;Supplier_Invoices!$A79,"")</f>
        <v/>
      </c>
      <c r="D1603" s="33">
        <f>IF($A1603=1,Supplier_Invoices!$E79,"")</f>
        <v/>
      </c>
      <c r="E1603" s="32">
        <f>IF($A1603=1,IF(Supplier_Invoices!$A79="","",Supplier_Invoices!$A79),"")</f>
        <v/>
      </c>
      <c r="F1603" s="32">
        <f>IF($A1603=1,"SINV","")</f>
        <v/>
      </c>
      <c r="G1603" s="32">
        <f>IF($A1603=1,IF(Supplier_Invoices!$AA79="","",Supplier_Invoices!$AA79),"")</f>
        <v/>
      </c>
      <c r="H1603" s="32">
        <f>IF($A1603=1,IF(COUNTIF(COA!$A:$A,$G1603)=0,"حساب غير معرف",INDEX(COA!$B:$B,MATCH($G1603,COA!$A:$A,0))),"")</f>
        <v/>
      </c>
      <c r="I1603" s="32">
        <f>IF($A1603=1,IF(Supplier_Invoices!$H79="","",Supplier_Invoices!$H79),"")</f>
        <v/>
      </c>
      <c r="J1603" s="32">
        <f>IF($A1603=1,"CC00","")</f>
        <v/>
      </c>
      <c r="K1603" s="32">
        <f>IF($A1603=1,"-","")</f>
        <v/>
      </c>
      <c r="L1603" s="32">
        <f>IF($A1603=1,"سداد فوري - "&amp;Supplier_Invoices!$F79&amp;" "&amp;Supplier_Invoices!$B79&amp;" - "&amp;Supplier_Invoices!$C79,"")</f>
        <v/>
      </c>
      <c r="M1603" s="43">
        <f>IF($A1603=1,0,"")</f>
        <v/>
      </c>
      <c r="N1603" s="43">
        <f>IF($A1603=1,Supplier_Invoices!$W79,"")</f>
        <v/>
      </c>
      <c r="O1603" s="32">
        <f>IF($A1603=1,Supplier_Invoices!$O79,"")</f>
        <v/>
      </c>
      <c r="P1603" s="32">
        <f>IF($A1603=1,IF(Supplier_Invoices!$AE79="","",Supplier_Invoices!$AE79),"")</f>
        <v/>
      </c>
      <c r="Q1603" s="32">
        <f>IF($A1603=1,Supplier_Invoices!$AG79,"")</f>
        <v/>
      </c>
      <c r="R1603" s="32">
        <f>IF($A1603=1,IF(AND($Q1603=1,COUNTIFS(COA!$A:$A,$G1603,COA!$R:$R,1)=1),1,0),"")</f>
        <v/>
      </c>
      <c r="S1603" s="43">
        <f>IF($A1603=1,IF($R1603=1,N($M1603),0),"")</f>
        <v/>
      </c>
      <c r="T1603" s="43">
        <f>IF($A1603=1,IF($R1603=1,N($N1603),0),"")</f>
        <v/>
      </c>
      <c r="U1603" s="32">
        <f>IF($A1603=1,YEAR($D1603)*100+MONTH($D1603),"")</f>
        <v/>
      </c>
      <c r="V1603" s="32">
        <f>IF($A1603=1,IF(COUNTIF(COA!$A:$A,$G1603)=0,0,INDEX(COA!$H:$H,MATCH($G1603,COA!$A:$A,0))),"")</f>
        <v/>
      </c>
      <c r="W1603" s="32">
        <f>IF($A1603=1,IF(Supplier_Invoices!$AB79="","",Supplier_Invoices!$AB79),"")</f>
        <v/>
      </c>
      <c r="X1603" s="32">
        <f>IF($A1603=1,IF($R1603=1,"",IF($O1603=ST_POST,IF($P1603&lt;&gt;"",$P1603,"حساب غير صالح أو غير نشط"),IF($O1603=ST_REV,"معكوس: لا أثر على الدفاتر",IF($O1603=ST_CANC,"ملغى",IF($O1603=ST_APPR,"معتمد ولم يُرحَّل","مسودة"))))),"")</f>
        <v/>
      </c>
      <c r="Y1603" s="32">
        <f>IF($A1603=1,IF(AND($R1603=1,OR(LG_Acct="",$G1603=LG_Acct),OR(LG_Party="",$K1603=LG_Party),OR(LG_Loc="ALL",$I1603=LG_Loc),OR(LG_CC="ALL",$J1603=LG_CC),$D1603&gt;=LG_From,$D1603&lt;=LG_To),$D1603+ROW()/1000000,""),"")</f>
        <v/>
      </c>
      <c r="Z1603" s="32">
        <f>IF($A1603=1,IF(Supplier_Invoices!$P79="","",Supplier_Invoices!$P79),"")</f>
        <v/>
      </c>
      <c r="AA1603" s="32">
        <f>IF($A1603=1,IF(Supplier_Invoices!$Q79="","",Supplier_Invoices!$Q79),"")</f>
        <v/>
      </c>
      <c r="AB1603" s="32">
        <f>IF($A1603=1,IF(Supplier_Invoices!$R79="","",Supplier_Invoices!$R79),"")</f>
        <v/>
      </c>
      <c r="AC1603" s="32">
        <f>IF($A1603=1,IF(Supplier_Invoices!$S79="","",Supplier_Invoices!$S79),"")</f>
        <v/>
      </c>
      <c r="AD1603" s="32">
        <f>IF($A1603=1,IF(Supplier_Invoices!$T79="","",Supplier_Invoices!$T79),"")</f>
        <v/>
      </c>
      <c r="AE1603" s="32">
        <f>IF($A1603=1,0,"")</f>
        <v/>
      </c>
      <c r="AF1603" s="32" t="inlineStr"/>
    </row>
    <row r="1604">
      <c r="A1604" s="32">
        <f>IF(AND(Supplier_Invoices!$AD80=1,N(Supplier_Invoices!$J80)&gt;0),1,0)</f>
        <v/>
      </c>
      <c r="B1604" s="32">
        <f>IF($A1604=1,$E1604&amp;"/1","")</f>
        <v/>
      </c>
      <c r="C1604" s="32">
        <f>IF($A1604=1,"J-"&amp;Supplier_Invoices!$A80,"")</f>
        <v/>
      </c>
      <c r="D1604" s="33">
        <f>IF($A1604=1,Supplier_Invoices!$E80,"")</f>
        <v/>
      </c>
      <c r="E1604" s="32">
        <f>IF($A1604=1,IF(Supplier_Invoices!$A80="","",Supplier_Invoices!$A80),"")</f>
        <v/>
      </c>
      <c r="F1604" s="32">
        <f>IF($A1604=1,"SINV","")</f>
        <v/>
      </c>
      <c r="G1604" s="32">
        <f>IF($A1604=1,IF(Supplier_Invoices!$G80="","",Supplier_Invoices!$G80),"")</f>
        <v/>
      </c>
      <c r="H1604" s="32">
        <f>IF($A1604=1,IF(COUNTIF(COA!$A:$A,$G1604)=0,"حساب غير معرف",INDEX(COA!$B:$B,MATCH($G1604,COA!$A:$A,0))),"")</f>
        <v/>
      </c>
      <c r="I1604" s="32">
        <f>IF($A1604=1,IF(Supplier_Invoices!$H80="","",Supplier_Invoices!$H80),"")</f>
        <v/>
      </c>
      <c r="J1604" s="32">
        <f>IF($A1604=1,IF(Supplier_Invoices!$I80="","",Supplier_Invoices!$I80),"")</f>
        <v/>
      </c>
      <c r="K1604" s="32">
        <f>IF($A1604=1,"-","")</f>
        <v/>
      </c>
      <c r="L1604" s="32">
        <f>IF($A1604=1,Supplier_Invoices!$F80&amp;" "&amp;Supplier_Invoices!$B80&amp;" - "&amp;Supplier_Invoices!$C80,"")</f>
        <v/>
      </c>
      <c r="M1604" s="43">
        <f>IF($A1604=1,IF(Supplier_Invoices!$V80="CN",0,Supplier_Invoices!$J80),"")</f>
        <v/>
      </c>
      <c r="N1604" s="43">
        <f>IF($A1604=1,IF(Supplier_Invoices!$V80="CN",Supplier_Invoices!$J80,0),"")</f>
        <v/>
      </c>
      <c r="O1604" s="32">
        <f>IF($A1604=1,Supplier_Invoices!$O80,"")</f>
        <v/>
      </c>
      <c r="P1604" s="32">
        <f>IF($A1604=1,IF(Supplier_Invoices!$AE80="","",Supplier_Invoices!$AE80),"")</f>
        <v/>
      </c>
      <c r="Q1604" s="32">
        <f>IF($A1604=1,Supplier_Invoices!$AG80,"")</f>
        <v/>
      </c>
      <c r="R1604" s="32">
        <f>IF($A1604=1,IF(AND($Q1604=1,COUNTIFS(COA!$A:$A,$G1604,COA!$R:$R,1)=1),1,0),"")</f>
        <v/>
      </c>
      <c r="S1604" s="43">
        <f>IF($A1604=1,IF($R1604=1,N($M1604),0),"")</f>
        <v/>
      </c>
      <c r="T1604" s="43">
        <f>IF($A1604=1,IF($R1604=1,N($N1604),0),"")</f>
        <v/>
      </c>
      <c r="U1604" s="32">
        <f>IF($A1604=1,YEAR($D1604)*100+MONTH($D1604),"")</f>
        <v/>
      </c>
      <c r="V1604" s="32">
        <f>IF($A1604=1,IF(COUNTIF(COA!$A:$A,$G1604)=0,0,INDEX(COA!$H:$H,MATCH($G1604,COA!$A:$A,0))),"")</f>
        <v/>
      </c>
      <c r="W1604" s="32">
        <f>IF($A1604=1,"","")</f>
        <v/>
      </c>
      <c r="X1604" s="32">
        <f>IF($A1604=1,IF($R1604=1,"",IF($O1604=ST_POST,IF($P1604&lt;&gt;"",$P1604,"حساب غير صالح أو غير نشط"),IF($O1604=ST_REV,"معكوس: لا أثر على الدفاتر",IF($O1604=ST_CANC,"ملغى",IF($O1604=ST_APPR,"معتمد ولم يُرحَّل","مسودة"))))),"")</f>
        <v/>
      </c>
      <c r="Y1604" s="32">
        <f>IF($A1604=1,IF(AND($R1604=1,OR(LG_Acct="",$G1604=LG_Acct),OR(LG_Party="",$K1604=LG_Party),OR(LG_Loc="ALL",$I1604=LG_Loc),OR(LG_CC="ALL",$J1604=LG_CC),$D1604&gt;=LG_From,$D1604&lt;=LG_To),$D1604+ROW()/1000000,""),"")</f>
        <v/>
      </c>
      <c r="Z1604" s="32">
        <f>IF($A1604=1,IF(Supplier_Invoices!$P80="","",Supplier_Invoices!$P80),"")</f>
        <v/>
      </c>
      <c r="AA1604" s="32">
        <f>IF($A1604=1,IF(Supplier_Invoices!$Q80="","",Supplier_Invoices!$Q80),"")</f>
        <v/>
      </c>
      <c r="AB1604" s="32">
        <f>IF($A1604=1,IF(Supplier_Invoices!$R80="","",Supplier_Invoices!$R80),"")</f>
        <v/>
      </c>
      <c r="AC1604" s="32">
        <f>IF($A1604=1,IF(Supplier_Invoices!$S80="","",Supplier_Invoices!$S80),"")</f>
        <v/>
      </c>
      <c r="AD1604" s="32">
        <f>IF($A1604=1,IF(Supplier_Invoices!$T80="","",Supplier_Invoices!$T80),"")</f>
        <v/>
      </c>
      <c r="AE1604" s="32">
        <f>IF($A1604=1,0,"")</f>
        <v/>
      </c>
      <c r="AF1604" s="32" t="inlineStr"/>
    </row>
    <row r="1605">
      <c r="A1605" s="32">
        <f>IF(AND(Supplier_Invoices!$AD80=1,N(Supplier_Invoices!$K80)&gt;0),1,0)</f>
        <v/>
      </c>
      <c r="B1605" s="32">
        <f>IF($A1605=1,$E1605&amp;"/2","")</f>
        <v/>
      </c>
      <c r="C1605" s="32">
        <f>IF($A1605=1,"J-"&amp;Supplier_Invoices!$A80,"")</f>
        <v/>
      </c>
      <c r="D1605" s="33">
        <f>IF($A1605=1,Supplier_Invoices!$E80,"")</f>
        <v/>
      </c>
      <c r="E1605" s="32">
        <f>IF($A1605=1,IF(Supplier_Invoices!$A80="","",Supplier_Invoices!$A80),"")</f>
        <v/>
      </c>
      <c r="F1605" s="32">
        <f>IF($A1605=1,"SINV","")</f>
        <v/>
      </c>
      <c r="G1605" s="32">
        <f>IF($A1605=1,ACC_VAT_IN,"")</f>
        <v/>
      </c>
      <c r="H1605" s="32">
        <f>IF($A1605=1,IF(COUNTIF(COA!$A:$A,$G1605)=0,"حساب غير معرف",INDEX(COA!$B:$B,MATCH($G1605,COA!$A:$A,0))),"")</f>
        <v/>
      </c>
      <c r="I1605" s="32">
        <f>IF($A1605=1,IF(Supplier_Invoices!$H80="","",Supplier_Invoices!$H80),"")</f>
        <v/>
      </c>
      <c r="J1605" s="32">
        <f>IF($A1605=1,IF(Supplier_Invoices!$I80="","",Supplier_Invoices!$I80),"")</f>
        <v/>
      </c>
      <c r="K1605" s="32">
        <f>IF($A1605=1,"-","")</f>
        <v/>
      </c>
      <c r="L1605" s="32">
        <f>IF($A1605=1,"ضريبة قيمة مضافة - مدخلات","")</f>
        <v/>
      </c>
      <c r="M1605" s="43">
        <f>IF($A1605=1,IF(Supplier_Invoices!$V80="CN",0,Supplier_Invoices!$K80),"")</f>
        <v/>
      </c>
      <c r="N1605" s="43">
        <f>IF($A1605=1,IF(Supplier_Invoices!$V80="CN",Supplier_Invoices!$K80,0),"")</f>
        <v/>
      </c>
      <c r="O1605" s="32">
        <f>IF($A1605=1,Supplier_Invoices!$O80,"")</f>
        <v/>
      </c>
      <c r="P1605" s="32">
        <f>IF($A1605=1,IF(Supplier_Invoices!$AE80="","",Supplier_Invoices!$AE80),"")</f>
        <v/>
      </c>
      <c r="Q1605" s="32">
        <f>IF($A1605=1,Supplier_Invoices!$AG80,"")</f>
        <v/>
      </c>
      <c r="R1605" s="32">
        <f>IF($A1605=1,IF(AND($Q1605=1,COUNTIFS(COA!$A:$A,$G1605,COA!$R:$R,1)=1),1,0),"")</f>
        <v/>
      </c>
      <c r="S1605" s="43">
        <f>IF($A1605=1,IF($R1605=1,N($M1605),0),"")</f>
        <v/>
      </c>
      <c r="T1605" s="43">
        <f>IF($A1605=1,IF($R1605=1,N($N1605),0),"")</f>
        <v/>
      </c>
      <c r="U1605" s="32">
        <f>IF($A1605=1,YEAR($D1605)*100+MONTH($D1605),"")</f>
        <v/>
      </c>
      <c r="V1605" s="32">
        <f>IF($A1605=1,IF(COUNTIF(COA!$A:$A,$G1605)=0,0,INDEX(COA!$H:$H,MATCH($G1605,COA!$A:$A,0))),"")</f>
        <v/>
      </c>
      <c r="W1605" s="32">
        <f>IF($A1605=1,"","")</f>
        <v/>
      </c>
      <c r="X1605" s="32">
        <f>IF($A1605=1,IF($R1605=1,"",IF($O1605=ST_POST,IF($P1605&lt;&gt;"",$P1605,"حساب غير صالح أو غير نشط"),IF($O1605=ST_REV,"معكوس: لا أثر على الدفاتر",IF($O1605=ST_CANC,"ملغى",IF($O1605=ST_APPR,"معتمد ولم يُرحَّل","مسودة"))))),"")</f>
        <v/>
      </c>
      <c r="Y1605" s="32">
        <f>IF($A1605=1,IF(AND($R1605=1,OR(LG_Acct="",$G1605=LG_Acct),OR(LG_Party="",$K1605=LG_Party),OR(LG_Loc="ALL",$I1605=LG_Loc),OR(LG_CC="ALL",$J1605=LG_CC),$D1605&gt;=LG_From,$D1605&lt;=LG_To),$D1605+ROW()/1000000,""),"")</f>
        <v/>
      </c>
      <c r="Z1605" s="32">
        <f>IF($A1605=1,IF(Supplier_Invoices!$P80="","",Supplier_Invoices!$P80),"")</f>
        <v/>
      </c>
      <c r="AA1605" s="32">
        <f>IF($A1605=1,IF(Supplier_Invoices!$Q80="","",Supplier_Invoices!$Q80),"")</f>
        <v/>
      </c>
      <c r="AB1605" s="32">
        <f>IF($A1605=1,IF(Supplier_Invoices!$R80="","",Supplier_Invoices!$R80),"")</f>
        <v/>
      </c>
      <c r="AC1605" s="32">
        <f>IF($A1605=1,IF(Supplier_Invoices!$S80="","",Supplier_Invoices!$S80),"")</f>
        <v/>
      </c>
      <c r="AD1605" s="32">
        <f>IF($A1605=1,IF(Supplier_Invoices!$T80="","",Supplier_Invoices!$T80),"")</f>
        <v/>
      </c>
      <c r="AE1605" s="32">
        <f>IF($A1605=1,0,"")</f>
        <v/>
      </c>
      <c r="AF1605" s="32" t="inlineStr"/>
    </row>
    <row r="1606">
      <c r="A1606" s="32">
        <f>IF(AND(Supplier_Invoices!$AD80=1,N(Supplier_Invoices!$W80)&gt;0),1,0)</f>
        <v/>
      </c>
      <c r="B1606" s="32">
        <f>IF($A1606=1,$E1606&amp;"/3","")</f>
        <v/>
      </c>
      <c r="C1606" s="32">
        <f>IF($A1606=1,"J-"&amp;Supplier_Invoices!$A80,"")</f>
        <v/>
      </c>
      <c r="D1606" s="33">
        <f>IF($A1606=1,Supplier_Invoices!$E80,"")</f>
        <v/>
      </c>
      <c r="E1606" s="32">
        <f>IF($A1606=1,IF(Supplier_Invoices!$A80="","",Supplier_Invoices!$A80),"")</f>
        <v/>
      </c>
      <c r="F1606" s="32">
        <f>IF($A1606=1,"SINV","")</f>
        <v/>
      </c>
      <c r="G1606" s="32">
        <f>IF($A1606=1,ACC_SUPPLIERS,"")</f>
        <v/>
      </c>
      <c r="H1606" s="32">
        <f>IF($A1606=1,IF(COUNTIF(COA!$A:$A,$G1606)=0,"حساب غير معرف",INDEX(COA!$B:$B,MATCH($G1606,COA!$A:$A,0))),"")</f>
        <v/>
      </c>
      <c r="I1606" s="32">
        <f>IF($A1606=1,IF(Supplier_Invoices!$H80="","",Supplier_Invoices!$H80),"")</f>
        <v/>
      </c>
      <c r="J1606" s="32">
        <f>IF($A1606=1,"CC00","")</f>
        <v/>
      </c>
      <c r="K1606" s="32">
        <f>IF($A1606=1,IF(Supplier_Invoices!$C80="","",Supplier_Invoices!$C80),"")</f>
        <v/>
      </c>
      <c r="L1606" s="32">
        <f>IF($A1606=1,Supplier_Invoices!$F80&amp;" "&amp;Supplier_Invoices!$B80&amp;" - "&amp;Supplier_Invoices!$C80,"")</f>
        <v/>
      </c>
      <c r="M1606" s="43">
        <f>IF($A1606=1,IF(Supplier_Invoices!$V80="CN",Supplier_Invoices!$W80,0),"")</f>
        <v/>
      </c>
      <c r="N1606" s="43">
        <f>IF($A1606=1,IF(Supplier_Invoices!$V80="CN",0,Supplier_Invoices!$W80),"")</f>
        <v/>
      </c>
      <c r="O1606" s="32">
        <f>IF($A1606=1,Supplier_Invoices!$O80,"")</f>
        <v/>
      </c>
      <c r="P1606" s="32">
        <f>IF($A1606=1,IF(Supplier_Invoices!$AE80="","",Supplier_Invoices!$AE80),"")</f>
        <v/>
      </c>
      <c r="Q1606" s="32">
        <f>IF($A1606=1,Supplier_Invoices!$AG80,"")</f>
        <v/>
      </c>
      <c r="R1606" s="32">
        <f>IF($A1606=1,IF(AND($Q1606=1,COUNTIFS(COA!$A:$A,$G1606,COA!$R:$R,1)=1),1,0),"")</f>
        <v/>
      </c>
      <c r="S1606" s="43">
        <f>IF($A1606=1,IF($R1606=1,N($M1606),0),"")</f>
        <v/>
      </c>
      <c r="T1606" s="43">
        <f>IF($A1606=1,IF($R1606=1,N($N1606),0),"")</f>
        <v/>
      </c>
      <c r="U1606" s="32">
        <f>IF($A1606=1,YEAR($D1606)*100+MONTH($D1606),"")</f>
        <v/>
      </c>
      <c r="V1606" s="32">
        <f>IF($A1606=1,IF(COUNTIF(COA!$A:$A,$G1606)=0,0,INDEX(COA!$H:$H,MATCH($G1606,COA!$A:$A,0))),"")</f>
        <v/>
      </c>
      <c r="W1606" s="32">
        <f>IF($A1606=1,"","")</f>
        <v/>
      </c>
      <c r="X1606" s="32">
        <f>IF($A1606=1,IF($R1606=1,"",IF($O1606=ST_POST,IF($P1606&lt;&gt;"",$P1606,"حساب غير صالح أو غير نشط"),IF($O1606=ST_REV,"معكوس: لا أثر على الدفاتر",IF($O1606=ST_CANC,"ملغى",IF($O1606=ST_APPR,"معتمد ولم يُرحَّل","مسودة"))))),"")</f>
        <v/>
      </c>
      <c r="Y1606" s="32">
        <f>IF($A1606=1,IF(AND($R1606=1,OR(LG_Acct="",$G1606=LG_Acct),OR(LG_Party="",$K1606=LG_Party),OR(LG_Loc="ALL",$I1606=LG_Loc),OR(LG_CC="ALL",$J1606=LG_CC),$D1606&gt;=LG_From,$D1606&lt;=LG_To),$D1606+ROW()/1000000,""),"")</f>
        <v/>
      </c>
      <c r="Z1606" s="32">
        <f>IF($A1606=1,IF(Supplier_Invoices!$P80="","",Supplier_Invoices!$P80),"")</f>
        <v/>
      </c>
      <c r="AA1606" s="32">
        <f>IF($A1606=1,IF(Supplier_Invoices!$Q80="","",Supplier_Invoices!$Q80),"")</f>
        <v/>
      </c>
      <c r="AB1606" s="32">
        <f>IF($A1606=1,IF(Supplier_Invoices!$R80="","",Supplier_Invoices!$R80),"")</f>
        <v/>
      </c>
      <c r="AC1606" s="32">
        <f>IF($A1606=1,IF(Supplier_Invoices!$S80="","",Supplier_Invoices!$S80),"")</f>
        <v/>
      </c>
      <c r="AD1606" s="32">
        <f>IF($A1606=1,IF(Supplier_Invoices!$T80="","",Supplier_Invoices!$T80),"")</f>
        <v/>
      </c>
      <c r="AE1606" s="32">
        <f>IF($A1606=1,0,"")</f>
        <v/>
      </c>
      <c r="AF1606" s="32" t="inlineStr"/>
    </row>
    <row r="1607">
      <c r="A1607" s="32">
        <f>IF(AND(Supplier_Invoices!$AD80=1,Supplier_Invoices!$L80&lt;&gt;"",Supplier_Invoices!$V80&lt;&gt;"CN",N(Supplier_Invoices!$W80)&gt;0),1,0)</f>
        <v/>
      </c>
      <c r="B1607" s="32">
        <f>IF($A1607=1,$E1607&amp;"/4","")</f>
        <v/>
      </c>
      <c r="C1607" s="32">
        <f>IF($A1607=1,"J-"&amp;Supplier_Invoices!$A80,"")</f>
        <v/>
      </c>
      <c r="D1607" s="33">
        <f>IF($A1607=1,Supplier_Invoices!$E80,"")</f>
        <v/>
      </c>
      <c r="E1607" s="32">
        <f>IF($A1607=1,IF(Supplier_Invoices!$A80="","",Supplier_Invoices!$A80),"")</f>
        <v/>
      </c>
      <c r="F1607" s="32">
        <f>IF($A1607=1,"SINV","")</f>
        <v/>
      </c>
      <c r="G1607" s="32">
        <f>IF($A1607=1,ACC_SUPPLIERS,"")</f>
        <v/>
      </c>
      <c r="H1607" s="32">
        <f>IF($A1607=1,IF(COUNTIF(COA!$A:$A,$G1607)=0,"حساب غير معرف",INDEX(COA!$B:$B,MATCH($G1607,COA!$A:$A,0))),"")</f>
        <v/>
      </c>
      <c r="I1607" s="32">
        <f>IF($A1607=1,IF(Supplier_Invoices!$H80="","",Supplier_Invoices!$H80),"")</f>
        <v/>
      </c>
      <c r="J1607" s="32">
        <f>IF($A1607=1,"CC00","")</f>
        <v/>
      </c>
      <c r="K1607" s="32">
        <f>IF($A1607=1,IF(Supplier_Invoices!$C80="","",Supplier_Invoices!$C80),"")</f>
        <v/>
      </c>
      <c r="L1607" s="32">
        <f>IF($A1607=1,"سداد فوري - "&amp;Supplier_Invoices!$F80&amp;" "&amp;Supplier_Invoices!$B80&amp;" - "&amp;Supplier_Invoices!$C80,"")</f>
        <v/>
      </c>
      <c r="M1607" s="43">
        <f>IF($A1607=1,Supplier_Invoices!$W80,"")</f>
        <v/>
      </c>
      <c r="N1607" s="43">
        <f>IF($A1607=1,0,"")</f>
        <v/>
      </c>
      <c r="O1607" s="32">
        <f>IF($A1607=1,Supplier_Invoices!$O80,"")</f>
        <v/>
      </c>
      <c r="P1607" s="32">
        <f>IF($A1607=1,IF(Supplier_Invoices!$AE80="","",Supplier_Invoices!$AE80),"")</f>
        <v/>
      </c>
      <c r="Q1607" s="32">
        <f>IF($A1607=1,Supplier_Invoices!$AG80,"")</f>
        <v/>
      </c>
      <c r="R1607" s="32">
        <f>IF($A1607=1,IF(AND($Q1607=1,COUNTIFS(COA!$A:$A,$G1607,COA!$R:$R,1)=1),1,0),"")</f>
        <v/>
      </c>
      <c r="S1607" s="43">
        <f>IF($A1607=1,IF($R1607=1,N($M1607),0),"")</f>
        <v/>
      </c>
      <c r="T1607" s="43">
        <f>IF($A1607=1,IF($R1607=1,N($N1607),0),"")</f>
        <v/>
      </c>
      <c r="U1607" s="32">
        <f>IF($A1607=1,YEAR($D1607)*100+MONTH($D1607),"")</f>
        <v/>
      </c>
      <c r="V1607" s="32">
        <f>IF($A1607=1,IF(COUNTIF(COA!$A:$A,$G1607)=0,0,INDEX(COA!$H:$H,MATCH($G1607,COA!$A:$A,0))),"")</f>
        <v/>
      </c>
      <c r="W1607" s="32">
        <f>IF($A1607=1,"","")</f>
        <v/>
      </c>
      <c r="X1607" s="32">
        <f>IF($A1607=1,IF($R1607=1,"",IF($O1607=ST_POST,IF($P1607&lt;&gt;"",$P1607,"حساب غير صالح أو غير نشط"),IF($O1607=ST_REV,"معكوس: لا أثر على الدفاتر",IF($O1607=ST_CANC,"ملغى",IF($O1607=ST_APPR,"معتمد ولم يُرحَّل","مسودة"))))),"")</f>
        <v/>
      </c>
      <c r="Y1607" s="32">
        <f>IF($A1607=1,IF(AND($R1607=1,OR(LG_Acct="",$G1607=LG_Acct),OR(LG_Party="",$K1607=LG_Party),OR(LG_Loc="ALL",$I1607=LG_Loc),OR(LG_CC="ALL",$J1607=LG_CC),$D1607&gt;=LG_From,$D1607&lt;=LG_To),$D1607+ROW()/1000000,""),"")</f>
        <v/>
      </c>
      <c r="Z1607" s="32">
        <f>IF($A1607=1,IF(Supplier_Invoices!$P80="","",Supplier_Invoices!$P80),"")</f>
        <v/>
      </c>
      <c r="AA1607" s="32">
        <f>IF($A1607=1,IF(Supplier_Invoices!$Q80="","",Supplier_Invoices!$Q80),"")</f>
        <v/>
      </c>
      <c r="AB1607" s="32">
        <f>IF($A1607=1,IF(Supplier_Invoices!$R80="","",Supplier_Invoices!$R80),"")</f>
        <v/>
      </c>
      <c r="AC1607" s="32">
        <f>IF($A1607=1,IF(Supplier_Invoices!$S80="","",Supplier_Invoices!$S80),"")</f>
        <v/>
      </c>
      <c r="AD1607" s="32">
        <f>IF($A1607=1,IF(Supplier_Invoices!$T80="","",Supplier_Invoices!$T80),"")</f>
        <v/>
      </c>
      <c r="AE1607" s="32">
        <f>IF($A1607=1,0,"")</f>
        <v/>
      </c>
      <c r="AF1607" s="32" t="inlineStr"/>
    </row>
    <row r="1608">
      <c r="A1608" s="32">
        <f>IF(AND(Supplier_Invoices!$AD80=1,Supplier_Invoices!$L80&lt;&gt;"",Supplier_Invoices!$V80&lt;&gt;"CN",N(Supplier_Invoices!$W80)&gt;0),1,0)</f>
        <v/>
      </c>
      <c r="B1608" s="32">
        <f>IF($A1608=1,$E1608&amp;"/5","")</f>
        <v/>
      </c>
      <c r="C1608" s="32">
        <f>IF($A1608=1,"J-"&amp;Supplier_Invoices!$A80,"")</f>
        <v/>
      </c>
      <c r="D1608" s="33">
        <f>IF($A1608=1,Supplier_Invoices!$E80,"")</f>
        <v/>
      </c>
      <c r="E1608" s="32">
        <f>IF($A1608=1,IF(Supplier_Invoices!$A80="","",Supplier_Invoices!$A80),"")</f>
        <v/>
      </c>
      <c r="F1608" s="32">
        <f>IF($A1608=1,"SINV","")</f>
        <v/>
      </c>
      <c r="G1608" s="32">
        <f>IF($A1608=1,IF(Supplier_Invoices!$AA80="","",Supplier_Invoices!$AA80),"")</f>
        <v/>
      </c>
      <c r="H1608" s="32">
        <f>IF($A1608=1,IF(COUNTIF(COA!$A:$A,$G1608)=0,"حساب غير معرف",INDEX(COA!$B:$B,MATCH($G1608,COA!$A:$A,0))),"")</f>
        <v/>
      </c>
      <c r="I1608" s="32">
        <f>IF($A1608=1,IF(Supplier_Invoices!$H80="","",Supplier_Invoices!$H80),"")</f>
        <v/>
      </c>
      <c r="J1608" s="32">
        <f>IF($A1608=1,"CC00","")</f>
        <v/>
      </c>
      <c r="K1608" s="32">
        <f>IF($A1608=1,"-","")</f>
        <v/>
      </c>
      <c r="L1608" s="32">
        <f>IF($A1608=1,"سداد فوري - "&amp;Supplier_Invoices!$F80&amp;" "&amp;Supplier_Invoices!$B80&amp;" - "&amp;Supplier_Invoices!$C80,"")</f>
        <v/>
      </c>
      <c r="M1608" s="43">
        <f>IF($A1608=1,0,"")</f>
        <v/>
      </c>
      <c r="N1608" s="43">
        <f>IF($A1608=1,Supplier_Invoices!$W80,"")</f>
        <v/>
      </c>
      <c r="O1608" s="32">
        <f>IF($A1608=1,Supplier_Invoices!$O80,"")</f>
        <v/>
      </c>
      <c r="P1608" s="32">
        <f>IF($A1608=1,IF(Supplier_Invoices!$AE80="","",Supplier_Invoices!$AE80),"")</f>
        <v/>
      </c>
      <c r="Q1608" s="32">
        <f>IF($A1608=1,Supplier_Invoices!$AG80,"")</f>
        <v/>
      </c>
      <c r="R1608" s="32">
        <f>IF($A1608=1,IF(AND($Q1608=1,COUNTIFS(COA!$A:$A,$G1608,COA!$R:$R,1)=1),1,0),"")</f>
        <v/>
      </c>
      <c r="S1608" s="43">
        <f>IF($A1608=1,IF($R1608=1,N($M1608),0),"")</f>
        <v/>
      </c>
      <c r="T1608" s="43">
        <f>IF($A1608=1,IF($R1608=1,N($N1608),0),"")</f>
        <v/>
      </c>
      <c r="U1608" s="32">
        <f>IF($A1608=1,YEAR($D1608)*100+MONTH($D1608),"")</f>
        <v/>
      </c>
      <c r="V1608" s="32">
        <f>IF($A1608=1,IF(COUNTIF(COA!$A:$A,$G1608)=0,0,INDEX(COA!$H:$H,MATCH($G1608,COA!$A:$A,0))),"")</f>
        <v/>
      </c>
      <c r="W1608" s="32">
        <f>IF($A1608=1,IF(Supplier_Invoices!$AB80="","",Supplier_Invoices!$AB80),"")</f>
        <v/>
      </c>
      <c r="X1608" s="32">
        <f>IF($A1608=1,IF($R1608=1,"",IF($O1608=ST_POST,IF($P1608&lt;&gt;"",$P1608,"حساب غير صالح أو غير نشط"),IF($O1608=ST_REV,"معكوس: لا أثر على الدفاتر",IF($O1608=ST_CANC,"ملغى",IF($O1608=ST_APPR,"معتمد ولم يُرحَّل","مسودة"))))),"")</f>
        <v/>
      </c>
      <c r="Y1608" s="32">
        <f>IF($A1608=1,IF(AND($R1608=1,OR(LG_Acct="",$G1608=LG_Acct),OR(LG_Party="",$K1608=LG_Party),OR(LG_Loc="ALL",$I1608=LG_Loc),OR(LG_CC="ALL",$J1608=LG_CC),$D1608&gt;=LG_From,$D1608&lt;=LG_To),$D1608+ROW()/1000000,""),"")</f>
        <v/>
      </c>
      <c r="Z1608" s="32">
        <f>IF($A1608=1,IF(Supplier_Invoices!$P80="","",Supplier_Invoices!$P80),"")</f>
        <v/>
      </c>
      <c r="AA1608" s="32">
        <f>IF($A1608=1,IF(Supplier_Invoices!$Q80="","",Supplier_Invoices!$Q80),"")</f>
        <v/>
      </c>
      <c r="AB1608" s="32">
        <f>IF($A1608=1,IF(Supplier_Invoices!$R80="","",Supplier_Invoices!$R80),"")</f>
        <v/>
      </c>
      <c r="AC1608" s="32">
        <f>IF($A1608=1,IF(Supplier_Invoices!$S80="","",Supplier_Invoices!$S80),"")</f>
        <v/>
      </c>
      <c r="AD1608" s="32">
        <f>IF($A1608=1,IF(Supplier_Invoices!$T80="","",Supplier_Invoices!$T80),"")</f>
        <v/>
      </c>
      <c r="AE1608" s="32">
        <f>IF($A1608=1,0,"")</f>
        <v/>
      </c>
      <c r="AF1608" s="32" t="inlineStr"/>
    </row>
    <row r="1609">
      <c r="A1609" s="32">
        <f>IF(AND(Supplier_Invoices!$AD81=1,N(Supplier_Invoices!$J81)&gt;0),1,0)</f>
        <v/>
      </c>
      <c r="B1609" s="32">
        <f>IF($A1609=1,$E1609&amp;"/1","")</f>
        <v/>
      </c>
      <c r="C1609" s="32">
        <f>IF($A1609=1,"J-"&amp;Supplier_Invoices!$A81,"")</f>
        <v/>
      </c>
      <c r="D1609" s="33">
        <f>IF($A1609=1,Supplier_Invoices!$E81,"")</f>
        <v/>
      </c>
      <c r="E1609" s="32">
        <f>IF($A1609=1,IF(Supplier_Invoices!$A81="","",Supplier_Invoices!$A81),"")</f>
        <v/>
      </c>
      <c r="F1609" s="32">
        <f>IF($A1609=1,"SINV","")</f>
        <v/>
      </c>
      <c r="G1609" s="32">
        <f>IF($A1609=1,IF(Supplier_Invoices!$G81="","",Supplier_Invoices!$G81),"")</f>
        <v/>
      </c>
      <c r="H1609" s="32">
        <f>IF($A1609=1,IF(COUNTIF(COA!$A:$A,$G1609)=0,"حساب غير معرف",INDEX(COA!$B:$B,MATCH($G1609,COA!$A:$A,0))),"")</f>
        <v/>
      </c>
      <c r="I1609" s="32">
        <f>IF($A1609=1,IF(Supplier_Invoices!$H81="","",Supplier_Invoices!$H81),"")</f>
        <v/>
      </c>
      <c r="J1609" s="32">
        <f>IF($A1609=1,IF(Supplier_Invoices!$I81="","",Supplier_Invoices!$I81),"")</f>
        <v/>
      </c>
      <c r="K1609" s="32">
        <f>IF($A1609=1,"-","")</f>
        <v/>
      </c>
      <c r="L1609" s="32">
        <f>IF($A1609=1,Supplier_Invoices!$F81&amp;" "&amp;Supplier_Invoices!$B81&amp;" - "&amp;Supplier_Invoices!$C81,"")</f>
        <v/>
      </c>
      <c r="M1609" s="43">
        <f>IF($A1609=1,IF(Supplier_Invoices!$V81="CN",0,Supplier_Invoices!$J81),"")</f>
        <v/>
      </c>
      <c r="N1609" s="43">
        <f>IF($A1609=1,IF(Supplier_Invoices!$V81="CN",Supplier_Invoices!$J81,0),"")</f>
        <v/>
      </c>
      <c r="O1609" s="32">
        <f>IF($A1609=1,Supplier_Invoices!$O81,"")</f>
        <v/>
      </c>
      <c r="P1609" s="32">
        <f>IF($A1609=1,IF(Supplier_Invoices!$AE81="","",Supplier_Invoices!$AE81),"")</f>
        <v/>
      </c>
      <c r="Q1609" s="32">
        <f>IF($A1609=1,Supplier_Invoices!$AG81,"")</f>
        <v/>
      </c>
      <c r="R1609" s="32">
        <f>IF($A1609=1,IF(AND($Q1609=1,COUNTIFS(COA!$A:$A,$G1609,COA!$R:$R,1)=1),1,0),"")</f>
        <v/>
      </c>
      <c r="S1609" s="43">
        <f>IF($A1609=1,IF($R1609=1,N($M1609),0),"")</f>
        <v/>
      </c>
      <c r="T1609" s="43">
        <f>IF($A1609=1,IF($R1609=1,N($N1609),0),"")</f>
        <v/>
      </c>
      <c r="U1609" s="32">
        <f>IF($A1609=1,YEAR($D1609)*100+MONTH($D1609),"")</f>
        <v/>
      </c>
      <c r="V1609" s="32">
        <f>IF($A1609=1,IF(COUNTIF(COA!$A:$A,$G1609)=0,0,INDEX(COA!$H:$H,MATCH($G1609,COA!$A:$A,0))),"")</f>
        <v/>
      </c>
      <c r="W1609" s="32">
        <f>IF($A1609=1,"","")</f>
        <v/>
      </c>
      <c r="X1609" s="32">
        <f>IF($A1609=1,IF($R1609=1,"",IF($O1609=ST_POST,IF($P1609&lt;&gt;"",$P1609,"حساب غير صالح أو غير نشط"),IF($O1609=ST_REV,"معكوس: لا أثر على الدفاتر",IF($O1609=ST_CANC,"ملغى",IF($O1609=ST_APPR,"معتمد ولم يُرحَّل","مسودة"))))),"")</f>
        <v/>
      </c>
      <c r="Y1609" s="32">
        <f>IF($A1609=1,IF(AND($R1609=1,OR(LG_Acct="",$G1609=LG_Acct),OR(LG_Party="",$K1609=LG_Party),OR(LG_Loc="ALL",$I1609=LG_Loc),OR(LG_CC="ALL",$J1609=LG_CC),$D1609&gt;=LG_From,$D1609&lt;=LG_To),$D1609+ROW()/1000000,""),"")</f>
        <v/>
      </c>
      <c r="Z1609" s="32">
        <f>IF($A1609=1,IF(Supplier_Invoices!$P81="","",Supplier_Invoices!$P81),"")</f>
        <v/>
      </c>
      <c r="AA1609" s="32">
        <f>IF($A1609=1,IF(Supplier_Invoices!$Q81="","",Supplier_Invoices!$Q81),"")</f>
        <v/>
      </c>
      <c r="AB1609" s="32">
        <f>IF($A1609=1,IF(Supplier_Invoices!$R81="","",Supplier_Invoices!$R81),"")</f>
        <v/>
      </c>
      <c r="AC1609" s="32">
        <f>IF($A1609=1,IF(Supplier_Invoices!$S81="","",Supplier_Invoices!$S81),"")</f>
        <v/>
      </c>
      <c r="AD1609" s="32">
        <f>IF($A1609=1,IF(Supplier_Invoices!$T81="","",Supplier_Invoices!$T81),"")</f>
        <v/>
      </c>
      <c r="AE1609" s="32">
        <f>IF($A1609=1,0,"")</f>
        <v/>
      </c>
      <c r="AF1609" s="32" t="inlineStr"/>
    </row>
    <row r="1610">
      <c r="A1610" s="32">
        <f>IF(AND(Supplier_Invoices!$AD81=1,N(Supplier_Invoices!$K81)&gt;0),1,0)</f>
        <v/>
      </c>
      <c r="B1610" s="32">
        <f>IF($A1610=1,$E1610&amp;"/2","")</f>
        <v/>
      </c>
      <c r="C1610" s="32">
        <f>IF($A1610=1,"J-"&amp;Supplier_Invoices!$A81,"")</f>
        <v/>
      </c>
      <c r="D1610" s="33">
        <f>IF($A1610=1,Supplier_Invoices!$E81,"")</f>
        <v/>
      </c>
      <c r="E1610" s="32">
        <f>IF($A1610=1,IF(Supplier_Invoices!$A81="","",Supplier_Invoices!$A81),"")</f>
        <v/>
      </c>
      <c r="F1610" s="32">
        <f>IF($A1610=1,"SINV","")</f>
        <v/>
      </c>
      <c r="G1610" s="32">
        <f>IF($A1610=1,ACC_VAT_IN,"")</f>
        <v/>
      </c>
      <c r="H1610" s="32">
        <f>IF($A1610=1,IF(COUNTIF(COA!$A:$A,$G1610)=0,"حساب غير معرف",INDEX(COA!$B:$B,MATCH($G1610,COA!$A:$A,0))),"")</f>
        <v/>
      </c>
      <c r="I1610" s="32">
        <f>IF($A1610=1,IF(Supplier_Invoices!$H81="","",Supplier_Invoices!$H81),"")</f>
        <v/>
      </c>
      <c r="J1610" s="32">
        <f>IF($A1610=1,IF(Supplier_Invoices!$I81="","",Supplier_Invoices!$I81),"")</f>
        <v/>
      </c>
      <c r="K1610" s="32">
        <f>IF($A1610=1,"-","")</f>
        <v/>
      </c>
      <c r="L1610" s="32">
        <f>IF($A1610=1,"ضريبة قيمة مضافة - مدخلات","")</f>
        <v/>
      </c>
      <c r="M1610" s="43">
        <f>IF($A1610=1,IF(Supplier_Invoices!$V81="CN",0,Supplier_Invoices!$K81),"")</f>
        <v/>
      </c>
      <c r="N1610" s="43">
        <f>IF($A1610=1,IF(Supplier_Invoices!$V81="CN",Supplier_Invoices!$K81,0),"")</f>
        <v/>
      </c>
      <c r="O1610" s="32">
        <f>IF($A1610=1,Supplier_Invoices!$O81,"")</f>
        <v/>
      </c>
      <c r="P1610" s="32">
        <f>IF($A1610=1,IF(Supplier_Invoices!$AE81="","",Supplier_Invoices!$AE81),"")</f>
        <v/>
      </c>
      <c r="Q1610" s="32">
        <f>IF($A1610=1,Supplier_Invoices!$AG81,"")</f>
        <v/>
      </c>
      <c r="R1610" s="32">
        <f>IF($A1610=1,IF(AND($Q1610=1,COUNTIFS(COA!$A:$A,$G1610,COA!$R:$R,1)=1),1,0),"")</f>
        <v/>
      </c>
      <c r="S1610" s="43">
        <f>IF($A1610=1,IF($R1610=1,N($M1610),0),"")</f>
        <v/>
      </c>
      <c r="T1610" s="43">
        <f>IF($A1610=1,IF($R1610=1,N($N1610),0),"")</f>
        <v/>
      </c>
      <c r="U1610" s="32">
        <f>IF($A1610=1,YEAR($D1610)*100+MONTH($D1610),"")</f>
        <v/>
      </c>
      <c r="V1610" s="32">
        <f>IF($A1610=1,IF(COUNTIF(COA!$A:$A,$G1610)=0,0,INDEX(COA!$H:$H,MATCH($G1610,COA!$A:$A,0))),"")</f>
        <v/>
      </c>
      <c r="W1610" s="32">
        <f>IF($A1610=1,"","")</f>
        <v/>
      </c>
      <c r="X1610" s="32">
        <f>IF($A1610=1,IF($R1610=1,"",IF($O1610=ST_POST,IF($P1610&lt;&gt;"",$P1610,"حساب غير صالح أو غير نشط"),IF($O1610=ST_REV,"معكوس: لا أثر على الدفاتر",IF($O1610=ST_CANC,"ملغى",IF($O1610=ST_APPR,"معتمد ولم يُرحَّل","مسودة"))))),"")</f>
        <v/>
      </c>
      <c r="Y1610" s="32">
        <f>IF($A1610=1,IF(AND($R1610=1,OR(LG_Acct="",$G1610=LG_Acct),OR(LG_Party="",$K1610=LG_Party),OR(LG_Loc="ALL",$I1610=LG_Loc),OR(LG_CC="ALL",$J1610=LG_CC),$D1610&gt;=LG_From,$D1610&lt;=LG_To),$D1610+ROW()/1000000,""),"")</f>
        <v/>
      </c>
      <c r="Z1610" s="32">
        <f>IF($A1610=1,IF(Supplier_Invoices!$P81="","",Supplier_Invoices!$P81),"")</f>
        <v/>
      </c>
      <c r="AA1610" s="32">
        <f>IF($A1610=1,IF(Supplier_Invoices!$Q81="","",Supplier_Invoices!$Q81),"")</f>
        <v/>
      </c>
      <c r="AB1610" s="32">
        <f>IF($A1610=1,IF(Supplier_Invoices!$R81="","",Supplier_Invoices!$R81),"")</f>
        <v/>
      </c>
      <c r="AC1610" s="32">
        <f>IF($A1610=1,IF(Supplier_Invoices!$S81="","",Supplier_Invoices!$S81),"")</f>
        <v/>
      </c>
      <c r="AD1610" s="32">
        <f>IF($A1610=1,IF(Supplier_Invoices!$T81="","",Supplier_Invoices!$T81),"")</f>
        <v/>
      </c>
      <c r="AE1610" s="32">
        <f>IF($A1610=1,0,"")</f>
        <v/>
      </c>
      <c r="AF1610" s="32" t="inlineStr"/>
    </row>
    <row r="1611">
      <c r="A1611" s="32">
        <f>IF(AND(Supplier_Invoices!$AD81=1,N(Supplier_Invoices!$W81)&gt;0),1,0)</f>
        <v/>
      </c>
      <c r="B1611" s="32">
        <f>IF($A1611=1,$E1611&amp;"/3","")</f>
        <v/>
      </c>
      <c r="C1611" s="32">
        <f>IF($A1611=1,"J-"&amp;Supplier_Invoices!$A81,"")</f>
        <v/>
      </c>
      <c r="D1611" s="33">
        <f>IF($A1611=1,Supplier_Invoices!$E81,"")</f>
        <v/>
      </c>
      <c r="E1611" s="32">
        <f>IF($A1611=1,IF(Supplier_Invoices!$A81="","",Supplier_Invoices!$A81),"")</f>
        <v/>
      </c>
      <c r="F1611" s="32">
        <f>IF($A1611=1,"SINV","")</f>
        <v/>
      </c>
      <c r="G1611" s="32">
        <f>IF($A1611=1,ACC_SUPPLIERS,"")</f>
        <v/>
      </c>
      <c r="H1611" s="32">
        <f>IF($A1611=1,IF(COUNTIF(COA!$A:$A,$G1611)=0,"حساب غير معرف",INDEX(COA!$B:$B,MATCH($G1611,COA!$A:$A,0))),"")</f>
        <v/>
      </c>
      <c r="I1611" s="32">
        <f>IF($A1611=1,IF(Supplier_Invoices!$H81="","",Supplier_Invoices!$H81),"")</f>
        <v/>
      </c>
      <c r="J1611" s="32">
        <f>IF($A1611=1,"CC00","")</f>
        <v/>
      </c>
      <c r="K1611" s="32">
        <f>IF($A1611=1,IF(Supplier_Invoices!$C81="","",Supplier_Invoices!$C81),"")</f>
        <v/>
      </c>
      <c r="L1611" s="32">
        <f>IF($A1611=1,Supplier_Invoices!$F81&amp;" "&amp;Supplier_Invoices!$B81&amp;" - "&amp;Supplier_Invoices!$C81,"")</f>
        <v/>
      </c>
      <c r="M1611" s="43">
        <f>IF($A1611=1,IF(Supplier_Invoices!$V81="CN",Supplier_Invoices!$W81,0),"")</f>
        <v/>
      </c>
      <c r="N1611" s="43">
        <f>IF($A1611=1,IF(Supplier_Invoices!$V81="CN",0,Supplier_Invoices!$W81),"")</f>
        <v/>
      </c>
      <c r="O1611" s="32">
        <f>IF($A1611=1,Supplier_Invoices!$O81,"")</f>
        <v/>
      </c>
      <c r="P1611" s="32">
        <f>IF($A1611=1,IF(Supplier_Invoices!$AE81="","",Supplier_Invoices!$AE81),"")</f>
        <v/>
      </c>
      <c r="Q1611" s="32">
        <f>IF($A1611=1,Supplier_Invoices!$AG81,"")</f>
        <v/>
      </c>
      <c r="R1611" s="32">
        <f>IF($A1611=1,IF(AND($Q1611=1,COUNTIFS(COA!$A:$A,$G1611,COA!$R:$R,1)=1),1,0),"")</f>
        <v/>
      </c>
      <c r="S1611" s="43">
        <f>IF($A1611=1,IF($R1611=1,N($M1611),0),"")</f>
        <v/>
      </c>
      <c r="T1611" s="43">
        <f>IF($A1611=1,IF($R1611=1,N($N1611),0),"")</f>
        <v/>
      </c>
      <c r="U1611" s="32">
        <f>IF($A1611=1,YEAR($D1611)*100+MONTH($D1611),"")</f>
        <v/>
      </c>
      <c r="V1611" s="32">
        <f>IF($A1611=1,IF(COUNTIF(COA!$A:$A,$G1611)=0,0,INDEX(COA!$H:$H,MATCH($G1611,COA!$A:$A,0))),"")</f>
        <v/>
      </c>
      <c r="W1611" s="32">
        <f>IF($A1611=1,"","")</f>
        <v/>
      </c>
      <c r="X1611" s="32">
        <f>IF($A1611=1,IF($R1611=1,"",IF($O1611=ST_POST,IF($P1611&lt;&gt;"",$P1611,"حساب غير صالح أو غير نشط"),IF($O1611=ST_REV,"معكوس: لا أثر على الدفاتر",IF($O1611=ST_CANC,"ملغى",IF($O1611=ST_APPR,"معتمد ولم يُرحَّل","مسودة"))))),"")</f>
        <v/>
      </c>
      <c r="Y1611" s="32">
        <f>IF($A1611=1,IF(AND($R1611=1,OR(LG_Acct="",$G1611=LG_Acct),OR(LG_Party="",$K1611=LG_Party),OR(LG_Loc="ALL",$I1611=LG_Loc),OR(LG_CC="ALL",$J1611=LG_CC),$D1611&gt;=LG_From,$D1611&lt;=LG_To),$D1611+ROW()/1000000,""),"")</f>
        <v/>
      </c>
      <c r="Z1611" s="32">
        <f>IF($A1611=1,IF(Supplier_Invoices!$P81="","",Supplier_Invoices!$P81),"")</f>
        <v/>
      </c>
      <c r="AA1611" s="32">
        <f>IF($A1611=1,IF(Supplier_Invoices!$Q81="","",Supplier_Invoices!$Q81),"")</f>
        <v/>
      </c>
      <c r="AB1611" s="32">
        <f>IF($A1611=1,IF(Supplier_Invoices!$R81="","",Supplier_Invoices!$R81),"")</f>
        <v/>
      </c>
      <c r="AC1611" s="32">
        <f>IF($A1611=1,IF(Supplier_Invoices!$S81="","",Supplier_Invoices!$S81),"")</f>
        <v/>
      </c>
      <c r="AD1611" s="32">
        <f>IF($A1611=1,IF(Supplier_Invoices!$T81="","",Supplier_Invoices!$T81),"")</f>
        <v/>
      </c>
      <c r="AE1611" s="32">
        <f>IF($A1611=1,0,"")</f>
        <v/>
      </c>
      <c r="AF1611" s="32" t="inlineStr"/>
    </row>
    <row r="1612">
      <c r="A1612" s="32">
        <f>IF(AND(Supplier_Invoices!$AD81=1,Supplier_Invoices!$L81&lt;&gt;"",Supplier_Invoices!$V81&lt;&gt;"CN",N(Supplier_Invoices!$W81)&gt;0),1,0)</f>
        <v/>
      </c>
      <c r="B1612" s="32">
        <f>IF($A1612=1,$E1612&amp;"/4","")</f>
        <v/>
      </c>
      <c r="C1612" s="32">
        <f>IF($A1612=1,"J-"&amp;Supplier_Invoices!$A81,"")</f>
        <v/>
      </c>
      <c r="D1612" s="33">
        <f>IF($A1612=1,Supplier_Invoices!$E81,"")</f>
        <v/>
      </c>
      <c r="E1612" s="32">
        <f>IF($A1612=1,IF(Supplier_Invoices!$A81="","",Supplier_Invoices!$A81),"")</f>
        <v/>
      </c>
      <c r="F1612" s="32">
        <f>IF($A1612=1,"SINV","")</f>
        <v/>
      </c>
      <c r="G1612" s="32">
        <f>IF($A1612=1,ACC_SUPPLIERS,"")</f>
        <v/>
      </c>
      <c r="H1612" s="32">
        <f>IF($A1612=1,IF(COUNTIF(COA!$A:$A,$G1612)=0,"حساب غير معرف",INDEX(COA!$B:$B,MATCH($G1612,COA!$A:$A,0))),"")</f>
        <v/>
      </c>
      <c r="I1612" s="32">
        <f>IF($A1612=1,IF(Supplier_Invoices!$H81="","",Supplier_Invoices!$H81),"")</f>
        <v/>
      </c>
      <c r="J1612" s="32">
        <f>IF($A1612=1,"CC00","")</f>
        <v/>
      </c>
      <c r="K1612" s="32">
        <f>IF($A1612=1,IF(Supplier_Invoices!$C81="","",Supplier_Invoices!$C81),"")</f>
        <v/>
      </c>
      <c r="L1612" s="32">
        <f>IF($A1612=1,"سداد فوري - "&amp;Supplier_Invoices!$F81&amp;" "&amp;Supplier_Invoices!$B81&amp;" - "&amp;Supplier_Invoices!$C81,"")</f>
        <v/>
      </c>
      <c r="M1612" s="43">
        <f>IF($A1612=1,Supplier_Invoices!$W81,"")</f>
        <v/>
      </c>
      <c r="N1612" s="43">
        <f>IF($A1612=1,0,"")</f>
        <v/>
      </c>
      <c r="O1612" s="32">
        <f>IF($A1612=1,Supplier_Invoices!$O81,"")</f>
        <v/>
      </c>
      <c r="P1612" s="32">
        <f>IF($A1612=1,IF(Supplier_Invoices!$AE81="","",Supplier_Invoices!$AE81),"")</f>
        <v/>
      </c>
      <c r="Q1612" s="32">
        <f>IF($A1612=1,Supplier_Invoices!$AG81,"")</f>
        <v/>
      </c>
      <c r="R1612" s="32">
        <f>IF($A1612=1,IF(AND($Q1612=1,COUNTIFS(COA!$A:$A,$G1612,COA!$R:$R,1)=1),1,0),"")</f>
        <v/>
      </c>
      <c r="S1612" s="43">
        <f>IF($A1612=1,IF($R1612=1,N($M1612),0),"")</f>
        <v/>
      </c>
      <c r="T1612" s="43">
        <f>IF($A1612=1,IF($R1612=1,N($N1612),0),"")</f>
        <v/>
      </c>
      <c r="U1612" s="32">
        <f>IF($A1612=1,YEAR($D1612)*100+MONTH($D1612),"")</f>
        <v/>
      </c>
      <c r="V1612" s="32">
        <f>IF($A1612=1,IF(COUNTIF(COA!$A:$A,$G1612)=0,0,INDEX(COA!$H:$H,MATCH($G1612,COA!$A:$A,0))),"")</f>
        <v/>
      </c>
      <c r="W1612" s="32">
        <f>IF($A1612=1,"","")</f>
        <v/>
      </c>
      <c r="X1612" s="32">
        <f>IF($A1612=1,IF($R1612=1,"",IF($O1612=ST_POST,IF($P1612&lt;&gt;"",$P1612,"حساب غير صالح أو غير نشط"),IF($O1612=ST_REV,"معكوس: لا أثر على الدفاتر",IF($O1612=ST_CANC,"ملغى",IF($O1612=ST_APPR,"معتمد ولم يُرحَّل","مسودة"))))),"")</f>
        <v/>
      </c>
      <c r="Y1612" s="32">
        <f>IF($A1612=1,IF(AND($R1612=1,OR(LG_Acct="",$G1612=LG_Acct),OR(LG_Party="",$K1612=LG_Party),OR(LG_Loc="ALL",$I1612=LG_Loc),OR(LG_CC="ALL",$J1612=LG_CC),$D1612&gt;=LG_From,$D1612&lt;=LG_To),$D1612+ROW()/1000000,""),"")</f>
        <v/>
      </c>
      <c r="Z1612" s="32">
        <f>IF($A1612=1,IF(Supplier_Invoices!$P81="","",Supplier_Invoices!$P81),"")</f>
        <v/>
      </c>
      <c r="AA1612" s="32">
        <f>IF($A1612=1,IF(Supplier_Invoices!$Q81="","",Supplier_Invoices!$Q81),"")</f>
        <v/>
      </c>
      <c r="AB1612" s="32">
        <f>IF($A1612=1,IF(Supplier_Invoices!$R81="","",Supplier_Invoices!$R81),"")</f>
        <v/>
      </c>
      <c r="AC1612" s="32">
        <f>IF($A1612=1,IF(Supplier_Invoices!$S81="","",Supplier_Invoices!$S81),"")</f>
        <v/>
      </c>
      <c r="AD1612" s="32">
        <f>IF($A1612=1,IF(Supplier_Invoices!$T81="","",Supplier_Invoices!$T81),"")</f>
        <v/>
      </c>
      <c r="AE1612" s="32">
        <f>IF($A1612=1,0,"")</f>
        <v/>
      </c>
      <c r="AF1612" s="32" t="inlineStr"/>
    </row>
    <row r="1613">
      <c r="A1613" s="32">
        <f>IF(AND(Supplier_Invoices!$AD81=1,Supplier_Invoices!$L81&lt;&gt;"",Supplier_Invoices!$V81&lt;&gt;"CN",N(Supplier_Invoices!$W81)&gt;0),1,0)</f>
        <v/>
      </c>
      <c r="B1613" s="32">
        <f>IF($A1613=1,$E1613&amp;"/5","")</f>
        <v/>
      </c>
      <c r="C1613" s="32">
        <f>IF($A1613=1,"J-"&amp;Supplier_Invoices!$A81,"")</f>
        <v/>
      </c>
      <c r="D1613" s="33">
        <f>IF($A1613=1,Supplier_Invoices!$E81,"")</f>
        <v/>
      </c>
      <c r="E1613" s="32">
        <f>IF($A1613=1,IF(Supplier_Invoices!$A81="","",Supplier_Invoices!$A81),"")</f>
        <v/>
      </c>
      <c r="F1613" s="32">
        <f>IF($A1613=1,"SINV","")</f>
        <v/>
      </c>
      <c r="G1613" s="32">
        <f>IF($A1613=1,IF(Supplier_Invoices!$AA81="","",Supplier_Invoices!$AA81),"")</f>
        <v/>
      </c>
      <c r="H1613" s="32">
        <f>IF($A1613=1,IF(COUNTIF(COA!$A:$A,$G1613)=0,"حساب غير معرف",INDEX(COA!$B:$B,MATCH($G1613,COA!$A:$A,0))),"")</f>
        <v/>
      </c>
      <c r="I1613" s="32">
        <f>IF($A1613=1,IF(Supplier_Invoices!$H81="","",Supplier_Invoices!$H81),"")</f>
        <v/>
      </c>
      <c r="J1613" s="32">
        <f>IF($A1613=1,"CC00","")</f>
        <v/>
      </c>
      <c r="K1613" s="32">
        <f>IF($A1613=1,"-","")</f>
        <v/>
      </c>
      <c r="L1613" s="32">
        <f>IF($A1613=1,"سداد فوري - "&amp;Supplier_Invoices!$F81&amp;" "&amp;Supplier_Invoices!$B81&amp;" - "&amp;Supplier_Invoices!$C81,"")</f>
        <v/>
      </c>
      <c r="M1613" s="43">
        <f>IF($A1613=1,0,"")</f>
        <v/>
      </c>
      <c r="N1613" s="43">
        <f>IF($A1613=1,Supplier_Invoices!$W81,"")</f>
        <v/>
      </c>
      <c r="O1613" s="32">
        <f>IF($A1613=1,Supplier_Invoices!$O81,"")</f>
        <v/>
      </c>
      <c r="P1613" s="32">
        <f>IF($A1613=1,IF(Supplier_Invoices!$AE81="","",Supplier_Invoices!$AE81),"")</f>
        <v/>
      </c>
      <c r="Q1613" s="32">
        <f>IF($A1613=1,Supplier_Invoices!$AG81,"")</f>
        <v/>
      </c>
      <c r="R1613" s="32">
        <f>IF($A1613=1,IF(AND($Q1613=1,COUNTIFS(COA!$A:$A,$G1613,COA!$R:$R,1)=1),1,0),"")</f>
        <v/>
      </c>
      <c r="S1613" s="43">
        <f>IF($A1613=1,IF($R1613=1,N($M1613),0),"")</f>
        <v/>
      </c>
      <c r="T1613" s="43">
        <f>IF($A1613=1,IF($R1613=1,N($N1613),0),"")</f>
        <v/>
      </c>
      <c r="U1613" s="32">
        <f>IF($A1613=1,YEAR($D1613)*100+MONTH($D1613),"")</f>
        <v/>
      </c>
      <c r="V1613" s="32">
        <f>IF($A1613=1,IF(COUNTIF(COA!$A:$A,$G1613)=0,0,INDEX(COA!$H:$H,MATCH($G1613,COA!$A:$A,0))),"")</f>
        <v/>
      </c>
      <c r="W1613" s="32">
        <f>IF($A1613=1,IF(Supplier_Invoices!$AB81="","",Supplier_Invoices!$AB81),"")</f>
        <v/>
      </c>
      <c r="X1613" s="32">
        <f>IF($A1613=1,IF($R1613=1,"",IF($O1613=ST_POST,IF($P1613&lt;&gt;"",$P1613,"حساب غير صالح أو غير نشط"),IF($O1613=ST_REV,"معكوس: لا أثر على الدفاتر",IF($O1613=ST_CANC,"ملغى",IF($O1613=ST_APPR,"معتمد ولم يُرحَّل","مسودة"))))),"")</f>
        <v/>
      </c>
      <c r="Y1613" s="32">
        <f>IF($A1613=1,IF(AND($R1613=1,OR(LG_Acct="",$G1613=LG_Acct),OR(LG_Party="",$K1613=LG_Party),OR(LG_Loc="ALL",$I1613=LG_Loc),OR(LG_CC="ALL",$J1613=LG_CC),$D1613&gt;=LG_From,$D1613&lt;=LG_To),$D1613+ROW()/1000000,""),"")</f>
        <v/>
      </c>
      <c r="Z1613" s="32">
        <f>IF($A1613=1,IF(Supplier_Invoices!$P81="","",Supplier_Invoices!$P81),"")</f>
        <v/>
      </c>
      <c r="AA1613" s="32">
        <f>IF($A1613=1,IF(Supplier_Invoices!$Q81="","",Supplier_Invoices!$Q81),"")</f>
        <v/>
      </c>
      <c r="AB1613" s="32">
        <f>IF($A1613=1,IF(Supplier_Invoices!$R81="","",Supplier_Invoices!$R81),"")</f>
        <v/>
      </c>
      <c r="AC1613" s="32">
        <f>IF($A1613=1,IF(Supplier_Invoices!$S81="","",Supplier_Invoices!$S81),"")</f>
        <v/>
      </c>
      <c r="AD1613" s="32">
        <f>IF($A1613=1,IF(Supplier_Invoices!$T81="","",Supplier_Invoices!$T81),"")</f>
        <v/>
      </c>
      <c r="AE1613" s="32">
        <f>IF($A1613=1,0,"")</f>
        <v/>
      </c>
      <c r="AF1613" s="32" t="inlineStr"/>
    </row>
    <row r="1614">
      <c r="A1614" s="32">
        <f>IF(AND(Supplier_Invoices!$AD82=1,N(Supplier_Invoices!$J82)&gt;0),1,0)</f>
        <v/>
      </c>
      <c r="B1614" s="32">
        <f>IF($A1614=1,$E1614&amp;"/1","")</f>
        <v/>
      </c>
      <c r="C1614" s="32">
        <f>IF($A1614=1,"J-"&amp;Supplier_Invoices!$A82,"")</f>
        <v/>
      </c>
      <c r="D1614" s="33">
        <f>IF($A1614=1,Supplier_Invoices!$E82,"")</f>
        <v/>
      </c>
      <c r="E1614" s="32">
        <f>IF($A1614=1,IF(Supplier_Invoices!$A82="","",Supplier_Invoices!$A82),"")</f>
        <v/>
      </c>
      <c r="F1614" s="32">
        <f>IF($A1614=1,"SINV","")</f>
        <v/>
      </c>
      <c r="G1614" s="32">
        <f>IF($A1614=1,IF(Supplier_Invoices!$G82="","",Supplier_Invoices!$G82),"")</f>
        <v/>
      </c>
      <c r="H1614" s="32">
        <f>IF($A1614=1,IF(COUNTIF(COA!$A:$A,$G1614)=0,"حساب غير معرف",INDEX(COA!$B:$B,MATCH($G1614,COA!$A:$A,0))),"")</f>
        <v/>
      </c>
      <c r="I1614" s="32">
        <f>IF($A1614=1,IF(Supplier_Invoices!$H82="","",Supplier_Invoices!$H82),"")</f>
        <v/>
      </c>
      <c r="J1614" s="32">
        <f>IF($A1614=1,IF(Supplier_Invoices!$I82="","",Supplier_Invoices!$I82),"")</f>
        <v/>
      </c>
      <c r="K1614" s="32">
        <f>IF($A1614=1,"-","")</f>
        <v/>
      </c>
      <c r="L1614" s="32">
        <f>IF($A1614=1,Supplier_Invoices!$F82&amp;" "&amp;Supplier_Invoices!$B82&amp;" - "&amp;Supplier_Invoices!$C82,"")</f>
        <v/>
      </c>
      <c r="M1614" s="43">
        <f>IF($A1614=1,IF(Supplier_Invoices!$V82="CN",0,Supplier_Invoices!$J82),"")</f>
        <v/>
      </c>
      <c r="N1614" s="43">
        <f>IF($A1614=1,IF(Supplier_Invoices!$V82="CN",Supplier_Invoices!$J82,0),"")</f>
        <v/>
      </c>
      <c r="O1614" s="32">
        <f>IF($A1614=1,Supplier_Invoices!$O82,"")</f>
        <v/>
      </c>
      <c r="P1614" s="32">
        <f>IF($A1614=1,IF(Supplier_Invoices!$AE82="","",Supplier_Invoices!$AE82),"")</f>
        <v/>
      </c>
      <c r="Q1614" s="32">
        <f>IF($A1614=1,Supplier_Invoices!$AG82,"")</f>
        <v/>
      </c>
      <c r="R1614" s="32">
        <f>IF($A1614=1,IF(AND($Q1614=1,COUNTIFS(COA!$A:$A,$G1614,COA!$R:$R,1)=1),1,0),"")</f>
        <v/>
      </c>
      <c r="S1614" s="43">
        <f>IF($A1614=1,IF($R1614=1,N($M1614),0),"")</f>
        <v/>
      </c>
      <c r="T1614" s="43">
        <f>IF($A1614=1,IF($R1614=1,N($N1614),0),"")</f>
        <v/>
      </c>
      <c r="U1614" s="32">
        <f>IF($A1614=1,YEAR($D1614)*100+MONTH($D1614),"")</f>
        <v/>
      </c>
      <c r="V1614" s="32">
        <f>IF($A1614=1,IF(COUNTIF(COA!$A:$A,$G1614)=0,0,INDEX(COA!$H:$H,MATCH($G1614,COA!$A:$A,0))),"")</f>
        <v/>
      </c>
      <c r="W1614" s="32">
        <f>IF($A1614=1,"","")</f>
        <v/>
      </c>
      <c r="X1614" s="32">
        <f>IF($A1614=1,IF($R1614=1,"",IF($O1614=ST_POST,IF($P1614&lt;&gt;"",$P1614,"حساب غير صالح أو غير نشط"),IF($O1614=ST_REV,"معكوس: لا أثر على الدفاتر",IF($O1614=ST_CANC,"ملغى",IF($O1614=ST_APPR,"معتمد ولم يُرحَّل","مسودة"))))),"")</f>
        <v/>
      </c>
      <c r="Y1614" s="32">
        <f>IF($A1614=1,IF(AND($R1614=1,OR(LG_Acct="",$G1614=LG_Acct),OR(LG_Party="",$K1614=LG_Party),OR(LG_Loc="ALL",$I1614=LG_Loc),OR(LG_CC="ALL",$J1614=LG_CC),$D1614&gt;=LG_From,$D1614&lt;=LG_To),$D1614+ROW()/1000000,""),"")</f>
        <v/>
      </c>
      <c r="Z1614" s="32">
        <f>IF($A1614=1,IF(Supplier_Invoices!$P82="","",Supplier_Invoices!$P82),"")</f>
        <v/>
      </c>
      <c r="AA1614" s="32">
        <f>IF($A1614=1,IF(Supplier_Invoices!$Q82="","",Supplier_Invoices!$Q82),"")</f>
        <v/>
      </c>
      <c r="AB1614" s="32">
        <f>IF($A1614=1,IF(Supplier_Invoices!$R82="","",Supplier_Invoices!$R82),"")</f>
        <v/>
      </c>
      <c r="AC1614" s="32">
        <f>IF($A1614=1,IF(Supplier_Invoices!$S82="","",Supplier_Invoices!$S82),"")</f>
        <v/>
      </c>
      <c r="AD1614" s="32">
        <f>IF($A1614=1,IF(Supplier_Invoices!$T82="","",Supplier_Invoices!$T82),"")</f>
        <v/>
      </c>
      <c r="AE1614" s="32">
        <f>IF($A1614=1,0,"")</f>
        <v/>
      </c>
      <c r="AF1614" s="32" t="inlineStr"/>
    </row>
    <row r="1615">
      <c r="A1615" s="32">
        <f>IF(AND(Supplier_Invoices!$AD82=1,N(Supplier_Invoices!$K82)&gt;0),1,0)</f>
        <v/>
      </c>
      <c r="B1615" s="32">
        <f>IF($A1615=1,$E1615&amp;"/2","")</f>
        <v/>
      </c>
      <c r="C1615" s="32">
        <f>IF($A1615=1,"J-"&amp;Supplier_Invoices!$A82,"")</f>
        <v/>
      </c>
      <c r="D1615" s="33">
        <f>IF($A1615=1,Supplier_Invoices!$E82,"")</f>
        <v/>
      </c>
      <c r="E1615" s="32">
        <f>IF($A1615=1,IF(Supplier_Invoices!$A82="","",Supplier_Invoices!$A82),"")</f>
        <v/>
      </c>
      <c r="F1615" s="32">
        <f>IF($A1615=1,"SINV","")</f>
        <v/>
      </c>
      <c r="G1615" s="32">
        <f>IF($A1615=1,ACC_VAT_IN,"")</f>
        <v/>
      </c>
      <c r="H1615" s="32">
        <f>IF($A1615=1,IF(COUNTIF(COA!$A:$A,$G1615)=0,"حساب غير معرف",INDEX(COA!$B:$B,MATCH($G1615,COA!$A:$A,0))),"")</f>
        <v/>
      </c>
      <c r="I1615" s="32">
        <f>IF($A1615=1,IF(Supplier_Invoices!$H82="","",Supplier_Invoices!$H82),"")</f>
        <v/>
      </c>
      <c r="J1615" s="32">
        <f>IF($A1615=1,IF(Supplier_Invoices!$I82="","",Supplier_Invoices!$I82),"")</f>
        <v/>
      </c>
      <c r="K1615" s="32">
        <f>IF($A1615=1,"-","")</f>
        <v/>
      </c>
      <c r="L1615" s="32">
        <f>IF($A1615=1,"ضريبة قيمة مضافة - مدخلات","")</f>
        <v/>
      </c>
      <c r="M1615" s="43">
        <f>IF($A1615=1,IF(Supplier_Invoices!$V82="CN",0,Supplier_Invoices!$K82),"")</f>
        <v/>
      </c>
      <c r="N1615" s="43">
        <f>IF($A1615=1,IF(Supplier_Invoices!$V82="CN",Supplier_Invoices!$K82,0),"")</f>
        <v/>
      </c>
      <c r="O1615" s="32">
        <f>IF($A1615=1,Supplier_Invoices!$O82,"")</f>
        <v/>
      </c>
      <c r="P1615" s="32">
        <f>IF($A1615=1,IF(Supplier_Invoices!$AE82="","",Supplier_Invoices!$AE82),"")</f>
        <v/>
      </c>
      <c r="Q1615" s="32">
        <f>IF($A1615=1,Supplier_Invoices!$AG82,"")</f>
        <v/>
      </c>
      <c r="R1615" s="32">
        <f>IF($A1615=1,IF(AND($Q1615=1,COUNTIFS(COA!$A:$A,$G1615,COA!$R:$R,1)=1),1,0),"")</f>
        <v/>
      </c>
      <c r="S1615" s="43">
        <f>IF($A1615=1,IF($R1615=1,N($M1615),0),"")</f>
        <v/>
      </c>
      <c r="T1615" s="43">
        <f>IF($A1615=1,IF($R1615=1,N($N1615),0),"")</f>
        <v/>
      </c>
      <c r="U1615" s="32">
        <f>IF($A1615=1,YEAR($D1615)*100+MONTH($D1615),"")</f>
        <v/>
      </c>
      <c r="V1615" s="32">
        <f>IF($A1615=1,IF(COUNTIF(COA!$A:$A,$G1615)=0,0,INDEX(COA!$H:$H,MATCH($G1615,COA!$A:$A,0))),"")</f>
        <v/>
      </c>
      <c r="W1615" s="32">
        <f>IF($A1615=1,"","")</f>
        <v/>
      </c>
      <c r="X1615" s="32">
        <f>IF($A1615=1,IF($R1615=1,"",IF($O1615=ST_POST,IF($P1615&lt;&gt;"",$P1615,"حساب غير صالح أو غير نشط"),IF($O1615=ST_REV,"معكوس: لا أثر على الدفاتر",IF($O1615=ST_CANC,"ملغى",IF($O1615=ST_APPR,"معتمد ولم يُرحَّل","مسودة"))))),"")</f>
        <v/>
      </c>
      <c r="Y1615" s="32">
        <f>IF($A1615=1,IF(AND($R1615=1,OR(LG_Acct="",$G1615=LG_Acct),OR(LG_Party="",$K1615=LG_Party),OR(LG_Loc="ALL",$I1615=LG_Loc),OR(LG_CC="ALL",$J1615=LG_CC),$D1615&gt;=LG_From,$D1615&lt;=LG_To),$D1615+ROW()/1000000,""),"")</f>
        <v/>
      </c>
      <c r="Z1615" s="32">
        <f>IF($A1615=1,IF(Supplier_Invoices!$P82="","",Supplier_Invoices!$P82),"")</f>
        <v/>
      </c>
      <c r="AA1615" s="32">
        <f>IF($A1615=1,IF(Supplier_Invoices!$Q82="","",Supplier_Invoices!$Q82),"")</f>
        <v/>
      </c>
      <c r="AB1615" s="32">
        <f>IF($A1615=1,IF(Supplier_Invoices!$R82="","",Supplier_Invoices!$R82),"")</f>
        <v/>
      </c>
      <c r="AC1615" s="32">
        <f>IF($A1615=1,IF(Supplier_Invoices!$S82="","",Supplier_Invoices!$S82),"")</f>
        <v/>
      </c>
      <c r="AD1615" s="32">
        <f>IF($A1615=1,IF(Supplier_Invoices!$T82="","",Supplier_Invoices!$T82),"")</f>
        <v/>
      </c>
      <c r="AE1615" s="32">
        <f>IF($A1615=1,0,"")</f>
        <v/>
      </c>
      <c r="AF1615" s="32" t="inlineStr"/>
    </row>
    <row r="1616">
      <c r="A1616" s="32">
        <f>IF(AND(Supplier_Invoices!$AD82=1,N(Supplier_Invoices!$W82)&gt;0),1,0)</f>
        <v/>
      </c>
      <c r="B1616" s="32">
        <f>IF($A1616=1,$E1616&amp;"/3","")</f>
        <v/>
      </c>
      <c r="C1616" s="32">
        <f>IF($A1616=1,"J-"&amp;Supplier_Invoices!$A82,"")</f>
        <v/>
      </c>
      <c r="D1616" s="33">
        <f>IF($A1616=1,Supplier_Invoices!$E82,"")</f>
        <v/>
      </c>
      <c r="E1616" s="32">
        <f>IF($A1616=1,IF(Supplier_Invoices!$A82="","",Supplier_Invoices!$A82),"")</f>
        <v/>
      </c>
      <c r="F1616" s="32">
        <f>IF($A1616=1,"SINV","")</f>
        <v/>
      </c>
      <c r="G1616" s="32">
        <f>IF($A1616=1,ACC_SUPPLIERS,"")</f>
        <v/>
      </c>
      <c r="H1616" s="32">
        <f>IF($A1616=1,IF(COUNTIF(COA!$A:$A,$G1616)=0,"حساب غير معرف",INDEX(COA!$B:$B,MATCH($G1616,COA!$A:$A,0))),"")</f>
        <v/>
      </c>
      <c r="I1616" s="32">
        <f>IF($A1616=1,IF(Supplier_Invoices!$H82="","",Supplier_Invoices!$H82),"")</f>
        <v/>
      </c>
      <c r="J1616" s="32">
        <f>IF($A1616=1,"CC00","")</f>
        <v/>
      </c>
      <c r="K1616" s="32">
        <f>IF($A1616=1,IF(Supplier_Invoices!$C82="","",Supplier_Invoices!$C82),"")</f>
        <v/>
      </c>
      <c r="L1616" s="32">
        <f>IF($A1616=1,Supplier_Invoices!$F82&amp;" "&amp;Supplier_Invoices!$B82&amp;" - "&amp;Supplier_Invoices!$C82,"")</f>
        <v/>
      </c>
      <c r="M1616" s="43">
        <f>IF($A1616=1,IF(Supplier_Invoices!$V82="CN",Supplier_Invoices!$W82,0),"")</f>
        <v/>
      </c>
      <c r="N1616" s="43">
        <f>IF($A1616=1,IF(Supplier_Invoices!$V82="CN",0,Supplier_Invoices!$W82),"")</f>
        <v/>
      </c>
      <c r="O1616" s="32">
        <f>IF($A1616=1,Supplier_Invoices!$O82,"")</f>
        <v/>
      </c>
      <c r="P1616" s="32">
        <f>IF($A1616=1,IF(Supplier_Invoices!$AE82="","",Supplier_Invoices!$AE82),"")</f>
        <v/>
      </c>
      <c r="Q1616" s="32">
        <f>IF($A1616=1,Supplier_Invoices!$AG82,"")</f>
        <v/>
      </c>
      <c r="R1616" s="32">
        <f>IF($A1616=1,IF(AND($Q1616=1,COUNTIFS(COA!$A:$A,$G1616,COA!$R:$R,1)=1),1,0),"")</f>
        <v/>
      </c>
      <c r="S1616" s="43">
        <f>IF($A1616=1,IF($R1616=1,N($M1616),0),"")</f>
        <v/>
      </c>
      <c r="T1616" s="43">
        <f>IF($A1616=1,IF($R1616=1,N($N1616),0),"")</f>
        <v/>
      </c>
      <c r="U1616" s="32">
        <f>IF($A1616=1,YEAR($D1616)*100+MONTH($D1616),"")</f>
        <v/>
      </c>
      <c r="V1616" s="32">
        <f>IF($A1616=1,IF(COUNTIF(COA!$A:$A,$G1616)=0,0,INDEX(COA!$H:$H,MATCH($G1616,COA!$A:$A,0))),"")</f>
        <v/>
      </c>
      <c r="W1616" s="32">
        <f>IF($A1616=1,"","")</f>
        <v/>
      </c>
      <c r="X1616" s="32">
        <f>IF($A1616=1,IF($R1616=1,"",IF($O1616=ST_POST,IF($P1616&lt;&gt;"",$P1616,"حساب غير صالح أو غير نشط"),IF($O1616=ST_REV,"معكوس: لا أثر على الدفاتر",IF($O1616=ST_CANC,"ملغى",IF($O1616=ST_APPR,"معتمد ولم يُرحَّل","مسودة"))))),"")</f>
        <v/>
      </c>
      <c r="Y1616" s="32">
        <f>IF($A1616=1,IF(AND($R1616=1,OR(LG_Acct="",$G1616=LG_Acct),OR(LG_Party="",$K1616=LG_Party),OR(LG_Loc="ALL",$I1616=LG_Loc),OR(LG_CC="ALL",$J1616=LG_CC),$D1616&gt;=LG_From,$D1616&lt;=LG_To),$D1616+ROW()/1000000,""),"")</f>
        <v/>
      </c>
      <c r="Z1616" s="32">
        <f>IF($A1616=1,IF(Supplier_Invoices!$P82="","",Supplier_Invoices!$P82),"")</f>
        <v/>
      </c>
      <c r="AA1616" s="32">
        <f>IF($A1616=1,IF(Supplier_Invoices!$Q82="","",Supplier_Invoices!$Q82),"")</f>
        <v/>
      </c>
      <c r="AB1616" s="32">
        <f>IF($A1616=1,IF(Supplier_Invoices!$R82="","",Supplier_Invoices!$R82),"")</f>
        <v/>
      </c>
      <c r="AC1616" s="32">
        <f>IF($A1616=1,IF(Supplier_Invoices!$S82="","",Supplier_Invoices!$S82),"")</f>
        <v/>
      </c>
      <c r="AD1616" s="32">
        <f>IF($A1616=1,IF(Supplier_Invoices!$T82="","",Supplier_Invoices!$T82),"")</f>
        <v/>
      </c>
      <c r="AE1616" s="32">
        <f>IF($A1616=1,0,"")</f>
        <v/>
      </c>
      <c r="AF1616" s="32" t="inlineStr"/>
    </row>
    <row r="1617">
      <c r="A1617" s="32">
        <f>IF(AND(Supplier_Invoices!$AD82=1,Supplier_Invoices!$L82&lt;&gt;"",Supplier_Invoices!$V82&lt;&gt;"CN",N(Supplier_Invoices!$W82)&gt;0),1,0)</f>
        <v/>
      </c>
      <c r="B1617" s="32">
        <f>IF($A1617=1,$E1617&amp;"/4","")</f>
        <v/>
      </c>
      <c r="C1617" s="32">
        <f>IF($A1617=1,"J-"&amp;Supplier_Invoices!$A82,"")</f>
        <v/>
      </c>
      <c r="D1617" s="33">
        <f>IF($A1617=1,Supplier_Invoices!$E82,"")</f>
        <v/>
      </c>
      <c r="E1617" s="32">
        <f>IF($A1617=1,IF(Supplier_Invoices!$A82="","",Supplier_Invoices!$A82),"")</f>
        <v/>
      </c>
      <c r="F1617" s="32">
        <f>IF($A1617=1,"SINV","")</f>
        <v/>
      </c>
      <c r="G1617" s="32">
        <f>IF($A1617=1,ACC_SUPPLIERS,"")</f>
        <v/>
      </c>
      <c r="H1617" s="32">
        <f>IF($A1617=1,IF(COUNTIF(COA!$A:$A,$G1617)=0,"حساب غير معرف",INDEX(COA!$B:$B,MATCH($G1617,COA!$A:$A,0))),"")</f>
        <v/>
      </c>
      <c r="I1617" s="32">
        <f>IF($A1617=1,IF(Supplier_Invoices!$H82="","",Supplier_Invoices!$H82),"")</f>
        <v/>
      </c>
      <c r="J1617" s="32">
        <f>IF($A1617=1,"CC00","")</f>
        <v/>
      </c>
      <c r="K1617" s="32">
        <f>IF($A1617=1,IF(Supplier_Invoices!$C82="","",Supplier_Invoices!$C82),"")</f>
        <v/>
      </c>
      <c r="L1617" s="32">
        <f>IF($A1617=1,"سداد فوري - "&amp;Supplier_Invoices!$F82&amp;" "&amp;Supplier_Invoices!$B82&amp;" - "&amp;Supplier_Invoices!$C82,"")</f>
        <v/>
      </c>
      <c r="M1617" s="43">
        <f>IF($A1617=1,Supplier_Invoices!$W82,"")</f>
        <v/>
      </c>
      <c r="N1617" s="43">
        <f>IF($A1617=1,0,"")</f>
        <v/>
      </c>
      <c r="O1617" s="32">
        <f>IF($A1617=1,Supplier_Invoices!$O82,"")</f>
        <v/>
      </c>
      <c r="P1617" s="32">
        <f>IF($A1617=1,IF(Supplier_Invoices!$AE82="","",Supplier_Invoices!$AE82),"")</f>
        <v/>
      </c>
      <c r="Q1617" s="32">
        <f>IF($A1617=1,Supplier_Invoices!$AG82,"")</f>
        <v/>
      </c>
      <c r="R1617" s="32">
        <f>IF($A1617=1,IF(AND($Q1617=1,COUNTIFS(COA!$A:$A,$G1617,COA!$R:$R,1)=1),1,0),"")</f>
        <v/>
      </c>
      <c r="S1617" s="43">
        <f>IF($A1617=1,IF($R1617=1,N($M1617),0),"")</f>
        <v/>
      </c>
      <c r="T1617" s="43">
        <f>IF($A1617=1,IF($R1617=1,N($N1617),0),"")</f>
        <v/>
      </c>
      <c r="U1617" s="32">
        <f>IF($A1617=1,YEAR($D1617)*100+MONTH($D1617),"")</f>
        <v/>
      </c>
      <c r="V1617" s="32">
        <f>IF($A1617=1,IF(COUNTIF(COA!$A:$A,$G1617)=0,0,INDEX(COA!$H:$H,MATCH($G1617,COA!$A:$A,0))),"")</f>
        <v/>
      </c>
      <c r="W1617" s="32">
        <f>IF($A1617=1,"","")</f>
        <v/>
      </c>
      <c r="X1617" s="32">
        <f>IF($A1617=1,IF($R1617=1,"",IF($O1617=ST_POST,IF($P1617&lt;&gt;"",$P1617,"حساب غير صالح أو غير نشط"),IF($O1617=ST_REV,"معكوس: لا أثر على الدفاتر",IF($O1617=ST_CANC,"ملغى",IF($O1617=ST_APPR,"معتمد ولم يُرحَّل","مسودة"))))),"")</f>
        <v/>
      </c>
      <c r="Y1617" s="32">
        <f>IF($A1617=1,IF(AND($R1617=1,OR(LG_Acct="",$G1617=LG_Acct),OR(LG_Party="",$K1617=LG_Party),OR(LG_Loc="ALL",$I1617=LG_Loc),OR(LG_CC="ALL",$J1617=LG_CC),$D1617&gt;=LG_From,$D1617&lt;=LG_To),$D1617+ROW()/1000000,""),"")</f>
        <v/>
      </c>
      <c r="Z1617" s="32">
        <f>IF($A1617=1,IF(Supplier_Invoices!$P82="","",Supplier_Invoices!$P82),"")</f>
        <v/>
      </c>
      <c r="AA1617" s="32">
        <f>IF($A1617=1,IF(Supplier_Invoices!$Q82="","",Supplier_Invoices!$Q82),"")</f>
        <v/>
      </c>
      <c r="AB1617" s="32">
        <f>IF($A1617=1,IF(Supplier_Invoices!$R82="","",Supplier_Invoices!$R82),"")</f>
        <v/>
      </c>
      <c r="AC1617" s="32">
        <f>IF($A1617=1,IF(Supplier_Invoices!$S82="","",Supplier_Invoices!$S82),"")</f>
        <v/>
      </c>
      <c r="AD1617" s="32">
        <f>IF($A1617=1,IF(Supplier_Invoices!$T82="","",Supplier_Invoices!$T82),"")</f>
        <v/>
      </c>
      <c r="AE1617" s="32">
        <f>IF($A1617=1,0,"")</f>
        <v/>
      </c>
      <c r="AF1617" s="32" t="inlineStr"/>
    </row>
    <row r="1618">
      <c r="A1618" s="32">
        <f>IF(AND(Supplier_Invoices!$AD82=1,Supplier_Invoices!$L82&lt;&gt;"",Supplier_Invoices!$V82&lt;&gt;"CN",N(Supplier_Invoices!$W82)&gt;0),1,0)</f>
        <v/>
      </c>
      <c r="B1618" s="32">
        <f>IF($A1618=1,$E1618&amp;"/5","")</f>
        <v/>
      </c>
      <c r="C1618" s="32">
        <f>IF($A1618=1,"J-"&amp;Supplier_Invoices!$A82,"")</f>
        <v/>
      </c>
      <c r="D1618" s="33">
        <f>IF($A1618=1,Supplier_Invoices!$E82,"")</f>
        <v/>
      </c>
      <c r="E1618" s="32">
        <f>IF($A1618=1,IF(Supplier_Invoices!$A82="","",Supplier_Invoices!$A82),"")</f>
        <v/>
      </c>
      <c r="F1618" s="32">
        <f>IF($A1618=1,"SINV","")</f>
        <v/>
      </c>
      <c r="G1618" s="32">
        <f>IF($A1618=1,IF(Supplier_Invoices!$AA82="","",Supplier_Invoices!$AA82),"")</f>
        <v/>
      </c>
      <c r="H1618" s="32">
        <f>IF($A1618=1,IF(COUNTIF(COA!$A:$A,$G1618)=0,"حساب غير معرف",INDEX(COA!$B:$B,MATCH($G1618,COA!$A:$A,0))),"")</f>
        <v/>
      </c>
      <c r="I1618" s="32">
        <f>IF($A1618=1,IF(Supplier_Invoices!$H82="","",Supplier_Invoices!$H82),"")</f>
        <v/>
      </c>
      <c r="J1618" s="32">
        <f>IF($A1618=1,"CC00","")</f>
        <v/>
      </c>
      <c r="K1618" s="32">
        <f>IF($A1618=1,"-","")</f>
        <v/>
      </c>
      <c r="L1618" s="32">
        <f>IF($A1618=1,"سداد فوري - "&amp;Supplier_Invoices!$F82&amp;" "&amp;Supplier_Invoices!$B82&amp;" - "&amp;Supplier_Invoices!$C82,"")</f>
        <v/>
      </c>
      <c r="M1618" s="43">
        <f>IF($A1618=1,0,"")</f>
        <v/>
      </c>
      <c r="N1618" s="43">
        <f>IF($A1618=1,Supplier_Invoices!$W82,"")</f>
        <v/>
      </c>
      <c r="O1618" s="32">
        <f>IF($A1618=1,Supplier_Invoices!$O82,"")</f>
        <v/>
      </c>
      <c r="P1618" s="32">
        <f>IF($A1618=1,IF(Supplier_Invoices!$AE82="","",Supplier_Invoices!$AE82),"")</f>
        <v/>
      </c>
      <c r="Q1618" s="32">
        <f>IF($A1618=1,Supplier_Invoices!$AG82,"")</f>
        <v/>
      </c>
      <c r="R1618" s="32">
        <f>IF($A1618=1,IF(AND($Q1618=1,COUNTIFS(COA!$A:$A,$G1618,COA!$R:$R,1)=1),1,0),"")</f>
        <v/>
      </c>
      <c r="S1618" s="43">
        <f>IF($A1618=1,IF($R1618=1,N($M1618),0),"")</f>
        <v/>
      </c>
      <c r="T1618" s="43">
        <f>IF($A1618=1,IF($R1618=1,N($N1618),0),"")</f>
        <v/>
      </c>
      <c r="U1618" s="32">
        <f>IF($A1618=1,YEAR($D1618)*100+MONTH($D1618),"")</f>
        <v/>
      </c>
      <c r="V1618" s="32">
        <f>IF($A1618=1,IF(COUNTIF(COA!$A:$A,$G1618)=0,0,INDEX(COA!$H:$H,MATCH($G1618,COA!$A:$A,0))),"")</f>
        <v/>
      </c>
      <c r="W1618" s="32">
        <f>IF($A1618=1,IF(Supplier_Invoices!$AB82="","",Supplier_Invoices!$AB82),"")</f>
        <v/>
      </c>
      <c r="X1618" s="32">
        <f>IF($A1618=1,IF($R1618=1,"",IF($O1618=ST_POST,IF($P1618&lt;&gt;"",$P1618,"حساب غير صالح أو غير نشط"),IF($O1618=ST_REV,"معكوس: لا أثر على الدفاتر",IF($O1618=ST_CANC,"ملغى",IF($O1618=ST_APPR,"معتمد ولم يُرحَّل","مسودة"))))),"")</f>
        <v/>
      </c>
      <c r="Y1618" s="32">
        <f>IF($A1618=1,IF(AND($R1618=1,OR(LG_Acct="",$G1618=LG_Acct),OR(LG_Party="",$K1618=LG_Party),OR(LG_Loc="ALL",$I1618=LG_Loc),OR(LG_CC="ALL",$J1618=LG_CC),$D1618&gt;=LG_From,$D1618&lt;=LG_To),$D1618+ROW()/1000000,""),"")</f>
        <v/>
      </c>
      <c r="Z1618" s="32">
        <f>IF($A1618=1,IF(Supplier_Invoices!$P82="","",Supplier_Invoices!$P82),"")</f>
        <v/>
      </c>
      <c r="AA1618" s="32">
        <f>IF($A1618=1,IF(Supplier_Invoices!$Q82="","",Supplier_Invoices!$Q82),"")</f>
        <v/>
      </c>
      <c r="AB1618" s="32">
        <f>IF($A1618=1,IF(Supplier_Invoices!$R82="","",Supplier_Invoices!$R82),"")</f>
        <v/>
      </c>
      <c r="AC1618" s="32">
        <f>IF($A1618=1,IF(Supplier_Invoices!$S82="","",Supplier_Invoices!$S82),"")</f>
        <v/>
      </c>
      <c r="AD1618" s="32">
        <f>IF($A1618=1,IF(Supplier_Invoices!$T82="","",Supplier_Invoices!$T82),"")</f>
        <v/>
      </c>
      <c r="AE1618" s="32">
        <f>IF($A1618=1,0,"")</f>
        <v/>
      </c>
      <c r="AF1618" s="32" t="inlineStr"/>
    </row>
    <row r="1619">
      <c r="A1619" s="32">
        <f>IF(AND(Supplier_Invoices!$AD83=1,N(Supplier_Invoices!$J83)&gt;0),1,0)</f>
        <v/>
      </c>
      <c r="B1619" s="32">
        <f>IF($A1619=1,$E1619&amp;"/1","")</f>
        <v/>
      </c>
      <c r="C1619" s="32">
        <f>IF($A1619=1,"J-"&amp;Supplier_Invoices!$A83,"")</f>
        <v/>
      </c>
      <c r="D1619" s="33">
        <f>IF($A1619=1,Supplier_Invoices!$E83,"")</f>
        <v/>
      </c>
      <c r="E1619" s="32">
        <f>IF($A1619=1,IF(Supplier_Invoices!$A83="","",Supplier_Invoices!$A83),"")</f>
        <v/>
      </c>
      <c r="F1619" s="32">
        <f>IF($A1619=1,"SINV","")</f>
        <v/>
      </c>
      <c r="G1619" s="32">
        <f>IF($A1619=1,IF(Supplier_Invoices!$G83="","",Supplier_Invoices!$G83),"")</f>
        <v/>
      </c>
      <c r="H1619" s="32">
        <f>IF($A1619=1,IF(COUNTIF(COA!$A:$A,$G1619)=0,"حساب غير معرف",INDEX(COA!$B:$B,MATCH($G1619,COA!$A:$A,0))),"")</f>
        <v/>
      </c>
      <c r="I1619" s="32">
        <f>IF($A1619=1,IF(Supplier_Invoices!$H83="","",Supplier_Invoices!$H83),"")</f>
        <v/>
      </c>
      <c r="J1619" s="32">
        <f>IF($A1619=1,IF(Supplier_Invoices!$I83="","",Supplier_Invoices!$I83),"")</f>
        <v/>
      </c>
      <c r="K1619" s="32">
        <f>IF($A1619=1,"-","")</f>
        <v/>
      </c>
      <c r="L1619" s="32">
        <f>IF($A1619=1,Supplier_Invoices!$F83&amp;" "&amp;Supplier_Invoices!$B83&amp;" - "&amp;Supplier_Invoices!$C83,"")</f>
        <v/>
      </c>
      <c r="M1619" s="43">
        <f>IF($A1619=1,IF(Supplier_Invoices!$V83="CN",0,Supplier_Invoices!$J83),"")</f>
        <v/>
      </c>
      <c r="N1619" s="43">
        <f>IF($A1619=1,IF(Supplier_Invoices!$V83="CN",Supplier_Invoices!$J83,0),"")</f>
        <v/>
      </c>
      <c r="O1619" s="32">
        <f>IF($A1619=1,Supplier_Invoices!$O83,"")</f>
        <v/>
      </c>
      <c r="P1619" s="32">
        <f>IF($A1619=1,IF(Supplier_Invoices!$AE83="","",Supplier_Invoices!$AE83),"")</f>
        <v/>
      </c>
      <c r="Q1619" s="32">
        <f>IF($A1619=1,Supplier_Invoices!$AG83,"")</f>
        <v/>
      </c>
      <c r="R1619" s="32">
        <f>IF($A1619=1,IF(AND($Q1619=1,COUNTIFS(COA!$A:$A,$G1619,COA!$R:$R,1)=1),1,0),"")</f>
        <v/>
      </c>
      <c r="S1619" s="43">
        <f>IF($A1619=1,IF($R1619=1,N($M1619),0),"")</f>
        <v/>
      </c>
      <c r="T1619" s="43">
        <f>IF($A1619=1,IF($R1619=1,N($N1619),0),"")</f>
        <v/>
      </c>
      <c r="U1619" s="32">
        <f>IF($A1619=1,YEAR($D1619)*100+MONTH($D1619),"")</f>
        <v/>
      </c>
      <c r="V1619" s="32">
        <f>IF($A1619=1,IF(COUNTIF(COA!$A:$A,$G1619)=0,0,INDEX(COA!$H:$H,MATCH($G1619,COA!$A:$A,0))),"")</f>
        <v/>
      </c>
      <c r="W1619" s="32">
        <f>IF($A1619=1,"","")</f>
        <v/>
      </c>
      <c r="X1619" s="32">
        <f>IF($A1619=1,IF($R1619=1,"",IF($O1619=ST_POST,IF($P1619&lt;&gt;"",$P1619,"حساب غير صالح أو غير نشط"),IF($O1619=ST_REV,"معكوس: لا أثر على الدفاتر",IF($O1619=ST_CANC,"ملغى",IF($O1619=ST_APPR,"معتمد ولم يُرحَّل","مسودة"))))),"")</f>
        <v/>
      </c>
      <c r="Y1619" s="32">
        <f>IF($A1619=1,IF(AND($R1619=1,OR(LG_Acct="",$G1619=LG_Acct),OR(LG_Party="",$K1619=LG_Party),OR(LG_Loc="ALL",$I1619=LG_Loc),OR(LG_CC="ALL",$J1619=LG_CC),$D1619&gt;=LG_From,$D1619&lt;=LG_To),$D1619+ROW()/1000000,""),"")</f>
        <v/>
      </c>
      <c r="Z1619" s="32">
        <f>IF($A1619=1,IF(Supplier_Invoices!$P83="","",Supplier_Invoices!$P83),"")</f>
        <v/>
      </c>
      <c r="AA1619" s="32">
        <f>IF($A1619=1,IF(Supplier_Invoices!$Q83="","",Supplier_Invoices!$Q83),"")</f>
        <v/>
      </c>
      <c r="AB1619" s="32">
        <f>IF($A1619=1,IF(Supplier_Invoices!$R83="","",Supplier_Invoices!$R83),"")</f>
        <v/>
      </c>
      <c r="AC1619" s="32">
        <f>IF($A1619=1,IF(Supplier_Invoices!$S83="","",Supplier_Invoices!$S83),"")</f>
        <v/>
      </c>
      <c r="AD1619" s="32">
        <f>IF($A1619=1,IF(Supplier_Invoices!$T83="","",Supplier_Invoices!$T83),"")</f>
        <v/>
      </c>
      <c r="AE1619" s="32">
        <f>IF($A1619=1,0,"")</f>
        <v/>
      </c>
      <c r="AF1619" s="32" t="inlineStr"/>
    </row>
    <row r="1620">
      <c r="A1620" s="32">
        <f>IF(AND(Supplier_Invoices!$AD83=1,N(Supplier_Invoices!$K83)&gt;0),1,0)</f>
        <v/>
      </c>
      <c r="B1620" s="32">
        <f>IF($A1620=1,$E1620&amp;"/2","")</f>
        <v/>
      </c>
      <c r="C1620" s="32">
        <f>IF($A1620=1,"J-"&amp;Supplier_Invoices!$A83,"")</f>
        <v/>
      </c>
      <c r="D1620" s="33">
        <f>IF($A1620=1,Supplier_Invoices!$E83,"")</f>
        <v/>
      </c>
      <c r="E1620" s="32">
        <f>IF($A1620=1,IF(Supplier_Invoices!$A83="","",Supplier_Invoices!$A83),"")</f>
        <v/>
      </c>
      <c r="F1620" s="32">
        <f>IF($A1620=1,"SINV","")</f>
        <v/>
      </c>
      <c r="G1620" s="32">
        <f>IF($A1620=1,ACC_VAT_IN,"")</f>
        <v/>
      </c>
      <c r="H1620" s="32">
        <f>IF($A1620=1,IF(COUNTIF(COA!$A:$A,$G1620)=0,"حساب غير معرف",INDEX(COA!$B:$B,MATCH($G1620,COA!$A:$A,0))),"")</f>
        <v/>
      </c>
      <c r="I1620" s="32">
        <f>IF($A1620=1,IF(Supplier_Invoices!$H83="","",Supplier_Invoices!$H83),"")</f>
        <v/>
      </c>
      <c r="J1620" s="32">
        <f>IF($A1620=1,IF(Supplier_Invoices!$I83="","",Supplier_Invoices!$I83),"")</f>
        <v/>
      </c>
      <c r="K1620" s="32">
        <f>IF($A1620=1,"-","")</f>
        <v/>
      </c>
      <c r="L1620" s="32">
        <f>IF($A1620=1,"ضريبة قيمة مضافة - مدخلات","")</f>
        <v/>
      </c>
      <c r="M1620" s="43">
        <f>IF($A1620=1,IF(Supplier_Invoices!$V83="CN",0,Supplier_Invoices!$K83),"")</f>
        <v/>
      </c>
      <c r="N1620" s="43">
        <f>IF($A1620=1,IF(Supplier_Invoices!$V83="CN",Supplier_Invoices!$K83,0),"")</f>
        <v/>
      </c>
      <c r="O1620" s="32">
        <f>IF($A1620=1,Supplier_Invoices!$O83,"")</f>
        <v/>
      </c>
      <c r="P1620" s="32">
        <f>IF($A1620=1,IF(Supplier_Invoices!$AE83="","",Supplier_Invoices!$AE83),"")</f>
        <v/>
      </c>
      <c r="Q1620" s="32">
        <f>IF($A1620=1,Supplier_Invoices!$AG83,"")</f>
        <v/>
      </c>
      <c r="R1620" s="32">
        <f>IF($A1620=1,IF(AND($Q1620=1,COUNTIFS(COA!$A:$A,$G1620,COA!$R:$R,1)=1),1,0),"")</f>
        <v/>
      </c>
      <c r="S1620" s="43">
        <f>IF($A1620=1,IF($R1620=1,N($M1620),0),"")</f>
        <v/>
      </c>
      <c r="T1620" s="43">
        <f>IF($A1620=1,IF($R1620=1,N($N1620),0),"")</f>
        <v/>
      </c>
      <c r="U1620" s="32">
        <f>IF($A1620=1,YEAR($D1620)*100+MONTH($D1620),"")</f>
        <v/>
      </c>
      <c r="V1620" s="32">
        <f>IF($A1620=1,IF(COUNTIF(COA!$A:$A,$G1620)=0,0,INDEX(COA!$H:$H,MATCH($G1620,COA!$A:$A,0))),"")</f>
        <v/>
      </c>
      <c r="W1620" s="32">
        <f>IF($A1620=1,"","")</f>
        <v/>
      </c>
      <c r="X1620" s="32">
        <f>IF($A1620=1,IF($R1620=1,"",IF($O1620=ST_POST,IF($P1620&lt;&gt;"",$P1620,"حساب غير صالح أو غير نشط"),IF($O1620=ST_REV,"معكوس: لا أثر على الدفاتر",IF($O1620=ST_CANC,"ملغى",IF($O1620=ST_APPR,"معتمد ولم يُرحَّل","مسودة"))))),"")</f>
        <v/>
      </c>
      <c r="Y1620" s="32">
        <f>IF($A1620=1,IF(AND($R1620=1,OR(LG_Acct="",$G1620=LG_Acct),OR(LG_Party="",$K1620=LG_Party),OR(LG_Loc="ALL",$I1620=LG_Loc),OR(LG_CC="ALL",$J1620=LG_CC),$D1620&gt;=LG_From,$D1620&lt;=LG_To),$D1620+ROW()/1000000,""),"")</f>
        <v/>
      </c>
      <c r="Z1620" s="32">
        <f>IF($A1620=1,IF(Supplier_Invoices!$P83="","",Supplier_Invoices!$P83),"")</f>
        <v/>
      </c>
      <c r="AA1620" s="32">
        <f>IF($A1620=1,IF(Supplier_Invoices!$Q83="","",Supplier_Invoices!$Q83),"")</f>
        <v/>
      </c>
      <c r="AB1620" s="32">
        <f>IF($A1620=1,IF(Supplier_Invoices!$R83="","",Supplier_Invoices!$R83),"")</f>
        <v/>
      </c>
      <c r="AC1620" s="32">
        <f>IF($A1620=1,IF(Supplier_Invoices!$S83="","",Supplier_Invoices!$S83),"")</f>
        <v/>
      </c>
      <c r="AD1620" s="32">
        <f>IF($A1620=1,IF(Supplier_Invoices!$T83="","",Supplier_Invoices!$T83),"")</f>
        <v/>
      </c>
      <c r="AE1620" s="32">
        <f>IF($A1620=1,0,"")</f>
        <v/>
      </c>
      <c r="AF1620" s="32" t="inlineStr"/>
    </row>
    <row r="1621">
      <c r="A1621" s="32">
        <f>IF(AND(Supplier_Invoices!$AD83=1,N(Supplier_Invoices!$W83)&gt;0),1,0)</f>
        <v/>
      </c>
      <c r="B1621" s="32">
        <f>IF($A1621=1,$E1621&amp;"/3","")</f>
        <v/>
      </c>
      <c r="C1621" s="32">
        <f>IF($A1621=1,"J-"&amp;Supplier_Invoices!$A83,"")</f>
        <v/>
      </c>
      <c r="D1621" s="33">
        <f>IF($A1621=1,Supplier_Invoices!$E83,"")</f>
        <v/>
      </c>
      <c r="E1621" s="32">
        <f>IF($A1621=1,IF(Supplier_Invoices!$A83="","",Supplier_Invoices!$A83),"")</f>
        <v/>
      </c>
      <c r="F1621" s="32">
        <f>IF($A1621=1,"SINV","")</f>
        <v/>
      </c>
      <c r="G1621" s="32">
        <f>IF($A1621=1,ACC_SUPPLIERS,"")</f>
        <v/>
      </c>
      <c r="H1621" s="32">
        <f>IF($A1621=1,IF(COUNTIF(COA!$A:$A,$G1621)=0,"حساب غير معرف",INDEX(COA!$B:$B,MATCH($G1621,COA!$A:$A,0))),"")</f>
        <v/>
      </c>
      <c r="I1621" s="32">
        <f>IF($A1621=1,IF(Supplier_Invoices!$H83="","",Supplier_Invoices!$H83),"")</f>
        <v/>
      </c>
      <c r="J1621" s="32">
        <f>IF($A1621=1,"CC00","")</f>
        <v/>
      </c>
      <c r="K1621" s="32">
        <f>IF($A1621=1,IF(Supplier_Invoices!$C83="","",Supplier_Invoices!$C83),"")</f>
        <v/>
      </c>
      <c r="L1621" s="32">
        <f>IF($A1621=1,Supplier_Invoices!$F83&amp;" "&amp;Supplier_Invoices!$B83&amp;" - "&amp;Supplier_Invoices!$C83,"")</f>
        <v/>
      </c>
      <c r="M1621" s="43">
        <f>IF($A1621=1,IF(Supplier_Invoices!$V83="CN",Supplier_Invoices!$W83,0),"")</f>
        <v/>
      </c>
      <c r="N1621" s="43">
        <f>IF($A1621=1,IF(Supplier_Invoices!$V83="CN",0,Supplier_Invoices!$W83),"")</f>
        <v/>
      </c>
      <c r="O1621" s="32">
        <f>IF($A1621=1,Supplier_Invoices!$O83,"")</f>
        <v/>
      </c>
      <c r="P1621" s="32">
        <f>IF($A1621=1,IF(Supplier_Invoices!$AE83="","",Supplier_Invoices!$AE83),"")</f>
        <v/>
      </c>
      <c r="Q1621" s="32">
        <f>IF($A1621=1,Supplier_Invoices!$AG83,"")</f>
        <v/>
      </c>
      <c r="R1621" s="32">
        <f>IF($A1621=1,IF(AND($Q1621=1,COUNTIFS(COA!$A:$A,$G1621,COA!$R:$R,1)=1),1,0),"")</f>
        <v/>
      </c>
      <c r="S1621" s="43">
        <f>IF($A1621=1,IF($R1621=1,N($M1621),0),"")</f>
        <v/>
      </c>
      <c r="T1621" s="43">
        <f>IF($A1621=1,IF($R1621=1,N($N1621),0),"")</f>
        <v/>
      </c>
      <c r="U1621" s="32">
        <f>IF($A1621=1,YEAR($D1621)*100+MONTH($D1621),"")</f>
        <v/>
      </c>
      <c r="V1621" s="32">
        <f>IF($A1621=1,IF(COUNTIF(COA!$A:$A,$G1621)=0,0,INDEX(COA!$H:$H,MATCH($G1621,COA!$A:$A,0))),"")</f>
        <v/>
      </c>
      <c r="W1621" s="32">
        <f>IF($A1621=1,"","")</f>
        <v/>
      </c>
      <c r="X1621" s="32">
        <f>IF($A1621=1,IF($R1621=1,"",IF($O1621=ST_POST,IF($P1621&lt;&gt;"",$P1621,"حساب غير صالح أو غير نشط"),IF($O1621=ST_REV,"معكوس: لا أثر على الدفاتر",IF($O1621=ST_CANC,"ملغى",IF($O1621=ST_APPR,"معتمد ولم يُرحَّل","مسودة"))))),"")</f>
        <v/>
      </c>
      <c r="Y1621" s="32">
        <f>IF($A1621=1,IF(AND($R1621=1,OR(LG_Acct="",$G1621=LG_Acct),OR(LG_Party="",$K1621=LG_Party),OR(LG_Loc="ALL",$I1621=LG_Loc),OR(LG_CC="ALL",$J1621=LG_CC),$D1621&gt;=LG_From,$D1621&lt;=LG_To),$D1621+ROW()/1000000,""),"")</f>
        <v/>
      </c>
      <c r="Z1621" s="32">
        <f>IF($A1621=1,IF(Supplier_Invoices!$P83="","",Supplier_Invoices!$P83),"")</f>
        <v/>
      </c>
      <c r="AA1621" s="32">
        <f>IF($A1621=1,IF(Supplier_Invoices!$Q83="","",Supplier_Invoices!$Q83),"")</f>
        <v/>
      </c>
      <c r="AB1621" s="32">
        <f>IF($A1621=1,IF(Supplier_Invoices!$R83="","",Supplier_Invoices!$R83),"")</f>
        <v/>
      </c>
      <c r="AC1621" s="32">
        <f>IF($A1621=1,IF(Supplier_Invoices!$S83="","",Supplier_Invoices!$S83),"")</f>
        <v/>
      </c>
      <c r="AD1621" s="32">
        <f>IF($A1621=1,IF(Supplier_Invoices!$T83="","",Supplier_Invoices!$T83),"")</f>
        <v/>
      </c>
      <c r="AE1621" s="32">
        <f>IF($A1621=1,0,"")</f>
        <v/>
      </c>
      <c r="AF1621" s="32" t="inlineStr"/>
    </row>
    <row r="1622">
      <c r="A1622" s="32">
        <f>IF(AND(Supplier_Invoices!$AD83=1,Supplier_Invoices!$L83&lt;&gt;"",Supplier_Invoices!$V83&lt;&gt;"CN",N(Supplier_Invoices!$W83)&gt;0),1,0)</f>
        <v/>
      </c>
      <c r="B1622" s="32">
        <f>IF($A1622=1,$E1622&amp;"/4","")</f>
        <v/>
      </c>
      <c r="C1622" s="32">
        <f>IF($A1622=1,"J-"&amp;Supplier_Invoices!$A83,"")</f>
        <v/>
      </c>
      <c r="D1622" s="33">
        <f>IF($A1622=1,Supplier_Invoices!$E83,"")</f>
        <v/>
      </c>
      <c r="E1622" s="32">
        <f>IF($A1622=1,IF(Supplier_Invoices!$A83="","",Supplier_Invoices!$A83),"")</f>
        <v/>
      </c>
      <c r="F1622" s="32">
        <f>IF($A1622=1,"SINV","")</f>
        <v/>
      </c>
      <c r="G1622" s="32">
        <f>IF($A1622=1,ACC_SUPPLIERS,"")</f>
        <v/>
      </c>
      <c r="H1622" s="32">
        <f>IF($A1622=1,IF(COUNTIF(COA!$A:$A,$G1622)=0,"حساب غير معرف",INDEX(COA!$B:$B,MATCH($G1622,COA!$A:$A,0))),"")</f>
        <v/>
      </c>
      <c r="I1622" s="32">
        <f>IF($A1622=1,IF(Supplier_Invoices!$H83="","",Supplier_Invoices!$H83),"")</f>
        <v/>
      </c>
      <c r="J1622" s="32">
        <f>IF($A1622=1,"CC00","")</f>
        <v/>
      </c>
      <c r="K1622" s="32">
        <f>IF($A1622=1,IF(Supplier_Invoices!$C83="","",Supplier_Invoices!$C83),"")</f>
        <v/>
      </c>
      <c r="L1622" s="32">
        <f>IF($A1622=1,"سداد فوري - "&amp;Supplier_Invoices!$F83&amp;" "&amp;Supplier_Invoices!$B83&amp;" - "&amp;Supplier_Invoices!$C83,"")</f>
        <v/>
      </c>
      <c r="M1622" s="43">
        <f>IF($A1622=1,Supplier_Invoices!$W83,"")</f>
        <v/>
      </c>
      <c r="N1622" s="43">
        <f>IF($A1622=1,0,"")</f>
        <v/>
      </c>
      <c r="O1622" s="32">
        <f>IF($A1622=1,Supplier_Invoices!$O83,"")</f>
        <v/>
      </c>
      <c r="P1622" s="32">
        <f>IF($A1622=1,IF(Supplier_Invoices!$AE83="","",Supplier_Invoices!$AE83),"")</f>
        <v/>
      </c>
      <c r="Q1622" s="32">
        <f>IF($A1622=1,Supplier_Invoices!$AG83,"")</f>
        <v/>
      </c>
      <c r="R1622" s="32">
        <f>IF($A1622=1,IF(AND($Q1622=1,COUNTIFS(COA!$A:$A,$G1622,COA!$R:$R,1)=1),1,0),"")</f>
        <v/>
      </c>
      <c r="S1622" s="43">
        <f>IF($A1622=1,IF($R1622=1,N($M1622),0),"")</f>
        <v/>
      </c>
      <c r="T1622" s="43">
        <f>IF($A1622=1,IF($R1622=1,N($N1622),0),"")</f>
        <v/>
      </c>
      <c r="U1622" s="32">
        <f>IF($A1622=1,YEAR($D1622)*100+MONTH($D1622),"")</f>
        <v/>
      </c>
      <c r="V1622" s="32">
        <f>IF($A1622=1,IF(COUNTIF(COA!$A:$A,$G1622)=0,0,INDEX(COA!$H:$H,MATCH($G1622,COA!$A:$A,0))),"")</f>
        <v/>
      </c>
      <c r="W1622" s="32">
        <f>IF($A1622=1,"","")</f>
        <v/>
      </c>
      <c r="X1622" s="32">
        <f>IF($A1622=1,IF($R1622=1,"",IF($O1622=ST_POST,IF($P1622&lt;&gt;"",$P1622,"حساب غير صالح أو غير نشط"),IF($O1622=ST_REV,"معكوس: لا أثر على الدفاتر",IF($O1622=ST_CANC,"ملغى",IF($O1622=ST_APPR,"معتمد ولم يُرحَّل","مسودة"))))),"")</f>
        <v/>
      </c>
      <c r="Y1622" s="32">
        <f>IF($A1622=1,IF(AND($R1622=1,OR(LG_Acct="",$G1622=LG_Acct),OR(LG_Party="",$K1622=LG_Party),OR(LG_Loc="ALL",$I1622=LG_Loc),OR(LG_CC="ALL",$J1622=LG_CC),$D1622&gt;=LG_From,$D1622&lt;=LG_To),$D1622+ROW()/1000000,""),"")</f>
        <v/>
      </c>
      <c r="Z1622" s="32">
        <f>IF($A1622=1,IF(Supplier_Invoices!$P83="","",Supplier_Invoices!$P83),"")</f>
        <v/>
      </c>
      <c r="AA1622" s="32">
        <f>IF($A1622=1,IF(Supplier_Invoices!$Q83="","",Supplier_Invoices!$Q83),"")</f>
        <v/>
      </c>
      <c r="AB1622" s="32">
        <f>IF($A1622=1,IF(Supplier_Invoices!$R83="","",Supplier_Invoices!$R83),"")</f>
        <v/>
      </c>
      <c r="AC1622" s="32">
        <f>IF($A1622=1,IF(Supplier_Invoices!$S83="","",Supplier_Invoices!$S83),"")</f>
        <v/>
      </c>
      <c r="AD1622" s="32">
        <f>IF($A1622=1,IF(Supplier_Invoices!$T83="","",Supplier_Invoices!$T83),"")</f>
        <v/>
      </c>
      <c r="AE1622" s="32">
        <f>IF($A1622=1,0,"")</f>
        <v/>
      </c>
      <c r="AF1622" s="32" t="inlineStr"/>
    </row>
    <row r="1623">
      <c r="A1623" s="32">
        <f>IF(AND(Supplier_Invoices!$AD83=1,Supplier_Invoices!$L83&lt;&gt;"",Supplier_Invoices!$V83&lt;&gt;"CN",N(Supplier_Invoices!$W83)&gt;0),1,0)</f>
        <v/>
      </c>
      <c r="B1623" s="32">
        <f>IF($A1623=1,$E1623&amp;"/5","")</f>
        <v/>
      </c>
      <c r="C1623" s="32">
        <f>IF($A1623=1,"J-"&amp;Supplier_Invoices!$A83,"")</f>
        <v/>
      </c>
      <c r="D1623" s="33">
        <f>IF($A1623=1,Supplier_Invoices!$E83,"")</f>
        <v/>
      </c>
      <c r="E1623" s="32">
        <f>IF($A1623=1,IF(Supplier_Invoices!$A83="","",Supplier_Invoices!$A83),"")</f>
        <v/>
      </c>
      <c r="F1623" s="32">
        <f>IF($A1623=1,"SINV","")</f>
        <v/>
      </c>
      <c r="G1623" s="32">
        <f>IF($A1623=1,IF(Supplier_Invoices!$AA83="","",Supplier_Invoices!$AA83),"")</f>
        <v/>
      </c>
      <c r="H1623" s="32">
        <f>IF($A1623=1,IF(COUNTIF(COA!$A:$A,$G1623)=0,"حساب غير معرف",INDEX(COA!$B:$B,MATCH($G1623,COA!$A:$A,0))),"")</f>
        <v/>
      </c>
      <c r="I1623" s="32">
        <f>IF($A1623=1,IF(Supplier_Invoices!$H83="","",Supplier_Invoices!$H83),"")</f>
        <v/>
      </c>
      <c r="J1623" s="32">
        <f>IF($A1623=1,"CC00","")</f>
        <v/>
      </c>
      <c r="K1623" s="32">
        <f>IF($A1623=1,"-","")</f>
        <v/>
      </c>
      <c r="L1623" s="32">
        <f>IF($A1623=1,"سداد فوري - "&amp;Supplier_Invoices!$F83&amp;" "&amp;Supplier_Invoices!$B83&amp;" - "&amp;Supplier_Invoices!$C83,"")</f>
        <v/>
      </c>
      <c r="M1623" s="43">
        <f>IF($A1623=1,0,"")</f>
        <v/>
      </c>
      <c r="N1623" s="43">
        <f>IF($A1623=1,Supplier_Invoices!$W83,"")</f>
        <v/>
      </c>
      <c r="O1623" s="32">
        <f>IF($A1623=1,Supplier_Invoices!$O83,"")</f>
        <v/>
      </c>
      <c r="P1623" s="32">
        <f>IF($A1623=1,IF(Supplier_Invoices!$AE83="","",Supplier_Invoices!$AE83),"")</f>
        <v/>
      </c>
      <c r="Q1623" s="32">
        <f>IF($A1623=1,Supplier_Invoices!$AG83,"")</f>
        <v/>
      </c>
      <c r="R1623" s="32">
        <f>IF($A1623=1,IF(AND($Q1623=1,COUNTIFS(COA!$A:$A,$G1623,COA!$R:$R,1)=1),1,0),"")</f>
        <v/>
      </c>
      <c r="S1623" s="43">
        <f>IF($A1623=1,IF($R1623=1,N($M1623),0),"")</f>
        <v/>
      </c>
      <c r="T1623" s="43">
        <f>IF($A1623=1,IF($R1623=1,N($N1623),0),"")</f>
        <v/>
      </c>
      <c r="U1623" s="32">
        <f>IF($A1623=1,YEAR($D1623)*100+MONTH($D1623),"")</f>
        <v/>
      </c>
      <c r="V1623" s="32">
        <f>IF($A1623=1,IF(COUNTIF(COA!$A:$A,$G1623)=0,0,INDEX(COA!$H:$H,MATCH($G1623,COA!$A:$A,0))),"")</f>
        <v/>
      </c>
      <c r="W1623" s="32">
        <f>IF($A1623=1,IF(Supplier_Invoices!$AB83="","",Supplier_Invoices!$AB83),"")</f>
        <v/>
      </c>
      <c r="X1623" s="32">
        <f>IF($A1623=1,IF($R1623=1,"",IF($O1623=ST_POST,IF($P1623&lt;&gt;"",$P1623,"حساب غير صالح أو غير نشط"),IF($O1623=ST_REV,"معكوس: لا أثر على الدفاتر",IF($O1623=ST_CANC,"ملغى",IF($O1623=ST_APPR,"معتمد ولم يُرحَّل","مسودة"))))),"")</f>
        <v/>
      </c>
      <c r="Y1623" s="32">
        <f>IF($A1623=1,IF(AND($R1623=1,OR(LG_Acct="",$G1623=LG_Acct),OR(LG_Party="",$K1623=LG_Party),OR(LG_Loc="ALL",$I1623=LG_Loc),OR(LG_CC="ALL",$J1623=LG_CC),$D1623&gt;=LG_From,$D1623&lt;=LG_To),$D1623+ROW()/1000000,""),"")</f>
        <v/>
      </c>
      <c r="Z1623" s="32">
        <f>IF($A1623=1,IF(Supplier_Invoices!$P83="","",Supplier_Invoices!$P83),"")</f>
        <v/>
      </c>
      <c r="AA1623" s="32">
        <f>IF($A1623=1,IF(Supplier_Invoices!$Q83="","",Supplier_Invoices!$Q83),"")</f>
        <v/>
      </c>
      <c r="AB1623" s="32">
        <f>IF($A1623=1,IF(Supplier_Invoices!$R83="","",Supplier_Invoices!$R83),"")</f>
        <v/>
      </c>
      <c r="AC1623" s="32">
        <f>IF($A1623=1,IF(Supplier_Invoices!$S83="","",Supplier_Invoices!$S83),"")</f>
        <v/>
      </c>
      <c r="AD1623" s="32">
        <f>IF($A1623=1,IF(Supplier_Invoices!$T83="","",Supplier_Invoices!$T83),"")</f>
        <v/>
      </c>
      <c r="AE1623" s="32">
        <f>IF($A1623=1,0,"")</f>
        <v/>
      </c>
      <c r="AF1623" s="32" t="inlineStr"/>
    </row>
    <row r="1624">
      <c r="A1624" s="32">
        <f>IF(AND(Supplier_Invoices!$AD84=1,N(Supplier_Invoices!$J84)&gt;0),1,0)</f>
        <v/>
      </c>
      <c r="B1624" s="32">
        <f>IF($A1624=1,$E1624&amp;"/1","")</f>
        <v/>
      </c>
      <c r="C1624" s="32">
        <f>IF($A1624=1,"J-"&amp;Supplier_Invoices!$A84,"")</f>
        <v/>
      </c>
      <c r="D1624" s="33">
        <f>IF($A1624=1,Supplier_Invoices!$E84,"")</f>
        <v/>
      </c>
      <c r="E1624" s="32">
        <f>IF($A1624=1,IF(Supplier_Invoices!$A84="","",Supplier_Invoices!$A84),"")</f>
        <v/>
      </c>
      <c r="F1624" s="32">
        <f>IF($A1624=1,"SINV","")</f>
        <v/>
      </c>
      <c r="G1624" s="32">
        <f>IF($A1624=1,IF(Supplier_Invoices!$G84="","",Supplier_Invoices!$G84),"")</f>
        <v/>
      </c>
      <c r="H1624" s="32">
        <f>IF($A1624=1,IF(COUNTIF(COA!$A:$A,$G1624)=0,"حساب غير معرف",INDEX(COA!$B:$B,MATCH($G1624,COA!$A:$A,0))),"")</f>
        <v/>
      </c>
      <c r="I1624" s="32">
        <f>IF($A1624=1,IF(Supplier_Invoices!$H84="","",Supplier_Invoices!$H84),"")</f>
        <v/>
      </c>
      <c r="J1624" s="32">
        <f>IF($A1624=1,IF(Supplier_Invoices!$I84="","",Supplier_Invoices!$I84),"")</f>
        <v/>
      </c>
      <c r="K1624" s="32">
        <f>IF($A1624=1,"-","")</f>
        <v/>
      </c>
      <c r="L1624" s="32">
        <f>IF($A1624=1,Supplier_Invoices!$F84&amp;" "&amp;Supplier_Invoices!$B84&amp;" - "&amp;Supplier_Invoices!$C84,"")</f>
        <v/>
      </c>
      <c r="M1624" s="43">
        <f>IF($A1624=1,IF(Supplier_Invoices!$V84="CN",0,Supplier_Invoices!$J84),"")</f>
        <v/>
      </c>
      <c r="N1624" s="43">
        <f>IF($A1624=1,IF(Supplier_Invoices!$V84="CN",Supplier_Invoices!$J84,0),"")</f>
        <v/>
      </c>
      <c r="O1624" s="32">
        <f>IF($A1624=1,Supplier_Invoices!$O84,"")</f>
        <v/>
      </c>
      <c r="P1624" s="32">
        <f>IF($A1624=1,IF(Supplier_Invoices!$AE84="","",Supplier_Invoices!$AE84),"")</f>
        <v/>
      </c>
      <c r="Q1624" s="32">
        <f>IF($A1624=1,Supplier_Invoices!$AG84,"")</f>
        <v/>
      </c>
      <c r="R1624" s="32">
        <f>IF($A1624=1,IF(AND($Q1624=1,COUNTIFS(COA!$A:$A,$G1624,COA!$R:$R,1)=1),1,0),"")</f>
        <v/>
      </c>
      <c r="S1624" s="43">
        <f>IF($A1624=1,IF($R1624=1,N($M1624),0),"")</f>
        <v/>
      </c>
      <c r="T1624" s="43">
        <f>IF($A1624=1,IF($R1624=1,N($N1624),0),"")</f>
        <v/>
      </c>
      <c r="U1624" s="32">
        <f>IF($A1624=1,YEAR($D1624)*100+MONTH($D1624),"")</f>
        <v/>
      </c>
      <c r="V1624" s="32">
        <f>IF($A1624=1,IF(COUNTIF(COA!$A:$A,$G1624)=0,0,INDEX(COA!$H:$H,MATCH($G1624,COA!$A:$A,0))),"")</f>
        <v/>
      </c>
      <c r="W1624" s="32">
        <f>IF($A1624=1,"","")</f>
        <v/>
      </c>
      <c r="X1624" s="32">
        <f>IF($A1624=1,IF($R1624=1,"",IF($O1624=ST_POST,IF($P1624&lt;&gt;"",$P1624,"حساب غير صالح أو غير نشط"),IF($O1624=ST_REV,"معكوس: لا أثر على الدفاتر",IF($O1624=ST_CANC,"ملغى",IF($O1624=ST_APPR,"معتمد ولم يُرحَّل","مسودة"))))),"")</f>
        <v/>
      </c>
      <c r="Y1624" s="32">
        <f>IF($A1624=1,IF(AND($R1624=1,OR(LG_Acct="",$G1624=LG_Acct),OR(LG_Party="",$K1624=LG_Party),OR(LG_Loc="ALL",$I1624=LG_Loc),OR(LG_CC="ALL",$J1624=LG_CC),$D1624&gt;=LG_From,$D1624&lt;=LG_To),$D1624+ROW()/1000000,""),"")</f>
        <v/>
      </c>
      <c r="Z1624" s="32">
        <f>IF($A1624=1,IF(Supplier_Invoices!$P84="","",Supplier_Invoices!$P84),"")</f>
        <v/>
      </c>
      <c r="AA1624" s="32">
        <f>IF($A1624=1,IF(Supplier_Invoices!$Q84="","",Supplier_Invoices!$Q84),"")</f>
        <v/>
      </c>
      <c r="AB1624" s="32">
        <f>IF($A1624=1,IF(Supplier_Invoices!$R84="","",Supplier_Invoices!$R84),"")</f>
        <v/>
      </c>
      <c r="AC1624" s="32">
        <f>IF($A1624=1,IF(Supplier_Invoices!$S84="","",Supplier_Invoices!$S84),"")</f>
        <v/>
      </c>
      <c r="AD1624" s="32">
        <f>IF($A1624=1,IF(Supplier_Invoices!$T84="","",Supplier_Invoices!$T84),"")</f>
        <v/>
      </c>
      <c r="AE1624" s="32">
        <f>IF($A1624=1,0,"")</f>
        <v/>
      </c>
      <c r="AF1624" s="32" t="inlineStr"/>
    </row>
    <row r="1625">
      <c r="A1625" s="32">
        <f>IF(AND(Supplier_Invoices!$AD84=1,N(Supplier_Invoices!$K84)&gt;0),1,0)</f>
        <v/>
      </c>
      <c r="B1625" s="32">
        <f>IF($A1625=1,$E1625&amp;"/2","")</f>
        <v/>
      </c>
      <c r="C1625" s="32">
        <f>IF($A1625=1,"J-"&amp;Supplier_Invoices!$A84,"")</f>
        <v/>
      </c>
      <c r="D1625" s="33">
        <f>IF($A1625=1,Supplier_Invoices!$E84,"")</f>
        <v/>
      </c>
      <c r="E1625" s="32">
        <f>IF($A1625=1,IF(Supplier_Invoices!$A84="","",Supplier_Invoices!$A84),"")</f>
        <v/>
      </c>
      <c r="F1625" s="32">
        <f>IF($A1625=1,"SINV","")</f>
        <v/>
      </c>
      <c r="G1625" s="32">
        <f>IF($A1625=1,ACC_VAT_IN,"")</f>
        <v/>
      </c>
      <c r="H1625" s="32">
        <f>IF($A1625=1,IF(COUNTIF(COA!$A:$A,$G1625)=0,"حساب غير معرف",INDEX(COA!$B:$B,MATCH($G1625,COA!$A:$A,0))),"")</f>
        <v/>
      </c>
      <c r="I1625" s="32">
        <f>IF($A1625=1,IF(Supplier_Invoices!$H84="","",Supplier_Invoices!$H84),"")</f>
        <v/>
      </c>
      <c r="J1625" s="32">
        <f>IF($A1625=1,IF(Supplier_Invoices!$I84="","",Supplier_Invoices!$I84),"")</f>
        <v/>
      </c>
      <c r="K1625" s="32">
        <f>IF($A1625=1,"-","")</f>
        <v/>
      </c>
      <c r="L1625" s="32">
        <f>IF($A1625=1,"ضريبة قيمة مضافة - مدخلات","")</f>
        <v/>
      </c>
      <c r="M1625" s="43">
        <f>IF($A1625=1,IF(Supplier_Invoices!$V84="CN",0,Supplier_Invoices!$K84),"")</f>
        <v/>
      </c>
      <c r="N1625" s="43">
        <f>IF($A1625=1,IF(Supplier_Invoices!$V84="CN",Supplier_Invoices!$K84,0),"")</f>
        <v/>
      </c>
      <c r="O1625" s="32">
        <f>IF($A1625=1,Supplier_Invoices!$O84,"")</f>
        <v/>
      </c>
      <c r="P1625" s="32">
        <f>IF($A1625=1,IF(Supplier_Invoices!$AE84="","",Supplier_Invoices!$AE84),"")</f>
        <v/>
      </c>
      <c r="Q1625" s="32">
        <f>IF($A1625=1,Supplier_Invoices!$AG84,"")</f>
        <v/>
      </c>
      <c r="R1625" s="32">
        <f>IF($A1625=1,IF(AND($Q1625=1,COUNTIFS(COA!$A:$A,$G1625,COA!$R:$R,1)=1),1,0),"")</f>
        <v/>
      </c>
      <c r="S1625" s="43">
        <f>IF($A1625=1,IF($R1625=1,N($M1625),0),"")</f>
        <v/>
      </c>
      <c r="T1625" s="43">
        <f>IF($A1625=1,IF($R1625=1,N($N1625),0),"")</f>
        <v/>
      </c>
      <c r="U1625" s="32">
        <f>IF($A1625=1,YEAR($D1625)*100+MONTH($D1625),"")</f>
        <v/>
      </c>
      <c r="V1625" s="32">
        <f>IF($A1625=1,IF(COUNTIF(COA!$A:$A,$G1625)=0,0,INDEX(COA!$H:$H,MATCH($G1625,COA!$A:$A,0))),"")</f>
        <v/>
      </c>
      <c r="W1625" s="32">
        <f>IF($A1625=1,"","")</f>
        <v/>
      </c>
      <c r="X1625" s="32">
        <f>IF($A1625=1,IF($R1625=1,"",IF($O1625=ST_POST,IF($P1625&lt;&gt;"",$P1625,"حساب غير صالح أو غير نشط"),IF($O1625=ST_REV,"معكوس: لا أثر على الدفاتر",IF($O1625=ST_CANC,"ملغى",IF($O1625=ST_APPR,"معتمد ولم يُرحَّل","مسودة"))))),"")</f>
        <v/>
      </c>
      <c r="Y1625" s="32">
        <f>IF($A1625=1,IF(AND($R1625=1,OR(LG_Acct="",$G1625=LG_Acct),OR(LG_Party="",$K1625=LG_Party),OR(LG_Loc="ALL",$I1625=LG_Loc),OR(LG_CC="ALL",$J1625=LG_CC),$D1625&gt;=LG_From,$D1625&lt;=LG_To),$D1625+ROW()/1000000,""),"")</f>
        <v/>
      </c>
      <c r="Z1625" s="32">
        <f>IF($A1625=1,IF(Supplier_Invoices!$P84="","",Supplier_Invoices!$P84),"")</f>
        <v/>
      </c>
      <c r="AA1625" s="32">
        <f>IF($A1625=1,IF(Supplier_Invoices!$Q84="","",Supplier_Invoices!$Q84),"")</f>
        <v/>
      </c>
      <c r="AB1625" s="32">
        <f>IF($A1625=1,IF(Supplier_Invoices!$R84="","",Supplier_Invoices!$R84),"")</f>
        <v/>
      </c>
      <c r="AC1625" s="32">
        <f>IF($A1625=1,IF(Supplier_Invoices!$S84="","",Supplier_Invoices!$S84),"")</f>
        <v/>
      </c>
      <c r="AD1625" s="32">
        <f>IF($A1625=1,IF(Supplier_Invoices!$T84="","",Supplier_Invoices!$T84),"")</f>
        <v/>
      </c>
      <c r="AE1625" s="32">
        <f>IF($A1625=1,0,"")</f>
        <v/>
      </c>
      <c r="AF1625" s="32" t="inlineStr"/>
    </row>
    <row r="1626">
      <c r="A1626" s="32">
        <f>IF(AND(Supplier_Invoices!$AD84=1,N(Supplier_Invoices!$W84)&gt;0),1,0)</f>
        <v/>
      </c>
      <c r="B1626" s="32">
        <f>IF($A1626=1,$E1626&amp;"/3","")</f>
        <v/>
      </c>
      <c r="C1626" s="32">
        <f>IF($A1626=1,"J-"&amp;Supplier_Invoices!$A84,"")</f>
        <v/>
      </c>
      <c r="D1626" s="33">
        <f>IF($A1626=1,Supplier_Invoices!$E84,"")</f>
        <v/>
      </c>
      <c r="E1626" s="32">
        <f>IF($A1626=1,IF(Supplier_Invoices!$A84="","",Supplier_Invoices!$A84),"")</f>
        <v/>
      </c>
      <c r="F1626" s="32">
        <f>IF($A1626=1,"SINV","")</f>
        <v/>
      </c>
      <c r="G1626" s="32">
        <f>IF($A1626=1,ACC_SUPPLIERS,"")</f>
        <v/>
      </c>
      <c r="H1626" s="32">
        <f>IF($A1626=1,IF(COUNTIF(COA!$A:$A,$G1626)=0,"حساب غير معرف",INDEX(COA!$B:$B,MATCH($G1626,COA!$A:$A,0))),"")</f>
        <v/>
      </c>
      <c r="I1626" s="32">
        <f>IF($A1626=1,IF(Supplier_Invoices!$H84="","",Supplier_Invoices!$H84),"")</f>
        <v/>
      </c>
      <c r="J1626" s="32">
        <f>IF($A1626=1,"CC00","")</f>
        <v/>
      </c>
      <c r="K1626" s="32">
        <f>IF($A1626=1,IF(Supplier_Invoices!$C84="","",Supplier_Invoices!$C84),"")</f>
        <v/>
      </c>
      <c r="L1626" s="32">
        <f>IF($A1626=1,Supplier_Invoices!$F84&amp;" "&amp;Supplier_Invoices!$B84&amp;" - "&amp;Supplier_Invoices!$C84,"")</f>
        <v/>
      </c>
      <c r="M1626" s="43">
        <f>IF($A1626=1,IF(Supplier_Invoices!$V84="CN",Supplier_Invoices!$W84,0),"")</f>
        <v/>
      </c>
      <c r="N1626" s="43">
        <f>IF($A1626=1,IF(Supplier_Invoices!$V84="CN",0,Supplier_Invoices!$W84),"")</f>
        <v/>
      </c>
      <c r="O1626" s="32">
        <f>IF($A1626=1,Supplier_Invoices!$O84,"")</f>
        <v/>
      </c>
      <c r="P1626" s="32">
        <f>IF($A1626=1,IF(Supplier_Invoices!$AE84="","",Supplier_Invoices!$AE84),"")</f>
        <v/>
      </c>
      <c r="Q1626" s="32">
        <f>IF($A1626=1,Supplier_Invoices!$AG84,"")</f>
        <v/>
      </c>
      <c r="R1626" s="32">
        <f>IF($A1626=1,IF(AND($Q1626=1,COUNTIFS(COA!$A:$A,$G1626,COA!$R:$R,1)=1),1,0),"")</f>
        <v/>
      </c>
      <c r="S1626" s="43">
        <f>IF($A1626=1,IF($R1626=1,N($M1626),0),"")</f>
        <v/>
      </c>
      <c r="T1626" s="43">
        <f>IF($A1626=1,IF($R1626=1,N($N1626),0),"")</f>
        <v/>
      </c>
      <c r="U1626" s="32">
        <f>IF($A1626=1,YEAR($D1626)*100+MONTH($D1626),"")</f>
        <v/>
      </c>
      <c r="V1626" s="32">
        <f>IF($A1626=1,IF(COUNTIF(COA!$A:$A,$G1626)=0,0,INDEX(COA!$H:$H,MATCH($G1626,COA!$A:$A,0))),"")</f>
        <v/>
      </c>
      <c r="W1626" s="32">
        <f>IF($A1626=1,"","")</f>
        <v/>
      </c>
      <c r="X1626" s="32">
        <f>IF($A1626=1,IF($R1626=1,"",IF($O1626=ST_POST,IF($P1626&lt;&gt;"",$P1626,"حساب غير صالح أو غير نشط"),IF($O1626=ST_REV,"معكوس: لا أثر على الدفاتر",IF($O1626=ST_CANC,"ملغى",IF($O1626=ST_APPR,"معتمد ولم يُرحَّل","مسودة"))))),"")</f>
        <v/>
      </c>
      <c r="Y1626" s="32">
        <f>IF($A1626=1,IF(AND($R1626=1,OR(LG_Acct="",$G1626=LG_Acct),OR(LG_Party="",$K1626=LG_Party),OR(LG_Loc="ALL",$I1626=LG_Loc),OR(LG_CC="ALL",$J1626=LG_CC),$D1626&gt;=LG_From,$D1626&lt;=LG_To),$D1626+ROW()/1000000,""),"")</f>
        <v/>
      </c>
      <c r="Z1626" s="32">
        <f>IF($A1626=1,IF(Supplier_Invoices!$P84="","",Supplier_Invoices!$P84),"")</f>
        <v/>
      </c>
      <c r="AA1626" s="32">
        <f>IF($A1626=1,IF(Supplier_Invoices!$Q84="","",Supplier_Invoices!$Q84),"")</f>
        <v/>
      </c>
      <c r="AB1626" s="32">
        <f>IF($A1626=1,IF(Supplier_Invoices!$R84="","",Supplier_Invoices!$R84),"")</f>
        <v/>
      </c>
      <c r="AC1626" s="32">
        <f>IF($A1626=1,IF(Supplier_Invoices!$S84="","",Supplier_Invoices!$S84),"")</f>
        <v/>
      </c>
      <c r="AD1626" s="32">
        <f>IF($A1626=1,IF(Supplier_Invoices!$T84="","",Supplier_Invoices!$T84),"")</f>
        <v/>
      </c>
      <c r="AE1626" s="32">
        <f>IF($A1626=1,0,"")</f>
        <v/>
      </c>
      <c r="AF1626" s="32" t="inlineStr"/>
    </row>
    <row r="1627">
      <c r="A1627" s="32">
        <f>IF(AND(Supplier_Invoices!$AD84=1,Supplier_Invoices!$L84&lt;&gt;"",Supplier_Invoices!$V84&lt;&gt;"CN",N(Supplier_Invoices!$W84)&gt;0),1,0)</f>
        <v/>
      </c>
      <c r="B1627" s="32">
        <f>IF($A1627=1,$E1627&amp;"/4","")</f>
        <v/>
      </c>
      <c r="C1627" s="32">
        <f>IF($A1627=1,"J-"&amp;Supplier_Invoices!$A84,"")</f>
        <v/>
      </c>
      <c r="D1627" s="33">
        <f>IF($A1627=1,Supplier_Invoices!$E84,"")</f>
        <v/>
      </c>
      <c r="E1627" s="32">
        <f>IF($A1627=1,IF(Supplier_Invoices!$A84="","",Supplier_Invoices!$A84),"")</f>
        <v/>
      </c>
      <c r="F1627" s="32">
        <f>IF($A1627=1,"SINV","")</f>
        <v/>
      </c>
      <c r="G1627" s="32">
        <f>IF($A1627=1,ACC_SUPPLIERS,"")</f>
        <v/>
      </c>
      <c r="H1627" s="32">
        <f>IF($A1627=1,IF(COUNTIF(COA!$A:$A,$G1627)=0,"حساب غير معرف",INDEX(COA!$B:$B,MATCH($G1627,COA!$A:$A,0))),"")</f>
        <v/>
      </c>
      <c r="I1627" s="32">
        <f>IF($A1627=1,IF(Supplier_Invoices!$H84="","",Supplier_Invoices!$H84),"")</f>
        <v/>
      </c>
      <c r="J1627" s="32">
        <f>IF($A1627=1,"CC00","")</f>
        <v/>
      </c>
      <c r="K1627" s="32">
        <f>IF($A1627=1,IF(Supplier_Invoices!$C84="","",Supplier_Invoices!$C84),"")</f>
        <v/>
      </c>
      <c r="L1627" s="32">
        <f>IF($A1627=1,"سداد فوري - "&amp;Supplier_Invoices!$F84&amp;" "&amp;Supplier_Invoices!$B84&amp;" - "&amp;Supplier_Invoices!$C84,"")</f>
        <v/>
      </c>
      <c r="M1627" s="43">
        <f>IF($A1627=1,Supplier_Invoices!$W84,"")</f>
        <v/>
      </c>
      <c r="N1627" s="43">
        <f>IF($A1627=1,0,"")</f>
        <v/>
      </c>
      <c r="O1627" s="32">
        <f>IF($A1627=1,Supplier_Invoices!$O84,"")</f>
        <v/>
      </c>
      <c r="P1627" s="32">
        <f>IF($A1627=1,IF(Supplier_Invoices!$AE84="","",Supplier_Invoices!$AE84),"")</f>
        <v/>
      </c>
      <c r="Q1627" s="32">
        <f>IF($A1627=1,Supplier_Invoices!$AG84,"")</f>
        <v/>
      </c>
      <c r="R1627" s="32">
        <f>IF($A1627=1,IF(AND($Q1627=1,COUNTIFS(COA!$A:$A,$G1627,COA!$R:$R,1)=1),1,0),"")</f>
        <v/>
      </c>
      <c r="S1627" s="43">
        <f>IF($A1627=1,IF($R1627=1,N($M1627),0),"")</f>
        <v/>
      </c>
      <c r="T1627" s="43">
        <f>IF($A1627=1,IF($R1627=1,N($N1627),0),"")</f>
        <v/>
      </c>
      <c r="U1627" s="32">
        <f>IF($A1627=1,YEAR($D1627)*100+MONTH($D1627),"")</f>
        <v/>
      </c>
      <c r="V1627" s="32">
        <f>IF($A1627=1,IF(COUNTIF(COA!$A:$A,$G1627)=0,0,INDEX(COA!$H:$H,MATCH($G1627,COA!$A:$A,0))),"")</f>
        <v/>
      </c>
      <c r="W1627" s="32">
        <f>IF($A1627=1,"","")</f>
        <v/>
      </c>
      <c r="X1627" s="32">
        <f>IF($A1627=1,IF($R1627=1,"",IF($O1627=ST_POST,IF($P1627&lt;&gt;"",$P1627,"حساب غير صالح أو غير نشط"),IF($O1627=ST_REV,"معكوس: لا أثر على الدفاتر",IF($O1627=ST_CANC,"ملغى",IF($O1627=ST_APPR,"معتمد ولم يُرحَّل","مسودة"))))),"")</f>
        <v/>
      </c>
      <c r="Y1627" s="32">
        <f>IF($A1627=1,IF(AND($R1627=1,OR(LG_Acct="",$G1627=LG_Acct),OR(LG_Party="",$K1627=LG_Party),OR(LG_Loc="ALL",$I1627=LG_Loc),OR(LG_CC="ALL",$J1627=LG_CC),$D1627&gt;=LG_From,$D1627&lt;=LG_To),$D1627+ROW()/1000000,""),"")</f>
        <v/>
      </c>
      <c r="Z1627" s="32">
        <f>IF($A1627=1,IF(Supplier_Invoices!$P84="","",Supplier_Invoices!$P84),"")</f>
        <v/>
      </c>
      <c r="AA1627" s="32">
        <f>IF($A1627=1,IF(Supplier_Invoices!$Q84="","",Supplier_Invoices!$Q84),"")</f>
        <v/>
      </c>
      <c r="AB1627" s="32">
        <f>IF($A1627=1,IF(Supplier_Invoices!$R84="","",Supplier_Invoices!$R84),"")</f>
        <v/>
      </c>
      <c r="AC1627" s="32">
        <f>IF($A1627=1,IF(Supplier_Invoices!$S84="","",Supplier_Invoices!$S84),"")</f>
        <v/>
      </c>
      <c r="AD1627" s="32">
        <f>IF($A1627=1,IF(Supplier_Invoices!$T84="","",Supplier_Invoices!$T84),"")</f>
        <v/>
      </c>
      <c r="AE1627" s="32">
        <f>IF($A1627=1,0,"")</f>
        <v/>
      </c>
      <c r="AF1627" s="32" t="inlineStr"/>
    </row>
    <row r="1628">
      <c r="A1628" s="32">
        <f>IF(AND(Supplier_Invoices!$AD84=1,Supplier_Invoices!$L84&lt;&gt;"",Supplier_Invoices!$V84&lt;&gt;"CN",N(Supplier_Invoices!$W84)&gt;0),1,0)</f>
        <v/>
      </c>
      <c r="B1628" s="32">
        <f>IF($A1628=1,$E1628&amp;"/5","")</f>
        <v/>
      </c>
      <c r="C1628" s="32">
        <f>IF($A1628=1,"J-"&amp;Supplier_Invoices!$A84,"")</f>
        <v/>
      </c>
      <c r="D1628" s="33">
        <f>IF($A1628=1,Supplier_Invoices!$E84,"")</f>
        <v/>
      </c>
      <c r="E1628" s="32">
        <f>IF($A1628=1,IF(Supplier_Invoices!$A84="","",Supplier_Invoices!$A84),"")</f>
        <v/>
      </c>
      <c r="F1628" s="32">
        <f>IF($A1628=1,"SINV","")</f>
        <v/>
      </c>
      <c r="G1628" s="32">
        <f>IF($A1628=1,IF(Supplier_Invoices!$AA84="","",Supplier_Invoices!$AA84),"")</f>
        <v/>
      </c>
      <c r="H1628" s="32">
        <f>IF($A1628=1,IF(COUNTIF(COA!$A:$A,$G1628)=0,"حساب غير معرف",INDEX(COA!$B:$B,MATCH($G1628,COA!$A:$A,0))),"")</f>
        <v/>
      </c>
      <c r="I1628" s="32">
        <f>IF($A1628=1,IF(Supplier_Invoices!$H84="","",Supplier_Invoices!$H84),"")</f>
        <v/>
      </c>
      <c r="J1628" s="32">
        <f>IF($A1628=1,"CC00","")</f>
        <v/>
      </c>
      <c r="K1628" s="32">
        <f>IF($A1628=1,"-","")</f>
        <v/>
      </c>
      <c r="L1628" s="32">
        <f>IF($A1628=1,"سداد فوري - "&amp;Supplier_Invoices!$F84&amp;" "&amp;Supplier_Invoices!$B84&amp;" - "&amp;Supplier_Invoices!$C84,"")</f>
        <v/>
      </c>
      <c r="M1628" s="43">
        <f>IF($A1628=1,0,"")</f>
        <v/>
      </c>
      <c r="N1628" s="43">
        <f>IF($A1628=1,Supplier_Invoices!$W84,"")</f>
        <v/>
      </c>
      <c r="O1628" s="32">
        <f>IF($A1628=1,Supplier_Invoices!$O84,"")</f>
        <v/>
      </c>
      <c r="P1628" s="32">
        <f>IF($A1628=1,IF(Supplier_Invoices!$AE84="","",Supplier_Invoices!$AE84),"")</f>
        <v/>
      </c>
      <c r="Q1628" s="32">
        <f>IF($A1628=1,Supplier_Invoices!$AG84,"")</f>
        <v/>
      </c>
      <c r="R1628" s="32">
        <f>IF($A1628=1,IF(AND($Q1628=1,COUNTIFS(COA!$A:$A,$G1628,COA!$R:$R,1)=1),1,0),"")</f>
        <v/>
      </c>
      <c r="S1628" s="43">
        <f>IF($A1628=1,IF($R1628=1,N($M1628),0),"")</f>
        <v/>
      </c>
      <c r="T1628" s="43">
        <f>IF($A1628=1,IF($R1628=1,N($N1628),0),"")</f>
        <v/>
      </c>
      <c r="U1628" s="32">
        <f>IF($A1628=1,YEAR($D1628)*100+MONTH($D1628),"")</f>
        <v/>
      </c>
      <c r="V1628" s="32">
        <f>IF($A1628=1,IF(COUNTIF(COA!$A:$A,$G1628)=0,0,INDEX(COA!$H:$H,MATCH($G1628,COA!$A:$A,0))),"")</f>
        <v/>
      </c>
      <c r="W1628" s="32">
        <f>IF($A1628=1,IF(Supplier_Invoices!$AB84="","",Supplier_Invoices!$AB84),"")</f>
        <v/>
      </c>
      <c r="X1628" s="32">
        <f>IF($A1628=1,IF($R1628=1,"",IF($O1628=ST_POST,IF($P1628&lt;&gt;"",$P1628,"حساب غير صالح أو غير نشط"),IF($O1628=ST_REV,"معكوس: لا أثر على الدفاتر",IF($O1628=ST_CANC,"ملغى",IF($O1628=ST_APPR,"معتمد ولم يُرحَّل","مسودة"))))),"")</f>
        <v/>
      </c>
      <c r="Y1628" s="32">
        <f>IF($A1628=1,IF(AND($R1628=1,OR(LG_Acct="",$G1628=LG_Acct),OR(LG_Party="",$K1628=LG_Party),OR(LG_Loc="ALL",$I1628=LG_Loc),OR(LG_CC="ALL",$J1628=LG_CC),$D1628&gt;=LG_From,$D1628&lt;=LG_To),$D1628+ROW()/1000000,""),"")</f>
        <v/>
      </c>
      <c r="Z1628" s="32">
        <f>IF($A1628=1,IF(Supplier_Invoices!$P84="","",Supplier_Invoices!$P84),"")</f>
        <v/>
      </c>
      <c r="AA1628" s="32">
        <f>IF($A1628=1,IF(Supplier_Invoices!$Q84="","",Supplier_Invoices!$Q84),"")</f>
        <v/>
      </c>
      <c r="AB1628" s="32">
        <f>IF($A1628=1,IF(Supplier_Invoices!$R84="","",Supplier_Invoices!$R84),"")</f>
        <v/>
      </c>
      <c r="AC1628" s="32">
        <f>IF($A1628=1,IF(Supplier_Invoices!$S84="","",Supplier_Invoices!$S84),"")</f>
        <v/>
      </c>
      <c r="AD1628" s="32">
        <f>IF($A1628=1,IF(Supplier_Invoices!$T84="","",Supplier_Invoices!$T84),"")</f>
        <v/>
      </c>
      <c r="AE1628" s="32">
        <f>IF($A1628=1,0,"")</f>
        <v/>
      </c>
      <c r="AF1628" s="32" t="inlineStr"/>
    </row>
    <row r="1629">
      <c r="A1629" s="32">
        <f>IF(AND(Supplier_Payments!$S5=1,N(Supplier_Payments!$E5)&gt;0),1,0)</f>
        <v/>
      </c>
      <c r="B1629" s="32">
        <f>IF($A1629=1,$E1629&amp;"/1","")</f>
        <v/>
      </c>
      <c r="C1629" s="32">
        <f>IF($A1629=1,"J-"&amp;Supplier_Payments!$A5,"")</f>
        <v/>
      </c>
      <c r="D1629" s="33">
        <f>IF($A1629=1,Supplier_Payments!$B5,"")</f>
        <v/>
      </c>
      <c r="E1629" s="32">
        <f>IF($A1629=1,IF(Supplier_Payments!$A5="","",Supplier_Payments!$A5),"")</f>
        <v/>
      </c>
      <c r="F1629" s="32">
        <f>IF($A1629=1,"SPAY","")</f>
        <v/>
      </c>
      <c r="G1629" s="32">
        <f>IF($A1629=1,ACC_SUPPLIERS,"")</f>
        <v/>
      </c>
      <c r="H1629" s="32">
        <f>IF($A1629=1,IF(COUNTIF(COA!$A:$A,$G1629)=0,"حساب غير معرف",INDEX(COA!$B:$B,MATCH($G1629,COA!$A:$A,0))),"")</f>
        <v/>
      </c>
      <c r="I1629" s="32">
        <f>IF($A1629=1,IF(Supplier_Payments!$Q5="","",Supplier_Payments!$Q5),"")</f>
        <v/>
      </c>
      <c r="J1629" s="32">
        <f>IF($A1629=1,"CC00","")</f>
        <v/>
      </c>
      <c r="K1629" s="32">
        <f>IF($A1629=1,IF(Supplier_Payments!$C5="","",Supplier_Payments!$C5),"")</f>
        <v/>
      </c>
      <c r="L1629" s="32">
        <f>IF($A1629=1,IF(Supplier_Payments!$H5="","دفعة مورد "&amp;Supplier_Payments!$C5,Supplier_Payments!$H5),"")</f>
        <v/>
      </c>
      <c r="M1629" s="43">
        <f>IF($A1629=1,Supplier_Payments!$E5,"")</f>
        <v/>
      </c>
      <c r="N1629" s="43">
        <f>IF($A1629=1,0,"")</f>
        <v/>
      </c>
      <c r="O1629" s="32">
        <f>IF($A1629=1,Supplier_Payments!$I5,"")</f>
        <v/>
      </c>
      <c r="P1629" s="32">
        <f>IF($A1629=1,IF(Supplier_Payments!$T5="","",Supplier_Payments!$T5),"")</f>
        <v/>
      </c>
      <c r="Q1629" s="32">
        <f>IF($A1629=1,Supplier_Payments!$V5,"")</f>
        <v/>
      </c>
      <c r="R1629" s="32">
        <f>IF($A1629=1,IF(AND($Q1629=1,COUNTIFS(COA!$A:$A,$G1629,COA!$R:$R,1)=1),1,0),"")</f>
        <v/>
      </c>
      <c r="S1629" s="43">
        <f>IF($A1629=1,IF($R1629=1,N($M1629),0),"")</f>
        <v/>
      </c>
      <c r="T1629" s="43">
        <f>IF($A1629=1,IF($R1629=1,N($N1629),0),"")</f>
        <v/>
      </c>
      <c r="U1629" s="32">
        <f>IF($A1629=1,YEAR($D1629)*100+MONTH($D1629),"")</f>
        <v/>
      </c>
      <c r="V1629" s="32">
        <f>IF($A1629=1,IF(COUNTIF(COA!$A:$A,$G1629)=0,0,INDEX(COA!$H:$H,MATCH($G1629,COA!$A:$A,0))),"")</f>
        <v/>
      </c>
      <c r="W1629" s="32">
        <f>IF($A1629=1,"","")</f>
        <v/>
      </c>
      <c r="X1629" s="32">
        <f>IF($A1629=1,IF($R1629=1,"",IF($O1629=ST_POST,IF($P1629&lt;&gt;"",$P1629,"حساب غير صالح أو غير نشط"),IF($O1629=ST_REV,"معكوس: لا أثر على الدفاتر",IF($O1629=ST_CANC,"ملغى",IF($O1629=ST_APPR,"معتمد ولم يُرحَّل","مسودة"))))),"")</f>
        <v/>
      </c>
      <c r="Y1629" s="32">
        <f>IF($A1629=1,IF(AND($R1629=1,OR(LG_Acct="",$G1629=LG_Acct),OR(LG_Party="",$K1629=LG_Party),OR(LG_Loc="ALL",$I1629=LG_Loc),OR(LG_CC="ALL",$J1629=LG_CC),$D1629&gt;=LG_From,$D1629&lt;=LG_To),$D1629+ROW()/1000000,""),"")</f>
        <v/>
      </c>
      <c r="Z1629" s="32">
        <f>IF($A1629=1,IF(Supplier_Payments!$J5="","",Supplier_Payments!$J5),"")</f>
        <v/>
      </c>
      <c r="AA1629" s="32">
        <f>IF($A1629=1,IF(Supplier_Payments!$K5="","",Supplier_Payments!$K5),"")</f>
        <v/>
      </c>
      <c r="AB1629" s="32">
        <f>IF($A1629=1,IF(Supplier_Payments!$L5="","",Supplier_Payments!$L5),"")</f>
        <v/>
      </c>
      <c r="AC1629" s="32">
        <f>IF($A1629=1,IF(Supplier_Payments!$M5="","",Supplier_Payments!$M5),"")</f>
        <v/>
      </c>
      <c r="AD1629" s="32">
        <f>IF($A1629=1,IF(Supplier_Payments!$N5="","",Supplier_Payments!$N5),"")</f>
        <v/>
      </c>
      <c r="AE1629" s="32">
        <f>IF($A1629=1,0,"")</f>
        <v/>
      </c>
      <c r="AF1629" s="32" t="inlineStr"/>
    </row>
    <row r="1630">
      <c r="A1630" s="32">
        <f>IF(AND(Supplier_Payments!$S5=1,N(Supplier_Payments!$E5)&gt;0),1,0)</f>
        <v/>
      </c>
      <c r="B1630" s="32">
        <f>IF($A1630=1,$E1630&amp;"/2","")</f>
        <v/>
      </c>
      <c r="C1630" s="32">
        <f>IF($A1630=1,"J-"&amp;Supplier_Payments!$A5,"")</f>
        <v/>
      </c>
      <c r="D1630" s="33">
        <f>IF($A1630=1,Supplier_Payments!$B5,"")</f>
        <v/>
      </c>
      <c r="E1630" s="32">
        <f>IF($A1630=1,IF(Supplier_Payments!$A5="","",Supplier_Payments!$A5),"")</f>
        <v/>
      </c>
      <c r="F1630" s="32">
        <f>IF($A1630=1,"SPAY","")</f>
        <v/>
      </c>
      <c r="G1630" s="32">
        <f>IF($A1630=1,IF(Supplier_Payments!$P5="","",Supplier_Payments!$P5),"")</f>
        <v/>
      </c>
      <c r="H1630" s="32">
        <f>IF($A1630=1,IF(COUNTIF(COA!$A:$A,$G1630)=0,"حساب غير معرف",INDEX(COA!$B:$B,MATCH($G1630,COA!$A:$A,0))),"")</f>
        <v/>
      </c>
      <c r="I1630" s="32">
        <f>IF($A1630=1,IF(Supplier_Payments!$Q5="","",Supplier_Payments!$Q5),"")</f>
        <v/>
      </c>
      <c r="J1630" s="32">
        <f>IF($A1630=1,"CC00","")</f>
        <v/>
      </c>
      <c r="K1630" s="32">
        <f>IF($A1630=1,"-","")</f>
        <v/>
      </c>
      <c r="L1630" s="32">
        <f>IF($A1630=1,IF(Supplier_Payments!$H5="","دفعة مورد "&amp;Supplier_Payments!$C5,Supplier_Payments!$H5),"")</f>
        <v/>
      </c>
      <c r="M1630" s="43">
        <f>IF($A1630=1,0,"")</f>
        <v/>
      </c>
      <c r="N1630" s="43">
        <f>IF($A1630=1,Supplier_Payments!$E5,"")</f>
        <v/>
      </c>
      <c r="O1630" s="32">
        <f>IF($A1630=1,Supplier_Payments!$I5,"")</f>
        <v/>
      </c>
      <c r="P1630" s="32">
        <f>IF($A1630=1,IF(Supplier_Payments!$T5="","",Supplier_Payments!$T5),"")</f>
        <v/>
      </c>
      <c r="Q1630" s="32">
        <f>IF($A1630=1,Supplier_Payments!$V5,"")</f>
        <v/>
      </c>
      <c r="R1630" s="32">
        <f>IF($A1630=1,IF(AND($Q1630=1,COUNTIFS(COA!$A:$A,$G1630,COA!$R:$R,1)=1),1,0),"")</f>
        <v/>
      </c>
      <c r="S1630" s="43">
        <f>IF($A1630=1,IF($R1630=1,N($M1630),0),"")</f>
        <v/>
      </c>
      <c r="T1630" s="43">
        <f>IF($A1630=1,IF($R1630=1,N($N1630),0),"")</f>
        <v/>
      </c>
      <c r="U1630" s="32">
        <f>IF($A1630=1,YEAR($D1630)*100+MONTH($D1630),"")</f>
        <v/>
      </c>
      <c r="V1630" s="32">
        <f>IF($A1630=1,IF(COUNTIF(COA!$A:$A,$G1630)=0,0,INDEX(COA!$H:$H,MATCH($G1630,COA!$A:$A,0))),"")</f>
        <v/>
      </c>
      <c r="W1630" s="32">
        <f>IF($A1630=1,IF(Supplier_Payments!$R5="","",Supplier_Payments!$R5),"")</f>
        <v/>
      </c>
      <c r="X1630" s="32">
        <f>IF($A1630=1,IF($R1630=1,"",IF($O1630=ST_POST,IF($P1630&lt;&gt;"",$P1630,"حساب غير صالح أو غير نشط"),IF($O1630=ST_REV,"معكوس: لا أثر على الدفاتر",IF($O1630=ST_CANC,"ملغى",IF($O1630=ST_APPR,"معتمد ولم يُرحَّل","مسودة"))))),"")</f>
        <v/>
      </c>
      <c r="Y1630" s="32">
        <f>IF($A1630=1,IF(AND($R1630=1,OR(LG_Acct="",$G1630=LG_Acct),OR(LG_Party="",$K1630=LG_Party),OR(LG_Loc="ALL",$I1630=LG_Loc),OR(LG_CC="ALL",$J1630=LG_CC),$D1630&gt;=LG_From,$D1630&lt;=LG_To),$D1630+ROW()/1000000,""),"")</f>
        <v/>
      </c>
      <c r="Z1630" s="32">
        <f>IF($A1630=1,IF(Supplier_Payments!$J5="","",Supplier_Payments!$J5),"")</f>
        <v/>
      </c>
      <c r="AA1630" s="32">
        <f>IF($A1630=1,IF(Supplier_Payments!$K5="","",Supplier_Payments!$K5),"")</f>
        <v/>
      </c>
      <c r="AB1630" s="32">
        <f>IF($A1630=1,IF(Supplier_Payments!$L5="","",Supplier_Payments!$L5),"")</f>
        <v/>
      </c>
      <c r="AC1630" s="32">
        <f>IF($A1630=1,IF(Supplier_Payments!$M5="","",Supplier_Payments!$M5),"")</f>
        <v/>
      </c>
      <c r="AD1630" s="32">
        <f>IF($A1630=1,IF(Supplier_Payments!$N5="","",Supplier_Payments!$N5),"")</f>
        <v/>
      </c>
      <c r="AE1630" s="32">
        <f>IF($A1630=1,0,"")</f>
        <v/>
      </c>
      <c r="AF1630" s="32" t="inlineStr"/>
    </row>
    <row r="1631">
      <c r="A1631" s="32">
        <f>IF(AND(Supplier_Payments!$S6=1,N(Supplier_Payments!$E6)&gt;0),1,0)</f>
        <v/>
      </c>
      <c r="B1631" s="32">
        <f>IF($A1631=1,$E1631&amp;"/1","")</f>
        <v/>
      </c>
      <c r="C1631" s="32">
        <f>IF($A1631=1,"J-"&amp;Supplier_Payments!$A6,"")</f>
        <v/>
      </c>
      <c r="D1631" s="33">
        <f>IF($A1631=1,Supplier_Payments!$B6,"")</f>
        <v/>
      </c>
      <c r="E1631" s="32">
        <f>IF($A1631=1,IF(Supplier_Payments!$A6="","",Supplier_Payments!$A6),"")</f>
        <v/>
      </c>
      <c r="F1631" s="32">
        <f>IF($A1631=1,"SPAY","")</f>
        <v/>
      </c>
      <c r="G1631" s="32">
        <f>IF($A1631=1,ACC_SUPPLIERS,"")</f>
        <v/>
      </c>
      <c r="H1631" s="32">
        <f>IF($A1631=1,IF(COUNTIF(COA!$A:$A,$G1631)=0,"حساب غير معرف",INDEX(COA!$B:$B,MATCH($G1631,COA!$A:$A,0))),"")</f>
        <v/>
      </c>
      <c r="I1631" s="32">
        <f>IF($A1631=1,IF(Supplier_Payments!$Q6="","",Supplier_Payments!$Q6),"")</f>
        <v/>
      </c>
      <c r="J1631" s="32">
        <f>IF($A1631=1,"CC00","")</f>
        <v/>
      </c>
      <c r="K1631" s="32">
        <f>IF($A1631=1,IF(Supplier_Payments!$C6="","",Supplier_Payments!$C6),"")</f>
        <v/>
      </c>
      <c r="L1631" s="32">
        <f>IF($A1631=1,IF(Supplier_Payments!$H6="","دفعة مورد "&amp;Supplier_Payments!$C6,Supplier_Payments!$H6),"")</f>
        <v/>
      </c>
      <c r="M1631" s="43">
        <f>IF($A1631=1,Supplier_Payments!$E6,"")</f>
        <v/>
      </c>
      <c r="N1631" s="43">
        <f>IF($A1631=1,0,"")</f>
        <v/>
      </c>
      <c r="O1631" s="32">
        <f>IF($A1631=1,Supplier_Payments!$I6,"")</f>
        <v/>
      </c>
      <c r="P1631" s="32">
        <f>IF($A1631=1,IF(Supplier_Payments!$T6="","",Supplier_Payments!$T6),"")</f>
        <v/>
      </c>
      <c r="Q1631" s="32">
        <f>IF($A1631=1,Supplier_Payments!$V6,"")</f>
        <v/>
      </c>
      <c r="R1631" s="32">
        <f>IF($A1631=1,IF(AND($Q1631=1,COUNTIFS(COA!$A:$A,$G1631,COA!$R:$R,1)=1),1,0),"")</f>
        <v/>
      </c>
      <c r="S1631" s="43">
        <f>IF($A1631=1,IF($R1631=1,N($M1631),0),"")</f>
        <v/>
      </c>
      <c r="T1631" s="43">
        <f>IF($A1631=1,IF($R1631=1,N($N1631),0),"")</f>
        <v/>
      </c>
      <c r="U1631" s="32">
        <f>IF($A1631=1,YEAR($D1631)*100+MONTH($D1631),"")</f>
        <v/>
      </c>
      <c r="V1631" s="32">
        <f>IF($A1631=1,IF(COUNTIF(COA!$A:$A,$G1631)=0,0,INDEX(COA!$H:$H,MATCH($G1631,COA!$A:$A,0))),"")</f>
        <v/>
      </c>
      <c r="W1631" s="32">
        <f>IF($A1631=1,"","")</f>
        <v/>
      </c>
      <c r="X1631" s="32">
        <f>IF($A1631=1,IF($R1631=1,"",IF($O1631=ST_POST,IF($P1631&lt;&gt;"",$P1631,"حساب غير صالح أو غير نشط"),IF($O1631=ST_REV,"معكوس: لا أثر على الدفاتر",IF($O1631=ST_CANC,"ملغى",IF($O1631=ST_APPR,"معتمد ولم يُرحَّل","مسودة"))))),"")</f>
        <v/>
      </c>
      <c r="Y1631" s="32">
        <f>IF($A1631=1,IF(AND($R1631=1,OR(LG_Acct="",$G1631=LG_Acct),OR(LG_Party="",$K1631=LG_Party),OR(LG_Loc="ALL",$I1631=LG_Loc),OR(LG_CC="ALL",$J1631=LG_CC),$D1631&gt;=LG_From,$D1631&lt;=LG_To),$D1631+ROW()/1000000,""),"")</f>
        <v/>
      </c>
      <c r="Z1631" s="32">
        <f>IF($A1631=1,IF(Supplier_Payments!$J6="","",Supplier_Payments!$J6),"")</f>
        <v/>
      </c>
      <c r="AA1631" s="32">
        <f>IF($A1631=1,IF(Supplier_Payments!$K6="","",Supplier_Payments!$K6),"")</f>
        <v/>
      </c>
      <c r="AB1631" s="32">
        <f>IF($A1631=1,IF(Supplier_Payments!$L6="","",Supplier_Payments!$L6),"")</f>
        <v/>
      </c>
      <c r="AC1631" s="32">
        <f>IF($A1631=1,IF(Supplier_Payments!$M6="","",Supplier_Payments!$M6),"")</f>
        <v/>
      </c>
      <c r="AD1631" s="32">
        <f>IF($A1631=1,IF(Supplier_Payments!$N6="","",Supplier_Payments!$N6),"")</f>
        <v/>
      </c>
      <c r="AE1631" s="32">
        <f>IF($A1631=1,0,"")</f>
        <v/>
      </c>
      <c r="AF1631" s="32" t="inlineStr"/>
    </row>
    <row r="1632">
      <c r="A1632" s="32">
        <f>IF(AND(Supplier_Payments!$S6=1,N(Supplier_Payments!$E6)&gt;0),1,0)</f>
        <v/>
      </c>
      <c r="B1632" s="32">
        <f>IF($A1632=1,$E1632&amp;"/2","")</f>
        <v/>
      </c>
      <c r="C1632" s="32">
        <f>IF($A1632=1,"J-"&amp;Supplier_Payments!$A6,"")</f>
        <v/>
      </c>
      <c r="D1632" s="33">
        <f>IF($A1632=1,Supplier_Payments!$B6,"")</f>
        <v/>
      </c>
      <c r="E1632" s="32">
        <f>IF($A1632=1,IF(Supplier_Payments!$A6="","",Supplier_Payments!$A6),"")</f>
        <v/>
      </c>
      <c r="F1632" s="32">
        <f>IF($A1632=1,"SPAY","")</f>
        <v/>
      </c>
      <c r="G1632" s="32">
        <f>IF($A1632=1,IF(Supplier_Payments!$P6="","",Supplier_Payments!$P6),"")</f>
        <v/>
      </c>
      <c r="H1632" s="32">
        <f>IF($A1632=1,IF(COUNTIF(COA!$A:$A,$G1632)=0,"حساب غير معرف",INDEX(COA!$B:$B,MATCH($G1632,COA!$A:$A,0))),"")</f>
        <v/>
      </c>
      <c r="I1632" s="32">
        <f>IF($A1632=1,IF(Supplier_Payments!$Q6="","",Supplier_Payments!$Q6),"")</f>
        <v/>
      </c>
      <c r="J1632" s="32">
        <f>IF($A1632=1,"CC00","")</f>
        <v/>
      </c>
      <c r="K1632" s="32">
        <f>IF($A1632=1,"-","")</f>
        <v/>
      </c>
      <c r="L1632" s="32">
        <f>IF($A1632=1,IF(Supplier_Payments!$H6="","دفعة مورد "&amp;Supplier_Payments!$C6,Supplier_Payments!$H6),"")</f>
        <v/>
      </c>
      <c r="M1632" s="43">
        <f>IF($A1632=1,0,"")</f>
        <v/>
      </c>
      <c r="N1632" s="43">
        <f>IF($A1632=1,Supplier_Payments!$E6,"")</f>
        <v/>
      </c>
      <c r="O1632" s="32">
        <f>IF($A1632=1,Supplier_Payments!$I6,"")</f>
        <v/>
      </c>
      <c r="P1632" s="32">
        <f>IF($A1632=1,IF(Supplier_Payments!$T6="","",Supplier_Payments!$T6),"")</f>
        <v/>
      </c>
      <c r="Q1632" s="32">
        <f>IF($A1632=1,Supplier_Payments!$V6,"")</f>
        <v/>
      </c>
      <c r="R1632" s="32">
        <f>IF($A1632=1,IF(AND($Q1632=1,COUNTIFS(COA!$A:$A,$G1632,COA!$R:$R,1)=1),1,0),"")</f>
        <v/>
      </c>
      <c r="S1632" s="43">
        <f>IF($A1632=1,IF($R1632=1,N($M1632),0),"")</f>
        <v/>
      </c>
      <c r="T1632" s="43">
        <f>IF($A1632=1,IF($R1632=1,N($N1632),0),"")</f>
        <v/>
      </c>
      <c r="U1632" s="32">
        <f>IF($A1632=1,YEAR($D1632)*100+MONTH($D1632),"")</f>
        <v/>
      </c>
      <c r="V1632" s="32">
        <f>IF($A1632=1,IF(COUNTIF(COA!$A:$A,$G1632)=0,0,INDEX(COA!$H:$H,MATCH($G1632,COA!$A:$A,0))),"")</f>
        <v/>
      </c>
      <c r="W1632" s="32">
        <f>IF($A1632=1,IF(Supplier_Payments!$R6="","",Supplier_Payments!$R6),"")</f>
        <v/>
      </c>
      <c r="X1632" s="32">
        <f>IF($A1632=1,IF($R1632=1,"",IF($O1632=ST_POST,IF($P1632&lt;&gt;"",$P1632,"حساب غير صالح أو غير نشط"),IF($O1632=ST_REV,"معكوس: لا أثر على الدفاتر",IF($O1632=ST_CANC,"ملغى",IF($O1632=ST_APPR,"معتمد ولم يُرحَّل","مسودة"))))),"")</f>
        <v/>
      </c>
      <c r="Y1632" s="32">
        <f>IF($A1632=1,IF(AND($R1632=1,OR(LG_Acct="",$G1632=LG_Acct),OR(LG_Party="",$K1632=LG_Party),OR(LG_Loc="ALL",$I1632=LG_Loc),OR(LG_CC="ALL",$J1632=LG_CC),$D1632&gt;=LG_From,$D1632&lt;=LG_To),$D1632+ROW()/1000000,""),"")</f>
        <v/>
      </c>
      <c r="Z1632" s="32">
        <f>IF($A1632=1,IF(Supplier_Payments!$J6="","",Supplier_Payments!$J6),"")</f>
        <v/>
      </c>
      <c r="AA1632" s="32">
        <f>IF($A1632=1,IF(Supplier_Payments!$K6="","",Supplier_Payments!$K6),"")</f>
        <v/>
      </c>
      <c r="AB1632" s="32">
        <f>IF($A1632=1,IF(Supplier_Payments!$L6="","",Supplier_Payments!$L6),"")</f>
        <v/>
      </c>
      <c r="AC1632" s="32">
        <f>IF($A1632=1,IF(Supplier_Payments!$M6="","",Supplier_Payments!$M6),"")</f>
        <v/>
      </c>
      <c r="AD1632" s="32">
        <f>IF($A1632=1,IF(Supplier_Payments!$N6="","",Supplier_Payments!$N6),"")</f>
        <v/>
      </c>
      <c r="AE1632" s="32">
        <f>IF($A1632=1,0,"")</f>
        <v/>
      </c>
      <c r="AF1632" s="32" t="inlineStr"/>
    </row>
    <row r="1633">
      <c r="A1633" s="32">
        <f>IF(AND(Supplier_Payments!$S7=1,N(Supplier_Payments!$E7)&gt;0),1,0)</f>
        <v/>
      </c>
      <c r="B1633" s="32">
        <f>IF($A1633=1,$E1633&amp;"/1","")</f>
        <v/>
      </c>
      <c r="C1633" s="32">
        <f>IF($A1633=1,"J-"&amp;Supplier_Payments!$A7,"")</f>
        <v/>
      </c>
      <c r="D1633" s="33">
        <f>IF($A1633=1,Supplier_Payments!$B7,"")</f>
        <v/>
      </c>
      <c r="E1633" s="32">
        <f>IF($A1633=1,IF(Supplier_Payments!$A7="","",Supplier_Payments!$A7),"")</f>
        <v/>
      </c>
      <c r="F1633" s="32">
        <f>IF($A1633=1,"SPAY","")</f>
        <v/>
      </c>
      <c r="G1633" s="32">
        <f>IF($A1633=1,ACC_SUPPLIERS,"")</f>
        <v/>
      </c>
      <c r="H1633" s="32">
        <f>IF($A1633=1,IF(COUNTIF(COA!$A:$A,$G1633)=0,"حساب غير معرف",INDEX(COA!$B:$B,MATCH($G1633,COA!$A:$A,0))),"")</f>
        <v/>
      </c>
      <c r="I1633" s="32">
        <f>IF($A1633=1,IF(Supplier_Payments!$Q7="","",Supplier_Payments!$Q7),"")</f>
        <v/>
      </c>
      <c r="J1633" s="32">
        <f>IF($A1633=1,"CC00","")</f>
        <v/>
      </c>
      <c r="K1633" s="32">
        <f>IF($A1633=1,IF(Supplier_Payments!$C7="","",Supplier_Payments!$C7),"")</f>
        <v/>
      </c>
      <c r="L1633" s="32">
        <f>IF($A1633=1,IF(Supplier_Payments!$H7="","دفعة مورد "&amp;Supplier_Payments!$C7,Supplier_Payments!$H7),"")</f>
        <v/>
      </c>
      <c r="M1633" s="43">
        <f>IF($A1633=1,Supplier_Payments!$E7,"")</f>
        <v/>
      </c>
      <c r="N1633" s="43">
        <f>IF($A1633=1,0,"")</f>
        <v/>
      </c>
      <c r="O1633" s="32">
        <f>IF($A1633=1,Supplier_Payments!$I7,"")</f>
        <v/>
      </c>
      <c r="P1633" s="32">
        <f>IF($A1633=1,IF(Supplier_Payments!$T7="","",Supplier_Payments!$T7),"")</f>
        <v/>
      </c>
      <c r="Q1633" s="32">
        <f>IF($A1633=1,Supplier_Payments!$V7,"")</f>
        <v/>
      </c>
      <c r="R1633" s="32">
        <f>IF($A1633=1,IF(AND($Q1633=1,COUNTIFS(COA!$A:$A,$G1633,COA!$R:$R,1)=1),1,0),"")</f>
        <v/>
      </c>
      <c r="S1633" s="43">
        <f>IF($A1633=1,IF($R1633=1,N($M1633),0),"")</f>
        <v/>
      </c>
      <c r="T1633" s="43">
        <f>IF($A1633=1,IF($R1633=1,N($N1633),0),"")</f>
        <v/>
      </c>
      <c r="U1633" s="32">
        <f>IF($A1633=1,YEAR($D1633)*100+MONTH($D1633),"")</f>
        <v/>
      </c>
      <c r="V1633" s="32">
        <f>IF($A1633=1,IF(COUNTIF(COA!$A:$A,$G1633)=0,0,INDEX(COA!$H:$H,MATCH($G1633,COA!$A:$A,0))),"")</f>
        <v/>
      </c>
      <c r="W1633" s="32">
        <f>IF($A1633=1,"","")</f>
        <v/>
      </c>
      <c r="X1633" s="32">
        <f>IF($A1633=1,IF($R1633=1,"",IF($O1633=ST_POST,IF($P1633&lt;&gt;"",$P1633,"حساب غير صالح أو غير نشط"),IF($O1633=ST_REV,"معكوس: لا أثر على الدفاتر",IF($O1633=ST_CANC,"ملغى",IF($O1633=ST_APPR,"معتمد ولم يُرحَّل","مسودة"))))),"")</f>
        <v/>
      </c>
      <c r="Y1633" s="32">
        <f>IF($A1633=1,IF(AND($R1633=1,OR(LG_Acct="",$G1633=LG_Acct),OR(LG_Party="",$K1633=LG_Party),OR(LG_Loc="ALL",$I1633=LG_Loc),OR(LG_CC="ALL",$J1633=LG_CC),$D1633&gt;=LG_From,$D1633&lt;=LG_To),$D1633+ROW()/1000000,""),"")</f>
        <v/>
      </c>
      <c r="Z1633" s="32">
        <f>IF($A1633=1,IF(Supplier_Payments!$J7="","",Supplier_Payments!$J7),"")</f>
        <v/>
      </c>
      <c r="AA1633" s="32">
        <f>IF($A1633=1,IF(Supplier_Payments!$K7="","",Supplier_Payments!$K7),"")</f>
        <v/>
      </c>
      <c r="AB1633" s="32">
        <f>IF($A1633=1,IF(Supplier_Payments!$L7="","",Supplier_Payments!$L7),"")</f>
        <v/>
      </c>
      <c r="AC1633" s="32">
        <f>IF($A1633=1,IF(Supplier_Payments!$M7="","",Supplier_Payments!$M7),"")</f>
        <v/>
      </c>
      <c r="AD1633" s="32">
        <f>IF($A1633=1,IF(Supplier_Payments!$N7="","",Supplier_Payments!$N7),"")</f>
        <v/>
      </c>
      <c r="AE1633" s="32">
        <f>IF($A1633=1,0,"")</f>
        <v/>
      </c>
      <c r="AF1633" s="32" t="inlineStr"/>
    </row>
    <row r="1634">
      <c r="A1634" s="32">
        <f>IF(AND(Supplier_Payments!$S7=1,N(Supplier_Payments!$E7)&gt;0),1,0)</f>
        <v/>
      </c>
      <c r="B1634" s="32">
        <f>IF($A1634=1,$E1634&amp;"/2","")</f>
        <v/>
      </c>
      <c r="C1634" s="32">
        <f>IF($A1634=1,"J-"&amp;Supplier_Payments!$A7,"")</f>
        <v/>
      </c>
      <c r="D1634" s="33">
        <f>IF($A1634=1,Supplier_Payments!$B7,"")</f>
        <v/>
      </c>
      <c r="E1634" s="32">
        <f>IF($A1634=1,IF(Supplier_Payments!$A7="","",Supplier_Payments!$A7),"")</f>
        <v/>
      </c>
      <c r="F1634" s="32">
        <f>IF($A1634=1,"SPAY","")</f>
        <v/>
      </c>
      <c r="G1634" s="32">
        <f>IF($A1634=1,IF(Supplier_Payments!$P7="","",Supplier_Payments!$P7),"")</f>
        <v/>
      </c>
      <c r="H1634" s="32">
        <f>IF($A1634=1,IF(COUNTIF(COA!$A:$A,$G1634)=0,"حساب غير معرف",INDEX(COA!$B:$B,MATCH($G1634,COA!$A:$A,0))),"")</f>
        <v/>
      </c>
      <c r="I1634" s="32">
        <f>IF($A1634=1,IF(Supplier_Payments!$Q7="","",Supplier_Payments!$Q7),"")</f>
        <v/>
      </c>
      <c r="J1634" s="32">
        <f>IF($A1634=1,"CC00","")</f>
        <v/>
      </c>
      <c r="K1634" s="32">
        <f>IF($A1634=1,"-","")</f>
        <v/>
      </c>
      <c r="L1634" s="32">
        <f>IF($A1634=1,IF(Supplier_Payments!$H7="","دفعة مورد "&amp;Supplier_Payments!$C7,Supplier_Payments!$H7),"")</f>
        <v/>
      </c>
      <c r="M1634" s="43">
        <f>IF($A1634=1,0,"")</f>
        <v/>
      </c>
      <c r="N1634" s="43">
        <f>IF($A1634=1,Supplier_Payments!$E7,"")</f>
        <v/>
      </c>
      <c r="O1634" s="32">
        <f>IF($A1634=1,Supplier_Payments!$I7,"")</f>
        <v/>
      </c>
      <c r="P1634" s="32">
        <f>IF($A1634=1,IF(Supplier_Payments!$T7="","",Supplier_Payments!$T7),"")</f>
        <v/>
      </c>
      <c r="Q1634" s="32">
        <f>IF($A1634=1,Supplier_Payments!$V7,"")</f>
        <v/>
      </c>
      <c r="R1634" s="32">
        <f>IF($A1634=1,IF(AND($Q1634=1,COUNTIFS(COA!$A:$A,$G1634,COA!$R:$R,1)=1),1,0),"")</f>
        <v/>
      </c>
      <c r="S1634" s="43">
        <f>IF($A1634=1,IF($R1634=1,N($M1634),0),"")</f>
        <v/>
      </c>
      <c r="T1634" s="43">
        <f>IF($A1634=1,IF($R1634=1,N($N1634),0),"")</f>
        <v/>
      </c>
      <c r="U1634" s="32">
        <f>IF($A1634=1,YEAR($D1634)*100+MONTH($D1634),"")</f>
        <v/>
      </c>
      <c r="V1634" s="32">
        <f>IF($A1634=1,IF(COUNTIF(COA!$A:$A,$G1634)=0,0,INDEX(COA!$H:$H,MATCH($G1634,COA!$A:$A,0))),"")</f>
        <v/>
      </c>
      <c r="W1634" s="32">
        <f>IF($A1634=1,IF(Supplier_Payments!$R7="","",Supplier_Payments!$R7),"")</f>
        <v/>
      </c>
      <c r="X1634" s="32">
        <f>IF($A1634=1,IF($R1634=1,"",IF($O1634=ST_POST,IF($P1634&lt;&gt;"",$P1634,"حساب غير صالح أو غير نشط"),IF($O1634=ST_REV,"معكوس: لا أثر على الدفاتر",IF($O1634=ST_CANC,"ملغى",IF($O1634=ST_APPR,"معتمد ولم يُرحَّل","مسودة"))))),"")</f>
        <v/>
      </c>
      <c r="Y1634" s="32">
        <f>IF($A1634=1,IF(AND($R1634=1,OR(LG_Acct="",$G1634=LG_Acct),OR(LG_Party="",$K1634=LG_Party),OR(LG_Loc="ALL",$I1634=LG_Loc),OR(LG_CC="ALL",$J1634=LG_CC),$D1634&gt;=LG_From,$D1634&lt;=LG_To),$D1634+ROW()/1000000,""),"")</f>
        <v/>
      </c>
      <c r="Z1634" s="32">
        <f>IF($A1634=1,IF(Supplier_Payments!$J7="","",Supplier_Payments!$J7),"")</f>
        <v/>
      </c>
      <c r="AA1634" s="32">
        <f>IF($A1634=1,IF(Supplier_Payments!$K7="","",Supplier_Payments!$K7),"")</f>
        <v/>
      </c>
      <c r="AB1634" s="32">
        <f>IF($A1634=1,IF(Supplier_Payments!$L7="","",Supplier_Payments!$L7),"")</f>
        <v/>
      </c>
      <c r="AC1634" s="32">
        <f>IF($A1634=1,IF(Supplier_Payments!$M7="","",Supplier_Payments!$M7),"")</f>
        <v/>
      </c>
      <c r="AD1634" s="32">
        <f>IF($A1634=1,IF(Supplier_Payments!$N7="","",Supplier_Payments!$N7),"")</f>
        <v/>
      </c>
      <c r="AE1634" s="32">
        <f>IF($A1634=1,0,"")</f>
        <v/>
      </c>
      <c r="AF1634" s="32" t="inlineStr"/>
    </row>
    <row r="1635">
      <c r="A1635" s="32">
        <f>IF(AND(Supplier_Payments!$S8=1,N(Supplier_Payments!$E8)&gt;0),1,0)</f>
        <v/>
      </c>
      <c r="B1635" s="32">
        <f>IF($A1635=1,$E1635&amp;"/1","")</f>
        <v/>
      </c>
      <c r="C1635" s="32">
        <f>IF($A1635=1,"J-"&amp;Supplier_Payments!$A8,"")</f>
        <v/>
      </c>
      <c r="D1635" s="33">
        <f>IF($A1635=1,Supplier_Payments!$B8,"")</f>
        <v/>
      </c>
      <c r="E1635" s="32">
        <f>IF($A1635=1,IF(Supplier_Payments!$A8="","",Supplier_Payments!$A8),"")</f>
        <v/>
      </c>
      <c r="F1635" s="32">
        <f>IF($A1635=1,"SPAY","")</f>
        <v/>
      </c>
      <c r="G1635" s="32">
        <f>IF($A1635=1,ACC_SUPPLIERS,"")</f>
        <v/>
      </c>
      <c r="H1635" s="32">
        <f>IF($A1635=1,IF(COUNTIF(COA!$A:$A,$G1635)=0,"حساب غير معرف",INDEX(COA!$B:$B,MATCH($G1635,COA!$A:$A,0))),"")</f>
        <v/>
      </c>
      <c r="I1635" s="32">
        <f>IF($A1635=1,IF(Supplier_Payments!$Q8="","",Supplier_Payments!$Q8),"")</f>
        <v/>
      </c>
      <c r="J1635" s="32">
        <f>IF($A1635=1,"CC00","")</f>
        <v/>
      </c>
      <c r="K1635" s="32">
        <f>IF($A1635=1,IF(Supplier_Payments!$C8="","",Supplier_Payments!$C8),"")</f>
        <v/>
      </c>
      <c r="L1635" s="32">
        <f>IF($A1635=1,IF(Supplier_Payments!$H8="","دفعة مورد "&amp;Supplier_Payments!$C8,Supplier_Payments!$H8),"")</f>
        <v/>
      </c>
      <c r="M1635" s="43">
        <f>IF($A1635=1,Supplier_Payments!$E8,"")</f>
        <v/>
      </c>
      <c r="N1635" s="43">
        <f>IF($A1635=1,0,"")</f>
        <v/>
      </c>
      <c r="O1635" s="32">
        <f>IF($A1635=1,Supplier_Payments!$I8,"")</f>
        <v/>
      </c>
      <c r="P1635" s="32">
        <f>IF($A1635=1,IF(Supplier_Payments!$T8="","",Supplier_Payments!$T8),"")</f>
        <v/>
      </c>
      <c r="Q1635" s="32">
        <f>IF($A1635=1,Supplier_Payments!$V8,"")</f>
        <v/>
      </c>
      <c r="R1635" s="32">
        <f>IF($A1635=1,IF(AND($Q1635=1,COUNTIFS(COA!$A:$A,$G1635,COA!$R:$R,1)=1),1,0),"")</f>
        <v/>
      </c>
      <c r="S1635" s="43">
        <f>IF($A1635=1,IF($R1635=1,N($M1635),0),"")</f>
        <v/>
      </c>
      <c r="T1635" s="43">
        <f>IF($A1635=1,IF($R1635=1,N($N1635),0),"")</f>
        <v/>
      </c>
      <c r="U1635" s="32">
        <f>IF($A1635=1,YEAR($D1635)*100+MONTH($D1635),"")</f>
        <v/>
      </c>
      <c r="V1635" s="32">
        <f>IF($A1635=1,IF(COUNTIF(COA!$A:$A,$G1635)=0,0,INDEX(COA!$H:$H,MATCH($G1635,COA!$A:$A,0))),"")</f>
        <v/>
      </c>
      <c r="W1635" s="32">
        <f>IF($A1635=1,"","")</f>
        <v/>
      </c>
      <c r="X1635" s="32">
        <f>IF($A1635=1,IF($R1635=1,"",IF($O1635=ST_POST,IF($P1635&lt;&gt;"",$P1635,"حساب غير صالح أو غير نشط"),IF($O1635=ST_REV,"معكوس: لا أثر على الدفاتر",IF($O1635=ST_CANC,"ملغى",IF($O1635=ST_APPR,"معتمد ولم يُرحَّل","مسودة"))))),"")</f>
        <v/>
      </c>
      <c r="Y1635" s="32">
        <f>IF($A1635=1,IF(AND($R1635=1,OR(LG_Acct="",$G1635=LG_Acct),OR(LG_Party="",$K1635=LG_Party),OR(LG_Loc="ALL",$I1635=LG_Loc),OR(LG_CC="ALL",$J1635=LG_CC),$D1635&gt;=LG_From,$D1635&lt;=LG_To),$D1635+ROW()/1000000,""),"")</f>
        <v/>
      </c>
      <c r="Z1635" s="32">
        <f>IF($A1635=1,IF(Supplier_Payments!$J8="","",Supplier_Payments!$J8),"")</f>
        <v/>
      </c>
      <c r="AA1635" s="32">
        <f>IF($A1635=1,IF(Supplier_Payments!$K8="","",Supplier_Payments!$K8),"")</f>
        <v/>
      </c>
      <c r="AB1635" s="32">
        <f>IF($A1635=1,IF(Supplier_Payments!$L8="","",Supplier_Payments!$L8),"")</f>
        <v/>
      </c>
      <c r="AC1635" s="32">
        <f>IF($A1635=1,IF(Supplier_Payments!$M8="","",Supplier_Payments!$M8),"")</f>
        <v/>
      </c>
      <c r="AD1635" s="32">
        <f>IF($A1635=1,IF(Supplier_Payments!$N8="","",Supplier_Payments!$N8),"")</f>
        <v/>
      </c>
      <c r="AE1635" s="32">
        <f>IF($A1635=1,0,"")</f>
        <v/>
      </c>
      <c r="AF1635" s="32" t="inlineStr"/>
    </row>
    <row r="1636">
      <c r="A1636" s="32">
        <f>IF(AND(Supplier_Payments!$S8=1,N(Supplier_Payments!$E8)&gt;0),1,0)</f>
        <v/>
      </c>
      <c r="B1636" s="32">
        <f>IF($A1636=1,$E1636&amp;"/2","")</f>
        <v/>
      </c>
      <c r="C1636" s="32">
        <f>IF($A1636=1,"J-"&amp;Supplier_Payments!$A8,"")</f>
        <v/>
      </c>
      <c r="D1636" s="33">
        <f>IF($A1636=1,Supplier_Payments!$B8,"")</f>
        <v/>
      </c>
      <c r="E1636" s="32">
        <f>IF($A1636=1,IF(Supplier_Payments!$A8="","",Supplier_Payments!$A8),"")</f>
        <v/>
      </c>
      <c r="F1636" s="32">
        <f>IF($A1636=1,"SPAY","")</f>
        <v/>
      </c>
      <c r="G1636" s="32">
        <f>IF($A1636=1,IF(Supplier_Payments!$P8="","",Supplier_Payments!$P8),"")</f>
        <v/>
      </c>
      <c r="H1636" s="32">
        <f>IF($A1636=1,IF(COUNTIF(COA!$A:$A,$G1636)=0,"حساب غير معرف",INDEX(COA!$B:$B,MATCH($G1636,COA!$A:$A,0))),"")</f>
        <v/>
      </c>
      <c r="I1636" s="32">
        <f>IF($A1636=1,IF(Supplier_Payments!$Q8="","",Supplier_Payments!$Q8),"")</f>
        <v/>
      </c>
      <c r="J1636" s="32">
        <f>IF($A1636=1,"CC00","")</f>
        <v/>
      </c>
      <c r="K1636" s="32">
        <f>IF($A1636=1,"-","")</f>
        <v/>
      </c>
      <c r="L1636" s="32">
        <f>IF($A1636=1,IF(Supplier_Payments!$H8="","دفعة مورد "&amp;Supplier_Payments!$C8,Supplier_Payments!$H8),"")</f>
        <v/>
      </c>
      <c r="M1636" s="43">
        <f>IF($A1636=1,0,"")</f>
        <v/>
      </c>
      <c r="N1636" s="43">
        <f>IF($A1636=1,Supplier_Payments!$E8,"")</f>
        <v/>
      </c>
      <c r="O1636" s="32">
        <f>IF($A1636=1,Supplier_Payments!$I8,"")</f>
        <v/>
      </c>
      <c r="P1636" s="32">
        <f>IF($A1636=1,IF(Supplier_Payments!$T8="","",Supplier_Payments!$T8),"")</f>
        <v/>
      </c>
      <c r="Q1636" s="32">
        <f>IF($A1636=1,Supplier_Payments!$V8,"")</f>
        <v/>
      </c>
      <c r="R1636" s="32">
        <f>IF($A1636=1,IF(AND($Q1636=1,COUNTIFS(COA!$A:$A,$G1636,COA!$R:$R,1)=1),1,0),"")</f>
        <v/>
      </c>
      <c r="S1636" s="43">
        <f>IF($A1636=1,IF($R1636=1,N($M1636),0),"")</f>
        <v/>
      </c>
      <c r="T1636" s="43">
        <f>IF($A1636=1,IF($R1636=1,N($N1636),0),"")</f>
        <v/>
      </c>
      <c r="U1636" s="32">
        <f>IF($A1636=1,YEAR($D1636)*100+MONTH($D1636),"")</f>
        <v/>
      </c>
      <c r="V1636" s="32">
        <f>IF($A1636=1,IF(COUNTIF(COA!$A:$A,$G1636)=0,0,INDEX(COA!$H:$H,MATCH($G1636,COA!$A:$A,0))),"")</f>
        <v/>
      </c>
      <c r="W1636" s="32">
        <f>IF($A1636=1,IF(Supplier_Payments!$R8="","",Supplier_Payments!$R8),"")</f>
        <v/>
      </c>
      <c r="X1636" s="32">
        <f>IF($A1636=1,IF($R1636=1,"",IF($O1636=ST_POST,IF($P1636&lt;&gt;"",$P1636,"حساب غير صالح أو غير نشط"),IF($O1636=ST_REV,"معكوس: لا أثر على الدفاتر",IF($O1636=ST_CANC,"ملغى",IF($O1636=ST_APPR,"معتمد ولم يُرحَّل","مسودة"))))),"")</f>
        <v/>
      </c>
      <c r="Y1636" s="32">
        <f>IF($A1636=1,IF(AND($R1636=1,OR(LG_Acct="",$G1636=LG_Acct),OR(LG_Party="",$K1636=LG_Party),OR(LG_Loc="ALL",$I1636=LG_Loc),OR(LG_CC="ALL",$J1636=LG_CC),$D1636&gt;=LG_From,$D1636&lt;=LG_To),$D1636+ROW()/1000000,""),"")</f>
        <v/>
      </c>
      <c r="Z1636" s="32">
        <f>IF($A1636=1,IF(Supplier_Payments!$J8="","",Supplier_Payments!$J8),"")</f>
        <v/>
      </c>
      <c r="AA1636" s="32">
        <f>IF($A1636=1,IF(Supplier_Payments!$K8="","",Supplier_Payments!$K8),"")</f>
        <v/>
      </c>
      <c r="AB1636" s="32">
        <f>IF($A1636=1,IF(Supplier_Payments!$L8="","",Supplier_Payments!$L8),"")</f>
        <v/>
      </c>
      <c r="AC1636" s="32">
        <f>IF($A1636=1,IF(Supplier_Payments!$M8="","",Supplier_Payments!$M8),"")</f>
        <v/>
      </c>
      <c r="AD1636" s="32">
        <f>IF($A1636=1,IF(Supplier_Payments!$N8="","",Supplier_Payments!$N8),"")</f>
        <v/>
      </c>
      <c r="AE1636" s="32">
        <f>IF($A1636=1,0,"")</f>
        <v/>
      </c>
      <c r="AF1636" s="32" t="inlineStr"/>
    </row>
    <row r="1637">
      <c r="A1637" s="32">
        <f>IF(AND(Supplier_Payments!$S9=1,N(Supplier_Payments!$E9)&gt;0),1,0)</f>
        <v/>
      </c>
      <c r="B1637" s="32">
        <f>IF($A1637=1,$E1637&amp;"/1","")</f>
        <v/>
      </c>
      <c r="C1637" s="32">
        <f>IF($A1637=1,"J-"&amp;Supplier_Payments!$A9,"")</f>
        <v/>
      </c>
      <c r="D1637" s="33">
        <f>IF($A1637=1,Supplier_Payments!$B9,"")</f>
        <v/>
      </c>
      <c r="E1637" s="32">
        <f>IF($A1637=1,IF(Supplier_Payments!$A9="","",Supplier_Payments!$A9),"")</f>
        <v/>
      </c>
      <c r="F1637" s="32">
        <f>IF($A1637=1,"SPAY","")</f>
        <v/>
      </c>
      <c r="G1637" s="32">
        <f>IF($A1637=1,ACC_SUPPLIERS,"")</f>
        <v/>
      </c>
      <c r="H1637" s="32">
        <f>IF($A1637=1,IF(COUNTIF(COA!$A:$A,$G1637)=0,"حساب غير معرف",INDEX(COA!$B:$B,MATCH($G1637,COA!$A:$A,0))),"")</f>
        <v/>
      </c>
      <c r="I1637" s="32">
        <f>IF($A1637=1,IF(Supplier_Payments!$Q9="","",Supplier_Payments!$Q9),"")</f>
        <v/>
      </c>
      <c r="J1637" s="32">
        <f>IF($A1637=1,"CC00","")</f>
        <v/>
      </c>
      <c r="K1637" s="32">
        <f>IF($A1637=1,IF(Supplier_Payments!$C9="","",Supplier_Payments!$C9),"")</f>
        <v/>
      </c>
      <c r="L1637" s="32">
        <f>IF($A1637=1,IF(Supplier_Payments!$H9="","دفعة مورد "&amp;Supplier_Payments!$C9,Supplier_Payments!$H9),"")</f>
        <v/>
      </c>
      <c r="M1637" s="43">
        <f>IF($A1637=1,Supplier_Payments!$E9,"")</f>
        <v/>
      </c>
      <c r="N1637" s="43">
        <f>IF($A1637=1,0,"")</f>
        <v/>
      </c>
      <c r="O1637" s="32">
        <f>IF($A1637=1,Supplier_Payments!$I9,"")</f>
        <v/>
      </c>
      <c r="P1637" s="32">
        <f>IF($A1637=1,IF(Supplier_Payments!$T9="","",Supplier_Payments!$T9),"")</f>
        <v/>
      </c>
      <c r="Q1637" s="32">
        <f>IF($A1637=1,Supplier_Payments!$V9,"")</f>
        <v/>
      </c>
      <c r="R1637" s="32">
        <f>IF($A1637=1,IF(AND($Q1637=1,COUNTIFS(COA!$A:$A,$G1637,COA!$R:$R,1)=1),1,0),"")</f>
        <v/>
      </c>
      <c r="S1637" s="43">
        <f>IF($A1637=1,IF($R1637=1,N($M1637),0),"")</f>
        <v/>
      </c>
      <c r="T1637" s="43">
        <f>IF($A1637=1,IF($R1637=1,N($N1637),0),"")</f>
        <v/>
      </c>
      <c r="U1637" s="32">
        <f>IF($A1637=1,YEAR($D1637)*100+MONTH($D1637),"")</f>
        <v/>
      </c>
      <c r="V1637" s="32">
        <f>IF($A1637=1,IF(COUNTIF(COA!$A:$A,$G1637)=0,0,INDEX(COA!$H:$H,MATCH($G1637,COA!$A:$A,0))),"")</f>
        <v/>
      </c>
      <c r="W1637" s="32">
        <f>IF($A1637=1,"","")</f>
        <v/>
      </c>
      <c r="X1637" s="32">
        <f>IF($A1637=1,IF($R1637=1,"",IF($O1637=ST_POST,IF($P1637&lt;&gt;"",$P1637,"حساب غير صالح أو غير نشط"),IF($O1637=ST_REV,"معكوس: لا أثر على الدفاتر",IF($O1637=ST_CANC,"ملغى",IF($O1637=ST_APPR,"معتمد ولم يُرحَّل","مسودة"))))),"")</f>
        <v/>
      </c>
      <c r="Y1637" s="32">
        <f>IF($A1637=1,IF(AND($R1637=1,OR(LG_Acct="",$G1637=LG_Acct),OR(LG_Party="",$K1637=LG_Party),OR(LG_Loc="ALL",$I1637=LG_Loc),OR(LG_CC="ALL",$J1637=LG_CC),$D1637&gt;=LG_From,$D1637&lt;=LG_To),$D1637+ROW()/1000000,""),"")</f>
        <v/>
      </c>
      <c r="Z1637" s="32">
        <f>IF($A1637=1,IF(Supplier_Payments!$J9="","",Supplier_Payments!$J9),"")</f>
        <v/>
      </c>
      <c r="AA1637" s="32">
        <f>IF($A1637=1,IF(Supplier_Payments!$K9="","",Supplier_Payments!$K9),"")</f>
        <v/>
      </c>
      <c r="AB1637" s="32">
        <f>IF($A1637=1,IF(Supplier_Payments!$L9="","",Supplier_Payments!$L9),"")</f>
        <v/>
      </c>
      <c r="AC1637" s="32">
        <f>IF($A1637=1,IF(Supplier_Payments!$M9="","",Supplier_Payments!$M9),"")</f>
        <v/>
      </c>
      <c r="AD1637" s="32">
        <f>IF($A1637=1,IF(Supplier_Payments!$N9="","",Supplier_Payments!$N9),"")</f>
        <v/>
      </c>
      <c r="AE1637" s="32">
        <f>IF($A1637=1,0,"")</f>
        <v/>
      </c>
      <c r="AF1637" s="32" t="inlineStr"/>
    </row>
    <row r="1638">
      <c r="A1638" s="32">
        <f>IF(AND(Supplier_Payments!$S9=1,N(Supplier_Payments!$E9)&gt;0),1,0)</f>
        <v/>
      </c>
      <c r="B1638" s="32">
        <f>IF($A1638=1,$E1638&amp;"/2","")</f>
        <v/>
      </c>
      <c r="C1638" s="32">
        <f>IF($A1638=1,"J-"&amp;Supplier_Payments!$A9,"")</f>
        <v/>
      </c>
      <c r="D1638" s="33">
        <f>IF($A1638=1,Supplier_Payments!$B9,"")</f>
        <v/>
      </c>
      <c r="E1638" s="32">
        <f>IF($A1638=1,IF(Supplier_Payments!$A9="","",Supplier_Payments!$A9),"")</f>
        <v/>
      </c>
      <c r="F1638" s="32">
        <f>IF($A1638=1,"SPAY","")</f>
        <v/>
      </c>
      <c r="G1638" s="32">
        <f>IF($A1638=1,IF(Supplier_Payments!$P9="","",Supplier_Payments!$P9),"")</f>
        <v/>
      </c>
      <c r="H1638" s="32">
        <f>IF($A1638=1,IF(COUNTIF(COA!$A:$A,$G1638)=0,"حساب غير معرف",INDEX(COA!$B:$B,MATCH($G1638,COA!$A:$A,0))),"")</f>
        <v/>
      </c>
      <c r="I1638" s="32">
        <f>IF($A1638=1,IF(Supplier_Payments!$Q9="","",Supplier_Payments!$Q9),"")</f>
        <v/>
      </c>
      <c r="J1638" s="32">
        <f>IF($A1638=1,"CC00","")</f>
        <v/>
      </c>
      <c r="K1638" s="32">
        <f>IF($A1638=1,"-","")</f>
        <v/>
      </c>
      <c r="L1638" s="32">
        <f>IF($A1638=1,IF(Supplier_Payments!$H9="","دفعة مورد "&amp;Supplier_Payments!$C9,Supplier_Payments!$H9),"")</f>
        <v/>
      </c>
      <c r="M1638" s="43">
        <f>IF($A1638=1,0,"")</f>
        <v/>
      </c>
      <c r="N1638" s="43">
        <f>IF($A1638=1,Supplier_Payments!$E9,"")</f>
        <v/>
      </c>
      <c r="O1638" s="32">
        <f>IF($A1638=1,Supplier_Payments!$I9,"")</f>
        <v/>
      </c>
      <c r="P1638" s="32">
        <f>IF($A1638=1,IF(Supplier_Payments!$T9="","",Supplier_Payments!$T9),"")</f>
        <v/>
      </c>
      <c r="Q1638" s="32">
        <f>IF($A1638=1,Supplier_Payments!$V9,"")</f>
        <v/>
      </c>
      <c r="R1638" s="32">
        <f>IF($A1638=1,IF(AND($Q1638=1,COUNTIFS(COA!$A:$A,$G1638,COA!$R:$R,1)=1),1,0),"")</f>
        <v/>
      </c>
      <c r="S1638" s="43">
        <f>IF($A1638=1,IF($R1638=1,N($M1638),0),"")</f>
        <v/>
      </c>
      <c r="T1638" s="43">
        <f>IF($A1638=1,IF($R1638=1,N($N1638),0),"")</f>
        <v/>
      </c>
      <c r="U1638" s="32">
        <f>IF($A1638=1,YEAR($D1638)*100+MONTH($D1638),"")</f>
        <v/>
      </c>
      <c r="V1638" s="32">
        <f>IF($A1638=1,IF(COUNTIF(COA!$A:$A,$G1638)=0,0,INDEX(COA!$H:$H,MATCH($G1638,COA!$A:$A,0))),"")</f>
        <v/>
      </c>
      <c r="W1638" s="32">
        <f>IF($A1638=1,IF(Supplier_Payments!$R9="","",Supplier_Payments!$R9),"")</f>
        <v/>
      </c>
      <c r="X1638" s="32">
        <f>IF($A1638=1,IF($R1638=1,"",IF($O1638=ST_POST,IF($P1638&lt;&gt;"",$P1638,"حساب غير صالح أو غير نشط"),IF($O1638=ST_REV,"معكوس: لا أثر على الدفاتر",IF($O1638=ST_CANC,"ملغى",IF($O1638=ST_APPR,"معتمد ولم يُرحَّل","مسودة"))))),"")</f>
        <v/>
      </c>
      <c r="Y1638" s="32">
        <f>IF($A1638=1,IF(AND($R1638=1,OR(LG_Acct="",$G1638=LG_Acct),OR(LG_Party="",$K1638=LG_Party),OR(LG_Loc="ALL",$I1638=LG_Loc),OR(LG_CC="ALL",$J1638=LG_CC),$D1638&gt;=LG_From,$D1638&lt;=LG_To),$D1638+ROW()/1000000,""),"")</f>
        <v/>
      </c>
      <c r="Z1638" s="32">
        <f>IF($A1638=1,IF(Supplier_Payments!$J9="","",Supplier_Payments!$J9),"")</f>
        <v/>
      </c>
      <c r="AA1638" s="32">
        <f>IF($A1638=1,IF(Supplier_Payments!$K9="","",Supplier_Payments!$K9),"")</f>
        <v/>
      </c>
      <c r="AB1638" s="32">
        <f>IF($A1638=1,IF(Supplier_Payments!$L9="","",Supplier_Payments!$L9),"")</f>
        <v/>
      </c>
      <c r="AC1638" s="32">
        <f>IF($A1638=1,IF(Supplier_Payments!$M9="","",Supplier_Payments!$M9),"")</f>
        <v/>
      </c>
      <c r="AD1638" s="32">
        <f>IF($A1638=1,IF(Supplier_Payments!$N9="","",Supplier_Payments!$N9),"")</f>
        <v/>
      </c>
      <c r="AE1638" s="32">
        <f>IF($A1638=1,0,"")</f>
        <v/>
      </c>
      <c r="AF1638" s="32" t="inlineStr"/>
    </row>
    <row r="1639">
      <c r="A1639" s="32">
        <f>IF(AND(Supplier_Payments!$S10=1,N(Supplier_Payments!$E10)&gt;0),1,0)</f>
        <v/>
      </c>
      <c r="B1639" s="32">
        <f>IF($A1639=1,$E1639&amp;"/1","")</f>
        <v/>
      </c>
      <c r="C1639" s="32">
        <f>IF($A1639=1,"J-"&amp;Supplier_Payments!$A10,"")</f>
        <v/>
      </c>
      <c r="D1639" s="33">
        <f>IF($A1639=1,Supplier_Payments!$B10,"")</f>
        <v/>
      </c>
      <c r="E1639" s="32">
        <f>IF($A1639=1,IF(Supplier_Payments!$A10="","",Supplier_Payments!$A10),"")</f>
        <v/>
      </c>
      <c r="F1639" s="32">
        <f>IF($A1639=1,"SPAY","")</f>
        <v/>
      </c>
      <c r="G1639" s="32">
        <f>IF($A1639=1,ACC_SUPPLIERS,"")</f>
        <v/>
      </c>
      <c r="H1639" s="32">
        <f>IF($A1639=1,IF(COUNTIF(COA!$A:$A,$G1639)=0,"حساب غير معرف",INDEX(COA!$B:$B,MATCH($G1639,COA!$A:$A,0))),"")</f>
        <v/>
      </c>
      <c r="I1639" s="32">
        <f>IF($A1639=1,IF(Supplier_Payments!$Q10="","",Supplier_Payments!$Q10),"")</f>
        <v/>
      </c>
      <c r="J1639" s="32">
        <f>IF($A1639=1,"CC00","")</f>
        <v/>
      </c>
      <c r="K1639" s="32">
        <f>IF($A1639=1,IF(Supplier_Payments!$C10="","",Supplier_Payments!$C10),"")</f>
        <v/>
      </c>
      <c r="L1639" s="32">
        <f>IF($A1639=1,IF(Supplier_Payments!$H10="","دفعة مورد "&amp;Supplier_Payments!$C10,Supplier_Payments!$H10),"")</f>
        <v/>
      </c>
      <c r="M1639" s="43">
        <f>IF($A1639=1,Supplier_Payments!$E10,"")</f>
        <v/>
      </c>
      <c r="N1639" s="43">
        <f>IF($A1639=1,0,"")</f>
        <v/>
      </c>
      <c r="O1639" s="32">
        <f>IF($A1639=1,Supplier_Payments!$I10,"")</f>
        <v/>
      </c>
      <c r="P1639" s="32">
        <f>IF($A1639=1,IF(Supplier_Payments!$T10="","",Supplier_Payments!$T10),"")</f>
        <v/>
      </c>
      <c r="Q1639" s="32">
        <f>IF($A1639=1,Supplier_Payments!$V10,"")</f>
        <v/>
      </c>
      <c r="R1639" s="32">
        <f>IF($A1639=1,IF(AND($Q1639=1,COUNTIFS(COA!$A:$A,$G1639,COA!$R:$R,1)=1),1,0),"")</f>
        <v/>
      </c>
      <c r="S1639" s="43">
        <f>IF($A1639=1,IF($R1639=1,N($M1639),0),"")</f>
        <v/>
      </c>
      <c r="T1639" s="43">
        <f>IF($A1639=1,IF($R1639=1,N($N1639),0),"")</f>
        <v/>
      </c>
      <c r="U1639" s="32">
        <f>IF($A1639=1,YEAR($D1639)*100+MONTH($D1639),"")</f>
        <v/>
      </c>
      <c r="V1639" s="32">
        <f>IF($A1639=1,IF(COUNTIF(COA!$A:$A,$G1639)=0,0,INDEX(COA!$H:$H,MATCH($G1639,COA!$A:$A,0))),"")</f>
        <v/>
      </c>
      <c r="W1639" s="32">
        <f>IF($A1639=1,"","")</f>
        <v/>
      </c>
      <c r="X1639" s="32">
        <f>IF($A1639=1,IF($R1639=1,"",IF($O1639=ST_POST,IF($P1639&lt;&gt;"",$P1639,"حساب غير صالح أو غير نشط"),IF($O1639=ST_REV,"معكوس: لا أثر على الدفاتر",IF($O1639=ST_CANC,"ملغى",IF($O1639=ST_APPR,"معتمد ولم يُرحَّل","مسودة"))))),"")</f>
        <v/>
      </c>
      <c r="Y1639" s="32">
        <f>IF($A1639=1,IF(AND($R1639=1,OR(LG_Acct="",$G1639=LG_Acct),OR(LG_Party="",$K1639=LG_Party),OR(LG_Loc="ALL",$I1639=LG_Loc),OR(LG_CC="ALL",$J1639=LG_CC),$D1639&gt;=LG_From,$D1639&lt;=LG_To),$D1639+ROW()/1000000,""),"")</f>
        <v/>
      </c>
      <c r="Z1639" s="32">
        <f>IF($A1639=1,IF(Supplier_Payments!$J10="","",Supplier_Payments!$J10),"")</f>
        <v/>
      </c>
      <c r="AA1639" s="32">
        <f>IF($A1639=1,IF(Supplier_Payments!$K10="","",Supplier_Payments!$K10),"")</f>
        <v/>
      </c>
      <c r="AB1639" s="32">
        <f>IF($A1639=1,IF(Supplier_Payments!$L10="","",Supplier_Payments!$L10),"")</f>
        <v/>
      </c>
      <c r="AC1639" s="32">
        <f>IF($A1639=1,IF(Supplier_Payments!$M10="","",Supplier_Payments!$M10),"")</f>
        <v/>
      </c>
      <c r="AD1639" s="32">
        <f>IF($A1639=1,IF(Supplier_Payments!$N10="","",Supplier_Payments!$N10),"")</f>
        <v/>
      </c>
      <c r="AE1639" s="32">
        <f>IF($A1639=1,0,"")</f>
        <v/>
      </c>
      <c r="AF1639" s="32" t="inlineStr"/>
    </row>
    <row r="1640">
      <c r="A1640" s="32">
        <f>IF(AND(Supplier_Payments!$S10=1,N(Supplier_Payments!$E10)&gt;0),1,0)</f>
        <v/>
      </c>
      <c r="B1640" s="32">
        <f>IF($A1640=1,$E1640&amp;"/2","")</f>
        <v/>
      </c>
      <c r="C1640" s="32">
        <f>IF($A1640=1,"J-"&amp;Supplier_Payments!$A10,"")</f>
        <v/>
      </c>
      <c r="D1640" s="33">
        <f>IF($A1640=1,Supplier_Payments!$B10,"")</f>
        <v/>
      </c>
      <c r="E1640" s="32">
        <f>IF($A1640=1,IF(Supplier_Payments!$A10="","",Supplier_Payments!$A10),"")</f>
        <v/>
      </c>
      <c r="F1640" s="32">
        <f>IF($A1640=1,"SPAY","")</f>
        <v/>
      </c>
      <c r="G1640" s="32">
        <f>IF($A1640=1,IF(Supplier_Payments!$P10="","",Supplier_Payments!$P10),"")</f>
        <v/>
      </c>
      <c r="H1640" s="32">
        <f>IF($A1640=1,IF(COUNTIF(COA!$A:$A,$G1640)=0,"حساب غير معرف",INDEX(COA!$B:$B,MATCH($G1640,COA!$A:$A,0))),"")</f>
        <v/>
      </c>
      <c r="I1640" s="32">
        <f>IF($A1640=1,IF(Supplier_Payments!$Q10="","",Supplier_Payments!$Q10),"")</f>
        <v/>
      </c>
      <c r="J1640" s="32">
        <f>IF($A1640=1,"CC00","")</f>
        <v/>
      </c>
      <c r="K1640" s="32">
        <f>IF($A1640=1,"-","")</f>
        <v/>
      </c>
      <c r="L1640" s="32">
        <f>IF($A1640=1,IF(Supplier_Payments!$H10="","دفعة مورد "&amp;Supplier_Payments!$C10,Supplier_Payments!$H10),"")</f>
        <v/>
      </c>
      <c r="M1640" s="43">
        <f>IF($A1640=1,0,"")</f>
        <v/>
      </c>
      <c r="N1640" s="43">
        <f>IF($A1640=1,Supplier_Payments!$E10,"")</f>
        <v/>
      </c>
      <c r="O1640" s="32">
        <f>IF($A1640=1,Supplier_Payments!$I10,"")</f>
        <v/>
      </c>
      <c r="P1640" s="32">
        <f>IF($A1640=1,IF(Supplier_Payments!$T10="","",Supplier_Payments!$T10),"")</f>
        <v/>
      </c>
      <c r="Q1640" s="32">
        <f>IF($A1640=1,Supplier_Payments!$V10,"")</f>
        <v/>
      </c>
      <c r="R1640" s="32">
        <f>IF($A1640=1,IF(AND($Q1640=1,COUNTIFS(COA!$A:$A,$G1640,COA!$R:$R,1)=1),1,0),"")</f>
        <v/>
      </c>
      <c r="S1640" s="43">
        <f>IF($A1640=1,IF($R1640=1,N($M1640),0),"")</f>
        <v/>
      </c>
      <c r="T1640" s="43">
        <f>IF($A1640=1,IF($R1640=1,N($N1640),0),"")</f>
        <v/>
      </c>
      <c r="U1640" s="32">
        <f>IF($A1640=1,YEAR($D1640)*100+MONTH($D1640),"")</f>
        <v/>
      </c>
      <c r="V1640" s="32">
        <f>IF($A1640=1,IF(COUNTIF(COA!$A:$A,$G1640)=0,0,INDEX(COA!$H:$H,MATCH($G1640,COA!$A:$A,0))),"")</f>
        <v/>
      </c>
      <c r="W1640" s="32">
        <f>IF($A1640=1,IF(Supplier_Payments!$R10="","",Supplier_Payments!$R10),"")</f>
        <v/>
      </c>
      <c r="X1640" s="32">
        <f>IF($A1640=1,IF($R1640=1,"",IF($O1640=ST_POST,IF($P1640&lt;&gt;"",$P1640,"حساب غير صالح أو غير نشط"),IF($O1640=ST_REV,"معكوس: لا أثر على الدفاتر",IF($O1640=ST_CANC,"ملغى",IF($O1640=ST_APPR,"معتمد ولم يُرحَّل","مسودة"))))),"")</f>
        <v/>
      </c>
      <c r="Y1640" s="32">
        <f>IF($A1640=1,IF(AND($R1640=1,OR(LG_Acct="",$G1640=LG_Acct),OR(LG_Party="",$K1640=LG_Party),OR(LG_Loc="ALL",$I1640=LG_Loc),OR(LG_CC="ALL",$J1640=LG_CC),$D1640&gt;=LG_From,$D1640&lt;=LG_To),$D1640+ROW()/1000000,""),"")</f>
        <v/>
      </c>
      <c r="Z1640" s="32">
        <f>IF($A1640=1,IF(Supplier_Payments!$J10="","",Supplier_Payments!$J10),"")</f>
        <v/>
      </c>
      <c r="AA1640" s="32">
        <f>IF($A1640=1,IF(Supplier_Payments!$K10="","",Supplier_Payments!$K10),"")</f>
        <v/>
      </c>
      <c r="AB1640" s="32">
        <f>IF($A1640=1,IF(Supplier_Payments!$L10="","",Supplier_Payments!$L10),"")</f>
        <v/>
      </c>
      <c r="AC1640" s="32">
        <f>IF($A1640=1,IF(Supplier_Payments!$M10="","",Supplier_Payments!$M10),"")</f>
        <v/>
      </c>
      <c r="AD1640" s="32">
        <f>IF($A1640=1,IF(Supplier_Payments!$N10="","",Supplier_Payments!$N10),"")</f>
        <v/>
      </c>
      <c r="AE1640" s="32">
        <f>IF($A1640=1,0,"")</f>
        <v/>
      </c>
      <c r="AF1640" s="32" t="inlineStr"/>
    </row>
    <row r="1641">
      <c r="A1641" s="32">
        <f>IF(AND(Supplier_Payments!$S11=1,N(Supplier_Payments!$E11)&gt;0),1,0)</f>
        <v/>
      </c>
      <c r="B1641" s="32">
        <f>IF($A1641=1,$E1641&amp;"/1","")</f>
        <v/>
      </c>
      <c r="C1641" s="32">
        <f>IF($A1641=1,"J-"&amp;Supplier_Payments!$A11,"")</f>
        <v/>
      </c>
      <c r="D1641" s="33">
        <f>IF($A1641=1,Supplier_Payments!$B11,"")</f>
        <v/>
      </c>
      <c r="E1641" s="32">
        <f>IF($A1641=1,IF(Supplier_Payments!$A11="","",Supplier_Payments!$A11),"")</f>
        <v/>
      </c>
      <c r="F1641" s="32">
        <f>IF($A1641=1,"SPAY","")</f>
        <v/>
      </c>
      <c r="G1641" s="32">
        <f>IF($A1641=1,ACC_SUPPLIERS,"")</f>
        <v/>
      </c>
      <c r="H1641" s="32">
        <f>IF($A1641=1,IF(COUNTIF(COA!$A:$A,$G1641)=0,"حساب غير معرف",INDEX(COA!$B:$B,MATCH($G1641,COA!$A:$A,0))),"")</f>
        <v/>
      </c>
      <c r="I1641" s="32">
        <f>IF($A1641=1,IF(Supplier_Payments!$Q11="","",Supplier_Payments!$Q11),"")</f>
        <v/>
      </c>
      <c r="J1641" s="32">
        <f>IF($A1641=1,"CC00","")</f>
        <v/>
      </c>
      <c r="K1641" s="32">
        <f>IF($A1641=1,IF(Supplier_Payments!$C11="","",Supplier_Payments!$C11),"")</f>
        <v/>
      </c>
      <c r="L1641" s="32">
        <f>IF($A1641=1,IF(Supplier_Payments!$H11="","دفعة مورد "&amp;Supplier_Payments!$C11,Supplier_Payments!$H11),"")</f>
        <v/>
      </c>
      <c r="M1641" s="43">
        <f>IF($A1641=1,Supplier_Payments!$E11,"")</f>
        <v/>
      </c>
      <c r="N1641" s="43">
        <f>IF($A1641=1,0,"")</f>
        <v/>
      </c>
      <c r="O1641" s="32">
        <f>IF($A1641=1,Supplier_Payments!$I11,"")</f>
        <v/>
      </c>
      <c r="P1641" s="32">
        <f>IF($A1641=1,IF(Supplier_Payments!$T11="","",Supplier_Payments!$T11),"")</f>
        <v/>
      </c>
      <c r="Q1641" s="32">
        <f>IF($A1641=1,Supplier_Payments!$V11,"")</f>
        <v/>
      </c>
      <c r="R1641" s="32">
        <f>IF($A1641=1,IF(AND($Q1641=1,COUNTIFS(COA!$A:$A,$G1641,COA!$R:$R,1)=1),1,0),"")</f>
        <v/>
      </c>
      <c r="S1641" s="43">
        <f>IF($A1641=1,IF($R1641=1,N($M1641),0),"")</f>
        <v/>
      </c>
      <c r="T1641" s="43">
        <f>IF($A1641=1,IF($R1641=1,N($N1641),0),"")</f>
        <v/>
      </c>
      <c r="U1641" s="32">
        <f>IF($A1641=1,YEAR($D1641)*100+MONTH($D1641),"")</f>
        <v/>
      </c>
      <c r="V1641" s="32">
        <f>IF($A1641=1,IF(COUNTIF(COA!$A:$A,$G1641)=0,0,INDEX(COA!$H:$H,MATCH($G1641,COA!$A:$A,0))),"")</f>
        <v/>
      </c>
      <c r="W1641" s="32">
        <f>IF($A1641=1,"","")</f>
        <v/>
      </c>
      <c r="X1641" s="32">
        <f>IF($A1641=1,IF($R1641=1,"",IF($O1641=ST_POST,IF($P1641&lt;&gt;"",$P1641,"حساب غير صالح أو غير نشط"),IF($O1641=ST_REV,"معكوس: لا أثر على الدفاتر",IF($O1641=ST_CANC,"ملغى",IF($O1641=ST_APPR,"معتمد ولم يُرحَّل","مسودة"))))),"")</f>
        <v/>
      </c>
      <c r="Y1641" s="32">
        <f>IF($A1641=1,IF(AND($R1641=1,OR(LG_Acct="",$G1641=LG_Acct),OR(LG_Party="",$K1641=LG_Party),OR(LG_Loc="ALL",$I1641=LG_Loc),OR(LG_CC="ALL",$J1641=LG_CC),$D1641&gt;=LG_From,$D1641&lt;=LG_To),$D1641+ROW()/1000000,""),"")</f>
        <v/>
      </c>
      <c r="Z1641" s="32">
        <f>IF($A1641=1,IF(Supplier_Payments!$J11="","",Supplier_Payments!$J11),"")</f>
        <v/>
      </c>
      <c r="AA1641" s="32">
        <f>IF($A1641=1,IF(Supplier_Payments!$K11="","",Supplier_Payments!$K11),"")</f>
        <v/>
      </c>
      <c r="AB1641" s="32">
        <f>IF($A1641=1,IF(Supplier_Payments!$L11="","",Supplier_Payments!$L11),"")</f>
        <v/>
      </c>
      <c r="AC1641" s="32">
        <f>IF($A1641=1,IF(Supplier_Payments!$M11="","",Supplier_Payments!$M11),"")</f>
        <v/>
      </c>
      <c r="AD1641" s="32">
        <f>IF($A1641=1,IF(Supplier_Payments!$N11="","",Supplier_Payments!$N11),"")</f>
        <v/>
      </c>
      <c r="AE1641" s="32">
        <f>IF($A1641=1,0,"")</f>
        <v/>
      </c>
      <c r="AF1641" s="32" t="inlineStr"/>
    </row>
    <row r="1642">
      <c r="A1642" s="32">
        <f>IF(AND(Supplier_Payments!$S11=1,N(Supplier_Payments!$E11)&gt;0),1,0)</f>
        <v/>
      </c>
      <c r="B1642" s="32">
        <f>IF($A1642=1,$E1642&amp;"/2","")</f>
        <v/>
      </c>
      <c r="C1642" s="32">
        <f>IF($A1642=1,"J-"&amp;Supplier_Payments!$A11,"")</f>
        <v/>
      </c>
      <c r="D1642" s="33">
        <f>IF($A1642=1,Supplier_Payments!$B11,"")</f>
        <v/>
      </c>
      <c r="E1642" s="32">
        <f>IF($A1642=1,IF(Supplier_Payments!$A11="","",Supplier_Payments!$A11),"")</f>
        <v/>
      </c>
      <c r="F1642" s="32">
        <f>IF($A1642=1,"SPAY","")</f>
        <v/>
      </c>
      <c r="G1642" s="32">
        <f>IF($A1642=1,IF(Supplier_Payments!$P11="","",Supplier_Payments!$P11),"")</f>
        <v/>
      </c>
      <c r="H1642" s="32">
        <f>IF($A1642=1,IF(COUNTIF(COA!$A:$A,$G1642)=0,"حساب غير معرف",INDEX(COA!$B:$B,MATCH($G1642,COA!$A:$A,0))),"")</f>
        <v/>
      </c>
      <c r="I1642" s="32">
        <f>IF($A1642=1,IF(Supplier_Payments!$Q11="","",Supplier_Payments!$Q11),"")</f>
        <v/>
      </c>
      <c r="J1642" s="32">
        <f>IF($A1642=1,"CC00","")</f>
        <v/>
      </c>
      <c r="K1642" s="32">
        <f>IF($A1642=1,"-","")</f>
        <v/>
      </c>
      <c r="L1642" s="32">
        <f>IF($A1642=1,IF(Supplier_Payments!$H11="","دفعة مورد "&amp;Supplier_Payments!$C11,Supplier_Payments!$H11),"")</f>
        <v/>
      </c>
      <c r="M1642" s="43">
        <f>IF($A1642=1,0,"")</f>
        <v/>
      </c>
      <c r="N1642" s="43">
        <f>IF($A1642=1,Supplier_Payments!$E11,"")</f>
        <v/>
      </c>
      <c r="O1642" s="32">
        <f>IF($A1642=1,Supplier_Payments!$I11,"")</f>
        <v/>
      </c>
      <c r="P1642" s="32">
        <f>IF($A1642=1,IF(Supplier_Payments!$T11="","",Supplier_Payments!$T11),"")</f>
        <v/>
      </c>
      <c r="Q1642" s="32">
        <f>IF($A1642=1,Supplier_Payments!$V11,"")</f>
        <v/>
      </c>
      <c r="R1642" s="32">
        <f>IF($A1642=1,IF(AND($Q1642=1,COUNTIFS(COA!$A:$A,$G1642,COA!$R:$R,1)=1),1,0),"")</f>
        <v/>
      </c>
      <c r="S1642" s="43">
        <f>IF($A1642=1,IF($R1642=1,N($M1642),0),"")</f>
        <v/>
      </c>
      <c r="T1642" s="43">
        <f>IF($A1642=1,IF($R1642=1,N($N1642),0),"")</f>
        <v/>
      </c>
      <c r="U1642" s="32">
        <f>IF($A1642=1,YEAR($D1642)*100+MONTH($D1642),"")</f>
        <v/>
      </c>
      <c r="V1642" s="32">
        <f>IF($A1642=1,IF(COUNTIF(COA!$A:$A,$G1642)=0,0,INDEX(COA!$H:$H,MATCH($G1642,COA!$A:$A,0))),"")</f>
        <v/>
      </c>
      <c r="W1642" s="32">
        <f>IF($A1642=1,IF(Supplier_Payments!$R11="","",Supplier_Payments!$R11),"")</f>
        <v/>
      </c>
      <c r="X1642" s="32">
        <f>IF($A1642=1,IF($R1642=1,"",IF($O1642=ST_POST,IF($P1642&lt;&gt;"",$P1642,"حساب غير صالح أو غير نشط"),IF($O1642=ST_REV,"معكوس: لا أثر على الدفاتر",IF($O1642=ST_CANC,"ملغى",IF($O1642=ST_APPR,"معتمد ولم يُرحَّل","مسودة"))))),"")</f>
        <v/>
      </c>
      <c r="Y1642" s="32">
        <f>IF($A1642=1,IF(AND($R1642=1,OR(LG_Acct="",$G1642=LG_Acct),OR(LG_Party="",$K1642=LG_Party),OR(LG_Loc="ALL",$I1642=LG_Loc),OR(LG_CC="ALL",$J1642=LG_CC),$D1642&gt;=LG_From,$D1642&lt;=LG_To),$D1642+ROW()/1000000,""),"")</f>
        <v/>
      </c>
      <c r="Z1642" s="32">
        <f>IF($A1642=1,IF(Supplier_Payments!$J11="","",Supplier_Payments!$J11),"")</f>
        <v/>
      </c>
      <c r="AA1642" s="32">
        <f>IF($A1642=1,IF(Supplier_Payments!$K11="","",Supplier_Payments!$K11),"")</f>
        <v/>
      </c>
      <c r="AB1642" s="32">
        <f>IF($A1642=1,IF(Supplier_Payments!$L11="","",Supplier_Payments!$L11),"")</f>
        <v/>
      </c>
      <c r="AC1642" s="32">
        <f>IF($A1642=1,IF(Supplier_Payments!$M11="","",Supplier_Payments!$M11),"")</f>
        <v/>
      </c>
      <c r="AD1642" s="32">
        <f>IF($A1642=1,IF(Supplier_Payments!$N11="","",Supplier_Payments!$N11),"")</f>
        <v/>
      </c>
      <c r="AE1642" s="32">
        <f>IF($A1642=1,0,"")</f>
        <v/>
      </c>
      <c r="AF1642" s="32" t="inlineStr"/>
    </row>
    <row r="1643">
      <c r="A1643" s="32">
        <f>IF(AND(Supplier_Payments!$S12=1,N(Supplier_Payments!$E12)&gt;0),1,0)</f>
        <v/>
      </c>
      <c r="B1643" s="32">
        <f>IF($A1643=1,$E1643&amp;"/1","")</f>
        <v/>
      </c>
      <c r="C1643" s="32">
        <f>IF($A1643=1,"J-"&amp;Supplier_Payments!$A12,"")</f>
        <v/>
      </c>
      <c r="D1643" s="33">
        <f>IF($A1643=1,Supplier_Payments!$B12,"")</f>
        <v/>
      </c>
      <c r="E1643" s="32">
        <f>IF($A1643=1,IF(Supplier_Payments!$A12="","",Supplier_Payments!$A12),"")</f>
        <v/>
      </c>
      <c r="F1643" s="32">
        <f>IF($A1643=1,"SPAY","")</f>
        <v/>
      </c>
      <c r="G1643" s="32">
        <f>IF($A1643=1,ACC_SUPPLIERS,"")</f>
        <v/>
      </c>
      <c r="H1643" s="32">
        <f>IF($A1643=1,IF(COUNTIF(COA!$A:$A,$G1643)=0,"حساب غير معرف",INDEX(COA!$B:$B,MATCH($G1643,COA!$A:$A,0))),"")</f>
        <v/>
      </c>
      <c r="I1643" s="32">
        <f>IF($A1643=1,IF(Supplier_Payments!$Q12="","",Supplier_Payments!$Q12),"")</f>
        <v/>
      </c>
      <c r="J1643" s="32">
        <f>IF($A1643=1,"CC00","")</f>
        <v/>
      </c>
      <c r="K1643" s="32">
        <f>IF($A1643=1,IF(Supplier_Payments!$C12="","",Supplier_Payments!$C12),"")</f>
        <v/>
      </c>
      <c r="L1643" s="32">
        <f>IF($A1643=1,IF(Supplier_Payments!$H12="","دفعة مورد "&amp;Supplier_Payments!$C12,Supplier_Payments!$H12),"")</f>
        <v/>
      </c>
      <c r="M1643" s="43">
        <f>IF($A1643=1,Supplier_Payments!$E12,"")</f>
        <v/>
      </c>
      <c r="N1643" s="43">
        <f>IF($A1643=1,0,"")</f>
        <v/>
      </c>
      <c r="O1643" s="32">
        <f>IF($A1643=1,Supplier_Payments!$I12,"")</f>
        <v/>
      </c>
      <c r="P1643" s="32">
        <f>IF($A1643=1,IF(Supplier_Payments!$T12="","",Supplier_Payments!$T12),"")</f>
        <v/>
      </c>
      <c r="Q1643" s="32">
        <f>IF($A1643=1,Supplier_Payments!$V12,"")</f>
        <v/>
      </c>
      <c r="R1643" s="32">
        <f>IF($A1643=1,IF(AND($Q1643=1,COUNTIFS(COA!$A:$A,$G1643,COA!$R:$R,1)=1),1,0),"")</f>
        <v/>
      </c>
      <c r="S1643" s="43">
        <f>IF($A1643=1,IF($R1643=1,N($M1643),0),"")</f>
        <v/>
      </c>
      <c r="T1643" s="43">
        <f>IF($A1643=1,IF($R1643=1,N($N1643),0),"")</f>
        <v/>
      </c>
      <c r="U1643" s="32">
        <f>IF($A1643=1,YEAR($D1643)*100+MONTH($D1643),"")</f>
        <v/>
      </c>
      <c r="V1643" s="32">
        <f>IF($A1643=1,IF(COUNTIF(COA!$A:$A,$G1643)=0,0,INDEX(COA!$H:$H,MATCH($G1643,COA!$A:$A,0))),"")</f>
        <v/>
      </c>
      <c r="W1643" s="32">
        <f>IF($A1643=1,"","")</f>
        <v/>
      </c>
      <c r="X1643" s="32">
        <f>IF($A1643=1,IF($R1643=1,"",IF($O1643=ST_POST,IF($P1643&lt;&gt;"",$P1643,"حساب غير صالح أو غير نشط"),IF($O1643=ST_REV,"معكوس: لا أثر على الدفاتر",IF($O1643=ST_CANC,"ملغى",IF($O1643=ST_APPR,"معتمد ولم يُرحَّل","مسودة"))))),"")</f>
        <v/>
      </c>
      <c r="Y1643" s="32">
        <f>IF($A1643=1,IF(AND($R1643=1,OR(LG_Acct="",$G1643=LG_Acct),OR(LG_Party="",$K1643=LG_Party),OR(LG_Loc="ALL",$I1643=LG_Loc),OR(LG_CC="ALL",$J1643=LG_CC),$D1643&gt;=LG_From,$D1643&lt;=LG_To),$D1643+ROW()/1000000,""),"")</f>
        <v/>
      </c>
      <c r="Z1643" s="32">
        <f>IF($A1643=1,IF(Supplier_Payments!$J12="","",Supplier_Payments!$J12),"")</f>
        <v/>
      </c>
      <c r="AA1643" s="32">
        <f>IF($A1643=1,IF(Supplier_Payments!$K12="","",Supplier_Payments!$K12),"")</f>
        <v/>
      </c>
      <c r="AB1643" s="32">
        <f>IF($A1643=1,IF(Supplier_Payments!$L12="","",Supplier_Payments!$L12),"")</f>
        <v/>
      </c>
      <c r="AC1643" s="32">
        <f>IF($A1643=1,IF(Supplier_Payments!$M12="","",Supplier_Payments!$M12),"")</f>
        <v/>
      </c>
      <c r="AD1643" s="32">
        <f>IF($A1643=1,IF(Supplier_Payments!$N12="","",Supplier_Payments!$N12),"")</f>
        <v/>
      </c>
      <c r="AE1643" s="32">
        <f>IF($A1643=1,0,"")</f>
        <v/>
      </c>
      <c r="AF1643" s="32" t="inlineStr"/>
    </row>
    <row r="1644">
      <c r="A1644" s="32">
        <f>IF(AND(Supplier_Payments!$S12=1,N(Supplier_Payments!$E12)&gt;0),1,0)</f>
        <v/>
      </c>
      <c r="B1644" s="32">
        <f>IF($A1644=1,$E1644&amp;"/2","")</f>
        <v/>
      </c>
      <c r="C1644" s="32">
        <f>IF($A1644=1,"J-"&amp;Supplier_Payments!$A12,"")</f>
        <v/>
      </c>
      <c r="D1644" s="33">
        <f>IF($A1644=1,Supplier_Payments!$B12,"")</f>
        <v/>
      </c>
      <c r="E1644" s="32">
        <f>IF($A1644=1,IF(Supplier_Payments!$A12="","",Supplier_Payments!$A12),"")</f>
        <v/>
      </c>
      <c r="F1644" s="32">
        <f>IF($A1644=1,"SPAY","")</f>
        <v/>
      </c>
      <c r="G1644" s="32">
        <f>IF($A1644=1,IF(Supplier_Payments!$P12="","",Supplier_Payments!$P12),"")</f>
        <v/>
      </c>
      <c r="H1644" s="32">
        <f>IF($A1644=1,IF(COUNTIF(COA!$A:$A,$G1644)=0,"حساب غير معرف",INDEX(COA!$B:$B,MATCH($G1644,COA!$A:$A,0))),"")</f>
        <v/>
      </c>
      <c r="I1644" s="32">
        <f>IF($A1644=1,IF(Supplier_Payments!$Q12="","",Supplier_Payments!$Q12),"")</f>
        <v/>
      </c>
      <c r="J1644" s="32">
        <f>IF($A1644=1,"CC00","")</f>
        <v/>
      </c>
      <c r="K1644" s="32">
        <f>IF($A1644=1,"-","")</f>
        <v/>
      </c>
      <c r="L1644" s="32">
        <f>IF($A1644=1,IF(Supplier_Payments!$H12="","دفعة مورد "&amp;Supplier_Payments!$C12,Supplier_Payments!$H12),"")</f>
        <v/>
      </c>
      <c r="M1644" s="43">
        <f>IF($A1644=1,0,"")</f>
        <v/>
      </c>
      <c r="N1644" s="43">
        <f>IF($A1644=1,Supplier_Payments!$E12,"")</f>
        <v/>
      </c>
      <c r="O1644" s="32">
        <f>IF($A1644=1,Supplier_Payments!$I12,"")</f>
        <v/>
      </c>
      <c r="P1644" s="32">
        <f>IF($A1644=1,IF(Supplier_Payments!$T12="","",Supplier_Payments!$T12),"")</f>
        <v/>
      </c>
      <c r="Q1644" s="32">
        <f>IF($A1644=1,Supplier_Payments!$V12,"")</f>
        <v/>
      </c>
      <c r="R1644" s="32">
        <f>IF($A1644=1,IF(AND($Q1644=1,COUNTIFS(COA!$A:$A,$G1644,COA!$R:$R,1)=1),1,0),"")</f>
        <v/>
      </c>
      <c r="S1644" s="43">
        <f>IF($A1644=1,IF($R1644=1,N($M1644),0),"")</f>
        <v/>
      </c>
      <c r="T1644" s="43">
        <f>IF($A1644=1,IF($R1644=1,N($N1644),0),"")</f>
        <v/>
      </c>
      <c r="U1644" s="32">
        <f>IF($A1644=1,YEAR($D1644)*100+MONTH($D1644),"")</f>
        <v/>
      </c>
      <c r="V1644" s="32">
        <f>IF($A1644=1,IF(COUNTIF(COA!$A:$A,$G1644)=0,0,INDEX(COA!$H:$H,MATCH($G1644,COA!$A:$A,0))),"")</f>
        <v/>
      </c>
      <c r="W1644" s="32">
        <f>IF($A1644=1,IF(Supplier_Payments!$R12="","",Supplier_Payments!$R12),"")</f>
        <v/>
      </c>
      <c r="X1644" s="32">
        <f>IF($A1644=1,IF($R1644=1,"",IF($O1644=ST_POST,IF($P1644&lt;&gt;"",$P1644,"حساب غير صالح أو غير نشط"),IF($O1644=ST_REV,"معكوس: لا أثر على الدفاتر",IF($O1644=ST_CANC,"ملغى",IF($O1644=ST_APPR,"معتمد ولم يُرحَّل","مسودة"))))),"")</f>
        <v/>
      </c>
      <c r="Y1644" s="32">
        <f>IF($A1644=1,IF(AND($R1644=1,OR(LG_Acct="",$G1644=LG_Acct),OR(LG_Party="",$K1644=LG_Party),OR(LG_Loc="ALL",$I1644=LG_Loc),OR(LG_CC="ALL",$J1644=LG_CC),$D1644&gt;=LG_From,$D1644&lt;=LG_To),$D1644+ROW()/1000000,""),"")</f>
        <v/>
      </c>
      <c r="Z1644" s="32">
        <f>IF($A1644=1,IF(Supplier_Payments!$J12="","",Supplier_Payments!$J12),"")</f>
        <v/>
      </c>
      <c r="AA1644" s="32">
        <f>IF($A1644=1,IF(Supplier_Payments!$K12="","",Supplier_Payments!$K12),"")</f>
        <v/>
      </c>
      <c r="AB1644" s="32">
        <f>IF($A1644=1,IF(Supplier_Payments!$L12="","",Supplier_Payments!$L12),"")</f>
        <v/>
      </c>
      <c r="AC1644" s="32">
        <f>IF($A1644=1,IF(Supplier_Payments!$M12="","",Supplier_Payments!$M12),"")</f>
        <v/>
      </c>
      <c r="AD1644" s="32">
        <f>IF($A1644=1,IF(Supplier_Payments!$N12="","",Supplier_Payments!$N12),"")</f>
        <v/>
      </c>
      <c r="AE1644" s="32">
        <f>IF($A1644=1,0,"")</f>
        <v/>
      </c>
      <c r="AF1644" s="32" t="inlineStr"/>
    </row>
    <row r="1645">
      <c r="A1645" s="32">
        <f>IF(AND(Supplier_Payments!$S13=1,N(Supplier_Payments!$E13)&gt;0),1,0)</f>
        <v/>
      </c>
      <c r="B1645" s="32">
        <f>IF($A1645=1,$E1645&amp;"/1","")</f>
        <v/>
      </c>
      <c r="C1645" s="32">
        <f>IF($A1645=1,"J-"&amp;Supplier_Payments!$A13,"")</f>
        <v/>
      </c>
      <c r="D1645" s="33">
        <f>IF($A1645=1,Supplier_Payments!$B13,"")</f>
        <v/>
      </c>
      <c r="E1645" s="32">
        <f>IF($A1645=1,IF(Supplier_Payments!$A13="","",Supplier_Payments!$A13),"")</f>
        <v/>
      </c>
      <c r="F1645" s="32">
        <f>IF($A1645=1,"SPAY","")</f>
        <v/>
      </c>
      <c r="G1645" s="32">
        <f>IF($A1645=1,ACC_SUPPLIERS,"")</f>
        <v/>
      </c>
      <c r="H1645" s="32">
        <f>IF($A1645=1,IF(COUNTIF(COA!$A:$A,$G1645)=0,"حساب غير معرف",INDEX(COA!$B:$B,MATCH($G1645,COA!$A:$A,0))),"")</f>
        <v/>
      </c>
      <c r="I1645" s="32">
        <f>IF($A1645=1,IF(Supplier_Payments!$Q13="","",Supplier_Payments!$Q13),"")</f>
        <v/>
      </c>
      <c r="J1645" s="32">
        <f>IF($A1645=1,"CC00","")</f>
        <v/>
      </c>
      <c r="K1645" s="32">
        <f>IF($A1645=1,IF(Supplier_Payments!$C13="","",Supplier_Payments!$C13),"")</f>
        <v/>
      </c>
      <c r="L1645" s="32">
        <f>IF($A1645=1,IF(Supplier_Payments!$H13="","دفعة مورد "&amp;Supplier_Payments!$C13,Supplier_Payments!$H13),"")</f>
        <v/>
      </c>
      <c r="M1645" s="43">
        <f>IF($A1645=1,Supplier_Payments!$E13,"")</f>
        <v/>
      </c>
      <c r="N1645" s="43">
        <f>IF($A1645=1,0,"")</f>
        <v/>
      </c>
      <c r="O1645" s="32">
        <f>IF($A1645=1,Supplier_Payments!$I13,"")</f>
        <v/>
      </c>
      <c r="P1645" s="32">
        <f>IF($A1645=1,IF(Supplier_Payments!$T13="","",Supplier_Payments!$T13),"")</f>
        <v/>
      </c>
      <c r="Q1645" s="32">
        <f>IF($A1645=1,Supplier_Payments!$V13,"")</f>
        <v/>
      </c>
      <c r="R1645" s="32">
        <f>IF($A1645=1,IF(AND($Q1645=1,COUNTIFS(COA!$A:$A,$G1645,COA!$R:$R,1)=1),1,0),"")</f>
        <v/>
      </c>
      <c r="S1645" s="43">
        <f>IF($A1645=1,IF($R1645=1,N($M1645),0),"")</f>
        <v/>
      </c>
      <c r="T1645" s="43">
        <f>IF($A1645=1,IF($R1645=1,N($N1645),0),"")</f>
        <v/>
      </c>
      <c r="U1645" s="32">
        <f>IF($A1645=1,YEAR($D1645)*100+MONTH($D1645),"")</f>
        <v/>
      </c>
      <c r="V1645" s="32">
        <f>IF($A1645=1,IF(COUNTIF(COA!$A:$A,$G1645)=0,0,INDEX(COA!$H:$H,MATCH($G1645,COA!$A:$A,0))),"")</f>
        <v/>
      </c>
      <c r="W1645" s="32">
        <f>IF($A1645=1,"","")</f>
        <v/>
      </c>
      <c r="X1645" s="32">
        <f>IF($A1645=1,IF($R1645=1,"",IF($O1645=ST_POST,IF($P1645&lt;&gt;"",$P1645,"حساب غير صالح أو غير نشط"),IF($O1645=ST_REV,"معكوس: لا أثر على الدفاتر",IF($O1645=ST_CANC,"ملغى",IF($O1645=ST_APPR,"معتمد ولم يُرحَّل","مسودة"))))),"")</f>
        <v/>
      </c>
      <c r="Y1645" s="32">
        <f>IF($A1645=1,IF(AND($R1645=1,OR(LG_Acct="",$G1645=LG_Acct),OR(LG_Party="",$K1645=LG_Party),OR(LG_Loc="ALL",$I1645=LG_Loc),OR(LG_CC="ALL",$J1645=LG_CC),$D1645&gt;=LG_From,$D1645&lt;=LG_To),$D1645+ROW()/1000000,""),"")</f>
        <v/>
      </c>
      <c r="Z1645" s="32">
        <f>IF($A1645=1,IF(Supplier_Payments!$J13="","",Supplier_Payments!$J13),"")</f>
        <v/>
      </c>
      <c r="AA1645" s="32">
        <f>IF($A1645=1,IF(Supplier_Payments!$K13="","",Supplier_Payments!$K13),"")</f>
        <v/>
      </c>
      <c r="AB1645" s="32">
        <f>IF($A1645=1,IF(Supplier_Payments!$L13="","",Supplier_Payments!$L13),"")</f>
        <v/>
      </c>
      <c r="AC1645" s="32">
        <f>IF($A1645=1,IF(Supplier_Payments!$M13="","",Supplier_Payments!$M13),"")</f>
        <v/>
      </c>
      <c r="AD1645" s="32">
        <f>IF($A1645=1,IF(Supplier_Payments!$N13="","",Supplier_Payments!$N13),"")</f>
        <v/>
      </c>
      <c r="AE1645" s="32">
        <f>IF($A1645=1,0,"")</f>
        <v/>
      </c>
      <c r="AF1645" s="32" t="inlineStr"/>
    </row>
    <row r="1646">
      <c r="A1646" s="32">
        <f>IF(AND(Supplier_Payments!$S13=1,N(Supplier_Payments!$E13)&gt;0),1,0)</f>
        <v/>
      </c>
      <c r="B1646" s="32">
        <f>IF($A1646=1,$E1646&amp;"/2","")</f>
        <v/>
      </c>
      <c r="C1646" s="32">
        <f>IF($A1646=1,"J-"&amp;Supplier_Payments!$A13,"")</f>
        <v/>
      </c>
      <c r="D1646" s="33">
        <f>IF($A1646=1,Supplier_Payments!$B13,"")</f>
        <v/>
      </c>
      <c r="E1646" s="32">
        <f>IF($A1646=1,IF(Supplier_Payments!$A13="","",Supplier_Payments!$A13),"")</f>
        <v/>
      </c>
      <c r="F1646" s="32">
        <f>IF($A1646=1,"SPAY","")</f>
        <v/>
      </c>
      <c r="G1646" s="32">
        <f>IF($A1646=1,IF(Supplier_Payments!$P13="","",Supplier_Payments!$P13),"")</f>
        <v/>
      </c>
      <c r="H1646" s="32">
        <f>IF($A1646=1,IF(COUNTIF(COA!$A:$A,$G1646)=0,"حساب غير معرف",INDEX(COA!$B:$B,MATCH($G1646,COA!$A:$A,0))),"")</f>
        <v/>
      </c>
      <c r="I1646" s="32">
        <f>IF($A1646=1,IF(Supplier_Payments!$Q13="","",Supplier_Payments!$Q13),"")</f>
        <v/>
      </c>
      <c r="J1646" s="32">
        <f>IF($A1646=1,"CC00","")</f>
        <v/>
      </c>
      <c r="K1646" s="32">
        <f>IF($A1646=1,"-","")</f>
        <v/>
      </c>
      <c r="L1646" s="32">
        <f>IF($A1646=1,IF(Supplier_Payments!$H13="","دفعة مورد "&amp;Supplier_Payments!$C13,Supplier_Payments!$H13),"")</f>
        <v/>
      </c>
      <c r="M1646" s="43">
        <f>IF($A1646=1,0,"")</f>
        <v/>
      </c>
      <c r="N1646" s="43">
        <f>IF($A1646=1,Supplier_Payments!$E13,"")</f>
        <v/>
      </c>
      <c r="O1646" s="32">
        <f>IF($A1646=1,Supplier_Payments!$I13,"")</f>
        <v/>
      </c>
      <c r="P1646" s="32">
        <f>IF($A1646=1,IF(Supplier_Payments!$T13="","",Supplier_Payments!$T13),"")</f>
        <v/>
      </c>
      <c r="Q1646" s="32">
        <f>IF($A1646=1,Supplier_Payments!$V13,"")</f>
        <v/>
      </c>
      <c r="R1646" s="32">
        <f>IF($A1646=1,IF(AND($Q1646=1,COUNTIFS(COA!$A:$A,$G1646,COA!$R:$R,1)=1),1,0),"")</f>
        <v/>
      </c>
      <c r="S1646" s="43">
        <f>IF($A1646=1,IF($R1646=1,N($M1646),0),"")</f>
        <v/>
      </c>
      <c r="T1646" s="43">
        <f>IF($A1646=1,IF($R1646=1,N($N1646),0),"")</f>
        <v/>
      </c>
      <c r="U1646" s="32">
        <f>IF($A1646=1,YEAR($D1646)*100+MONTH($D1646),"")</f>
        <v/>
      </c>
      <c r="V1646" s="32">
        <f>IF($A1646=1,IF(COUNTIF(COA!$A:$A,$G1646)=0,0,INDEX(COA!$H:$H,MATCH($G1646,COA!$A:$A,0))),"")</f>
        <v/>
      </c>
      <c r="W1646" s="32">
        <f>IF($A1646=1,IF(Supplier_Payments!$R13="","",Supplier_Payments!$R13),"")</f>
        <v/>
      </c>
      <c r="X1646" s="32">
        <f>IF($A1646=1,IF($R1646=1,"",IF($O1646=ST_POST,IF($P1646&lt;&gt;"",$P1646,"حساب غير صالح أو غير نشط"),IF($O1646=ST_REV,"معكوس: لا أثر على الدفاتر",IF($O1646=ST_CANC,"ملغى",IF($O1646=ST_APPR,"معتمد ولم يُرحَّل","مسودة"))))),"")</f>
        <v/>
      </c>
      <c r="Y1646" s="32">
        <f>IF($A1646=1,IF(AND($R1646=1,OR(LG_Acct="",$G1646=LG_Acct),OR(LG_Party="",$K1646=LG_Party),OR(LG_Loc="ALL",$I1646=LG_Loc),OR(LG_CC="ALL",$J1646=LG_CC),$D1646&gt;=LG_From,$D1646&lt;=LG_To),$D1646+ROW()/1000000,""),"")</f>
        <v/>
      </c>
      <c r="Z1646" s="32">
        <f>IF($A1646=1,IF(Supplier_Payments!$J13="","",Supplier_Payments!$J13),"")</f>
        <v/>
      </c>
      <c r="AA1646" s="32">
        <f>IF($A1646=1,IF(Supplier_Payments!$K13="","",Supplier_Payments!$K13),"")</f>
        <v/>
      </c>
      <c r="AB1646" s="32">
        <f>IF($A1646=1,IF(Supplier_Payments!$L13="","",Supplier_Payments!$L13),"")</f>
        <v/>
      </c>
      <c r="AC1646" s="32">
        <f>IF($A1646=1,IF(Supplier_Payments!$M13="","",Supplier_Payments!$M13),"")</f>
        <v/>
      </c>
      <c r="AD1646" s="32">
        <f>IF($A1646=1,IF(Supplier_Payments!$N13="","",Supplier_Payments!$N13),"")</f>
        <v/>
      </c>
      <c r="AE1646" s="32">
        <f>IF($A1646=1,0,"")</f>
        <v/>
      </c>
      <c r="AF1646" s="32" t="inlineStr"/>
    </row>
    <row r="1647">
      <c r="A1647" s="32">
        <f>IF(AND(Supplier_Payments!$S14=1,N(Supplier_Payments!$E14)&gt;0),1,0)</f>
        <v/>
      </c>
      <c r="B1647" s="32">
        <f>IF($A1647=1,$E1647&amp;"/1","")</f>
        <v/>
      </c>
      <c r="C1647" s="32">
        <f>IF($A1647=1,"J-"&amp;Supplier_Payments!$A14,"")</f>
        <v/>
      </c>
      <c r="D1647" s="33">
        <f>IF($A1647=1,Supplier_Payments!$B14,"")</f>
        <v/>
      </c>
      <c r="E1647" s="32">
        <f>IF($A1647=1,IF(Supplier_Payments!$A14="","",Supplier_Payments!$A14),"")</f>
        <v/>
      </c>
      <c r="F1647" s="32">
        <f>IF($A1647=1,"SPAY","")</f>
        <v/>
      </c>
      <c r="G1647" s="32">
        <f>IF($A1647=1,ACC_SUPPLIERS,"")</f>
        <v/>
      </c>
      <c r="H1647" s="32">
        <f>IF($A1647=1,IF(COUNTIF(COA!$A:$A,$G1647)=0,"حساب غير معرف",INDEX(COA!$B:$B,MATCH($G1647,COA!$A:$A,0))),"")</f>
        <v/>
      </c>
      <c r="I1647" s="32">
        <f>IF($A1647=1,IF(Supplier_Payments!$Q14="","",Supplier_Payments!$Q14),"")</f>
        <v/>
      </c>
      <c r="J1647" s="32">
        <f>IF($A1647=1,"CC00","")</f>
        <v/>
      </c>
      <c r="K1647" s="32">
        <f>IF($A1647=1,IF(Supplier_Payments!$C14="","",Supplier_Payments!$C14),"")</f>
        <v/>
      </c>
      <c r="L1647" s="32">
        <f>IF($A1647=1,IF(Supplier_Payments!$H14="","دفعة مورد "&amp;Supplier_Payments!$C14,Supplier_Payments!$H14),"")</f>
        <v/>
      </c>
      <c r="M1647" s="43">
        <f>IF($A1647=1,Supplier_Payments!$E14,"")</f>
        <v/>
      </c>
      <c r="N1647" s="43">
        <f>IF($A1647=1,0,"")</f>
        <v/>
      </c>
      <c r="O1647" s="32">
        <f>IF($A1647=1,Supplier_Payments!$I14,"")</f>
        <v/>
      </c>
      <c r="P1647" s="32">
        <f>IF($A1647=1,IF(Supplier_Payments!$T14="","",Supplier_Payments!$T14),"")</f>
        <v/>
      </c>
      <c r="Q1647" s="32">
        <f>IF($A1647=1,Supplier_Payments!$V14,"")</f>
        <v/>
      </c>
      <c r="R1647" s="32">
        <f>IF($A1647=1,IF(AND($Q1647=1,COUNTIFS(COA!$A:$A,$G1647,COA!$R:$R,1)=1),1,0),"")</f>
        <v/>
      </c>
      <c r="S1647" s="43">
        <f>IF($A1647=1,IF($R1647=1,N($M1647),0),"")</f>
        <v/>
      </c>
      <c r="T1647" s="43">
        <f>IF($A1647=1,IF($R1647=1,N($N1647),0),"")</f>
        <v/>
      </c>
      <c r="U1647" s="32">
        <f>IF($A1647=1,YEAR($D1647)*100+MONTH($D1647),"")</f>
        <v/>
      </c>
      <c r="V1647" s="32">
        <f>IF($A1647=1,IF(COUNTIF(COA!$A:$A,$G1647)=0,0,INDEX(COA!$H:$H,MATCH($G1647,COA!$A:$A,0))),"")</f>
        <v/>
      </c>
      <c r="W1647" s="32">
        <f>IF($A1647=1,"","")</f>
        <v/>
      </c>
      <c r="X1647" s="32">
        <f>IF($A1647=1,IF($R1647=1,"",IF($O1647=ST_POST,IF($P1647&lt;&gt;"",$P1647,"حساب غير صالح أو غير نشط"),IF($O1647=ST_REV,"معكوس: لا أثر على الدفاتر",IF($O1647=ST_CANC,"ملغى",IF($O1647=ST_APPR,"معتمد ولم يُرحَّل","مسودة"))))),"")</f>
        <v/>
      </c>
      <c r="Y1647" s="32">
        <f>IF($A1647=1,IF(AND($R1647=1,OR(LG_Acct="",$G1647=LG_Acct),OR(LG_Party="",$K1647=LG_Party),OR(LG_Loc="ALL",$I1647=LG_Loc),OR(LG_CC="ALL",$J1647=LG_CC),$D1647&gt;=LG_From,$D1647&lt;=LG_To),$D1647+ROW()/1000000,""),"")</f>
        <v/>
      </c>
      <c r="Z1647" s="32">
        <f>IF($A1647=1,IF(Supplier_Payments!$J14="","",Supplier_Payments!$J14),"")</f>
        <v/>
      </c>
      <c r="AA1647" s="32">
        <f>IF($A1647=1,IF(Supplier_Payments!$K14="","",Supplier_Payments!$K14),"")</f>
        <v/>
      </c>
      <c r="AB1647" s="32">
        <f>IF($A1647=1,IF(Supplier_Payments!$L14="","",Supplier_Payments!$L14),"")</f>
        <v/>
      </c>
      <c r="AC1647" s="32">
        <f>IF($A1647=1,IF(Supplier_Payments!$M14="","",Supplier_Payments!$M14),"")</f>
        <v/>
      </c>
      <c r="AD1647" s="32">
        <f>IF($A1647=1,IF(Supplier_Payments!$N14="","",Supplier_Payments!$N14),"")</f>
        <v/>
      </c>
      <c r="AE1647" s="32">
        <f>IF($A1647=1,0,"")</f>
        <v/>
      </c>
      <c r="AF1647" s="32" t="inlineStr"/>
    </row>
    <row r="1648">
      <c r="A1648" s="32">
        <f>IF(AND(Supplier_Payments!$S14=1,N(Supplier_Payments!$E14)&gt;0),1,0)</f>
        <v/>
      </c>
      <c r="B1648" s="32">
        <f>IF($A1648=1,$E1648&amp;"/2","")</f>
        <v/>
      </c>
      <c r="C1648" s="32">
        <f>IF($A1648=1,"J-"&amp;Supplier_Payments!$A14,"")</f>
        <v/>
      </c>
      <c r="D1648" s="33">
        <f>IF($A1648=1,Supplier_Payments!$B14,"")</f>
        <v/>
      </c>
      <c r="E1648" s="32">
        <f>IF($A1648=1,IF(Supplier_Payments!$A14="","",Supplier_Payments!$A14),"")</f>
        <v/>
      </c>
      <c r="F1648" s="32">
        <f>IF($A1648=1,"SPAY","")</f>
        <v/>
      </c>
      <c r="G1648" s="32">
        <f>IF($A1648=1,IF(Supplier_Payments!$P14="","",Supplier_Payments!$P14),"")</f>
        <v/>
      </c>
      <c r="H1648" s="32">
        <f>IF($A1648=1,IF(COUNTIF(COA!$A:$A,$G1648)=0,"حساب غير معرف",INDEX(COA!$B:$B,MATCH($G1648,COA!$A:$A,0))),"")</f>
        <v/>
      </c>
      <c r="I1648" s="32">
        <f>IF($A1648=1,IF(Supplier_Payments!$Q14="","",Supplier_Payments!$Q14),"")</f>
        <v/>
      </c>
      <c r="J1648" s="32">
        <f>IF($A1648=1,"CC00","")</f>
        <v/>
      </c>
      <c r="K1648" s="32">
        <f>IF($A1648=1,"-","")</f>
        <v/>
      </c>
      <c r="L1648" s="32">
        <f>IF($A1648=1,IF(Supplier_Payments!$H14="","دفعة مورد "&amp;Supplier_Payments!$C14,Supplier_Payments!$H14),"")</f>
        <v/>
      </c>
      <c r="M1648" s="43">
        <f>IF($A1648=1,0,"")</f>
        <v/>
      </c>
      <c r="N1648" s="43">
        <f>IF($A1648=1,Supplier_Payments!$E14,"")</f>
        <v/>
      </c>
      <c r="O1648" s="32">
        <f>IF($A1648=1,Supplier_Payments!$I14,"")</f>
        <v/>
      </c>
      <c r="P1648" s="32">
        <f>IF($A1648=1,IF(Supplier_Payments!$T14="","",Supplier_Payments!$T14),"")</f>
        <v/>
      </c>
      <c r="Q1648" s="32">
        <f>IF($A1648=1,Supplier_Payments!$V14,"")</f>
        <v/>
      </c>
      <c r="R1648" s="32">
        <f>IF($A1648=1,IF(AND($Q1648=1,COUNTIFS(COA!$A:$A,$G1648,COA!$R:$R,1)=1),1,0),"")</f>
        <v/>
      </c>
      <c r="S1648" s="43">
        <f>IF($A1648=1,IF($R1648=1,N($M1648),0),"")</f>
        <v/>
      </c>
      <c r="T1648" s="43">
        <f>IF($A1648=1,IF($R1648=1,N($N1648),0),"")</f>
        <v/>
      </c>
      <c r="U1648" s="32">
        <f>IF($A1648=1,YEAR($D1648)*100+MONTH($D1648),"")</f>
        <v/>
      </c>
      <c r="V1648" s="32">
        <f>IF($A1648=1,IF(COUNTIF(COA!$A:$A,$G1648)=0,0,INDEX(COA!$H:$H,MATCH($G1648,COA!$A:$A,0))),"")</f>
        <v/>
      </c>
      <c r="W1648" s="32">
        <f>IF($A1648=1,IF(Supplier_Payments!$R14="","",Supplier_Payments!$R14),"")</f>
        <v/>
      </c>
      <c r="X1648" s="32">
        <f>IF($A1648=1,IF($R1648=1,"",IF($O1648=ST_POST,IF($P1648&lt;&gt;"",$P1648,"حساب غير صالح أو غير نشط"),IF($O1648=ST_REV,"معكوس: لا أثر على الدفاتر",IF($O1648=ST_CANC,"ملغى",IF($O1648=ST_APPR,"معتمد ولم يُرحَّل","مسودة"))))),"")</f>
        <v/>
      </c>
      <c r="Y1648" s="32">
        <f>IF($A1648=1,IF(AND($R1648=1,OR(LG_Acct="",$G1648=LG_Acct),OR(LG_Party="",$K1648=LG_Party),OR(LG_Loc="ALL",$I1648=LG_Loc),OR(LG_CC="ALL",$J1648=LG_CC),$D1648&gt;=LG_From,$D1648&lt;=LG_To),$D1648+ROW()/1000000,""),"")</f>
        <v/>
      </c>
      <c r="Z1648" s="32">
        <f>IF($A1648=1,IF(Supplier_Payments!$J14="","",Supplier_Payments!$J14),"")</f>
        <v/>
      </c>
      <c r="AA1648" s="32">
        <f>IF($A1648=1,IF(Supplier_Payments!$K14="","",Supplier_Payments!$K14),"")</f>
        <v/>
      </c>
      <c r="AB1648" s="32">
        <f>IF($A1648=1,IF(Supplier_Payments!$L14="","",Supplier_Payments!$L14),"")</f>
        <v/>
      </c>
      <c r="AC1648" s="32">
        <f>IF($A1648=1,IF(Supplier_Payments!$M14="","",Supplier_Payments!$M14),"")</f>
        <v/>
      </c>
      <c r="AD1648" s="32">
        <f>IF($A1648=1,IF(Supplier_Payments!$N14="","",Supplier_Payments!$N14),"")</f>
        <v/>
      </c>
      <c r="AE1648" s="32">
        <f>IF($A1648=1,0,"")</f>
        <v/>
      </c>
      <c r="AF1648" s="32" t="inlineStr"/>
    </row>
    <row r="1649">
      <c r="A1649" s="32">
        <f>IF(AND(Supplier_Payments!$S15=1,N(Supplier_Payments!$E15)&gt;0),1,0)</f>
        <v/>
      </c>
      <c r="B1649" s="32">
        <f>IF($A1649=1,$E1649&amp;"/1","")</f>
        <v/>
      </c>
      <c r="C1649" s="32">
        <f>IF($A1649=1,"J-"&amp;Supplier_Payments!$A15,"")</f>
        <v/>
      </c>
      <c r="D1649" s="33">
        <f>IF($A1649=1,Supplier_Payments!$B15,"")</f>
        <v/>
      </c>
      <c r="E1649" s="32">
        <f>IF($A1649=1,IF(Supplier_Payments!$A15="","",Supplier_Payments!$A15),"")</f>
        <v/>
      </c>
      <c r="F1649" s="32">
        <f>IF($A1649=1,"SPAY","")</f>
        <v/>
      </c>
      <c r="G1649" s="32">
        <f>IF($A1649=1,ACC_SUPPLIERS,"")</f>
        <v/>
      </c>
      <c r="H1649" s="32">
        <f>IF($A1649=1,IF(COUNTIF(COA!$A:$A,$G1649)=0,"حساب غير معرف",INDEX(COA!$B:$B,MATCH($G1649,COA!$A:$A,0))),"")</f>
        <v/>
      </c>
      <c r="I1649" s="32">
        <f>IF($A1649=1,IF(Supplier_Payments!$Q15="","",Supplier_Payments!$Q15),"")</f>
        <v/>
      </c>
      <c r="J1649" s="32">
        <f>IF($A1649=1,"CC00","")</f>
        <v/>
      </c>
      <c r="K1649" s="32">
        <f>IF($A1649=1,IF(Supplier_Payments!$C15="","",Supplier_Payments!$C15),"")</f>
        <v/>
      </c>
      <c r="L1649" s="32">
        <f>IF($A1649=1,IF(Supplier_Payments!$H15="","دفعة مورد "&amp;Supplier_Payments!$C15,Supplier_Payments!$H15),"")</f>
        <v/>
      </c>
      <c r="M1649" s="43">
        <f>IF($A1649=1,Supplier_Payments!$E15,"")</f>
        <v/>
      </c>
      <c r="N1649" s="43">
        <f>IF($A1649=1,0,"")</f>
        <v/>
      </c>
      <c r="O1649" s="32">
        <f>IF($A1649=1,Supplier_Payments!$I15,"")</f>
        <v/>
      </c>
      <c r="P1649" s="32">
        <f>IF($A1649=1,IF(Supplier_Payments!$T15="","",Supplier_Payments!$T15),"")</f>
        <v/>
      </c>
      <c r="Q1649" s="32">
        <f>IF($A1649=1,Supplier_Payments!$V15,"")</f>
        <v/>
      </c>
      <c r="R1649" s="32">
        <f>IF($A1649=1,IF(AND($Q1649=1,COUNTIFS(COA!$A:$A,$G1649,COA!$R:$R,1)=1),1,0),"")</f>
        <v/>
      </c>
      <c r="S1649" s="43">
        <f>IF($A1649=1,IF($R1649=1,N($M1649),0),"")</f>
        <v/>
      </c>
      <c r="T1649" s="43">
        <f>IF($A1649=1,IF($R1649=1,N($N1649),0),"")</f>
        <v/>
      </c>
      <c r="U1649" s="32">
        <f>IF($A1649=1,YEAR($D1649)*100+MONTH($D1649),"")</f>
        <v/>
      </c>
      <c r="V1649" s="32">
        <f>IF($A1649=1,IF(COUNTIF(COA!$A:$A,$G1649)=0,0,INDEX(COA!$H:$H,MATCH($G1649,COA!$A:$A,0))),"")</f>
        <v/>
      </c>
      <c r="W1649" s="32">
        <f>IF($A1649=1,"","")</f>
        <v/>
      </c>
      <c r="X1649" s="32">
        <f>IF($A1649=1,IF($R1649=1,"",IF($O1649=ST_POST,IF($P1649&lt;&gt;"",$P1649,"حساب غير صالح أو غير نشط"),IF($O1649=ST_REV,"معكوس: لا أثر على الدفاتر",IF($O1649=ST_CANC,"ملغى",IF($O1649=ST_APPR,"معتمد ولم يُرحَّل","مسودة"))))),"")</f>
        <v/>
      </c>
      <c r="Y1649" s="32">
        <f>IF($A1649=1,IF(AND($R1649=1,OR(LG_Acct="",$G1649=LG_Acct),OR(LG_Party="",$K1649=LG_Party),OR(LG_Loc="ALL",$I1649=LG_Loc),OR(LG_CC="ALL",$J1649=LG_CC),$D1649&gt;=LG_From,$D1649&lt;=LG_To),$D1649+ROW()/1000000,""),"")</f>
        <v/>
      </c>
      <c r="Z1649" s="32">
        <f>IF($A1649=1,IF(Supplier_Payments!$J15="","",Supplier_Payments!$J15),"")</f>
        <v/>
      </c>
      <c r="AA1649" s="32">
        <f>IF($A1649=1,IF(Supplier_Payments!$K15="","",Supplier_Payments!$K15),"")</f>
        <v/>
      </c>
      <c r="AB1649" s="32">
        <f>IF($A1649=1,IF(Supplier_Payments!$L15="","",Supplier_Payments!$L15),"")</f>
        <v/>
      </c>
      <c r="AC1649" s="32">
        <f>IF($A1649=1,IF(Supplier_Payments!$M15="","",Supplier_Payments!$M15),"")</f>
        <v/>
      </c>
      <c r="AD1649" s="32">
        <f>IF($A1649=1,IF(Supplier_Payments!$N15="","",Supplier_Payments!$N15),"")</f>
        <v/>
      </c>
      <c r="AE1649" s="32">
        <f>IF($A1649=1,0,"")</f>
        <v/>
      </c>
      <c r="AF1649" s="32" t="inlineStr"/>
    </row>
    <row r="1650">
      <c r="A1650" s="32">
        <f>IF(AND(Supplier_Payments!$S15=1,N(Supplier_Payments!$E15)&gt;0),1,0)</f>
        <v/>
      </c>
      <c r="B1650" s="32">
        <f>IF($A1650=1,$E1650&amp;"/2","")</f>
        <v/>
      </c>
      <c r="C1650" s="32">
        <f>IF($A1650=1,"J-"&amp;Supplier_Payments!$A15,"")</f>
        <v/>
      </c>
      <c r="D1650" s="33">
        <f>IF($A1650=1,Supplier_Payments!$B15,"")</f>
        <v/>
      </c>
      <c r="E1650" s="32">
        <f>IF($A1650=1,IF(Supplier_Payments!$A15="","",Supplier_Payments!$A15),"")</f>
        <v/>
      </c>
      <c r="F1650" s="32">
        <f>IF($A1650=1,"SPAY","")</f>
        <v/>
      </c>
      <c r="G1650" s="32">
        <f>IF($A1650=1,IF(Supplier_Payments!$P15="","",Supplier_Payments!$P15),"")</f>
        <v/>
      </c>
      <c r="H1650" s="32">
        <f>IF($A1650=1,IF(COUNTIF(COA!$A:$A,$G1650)=0,"حساب غير معرف",INDEX(COA!$B:$B,MATCH($G1650,COA!$A:$A,0))),"")</f>
        <v/>
      </c>
      <c r="I1650" s="32">
        <f>IF($A1650=1,IF(Supplier_Payments!$Q15="","",Supplier_Payments!$Q15),"")</f>
        <v/>
      </c>
      <c r="J1650" s="32">
        <f>IF($A1650=1,"CC00","")</f>
        <v/>
      </c>
      <c r="K1650" s="32">
        <f>IF($A1650=1,"-","")</f>
        <v/>
      </c>
      <c r="L1650" s="32">
        <f>IF($A1650=1,IF(Supplier_Payments!$H15="","دفعة مورد "&amp;Supplier_Payments!$C15,Supplier_Payments!$H15),"")</f>
        <v/>
      </c>
      <c r="M1650" s="43">
        <f>IF($A1650=1,0,"")</f>
        <v/>
      </c>
      <c r="N1650" s="43">
        <f>IF($A1650=1,Supplier_Payments!$E15,"")</f>
        <v/>
      </c>
      <c r="O1650" s="32">
        <f>IF($A1650=1,Supplier_Payments!$I15,"")</f>
        <v/>
      </c>
      <c r="P1650" s="32">
        <f>IF($A1650=1,IF(Supplier_Payments!$T15="","",Supplier_Payments!$T15),"")</f>
        <v/>
      </c>
      <c r="Q1650" s="32">
        <f>IF($A1650=1,Supplier_Payments!$V15,"")</f>
        <v/>
      </c>
      <c r="R1650" s="32">
        <f>IF($A1650=1,IF(AND($Q1650=1,COUNTIFS(COA!$A:$A,$G1650,COA!$R:$R,1)=1),1,0),"")</f>
        <v/>
      </c>
      <c r="S1650" s="43">
        <f>IF($A1650=1,IF($R1650=1,N($M1650),0),"")</f>
        <v/>
      </c>
      <c r="T1650" s="43">
        <f>IF($A1650=1,IF($R1650=1,N($N1650),0),"")</f>
        <v/>
      </c>
      <c r="U1650" s="32">
        <f>IF($A1650=1,YEAR($D1650)*100+MONTH($D1650),"")</f>
        <v/>
      </c>
      <c r="V1650" s="32">
        <f>IF($A1650=1,IF(COUNTIF(COA!$A:$A,$G1650)=0,0,INDEX(COA!$H:$H,MATCH($G1650,COA!$A:$A,0))),"")</f>
        <v/>
      </c>
      <c r="W1650" s="32">
        <f>IF($A1650=1,IF(Supplier_Payments!$R15="","",Supplier_Payments!$R15),"")</f>
        <v/>
      </c>
      <c r="X1650" s="32">
        <f>IF($A1650=1,IF($R1650=1,"",IF($O1650=ST_POST,IF($P1650&lt;&gt;"",$P1650,"حساب غير صالح أو غير نشط"),IF($O1650=ST_REV,"معكوس: لا أثر على الدفاتر",IF($O1650=ST_CANC,"ملغى",IF($O1650=ST_APPR,"معتمد ولم يُرحَّل","مسودة"))))),"")</f>
        <v/>
      </c>
      <c r="Y1650" s="32">
        <f>IF($A1650=1,IF(AND($R1650=1,OR(LG_Acct="",$G1650=LG_Acct),OR(LG_Party="",$K1650=LG_Party),OR(LG_Loc="ALL",$I1650=LG_Loc),OR(LG_CC="ALL",$J1650=LG_CC),$D1650&gt;=LG_From,$D1650&lt;=LG_To),$D1650+ROW()/1000000,""),"")</f>
        <v/>
      </c>
      <c r="Z1650" s="32">
        <f>IF($A1650=1,IF(Supplier_Payments!$J15="","",Supplier_Payments!$J15),"")</f>
        <v/>
      </c>
      <c r="AA1650" s="32">
        <f>IF($A1650=1,IF(Supplier_Payments!$K15="","",Supplier_Payments!$K15),"")</f>
        <v/>
      </c>
      <c r="AB1650" s="32">
        <f>IF($A1650=1,IF(Supplier_Payments!$L15="","",Supplier_Payments!$L15),"")</f>
        <v/>
      </c>
      <c r="AC1650" s="32">
        <f>IF($A1650=1,IF(Supplier_Payments!$M15="","",Supplier_Payments!$M15),"")</f>
        <v/>
      </c>
      <c r="AD1650" s="32">
        <f>IF($A1650=1,IF(Supplier_Payments!$N15="","",Supplier_Payments!$N15),"")</f>
        <v/>
      </c>
      <c r="AE1650" s="32">
        <f>IF($A1650=1,0,"")</f>
        <v/>
      </c>
      <c r="AF1650" s="32" t="inlineStr"/>
    </row>
    <row r="1651">
      <c r="A1651" s="32">
        <f>IF(AND(Supplier_Payments!$S16=1,N(Supplier_Payments!$E16)&gt;0),1,0)</f>
        <v/>
      </c>
      <c r="B1651" s="32">
        <f>IF($A1651=1,$E1651&amp;"/1","")</f>
        <v/>
      </c>
      <c r="C1651" s="32">
        <f>IF($A1651=1,"J-"&amp;Supplier_Payments!$A16,"")</f>
        <v/>
      </c>
      <c r="D1651" s="33">
        <f>IF($A1651=1,Supplier_Payments!$B16,"")</f>
        <v/>
      </c>
      <c r="E1651" s="32">
        <f>IF($A1651=1,IF(Supplier_Payments!$A16="","",Supplier_Payments!$A16),"")</f>
        <v/>
      </c>
      <c r="F1651" s="32">
        <f>IF($A1651=1,"SPAY","")</f>
        <v/>
      </c>
      <c r="G1651" s="32">
        <f>IF($A1651=1,ACC_SUPPLIERS,"")</f>
        <v/>
      </c>
      <c r="H1651" s="32">
        <f>IF($A1651=1,IF(COUNTIF(COA!$A:$A,$G1651)=0,"حساب غير معرف",INDEX(COA!$B:$B,MATCH($G1651,COA!$A:$A,0))),"")</f>
        <v/>
      </c>
      <c r="I1651" s="32">
        <f>IF($A1651=1,IF(Supplier_Payments!$Q16="","",Supplier_Payments!$Q16),"")</f>
        <v/>
      </c>
      <c r="J1651" s="32">
        <f>IF($A1651=1,"CC00","")</f>
        <v/>
      </c>
      <c r="K1651" s="32">
        <f>IF($A1651=1,IF(Supplier_Payments!$C16="","",Supplier_Payments!$C16),"")</f>
        <v/>
      </c>
      <c r="L1651" s="32">
        <f>IF($A1651=1,IF(Supplier_Payments!$H16="","دفعة مورد "&amp;Supplier_Payments!$C16,Supplier_Payments!$H16),"")</f>
        <v/>
      </c>
      <c r="M1651" s="43">
        <f>IF($A1651=1,Supplier_Payments!$E16,"")</f>
        <v/>
      </c>
      <c r="N1651" s="43">
        <f>IF($A1651=1,0,"")</f>
        <v/>
      </c>
      <c r="O1651" s="32">
        <f>IF($A1651=1,Supplier_Payments!$I16,"")</f>
        <v/>
      </c>
      <c r="P1651" s="32">
        <f>IF($A1651=1,IF(Supplier_Payments!$T16="","",Supplier_Payments!$T16),"")</f>
        <v/>
      </c>
      <c r="Q1651" s="32">
        <f>IF($A1651=1,Supplier_Payments!$V16,"")</f>
        <v/>
      </c>
      <c r="R1651" s="32">
        <f>IF($A1651=1,IF(AND($Q1651=1,COUNTIFS(COA!$A:$A,$G1651,COA!$R:$R,1)=1),1,0),"")</f>
        <v/>
      </c>
      <c r="S1651" s="43">
        <f>IF($A1651=1,IF($R1651=1,N($M1651),0),"")</f>
        <v/>
      </c>
      <c r="T1651" s="43">
        <f>IF($A1651=1,IF($R1651=1,N($N1651),0),"")</f>
        <v/>
      </c>
      <c r="U1651" s="32">
        <f>IF($A1651=1,YEAR($D1651)*100+MONTH($D1651),"")</f>
        <v/>
      </c>
      <c r="V1651" s="32">
        <f>IF($A1651=1,IF(COUNTIF(COA!$A:$A,$G1651)=0,0,INDEX(COA!$H:$H,MATCH($G1651,COA!$A:$A,0))),"")</f>
        <v/>
      </c>
      <c r="W1651" s="32">
        <f>IF($A1651=1,"","")</f>
        <v/>
      </c>
      <c r="X1651" s="32">
        <f>IF($A1651=1,IF($R1651=1,"",IF($O1651=ST_POST,IF($P1651&lt;&gt;"",$P1651,"حساب غير صالح أو غير نشط"),IF($O1651=ST_REV,"معكوس: لا أثر على الدفاتر",IF($O1651=ST_CANC,"ملغى",IF($O1651=ST_APPR,"معتمد ولم يُرحَّل","مسودة"))))),"")</f>
        <v/>
      </c>
      <c r="Y1651" s="32">
        <f>IF($A1651=1,IF(AND($R1651=1,OR(LG_Acct="",$G1651=LG_Acct),OR(LG_Party="",$K1651=LG_Party),OR(LG_Loc="ALL",$I1651=LG_Loc),OR(LG_CC="ALL",$J1651=LG_CC),$D1651&gt;=LG_From,$D1651&lt;=LG_To),$D1651+ROW()/1000000,""),"")</f>
        <v/>
      </c>
      <c r="Z1651" s="32">
        <f>IF($A1651=1,IF(Supplier_Payments!$J16="","",Supplier_Payments!$J16),"")</f>
        <v/>
      </c>
      <c r="AA1651" s="32">
        <f>IF($A1651=1,IF(Supplier_Payments!$K16="","",Supplier_Payments!$K16),"")</f>
        <v/>
      </c>
      <c r="AB1651" s="32">
        <f>IF($A1651=1,IF(Supplier_Payments!$L16="","",Supplier_Payments!$L16),"")</f>
        <v/>
      </c>
      <c r="AC1651" s="32">
        <f>IF($A1651=1,IF(Supplier_Payments!$M16="","",Supplier_Payments!$M16),"")</f>
        <v/>
      </c>
      <c r="AD1651" s="32">
        <f>IF($A1651=1,IF(Supplier_Payments!$N16="","",Supplier_Payments!$N16),"")</f>
        <v/>
      </c>
      <c r="AE1651" s="32">
        <f>IF($A1651=1,0,"")</f>
        <v/>
      </c>
      <c r="AF1651" s="32" t="inlineStr"/>
    </row>
    <row r="1652">
      <c r="A1652" s="32">
        <f>IF(AND(Supplier_Payments!$S16=1,N(Supplier_Payments!$E16)&gt;0),1,0)</f>
        <v/>
      </c>
      <c r="B1652" s="32">
        <f>IF($A1652=1,$E1652&amp;"/2","")</f>
        <v/>
      </c>
      <c r="C1652" s="32">
        <f>IF($A1652=1,"J-"&amp;Supplier_Payments!$A16,"")</f>
        <v/>
      </c>
      <c r="D1652" s="33">
        <f>IF($A1652=1,Supplier_Payments!$B16,"")</f>
        <v/>
      </c>
      <c r="E1652" s="32">
        <f>IF($A1652=1,IF(Supplier_Payments!$A16="","",Supplier_Payments!$A16),"")</f>
        <v/>
      </c>
      <c r="F1652" s="32">
        <f>IF($A1652=1,"SPAY","")</f>
        <v/>
      </c>
      <c r="G1652" s="32">
        <f>IF($A1652=1,IF(Supplier_Payments!$P16="","",Supplier_Payments!$P16),"")</f>
        <v/>
      </c>
      <c r="H1652" s="32">
        <f>IF($A1652=1,IF(COUNTIF(COA!$A:$A,$G1652)=0,"حساب غير معرف",INDEX(COA!$B:$B,MATCH($G1652,COA!$A:$A,0))),"")</f>
        <v/>
      </c>
      <c r="I1652" s="32">
        <f>IF($A1652=1,IF(Supplier_Payments!$Q16="","",Supplier_Payments!$Q16),"")</f>
        <v/>
      </c>
      <c r="J1652" s="32">
        <f>IF($A1652=1,"CC00","")</f>
        <v/>
      </c>
      <c r="K1652" s="32">
        <f>IF($A1652=1,"-","")</f>
        <v/>
      </c>
      <c r="L1652" s="32">
        <f>IF($A1652=1,IF(Supplier_Payments!$H16="","دفعة مورد "&amp;Supplier_Payments!$C16,Supplier_Payments!$H16),"")</f>
        <v/>
      </c>
      <c r="M1652" s="43">
        <f>IF($A1652=1,0,"")</f>
        <v/>
      </c>
      <c r="N1652" s="43">
        <f>IF($A1652=1,Supplier_Payments!$E16,"")</f>
        <v/>
      </c>
      <c r="O1652" s="32">
        <f>IF($A1652=1,Supplier_Payments!$I16,"")</f>
        <v/>
      </c>
      <c r="P1652" s="32">
        <f>IF($A1652=1,IF(Supplier_Payments!$T16="","",Supplier_Payments!$T16),"")</f>
        <v/>
      </c>
      <c r="Q1652" s="32">
        <f>IF($A1652=1,Supplier_Payments!$V16,"")</f>
        <v/>
      </c>
      <c r="R1652" s="32">
        <f>IF($A1652=1,IF(AND($Q1652=1,COUNTIFS(COA!$A:$A,$G1652,COA!$R:$R,1)=1),1,0),"")</f>
        <v/>
      </c>
      <c r="S1652" s="43">
        <f>IF($A1652=1,IF($R1652=1,N($M1652),0),"")</f>
        <v/>
      </c>
      <c r="T1652" s="43">
        <f>IF($A1652=1,IF($R1652=1,N($N1652),0),"")</f>
        <v/>
      </c>
      <c r="U1652" s="32">
        <f>IF($A1652=1,YEAR($D1652)*100+MONTH($D1652),"")</f>
        <v/>
      </c>
      <c r="V1652" s="32">
        <f>IF($A1652=1,IF(COUNTIF(COA!$A:$A,$G1652)=0,0,INDEX(COA!$H:$H,MATCH($G1652,COA!$A:$A,0))),"")</f>
        <v/>
      </c>
      <c r="W1652" s="32">
        <f>IF($A1652=1,IF(Supplier_Payments!$R16="","",Supplier_Payments!$R16),"")</f>
        <v/>
      </c>
      <c r="X1652" s="32">
        <f>IF($A1652=1,IF($R1652=1,"",IF($O1652=ST_POST,IF($P1652&lt;&gt;"",$P1652,"حساب غير صالح أو غير نشط"),IF($O1652=ST_REV,"معكوس: لا أثر على الدفاتر",IF($O1652=ST_CANC,"ملغى",IF($O1652=ST_APPR,"معتمد ولم يُرحَّل","مسودة"))))),"")</f>
        <v/>
      </c>
      <c r="Y1652" s="32">
        <f>IF($A1652=1,IF(AND($R1652=1,OR(LG_Acct="",$G1652=LG_Acct),OR(LG_Party="",$K1652=LG_Party),OR(LG_Loc="ALL",$I1652=LG_Loc),OR(LG_CC="ALL",$J1652=LG_CC),$D1652&gt;=LG_From,$D1652&lt;=LG_To),$D1652+ROW()/1000000,""),"")</f>
        <v/>
      </c>
      <c r="Z1652" s="32">
        <f>IF($A1652=1,IF(Supplier_Payments!$J16="","",Supplier_Payments!$J16),"")</f>
        <v/>
      </c>
      <c r="AA1652" s="32">
        <f>IF($A1652=1,IF(Supplier_Payments!$K16="","",Supplier_Payments!$K16),"")</f>
        <v/>
      </c>
      <c r="AB1652" s="32">
        <f>IF($A1652=1,IF(Supplier_Payments!$L16="","",Supplier_Payments!$L16),"")</f>
        <v/>
      </c>
      <c r="AC1652" s="32">
        <f>IF($A1652=1,IF(Supplier_Payments!$M16="","",Supplier_Payments!$M16),"")</f>
        <v/>
      </c>
      <c r="AD1652" s="32">
        <f>IF($A1652=1,IF(Supplier_Payments!$N16="","",Supplier_Payments!$N16),"")</f>
        <v/>
      </c>
      <c r="AE1652" s="32">
        <f>IF($A1652=1,0,"")</f>
        <v/>
      </c>
      <c r="AF1652" s="32" t="inlineStr"/>
    </row>
    <row r="1653">
      <c r="A1653" s="32">
        <f>IF(AND(Supplier_Payments!$S17=1,N(Supplier_Payments!$E17)&gt;0),1,0)</f>
        <v/>
      </c>
      <c r="B1653" s="32">
        <f>IF($A1653=1,$E1653&amp;"/1","")</f>
        <v/>
      </c>
      <c r="C1653" s="32">
        <f>IF($A1653=1,"J-"&amp;Supplier_Payments!$A17,"")</f>
        <v/>
      </c>
      <c r="D1653" s="33">
        <f>IF($A1653=1,Supplier_Payments!$B17,"")</f>
        <v/>
      </c>
      <c r="E1653" s="32">
        <f>IF($A1653=1,IF(Supplier_Payments!$A17="","",Supplier_Payments!$A17),"")</f>
        <v/>
      </c>
      <c r="F1653" s="32">
        <f>IF($A1653=1,"SPAY","")</f>
        <v/>
      </c>
      <c r="G1653" s="32">
        <f>IF($A1653=1,ACC_SUPPLIERS,"")</f>
        <v/>
      </c>
      <c r="H1653" s="32">
        <f>IF($A1653=1,IF(COUNTIF(COA!$A:$A,$G1653)=0,"حساب غير معرف",INDEX(COA!$B:$B,MATCH($G1653,COA!$A:$A,0))),"")</f>
        <v/>
      </c>
      <c r="I1653" s="32">
        <f>IF($A1653=1,IF(Supplier_Payments!$Q17="","",Supplier_Payments!$Q17),"")</f>
        <v/>
      </c>
      <c r="J1653" s="32">
        <f>IF($A1653=1,"CC00","")</f>
        <v/>
      </c>
      <c r="K1653" s="32">
        <f>IF($A1653=1,IF(Supplier_Payments!$C17="","",Supplier_Payments!$C17),"")</f>
        <v/>
      </c>
      <c r="L1653" s="32">
        <f>IF($A1653=1,IF(Supplier_Payments!$H17="","دفعة مورد "&amp;Supplier_Payments!$C17,Supplier_Payments!$H17),"")</f>
        <v/>
      </c>
      <c r="M1653" s="43">
        <f>IF($A1653=1,Supplier_Payments!$E17,"")</f>
        <v/>
      </c>
      <c r="N1653" s="43">
        <f>IF($A1653=1,0,"")</f>
        <v/>
      </c>
      <c r="O1653" s="32">
        <f>IF($A1653=1,Supplier_Payments!$I17,"")</f>
        <v/>
      </c>
      <c r="P1653" s="32">
        <f>IF($A1653=1,IF(Supplier_Payments!$T17="","",Supplier_Payments!$T17),"")</f>
        <v/>
      </c>
      <c r="Q1653" s="32">
        <f>IF($A1653=1,Supplier_Payments!$V17,"")</f>
        <v/>
      </c>
      <c r="R1653" s="32">
        <f>IF($A1653=1,IF(AND($Q1653=1,COUNTIFS(COA!$A:$A,$G1653,COA!$R:$R,1)=1),1,0),"")</f>
        <v/>
      </c>
      <c r="S1653" s="43">
        <f>IF($A1653=1,IF($R1653=1,N($M1653),0),"")</f>
        <v/>
      </c>
      <c r="T1653" s="43">
        <f>IF($A1653=1,IF($R1653=1,N($N1653),0),"")</f>
        <v/>
      </c>
      <c r="U1653" s="32">
        <f>IF($A1653=1,YEAR($D1653)*100+MONTH($D1653),"")</f>
        <v/>
      </c>
      <c r="V1653" s="32">
        <f>IF($A1653=1,IF(COUNTIF(COA!$A:$A,$G1653)=0,0,INDEX(COA!$H:$H,MATCH($G1653,COA!$A:$A,0))),"")</f>
        <v/>
      </c>
      <c r="W1653" s="32">
        <f>IF($A1653=1,"","")</f>
        <v/>
      </c>
      <c r="X1653" s="32">
        <f>IF($A1653=1,IF($R1653=1,"",IF($O1653=ST_POST,IF($P1653&lt;&gt;"",$P1653,"حساب غير صالح أو غير نشط"),IF($O1653=ST_REV,"معكوس: لا أثر على الدفاتر",IF($O1653=ST_CANC,"ملغى",IF($O1653=ST_APPR,"معتمد ولم يُرحَّل","مسودة"))))),"")</f>
        <v/>
      </c>
      <c r="Y1653" s="32">
        <f>IF($A1653=1,IF(AND($R1653=1,OR(LG_Acct="",$G1653=LG_Acct),OR(LG_Party="",$K1653=LG_Party),OR(LG_Loc="ALL",$I1653=LG_Loc),OR(LG_CC="ALL",$J1653=LG_CC),$D1653&gt;=LG_From,$D1653&lt;=LG_To),$D1653+ROW()/1000000,""),"")</f>
        <v/>
      </c>
      <c r="Z1653" s="32">
        <f>IF($A1653=1,IF(Supplier_Payments!$J17="","",Supplier_Payments!$J17),"")</f>
        <v/>
      </c>
      <c r="AA1653" s="32">
        <f>IF($A1653=1,IF(Supplier_Payments!$K17="","",Supplier_Payments!$K17),"")</f>
        <v/>
      </c>
      <c r="AB1653" s="32">
        <f>IF($A1653=1,IF(Supplier_Payments!$L17="","",Supplier_Payments!$L17),"")</f>
        <v/>
      </c>
      <c r="AC1653" s="32">
        <f>IF($A1653=1,IF(Supplier_Payments!$M17="","",Supplier_Payments!$M17),"")</f>
        <v/>
      </c>
      <c r="AD1653" s="32">
        <f>IF($A1653=1,IF(Supplier_Payments!$N17="","",Supplier_Payments!$N17),"")</f>
        <v/>
      </c>
      <c r="AE1653" s="32">
        <f>IF($A1653=1,0,"")</f>
        <v/>
      </c>
      <c r="AF1653" s="32" t="inlineStr"/>
    </row>
    <row r="1654">
      <c r="A1654" s="32">
        <f>IF(AND(Supplier_Payments!$S17=1,N(Supplier_Payments!$E17)&gt;0),1,0)</f>
        <v/>
      </c>
      <c r="B1654" s="32">
        <f>IF($A1654=1,$E1654&amp;"/2","")</f>
        <v/>
      </c>
      <c r="C1654" s="32">
        <f>IF($A1654=1,"J-"&amp;Supplier_Payments!$A17,"")</f>
        <v/>
      </c>
      <c r="D1654" s="33">
        <f>IF($A1654=1,Supplier_Payments!$B17,"")</f>
        <v/>
      </c>
      <c r="E1654" s="32">
        <f>IF($A1654=1,IF(Supplier_Payments!$A17="","",Supplier_Payments!$A17),"")</f>
        <v/>
      </c>
      <c r="F1654" s="32">
        <f>IF($A1654=1,"SPAY","")</f>
        <v/>
      </c>
      <c r="G1654" s="32">
        <f>IF($A1654=1,IF(Supplier_Payments!$P17="","",Supplier_Payments!$P17),"")</f>
        <v/>
      </c>
      <c r="H1654" s="32">
        <f>IF($A1654=1,IF(COUNTIF(COA!$A:$A,$G1654)=0,"حساب غير معرف",INDEX(COA!$B:$B,MATCH($G1654,COA!$A:$A,0))),"")</f>
        <v/>
      </c>
      <c r="I1654" s="32">
        <f>IF($A1654=1,IF(Supplier_Payments!$Q17="","",Supplier_Payments!$Q17),"")</f>
        <v/>
      </c>
      <c r="J1654" s="32">
        <f>IF($A1654=1,"CC00","")</f>
        <v/>
      </c>
      <c r="K1654" s="32">
        <f>IF($A1654=1,"-","")</f>
        <v/>
      </c>
      <c r="L1654" s="32">
        <f>IF($A1654=1,IF(Supplier_Payments!$H17="","دفعة مورد "&amp;Supplier_Payments!$C17,Supplier_Payments!$H17),"")</f>
        <v/>
      </c>
      <c r="M1654" s="43">
        <f>IF($A1654=1,0,"")</f>
        <v/>
      </c>
      <c r="N1654" s="43">
        <f>IF($A1654=1,Supplier_Payments!$E17,"")</f>
        <v/>
      </c>
      <c r="O1654" s="32">
        <f>IF($A1654=1,Supplier_Payments!$I17,"")</f>
        <v/>
      </c>
      <c r="P1654" s="32">
        <f>IF($A1654=1,IF(Supplier_Payments!$T17="","",Supplier_Payments!$T17),"")</f>
        <v/>
      </c>
      <c r="Q1654" s="32">
        <f>IF($A1654=1,Supplier_Payments!$V17,"")</f>
        <v/>
      </c>
      <c r="R1654" s="32">
        <f>IF($A1654=1,IF(AND($Q1654=1,COUNTIFS(COA!$A:$A,$G1654,COA!$R:$R,1)=1),1,0),"")</f>
        <v/>
      </c>
      <c r="S1654" s="43">
        <f>IF($A1654=1,IF($R1654=1,N($M1654),0),"")</f>
        <v/>
      </c>
      <c r="T1654" s="43">
        <f>IF($A1654=1,IF($R1654=1,N($N1654),0),"")</f>
        <v/>
      </c>
      <c r="U1654" s="32">
        <f>IF($A1654=1,YEAR($D1654)*100+MONTH($D1654),"")</f>
        <v/>
      </c>
      <c r="V1654" s="32">
        <f>IF($A1654=1,IF(COUNTIF(COA!$A:$A,$G1654)=0,0,INDEX(COA!$H:$H,MATCH($G1654,COA!$A:$A,0))),"")</f>
        <v/>
      </c>
      <c r="W1654" s="32">
        <f>IF($A1654=1,IF(Supplier_Payments!$R17="","",Supplier_Payments!$R17),"")</f>
        <v/>
      </c>
      <c r="X1654" s="32">
        <f>IF($A1654=1,IF($R1654=1,"",IF($O1654=ST_POST,IF($P1654&lt;&gt;"",$P1654,"حساب غير صالح أو غير نشط"),IF($O1654=ST_REV,"معكوس: لا أثر على الدفاتر",IF($O1654=ST_CANC,"ملغى",IF($O1654=ST_APPR,"معتمد ولم يُرحَّل","مسودة"))))),"")</f>
        <v/>
      </c>
      <c r="Y1654" s="32">
        <f>IF($A1654=1,IF(AND($R1654=1,OR(LG_Acct="",$G1654=LG_Acct),OR(LG_Party="",$K1654=LG_Party),OR(LG_Loc="ALL",$I1654=LG_Loc),OR(LG_CC="ALL",$J1654=LG_CC),$D1654&gt;=LG_From,$D1654&lt;=LG_To),$D1654+ROW()/1000000,""),"")</f>
        <v/>
      </c>
      <c r="Z1654" s="32">
        <f>IF($A1654=1,IF(Supplier_Payments!$J17="","",Supplier_Payments!$J17),"")</f>
        <v/>
      </c>
      <c r="AA1654" s="32">
        <f>IF($A1654=1,IF(Supplier_Payments!$K17="","",Supplier_Payments!$K17),"")</f>
        <v/>
      </c>
      <c r="AB1654" s="32">
        <f>IF($A1654=1,IF(Supplier_Payments!$L17="","",Supplier_Payments!$L17),"")</f>
        <v/>
      </c>
      <c r="AC1654" s="32">
        <f>IF($A1654=1,IF(Supplier_Payments!$M17="","",Supplier_Payments!$M17),"")</f>
        <v/>
      </c>
      <c r="AD1654" s="32">
        <f>IF($A1654=1,IF(Supplier_Payments!$N17="","",Supplier_Payments!$N17),"")</f>
        <v/>
      </c>
      <c r="AE1654" s="32">
        <f>IF($A1654=1,0,"")</f>
        <v/>
      </c>
      <c r="AF1654" s="32" t="inlineStr"/>
    </row>
    <row r="1655">
      <c r="A1655" s="32">
        <f>IF(AND(Supplier_Payments!$S18=1,N(Supplier_Payments!$E18)&gt;0),1,0)</f>
        <v/>
      </c>
      <c r="B1655" s="32">
        <f>IF($A1655=1,$E1655&amp;"/1","")</f>
        <v/>
      </c>
      <c r="C1655" s="32">
        <f>IF($A1655=1,"J-"&amp;Supplier_Payments!$A18,"")</f>
        <v/>
      </c>
      <c r="D1655" s="33">
        <f>IF($A1655=1,Supplier_Payments!$B18,"")</f>
        <v/>
      </c>
      <c r="E1655" s="32">
        <f>IF($A1655=1,IF(Supplier_Payments!$A18="","",Supplier_Payments!$A18),"")</f>
        <v/>
      </c>
      <c r="F1655" s="32">
        <f>IF($A1655=1,"SPAY","")</f>
        <v/>
      </c>
      <c r="G1655" s="32">
        <f>IF($A1655=1,ACC_SUPPLIERS,"")</f>
        <v/>
      </c>
      <c r="H1655" s="32">
        <f>IF($A1655=1,IF(COUNTIF(COA!$A:$A,$G1655)=0,"حساب غير معرف",INDEX(COA!$B:$B,MATCH($G1655,COA!$A:$A,0))),"")</f>
        <v/>
      </c>
      <c r="I1655" s="32">
        <f>IF($A1655=1,IF(Supplier_Payments!$Q18="","",Supplier_Payments!$Q18),"")</f>
        <v/>
      </c>
      <c r="J1655" s="32">
        <f>IF($A1655=1,"CC00","")</f>
        <v/>
      </c>
      <c r="K1655" s="32">
        <f>IF($A1655=1,IF(Supplier_Payments!$C18="","",Supplier_Payments!$C18),"")</f>
        <v/>
      </c>
      <c r="L1655" s="32">
        <f>IF($A1655=1,IF(Supplier_Payments!$H18="","دفعة مورد "&amp;Supplier_Payments!$C18,Supplier_Payments!$H18),"")</f>
        <v/>
      </c>
      <c r="M1655" s="43">
        <f>IF($A1655=1,Supplier_Payments!$E18,"")</f>
        <v/>
      </c>
      <c r="N1655" s="43">
        <f>IF($A1655=1,0,"")</f>
        <v/>
      </c>
      <c r="O1655" s="32">
        <f>IF($A1655=1,Supplier_Payments!$I18,"")</f>
        <v/>
      </c>
      <c r="P1655" s="32">
        <f>IF($A1655=1,IF(Supplier_Payments!$T18="","",Supplier_Payments!$T18),"")</f>
        <v/>
      </c>
      <c r="Q1655" s="32">
        <f>IF($A1655=1,Supplier_Payments!$V18,"")</f>
        <v/>
      </c>
      <c r="R1655" s="32">
        <f>IF($A1655=1,IF(AND($Q1655=1,COUNTIFS(COA!$A:$A,$G1655,COA!$R:$R,1)=1),1,0),"")</f>
        <v/>
      </c>
      <c r="S1655" s="43">
        <f>IF($A1655=1,IF($R1655=1,N($M1655),0),"")</f>
        <v/>
      </c>
      <c r="T1655" s="43">
        <f>IF($A1655=1,IF($R1655=1,N($N1655),0),"")</f>
        <v/>
      </c>
      <c r="U1655" s="32">
        <f>IF($A1655=1,YEAR($D1655)*100+MONTH($D1655),"")</f>
        <v/>
      </c>
      <c r="V1655" s="32">
        <f>IF($A1655=1,IF(COUNTIF(COA!$A:$A,$G1655)=0,0,INDEX(COA!$H:$H,MATCH($G1655,COA!$A:$A,0))),"")</f>
        <v/>
      </c>
      <c r="W1655" s="32">
        <f>IF($A1655=1,"","")</f>
        <v/>
      </c>
      <c r="X1655" s="32">
        <f>IF($A1655=1,IF($R1655=1,"",IF($O1655=ST_POST,IF($P1655&lt;&gt;"",$P1655,"حساب غير صالح أو غير نشط"),IF($O1655=ST_REV,"معكوس: لا أثر على الدفاتر",IF($O1655=ST_CANC,"ملغى",IF($O1655=ST_APPR,"معتمد ولم يُرحَّل","مسودة"))))),"")</f>
        <v/>
      </c>
      <c r="Y1655" s="32">
        <f>IF($A1655=1,IF(AND($R1655=1,OR(LG_Acct="",$G1655=LG_Acct),OR(LG_Party="",$K1655=LG_Party),OR(LG_Loc="ALL",$I1655=LG_Loc),OR(LG_CC="ALL",$J1655=LG_CC),$D1655&gt;=LG_From,$D1655&lt;=LG_To),$D1655+ROW()/1000000,""),"")</f>
        <v/>
      </c>
      <c r="Z1655" s="32">
        <f>IF($A1655=1,IF(Supplier_Payments!$J18="","",Supplier_Payments!$J18),"")</f>
        <v/>
      </c>
      <c r="AA1655" s="32">
        <f>IF($A1655=1,IF(Supplier_Payments!$K18="","",Supplier_Payments!$K18),"")</f>
        <v/>
      </c>
      <c r="AB1655" s="32">
        <f>IF($A1655=1,IF(Supplier_Payments!$L18="","",Supplier_Payments!$L18),"")</f>
        <v/>
      </c>
      <c r="AC1655" s="32">
        <f>IF($A1655=1,IF(Supplier_Payments!$M18="","",Supplier_Payments!$M18),"")</f>
        <v/>
      </c>
      <c r="AD1655" s="32">
        <f>IF($A1655=1,IF(Supplier_Payments!$N18="","",Supplier_Payments!$N18),"")</f>
        <v/>
      </c>
      <c r="AE1655" s="32">
        <f>IF($A1655=1,0,"")</f>
        <v/>
      </c>
      <c r="AF1655" s="32" t="inlineStr"/>
    </row>
    <row r="1656">
      <c r="A1656" s="32">
        <f>IF(AND(Supplier_Payments!$S18=1,N(Supplier_Payments!$E18)&gt;0),1,0)</f>
        <v/>
      </c>
      <c r="B1656" s="32">
        <f>IF($A1656=1,$E1656&amp;"/2","")</f>
        <v/>
      </c>
      <c r="C1656" s="32">
        <f>IF($A1656=1,"J-"&amp;Supplier_Payments!$A18,"")</f>
        <v/>
      </c>
      <c r="D1656" s="33">
        <f>IF($A1656=1,Supplier_Payments!$B18,"")</f>
        <v/>
      </c>
      <c r="E1656" s="32">
        <f>IF($A1656=1,IF(Supplier_Payments!$A18="","",Supplier_Payments!$A18),"")</f>
        <v/>
      </c>
      <c r="F1656" s="32">
        <f>IF($A1656=1,"SPAY","")</f>
        <v/>
      </c>
      <c r="G1656" s="32">
        <f>IF($A1656=1,IF(Supplier_Payments!$P18="","",Supplier_Payments!$P18),"")</f>
        <v/>
      </c>
      <c r="H1656" s="32">
        <f>IF($A1656=1,IF(COUNTIF(COA!$A:$A,$G1656)=0,"حساب غير معرف",INDEX(COA!$B:$B,MATCH($G1656,COA!$A:$A,0))),"")</f>
        <v/>
      </c>
      <c r="I1656" s="32">
        <f>IF($A1656=1,IF(Supplier_Payments!$Q18="","",Supplier_Payments!$Q18),"")</f>
        <v/>
      </c>
      <c r="J1656" s="32">
        <f>IF($A1656=1,"CC00","")</f>
        <v/>
      </c>
      <c r="K1656" s="32">
        <f>IF($A1656=1,"-","")</f>
        <v/>
      </c>
      <c r="L1656" s="32">
        <f>IF($A1656=1,IF(Supplier_Payments!$H18="","دفعة مورد "&amp;Supplier_Payments!$C18,Supplier_Payments!$H18),"")</f>
        <v/>
      </c>
      <c r="M1656" s="43">
        <f>IF($A1656=1,0,"")</f>
        <v/>
      </c>
      <c r="N1656" s="43">
        <f>IF($A1656=1,Supplier_Payments!$E18,"")</f>
        <v/>
      </c>
      <c r="O1656" s="32">
        <f>IF($A1656=1,Supplier_Payments!$I18,"")</f>
        <v/>
      </c>
      <c r="P1656" s="32">
        <f>IF($A1656=1,IF(Supplier_Payments!$T18="","",Supplier_Payments!$T18),"")</f>
        <v/>
      </c>
      <c r="Q1656" s="32">
        <f>IF($A1656=1,Supplier_Payments!$V18,"")</f>
        <v/>
      </c>
      <c r="R1656" s="32">
        <f>IF($A1656=1,IF(AND($Q1656=1,COUNTIFS(COA!$A:$A,$G1656,COA!$R:$R,1)=1),1,0),"")</f>
        <v/>
      </c>
      <c r="S1656" s="43">
        <f>IF($A1656=1,IF($R1656=1,N($M1656),0),"")</f>
        <v/>
      </c>
      <c r="T1656" s="43">
        <f>IF($A1656=1,IF($R1656=1,N($N1656),0),"")</f>
        <v/>
      </c>
      <c r="U1656" s="32">
        <f>IF($A1656=1,YEAR($D1656)*100+MONTH($D1656),"")</f>
        <v/>
      </c>
      <c r="V1656" s="32">
        <f>IF($A1656=1,IF(COUNTIF(COA!$A:$A,$G1656)=0,0,INDEX(COA!$H:$H,MATCH($G1656,COA!$A:$A,0))),"")</f>
        <v/>
      </c>
      <c r="W1656" s="32">
        <f>IF($A1656=1,IF(Supplier_Payments!$R18="","",Supplier_Payments!$R18),"")</f>
        <v/>
      </c>
      <c r="X1656" s="32">
        <f>IF($A1656=1,IF($R1656=1,"",IF($O1656=ST_POST,IF($P1656&lt;&gt;"",$P1656,"حساب غير صالح أو غير نشط"),IF($O1656=ST_REV,"معكوس: لا أثر على الدفاتر",IF($O1656=ST_CANC,"ملغى",IF($O1656=ST_APPR,"معتمد ولم يُرحَّل","مسودة"))))),"")</f>
        <v/>
      </c>
      <c r="Y1656" s="32">
        <f>IF($A1656=1,IF(AND($R1656=1,OR(LG_Acct="",$G1656=LG_Acct),OR(LG_Party="",$K1656=LG_Party),OR(LG_Loc="ALL",$I1656=LG_Loc),OR(LG_CC="ALL",$J1656=LG_CC),$D1656&gt;=LG_From,$D1656&lt;=LG_To),$D1656+ROW()/1000000,""),"")</f>
        <v/>
      </c>
      <c r="Z1656" s="32">
        <f>IF($A1656=1,IF(Supplier_Payments!$J18="","",Supplier_Payments!$J18),"")</f>
        <v/>
      </c>
      <c r="AA1656" s="32">
        <f>IF($A1656=1,IF(Supplier_Payments!$K18="","",Supplier_Payments!$K18),"")</f>
        <v/>
      </c>
      <c r="AB1656" s="32">
        <f>IF($A1656=1,IF(Supplier_Payments!$L18="","",Supplier_Payments!$L18),"")</f>
        <v/>
      </c>
      <c r="AC1656" s="32">
        <f>IF($A1656=1,IF(Supplier_Payments!$M18="","",Supplier_Payments!$M18),"")</f>
        <v/>
      </c>
      <c r="AD1656" s="32">
        <f>IF($A1656=1,IF(Supplier_Payments!$N18="","",Supplier_Payments!$N18),"")</f>
        <v/>
      </c>
      <c r="AE1656" s="32">
        <f>IF($A1656=1,0,"")</f>
        <v/>
      </c>
      <c r="AF1656" s="32" t="inlineStr"/>
    </row>
    <row r="1657">
      <c r="A1657" s="32">
        <f>IF(AND(Supplier_Payments!$S19=1,N(Supplier_Payments!$E19)&gt;0),1,0)</f>
        <v/>
      </c>
      <c r="B1657" s="32">
        <f>IF($A1657=1,$E1657&amp;"/1","")</f>
        <v/>
      </c>
      <c r="C1657" s="32">
        <f>IF($A1657=1,"J-"&amp;Supplier_Payments!$A19,"")</f>
        <v/>
      </c>
      <c r="D1657" s="33">
        <f>IF($A1657=1,Supplier_Payments!$B19,"")</f>
        <v/>
      </c>
      <c r="E1657" s="32">
        <f>IF($A1657=1,IF(Supplier_Payments!$A19="","",Supplier_Payments!$A19),"")</f>
        <v/>
      </c>
      <c r="F1657" s="32">
        <f>IF($A1657=1,"SPAY","")</f>
        <v/>
      </c>
      <c r="G1657" s="32">
        <f>IF($A1657=1,ACC_SUPPLIERS,"")</f>
        <v/>
      </c>
      <c r="H1657" s="32">
        <f>IF($A1657=1,IF(COUNTIF(COA!$A:$A,$G1657)=0,"حساب غير معرف",INDEX(COA!$B:$B,MATCH($G1657,COA!$A:$A,0))),"")</f>
        <v/>
      </c>
      <c r="I1657" s="32">
        <f>IF($A1657=1,IF(Supplier_Payments!$Q19="","",Supplier_Payments!$Q19),"")</f>
        <v/>
      </c>
      <c r="J1657" s="32">
        <f>IF($A1657=1,"CC00","")</f>
        <v/>
      </c>
      <c r="K1657" s="32">
        <f>IF($A1657=1,IF(Supplier_Payments!$C19="","",Supplier_Payments!$C19),"")</f>
        <v/>
      </c>
      <c r="L1657" s="32">
        <f>IF($A1657=1,IF(Supplier_Payments!$H19="","دفعة مورد "&amp;Supplier_Payments!$C19,Supplier_Payments!$H19),"")</f>
        <v/>
      </c>
      <c r="M1657" s="43">
        <f>IF($A1657=1,Supplier_Payments!$E19,"")</f>
        <v/>
      </c>
      <c r="N1657" s="43">
        <f>IF($A1657=1,0,"")</f>
        <v/>
      </c>
      <c r="O1657" s="32">
        <f>IF($A1657=1,Supplier_Payments!$I19,"")</f>
        <v/>
      </c>
      <c r="P1657" s="32">
        <f>IF($A1657=1,IF(Supplier_Payments!$T19="","",Supplier_Payments!$T19),"")</f>
        <v/>
      </c>
      <c r="Q1657" s="32">
        <f>IF($A1657=1,Supplier_Payments!$V19,"")</f>
        <v/>
      </c>
      <c r="R1657" s="32">
        <f>IF($A1657=1,IF(AND($Q1657=1,COUNTIFS(COA!$A:$A,$G1657,COA!$R:$R,1)=1),1,0),"")</f>
        <v/>
      </c>
      <c r="S1657" s="43">
        <f>IF($A1657=1,IF($R1657=1,N($M1657),0),"")</f>
        <v/>
      </c>
      <c r="T1657" s="43">
        <f>IF($A1657=1,IF($R1657=1,N($N1657),0),"")</f>
        <v/>
      </c>
      <c r="U1657" s="32">
        <f>IF($A1657=1,YEAR($D1657)*100+MONTH($D1657),"")</f>
        <v/>
      </c>
      <c r="V1657" s="32">
        <f>IF($A1657=1,IF(COUNTIF(COA!$A:$A,$G1657)=0,0,INDEX(COA!$H:$H,MATCH($G1657,COA!$A:$A,0))),"")</f>
        <v/>
      </c>
      <c r="W1657" s="32">
        <f>IF($A1657=1,"","")</f>
        <v/>
      </c>
      <c r="X1657" s="32">
        <f>IF($A1657=1,IF($R1657=1,"",IF($O1657=ST_POST,IF($P1657&lt;&gt;"",$P1657,"حساب غير صالح أو غير نشط"),IF($O1657=ST_REV,"معكوس: لا أثر على الدفاتر",IF($O1657=ST_CANC,"ملغى",IF($O1657=ST_APPR,"معتمد ولم يُرحَّل","مسودة"))))),"")</f>
        <v/>
      </c>
      <c r="Y1657" s="32">
        <f>IF($A1657=1,IF(AND($R1657=1,OR(LG_Acct="",$G1657=LG_Acct),OR(LG_Party="",$K1657=LG_Party),OR(LG_Loc="ALL",$I1657=LG_Loc),OR(LG_CC="ALL",$J1657=LG_CC),$D1657&gt;=LG_From,$D1657&lt;=LG_To),$D1657+ROW()/1000000,""),"")</f>
        <v/>
      </c>
      <c r="Z1657" s="32">
        <f>IF($A1657=1,IF(Supplier_Payments!$J19="","",Supplier_Payments!$J19),"")</f>
        <v/>
      </c>
      <c r="AA1657" s="32">
        <f>IF($A1657=1,IF(Supplier_Payments!$K19="","",Supplier_Payments!$K19),"")</f>
        <v/>
      </c>
      <c r="AB1657" s="32">
        <f>IF($A1657=1,IF(Supplier_Payments!$L19="","",Supplier_Payments!$L19),"")</f>
        <v/>
      </c>
      <c r="AC1657" s="32">
        <f>IF($A1657=1,IF(Supplier_Payments!$M19="","",Supplier_Payments!$M19),"")</f>
        <v/>
      </c>
      <c r="AD1657" s="32">
        <f>IF($A1657=1,IF(Supplier_Payments!$N19="","",Supplier_Payments!$N19),"")</f>
        <v/>
      </c>
      <c r="AE1657" s="32">
        <f>IF($A1657=1,0,"")</f>
        <v/>
      </c>
      <c r="AF1657" s="32" t="inlineStr"/>
    </row>
    <row r="1658">
      <c r="A1658" s="32">
        <f>IF(AND(Supplier_Payments!$S19=1,N(Supplier_Payments!$E19)&gt;0),1,0)</f>
        <v/>
      </c>
      <c r="B1658" s="32">
        <f>IF($A1658=1,$E1658&amp;"/2","")</f>
        <v/>
      </c>
      <c r="C1658" s="32">
        <f>IF($A1658=1,"J-"&amp;Supplier_Payments!$A19,"")</f>
        <v/>
      </c>
      <c r="D1658" s="33">
        <f>IF($A1658=1,Supplier_Payments!$B19,"")</f>
        <v/>
      </c>
      <c r="E1658" s="32">
        <f>IF($A1658=1,IF(Supplier_Payments!$A19="","",Supplier_Payments!$A19),"")</f>
        <v/>
      </c>
      <c r="F1658" s="32">
        <f>IF($A1658=1,"SPAY","")</f>
        <v/>
      </c>
      <c r="G1658" s="32">
        <f>IF($A1658=1,IF(Supplier_Payments!$P19="","",Supplier_Payments!$P19),"")</f>
        <v/>
      </c>
      <c r="H1658" s="32">
        <f>IF($A1658=1,IF(COUNTIF(COA!$A:$A,$G1658)=0,"حساب غير معرف",INDEX(COA!$B:$B,MATCH($G1658,COA!$A:$A,0))),"")</f>
        <v/>
      </c>
      <c r="I1658" s="32">
        <f>IF($A1658=1,IF(Supplier_Payments!$Q19="","",Supplier_Payments!$Q19),"")</f>
        <v/>
      </c>
      <c r="J1658" s="32">
        <f>IF($A1658=1,"CC00","")</f>
        <v/>
      </c>
      <c r="K1658" s="32">
        <f>IF($A1658=1,"-","")</f>
        <v/>
      </c>
      <c r="L1658" s="32">
        <f>IF($A1658=1,IF(Supplier_Payments!$H19="","دفعة مورد "&amp;Supplier_Payments!$C19,Supplier_Payments!$H19),"")</f>
        <v/>
      </c>
      <c r="M1658" s="43">
        <f>IF($A1658=1,0,"")</f>
        <v/>
      </c>
      <c r="N1658" s="43">
        <f>IF($A1658=1,Supplier_Payments!$E19,"")</f>
        <v/>
      </c>
      <c r="O1658" s="32">
        <f>IF($A1658=1,Supplier_Payments!$I19,"")</f>
        <v/>
      </c>
      <c r="P1658" s="32">
        <f>IF($A1658=1,IF(Supplier_Payments!$T19="","",Supplier_Payments!$T19),"")</f>
        <v/>
      </c>
      <c r="Q1658" s="32">
        <f>IF($A1658=1,Supplier_Payments!$V19,"")</f>
        <v/>
      </c>
      <c r="R1658" s="32">
        <f>IF($A1658=1,IF(AND($Q1658=1,COUNTIFS(COA!$A:$A,$G1658,COA!$R:$R,1)=1),1,0),"")</f>
        <v/>
      </c>
      <c r="S1658" s="43">
        <f>IF($A1658=1,IF($R1658=1,N($M1658),0),"")</f>
        <v/>
      </c>
      <c r="T1658" s="43">
        <f>IF($A1658=1,IF($R1658=1,N($N1658),0),"")</f>
        <v/>
      </c>
      <c r="U1658" s="32">
        <f>IF($A1658=1,YEAR($D1658)*100+MONTH($D1658),"")</f>
        <v/>
      </c>
      <c r="V1658" s="32">
        <f>IF($A1658=1,IF(COUNTIF(COA!$A:$A,$G1658)=0,0,INDEX(COA!$H:$H,MATCH($G1658,COA!$A:$A,0))),"")</f>
        <v/>
      </c>
      <c r="W1658" s="32">
        <f>IF($A1658=1,IF(Supplier_Payments!$R19="","",Supplier_Payments!$R19),"")</f>
        <v/>
      </c>
      <c r="X1658" s="32">
        <f>IF($A1658=1,IF($R1658=1,"",IF($O1658=ST_POST,IF($P1658&lt;&gt;"",$P1658,"حساب غير صالح أو غير نشط"),IF($O1658=ST_REV,"معكوس: لا أثر على الدفاتر",IF($O1658=ST_CANC,"ملغى",IF($O1658=ST_APPR,"معتمد ولم يُرحَّل","مسودة"))))),"")</f>
        <v/>
      </c>
      <c r="Y1658" s="32">
        <f>IF($A1658=1,IF(AND($R1658=1,OR(LG_Acct="",$G1658=LG_Acct),OR(LG_Party="",$K1658=LG_Party),OR(LG_Loc="ALL",$I1658=LG_Loc),OR(LG_CC="ALL",$J1658=LG_CC),$D1658&gt;=LG_From,$D1658&lt;=LG_To),$D1658+ROW()/1000000,""),"")</f>
        <v/>
      </c>
      <c r="Z1658" s="32">
        <f>IF($A1658=1,IF(Supplier_Payments!$J19="","",Supplier_Payments!$J19),"")</f>
        <v/>
      </c>
      <c r="AA1658" s="32">
        <f>IF($A1658=1,IF(Supplier_Payments!$K19="","",Supplier_Payments!$K19),"")</f>
        <v/>
      </c>
      <c r="AB1658" s="32">
        <f>IF($A1658=1,IF(Supplier_Payments!$L19="","",Supplier_Payments!$L19),"")</f>
        <v/>
      </c>
      <c r="AC1658" s="32">
        <f>IF($A1658=1,IF(Supplier_Payments!$M19="","",Supplier_Payments!$M19),"")</f>
        <v/>
      </c>
      <c r="AD1658" s="32">
        <f>IF($A1658=1,IF(Supplier_Payments!$N19="","",Supplier_Payments!$N19),"")</f>
        <v/>
      </c>
      <c r="AE1658" s="32">
        <f>IF($A1658=1,0,"")</f>
        <v/>
      </c>
      <c r="AF1658" s="32" t="inlineStr"/>
    </row>
    <row r="1659">
      <c r="A1659" s="32">
        <f>IF(AND(Supplier_Payments!$S20=1,N(Supplier_Payments!$E20)&gt;0),1,0)</f>
        <v/>
      </c>
      <c r="B1659" s="32">
        <f>IF($A1659=1,$E1659&amp;"/1","")</f>
        <v/>
      </c>
      <c r="C1659" s="32">
        <f>IF($A1659=1,"J-"&amp;Supplier_Payments!$A20,"")</f>
        <v/>
      </c>
      <c r="D1659" s="33">
        <f>IF($A1659=1,Supplier_Payments!$B20,"")</f>
        <v/>
      </c>
      <c r="E1659" s="32">
        <f>IF($A1659=1,IF(Supplier_Payments!$A20="","",Supplier_Payments!$A20),"")</f>
        <v/>
      </c>
      <c r="F1659" s="32">
        <f>IF($A1659=1,"SPAY","")</f>
        <v/>
      </c>
      <c r="G1659" s="32">
        <f>IF($A1659=1,ACC_SUPPLIERS,"")</f>
        <v/>
      </c>
      <c r="H1659" s="32">
        <f>IF($A1659=1,IF(COUNTIF(COA!$A:$A,$G1659)=0,"حساب غير معرف",INDEX(COA!$B:$B,MATCH($G1659,COA!$A:$A,0))),"")</f>
        <v/>
      </c>
      <c r="I1659" s="32">
        <f>IF($A1659=1,IF(Supplier_Payments!$Q20="","",Supplier_Payments!$Q20),"")</f>
        <v/>
      </c>
      <c r="J1659" s="32">
        <f>IF($A1659=1,"CC00","")</f>
        <v/>
      </c>
      <c r="K1659" s="32">
        <f>IF($A1659=1,IF(Supplier_Payments!$C20="","",Supplier_Payments!$C20),"")</f>
        <v/>
      </c>
      <c r="L1659" s="32">
        <f>IF($A1659=1,IF(Supplier_Payments!$H20="","دفعة مورد "&amp;Supplier_Payments!$C20,Supplier_Payments!$H20),"")</f>
        <v/>
      </c>
      <c r="M1659" s="43">
        <f>IF($A1659=1,Supplier_Payments!$E20,"")</f>
        <v/>
      </c>
      <c r="N1659" s="43">
        <f>IF($A1659=1,0,"")</f>
        <v/>
      </c>
      <c r="O1659" s="32">
        <f>IF($A1659=1,Supplier_Payments!$I20,"")</f>
        <v/>
      </c>
      <c r="P1659" s="32">
        <f>IF($A1659=1,IF(Supplier_Payments!$T20="","",Supplier_Payments!$T20),"")</f>
        <v/>
      </c>
      <c r="Q1659" s="32">
        <f>IF($A1659=1,Supplier_Payments!$V20,"")</f>
        <v/>
      </c>
      <c r="R1659" s="32">
        <f>IF($A1659=1,IF(AND($Q1659=1,COUNTIFS(COA!$A:$A,$G1659,COA!$R:$R,1)=1),1,0),"")</f>
        <v/>
      </c>
      <c r="S1659" s="43">
        <f>IF($A1659=1,IF($R1659=1,N($M1659),0),"")</f>
        <v/>
      </c>
      <c r="T1659" s="43">
        <f>IF($A1659=1,IF($R1659=1,N($N1659),0),"")</f>
        <v/>
      </c>
      <c r="U1659" s="32">
        <f>IF($A1659=1,YEAR($D1659)*100+MONTH($D1659),"")</f>
        <v/>
      </c>
      <c r="V1659" s="32">
        <f>IF($A1659=1,IF(COUNTIF(COA!$A:$A,$G1659)=0,0,INDEX(COA!$H:$H,MATCH($G1659,COA!$A:$A,0))),"")</f>
        <v/>
      </c>
      <c r="W1659" s="32">
        <f>IF($A1659=1,"","")</f>
        <v/>
      </c>
      <c r="X1659" s="32">
        <f>IF($A1659=1,IF($R1659=1,"",IF($O1659=ST_POST,IF($P1659&lt;&gt;"",$P1659,"حساب غير صالح أو غير نشط"),IF($O1659=ST_REV,"معكوس: لا أثر على الدفاتر",IF($O1659=ST_CANC,"ملغى",IF($O1659=ST_APPR,"معتمد ولم يُرحَّل","مسودة"))))),"")</f>
        <v/>
      </c>
      <c r="Y1659" s="32">
        <f>IF($A1659=1,IF(AND($R1659=1,OR(LG_Acct="",$G1659=LG_Acct),OR(LG_Party="",$K1659=LG_Party),OR(LG_Loc="ALL",$I1659=LG_Loc),OR(LG_CC="ALL",$J1659=LG_CC),$D1659&gt;=LG_From,$D1659&lt;=LG_To),$D1659+ROW()/1000000,""),"")</f>
        <v/>
      </c>
      <c r="Z1659" s="32">
        <f>IF($A1659=1,IF(Supplier_Payments!$J20="","",Supplier_Payments!$J20),"")</f>
        <v/>
      </c>
      <c r="AA1659" s="32">
        <f>IF($A1659=1,IF(Supplier_Payments!$K20="","",Supplier_Payments!$K20),"")</f>
        <v/>
      </c>
      <c r="AB1659" s="32">
        <f>IF($A1659=1,IF(Supplier_Payments!$L20="","",Supplier_Payments!$L20),"")</f>
        <v/>
      </c>
      <c r="AC1659" s="32">
        <f>IF($A1659=1,IF(Supplier_Payments!$M20="","",Supplier_Payments!$M20),"")</f>
        <v/>
      </c>
      <c r="AD1659" s="32">
        <f>IF($A1659=1,IF(Supplier_Payments!$N20="","",Supplier_Payments!$N20),"")</f>
        <v/>
      </c>
      <c r="AE1659" s="32">
        <f>IF($A1659=1,0,"")</f>
        <v/>
      </c>
      <c r="AF1659" s="32" t="inlineStr"/>
    </row>
    <row r="1660">
      <c r="A1660" s="32">
        <f>IF(AND(Supplier_Payments!$S20=1,N(Supplier_Payments!$E20)&gt;0),1,0)</f>
        <v/>
      </c>
      <c r="B1660" s="32">
        <f>IF($A1660=1,$E1660&amp;"/2","")</f>
        <v/>
      </c>
      <c r="C1660" s="32">
        <f>IF($A1660=1,"J-"&amp;Supplier_Payments!$A20,"")</f>
        <v/>
      </c>
      <c r="D1660" s="33">
        <f>IF($A1660=1,Supplier_Payments!$B20,"")</f>
        <v/>
      </c>
      <c r="E1660" s="32">
        <f>IF($A1660=1,IF(Supplier_Payments!$A20="","",Supplier_Payments!$A20),"")</f>
        <v/>
      </c>
      <c r="F1660" s="32">
        <f>IF($A1660=1,"SPAY","")</f>
        <v/>
      </c>
      <c r="G1660" s="32">
        <f>IF($A1660=1,IF(Supplier_Payments!$P20="","",Supplier_Payments!$P20),"")</f>
        <v/>
      </c>
      <c r="H1660" s="32">
        <f>IF($A1660=1,IF(COUNTIF(COA!$A:$A,$G1660)=0,"حساب غير معرف",INDEX(COA!$B:$B,MATCH($G1660,COA!$A:$A,0))),"")</f>
        <v/>
      </c>
      <c r="I1660" s="32">
        <f>IF($A1660=1,IF(Supplier_Payments!$Q20="","",Supplier_Payments!$Q20),"")</f>
        <v/>
      </c>
      <c r="J1660" s="32">
        <f>IF($A1660=1,"CC00","")</f>
        <v/>
      </c>
      <c r="K1660" s="32">
        <f>IF($A1660=1,"-","")</f>
        <v/>
      </c>
      <c r="L1660" s="32">
        <f>IF($A1660=1,IF(Supplier_Payments!$H20="","دفعة مورد "&amp;Supplier_Payments!$C20,Supplier_Payments!$H20),"")</f>
        <v/>
      </c>
      <c r="M1660" s="43">
        <f>IF($A1660=1,0,"")</f>
        <v/>
      </c>
      <c r="N1660" s="43">
        <f>IF($A1660=1,Supplier_Payments!$E20,"")</f>
        <v/>
      </c>
      <c r="O1660" s="32">
        <f>IF($A1660=1,Supplier_Payments!$I20,"")</f>
        <v/>
      </c>
      <c r="P1660" s="32">
        <f>IF($A1660=1,IF(Supplier_Payments!$T20="","",Supplier_Payments!$T20),"")</f>
        <v/>
      </c>
      <c r="Q1660" s="32">
        <f>IF($A1660=1,Supplier_Payments!$V20,"")</f>
        <v/>
      </c>
      <c r="R1660" s="32">
        <f>IF($A1660=1,IF(AND($Q1660=1,COUNTIFS(COA!$A:$A,$G1660,COA!$R:$R,1)=1),1,0),"")</f>
        <v/>
      </c>
      <c r="S1660" s="43">
        <f>IF($A1660=1,IF($R1660=1,N($M1660),0),"")</f>
        <v/>
      </c>
      <c r="T1660" s="43">
        <f>IF($A1660=1,IF($R1660=1,N($N1660),0),"")</f>
        <v/>
      </c>
      <c r="U1660" s="32">
        <f>IF($A1660=1,YEAR($D1660)*100+MONTH($D1660),"")</f>
        <v/>
      </c>
      <c r="V1660" s="32">
        <f>IF($A1660=1,IF(COUNTIF(COA!$A:$A,$G1660)=0,0,INDEX(COA!$H:$H,MATCH($G1660,COA!$A:$A,0))),"")</f>
        <v/>
      </c>
      <c r="W1660" s="32">
        <f>IF($A1660=1,IF(Supplier_Payments!$R20="","",Supplier_Payments!$R20),"")</f>
        <v/>
      </c>
      <c r="X1660" s="32">
        <f>IF($A1660=1,IF($R1660=1,"",IF($O1660=ST_POST,IF($P1660&lt;&gt;"",$P1660,"حساب غير صالح أو غير نشط"),IF($O1660=ST_REV,"معكوس: لا أثر على الدفاتر",IF($O1660=ST_CANC,"ملغى",IF($O1660=ST_APPR,"معتمد ولم يُرحَّل","مسودة"))))),"")</f>
        <v/>
      </c>
      <c r="Y1660" s="32">
        <f>IF($A1660=1,IF(AND($R1660=1,OR(LG_Acct="",$G1660=LG_Acct),OR(LG_Party="",$K1660=LG_Party),OR(LG_Loc="ALL",$I1660=LG_Loc),OR(LG_CC="ALL",$J1660=LG_CC),$D1660&gt;=LG_From,$D1660&lt;=LG_To),$D1660+ROW()/1000000,""),"")</f>
        <v/>
      </c>
      <c r="Z1660" s="32">
        <f>IF($A1660=1,IF(Supplier_Payments!$J20="","",Supplier_Payments!$J20),"")</f>
        <v/>
      </c>
      <c r="AA1660" s="32">
        <f>IF($A1660=1,IF(Supplier_Payments!$K20="","",Supplier_Payments!$K20),"")</f>
        <v/>
      </c>
      <c r="AB1660" s="32">
        <f>IF($A1660=1,IF(Supplier_Payments!$L20="","",Supplier_Payments!$L20),"")</f>
        <v/>
      </c>
      <c r="AC1660" s="32">
        <f>IF($A1660=1,IF(Supplier_Payments!$M20="","",Supplier_Payments!$M20),"")</f>
        <v/>
      </c>
      <c r="AD1660" s="32">
        <f>IF($A1660=1,IF(Supplier_Payments!$N20="","",Supplier_Payments!$N20),"")</f>
        <v/>
      </c>
      <c r="AE1660" s="32">
        <f>IF($A1660=1,0,"")</f>
        <v/>
      </c>
      <c r="AF1660" s="32" t="inlineStr"/>
    </row>
    <row r="1661">
      <c r="A1661" s="32">
        <f>IF(AND(Supplier_Payments!$S21=1,N(Supplier_Payments!$E21)&gt;0),1,0)</f>
        <v/>
      </c>
      <c r="B1661" s="32">
        <f>IF($A1661=1,$E1661&amp;"/1","")</f>
        <v/>
      </c>
      <c r="C1661" s="32">
        <f>IF($A1661=1,"J-"&amp;Supplier_Payments!$A21,"")</f>
        <v/>
      </c>
      <c r="D1661" s="33">
        <f>IF($A1661=1,Supplier_Payments!$B21,"")</f>
        <v/>
      </c>
      <c r="E1661" s="32">
        <f>IF($A1661=1,IF(Supplier_Payments!$A21="","",Supplier_Payments!$A21),"")</f>
        <v/>
      </c>
      <c r="F1661" s="32">
        <f>IF($A1661=1,"SPAY","")</f>
        <v/>
      </c>
      <c r="G1661" s="32">
        <f>IF($A1661=1,ACC_SUPPLIERS,"")</f>
        <v/>
      </c>
      <c r="H1661" s="32">
        <f>IF($A1661=1,IF(COUNTIF(COA!$A:$A,$G1661)=0,"حساب غير معرف",INDEX(COA!$B:$B,MATCH($G1661,COA!$A:$A,0))),"")</f>
        <v/>
      </c>
      <c r="I1661" s="32">
        <f>IF($A1661=1,IF(Supplier_Payments!$Q21="","",Supplier_Payments!$Q21),"")</f>
        <v/>
      </c>
      <c r="J1661" s="32">
        <f>IF($A1661=1,"CC00","")</f>
        <v/>
      </c>
      <c r="K1661" s="32">
        <f>IF($A1661=1,IF(Supplier_Payments!$C21="","",Supplier_Payments!$C21),"")</f>
        <v/>
      </c>
      <c r="L1661" s="32">
        <f>IF($A1661=1,IF(Supplier_Payments!$H21="","دفعة مورد "&amp;Supplier_Payments!$C21,Supplier_Payments!$H21),"")</f>
        <v/>
      </c>
      <c r="M1661" s="43">
        <f>IF($A1661=1,Supplier_Payments!$E21,"")</f>
        <v/>
      </c>
      <c r="N1661" s="43">
        <f>IF($A1661=1,0,"")</f>
        <v/>
      </c>
      <c r="O1661" s="32">
        <f>IF($A1661=1,Supplier_Payments!$I21,"")</f>
        <v/>
      </c>
      <c r="P1661" s="32">
        <f>IF($A1661=1,IF(Supplier_Payments!$T21="","",Supplier_Payments!$T21),"")</f>
        <v/>
      </c>
      <c r="Q1661" s="32">
        <f>IF($A1661=1,Supplier_Payments!$V21,"")</f>
        <v/>
      </c>
      <c r="R1661" s="32">
        <f>IF($A1661=1,IF(AND($Q1661=1,COUNTIFS(COA!$A:$A,$G1661,COA!$R:$R,1)=1),1,0),"")</f>
        <v/>
      </c>
      <c r="S1661" s="43">
        <f>IF($A1661=1,IF($R1661=1,N($M1661),0),"")</f>
        <v/>
      </c>
      <c r="T1661" s="43">
        <f>IF($A1661=1,IF($R1661=1,N($N1661),0),"")</f>
        <v/>
      </c>
      <c r="U1661" s="32">
        <f>IF($A1661=1,YEAR($D1661)*100+MONTH($D1661),"")</f>
        <v/>
      </c>
      <c r="V1661" s="32">
        <f>IF($A1661=1,IF(COUNTIF(COA!$A:$A,$G1661)=0,0,INDEX(COA!$H:$H,MATCH($G1661,COA!$A:$A,0))),"")</f>
        <v/>
      </c>
      <c r="W1661" s="32">
        <f>IF($A1661=1,"","")</f>
        <v/>
      </c>
      <c r="X1661" s="32">
        <f>IF($A1661=1,IF($R1661=1,"",IF($O1661=ST_POST,IF($P1661&lt;&gt;"",$P1661,"حساب غير صالح أو غير نشط"),IF($O1661=ST_REV,"معكوس: لا أثر على الدفاتر",IF($O1661=ST_CANC,"ملغى",IF($O1661=ST_APPR,"معتمد ولم يُرحَّل","مسودة"))))),"")</f>
        <v/>
      </c>
      <c r="Y1661" s="32">
        <f>IF($A1661=1,IF(AND($R1661=1,OR(LG_Acct="",$G1661=LG_Acct),OR(LG_Party="",$K1661=LG_Party),OR(LG_Loc="ALL",$I1661=LG_Loc),OR(LG_CC="ALL",$J1661=LG_CC),$D1661&gt;=LG_From,$D1661&lt;=LG_To),$D1661+ROW()/1000000,""),"")</f>
        <v/>
      </c>
      <c r="Z1661" s="32">
        <f>IF($A1661=1,IF(Supplier_Payments!$J21="","",Supplier_Payments!$J21),"")</f>
        <v/>
      </c>
      <c r="AA1661" s="32">
        <f>IF($A1661=1,IF(Supplier_Payments!$K21="","",Supplier_Payments!$K21),"")</f>
        <v/>
      </c>
      <c r="AB1661" s="32">
        <f>IF($A1661=1,IF(Supplier_Payments!$L21="","",Supplier_Payments!$L21),"")</f>
        <v/>
      </c>
      <c r="AC1661" s="32">
        <f>IF($A1661=1,IF(Supplier_Payments!$M21="","",Supplier_Payments!$M21),"")</f>
        <v/>
      </c>
      <c r="AD1661" s="32">
        <f>IF($A1661=1,IF(Supplier_Payments!$N21="","",Supplier_Payments!$N21),"")</f>
        <v/>
      </c>
      <c r="AE1661" s="32">
        <f>IF($A1661=1,0,"")</f>
        <v/>
      </c>
      <c r="AF1661" s="32" t="inlineStr"/>
    </row>
    <row r="1662">
      <c r="A1662" s="32">
        <f>IF(AND(Supplier_Payments!$S21=1,N(Supplier_Payments!$E21)&gt;0),1,0)</f>
        <v/>
      </c>
      <c r="B1662" s="32">
        <f>IF($A1662=1,$E1662&amp;"/2","")</f>
        <v/>
      </c>
      <c r="C1662" s="32">
        <f>IF($A1662=1,"J-"&amp;Supplier_Payments!$A21,"")</f>
        <v/>
      </c>
      <c r="D1662" s="33">
        <f>IF($A1662=1,Supplier_Payments!$B21,"")</f>
        <v/>
      </c>
      <c r="E1662" s="32">
        <f>IF($A1662=1,IF(Supplier_Payments!$A21="","",Supplier_Payments!$A21),"")</f>
        <v/>
      </c>
      <c r="F1662" s="32">
        <f>IF($A1662=1,"SPAY","")</f>
        <v/>
      </c>
      <c r="G1662" s="32">
        <f>IF($A1662=1,IF(Supplier_Payments!$P21="","",Supplier_Payments!$P21),"")</f>
        <v/>
      </c>
      <c r="H1662" s="32">
        <f>IF($A1662=1,IF(COUNTIF(COA!$A:$A,$G1662)=0,"حساب غير معرف",INDEX(COA!$B:$B,MATCH($G1662,COA!$A:$A,0))),"")</f>
        <v/>
      </c>
      <c r="I1662" s="32">
        <f>IF($A1662=1,IF(Supplier_Payments!$Q21="","",Supplier_Payments!$Q21),"")</f>
        <v/>
      </c>
      <c r="J1662" s="32">
        <f>IF($A1662=1,"CC00","")</f>
        <v/>
      </c>
      <c r="K1662" s="32">
        <f>IF($A1662=1,"-","")</f>
        <v/>
      </c>
      <c r="L1662" s="32">
        <f>IF($A1662=1,IF(Supplier_Payments!$H21="","دفعة مورد "&amp;Supplier_Payments!$C21,Supplier_Payments!$H21),"")</f>
        <v/>
      </c>
      <c r="M1662" s="43">
        <f>IF($A1662=1,0,"")</f>
        <v/>
      </c>
      <c r="N1662" s="43">
        <f>IF($A1662=1,Supplier_Payments!$E21,"")</f>
        <v/>
      </c>
      <c r="O1662" s="32">
        <f>IF($A1662=1,Supplier_Payments!$I21,"")</f>
        <v/>
      </c>
      <c r="P1662" s="32">
        <f>IF($A1662=1,IF(Supplier_Payments!$T21="","",Supplier_Payments!$T21),"")</f>
        <v/>
      </c>
      <c r="Q1662" s="32">
        <f>IF($A1662=1,Supplier_Payments!$V21,"")</f>
        <v/>
      </c>
      <c r="R1662" s="32">
        <f>IF($A1662=1,IF(AND($Q1662=1,COUNTIFS(COA!$A:$A,$G1662,COA!$R:$R,1)=1),1,0),"")</f>
        <v/>
      </c>
      <c r="S1662" s="43">
        <f>IF($A1662=1,IF($R1662=1,N($M1662),0),"")</f>
        <v/>
      </c>
      <c r="T1662" s="43">
        <f>IF($A1662=1,IF($R1662=1,N($N1662),0),"")</f>
        <v/>
      </c>
      <c r="U1662" s="32">
        <f>IF($A1662=1,YEAR($D1662)*100+MONTH($D1662),"")</f>
        <v/>
      </c>
      <c r="V1662" s="32">
        <f>IF($A1662=1,IF(COUNTIF(COA!$A:$A,$G1662)=0,0,INDEX(COA!$H:$H,MATCH($G1662,COA!$A:$A,0))),"")</f>
        <v/>
      </c>
      <c r="W1662" s="32">
        <f>IF($A1662=1,IF(Supplier_Payments!$R21="","",Supplier_Payments!$R21),"")</f>
        <v/>
      </c>
      <c r="X1662" s="32">
        <f>IF($A1662=1,IF($R1662=1,"",IF($O1662=ST_POST,IF($P1662&lt;&gt;"",$P1662,"حساب غير صالح أو غير نشط"),IF($O1662=ST_REV,"معكوس: لا أثر على الدفاتر",IF($O1662=ST_CANC,"ملغى",IF($O1662=ST_APPR,"معتمد ولم يُرحَّل","مسودة"))))),"")</f>
        <v/>
      </c>
      <c r="Y1662" s="32">
        <f>IF($A1662=1,IF(AND($R1662=1,OR(LG_Acct="",$G1662=LG_Acct),OR(LG_Party="",$K1662=LG_Party),OR(LG_Loc="ALL",$I1662=LG_Loc),OR(LG_CC="ALL",$J1662=LG_CC),$D1662&gt;=LG_From,$D1662&lt;=LG_To),$D1662+ROW()/1000000,""),"")</f>
        <v/>
      </c>
      <c r="Z1662" s="32">
        <f>IF($A1662=1,IF(Supplier_Payments!$J21="","",Supplier_Payments!$J21),"")</f>
        <v/>
      </c>
      <c r="AA1662" s="32">
        <f>IF($A1662=1,IF(Supplier_Payments!$K21="","",Supplier_Payments!$K21),"")</f>
        <v/>
      </c>
      <c r="AB1662" s="32">
        <f>IF($A1662=1,IF(Supplier_Payments!$L21="","",Supplier_Payments!$L21),"")</f>
        <v/>
      </c>
      <c r="AC1662" s="32">
        <f>IF($A1662=1,IF(Supplier_Payments!$M21="","",Supplier_Payments!$M21),"")</f>
        <v/>
      </c>
      <c r="AD1662" s="32">
        <f>IF($A1662=1,IF(Supplier_Payments!$N21="","",Supplier_Payments!$N21),"")</f>
        <v/>
      </c>
      <c r="AE1662" s="32">
        <f>IF($A1662=1,0,"")</f>
        <v/>
      </c>
      <c r="AF1662" s="32" t="inlineStr"/>
    </row>
    <row r="1663">
      <c r="A1663" s="32">
        <f>IF(AND(Supplier_Payments!$S22=1,N(Supplier_Payments!$E22)&gt;0),1,0)</f>
        <v/>
      </c>
      <c r="B1663" s="32">
        <f>IF($A1663=1,$E1663&amp;"/1","")</f>
        <v/>
      </c>
      <c r="C1663" s="32">
        <f>IF($A1663=1,"J-"&amp;Supplier_Payments!$A22,"")</f>
        <v/>
      </c>
      <c r="D1663" s="33">
        <f>IF($A1663=1,Supplier_Payments!$B22,"")</f>
        <v/>
      </c>
      <c r="E1663" s="32">
        <f>IF($A1663=1,IF(Supplier_Payments!$A22="","",Supplier_Payments!$A22),"")</f>
        <v/>
      </c>
      <c r="F1663" s="32">
        <f>IF($A1663=1,"SPAY","")</f>
        <v/>
      </c>
      <c r="G1663" s="32">
        <f>IF($A1663=1,ACC_SUPPLIERS,"")</f>
        <v/>
      </c>
      <c r="H1663" s="32">
        <f>IF($A1663=1,IF(COUNTIF(COA!$A:$A,$G1663)=0,"حساب غير معرف",INDEX(COA!$B:$B,MATCH($G1663,COA!$A:$A,0))),"")</f>
        <v/>
      </c>
      <c r="I1663" s="32">
        <f>IF($A1663=1,IF(Supplier_Payments!$Q22="","",Supplier_Payments!$Q22),"")</f>
        <v/>
      </c>
      <c r="J1663" s="32">
        <f>IF($A1663=1,"CC00","")</f>
        <v/>
      </c>
      <c r="K1663" s="32">
        <f>IF($A1663=1,IF(Supplier_Payments!$C22="","",Supplier_Payments!$C22),"")</f>
        <v/>
      </c>
      <c r="L1663" s="32">
        <f>IF($A1663=1,IF(Supplier_Payments!$H22="","دفعة مورد "&amp;Supplier_Payments!$C22,Supplier_Payments!$H22),"")</f>
        <v/>
      </c>
      <c r="M1663" s="43">
        <f>IF($A1663=1,Supplier_Payments!$E22,"")</f>
        <v/>
      </c>
      <c r="N1663" s="43">
        <f>IF($A1663=1,0,"")</f>
        <v/>
      </c>
      <c r="O1663" s="32">
        <f>IF($A1663=1,Supplier_Payments!$I22,"")</f>
        <v/>
      </c>
      <c r="P1663" s="32">
        <f>IF($A1663=1,IF(Supplier_Payments!$T22="","",Supplier_Payments!$T22),"")</f>
        <v/>
      </c>
      <c r="Q1663" s="32">
        <f>IF($A1663=1,Supplier_Payments!$V22,"")</f>
        <v/>
      </c>
      <c r="R1663" s="32">
        <f>IF($A1663=1,IF(AND($Q1663=1,COUNTIFS(COA!$A:$A,$G1663,COA!$R:$R,1)=1),1,0),"")</f>
        <v/>
      </c>
      <c r="S1663" s="43">
        <f>IF($A1663=1,IF($R1663=1,N($M1663),0),"")</f>
        <v/>
      </c>
      <c r="T1663" s="43">
        <f>IF($A1663=1,IF($R1663=1,N($N1663),0),"")</f>
        <v/>
      </c>
      <c r="U1663" s="32">
        <f>IF($A1663=1,YEAR($D1663)*100+MONTH($D1663),"")</f>
        <v/>
      </c>
      <c r="V1663" s="32">
        <f>IF($A1663=1,IF(COUNTIF(COA!$A:$A,$G1663)=0,0,INDEX(COA!$H:$H,MATCH($G1663,COA!$A:$A,0))),"")</f>
        <v/>
      </c>
      <c r="W1663" s="32">
        <f>IF($A1663=1,"","")</f>
        <v/>
      </c>
      <c r="X1663" s="32">
        <f>IF($A1663=1,IF($R1663=1,"",IF($O1663=ST_POST,IF($P1663&lt;&gt;"",$P1663,"حساب غير صالح أو غير نشط"),IF($O1663=ST_REV,"معكوس: لا أثر على الدفاتر",IF($O1663=ST_CANC,"ملغى",IF($O1663=ST_APPR,"معتمد ولم يُرحَّل","مسودة"))))),"")</f>
        <v/>
      </c>
      <c r="Y1663" s="32">
        <f>IF($A1663=1,IF(AND($R1663=1,OR(LG_Acct="",$G1663=LG_Acct),OR(LG_Party="",$K1663=LG_Party),OR(LG_Loc="ALL",$I1663=LG_Loc),OR(LG_CC="ALL",$J1663=LG_CC),$D1663&gt;=LG_From,$D1663&lt;=LG_To),$D1663+ROW()/1000000,""),"")</f>
        <v/>
      </c>
      <c r="Z1663" s="32">
        <f>IF($A1663=1,IF(Supplier_Payments!$J22="","",Supplier_Payments!$J22),"")</f>
        <v/>
      </c>
      <c r="AA1663" s="32">
        <f>IF($A1663=1,IF(Supplier_Payments!$K22="","",Supplier_Payments!$K22),"")</f>
        <v/>
      </c>
      <c r="AB1663" s="32">
        <f>IF($A1663=1,IF(Supplier_Payments!$L22="","",Supplier_Payments!$L22),"")</f>
        <v/>
      </c>
      <c r="AC1663" s="32">
        <f>IF($A1663=1,IF(Supplier_Payments!$M22="","",Supplier_Payments!$M22),"")</f>
        <v/>
      </c>
      <c r="AD1663" s="32">
        <f>IF($A1663=1,IF(Supplier_Payments!$N22="","",Supplier_Payments!$N22),"")</f>
        <v/>
      </c>
      <c r="AE1663" s="32">
        <f>IF($A1663=1,0,"")</f>
        <v/>
      </c>
      <c r="AF1663" s="32" t="inlineStr"/>
    </row>
    <row r="1664">
      <c r="A1664" s="32">
        <f>IF(AND(Supplier_Payments!$S22=1,N(Supplier_Payments!$E22)&gt;0),1,0)</f>
        <v/>
      </c>
      <c r="B1664" s="32">
        <f>IF($A1664=1,$E1664&amp;"/2","")</f>
        <v/>
      </c>
      <c r="C1664" s="32">
        <f>IF($A1664=1,"J-"&amp;Supplier_Payments!$A22,"")</f>
        <v/>
      </c>
      <c r="D1664" s="33">
        <f>IF($A1664=1,Supplier_Payments!$B22,"")</f>
        <v/>
      </c>
      <c r="E1664" s="32">
        <f>IF($A1664=1,IF(Supplier_Payments!$A22="","",Supplier_Payments!$A22),"")</f>
        <v/>
      </c>
      <c r="F1664" s="32">
        <f>IF($A1664=1,"SPAY","")</f>
        <v/>
      </c>
      <c r="G1664" s="32">
        <f>IF($A1664=1,IF(Supplier_Payments!$P22="","",Supplier_Payments!$P22),"")</f>
        <v/>
      </c>
      <c r="H1664" s="32">
        <f>IF($A1664=1,IF(COUNTIF(COA!$A:$A,$G1664)=0,"حساب غير معرف",INDEX(COA!$B:$B,MATCH($G1664,COA!$A:$A,0))),"")</f>
        <v/>
      </c>
      <c r="I1664" s="32">
        <f>IF($A1664=1,IF(Supplier_Payments!$Q22="","",Supplier_Payments!$Q22),"")</f>
        <v/>
      </c>
      <c r="J1664" s="32">
        <f>IF($A1664=1,"CC00","")</f>
        <v/>
      </c>
      <c r="K1664" s="32">
        <f>IF($A1664=1,"-","")</f>
        <v/>
      </c>
      <c r="L1664" s="32">
        <f>IF($A1664=1,IF(Supplier_Payments!$H22="","دفعة مورد "&amp;Supplier_Payments!$C22,Supplier_Payments!$H22),"")</f>
        <v/>
      </c>
      <c r="M1664" s="43">
        <f>IF($A1664=1,0,"")</f>
        <v/>
      </c>
      <c r="N1664" s="43">
        <f>IF($A1664=1,Supplier_Payments!$E22,"")</f>
        <v/>
      </c>
      <c r="O1664" s="32">
        <f>IF($A1664=1,Supplier_Payments!$I22,"")</f>
        <v/>
      </c>
      <c r="P1664" s="32">
        <f>IF($A1664=1,IF(Supplier_Payments!$T22="","",Supplier_Payments!$T22),"")</f>
        <v/>
      </c>
      <c r="Q1664" s="32">
        <f>IF($A1664=1,Supplier_Payments!$V22,"")</f>
        <v/>
      </c>
      <c r="R1664" s="32">
        <f>IF($A1664=1,IF(AND($Q1664=1,COUNTIFS(COA!$A:$A,$G1664,COA!$R:$R,1)=1),1,0),"")</f>
        <v/>
      </c>
      <c r="S1664" s="43">
        <f>IF($A1664=1,IF($R1664=1,N($M1664),0),"")</f>
        <v/>
      </c>
      <c r="T1664" s="43">
        <f>IF($A1664=1,IF($R1664=1,N($N1664),0),"")</f>
        <v/>
      </c>
      <c r="U1664" s="32">
        <f>IF($A1664=1,YEAR($D1664)*100+MONTH($D1664),"")</f>
        <v/>
      </c>
      <c r="V1664" s="32">
        <f>IF($A1664=1,IF(COUNTIF(COA!$A:$A,$G1664)=0,0,INDEX(COA!$H:$H,MATCH($G1664,COA!$A:$A,0))),"")</f>
        <v/>
      </c>
      <c r="W1664" s="32">
        <f>IF($A1664=1,IF(Supplier_Payments!$R22="","",Supplier_Payments!$R22),"")</f>
        <v/>
      </c>
      <c r="X1664" s="32">
        <f>IF($A1664=1,IF($R1664=1,"",IF($O1664=ST_POST,IF($P1664&lt;&gt;"",$P1664,"حساب غير صالح أو غير نشط"),IF($O1664=ST_REV,"معكوس: لا أثر على الدفاتر",IF($O1664=ST_CANC,"ملغى",IF($O1664=ST_APPR,"معتمد ولم يُرحَّل","مسودة"))))),"")</f>
        <v/>
      </c>
      <c r="Y1664" s="32">
        <f>IF($A1664=1,IF(AND($R1664=1,OR(LG_Acct="",$G1664=LG_Acct),OR(LG_Party="",$K1664=LG_Party),OR(LG_Loc="ALL",$I1664=LG_Loc),OR(LG_CC="ALL",$J1664=LG_CC),$D1664&gt;=LG_From,$D1664&lt;=LG_To),$D1664+ROW()/1000000,""),"")</f>
        <v/>
      </c>
      <c r="Z1664" s="32">
        <f>IF($A1664=1,IF(Supplier_Payments!$J22="","",Supplier_Payments!$J22),"")</f>
        <v/>
      </c>
      <c r="AA1664" s="32">
        <f>IF($A1664=1,IF(Supplier_Payments!$K22="","",Supplier_Payments!$K22),"")</f>
        <v/>
      </c>
      <c r="AB1664" s="32">
        <f>IF($A1664=1,IF(Supplier_Payments!$L22="","",Supplier_Payments!$L22),"")</f>
        <v/>
      </c>
      <c r="AC1664" s="32">
        <f>IF($A1664=1,IF(Supplier_Payments!$M22="","",Supplier_Payments!$M22),"")</f>
        <v/>
      </c>
      <c r="AD1664" s="32">
        <f>IF($A1664=1,IF(Supplier_Payments!$N22="","",Supplier_Payments!$N22),"")</f>
        <v/>
      </c>
      <c r="AE1664" s="32">
        <f>IF($A1664=1,0,"")</f>
        <v/>
      </c>
      <c r="AF1664" s="32" t="inlineStr"/>
    </row>
    <row r="1665">
      <c r="A1665" s="32">
        <f>IF(AND(Supplier_Payments!$S23=1,N(Supplier_Payments!$E23)&gt;0),1,0)</f>
        <v/>
      </c>
      <c r="B1665" s="32">
        <f>IF($A1665=1,$E1665&amp;"/1","")</f>
        <v/>
      </c>
      <c r="C1665" s="32">
        <f>IF($A1665=1,"J-"&amp;Supplier_Payments!$A23,"")</f>
        <v/>
      </c>
      <c r="D1665" s="33">
        <f>IF($A1665=1,Supplier_Payments!$B23,"")</f>
        <v/>
      </c>
      <c r="E1665" s="32">
        <f>IF($A1665=1,IF(Supplier_Payments!$A23="","",Supplier_Payments!$A23),"")</f>
        <v/>
      </c>
      <c r="F1665" s="32">
        <f>IF($A1665=1,"SPAY","")</f>
        <v/>
      </c>
      <c r="G1665" s="32">
        <f>IF($A1665=1,ACC_SUPPLIERS,"")</f>
        <v/>
      </c>
      <c r="H1665" s="32">
        <f>IF($A1665=1,IF(COUNTIF(COA!$A:$A,$G1665)=0,"حساب غير معرف",INDEX(COA!$B:$B,MATCH($G1665,COA!$A:$A,0))),"")</f>
        <v/>
      </c>
      <c r="I1665" s="32">
        <f>IF($A1665=1,IF(Supplier_Payments!$Q23="","",Supplier_Payments!$Q23),"")</f>
        <v/>
      </c>
      <c r="J1665" s="32">
        <f>IF($A1665=1,"CC00","")</f>
        <v/>
      </c>
      <c r="K1665" s="32">
        <f>IF($A1665=1,IF(Supplier_Payments!$C23="","",Supplier_Payments!$C23),"")</f>
        <v/>
      </c>
      <c r="L1665" s="32">
        <f>IF($A1665=1,IF(Supplier_Payments!$H23="","دفعة مورد "&amp;Supplier_Payments!$C23,Supplier_Payments!$H23),"")</f>
        <v/>
      </c>
      <c r="M1665" s="43">
        <f>IF($A1665=1,Supplier_Payments!$E23,"")</f>
        <v/>
      </c>
      <c r="N1665" s="43">
        <f>IF($A1665=1,0,"")</f>
        <v/>
      </c>
      <c r="O1665" s="32">
        <f>IF($A1665=1,Supplier_Payments!$I23,"")</f>
        <v/>
      </c>
      <c r="P1665" s="32">
        <f>IF($A1665=1,IF(Supplier_Payments!$T23="","",Supplier_Payments!$T23),"")</f>
        <v/>
      </c>
      <c r="Q1665" s="32">
        <f>IF($A1665=1,Supplier_Payments!$V23,"")</f>
        <v/>
      </c>
      <c r="R1665" s="32">
        <f>IF($A1665=1,IF(AND($Q1665=1,COUNTIFS(COA!$A:$A,$G1665,COA!$R:$R,1)=1),1,0),"")</f>
        <v/>
      </c>
      <c r="S1665" s="43">
        <f>IF($A1665=1,IF($R1665=1,N($M1665),0),"")</f>
        <v/>
      </c>
      <c r="T1665" s="43">
        <f>IF($A1665=1,IF($R1665=1,N($N1665),0),"")</f>
        <v/>
      </c>
      <c r="U1665" s="32">
        <f>IF($A1665=1,YEAR($D1665)*100+MONTH($D1665),"")</f>
        <v/>
      </c>
      <c r="V1665" s="32">
        <f>IF($A1665=1,IF(COUNTIF(COA!$A:$A,$G1665)=0,0,INDEX(COA!$H:$H,MATCH($G1665,COA!$A:$A,0))),"")</f>
        <v/>
      </c>
      <c r="W1665" s="32">
        <f>IF($A1665=1,"","")</f>
        <v/>
      </c>
      <c r="X1665" s="32">
        <f>IF($A1665=1,IF($R1665=1,"",IF($O1665=ST_POST,IF($P1665&lt;&gt;"",$P1665,"حساب غير صالح أو غير نشط"),IF($O1665=ST_REV,"معكوس: لا أثر على الدفاتر",IF($O1665=ST_CANC,"ملغى",IF($O1665=ST_APPR,"معتمد ولم يُرحَّل","مسودة"))))),"")</f>
        <v/>
      </c>
      <c r="Y1665" s="32">
        <f>IF($A1665=1,IF(AND($R1665=1,OR(LG_Acct="",$G1665=LG_Acct),OR(LG_Party="",$K1665=LG_Party),OR(LG_Loc="ALL",$I1665=LG_Loc),OR(LG_CC="ALL",$J1665=LG_CC),$D1665&gt;=LG_From,$D1665&lt;=LG_To),$D1665+ROW()/1000000,""),"")</f>
        <v/>
      </c>
      <c r="Z1665" s="32">
        <f>IF($A1665=1,IF(Supplier_Payments!$J23="","",Supplier_Payments!$J23),"")</f>
        <v/>
      </c>
      <c r="AA1665" s="32">
        <f>IF($A1665=1,IF(Supplier_Payments!$K23="","",Supplier_Payments!$K23),"")</f>
        <v/>
      </c>
      <c r="AB1665" s="32">
        <f>IF($A1665=1,IF(Supplier_Payments!$L23="","",Supplier_Payments!$L23),"")</f>
        <v/>
      </c>
      <c r="AC1665" s="32">
        <f>IF($A1665=1,IF(Supplier_Payments!$M23="","",Supplier_Payments!$M23),"")</f>
        <v/>
      </c>
      <c r="AD1665" s="32">
        <f>IF($A1665=1,IF(Supplier_Payments!$N23="","",Supplier_Payments!$N23),"")</f>
        <v/>
      </c>
      <c r="AE1665" s="32">
        <f>IF($A1665=1,0,"")</f>
        <v/>
      </c>
      <c r="AF1665" s="32" t="inlineStr"/>
    </row>
    <row r="1666">
      <c r="A1666" s="32">
        <f>IF(AND(Supplier_Payments!$S23=1,N(Supplier_Payments!$E23)&gt;0),1,0)</f>
        <v/>
      </c>
      <c r="B1666" s="32">
        <f>IF($A1666=1,$E1666&amp;"/2","")</f>
        <v/>
      </c>
      <c r="C1666" s="32">
        <f>IF($A1666=1,"J-"&amp;Supplier_Payments!$A23,"")</f>
        <v/>
      </c>
      <c r="D1666" s="33">
        <f>IF($A1666=1,Supplier_Payments!$B23,"")</f>
        <v/>
      </c>
      <c r="E1666" s="32">
        <f>IF($A1666=1,IF(Supplier_Payments!$A23="","",Supplier_Payments!$A23),"")</f>
        <v/>
      </c>
      <c r="F1666" s="32">
        <f>IF($A1666=1,"SPAY","")</f>
        <v/>
      </c>
      <c r="G1666" s="32">
        <f>IF($A1666=1,IF(Supplier_Payments!$P23="","",Supplier_Payments!$P23),"")</f>
        <v/>
      </c>
      <c r="H1666" s="32">
        <f>IF($A1666=1,IF(COUNTIF(COA!$A:$A,$G1666)=0,"حساب غير معرف",INDEX(COA!$B:$B,MATCH($G1666,COA!$A:$A,0))),"")</f>
        <v/>
      </c>
      <c r="I1666" s="32">
        <f>IF($A1666=1,IF(Supplier_Payments!$Q23="","",Supplier_Payments!$Q23),"")</f>
        <v/>
      </c>
      <c r="J1666" s="32">
        <f>IF($A1666=1,"CC00","")</f>
        <v/>
      </c>
      <c r="K1666" s="32">
        <f>IF($A1666=1,"-","")</f>
        <v/>
      </c>
      <c r="L1666" s="32">
        <f>IF($A1666=1,IF(Supplier_Payments!$H23="","دفعة مورد "&amp;Supplier_Payments!$C23,Supplier_Payments!$H23),"")</f>
        <v/>
      </c>
      <c r="M1666" s="43">
        <f>IF($A1666=1,0,"")</f>
        <v/>
      </c>
      <c r="N1666" s="43">
        <f>IF($A1666=1,Supplier_Payments!$E23,"")</f>
        <v/>
      </c>
      <c r="O1666" s="32">
        <f>IF($A1666=1,Supplier_Payments!$I23,"")</f>
        <v/>
      </c>
      <c r="P1666" s="32">
        <f>IF($A1666=1,IF(Supplier_Payments!$T23="","",Supplier_Payments!$T23),"")</f>
        <v/>
      </c>
      <c r="Q1666" s="32">
        <f>IF($A1666=1,Supplier_Payments!$V23,"")</f>
        <v/>
      </c>
      <c r="R1666" s="32">
        <f>IF($A1666=1,IF(AND($Q1666=1,COUNTIFS(COA!$A:$A,$G1666,COA!$R:$R,1)=1),1,0),"")</f>
        <v/>
      </c>
      <c r="S1666" s="43">
        <f>IF($A1666=1,IF($R1666=1,N($M1666),0),"")</f>
        <v/>
      </c>
      <c r="T1666" s="43">
        <f>IF($A1666=1,IF($R1666=1,N($N1666),0),"")</f>
        <v/>
      </c>
      <c r="U1666" s="32">
        <f>IF($A1666=1,YEAR($D1666)*100+MONTH($D1666),"")</f>
        <v/>
      </c>
      <c r="V1666" s="32">
        <f>IF($A1666=1,IF(COUNTIF(COA!$A:$A,$G1666)=0,0,INDEX(COA!$H:$H,MATCH($G1666,COA!$A:$A,0))),"")</f>
        <v/>
      </c>
      <c r="W1666" s="32">
        <f>IF($A1666=1,IF(Supplier_Payments!$R23="","",Supplier_Payments!$R23),"")</f>
        <v/>
      </c>
      <c r="X1666" s="32">
        <f>IF($A1666=1,IF($R1666=1,"",IF($O1666=ST_POST,IF($P1666&lt;&gt;"",$P1666,"حساب غير صالح أو غير نشط"),IF($O1666=ST_REV,"معكوس: لا أثر على الدفاتر",IF($O1666=ST_CANC,"ملغى",IF($O1666=ST_APPR,"معتمد ولم يُرحَّل","مسودة"))))),"")</f>
        <v/>
      </c>
      <c r="Y1666" s="32">
        <f>IF($A1666=1,IF(AND($R1666=1,OR(LG_Acct="",$G1666=LG_Acct),OR(LG_Party="",$K1666=LG_Party),OR(LG_Loc="ALL",$I1666=LG_Loc),OR(LG_CC="ALL",$J1666=LG_CC),$D1666&gt;=LG_From,$D1666&lt;=LG_To),$D1666+ROW()/1000000,""),"")</f>
        <v/>
      </c>
      <c r="Z1666" s="32">
        <f>IF($A1666=1,IF(Supplier_Payments!$J23="","",Supplier_Payments!$J23),"")</f>
        <v/>
      </c>
      <c r="AA1666" s="32">
        <f>IF($A1666=1,IF(Supplier_Payments!$K23="","",Supplier_Payments!$K23),"")</f>
        <v/>
      </c>
      <c r="AB1666" s="32">
        <f>IF($A1666=1,IF(Supplier_Payments!$L23="","",Supplier_Payments!$L23),"")</f>
        <v/>
      </c>
      <c r="AC1666" s="32">
        <f>IF($A1666=1,IF(Supplier_Payments!$M23="","",Supplier_Payments!$M23),"")</f>
        <v/>
      </c>
      <c r="AD1666" s="32">
        <f>IF($A1666=1,IF(Supplier_Payments!$N23="","",Supplier_Payments!$N23),"")</f>
        <v/>
      </c>
      <c r="AE1666" s="32">
        <f>IF($A1666=1,0,"")</f>
        <v/>
      </c>
      <c r="AF1666" s="32" t="inlineStr"/>
    </row>
    <row r="1667">
      <c r="A1667" s="32">
        <f>IF(AND(Supplier_Payments!$S24=1,N(Supplier_Payments!$E24)&gt;0),1,0)</f>
        <v/>
      </c>
      <c r="B1667" s="32">
        <f>IF($A1667=1,$E1667&amp;"/1","")</f>
        <v/>
      </c>
      <c r="C1667" s="32">
        <f>IF($A1667=1,"J-"&amp;Supplier_Payments!$A24,"")</f>
        <v/>
      </c>
      <c r="D1667" s="33">
        <f>IF($A1667=1,Supplier_Payments!$B24,"")</f>
        <v/>
      </c>
      <c r="E1667" s="32">
        <f>IF($A1667=1,IF(Supplier_Payments!$A24="","",Supplier_Payments!$A24),"")</f>
        <v/>
      </c>
      <c r="F1667" s="32">
        <f>IF($A1667=1,"SPAY","")</f>
        <v/>
      </c>
      <c r="G1667" s="32">
        <f>IF($A1667=1,ACC_SUPPLIERS,"")</f>
        <v/>
      </c>
      <c r="H1667" s="32">
        <f>IF($A1667=1,IF(COUNTIF(COA!$A:$A,$G1667)=0,"حساب غير معرف",INDEX(COA!$B:$B,MATCH($G1667,COA!$A:$A,0))),"")</f>
        <v/>
      </c>
      <c r="I1667" s="32">
        <f>IF($A1667=1,IF(Supplier_Payments!$Q24="","",Supplier_Payments!$Q24),"")</f>
        <v/>
      </c>
      <c r="J1667" s="32">
        <f>IF($A1667=1,"CC00","")</f>
        <v/>
      </c>
      <c r="K1667" s="32">
        <f>IF($A1667=1,IF(Supplier_Payments!$C24="","",Supplier_Payments!$C24),"")</f>
        <v/>
      </c>
      <c r="L1667" s="32">
        <f>IF($A1667=1,IF(Supplier_Payments!$H24="","دفعة مورد "&amp;Supplier_Payments!$C24,Supplier_Payments!$H24),"")</f>
        <v/>
      </c>
      <c r="M1667" s="43">
        <f>IF($A1667=1,Supplier_Payments!$E24,"")</f>
        <v/>
      </c>
      <c r="N1667" s="43">
        <f>IF($A1667=1,0,"")</f>
        <v/>
      </c>
      <c r="O1667" s="32">
        <f>IF($A1667=1,Supplier_Payments!$I24,"")</f>
        <v/>
      </c>
      <c r="P1667" s="32">
        <f>IF($A1667=1,IF(Supplier_Payments!$T24="","",Supplier_Payments!$T24),"")</f>
        <v/>
      </c>
      <c r="Q1667" s="32">
        <f>IF($A1667=1,Supplier_Payments!$V24,"")</f>
        <v/>
      </c>
      <c r="R1667" s="32">
        <f>IF($A1667=1,IF(AND($Q1667=1,COUNTIFS(COA!$A:$A,$G1667,COA!$R:$R,1)=1),1,0),"")</f>
        <v/>
      </c>
      <c r="S1667" s="43">
        <f>IF($A1667=1,IF($R1667=1,N($M1667),0),"")</f>
        <v/>
      </c>
      <c r="T1667" s="43">
        <f>IF($A1667=1,IF($R1667=1,N($N1667),0),"")</f>
        <v/>
      </c>
      <c r="U1667" s="32">
        <f>IF($A1667=1,YEAR($D1667)*100+MONTH($D1667),"")</f>
        <v/>
      </c>
      <c r="V1667" s="32">
        <f>IF($A1667=1,IF(COUNTIF(COA!$A:$A,$G1667)=0,0,INDEX(COA!$H:$H,MATCH($G1667,COA!$A:$A,0))),"")</f>
        <v/>
      </c>
      <c r="W1667" s="32">
        <f>IF($A1667=1,"","")</f>
        <v/>
      </c>
      <c r="X1667" s="32">
        <f>IF($A1667=1,IF($R1667=1,"",IF($O1667=ST_POST,IF($P1667&lt;&gt;"",$P1667,"حساب غير صالح أو غير نشط"),IF($O1667=ST_REV,"معكوس: لا أثر على الدفاتر",IF($O1667=ST_CANC,"ملغى",IF($O1667=ST_APPR,"معتمد ولم يُرحَّل","مسودة"))))),"")</f>
        <v/>
      </c>
      <c r="Y1667" s="32">
        <f>IF($A1667=1,IF(AND($R1667=1,OR(LG_Acct="",$G1667=LG_Acct),OR(LG_Party="",$K1667=LG_Party),OR(LG_Loc="ALL",$I1667=LG_Loc),OR(LG_CC="ALL",$J1667=LG_CC),$D1667&gt;=LG_From,$D1667&lt;=LG_To),$D1667+ROW()/1000000,""),"")</f>
        <v/>
      </c>
      <c r="Z1667" s="32">
        <f>IF($A1667=1,IF(Supplier_Payments!$J24="","",Supplier_Payments!$J24),"")</f>
        <v/>
      </c>
      <c r="AA1667" s="32">
        <f>IF($A1667=1,IF(Supplier_Payments!$K24="","",Supplier_Payments!$K24),"")</f>
        <v/>
      </c>
      <c r="AB1667" s="32">
        <f>IF($A1667=1,IF(Supplier_Payments!$L24="","",Supplier_Payments!$L24),"")</f>
        <v/>
      </c>
      <c r="AC1667" s="32">
        <f>IF($A1667=1,IF(Supplier_Payments!$M24="","",Supplier_Payments!$M24),"")</f>
        <v/>
      </c>
      <c r="AD1667" s="32">
        <f>IF($A1667=1,IF(Supplier_Payments!$N24="","",Supplier_Payments!$N24),"")</f>
        <v/>
      </c>
      <c r="AE1667" s="32">
        <f>IF($A1667=1,0,"")</f>
        <v/>
      </c>
      <c r="AF1667" s="32" t="inlineStr"/>
    </row>
    <row r="1668">
      <c r="A1668" s="32">
        <f>IF(AND(Supplier_Payments!$S24=1,N(Supplier_Payments!$E24)&gt;0),1,0)</f>
        <v/>
      </c>
      <c r="B1668" s="32">
        <f>IF($A1668=1,$E1668&amp;"/2","")</f>
        <v/>
      </c>
      <c r="C1668" s="32">
        <f>IF($A1668=1,"J-"&amp;Supplier_Payments!$A24,"")</f>
        <v/>
      </c>
      <c r="D1668" s="33">
        <f>IF($A1668=1,Supplier_Payments!$B24,"")</f>
        <v/>
      </c>
      <c r="E1668" s="32">
        <f>IF($A1668=1,IF(Supplier_Payments!$A24="","",Supplier_Payments!$A24),"")</f>
        <v/>
      </c>
      <c r="F1668" s="32">
        <f>IF($A1668=1,"SPAY","")</f>
        <v/>
      </c>
      <c r="G1668" s="32">
        <f>IF($A1668=1,IF(Supplier_Payments!$P24="","",Supplier_Payments!$P24),"")</f>
        <v/>
      </c>
      <c r="H1668" s="32">
        <f>IF($A1668=1,IF(COUNTIF(COA!$A:$A,$G1668)=0,"حساب غير معرف",INDEX(COA!$B:$B,MATCH($G1668,COA!$A:$A,0))),"")</f>
        <v/>
      </c>
      <c r="I1668" s="32">
        <f>IF($A1668=1,IF(Supplier_Payments!$Q24="","",Supplier_Payments!$Q24),"")</f>
        <v/>
      </c>
      <c r="J1668" s="32">
        <f>IF($A1668=1,"CC00","")</f>
        <v/>
      </c>
      <c r="K1668" s="32">
        <f>IF($A1668=1,"-","")</f>
        <v/>
      </c>
      <c r="L1668" s="32">
        <f>IF($A1668=1,IF(Supplier_Payments!$H24="","دفعة مورد "&amp;Supplier_Payments!$C24,Supplier_Payments!$H24),"")</f>
        <v/>
      </c>
      <c r="M1668" s="43">
        <f>IF($A1668=1,0,"")</f>
        <v/>
      </c>
      <c r="N1668" s="43">
        <f>IF($A1668=1,Supplier_Payments!$E24,"")</f>
        <v/>
      </c>
      <c r="O1668" s="32">
        <f>IF($A1668=1,Supplier_Payments!$I24,"")</f>
        <v/>
      </c>
      <c r="P1668" s="32">
        <f>IF($A1668=1,IF(Supplier_Payments!$T24="","",Supplier_Payments!$T24),"")</f>
        <v/>
      </c>
      <c r="Q1668" s="32">
        <f>IF($A1668=1,Supplier_Payments!$V24,"")</f>
        <v/>
      </c>
      <c r="R1668" s="32">
        <f>IF($A1668=1,IF(AND($Q1668=1,COUNTIFS(COA!$A:$A,$G1668,COA!$R:$R,1)=1),1,0),"")</f>
        <v/>
      </c>
      <c r="S1668" s="43">
        <f>IF($A1668=1,IF($R1668=1,N($M1668),0),"")</f>
        <v/>
      </c>
      <c r="T1668" s="43">
        <f>IF($A1668=1,IF($R1668=1,N($N1668),0),"")</f>
        <v/>
      </c>
      <c r="U1668" s="32">
        <f>IF($A1668=1,YEAR($D1668)*100+MONTH($D1668),"")</f>
        <v/>
      </c>
      <c r="V1668" s="32">
        <f>IF($A1668=1,IF(COUNTIF(COA!$A:$A,$G1668)=0,0,INDEX(COA!$H:$H,MATCH($G1668,COA!$A:$A,0))),"")</f>
        <v/>
      </c>
      <c r="W1668" s="32">
        <f>IF($A1668=1,IF(Supplier_Payments!$R24="","",Supplier_Payments!$R24),"")</f>
        <v/>
      </c>
      <c r="X1668" s="32">
        <f>IF($A1668=1,IF($R1668=1,"",IF($O1668=ST_POST,IF($P1668&lt;&gt;"",$P1668,"حساب غير صالح أو غير نشط"),IF($O1668=ST_REV,"معكوس: لا أثر على الدفاتر",IF($O1668=ST_CANC,"ملغى",IF($O1668=ST_APPR,"معتمد ولم يُرحَّل","مسودة"))))),"")</f>
        <v/>
      </c>
      <c r="Y1668" s="32">
        <f>IF($A1668=1,IF(AND($R1668=1,OR(LG_Acct="",$G1668=LG_Acct),OR(LG_Party="",$K1668=LG_Party),OR(LG_Loc="ALL",$I1668=LG_Loc),OR(LG_CC="ALL",$J1668=LG_CC),$D1668&gt;=LG_From,$D1668&lt;=LG_To),$D1668+ROW()/1000000,""),"")</f>
        <v/>
      </c>
      <c r="Z1668" s="32">
        <f>IF($A1668=1,IF(Supplier_Payments!$J24="","",Supplier_Payments!$J24),"")</f>
        <v/>
      </c>
      <c r="AA1668" s="32">
        <f>IF($A1668=1,IF(Supplier_Payments!$K24="","",Supplier_Payments!$K24),"")</f>
        <v/>
      </c>
      <c r="AB1668" s="32">
        <f>IF($A1668=1,IF(Supplier_Payments!$L24="","",Supplier_Payments!$L24),"")</f>
        <v/>
      </c>
      <c r="AC1668" s="32">
        <f>IF($A1668=1,IF(Supplier_Payments!$M24="","",Supplier_Payments!$M24),"")</f>
        <v/>
      </c>
      <c r="AD1668" s="32">
        <f>IF($A1668=1,IF(Supplier_Payments!$N24="","",Supplier_Payments!$N24),"")</f>
        <v/>
      </c>
      <c r="AE1668" s="32">
        <f>IF($A1668=1,0,"")</f>
        <v/>
      </c>
      <c r="AF1668" s="32" t="inlineStr"/>
    </row>
    <row r="1669">
      <c r="A1669" s="32">
        <f>IF(AND(Supplier_Payments!$S25=1,N(Supplier_Payments!$E25)&gt;0),1,0)</f>
        <v/>
      </c>
      <c r="B1669" s="32">
        <f>IF($A1669=1,$E1669&amp;"/1","")</f>
        <v/>
      </c>
      <c r="C1669" s="32">
        <f>IF($A1669=1,"J-"&amp;Supplier_Payments!$A25,"")</f>
        <v/>
      </c>
      <c r="D1669" s="33">
        <f>IF($A1669=1,Supplier_Payments!$B25,"")</f>
        <v/>
      </c>
      <c r="E1669" s="32">
        <f>IF($A1669=1,IF(Supplier_Payments!$A25="","",Supplier_Payments!$A25),"")</f>
        <v/>
      </c>
      <c r="F1669" s="32">
        <f>IF($A1669=1,"SPAY","")</f>
        <v/>
      </c>
      <c r="G1669" s="32">
        <f>IF($A1669=1,ACC_SUPPLIERS,"")</f>
        <v/>
      </c>
      <c r="H1669" s="32">
        <f>IF($A1669=1,IF(COUNTIF(COA!$A:$A,$G1669)=0,"حساب غير معرف",INDEX(COA!$B:$B,MATCH($G1669,COA!$A:$A,0))),"")</f>
        <v/>
      </c>
      <c r="I1669" s="32">
        <f>IF($A1669=1,IF(Supplier_Payments!$Q25="","",Supplier_Payments!$Q25),"")</f>
        <v/>
      </c>
      <c r="J1669" s="32">
        <f>IF($A1669=1,"CC00","")</f>
        <v/>
      </c>
      <c r="K1669" s="32">
        <f>IF($A1669=1,IF(Supplier_Payments!$C25="","",Supplier_Payments!$C25),"")</f>
        <v/>
      </c>
      <c r="L1669" s="32">
        <f>IF($A1669=1,IF(Supplier_Payments!$H25="","دفعة مورد "&amp;Supplier_Payments!$C25,Supplier_Payments!$H25),"")</f>
        <v/>
      </c>
      <c r="M1669" s="43">
        <f>IF($A1669=1,Supplier_Payments!$E25,"")</f>
        <v/>
      </c>
      <c r="N1669" s="43">
        <f>IF($A1669=1,0,"")</f>
        <v/>
      </c>
      <c r="O1669" s="32">
        <f>IF($A1669=1,Supplier_Payments!$I25,"")</f>
        <v/>
      </c>
      <c r="P1669" s="32">
        <f>IF($A1669=1,IF(Supplier_Payments!$T25="","",Supplier_Payments!$T25),"")</f>
        <v/>
      </c>
      <c r="Q1669" s="32">
        <f>IF($A1669=1,Supplier_Payments!$V25,"")</f>
        <v/>
      </c>
      <c r="R1669" s="32">
        <f>IF($A1669=1,IF(AND($Q1669=1,COUNTIFS(COA!$A:$A,$G1669,COA!$R:$R,1)=1),1,0),"")</f>
        <v/>
      </c>
      <c r="S1669" s="43">
        <f>IF($A1669=1,IF($R1669=1,N($M1669),0),"")</f>
        <v/>
      </c>
      <c r="T1669" s="43">
        <f>IF($A1669=1,IF($R1669=1,N($N1669),0),"")</f>
        <v/>
      </c>
      <c r="U1669" s="32">
        <f>IF($A1669=1,YEAR($D1669)*100+MONTH($D1669),"")</f>
        <v/>
      </c>
      <c r="V1669" s="32">
        <f>IF($A1669=1,IF(COUNTIF(COA!$A:$A,$G1669)=0,0,INDEX(COA!$H:$H,MATCH($G1669,COA!$A:$A,0))),"")</f>
        <v/>
      </c>
      <c r="W1669" s="32">
        <f>IF($A1669=1,"","")</f>
        <v/>
      </c>
      <c r="X1669" s="32">
        <f>IF($A1669=1,IF($R1669=1,"",IF($O1669=ST_POST,IF($P1669&lt;&gt;"",$P1669,"حساب غير صالح أو غير نشط"),IF($O1669=ST_REV,"معكوس: لا أثر على الدفاتر",IF($O1669=ST_CANC,"ملغى",IF($O1669=ST_APPR,"معتمد ولم يُرحَّل","مسودة"))))),"")</f>
        <v/>
      </c>
      <c r="Y1669" s="32">
        <f>IF($A1669=1,IF(AND($R1669=1,OR(LG_Acct="",$G1669=LG_Acct),OR(LG_Party="",$K1669=LG_Party),OR(LG_Loc="ALL",$I1669=LG_Loc),OR(LG_CC="ALL",$J1669=LG_CC),$D1669&gt;=LG_From,$D1669&lt;=LG_To),$D1669+ROW()/1000000,""),"")</f>
        <v/>
      </c>
      <c r="Z1669" s="32">
        <f>IF($A1669=1,IF(Supplier_Payments!$J25="","",Supplier_Payments!$J25),"")</f>
        <v/>
      </c>
      <c r="AA1669" s="32">
        <f>IF($A1669=1,IF(Supplier_Payments!$K25="","",Supplier_Payments!$K25),"")</f>
        <v/>
      </c>
      <c r="AB1669" s="32">
        <f>IF($A1669=1,IF(Supplier_Payments!$L25="","",Supplier_Payments!$L25),"")</f>
        <v/>
      </c>
      <c r="AC1669" s="32">
        <f>IF($A1669=1,IF(Supplier_Payments!$M25="","",Supplier_Payments!$M25),"")</f>
        <v/>
      </c>
      <c r="AD1669" s="32">
        <f>IF($A1669=1,IF(Supplier_Payments!$N25="","",Supplier_Payments!$N25),"")</f>
        <v/>
      </c>
      <c r="AE1669" s="32">
        <f>IF($A1669=1,0,"")</f>
        <v/>
      </c>
      <c r="AF1669" s="32" t="inlineStr"/>
    </row>
    <row r="1670">
      <c r="A1670" s="32">
        <f>IF(AND(Supplier_Payments!$S25=1,N(Supplier_Payments!$E25)&gt;0),1,0)</f>
        <v/>
      </c>
      <c r="B1670" s="32">
        <f>IF($A1670=1,$E1670&amp;"/2","")</f>
        <v/>
      </c>
      <c r="C1670" s="32">
        <f>IF($A1670=1,"J-"&amp;Supplier_Payments!$A25,"")</f>
        <v/>
      </c>
      <c r="D1670" s="33">
        <f>IF($A1670=1,Supplier_Payments!$B25,"")</f>
        <v/>
      </c>
      <c r="E1670" s="32">
        <f>IF($A1670=1,IF(Supplier_Payments!$A25="","",Supplier_Payments!$A25),"")</f>
        <v/>
      </c>
      <c r="F1670" s="32">
        <f>IF($A1670=1,"SPAY","")</f>
        <v/>
      </c>
      <c r="G1670" s="32">
        <f>IF($A1670=1,IF(Supplier_Payments!$P25="","",Supplier_Payments!$P25),"")</f>
        <v/>
      </c>
      <c r="H1670" s="32">
        <f>IF($A1670=1,IF(COUNTIF(COA!$A:$A,$G1670)=0,"حساب غير معرف",INDEX(COA!$B:$B,MATCH($G1670,COA!$A:$A,0))),"")</f>
        <v/>
      </c>
      <c r="I1670" s="32">
        <f>IF($A1670=1,IF(Supplier_Payments!$Q25="","",Supplier_Payments!$Q25),"")</f>
        <v/>
      </c>
      <c r="J1670" s="32">
        <f>IF($A1670=1,"CC00","")</f>
        <v/>
      </c>
      <c r="K1670" s="32">
        <f>IF($A1670=1,"-","")</f>
        <v/>
      </c>
      <c r="L1670" s="32">
        <f>IF($A1670=1,IF(Supplier_Payments!$H25="","دفعة مورد "&amp;Supplier_Payments!$C25,Supplier_Payments!$H25),"")</f>
        <v/>
      </c>
      <c r="M1670" s="43">
        <f>IF($A1670=1,0,"")</f>
        <v/>
      </c>
      <c r="N1670" s="43">
        <f>IF($A1670=1,Supplier_Payments!$E25,"")</f>
        <v/>
      </c>
      <c r="O1670" s="32">
        <f>IF($A1670=1,Supplier_Payments!$I25,"")</f>
        <v/>
      </c>
      <c r="P1670" s="32">
        <f>IF($A1670=1,IF(Supplier_Payments!$T25="","",Supplier_Payments!$T25),"")</f>
        <v/>
      </c>
      <c r="Q1670" s="32">
        <f>IF($A1670=1,Supplier_Payments!$V25,"")</f>
        <v/>
      </c>
      <c r="R1670" s="32">
        <f>IF($A1670=1,IF(AND($Q1670=1,COUNTIFS(COA!$A:$A,$G1670,COA!$R:$R,1)=1),1,0),"")</f>
        <v/>
      </c>
      <c r="S1670" s="43">
        <f>IF($A1670=1,IF($R1670=1,N($M1670),0),"")</f>
        <v/>
      </c>
      <c r="T1670" s="43">
        <f>IF($A1670=1,IF($R1670=1,N($N1670),0),"")</f>
        <v/>
      </c>
      <c r="U1670" s="32">
        <f>IF($A1670=1,YEAR($D1670)*100+MONTH($D1670),"")</f>
        <v/>
      </c>
      <c r="V1670" s="32">
        <f>IF($A1670=1,IF(COUNTIF(COA!$A:$A,$G1670)=0,0,INDEX(COA!$H:$H,MATCH($G1670,COA!$A:$A,0))),"")</f>
        <v/>
      </c>
      <c r="W1670" s="32">
        <f>IF($A1670=1,IF(Supplier_Payments!$R25="","",Supplier_Payments!$R25),"")</f>
        <v/>
      </c>
      <c r="X1670" s="32">
        <f>IF($A1670=1,IF($R1670=1,"",IF($O1670=ST_POST,IF($P1670&lt;&gt;"",$P1670,"حساب غير صالح أو غير نشط"),IF($O1670=ST_REV,"معكوس: لا أثر على الدفاتر",IF($O1670=ST_CANC,"ملغى",IF($O1670=ST_APPR,"معتمد ولم يُرحَّل","مسودة"))))),"")</f>
        <v/>
      </c>
      <c r="Y1670" s="32">
        <f>IF($A1670=1,IF(AND($R1670=1,OR(LG_Acct="",$G1670=LG_Acct),OR(LG_Party="",$K1670=LG_Party),OR(LG_Loc="ALL",$I1670=LG_Loc),OR(LG_CC="ALL",$J1670=LG_CC),$D1670&gt;=LG_From,$D1670&lt;=LG_To),$D1670+ROW()/1000000,""),"")</f>
        <v/>
      </c>
      <c r="Z1670" s="32">
        <f>IF($A1670=1,IF(Supplier_Payments!$J25="","",Supplier_Payments!$J25),"")</f>
        <v/>
      </c>
      <c r="AA1670" s="32">
        <f>IF($A1670=1,IF(Supplier_Payments!$K25="","",Supplier_Payments!$K25),"")</f>
        <v/>
      </c>
      <c r="AB1670" s="32">
        <f>IF($A1670=1,IF(Supplier_Payments!$L25="","",Supplier_Payments!$L25),"")</f>
        <v/>
      </c>
      <c r="AC1670" s="32">
        <f>IF($A1670=1,IF(Supplier_Payments!$M25="","",Supplier_Payments!$M25),"")</f>
        <v/>
      </c>
      <c r="AD1670" s="32">
        <f>IF($A1670=1,IF(Supplier_Payments!$N25="","",Supplier_Payments!$N25),"")</f>
        <v/>
      </c>
      <c r="AE1670" s="32">
        <f>IF($A1670=1,0,"")</f>
        <v/>
      </c>
      <c r="AF1670" s="32" t="inlineStr"/>
    </row>
    <row r="1671">
      <c r="A1671" s="32">
        <f>IF(AND(Supplier_Payments!$S26=1,N(Supplier_Payments!$E26)&gt;0),1,0)</f>
        <v/>
      </c>
      <c r="B1671" s="32">
        <f>IF($A1671=1,$E1671&amp;"/1","")</f>
        <v/>
      </c>
      <c r="C1671" s="32">
        <f>IF($A1671=1,"J-"&amp;Supplier_Payments!$A26,"")</f>
        <v/>
      </c>
      <c r="D1671" s="33">
        <f>IF($A1671=1,Supplier_Payments!$B26,"")</f>
        <v/>
      </c>
      <c r="E1671" s="32">
        <f>IF($A1671=1,IF(Supplier_Payments!$A26="","",Supplier_Payments!$A26),"")</f>
        <v/>
      </c>
      <c r="F1671" s="32">
        <f>IF($A1671=1,"SPAY","")</f>
        <v/>
      </c>
      <c r="G1671" s="32">
        <f>IF($A1671=1,ACC_SUPPLIERS,"")</f>
        <v/>
      </c>
      <c r="H1671" s="32">
        <f>IF($A1671=1,IF(COUNTIF(COA!$A:$A,$G1671)=0,"حساب غير معرف",INDEX(COA!$B:$B,MATCH($G1671,COA!$A:$A,0))),"")</f>
        <v/>
      </c>
      <c r="I1671" s="32">
        <f>IF($A1671=1,IF(Supplier_Payments!$Q26="","",Supplier_Payments!$Q26),"")</f>
        <v/>
      </c>
      <c r="J1671" s="32">
        <f>IF($A1671=1,"CC00","")</f>
        <v/>
      </c>
      <c r="K1671" s="32">
        <f>IF($A1671=1,IF(Supplier_Payments!$C26="","",Supplier_Payments!$C26),"")</f>
        <v/>
      </c>
      <c r="L1671" s="32">
        <f>IF($A1671=1,IF(Supplier_Payments!$H26="","دفعة مورد "&amp;Supplier_Payments!$C26,Supplier_Payments!$H26),"")</f>
        <v/>
      </c>
      <c r="M1671" s="43">
        <f>IF($A1671=1,Supplier_Payments!$E26,"")</f>
        <v/>
      </c>
      <c r="N1671" s="43">
        <f>IF($A1671=1,0,"")</f>
        <v/>
      </c>
      <c r="O1671" s="32">
        <f>IF($A1671=1,Supplier_Payments!$I26,"")</f>
        <v/>
      </c>
      <c r="P1671" s="32">
        <f>IF($A1671=1,IF(Supplier_Payments!$T26="","",Supplier_Payments!$T26),"")</f>
        <v/>
      </c>
      <c r="Q1671" s="32">
        <f>IF($A1671=1,Supplier_Payments!$V26,"")</f>
        <v/>
      </c>
      <c r="R1671" s="32">
        <f>IF($A1671=1,IF(AND($Q1671=1,COUNTIFS(COA!$A:$A,$G1671,COA!$R:$R,1)=1),1,0),"")</f>
        <v/>
      </c>
      <c r="S1671" s="43">
        <f>IF($A1671=1,IF($R1671=1,N($M1671),0),"")</f>
        <v/>
      </c>
      <c r="T1671" s="43">
        <f>IF($A1671=1,IF($R1671=1,N($N1671),0),"")</f>
        <v/>
      </c>
      <c r="U1671" s="32">
        <f>IF($A1671=1,YEAR($D1671)*100+MONTH($D1671),"")</f>
        <v/>
      </c>
      <c r="V1671" s="32">
        <f>IF($A1671=1,IF(COUNTIF(COA!$A:$A,$G1671)=0,0,INDEX(COA!$H:$H,MATCH($G1671,COA!$A:$A,0))),"")</f>
        <v/>
      </c>
      <c r="W1671" s="32">
        <f>IF($A1671=1,"","")</f>
        <v/>
      </c>
      <c r="X1671" s="32">
        <f>IF($A1671=1,IF($R1671=1,"",IF($O1671=ST_POST,IF($P1671&lt;&gt;"",$P1671,"حساب غير صالح أو غير نشط"),IF($O1671=ST_REV,"معكوس: لا أثر على الدفاتر",IF($O1671=ST_CANC,"ملغى",IF($O1671=ST_APPR,"معتمد ولم يُرحَّل","مسودة"))))),"")</f>
        <v/>
      </c>
      <c r="Y1671" s="32">
        <f>IF($A1671=1,IF(AND($R1671=1,OR(LG_Acct="",$G1671=LG_Acct),OR(LG_Party="",$K1671=LG_Party),OR(LG_Loc="ALL",$I1671=LG_Loc),OR(LG_CC="ALL",$J1671=LG_CC),$D1671&gt;=LG_From,$D1671&lt;=LG_To),$D1671+ROW()/1000000,""),"")</f>
        <v/>
      </c>
      <c r="Z1671" s="32">
        <f>IF($A1671=1,IF(Supplier_Payments!$J26="","",Supplier_Payments!$J26),"")</f>
        <v/>
      </c>
      <c r="AA1671" s="32">
        <f>IF($A1671=1,IF(Supplier_Payments!$K26="","",Supplier_Payments!$K26),"")</f>
        <v/>
      </c>
      <c r="AB1671" s="32">
        <f>IF($A1671=1,IF(Supplier_Payments!$L26="","",Supplier_Payments!$L26),"")</f>
        <v/>
      </c>
      <c r="AC1671" s="32">
        <f>IF($A1671=1,IF(Supplier_Payments!$M26="","",Supplier_Payments!$M26),"")</f>
        <v/>
      </c>
      <c r="AD1671" s="32">
        <f>IF($A1671=1,IF(Supplier_Payments!$N26="","",Supplier_Payments!$N26),"")</f>
        <v/>
      </c>
      <c r="AE1671" s="32">
        <f>IF($A1671=1,0,"")</f>
        <v/>
      </c>
      <c r="AF1671" s="32" t="inlineStr"/>
    </row>
    <row r="1672">
      <c r="A1672" s="32">
        <f>IF(AND(Supplier_Payments!$S26=1,N(Supplier_Payments!$E26)&gt;0),1,0)</f>
        <v/>
      </c>
      <c r="B1672" s="32">
        <f>IF($A1672=1,$E1672&amp;"/2","")</f>
        <v/>
      </c>
      <c r="C1672" s="32">
        <f>IF($A1672=1,"J-"&amp;Supplier_Payments!$A26,"")</f>
        <v/>
      </c>
      <c r="D1672" s="33">
        <f>IF($A1672=1,Supplier_Payments!$B26,"")</f>
        <v/>
      </c>
      <c r="E1672" s="32">
        <f>IF($A1672=1,IF(Supplier_Payments!$A26="","",Supplier_Payments!$A26),"")</f>
        <v/>
      </c>
      <c r="F1672" s="32">
        <f>IF($A1672=1,"SPAY","")</f>
        <v/>
      </c>
      <c r="G1672" s="32">
        <f>IF($A1672=1,IF(Supplier_Payments!$P26="","",Supplier_Payments!$P26),"")</f>
        <v/>
      </c>
      <c r="H1672" s="32">
        <f>IF($A1672=1,IF(COUNTIF(COA!$A:$A,$G1672)=0,"حساب غير معرف",INDEX(COA!$B:$B,MATCH($G1672,COA!$A:$A,0))),"")</f>
        <v/>
      </c>
      <c r="I1672" s="32">
        <f>IF($A1672=1,IF(Supplier_Payments!$Q26="","",Supplier_Payments!$Q26),"")</f>
        <v/>
      </c>
      <c r="J1672" s="32">
        <f>IF($A1672=1,"CC00","")</f>
        <v/>
      </c>
      <c r="K1672" s="32">
        <f>IF($A1672=1,"-","")</f>
        <v/>
      </c>
      <c r="L1672" s="32">
        <f>IF($A1672=1,IF(Supplier_Payments!$H26="","دفعة مورد "&amp;Supplier_Payments!$C26,Supplier_Payments!$H26),"")</f>
        <v/>
      </c>
      <c r="M1672" s="43">
        <f>IF($A1672=1,0,"")</f>
        <v/>
      </c>
      <c r="N1672" s="43">
        <f>IF($A1672=1,Supplier_Payments!$E26,"")</f>
        <v/>
      </c>
      <c r="O1672" s="32">
        <f>IF($A1672=1,Supplier_Payments!$I26,"")</f>
        <v/>
      </c>
      <c r="P1672" s="32">
        <f>IF($A1672=1,IF(Supplier_Payments!$T26="","",Supplier_Payments!$T26),"")</f>
        <v/>
      </c>
      <c r="Q1672" s="32">
        <f>IF($A1672=1,Supplier_Payments!$V26,"")</f>
        <v/>
      </c>
      <c r="R1672" s="32">
        <f>IF($A1672=1,IF(AND($Q1672=1,COUNTIFS(COA!$A:$A,$G1672,COA!$R:$R,1)=1),1,0),"")</f>
        <v/>
      </c>
      <c r="S1672" s="43">
        <f>IF($A1672=1,IF($R1672=1,N($M1672),0),"")</f>
        <v/>
      </c>
      <c r="T1672" s="43">
        <f>IF($A1672=1,IF($R1672=1,N($N1672),0),"")</f>
        <v/>
      </c>
      <c r="U1672" s="32">
        <f>IF($A1672=1,YEAR($D1672)*100+MONTH($D1672),"")</f>
        <v/>
      </c>
      <c r="V1672" s="32">
        <f>IF($A1672=1,IF(COUNTIF(COA!$A:$A,$G1672)=0,0,INDEX(COA!$H:$H,MATCH($G1672,COA!$A:$A,0))),"")</f>
        <v/>
      </c>
      <c r="W1672" s="32">
        <f>IF($A1672=1,IF(Supplier_Payments!$R26="","",Supplier_Payments!$R26),"")</f>
        <v/>
      </c>
      <c r="X1672" s="32">
        <f>IF($A1672=1,IF($R1672=1,"",IF($O1672=ST_POST,IF($P1672&lt;&gt;"",$P1672,"حساب غير صالح أو غير نشط"),IF($O1672=ST_REV,"معكوس: لا أثر على الدفاتر",IF($O1672=ST_CANC,"ملغى",IF($O1672=ST_APPR,"معتمد ولم يُرحَّل","مسودة"))))),"")</f>
        <v/>
      </c>
      <c r="Y1672" s="32">
        <f>IF($A1672=1,IF(AND($R1672=1,OR(LG_Acct="",$G1672=LG_Acct),OR(LG_Party="",$K1672=LG_Party),OR(LG_Loc="ALL",$I1672=LG_Loc),OR(LG_CC="ALL",$J1672=LG_CC),$D1672&gt;=LG_From,$D1672&lt;=LG_To),$D1672+ROW()/1000000,""),"")</f>
        <v/>
      </c>
      <c r="Z1672" s="32">
        <f>IF($A1672=1,IF(Supplier_Payments!$J26="","",Supplier_Payments!$J26),"")</f>
        <v/>
      </c>
      <c r="AA1672" s="32">
        <f>IF($A1672=1,IF(Supplier_Payments!$K26="","",Supplier_Payments!$K26),"")</f>
        <v/>
      </c>
      <c r="AB1672" s="32">
        <f>IF($A1672=1,IF(Supplier_Payments!$L26="","",Supplier_Payments!$L26),"")</f>
        <v/>
      </c>
      <c r="AC1672" s="32">
        <f>IF($A1672=1,IF(Supplier_Payments!$M26="","",Supplier_Payments!$M26),"")</f>
        <v/>
      </c>
      <c r="AD1672" s="32">
        <f>IF($A1672=1,IF(Supplier_Payments!$N26="","",Supplier_Payments!$N26),"")</f>
        <v/>
      </c>
      <c r="AE1672" s="32">
        <f>IF($A1672=1,0,"")</f>
        <v/>
      </c>
      <c r="AF1672" s="32" t="inlineStr"/>
    </row>
    <row r="1673">
      <c r="A1673" s="32">
        <f>IF(AND(Supplier_Payments!$S27=1,N(Supplier_Payments!$E27)&gt;0),1,0)</f>
        <v/>
      </c>
      <c r="B1673" s="32">
        <f>IF($A1673=1,$E1673&amp;"/1","")</f>
        <v/>
      </c>
      <c r="C1673" s="32">
        <f>IF($A1673=1,"J-"&amp;Supplier_Payments!$A27,"")</f>
        <v/>
      </c>
      <c r="D1673" s="33">
        <f>IF($A1673=1,Supplier_Payments!$B27,"")</f>
        <v/>
      </c>
      <c r="E1673" s="32">
        <f>IF($A1673=1,IF(Supplier_Payments!$A27="","",Supplier_Payments!$A27),"")</f>
        <v/>
      </c>
      <c r="F1673" s="32">
        <f>IF($A1673=1,"SPAY","")</f>
        <v/>
      </c>
      <c r="G1673" s="32">
        <f>IF($A1673=1,ACC_SUPPLIERS,"")</f>
        <v/>
      </c>
      <c r="H1673" s="32">
        <f>IF($A1673=1,IF(COUNTIF(COA!$A:$A,$G1673)=0,"حساب غير معرف",INDEX(COA!$B:$B,MATCH($G1673,COA!$A:$A,0))),"")</f>
        <v/>
      </c>
      <c r="I1673" s="32">
        <f>IF($A1673=1,IF(Supplier_Payments!$Q27="","",Supplier_Payments!$Q27),"")</f>
        <v/>
      </c>
      <c r="J1673" s="32">
        <f>IF($A1673=1,"CC00","")</f>
        <v/>
      </c>
      <c r="K1673" s="32">
        <f>IF($A1673=1,IF(Supplier_Payments!$C27="","",Supplier_Payments!$C27),"")</f>
        <v/>
      </c>
      <c r="L1673" s="32">
        <f>IF($A1673=1,IF(Supplier_Payments!$H27="","دفعة مورد "&amp;Supplier_Payments!$C27,Supplier_Payments!$H27),"")</f>
        <v/>
      </c>
      <c r="M1673" s="43">
        <f>IF($A1673=1,Supplier_Payments!$E27,"")</f>
        <v/>
      </c>
      <c r="N1673" s="43">
        <f>IF($A1673=1,0,"")</f>
        <v/>
      </c>
      <c r="O1673" s="32">
        <f>IF($A1673=1,Supplier_Payments!$I27,"")</f>
        <v/>
      </c>
      <c r="P1673" s="32">
        <f>IF($A1673=1,IF(Supplier_Payments!$T27="","",Supplier_Payments!$T27),"")</f>
        <v/>
      </c>
      <c r="Q1673" s="32">
        <f>IF($A1673=1,Supplier_Payments!$V27,"")</f>
        <v/>
      </c>
      <c r="R1673" s="32">
        <f>IF($A1673=1,IF(AND($Q1673=1,COUNTIFS(COA!$A:$A,$G1673,COA!$R:$R,1)=1),1,0),"")</f>
        <v/>
      </c>
      <c r="S1673" s="43">
        <f>IF($A1673=1,IF($R1673=1,N($M1673),0),"")</f>
        <v/>
      </c>
      <c r="T1673" s="43">
        <f>IF($A1673=1,IF($R1673=1,N($N1673),0),"")</f>
        <v/>
      </c>
      <c r="U1673" s="32">
        <f>IF($A1673=1,YEAR($D1673)*100+MONTH($D1673),"")</f>
        <v/>
      </c>
      <c r="V1673" s="32">
        <f>IF($A1673=1,IF(COUNTIF(COA!$A:$A,$G1673)=0,0,INDEX(COA!$H:$H,MATCH($G1673,COA!$A:$A,0))),"")</f>
        <v/>
      </c>
      <c r="W1673" s="32">
        <f>IF($A1673=1,"","")</f>
        <v/>
      </c>
      <c r="X1673" s="32">
        <f>IF($A1673=1,IF($R1673=1,"",IF($O1673=ST_POST,IF($P1673&lt;&gt;"",$P1673,"حساب غير صالح أو غير نشط"),IF($O1673=ST_REV,"معكوس: لا أثر على الدفاتر",IF($O1673=ST_CANC,"ملغى",IF($O1673=ST_APPR,"معتمد ولم يُرحَّل","مسودة"))))),"")</f>
        <v/>
      </c>
      <c r="Y1673" s="32">
        <f>IF($A1673=1,IF(AND($R1673=1,OR(LG_Acct="",$G1673=LG_Acct),OR(LG_Party="",$K1673=LG_Party),OR(LG_Loc="ALL",$I1673=LG_Loc),OR(LG_CC="ALL",$J1673=LG_CC),$D1673&gt;=LG_From,$D1673&lt;=LG_To),$D1673+ROW()/1000000,""),"")</f>
        <v/>
      </c>
      <c r="Z1673" s="32">
        <f>IF($A1673=1,IF(Supplier_Payments!$J27="","",Supplier_Payments!$J27),"")</f>
        <v/>
      </c>
      <c r="AA1673" s="32">
        <f>IF($A1673=1,IF(Supplier_Payments!$K27="","",Supplier_Payments!$K27),"")</f>
        <v/>
      </c>
      <c r="AB1673" s="32">
        <f>IF($A1673=1,IF(Supplier_Payments!$L27="","",Supplier_Payments!$L27),"")</f>
        <v/>
      </c>
      <c r="AC1673" s="32">
        <f>IF($A1673=1,IF(Supplier_Payments!$M27="","",Supplier_Payments!$M27),"")</f>
        <v/>
      </c>
      <c r="AD1673" s="32">
        <f>IF($A1673=1,IF(Supplier_Payments!$N27="","",Supplier_Payments!$N27),"")</f>
        <v/>
      </c>
      <c r="AE1673" s="32">
        <f>IF($A1673=1,0,"")</f>
        <v/>
      </c>
      <c r="AF1673" s="32" t="inlineStr"/>
    </row>
    <row r="1674">
      <c r="A1674" s="32">
        <f>IF(AND(Supplier_Payments!$S27=1,N(Supplier_Payments!$E27)&gt;0),1,0)</f>
        <v/>
      </c>
      <c r="B1674" s="32">
        <f>IF($A1674=1,$E1674&amp;"/2","")</f>
        <v/>
      </c>
      <c r="C1674" s="32">
        <f>IF($A1674=1,"J-"&amp;Supplier_Payments!$A27,"")</f>
        <v/>
      </c>
      <c r="D1674" s="33">
        <f>IF($A1674=1,Supplier_Payments!$B27,"")</f>
        <v/>
      </c>
      <c r="E1674" s="32">
        <f>IF($A1674=1,IF(Supplier_Payments!$A27="","",Supplier_Payments!$A27),"")</f>
        <v/>
      </c>
      <c r="F1674" s="32">
        <f>IF($A1674=1,"SPAY","")</f>
        <v/>
      </c>
      <c r="G1674" s="32">
        <f>IF($A1674=1,IF(Supplier_Payments!$P27="","",Supplier_Payments!$P27),"")</f>
        <v/>
      </c>
      <c r="H1674" s="32">
        <f>IF($A1674=1,IF(COUNTIF(COA!$A:$A,$G1674)=0,"حساب غير معرف",INDEX(COA!$B:$B,MATCH($G1674,COA!$A:$A,0))),"")</f>
        <v/>
      </c>
      <c r="I1674" s="32">
        <f>IF($A1674=1,IF(Supplier_Payments!$Q27="","",Supplier_Payments!$Q27),"")</f>
        <v/>
      </c>
      <c r="J1674" s="32">
        <f>IF($A1674=1,"CC00","")</f>
        <v/>
      </c>
      <c r="K1674" s="32">
        <f>IF($A1674=1,"-","")</f>
        <v/>
      </c>
      <c r="L1674" s="32">
        <f>IF($A1674=1,IF(Supplier_Payments!$H27="","دفعة مورد "&amp;Supplier_Payments!$C27,Supplier_Payments!$H27),"")</f>
        <v/>
      </c>
      <c r="M1674" s="43">
        <f>IF($A1674=1,0,"")</f>
        <v/>
      </c>
      <c r="N1674" s="43">
        <f>IF($A1674=1,Supplier_Payments!$E27,"")</f>
        <v/>
      </c>
      <c r="O1674" s="32">
        <f>IF($A1674=1,Supplier_Payments!$I27,"")</f>
        <v/>
      </c>
      <c r="P1674" s="32">
        <f>IF($A1674=1,IF(Supplier_Payments!$T27="","",Supplier_Payments!$T27),"")</f>
        <v/>
      </c>
      <c r="Q1674" s="32">
        <f>IF($A1674=1,Supplier_Payments!$V27,"")</f>
        <v/>
      </c>
      <c r="R1674" s="32">
        <f>IF($A1674=1,IF(AND($Q1674=1,COUNTIFS(COA!$A:$A,$G1674,COA!$R:$R,1)=1),1,0),"")</f>
        <v/>
      </c>
      <c r="S1674" s="43">
        <f>IF($A1674=1,IF($R1674=1,N($M1674),0),"")</f>
        <v/>
      </c>
      <c r="T1674" s="43">
        <f>IF($A1674=1,IF($R1674=1,N($N1674),0),"")</f>
        <v/>
      </c>
      <c r="U1674" s="32">
        <f>IF($A1674=1,YEAR($D1674)*100+MONTH($D1674),"")</f>
        <v/>
      </c>
      <c r="V1674" s="32">
        <f>IF($A1674=1,IF(COUNTIF(COA!$A:$A,$G1674)=0,0,INDEX(COA!$H:$H,MATCH($G1674,COA!$A:$A,0))),"")</f>
        <v/>
      </c>
      <c r="W1674" s="32">
        <f>IF($A1674=1,IF(Supplier_Payments!$R27="","",Supplier_Payments!$R27),"")</f>
        <v/>
      </c>
      <c r="X1674" s="32">
        <f>IF($A1674=1,IF($R1674=1,"",IF($O1674=ST_POST,IF($P1674&lt;&gt;"",$P1674,"حساب غير صالح أو غير نشط"),IF($O1674=ST_REV,"معكوس: لا أثر على الدفاتر",IF($O1674=ST_CANC,"ملغى",IF($O1674=ST_APPR,"معتمد ولم يُرحَّل","مسودة"))))),"")</f>
        <v/>
      </c>
      <c r="Y1674" s="32">
        <f>IF($A1674=1,IF(AND($R1674=1,OR(LG_Acct="",$G1674=LG_Acct),OR(LG_Party="",$K1674=LG_Party),OR(LG_Loc="ALL",$I1674=LG_Loc),OR(LG_CC="ALL",$J1674=LG_CC),$D1674&gt;=LG_From,$D1674&lt;=LG_To),$D1674+ROW()/1000000,""),"")</f>
        <v/>
      </c>
      <c r="Z1674" s="32">
        <f>IF($A1674=1,IF(Supplier_Payments!$J27="","",Supplier_Payments!$J27),"")</f>
        <v/>
      </c>
      <c r="AA1674" s="32">
        <f>IF($A1674=1,IF(Supplier_Payments!$K27="","",Supplier_Payments!$K27),"")</f>
        <v/>
      </c>
      <c r="AB1674" s="32">
        <f>IF($A1674=1,IF(Supplier_Payments!$L27="","",Supplier_Payments!$L27),"")</f>
        <v/>
      </c>
      <c r="AC1674" s="32">
        <f>IF($A1674=1,IF(Supplier_Payments!$M27="","",Supplier_Payments!$M27),"")</f>
        <v/>
      </c>
      <c r="AD1674" s="32">
        <f>IF($A1674=1,IF(Supplier_Payments!$N27="","",Supplier_Payments!$N27),"")</f>
        <v/>
      </c>
      <c r="AE1674" s="32">
        <f>IF($A1674=1,0,"")</f>
        <v/>
      </c>
      <c r="AF1674" s="32" t="inlineStr"/>
    </row>
    <row r="1675">
      <c r="A1675" s="32">
        <f>IF(AND(Supplier_Payments!$S28=1,N(Supplier_Payments!$E28)&gt;0),1,0)</f>
        <v/>
      </c>
      <c r="B1675" s="32">
        <f>IF($A1675=1,$E1675&amp;"/1","")</f>
        <v/>
      </c>
      <c r="C1675" s="32">
        <f>IF($A1675=1,"J-"&amp;Supplier_Payments!$A28,"")</f>
        <v/>
      </c>
      <c r="D1675" s="33">
        <f>IF($A1675=1,Supplier_Payments!$B28,"")</f>
        <v/>
      </c>
      <c r="E1675" s="32">
        <f>IF($A1675=1,IF(Supplier_Payments!$A28="","",Supplier_Payments!$A28),"")</f>
        <v/>
      </c>
      <c r="F1675" s="32">
        <f>IF($A1675=1,"SPAY","")</f>
        <v/>
      </c>
      <c r="G1675" s="32">
        <f>IF($A1675=1,ACC_SUPPLIERS,"")</f>
        <v/>
      </c>
      <c r="H1675" s="32">
        <f>IF($A1675=1,IF(COUNTIF(COA!$A:$A,$G1675)=0,"حساب غير معرف",INDEX(COA!$B:$B,MATCH($G1675,COA!$A:$A,0))),"")</f>
        <v/>
      </c>
      <c r="I1675" s="32">
        <f>IF($A1675=1,IF(Supplier_Payments!$Q28="","",Supplier_Payments!$Q28),"")</f>
        <v/>
      </c>
      <c r="J1675" s="32">
        <f>IF($A1675=1,"CC00","")</f>
        <v/>
      </c>
      <c r="K1675" s="32">
        <f>IF($A1675=1,IF(Supplier_Payments!$C28="","",Supplier_Payments!$C28),"")</f>
        <v/>
      </c>
      <c r="L1675" s="32">
        <f>IF($A1675=1,IF(Supplier_Payments!$H28="","دفعة مورد "&amp;Supplier_Payments!$C28,Supplier_Payments!$H28),"")</f>
        <v/>
      </c>
      <c r="M1675" s="43">
        <f>IF($A1675=1,Supplier_Payments!$E28,"")</f>
        <v/>
      </c>
      <c r="N1675" s="43">
        <f>IF($A1675=1,0,"")</f>
        <v/>
      </c>
      <c r="O1675" s="32">
        <f>IF($A1675=1,Supplier_Payments!$I28,"")</f>
        <v/>
      </c>
      <c r="P1675" s="32">
        <f>IF($A1675=1,IF(Supplier_Payments!$T28="","",Supplier_Payments!$T28),"")</f>
        <v/>
      </c>
      <c r="Q1675" s="32">
        <f>IF($A1675=1,Supplier_Payments!$V28,"")</f>
        <v/>
      </c>
      <c r="R1675" s="32">
        <f>IF($A1675=1,IF(AND($Q1675=1,COUNTIFS(COA!$A:$A,$G1675,COA!$R:$R,1)=1),1,0),"")</f>
        <v/>
      </c>
      <c r="S1675" s="43">
        <f>IF($A1675=1,IF($R1675=1,N($M1675),0),"")</f>
        <v/>
      </c>
      <c r="T1675" s="43">
        <f>IF($A1675=1,IF($R1675=1,N($N1675),0),"")</f>
        <v/>
      </c>
      <c r="U1675" s="32">
        <f>IF($A1675=1,YEAR($D1675)*100+MONTH($D1675),"")</f>
        <v/>
      </c>
      <c r="V1675" s="32">
        <f>IF($A1675=1,IF(COUNTIF(COA!$A:$A,$G1675)=0,0,INDEX(COA!$H:$H,MATCH($G1675,COA!$A:$A,0))),"")</f>
        <v/>
      </c>
      <c r="W1675" s="32">
        <f>IF($A1675=1,"","")</f>
        <v/>
      </c>
      <c r="X1675" s="32">
        <f>IF($A1675=1,IF($R1675=1,"",IF($O1675=ST_POST,IF($P1675&lt;&gt;"",$P1675,"حساب غير صالح أو غير نشط"),IF($O1675=ST_REV,"معكوس: لا أثر على الدفاتر",IF($O1675=ST_CANC,"ملغى",IF($O1675=ST_APPR,"معتمد ولم يُرحَّل","مسودة"))))),"")</f>
        <v/>
      </c>
      <c r="Y1675" s="32">
        <f>IF($A1675=1,IF(AND($R1675=1,OR(LG_Acct="",$G1675=LG_Acct),OR(LG_Party="",$K1675=LG_Party),OR(LG_Loc="ALL",$I1675=LG_Loc),OR(LG_CC="ALL",$J1675=LG_CC),$D1675&gt;=LG_From,$D1675&lt;=LG_To),$D1675+ROW()/1000000,""),"")</f>
        <v/>
      </c>
      <c r="Z1675" s="32">
        <f>IF($A1675=1,IF(Supplier_Payments!$J28="","",Supplier_Payments!$J28),"")</f>
        <v/>
      </c>
      <c r="AA1675" s="32">
        <f>IF($A1675=1,IF(Supplier_Payments!$K28="","",Supplier_Payments!$K28),"")</f>
        <v/>
      </c>
      <c r="AB1675" s="32">
        <f>IF($A1675=1,IF(Supplier_Payments!$L28="","",Supplier_Payments!$L28),"")</f>
        <v/>
      </c>
      <c r="AC1675" s="32">
        <f>IF($A1675=1,IF(Supplier_Payments!$M28="","",Supplier_Payments!$M28),"")</f>
        <v/>
      </c>
      <c r="AD1675" s="32">
        <f>IF($A1675=1,IF(Supplier_Payments!$N28="","",Supplier_Payments!$N28),"")</f>
        <v/>
      </c>
      <c r="AE1675" s="32">
        <f>IF($A1675=1,0,"")</f>
        <v/>
      </c>
      <c r="AF1675" s="32" t="inlineStr"/>
    </row>
    <row r="1676">
      <c r="A1676" s="32">
        <f>IF(AND(Supplier_Payments!$S28=1,N(Supplier_Payments!$E28)&gt;0),1,0)</f>
        <v/>
      </c>
      <c r="B1676" s="32">
        <f>IF($A1676=1,$E1676&amp;"/2","")</f>
        <v/>
      </c>
      <c r="C1676" s="32">
        <f>IF($A1676=1,"J-"&amp;Supplier_Payments!$A28,"")</f>
        <v/>
      </c>
      <c r="D1676" s="33">
        <f>IF($A1676=1,Supplier_Payments!$B28,"")</f>
        <v/>
      </c>
      <c r="E1676" s="32">
        <f>IF($A1676=1,IF(Supplier_Payments!$A28="","",Supplier_Payments!$A28),"")</f>
        <v/>
      </c>
      <c r="F1676" s="32">
        <f>IF($A1676=1,"SPAY","")</f>
        <v/>
      </c>
      <c r="G1676" s="32">
        <f>IF($A1676=1,IF(Supplier_Payments!$P28="","",Supplier_Payments!$P28),"")</f>
        <v/>
      </c>
      <c r="H1676" s="32">
        <f>IF($A1676=1,IF(COUNTIF(COA!$A:$A,$G1676)=0,"حساب غير معرف",INDEX(COA!$B:$B,MATCH($G1676,COA!$A:$A,0))),"")</f>
        <v/>
      </c>
      <c r="I1676" s="32">
        <f>IF($A1676=1,IF(Supplier_Payments!$Q28="","",Supplier_Payments!$Q28),"")</f>
        <v/>
      </c>
      <c r="J1676" s="32">
        <f>IF($A1676=1,"CC00","")</f>
        <v/>
      </c>
      <c r="K1676" s="32">
        <f>IF($A1676=1,"-","")</f>
        <v/>
      </c>
      <c r="L1676" s="32">
        <f>IF($A1676=1,IF(Supplier_Payments!$H28="","دفعة مورد "&amp;Supplier_Payments!$C28,Supplier_Payments!$H28),"")</f>
        <v/>
      </c>
      <c r="M1676" s="43">
        <f>IF($A1676=1,0,"")</f>
        <v/>
      </c>
      <c r="N1676" s="43">
        <f>IF($A1676=1,Supplier_Payments!$E28,"")</f>
        <v/>
      </c>
      <c r="O1676" s="32">
        <f>IF($A1676=1,Supplier_Payments!$I28,"")</f>
        <v/>
      </c>
      <c r="P1676" s="32">
        <f>IF($A1676=1,IF(Supplier_Payments!$T28="","",Supplier_Payments!$T28),"")</f>
        <v/>
      </c>
      <c r="Q1676" s="32">
        <f>IF($A1676=1,Supplier_Payments!$V28,"")</f>
        <v/>
      </c>
      <c r="R1676" s="32">
        <f>IF($A1676=1,IF(AND($Q1676=1,COUNTIFS(COA!$A:$A,$G1676,COA!$R:$R,1)=1),1,0),"")</f>
        <v/>
      </c>
      <c r="S1676" s="43">
        <f>IF($A1676=1,IF($R1676=1,N($M1676),0),"")</f>
        <v/>
      </c>
      <c r="T1676" s="43">
        <f>IF($A1676=1,IF($R1676=1,N($N1676),0),"")</f>
        <v/>
      </c>
      <c r="U1676" s="32">
        <f>IF($A1676=1,YEAR($D1676)*100+MONTH($D1676),"")</f>
        <v/>
      </c>
      <c r="V1676" s="32">
        <f>IF($A1676=1,IF(COUNTIF(COA!$A:$A,$G1676)=0,0,INDEX(COA!$H:$H,MATCH($G1676,COA!$A:$A,0))),"")</f>
        <v/>
      </c>
      <c r="W1676" s="32">
        <f>IF($A1676=1,IF(Supplier_Payments!$R28="","",Supplier_Payments!$R28),"")</f>
        <v/>
      </c>
      <c r="X1676" s="32">
        <f>IF($A1676=1,IF($R1676=1,"",IF($O1676=ST_POST,IF($P1676&lt;&gt;"",$P1676,"حساب غير صالح أو غير نشط"),IF($O1676=ST_REV,"معكوس: لا أثر على الدفاتر",IF($O1676=ST_CANC,"ملغى",IF($O1676=ST_APPR,"معتمد ولم يُرحَّل","مسودة"))))),"")</f>
        <v/>
      </c>
      <c r="Y1676" s="32">
        <f>IF($A1676=1,IF(AND($R1676=1,OR(LG_Acct="",$G1676=LG_Acct),OR(LG_Party="",$K1676=LG_Party),OR(LG_Loc="ALL",$I1676=LG_Loc),OR(LG_CC="ALL",$J1676=LG_CC),$D1676&gt;=LG_From,$D1676&lt;=LG_To),$D1676+ROW()/1000000,""),"")</f>
        <v/>
      </c>
      <c r="Z1676" s="32">
        <f>IF($A1676=1,IF(Supplier_Payments!$J28="","",Supplier_Payments!$J28),"")</f>
        <v/>
      </c>
      <c r="AA1676" s="32">
        <f>IF($A1676=1,IF(Supplier_Payments!$K28="","",Supplier_Payments!$K28),"")</f>
        <v/>
      </c>
      <c r="AB1676" s="32">
        <f>IF($A1676=1,IF(Supplier_Payments!$L28="","",Supplier_Payments!$L28),"")</f>
        <v/>
      </c>
      <c r="AC1676" s="32">
        <f>IF($A1676=1,IF(Supplier_Payments!$M28="","",Supplier_Payments!$M28),"")</f>
        <v/>
      </c>
      <c r="AD1676" s="32">
        <f>IF($A1676=1,IF(Supplier_Payments!$N28="","",Supplier_Payments!$N28),"")</f>
        <v/>
      </c>
      <c r="AE1676" s="32">
        <f>IF($A1676=1,0,"")</f>
        <v/>
      </c>
      <c r="AF1676" s="32" t="inlineStr"/>
    </row>
    <row r="1677">
      <c r="A1677" s="32">
        <f>IF(AND(Supplier_Payments!$S29=1,N(Supplier_Payments!$E29)&gt;0),1,0)</f>
        <v/>
      </c>
      <c r="B1677" s="32">
        <f>IF($A1677=1,$E1677&amp;"/1","")</f>
        <v/>
      </c>
      <c r="C1677" s="32">
        <f>IF($A1677=1,"J-"&amp;Supplier_Payments!$A29,"")</f>
        <v/>
      </c>
      <c r="D1677" s="33">
        <f>IF($A1677=1,Supplier_Payments!$B29,"")</f>
        <v/>
      </c>
      <c r="E1677" s="32">
        <f>IF($A1677=1,IF(Supplier_Payments!$A29="","",Supplier_Payments!$A29),"")</f>
        <v/>
      </c>
      <c r="F1677" s="32">
        <f>IF($A1677=1,"SPAY","")</f>
        <v/>
      </c>
      <c r="G1677" s="32">
        <f>IF($A1677=1,ACC_SUPPLIERS,"")</f>
        <v/>
      </c>
      <c r="H1677" s="32">
        <f>IF($A1677=1,IF(COUNTIF(COA!$A:$A,$G1677)=0,"حساب غير معرف",INDEX(COA!$B:$B,MATCH($G1677,COA!$A:$A,0))),"")</f>
        <v/>
      </c>
      <c r="I1677" s="32">
        <f>IF($A1677=1,IF(Supplier_Payments!$Q29="","",Supplier_Payments!$Q29),"")</f>
        <v/>
      </c>
      <c r="J1677" s="32">
        <f>IF($A1677=1,"CC00","")</f>
        <v/>
      </c>
      <c r="K1677" s="32">
        <f>IF($A1677=1,IF(Supplier_Payments!$C29="","",Supplier_Payments!$C29),"")</f>
        <v/>
      </c>
      <c r="L1677" s="32">
        <f>IF($A1677=1,IF(Supplier_Payments!$H29="","دفعة مورد "&amp;Supplier_Payments!$C29,Supplier_Payments!$H29),"")</f>
        <v/>
      </c>
      <c r="M1677" s="43">
        <f>IF($A1677=1,Supplier_Payments!$E29,"")</f>
        <v/>
      </c>
      <c r="N1677" s="43">
        <f>IF($A1677=1,0,"")</f>
        <v/>
      </c>
      <c r="O1677" s="32">
        <f>IF($A1677=1,Supplier_Payments!$I29,"")</f>
        <v/>
      </c>
      <c r="P1677" s="32">
        <f>IF($A1677=1,IF(Supplier_Payments!$T29="","",Supplier_Payments!$T29),"")</f>
        <v/>
      </c>
      <c r="Q1677" s="32">
        <f>IF($A1677=1,Supplier_Payments!$V29,"")</f>
        <v/>
      </c>
      <c r="R1677" s="32">
        <f>IF($A1677=1,IF(AND($Q1677=1,COUNTIFS(COA!$A:$A,$G1677,COA!$R:$R,1)=1),1,0),"")</f>
        <v/>
      </c>
      <c r="S1677" s="43">
        <f>IF($A1677=1,IF($R1677=1,N($M1677),0),"")</f>
        <v/>
      </c>
      <c r="T1677" s="43">
        <f>IF($A1677=1,IF($R1677=1,N($N1677),0),"")</f>
        <v/>
      </c>
      <c r="U1677" s="32">
        <f>IF($A1677=1,YEAR($D1677)*100+MONTH($D1677),"")</f>
        <v/>
      </c>
      <c r="V1677" s="32">
        <f>IF($A1677=1,IF(COUNTIF(COA!$A:$A,$G1677)=0,0,INDEX(COA!$H:$H,MATCH($G1677,COA!$A:$A,0))),"")</f>
        <v/>
      </c>
      <c r="W1677" s="32">
        <f>IF($A1677=1,"","")</f>
        <v/>
      </c>
      <c r="X1677" s="32">
        <f>IF($A1677=1,IF($R1677=1,"",IF($O1677=ST_POST,IF($P1677&lt;&gt;"",$P1677,"حساب غير صالح أو غير نشط"),IF($O1677=ST_REV,"معكوس: لا أثر على الدفاتر",IF($O1677=ST_CANC,"ملغى",IF($O1677=ST_APPR,"معتمد ولم يُرحَّل","مسودة"))))),"")</f>
        <v/>
      </c>
      <c r="Y1677" s="32">
        <f>IF($A1677=1,IF(AND($R1677=1,OR(LG_Acct="",$G1677=LG_Acct),OR(LG_Party="",$K1677=LG_Party),OR(LG_Loc="ALL",$I1677=LG_Loc),OR(LG_CC="ALL",$J1677=LG_CC),$D1677&gt;=LG_From,$D1677&lt;=LG_To),$D1677+ROW()/1000000,""),"")</f>
        <v/>
      </c>
      <c r="Z1677" s="32">
        <f>IF($A1677=1,IF(Supplier_Payments!$J29="","",Supplier_Payments!$J29),"")</f>
        <v/>
      </c>
      <c r="AA1677" s="32">
        <f>IF($A1677=1,IF(Supplier_Payments!$K29="","",Supplier_Payments!$K29),"")</f>
        <v/>
      </c>
      <c r="AB1677" s="32">
        <f>IF($A1677=1,IF(Supplier_Payments!$L29="","",Supplier_Payments!$L29),"")</f>
        <v/>
      </c>
      <c r="AC1677" s="32">
        <f>IF($A1677=1,IF(Supplier_Payments!$M29="","",Supplier_Payments!$M29),"")</f>
        <v/>
      </c>
      <c r="AD1677" s="32">
        <f>IF($A1677=1,IF(Supplier_Payments!$N29="","",Supplier_Payments!$N29),"")</f>
        <v/>
      </c>
      <c r="AE1677" s="32">
        <f>IF($A1677=1,0,"")</f>
        <v/>
      </c>
      <c r="AF1677" s="32" t="inlineStr"/>
    </row>
    <row r="1678">
      <c r="A1678" s="32">
        <f>IF(AND(Supplier_Payments!$S29=1,N(Supplier_Payments!$E29)&gt;0),1,0)</f>
        <v/>
      </c>
      <c r="B1678" s="32">
        <f>IF($A1678=1,$E1678&amp;"/2","")</f>
        <v/>
      </c>
      <c r="C1678" s="32">
        <f>IF($A1678=1,"J-"&amp;Supplier_Payments!$A29,"")</f>
        <v/>
      </c>
      <c r="D1678" s="33">
        <f>IF($A1678=1,Supplier_Payments!$B29,"")</f>
        <v/>
      </c>
      <c r="E1678" s="32">
        <f>IF($A1678=1,IF(Supplier_Payments!$A29="","",Supplier_Payments!$A29),"")</f>
        <v/>
      </c>
      <c r="F1678" s="32">
        <f>IF($A1678=1,"SPAY","")</f>
        <v/>
      </c>
      <c r="G1678" s="32">
        <f>IF($A1678=1,IF(Supplier_Payments!$P29="","",Supplier_Payments!$P29),"")</f>
        <v/>
      </c>
      <c r="H1678" s="32">
        <f>IF($A1678=1,IF(COUNTIF(COA!$A:$A,$G1678)=0,"حساب غير معرف",INDEX(COA!$B:$B,MATCH($G1678,COA!$A:$A,0))),"")</f>
        <v/>
      </c>
      <c r="I1678" s="32">
        <f>IF($A1678=1,IF(Supplier_Payments!$Q29="","",Supplier_Payments!$Q29),"")</f>
        <v/>
      </c>
      <c r="J1678" s="32">
        <f>IF($A1678=1,"CC00","")</f>
        <v/>
      </c>
      <c r="K1678" s="32">
        <f>IF($A1678=1,"-","")</f>
        <v/>
      </c>
      <c r="L1678" s="32">
        <f>IF($A1678=1,IF(Supplier_Payments!$H29="","دفعة مورد "&amp;Supplier_Payments!$C29,Supplier_Payments!$H29),"")</f>
        <v/>
      </c>
      <c r="M1678" s="43">
        <f>IF($A1678=1,0,"")</f>
        <v/>
      </c>
      <c r="N1678" s="43">
        <f>IF($A1678=1,Supplier_Payments!$E29,"")</f>
        <v/>
      </c>
      <c r="O1678" s="32">
        <f>IF($A1678=1,Supplier_Payments!$I29,"")</f>
        <v/>
      </c>
      <c r="P1678" s="32">
        <f>IF($A1678=1,IF(Supplier_Payments!$T29="","",Supplier_Payments!$T29),"")</f>
        <v/>
      </c>
      <c r="Q1678" s="32">
        <f>IF($A1678=1,Supplier_Payments!$V29,"")</f>
        <v/>
      </c>
      <c r="R1678" s="32">
        <f>IF($A1678=1,IF(AND($Q1678=1,COUNTIFS(COA!$A:$A,$G1678,COA!$R:$R,1)=1),1,0),"")</f>
        <v/>
      </c>
      <c r="S1678" s="43">
        <f>IF($A1678=1,IF($R1678=1,N($M1678),0),"")</f>
        <v/>
      </c>
      <c r="T1678" s="43">
        <f>IF($A1678=1,IF($R1678=1,N($N1678),0),"")</f>
        <v/>
      </c>
      <c r="U1678" s="32">
        <f>IF($A1678=1,YEAR($D1678)*100+MONTH($D1678),"")</f>
        <v/>
      </c>
      <c r="V1678" s="32">
        <f>IF($A1678=1,IF(COUNTIF(COA!$A:$A,$G1678)=0,0,INDEX(COA!$H:$H,MATCH($G1678,COA!$A:$A,0))),"")</f>
        <v/>
      </c>
      <c r="W1678" s="32">
        <f>IF($A1678=1,IF(Supplier_Payments!$R29="","",Supplier_Payments!$R29),"")</f>
        <v/>
      </c>
      <c r="X1678" s="32">
        <f>IF($A1678=1,IF($R1678=1,"",IF($O1678=ST_POST,IF($P1678&lt;&gt;"",$P1678,"حساب غير صالح أو غير نشط"),IF($O1678=ST_REV,"معكوس: لا أثر على الدفاتر",IF($O1678=ST_CANC,"ملغى",IF($O1678=ST_APPR,"معتمد ولم يُرحَّل","مسودة"))))),"")</f>
        <v/>
      </c>
      <c r="Y1678" s="32">
        <f>IF($A1678=1,IF(AND($R1678=1,OR(LG_Acct="",$G1678=LG_Acct),OR(LG_Party="",$K1678=LG_Party),OR(LG_Loc="ALL",$I1678=LG_Loc),OR(LG_CC="ALL",$J1678=LG_CC),$D1678&gt;=LG_From,$D1678&lt;=LG_To),$D1678+ROW()/1000000,""),"")</f>
        <v/>
      </c>
      <c r="Z1678" s="32">
        <f>IF($A1678=1,IF(Supplier_Payments!$J29="","",Supplier_Payments!$J29),"")</f>
        <v/>
      </c>
      <c r="AA1678" s="32">
        <f>IF($A1678=1,IF(Supplier_Payments!$K29="","",Supplier_Payments!$K29),"")</f>
        <v/>
      </c>
      <c r="AB1678" s="32">
        <f>IF($A1678=1,IF(Supplier_Payments!$L29="","",Supplier_Payments!$L29),"")</f>
        <v/>
      </c>
      <c r="AC1678" s="32">
        <f>IF($A1678=1,IF(Supplier_Payments!$M29="","",Supplier_Payments!$M29),"")</f>
        <v/>
      </c>
      <c r="AD1678" s="32">
        <f>IF($A1678=1,IF(Supplier_Payments!$N29="","",Supplier_Payments!$N29),"")</f>
        <v/>
      </c>
      <c r="AE1678" s="32">
        <f>IF($A1678=1,0,"")</f>
        <v/>
      </c>
      <c r="AF1678" s="32" t="inlineStr"/>
    </row>
    <row r="1679">
      <c r="A1679" s="32">
        <f>IF(AND(Supplier_Payments!$S30=1,N(Supplier_Payments!$E30)&gt;0),1,0)</f>
        <v/>
      </c>
      <c r="B1679" s="32">
        <f>IF($A1679=1,$E1679&amp;"/1","")</f>
        <v/>
      </c>
      <c r="C1679" s="32">
        <f>IF($A1679=1,"J-"&amp;Supplier_Payments!$A30,"")</f>
        <v/>
      </c>
      <c r="D1679" s="33">
        <f>IF($A1679=1,Supplier_Payments!$B30,"")</f>
        <v/>
      </c>
      <c r="E1679" s="32">
        <f>IF($A1679=1,IF(Supplier_Payments!$A30="","",Supplier_Payments!$A30),"")</f>
        <v/>
      </c>
      <c r="F1679" s="32">
        <f>IF($A1679=1,"SPAY","")</f>
        <v/>
      </c>
      <c r="G1679" s="32">
        <f>IF($A1679=1,ACC_SUPPLIERS,"")</f>
        <v/>
      </c>
      <c r="H1679" s="32">
        <f>IF($A1679=1,IF(COUNTIF(COA!$A:$A,$G1679)=0,"حساب غير معرف",INDEX(COA!$B:$B,MATCH($G1679,COA!$A:$A,0))),"")</f>
        <v/>
      </c>
      <c r="I1679" s="32">
        <f>IF($A1679=1,IF(Supplier_Payments!$Q30="","",Supplier_Payments!$Q30),"")</f>
        <v/>
      </c>
      <c r="J1679" s="32">
        <f>IF($A1679=1,"CC00","")</f>
        <v/>
      </c>
      <c r="K1679" s="32">
        <f>IF($A1679=1,IF(Supplier_Payments!$C30="","",Supplier_Payments!$C30),"")</f>
        <v/>
      </c>
      <c r="L1679" s="32">
        <f>IF($A1679=1,IF(Supplier_Payments!$H30="","دفعة مورد "&amp;Supplier_Payments!$C30,Supplier_Payments!$H30),"")</f>
        <v/>
      </c>
      <c r="M1679" s="43">
        <f>IF($A1679=1,Supplier_Payments!$E30,"")</f>
        <v/>
      </c>
      <c r="N1679" s="43">
        <f>IF($A1679=1,0,"")</f>
        <v/>
      </c>
      <c r="O1679" s="32">
        <f>IF($A1679=1,Supplier_Payments!$I30,"")</f>
        <v/>
      </c>
      <c r="P1679" s="32">
        <f>IF($A1679=1,IF(Supplier_Payments!$T30="","",Supplier_Payments!$T30),"")</f>
        <v/>
      </c>
      <c r="Q1679" s="32">
        <f>IF($A1679=1,Supplier_Payments!$V30,"")</f>
        <v/>
      </c>
      <c r="R1679" s="32">
        <f>IF($A1679=1,IF(AND($Q1679=1,COUNTIFS(COA!$A:$A,$G1679,COA!$R:$R,1)=1),1,0),"")</f>
        <v/>
      </c>
      <c r="S1679" s="43">
        <f>IF($A1679=1,IF($R1679=1,N($M1679),0),"")</f>
        <v/>
      </c>
      <c r="T1679" s="43">
        <f>IF($A1679=1,IF($R1679=1,N($N1679),0),"")</f>
        <v/>
      </c>
      <c r="U1679" s="32">
        <f>IF($A1679=1,YEAR($D1679)*100+MONTH($D1679),"")</f>
        <v/>
      </c>
      <c r="V1679" s="32">
        <f>IF($A1679=1,IF(COUNTIF(COA!$A:$A,$G1679)=0,0,INDEX(COA!$H:$H,MATCH($G1679,COA!$A:$A,0))),"")</f>
        <v/>
      </c>
      <c r="W1679" s="32">
        <f>IF($A1679=1,"","")</f>
        <v/>
      </c>
      <c r="X1679" s="32">
        <f>IF($A1679=1,IF($R1679=1,"",IF($O1679=ST_POST,IF($P1679&lt;&gt;"",$P1679,"حساب غير صالح أو غير نشط"),IF($O1679=ST_REV,"معكوس: لا أثر على الدفاتر",IF($O1679=ST_CANC,"ملغى",IF($O1679=ST_APPR,"معتمد ولم يُرحَّل","مسودة"))))),"")</f>
        <v/>
      </c>
      <c r="Y1679" s="32">
        <f>IF($A1679=1,IF(AND($R1679=1,OR(LG_Acct="",$G1679=LG_Acct),OR(LG_Party="",$K1679=LG_Party),OR(LG_Loc="ALL",$I1679=LG_Loc),OR(LG_CC="ALL",$J1679=LG_CC),$D1679&gt;=LG_From,$D1679&lt;=LG_To),$D1679+ROW()/1000000,""),"")</f>
        <v/>
      </c>
      <c r="Z1679" s="32">
        <f>IF($A1679=1,IF(Supplier_Payments!$J30="","",Supplier_Payments!$J30),"")</f>
        <v/>
      </c>
      <c r="AA1679" s="32">
        <f>IF($A1679=1,IF(Supplier_Payments!$K30="","",Supplier_Payments!$K30),"")</f>
        <v/>
      </c>
      <c r="AB1679" s="32">
        <f>IF($A1679=1,IF(Supplier_Payments!$L30="","",Supplier_Payments!$L30),"")</f>
        <v/>
      </c>
      <c r="AC1679" s="32">
        <f>IF($A1679=1,IF(Supplier_Payments!$M30="","",Supplier_Payments!$M30),"")</f>
        <v/>
      </c>
      <c r="AD1679" s="32">
        <f>IF($A1679=1,IF(Supplier_Payments!$N30="","",Supplier_Payments!$N30),"")</f>
        <v/>
      </c>
      <c r="AE1679" s="32">
        <f>IF($A1679=1,0,"")</f>
        <v/>
      </c>
      <c r="AF1679" s="32" t="inlineStr"/>
    </row>
    <row r="1680">
      <c r="A1680" s="32">
        <f>IF(AND(Supplier_Payments!$S30=1,N(Supplier_Payments!$E30)&gt;0),1,0)</f>
        <v/>
      </c>
      <c r="B1680" s="32">
        <f>IF($A1680=1,$E1680&amp;"/2","")</f>
        <v/>
      </c>
      <c r="C1680" s="32">
        <f>IF($A1680=1,"J-"&amp;Supplier_Payments!$A30,"")</f>
        <v/>
      </c>
      <c r="D1680" s="33">
        <f>IF($A1680=1,Supplier_Payments!$B30,"")</f>
        <v/>
      </c>
      <c r="E1680" s="32">
        <f>IF($A1680=1,IF(Supplier_Payments!$A30="","",Supplier_Payments!$A30),"")</f>
        <v/>
      </c>
      <c r="F1680" s="32">
        <f>IF($A1680=1,"SPAY","")</f>
        <v/>
      </c>
      <c r="G1680" s="32">
        <f>IF($A1680=1,IF(Supplier_Payments!$P30="","",Supplier_Payments!$P30),"")</f>
        <v/>
      </c>
      <c r="H1680" s="32">
        <f>IF($A1680=1,IF(COUNTIF(COA!$A:$A,$G1680)=0,"حساب غير معرف",INDEX(COA!$B:$B,MATCH($G1680,COA!$A:$A,0))),"")</f>
        <v/>
      </c>
      <c r="I1680" s="32">
        <f>IF($A1680=1,IF(Supplier_Payments!$Q30="","",Supplier_Payments!$Q30),"")</f>
        <v/>
      </c>
      <c r="J1680" s="32">
        <f>IF($A1680=1,"CC00","")</f>
        <v/>
      </c>
      <c r="K1680" s="32">
        <f>IF($A1680=1,"-","")</f>
        <v/>
      </c>
      <c r="L1680" s="32">
        <f>IF($A1680=1,IF(Supplier_Payments!$H30="","دفعة مورد "&amp;Supplier_Payments!$C30,Supplier_Payments!$H30),"")</f>
        <v/>
      </c>
      <c r="M1680" s="43">
        <f>IF($A1680=1,0,"")</f>
        <v/>
      </c>
      <c r="N1680" s="43">
        <f>IF($A1680=1,Supplier_Payments!$E30,"")</f>
        <v/>
      </c>
      <c r="O1680" s="32">
        <f>IF($A1680=1,Supplier_Payments!$I30,"")</f>
        <v/>
      </c>
      <c r="P1680" s="32">
        <f>IF($A1680=1,IF(Supplier_Payments!$T30="","",Supplier_Payments!$T30),"")</f>
        <v/>
      </c>
      <c r="Q1680" s="32">
        <f>IF($A1680=1,Supplier_Payments!$V30,"")</f>
        <v/>
      </c>
      <c r="R1680" s="32">
        <f>IF($A1680=1,IF(AND($Q1680=1,COUNTIFS(COA!$A:$A,$G1680,COA!$R:$R,1)=1),1,0),"")</f>
        <v/>
      </c>
      <c r="S1680" s="43">
        <f>IF($A1680=1,IF($R1680=1,N($M1680),0),"")</f>
        <v/>
      </c>
      <c r="T1680" s="43">
        <f>IF($A1680=1,IF($R1680=1,N($N1680),0),"")</f>
        <v/>
      </c>
      <c r="U1680" s="32">
        <f>IF($A1680=1,YEAR($D1680)*100+MONTH($D1680),"")</f>
        <v/>
      </c>
      <c r="V1680" s="32">
        <f>IF($A1680=1,IF(COUNTIF(COA!$A:$A,$G1680)=0,0,INDEX(COA!$H:$H,MATCH($G1680,COA!$A:$A,0))),"")</f>
        <v/>
      </c>
      <c r="W1680" s="32">
        <f>IF($A1680=1,IF(Supplier_Payments!$R30="","",Supplier_Payments!$R30),"")</f>
        <v/>
      </c>
      <c r="X1680" s="32">
        <f>IF($A1680=1,IF($R1680=1,"",IF($O1680=ST_POST,IF($P1680&lt;&gt;"",$P1680,"حساب غير صالح أو غير نشط"),IF($O1680=ST_REV,"معكوس: لا أثر على الدفاتر",IF($O1680=ST_CANC,"ملغى",IF($O1680=ST_APPR,"معتمد ولم يُرحَّل","مسودة"))))),"")</f>
        <v/>
      </c>
      <c r="Y1680" s="32">
        <f>IF($A1680=1,IF(AND($R1680=1,OR(LG_Acct="",$G1680=LG_Acct),OR(LG_Party="",$K1680=LG_Party),OR(LG_Loc="ALL",$I1680=LG_Loc),OR(LG_CC="ALL",$J1680=LG_CC),$D1680&gt;=LG_From,$D1680&lt;=LG_To),$D1680+ROW()/1000000,""),"")</f>
        <v/>
      </c>
      <c r="Z1680" s="32">
        <f>IF($A1680=1,IF(Supplier_Payments!$J30="","",Supplier_Payments!$J30),"")</f>
        <v/>
      </c>
      <c r="AA1680" s="32">
        <f>IF($A1680=1,IF(Supplier_Payments!$K30="","",Supplier_Payments!$K30),"")</f>
        <v/>
      </c>
      <c r="AB1680" s="32">
        <f>IF($A1680=1,IF(Supplier_Payments!$L30="","",Supplier_Payments!$L30),"")</f>
        <v/>
      </c>
      <c r="AC1680" s="32">
        <f>IF($A1680=1,IF(Supplier_Payments!$M30="","",Supplier_Payments!$M30),"")</f>
        <v/>
      </c>
      <c r="AD1680" s="32">
        <f>IF($A1680=1,IF(Supplier_Payments!$N30="","",Supplier_Payments!$N30),"")</f>
        <v/>
      </c>
      <c r="AE1680" s="32">
        <f>IF($A1680=1,0,"")</f>
        <v/>
      </c>
      <c r="AF1680" s="32" t="inlineStr"/>
    </row>
    <row r="1681">
      <c r="A1681" s="32">
        <f>IF(AND(Supplier_Payments!$S31=1,N(Supplier_Payments!$E31)&gt;0),1,0)</f>
        <v/>
      </c>
      <c r="B1681" s="32">
        <f>IF($A1681=1,$E1681&amp;"/1","")</f>
        <v/>
      </c>
      <c r="C1681" s="32">
        <f>IF($A1681=1,"J-"&amp;Supplier_Payments!$A31,"")</f>
        <v/>
      </c>
      <c r="D1681" s="33">
        <f>IF($A1681=1,Supplier_Payments!$B31,"")</f>
        <v/>
      </c>
      <c r="E1681" s="32">
        <f>IF($A1681=1,IF(Supplier_Payments!$A31="","",Supplier_Payments!$A31),"")</f>
        <v/>
      </c>
      <c r="F1681" s="32">
        <f>IF($A1681=1,"SPAY","")</f>
        <v/>
      </c>
      <c r="G1681" s="32">
        <f>IF($A1681=1,ACC_SUPPLIERS,"")</f>
        <v/>
      </c>
      <c r="H1681" s="32">
        <f>IF($A1681=1,IF(COUNTIF(COA!$A:$A,$G1681)=0,"حساب غير معرف",INDEX(COA!$B:$B,MATCH($G1681,COA!$A:$A,0))),"")</f>
        <v/>
      </c>
      <c r="I1681" s="32">
        <f>IF($A1681=1,IF(Supplier_Payments!$Q31="","",Supplier_Payments!$Q31),"")</f>
        <v/>
      </c>
      <c r="J1681" s="32">
        <f>IF($A1681=1,"CC00","")</f>
        <v/>
      </c>
      <c r="K1681" s="32">
        <f>IF($A1681=1,IF(Supplier_Payments!$C31="","",Supplier_Payments!$C31),"")</f>
        <v/>
      </c>
      <c r="L1681" s="32">
        <f>IF($A1681=1,IF(Supplier_Payments!$H31="","دفعة مورد "&amp;Supplier_Payments!$C31,Supplier_Payments!$H31),"")</f>
        <v/>
      </c>
      <c r="M1681" s="43">
        <f>IF($A1681=1,Supplier_Payments!$E31,"")</f>
        <v/>
      </c>
      <c r="N1681" s="43">
        <f>IF($A1681=1,0,"")</f>
        <v/>
      </c>
      <c r="O1681" s="32">
        <f>IF($A1681=1,Supplier_Payments!$I31,"")</f>
        <v/>
      </c>
      <c r="P1681" s="32">
        <f>IF($A1681=1,IF(Supplier_Payments!$T31="","",Supplier_Payments!$T31),"")</f>
        <v/>
      </c>
      <c r="Q1681" s="32">
        <f>IF($A1681=1,Supplier_Payments!$V31,"")</f>
        <v/>
      </c>
      <c r="R1681" s="32">
        <f>IF($A1681=1,IF(AND($Q1681=1,COUNTIFS(COA!$A:$A,$G1681,COA!$R:$R,1)=1),1,0),"")</f>
        <v/>
      </c>
      <c r="S1681" s="43">
        <f>IF($A1681=1,IF($R1681=1,N($M1681),0),"")</f>
        <v/>
      </c>
      <c r="T1681" s="43">
        <f>IF($A1681=1,IF($R1681=1,N($N1681),0),"")</f>
        <v/>
      </c>
      <c r="U1681" s="32">
        <f>IF($A1681=1,YEAR($D1681)*100+MONTH($D1681),"")</f>
        <v/>
      </c>
      <c r="V1681" s="32">
        <f>IF($A1681=1,IF(COUNTIF(COA!$A:$A,$G1681)=0,0,INDEX(COA!$H:$H,MATCH($G1681,COA!$A:$A,0))),"")</f>
        <v/>
      </c>
      <c r="W1681" s="32">
        <f>IF($A1681=1,"","")</f>
        <v/>
      </c>
      <c r="X1681" s="32">
        <f>IF($A1681=1,IF($R1681=1,"",IF($O1681=ST_POST,IF($P1681&lt;&gt;"",$P1681,"حساب غير صالح أو غير نشط"),IF($O1681=ST_REV,"معكوس: لا أثر على الدفاتر",IF($O1681=ST_CANC,"ملغى",IF($O1681=ST_APPR,"معتمد ولم يُرحَّل","مسودة"))))),"")</f>
        <v/>
      </c>
      <c r="Y1681" s="32">
        <f>IF($A1681=1,IF(AND($R1681=1,OR(LG_Acct="",$G1681=LG_Acct),OR(LG_Party="",$K1681=LG_Party),OR(LG_Loc="ALL",$I1681=LG_Loc),OR(LG_CC="ALL",$J1681=LG_CC),$D1681&gt;=LG_From,$D1681&lt;=LG_To),$D1681+ROW()/1000000,""),"")</f>
        <v/>
      </c>
      <c r="Z1681" s="32">
        <f>IF($A1681=1,IF(Supplier_Payments!$J31="","",Supplier_Payments!$J31),"")</f>
        <v/>
      </c>
      <c r="AA1681" s="32">
        <f>IF($A1681=1,IF(Supplier_Payments!$K31="","",Supplier_Payments!$K31),"")</f>
        <v/>
      </c>
      <c r="AB1681" s="32">
        <f>IF($A1681=1,IF(Supplier_Payments!$L31="","",Supplier_Payments!$L31),"")</f>
        <v/>
      </c>
      <c r="AC1681" s="32">
        <f>IF($A1681=1,IF(Supplier_Payments!$M31="","",Supplier_Payments!$M31),"")</f>
        <v/>
      </c>
      <c r="AD1681" s="32">
        <f>IF($A1681=1,IF(Supplier_Payments!$N31="","",Supplier_Payments!$N31),"")</f>
        <v/>
      </c>
      <c r="AE1681" s="32">
        <f>IF($A1681=1,0,"")</f>
        <v/>
      </c>
      <c r="AF1681" s="32" t="inlineStr"/>
    </row>
    <row r="1682">
      <c r="A1682" s="32">
        <f>IF(AND(Supplier_Payments!$S31=1,N(Supplier_Payments!$E31)&gt;0),1,0)</f>
        <v/>
      </c>
      <c r="B1682" s="32">
        <f>IF($A1682=1,$E1682&amp;"/2","")</f>
        <v/>
      </c>
      <c r="C1682" s="32">
        <f>IF($A1682=1,"J-"&amp;Supplier_Payments!$A31,"")</f>
        <v/>
      </c>
      <c r="D1682" s="33">
        <f>IF($A1682=1,Supplier_Payments!$B31,"")</f>
        <v/>
      </c>
      <c r="E1682" s="32">
        <f>IF($A1682=1,IF(Supplier_Payments!$A31="","",Supplier_Payments!$A31),"")</f>
        <v/>
      </c>
      <c r="F1682" s="32">
        <f>IF($A1682=1,"SPAY","")</f>
        <v/>
      </c>
      <c r="G1682" s="32">
        <f>IF($A1682=1,IF(Supplier_Payments!$P31="","",Supplier_Payments!$P31),"")</f>
        <v/>
      </c>
      <c r="H1682" s="32">
        <f>IF($A1682=1,IF(COUNTIF(COA!$A:$A,$G1682)=0,"حساب غير معرف",INDEX(COA!$B:$B,MATCH($G1682,COA!$A:$A,0))),"")</f>
        <v/>
      </c>
      <c r="I1682" s="32">
        <f>IF($A1682=1,IF(Supplier_Payments!$Q31="","",Supplier_Payments!$Q31),"")</f>
        <v/>
      </c>
      <c r="J1682" s="32">
        <f>IF($A1682=1,"CC00","")</f>
        <v/>
      </c>
      <c r="K1682" s="32">
        <f>IF($A1682=1,"-","")</f>
        <v/>
      </c>
      <c r="L1682" s="32">
        <f>IF($A1682=1,IF(Supplier_Payments!$H31="","دفعة مورد "&amp;Supplier_Payments!$C31,Supplier_Payments!$H31),"")</f>
        <v/>
      </c>
      <c r="M1682" s="43">
        <f>IF($A1682=1,0,"")</f>
        <v/>
      </c>
      <c r="N1682" s="43">
        <f>IF($A1682=1,Supplier_Payments!$E31,"")</f>
        <v/>
      </c>
      <c r="O1682" s="32">
        <f>IF($A1682=1,Supplier_Payments!$I31,"")</f>
        <v/>
      </c>
      <c r="P1682" s="32">
        <f>IF($A1682=1,IF(Supplier_Payments!$T31="","",Supplier_Payments!$T31),"")</f>
        <v/>
      </c>
      <c r="Q1682" s="32">
        <f>IF($A1682=1,Supplier_Payments!$V31,"")</f>
        <v/>
      </c>
      <c r="R1682" s="32">
        <f>IF($A1682=1,IF(AND($Q1682=1,COUNTIFS(COA!$A:$A,$G1682,COA!$R:$R,1)=1),1,0),"")</f>
        <v/>
      </c>
      <c r="S1682" s="43">
        <f>IF($A1682=1,IF($R1682=1,N($M1682),0),"")</f>
        <v/>
      </c>
      <c r="T1682" s="43">
        <f>IF($A1682=1,IF($R1682=1,N($N1682),0),"")</f>
        <v/>
      </c>
      <c r="U1682" s="32">
        <f>IF($A1682=1,YEAR($D1682)*100+MONTH($D1682),"")</f>
        <v/>
      </c>
      <c r="V1682" s="32">
        <f>IF($A1682=1,IF(COUNTIF(COA!$A:$A,$G1682)=0,0,INDEX(COA!$H:$H,MATCH($G1682,COA!$A:$A,0))),"")</f>
        <v/>
      </c>
      <c r="W1682" s="32">
        <f>IF($A1682=1,IF(Supplier_Payments!$R31="","",Supplier_Payments!$R31),"")</f>
        <v/>
      </c>
      <c r="X1682" s="32">
        <f>IF($A1682=1,IF($R1682=1,"",IF($O1682=ST_POST,IF($P1682&lt;&gt;"",$P1682,"حساب غير صالح أو غير نشط"),IF($O1682=ST_REV,"معكوس: لا أثر على الدفاتر",IF($O1682=ST_CANC,"ملغى",IF($O1682=ST_APPR,"معتمد ولم يُرحَّل","مسودة"))))),"")</f>
        <v/>
      </c>
      <c r="Y1682" s="32">
        <f>IF($A1682=1,IF(AND($R1682=1,OR(LG_Acct="",$G1682=LG_Acct),OR(LG_Party="",$K1682=LG_Party),OR(LG_Loc="ALL",$I1682=LG_Loc),OR(LG_CC="ALL",$J1682=LG_CC),$D1682&gt;=LG_From,$D1682&lt;=LG_To),$D1682+ROW()/1000000,""),"")</f>
        <v/>
      </c>
      <c r="Z1682" s="32">
        <f>IF($A1682=1,IF(Supplier_Payments!$J31="","",Supplier_Payments!$J31),"")</f>
        <v/>
      </c>
      <c r="AA1682" s="32">
        <f>IF($A1682=1,IF(Supplier_Payments!$K31="","",Supplier_Payments!$K31),"")</f>
        <v/>
      </c>
      <c r="AB1682" s="32">
        <f>IF($A1682=1,IF(Supplier_Payments!$L31="","",Supplier_Payments!$L31),"")</f>
        <v/>
      </c>
      <c r="AC1682" s="32">
        <f>IF($A1682=1,IF(Supplier_Payments!$M31="","",Supplier_Payments!$M31),"")</f>
        <v/>
      </c>
      <c r="AD1682" s="32">
        <f>IF($A1682=1,IF(Supplier_Payments!$N31="","",Supplier_Payments!$N31),"")</f>
        <v/>
      </c>
      <c r="AE1682" s="32">
        <f>IF($A1682=1,0,"")</f>
        <v/>
      </c>
      <c r="AF1682" s="32" t="inlineStr"/>
    </row>
    <row r="1683">
      <c r="A1683" s="32">
        <f>IF(AND(Supplier_Payments!$S32=1,N(Supplier_Payments!$E32)&gt;0),1,0)</f>
        <v/>
      </c>
      <c r="B1683" s="32">
        <f>IF($A1683=1,$E1683&amp;"/1","")</f>
        <v/>
      </c>
      <c r="C1683" s="32">
        <f>IF($A1683=1,"J-"&amp;Supplier_Payments!$A32,"")</f>
        <v/>
      </c>
      <c r="D1683" s="33">
        <f>IF($A1683=1,Supplier_Payments!$B32,"")</f>
        <v/>
      </c>
      <c r="E1683" s="32">
        <f>IF($A1683=1,IF(Supplier_Payments!$A32="","",Supplier_Payments!$A32),"")</f>
        <v/>
      </c>
      <c r="F1683" s="32">
        <f>IF($A1683=1,"SPAY","")</f>
        <v/>
      </c>
      <c r="G1683" s="32">
        <f>IF($A1683=1,ACC_SUPPLIERS,"")</f>
        <v/>
      </c>
      <c r="H1683" s="32">
        <f>IF($A1683=1,IF(COUNTIF(COA!$A:$A,$G1683)=0,"حساب غير معرف",INDEX(COA!$B:$B,MATCH($G1683,COA!$A:$A,0))),"")</f>
        <v/>
      </c>
      <c r="I1683" s="32">
        <f>IF($A1683=1,IF(Supplier_Payments!$Q32="","",Supplier_Payments!$Q32),"")</f>
        <v/>
      </c>
      <c r="J1683" s="32">
        <f>IF($A1683=1,"CC00","")</f>
        <v/>
      </c>
      <c r="K1683" s="32">
        <f>IF($A1683=1,IF(Supplier_Payments!$C32="","",Supplier_Payments!$C32),"")</f>
        <v/>
      </c>
      <c r="L1683" s="32">
        <f>IF($A1683=1,IF(Supplier_Payments!$H32="","دفعة مورد "&amp;Supplier_Payments!$C32,Supplier_Payments!$H32),"")</f>
        <v/>
      </c>
      <c r="M1683" s="43">
        <f>IF($A1683=1,Supplier_Payments!$E32,"")</f>
        <v/>
      </c>
      <c r="N1683" s="43">
        <f>IF($A1683=1,0,"")</f>
        <v/>
      </c>
      <c r="O1683" s="32">
        <f>IF($A1683=1,Supplier_Payments!$I32,"")</f>
        <v/>
      </c>
      <c r="P1683" s="32">
        <f>IF($A1683=1,IF(Supplier_Payments!$T32="","",Supplier_Payments!$T32),"")</f>
        <v/>
      </c>
      <c r="Q1683" s="32">
        <f>IF($A1683=1,Supplier_Payments!$V32,"")</f>
        <v/>
      </c>
      <c r="R1683" s="32">
        <f>IF($A1683=1,IF(AND($Q1683=1,COUNTIFS(COA!$A:$A,$G1683,COA!$R:$R,1)=1),1,0),"")</f>
        <v/>
      </c>
      <c r="S1683" s="43">
        <f>IF($A1683=1,IF($R1683=1,N($M1683),0),"")</f>
        <v/>
      </c>
      <c r="T1683" s="43">
        <f>IF($A1683=1,IF($R1683=1,N($N1683),0),"")</f>
        <v/>
      </c>
      <c r="U1683" s="32">
        <f>IF($A1683=1,YEAR($D1683)*100+MONTH($D1683),"")</f>
        <v/>
      </c>
      <c r="V1683" s="32">
        <f>IF($A1683=1,IF(COUNTIF(COA!$A:$A,$G1683)=0,0,INDEX(COA!$H:$H,MATCH($G1683,COA!$A:$A,0))),"")</f>
        <v/>
      </c>
      <c r="W1683" s="32">
        <f>IF($A1683=1,"","")</f>
        <v/>
      </c>
      <c r="X1683" s="32">
        <f>IF($A1683=1,IF($R1683=1,"",IF($O1683=ST_POST,IF($P1683&lt;&gt;"",$P1683,"حساب غير صالح أو غير نشط"),IF($O1683=ST_REV,"معكوس: لا أثر على الدفاتر",IF($O1683=ST_CANC,"ملغى",IF($O1683=ST_APPR,"معتمد ولم يُرحَّل","مسودة"))))),"")</f>
        <v/>
      </c>
      <c r="Y1683" s="32">
        <f>IF($A1683=1,IF(AND($R1683=1,OR(LG_Acct="",$G1683=LG_Acct),OR(LG_Party="",$K1683=LG_Party),OR(LG_Loc="ALL",$I1683=LG_Loc),OR(LG_CC="ALL",$J1683=LG_CC),$D1683&gt;=LG_From,$D1683&lt;=LG_To),$D1683+ROW()/1000000,""),"")</f>
        <v/>
      </c>
      <c r="Z1683" s="32">
        <f>IF($A1683=1,IF(Supplier_Payments!$J32="","",Supplier_Payments!$J32),"")</f>
        <v/>
      </c>
      <c r="AA1683" s="32">
        <f>IF($A1683=1,IF(Supplier_Payments!$K32="","",Supplier_Payments!$K32),"")</f>
        <v/>
      </c>
      <c r="AB1683" s="32">
        <f>IF($A1683=1,IF(Supplier_Payments!$L32="","",Supplier_Payments!$L32),"")</f>
        <v/>
      </c>
      <c r="AC1683" s="32">
        <f>IF($A1683=1,IF(Supplier_Payments!$M32="","",Supplier_Payments!$M32),"")</f>
        <v/>
      </c>
      <c r="AD1683" s="32">
        <f>IF($A1683=1,IF(Supplier_Payments!$N32="","",Supplier_Payments!$N32),"")</f>
        <v/>
      </c>
      <c r="AE1683" s="32">
        <f>IF($A1683=1,0,"")</f>
        <v/>
      </c>
      <c r="AF1683" s="32" t="inlineStr"/>
    </row>
    <row r="1684">
      <c r="A1684" s="32">
        <f>IF(AND(Supplier_Payments!$S32=1,N(Supplier_Payments!$E32)&gt;0),1,0)</f>
        <v/>
      </c>
      <c r="B1684" s="32">
        <f>IF($A1684=1,$E1684&amp;"/2","")</f>
        <v/>
      </c>
      <c r="C1684" s="32">
        <f>IF($A1684=1,"J-"&amp;Supplier_Payments!$A32,"")</f>
        <v/>
      </c>
      <c r="D1684" s="33">
        <f>IF($A1684=1,Supplier_Payments!$B32,"")</f>
        <v/>
      </c>
      <c r="E1684" s="32">
        <f>IF($A1684=1,IF(Supplier_Payments!$A32="","",Supplier_Payments!$A32),"")</f>
        <v/>
      </c>
      <c r="F1684" s="32">
        <f>IF($A1684=1,"SPAY","")</f>
        <v/>
      </c>
      <c r="G1684" s="32">
        <f>IF($A1684=1,IF(Supplier_Payments!$P32="","",Supplier_Payments!$P32),"")</f>
        <v/>
      </c>
      <c r="H1684" s="32">
        <f>IF($A1684=1,IF(COUNTIF(COA!$A:$A,$G1684)=0,"حساب غير معرف",INDEX(COA!$B:$B,MATCH($G1684,COA!$A:$A,0))),"")</f>
        <v/>
      </c>
      <c r="I1684" s="32">
        <f>IF($A1684=1,IF(Supplier_Payments!$Q32="","",Supplier_Payments!$Q32),"")</f>
        <v/>
      </c>
      <c r="J1684" s="32">
        <f>IF($A1684=1,"CC00","")</f>
        <v/>
      </c>
      <c r="K1684" s="32">
        <f>IF($A1684=1,"-","")</f>
        <v/>
      </c>
      <c r="L1684" s="32">
        <f>IF($A1684=1,IF(Supplier_Payments!$H32="","دفعة مورد "&amp;Supplier_Payments!$C32,Supplier_Payments!$H32),"")</f>
        <v/>
      </c>
      <c r="M1684" s="43">
        <f>IF($A1684=1,0,"")</f>
        <v/>
      </c>
      <c r="N1684" s="43">
        <f>IF($A1684=1,Supplier_Payments!$E32,"")</f>
        <v/>
      </c>
      <c r="O1684" s="32">
        <f>IF($A1684=1,Supplier_Payments!$I32,"")</f>
        <v/>
      </c>
      <c r="P1684" s="32">
        <f>IF($A1684=1,IF(Supplier_Payments!$T32="","",Supplier_Payments!$T32),"")</f>
        <v/>
      </c>
      <c r="Q1684" s="32">
        <f>IF($A1684=1,Supplier_Payments!$V32,"")</f>
        <v/>
      </c>
      <c r="R1684" s="32">
        <f>IF($A1684=1,IF(AND($Q1684=1,COUNTIFS(COA!$A:$A,$G1684,COA!$R:$R,1)=1),1,0),"")</f>
        <v/>
      </c>
      <c r="S1684" s="43">
        <f>IF($A1684=1,IF($R1684=1,N($M1684),0),"")</f>
        <v/>
      </c>
      <c r="T1684" s="43">
        <f>IF($A1684=1,IF($R1684=1,N($N1684),0),"")</f>
        <v/>
      </c>
      <c r="U1684" s="32">
        <f>IF($A1684=1,YEAR($D1684)*100+MONTH($D1684),"")</f>
        <v/>
      </c>
      <c r="V1684" s="32">
        <f>IF($A1684=1,IF(COUNTIF(COA!$A:$A,$G1684)=0,0,INDEX(COA!$H:$H,MATCH($G1684,COA!$A:$A,0))),"")</f>
        <v/>
      </c>
      <c r="W1684" s="32">
        <f>IF($A1684=1,IF(Supplier_Payments!$R32="","",Supplier_Payments!$R32),"")</f>
        <v/>
      </c>
      <c r="X1684" s="32">
        <f>IF($A1684=1,IF($R1684=1,"",IF($O1684=ST_POST,IF($P1684&lt;&gt;"",$P1684,"حساب غير صالح أو غير نشط"),IF($O1684=ST_REV,"معكوس: لا أثر على الدفاتر",IF($O1684=ST_CANC,"ملغى",IF($O1684=ST_APPR,"معتمد ولم يُرحَّل","مسودة"))))),"")</f>
        <v/>
      </c>
      <c r="Y1684" s="32">
        <f>IF($A1684=1,IF(AND($R1684=1,OR(LG_Acct="",$G1684=LG_Acct),OR(LG_Party="",$K1684=LG_Party),OR(LG_Loc="ALL",$I1684=LG_Loc),OR(LG_CC="ALL",$J1684=LG_CC),$D1684&gt;=LG_From,$D1684&lt;=LG_To),$D1684+ROW()/1000000,""),"")</f>
        <v/>
      </c>
      <c r="Z1684" s="32">
        <f>IF($A1684=1,IF(Supplier_Payments!$J32="","",Supplier_Payments!$J32),"")</f>
        <v/>
      </c>
      <c r="AA1684" s="32">
        <f>IF($A1684=1,IF(Supplier_Payments!$K32="","",Supplier_Payments!$K32),"")</f>
        <v/>
      </c>
      <c r="AB1684" s="32">
        <f>IF($A1684=1,IF(Supplier_Payments!$L32="","",Supplier_Payments!$L32),"")</f>
        <v/>
      </c>
      <c r="AC1684" s="32">
        <f>IF($A1684=1,IF(Supplier_Payments!$M32="","",Supplier_Payments!$M32),"")</f>
        <v/>
      </c>
      <c r="AD1684" s="32">
        <f>IF($A1684=1,IF(Supplier_Payments!$N32="","",Supplier_Payments!$N32),"")</f>
        <v/>
      </c>
      <c r="AE1684" s="32">
        <f>IF($A1684=1,0,"")</f>
        <v/>
      </c>
      <c r="AF1684" s="32" t="inlineStr"/>
    </row>
    <row r="1685">
      <c r="A1685" s="32">
        <f>IF(AND(Supplier_Payments!$S33=1,N(Supplier_Payments!$E33)&gt;0),1,0)</f>
        <v/>
      </c>
      <c r="B1685" s="32">
        <f>IF($A1685=1,$E1685&amp;"/1","")</f>
        <v/>
      </c>
      <c r="C1685" s="32">
        <f>IF($A1685=1,"J-"&amp;Supplier_Payments!$A33,"")</f>
        <v/>
      </c>
      <c r="D1685" s="33">
        <f>IF($A1685=1,Supplier_Payments!$B33,"")</f>
        <v/>
      </c>
      <c r="E1685" s="32">
        <f>IF($A1685=1,IF(Supplier_Payments!$A33="","",Supplier_Payments!$A33),"")</f>
        <v/>
      </c>
      <c r="F1685" s="32">
        <f>IF($A1685=1,"SPAY","")</f>
        <v/>
      </c>
      <c r="G1685" s="32">
        <f>IF($A1685=1,ACC_SUPPLIERS,"")</f>
        <v/>
      </c>
      <c r="H1685" s="32">
        <f>IF($A1685=1,IF(COUNTIF(COA!$A:$A,$G1685)=0,"حساب غير معرف",INDEX(COA!$B:$B,MATCH($G1685,COA!$A:$A,0))),"")</f>
        <v/>
      </c>
      <c r="I1685" s="32">
        <f>IF($A1685=1,IF(Supplier_Payments!$Q33="","",Supplier_Payments!$Q33),"")</f>
        <v/>
      </c>
      <c r="J1685" s="32">
        <f>IF($A1685=1,"CC00","")</f>
        <v/>
      </c>
      <c r="K1685" s="32">
        <f>IF($A1685=1,IF(Supplier_Payments!$C33="","",Supplier_Payments!$C33),"")</f>
        <v/>
      </c>
      <c r="L1685" s="32">
        <f>IF($A1685=1,IF(Supplier_Payments!$H33="","دفعة مورد "&amp;Supplier_Payments!$C33,Supplier_Payments!$H33),"")</f>
        <v/>
      </c>
      <c r="M1685" s="43">
        <f>IF($A1685=1,Supplier_Payments!$E33,"")</f>
        <v/>
      </c>
      <c r="N1685" s="43">
        <f>IF($A1685=1,0,"")</f>
        <v/>
      </c>
      <c r="O1685" s="32">
        <f>IF($A1685=1,Supplier_Payments!$I33,"")</f>
        <v/>
      </c>
      <c r="P1685" s="32">
        <f>IF($A1685=1,IF(Supplier_Payments!$T33="","",Supplier_Payments!$T33),"")</f>
        <v/>
      </c>
      <c r="Q1685" s="32">
        <f>IF($A1685=1,Supplier_Payments!$V33,"")</f>
        <v/>
      </c>
      <c r="R1685" s="32">
        <f>IF($A1685=1,IF(AND($Q1685=1,COUNTIFS(COA!$A:$A,$G1685,COA!$R:$R,1)=1),1,0),"")</f>
        <v/>
      </c>
      <c r="S1685" s="43">
        <f>IF($A1685=1,IF($R1685=1,N($M1685),0),"")</f>
        <v/>
      </c>
      <c r="T1685" s="43">
        <f>IF($A1685=1,IF($R1685=1,N($N1685),0),"")</f>
        <v/>
      </c>
      <c r="U1685" s="32">
        <f>IF($A1685=1,YEAR($D1685)*100+MONTH($D1685),"")</f>
        <v/>
      </c>
      <c r="V1685" s="32">
        <f>IF($A1685=1,IF(COUNTIF(COA!$A:$A,$G1685)=0,0,INDEX(COA!$H:$H,MATCH($G1685,COA!$A:$A,0))),"")</f>
        <v/>
      </c>
      <c r="W1685" s="32">
        <f>IF($A1685=1,"","")</f>
        <v/>
      </c>
      <c r="X1685" s="32">
        <f>IF($A1685=1,IF($R1685=1,"",IF($O1685=ST_POST,IF($P1685&lt;&gt;"",$P1685,"حساب غير صالح أو غير نشط"),IF($O1685=ST_REV,"معكوس: لا أثر على الدفاتر",IF($O1685=ST_CANC,"ملغى",IF($O1685=ST_APPR,"معتمد ولم يُرحَّل","مسودة"))))),"")</f>
        <v/>
      </c>
      <c r="Y1685" s="32">
        <f>IF($A1685=1,IF(AND($R1685=1,OR(LG_Acct="",$G1685=LG_Acct),OR(LG_Party="",$K1685=LG_Party),OR(LG_Loc="ALL",$I1685=LG_Loc),OR(LG_CC="ALL",$J1685=LG_CC),$D1685&gt;=LG_From,$D1685&lt;=LG_To),$D1685+ROW()/1000000,""),"")</f>
        <v/>
      </c>
      <c r="Z1685" s="32">
        <f>IF($A1685=1,IF(Supplier_Payments!$J33="","",Supplier_Payments!$J33),"")</f>
        <v/>
      </c>
      <c r="AA1685" s="32">
        <f>IF($A1685=1,IF(Supplier_Payments!$K33="","",Supplier_Payments!$K33),"")</f>
        <v/>
      </c>
      <c r="AB1685" s="32">
        <f>IF($A1685=1,IF(Supplier_Payments!$L33="","",Supplier_Payments!$L33),"")</f>
        <v/>
      </c>
      <c r="AC1685" s="32">
        <f>IF($A1685=1,IF(Supplier_Payments!$M33="","",Supplier_Payments!$M33),"")</f>
        <v/>
      </c>
      <c r="AD1685" s="32">
        <f>IF($A1685=1,IF(Supplier_Payments!$N33="","",Supplier_Payments!$N33),"")</f>
        <v/>
      </c>
      <c r="AE1685" s="32">
        <f>IF($A1685=1,0,"")</f>
        <v/>
      </c>
      <c r="AF1685" s="32" t="inlineStr"/>
    </row>
    <row r="1686">
      <c r="A1686" s="32">
        <f>IF(AND(Supplier_Payments!$S33=1,N(Supplier_Payments!$E33)&gt;0),1,0)</f>
        <v/>
      </c>
      <c r="B1686" s="32">
        <f>IF($A1686=1,$E1686&amp;"/2","")</f>
        <v/>
      </c>
      <c r="C1686" s="32">
        <f>IF($A1686=1,"J-"&amp;Supplier_Payments!$A33,"")</f>
        <v/>
      </c>
      <c r="D1686" s="33">
        <f>IF($A1686=1,Supplier_Payments!$B33,"")</f>
        <v/>
      </c>
      <c r="E1686" s="32">
        <f>IF($A1686=1,IF(Supplier_Payments!$A33="","",Supplier_Payments!$A33),"")</f>
        <v/>
      </c>
      <c r="F1686" s="32">
        <f>IF($A1686=1,"SPAY","")</f>
        <v/>
      </c>
      <c r="G1686" s="32">
        <f>IF($A1686=1,IF(Supplier_Payments!$P33="","",Supplier_Payments!$P33),"")</f>
        <v/>
      </c>
      <c r="H1686" s="32">
        <f>IF($A1686=1,IF(COUNTIF(COA!$A:$A,$G1686)=0,"حساب غير معرف",INDEX(COA!$B:$B,MATCH($G1686,COA!$A:$A,0))),"")</f>
        <v/>
      </c>
      <c r="I1686" s="32">
        <f>IF($A1686=1,IF(Supplier_Payments!$Q33="","",Supplier_Payments!$Q33),"")</f>
        <v/>
      </c>
      <c r="J1686" s="32">
        <f>IF($A1686=1,"CC00","")</f>
        <v/>
      </c>
      <c r="K1686" s="32">
        <f>IF($A1686=1,"-","")</f>
        <v/>
      </c>
      <c r="L1686" s="32">
        <f>IF($A1686=1,IF(Supplier_Payments!$H33="","دفعة مورد "&amp;Supplier_Payments!$C33,Supplier_Payments!$H33),"")</f>
        <v/>
      </c>
      <c r="M1686" s="43">
        <f>IF($A1686=1,0,"")</f>
        <v/>
      </c>
      <c r="N1686" s="43">
        <f>IF($A1686=1,Supplier_Payments!$E33,"")</f>
        <v/>
      </c>
      <c r="O1686" s="32">
        <f>IF($A1686=1,Supplier_Payments!$I33,"")</f>
        <v/>
      </c>
      <c r="P1686" s="32">
        <f>IF($A1686=1,IF(Supplier_Payments!$T33="","",Supplier_Payments!$T33),"")</f>
        <v/>
      </c>
      <c r="Q1686" s="32">
        <f>IF($A1686=1,Supplier_Payments!$V33,"")</f>
        <v/>
      </c>
      <c r="R1686" s="32">
        <f>IF($A1686=1,IF(AND($Q1686=1,COUNTIFS(COA!$A:$A,$G1686,COA!$R:$R,1)=1),1,0),"")</f>
        <v/>
      </c>
      <c r="S1686" s="43">
        <f>IF($A1686=1,IF($R1686=1,N($M1686),0),"")</f>
        <v/>
      </c>
      <c r="T1686" s="43">
        <f>IF($A1686=1,IF($R1686=1,N($N1686),0),"")</f>
        <v/>
      </c>
      <c r="U1686" s="32">
        <f>IF($A1686=1,YEAR($D1686)*100+MONTH($D1686),"")</f>
        <v/>
      </c>
      <c r="V1686" s="32">
        <f>IF($A1686=1,IF(COUNTIF(COA!$A:$A,$G1686)=0,0,INDEX(COA!$H:$H,MATCH($G1686,COA!$A:$A,0))),"")</f>
        <v/>
      </c>
      <c r="W1686" s="32">
        <f>IF($A1686=1,IF(Supplier_Payments!$R33="","",Supplier_Payments!$R33),"")</f>
        <v/>
      </c>
      <c r="X1686" s="32">
        <f>IF($A1686=1,IF($R1686=1,"",IF($O1686=ST_POST,IF($P1686&lt;&gt;"",$P1686,"حساب غير صالح أو غير نشط"),IF($O1686=ST_REV,"معكوس: لا أثر على الدفاتر",IF($O1686=ST_CANC,"ملغى",IF($O1686=ST_APPR,"معتمد ولم يُرحَّل","مسودة"))))),"")</f>
        <v/>
      </c>
      <c r="Y1686" s="32">
        <f>IF($A1686=1,IF(AND($R1686=1,OR(LG_Acct="",$G1686=LG_Acct),OR(LG_Party="",$K1686=LG_Party),OR(LG_Loc="ALL",$I1686=LG_Loc),OR(LG_CC="ALL",$J1686=LG_CC),$D1686&gt;=LG_From,$D1686&lt;=LG_To),$D1686+ROW()/1000000,""),"")</f>
        <v/>
      </c>
      <c r="Z1686" s="32">
        <f>IF($A1686=1,IF(Supplier_Payments!$J33="","",Supplier_Payments!$J33),"")</f>
        <v/>
      </c>
      <c r="AA1686" s="32">
        <f>IF($A1686=1,IF(Supplier_Payments!$K33="","",Supplier_Payments!$K33),"")</f>
        <v/>
      </c>
      <c r="AB1686" s="32">
        <f>IF($A1686=1,IF(Supplier_Payments!$L33="","",Supplier_Payments!$L33),"")</f>
        <v/>
      </c>
      <c r="AC1686" s="32">
        <f>IF($A1686=1,IF(Supplier_Payments!$M33="","",Supplier_Payments!$M33),"")</f>
        <v/>
      </c>
      <c r="AD1686" s="32">
        <f>IF($A1686=1,IF(Supplier_Payments!$N33="","",Supplier_Payments!$N33),"")</f>
        <v/>
      </c>
      <c r="AE1686" s="32">
        <f>IF($A1686=1,0,"")</f>
        <v/>
      </c>
      <c r="AF1686" s="32" t="inlineStr"/>
    </row>
    <row r="1687">
      <c r="A1687" s="32">
        <f>IF(AND(Supplier_Payments!$S34=1,N(Supplier_Payments!$E34)&gt;0),1,0)</f>
        <v/>
      </c>
      <c r="B1687" s="32">
        <f>IF($A1687=1,$E1687&amp;"/1","")</f>
        <v/>
      </c>
      <c r="C1687" s="32">
        <f>IF($A1687=1,"J-"&amp;Supplier_Payments!$A34,"")</f>
        <v/>
      </c>
      <c r="D1687" s="33">
        <f>IF($A1687=1,Supplier_Payments!$B34,"")</f>
        <v/>
      </c>
      <c r="E1687" s="32">
        <f>IF($A1687=1,IF(Supplier_Payments!$A34="","",Supplier_Payments!$A34),"")</f>
        <v/>
      </c>
      <c r="F1687" s="32">
        <f>IF($A1687=1,"SPAY","")</f>
        <v/>
      </c>
      <c r="G1687" s="32">
        <f>IF($A1687=1,ACC_SUPPLIERS,"")</f>
        <v/>
      </c>
      <c r="H1687" s="32">
        <f>IF($A1687=1,IF(COUNTIF(COA!$A:$A,$G1687)=0,"حساب غير معرف",INDEX(COA!$B:$B,MATCH($G1687,COA!$A:$A,0))),"")</f>
        <v/>
      </c>
      <c r="I1687" s="32">
        <f>IF($A1687=1,IF(Supplier_Payments!$Q34="","",Supplier_Payments!$Q34),"")</f>
        <v/>
      </c>
      <c r="J1687" s="32">
        <f>IF($A1687=1,"CC00","")</f>
        <v/>
      </c>
      <c r="K1687" s="32">
        <f>IF($A1687=1,IF(Supplier_Payments!$C34="","",Supplier_Payments!$C34),"")</f>
        <v/>
      </c>
      <c r="L1687" s="32">
        <f>IF($A1687=1,IF(Supplier_Payments!$H34="","دفعة مورد "&amp;Supplier_Payments!$C34,Supplier_Payments!$H34),"")</f>
        <v/>
      </c>
      <c r="M1687" s="43">
        <f>IF($A1687=1,Supplier_Payments!$E34,"")</f>
        <v/>
      </c>
      <c r="N1687" s="43">
        <f>IF($A1687=1,0,"")</f>
        <v/>
      </c>
      <c r="O1687" s="32">
        <f>IF($A1687=1,Supplier_Payments!$I34,"")</f>
        <v/>
      </c>
      <c r="P1687" s="32">
        <f>IF($A1687=1,IF(Supplier_Payments!$T34="","",Supplier_Payments!$T34),"")</f>
        <v/>
      </c>
      <c r="Q1687" s="32">
        <f>IF($A1687=1,Supplier_Payments!$V34,"")</f>
        <v/>
      </c>
      <c r="R1687" s="32">
        <f>IF($A1687=1,IF(AND($Q1687=1,COUNTIFS(COA!$A:$A,$G1687,COA!$R:$R,1)=1),1,0),"")</f>
        <v/>
      </c>
      <c r="S1687" s="43">
        <f>IF($A1687=1,IF($R1687=1,N($M1687),0),"")</f>
        <v/>
      </c>
      <c r="T1687" s="43">
        <f>IF($A1687=1,IF($R1687=1,N($N1687),0),"")</f>
        <v/>
      </c>
      <c r="U1687" s="32">
        <f>IF($A1687=1,YEAR($D1687)*100+MONTH($D1687),"")</f>
        <v/>
      </c>
      <c r="V1687" s="32">
        <f>IF($A1687=1,IF(COUNTIF(COA!$A:$A,$G1687)=0,0,INDEX(COA!$H:$H,MATCH($G1687,COA!$A:$A,0))),"")</f>
        <v/>
      </c>
      <c r="W1687" s="32">
        <f>IF($A1687=1,"","")</f>
        <v/>
      </c>
      <c r="X1687" s="32">
        <f>IF($A1687=1,IF($R1687=1,"",IF($O1687=ST_POST,IF($P1687&lt;&gt;"",$P1687,"حساب غير صالح أو غير نشط"),IF($O1687=ST_REV,"معكوس: لا أثر على الدفاتر",IF($O1687=ST_CANC,"ملغى",IF($O1687=ST_APPR,"معتمد ولم يُرحَّل","مسودة"))))),"")</f>
        <v/>
      </c>
      <c r="Y1687" s="32">
        <f>IF($A1687=1,IF(AND($R1687=1,OR(LG_Acct="",$G1687=LG_Acct),OR(LG_Party="",$K1687=LG_Party),OR(LG_Loc="ALL",$I1687=LG_Loc),OR(LG_CC="ALL",$J1687=LG_CC),$D1687&gt;=LG_From,$D1687&lt;=LG_To),$D1687+ROW()/1000000,""),"")</f>
        <v/>
      </c>
      <c r="Z1687" s="32">
        <f>IF($A1687=1,IF(Supplier_Payments!$J34="","",Supplier_Payments!$J34),"")</f>
        <v/>
      </c>
      <c r="AA1687" s="32">
        <f>IF($A1687=1,IF(Supplier_Payments!$K34="","",Supplier_Payments!$K34),"")</f>
        <v/>
      </c>
      <c r="AB1687" s="32">
        <f>IF($A1687=1,IF(Supplier_Payments!$L34="","",Supplier_Payments!$L34),"")</f>
        <v/>
      </c>
      <c r="AC1687" s="32">
        <f>IF($A1687=1,IF(Supplier_Payments!$M34="","",Supplier_Payments!$M34),"")</f>
        <v/>
      </c>
      <c r="AD1687" s="32">
        <f>IF($A1687=1,IF(Supplier_Payments!$N34="","",Supplier_Payments!$N34),"")</f>
        <v/>
      </c>
      <c r="AE1687" s="32">
        <f>IF($A1687=1,0,"")</f>
        <v/>
      </c>
      <c r="AF1687" s="32" t="inlineStr"/>
    </row>
    <row r="1688">
      <c r="A1688" s="32">
        <f>IF(AND(Supplier_Payments!$S34=1,N(Supplier_Payments!$E34)&gt;0),1,0)</f>
        <v/>
      </c>
      <c r="B1688" s="32">
        <f>IF($A1688=1,$E1688&amp;"/2","")</f>
        <v/>
      </c>
      <c r="C1688" s="32">
        <f>IF($A1688=1,"J-"&amp;Supplier_Payments!$A34,"")</f>
        <v/>
      </c>
      <c r="D1688" s="33">
        <f>IF($A1688=1,Supplier_Payments!$B34,"")</f>
        <v/>
      </c>
      <c r="E1688" s="32">
        <f>IF($A1688=1,IF(Supplier_Payments!$A34="","",Supplier_Payments!$A34),"")</f>
        <v/>
      </c>
      <c r="F1688" s="32">
        <f>IF($A1688=1,"SPAY","")</f>
        <v/>
      </c>
      <c r="G1688" s="32">
        <f>IF($A1688=1,IF(Supplier_Payments!$P34="","",Supplier_Payments!$P34),"")</f>
        <v/>
      </c>
      <c r="H1688" s="32">
        <f>IF($A1688=1,IF(COUNTIF(COA!$A:$A,$G1688)=0,"حساب غير معرف",INDEX(COA!$B:$B,MATCH($G1688,COA!$A:$A,0))),"")</f>
        <v/>
      </c>
      <c r="I1688" s="32">
        <f>IF($A1688=1,IF(Supplier_Payments!$Q34="","",Supplier_Payments!$Q34),"")</f>
        <v/>
      </c>
      <c r="J1688" s="32">
        <f>IF($A1688=1,"CC00","")</f>
        <v/>
      </c>
      <c r="K1688" s="32">
        <f>IF($A1688=1,"-","")</f>
        <v/>
      </c>
      <c r="L1688" s="32">
        <f>IF($A1688=1,IF(Supplier_Payments!$H34="","دفعة مورد "&amp;Supplier_Payments!$C34,Supplier_Payments!$H34),"")</f>
        <v/>
      </c>
      <c r="M1688" s="43">
        <f>IF($A1688=1,0,"")</f>
        <v/>
      </c>
      <c r="N1688" s="43">
        <f>IF($A1688=1,Supplier_Payments!$E34,"")</f>
        <v/>
      </c>
      <c r="O1688" s="32">
        <f>IF($A1688=1,Supplier_Payments!$I34,"")</f>
        <v/>
      </c>
      <c r="P1688" s="32">
        <f>IF($A1688=1,IF(Supplier_Payments!$T34="","",Supplier_Payments!$T34),"")</f>
        <v/>
      </c>
      <c r="Q1688" s="32">
        <f>IF($A1688=1,Supplier_Payments!$V34,"")</f>
        <v/>
      </c>
      <c r="R1688" s="32">
        <f>IF($A1688=1,IF(AND($Q1688=1,COUNTIFS(COA!$A:$A,$G1688,COA!$R:$R,1)=1),1,0),"")</f>
        <v/>
      </c>
      <c r="S1688" s="43">
        <f>IF($A1688=1,IF($R1688=1,N($M1688),0),"")</f>
        <v/>
      </c>
      <c r="T1688" s="43">
        <f>IF($A1688=1,IF($R1688=1,N($N1688),0),"")</f>
        <v/>
      </c>
      <c r="U1688" s="32">
        <f>IF($A1688=1,YEAR($D1688)*100+MONTH($D1688),"")</f>
        <v/>
      </c>
      <c r="V1688" s="32">
        <f>IF($A1688=1,IF(COUNTIF(COA!$A:$A,$G1688)=0,0,INDEX(COA!$H:$H,MATCH($G1688,COA!$A:$A,0))),"")</f>
        <v/>
      </c>
      <c r="W1688" s="32">
        <f>IF($A1688=1,IF(Supplier_Payments!$R34="","",Supplier_Payments!$R34),"")</f>
        <v/>
      </c>
      <c r="X1688" s="32">
        <f>IF($A1688=1,IF($R1688=1,"",IF($O1688=ST_POST,IF($P1688&lt;&gt;"",$P1688,"حساب غير صالح أو غير نشط"),IF($O1688=ST_REV,"معكوس: لا أثر على الدفاتر",IF($O1688=ST_CANC,"ملغى",IF($O1688=ST_APPR,"معتمد ولم يُرحَّل","مسودة"))))),"")</f>
        <v/>
      </c>
      <c r="Y1688" s="32">
        <f>IF($A1688=1,IF(AND($R1688=1,OR(LG_Acct="",$G1688=LG_Acct),OR(LG_Party="",$K1688=LG_Party),OR(LG_Loc="ALL",$I1688=LG_Loc),OR(LG_CC="ALL",$J1688=LG_CC),$D1688&gt;=LG_From,$D1688&lt;=LG_To),$D1688+ROW()/1000000,""),"")</f>
        <v/>
      </c>
      <c r="Z1688" s="32">
        <f>IF($A1688=1,IF(Supplier_Payments!$J34="","",Supplier_Payments!$J34),"")</f>
        <v/>
      </c>
      <c r="AA1688" s="32">
        <f>IF($A1688=1,IF(Supplier_Payments!$K34="","",Supplier_Payments!$K34),"")</f>
        <v/>
      </c>
      <c r="AB1688" s="32">
        <f>IF($A1688=1,IF(Supplier_Payments!$L34="","",Supplier_Payments!$L34),"")</f>
        <v/>
      </c>
      <c r="AC1688" s="32">
        <f>IF($A1688=1,IF(Supplier_Payments!$M34="","",Supplier_Payments!$M34),"")</f>
        <v/>
      </c>
      <c r="AD1688" s="32">
        <f>IF($A1688=1,IF(Supplier_Payments!$N34="","",Supplier_Payments!$N34),"")</f>
        <v/>
      </c>
      <c r="AE1688" s="32">
        <f>IF($A1688=1,0,"")</f>
        <v/>
      </c>
      <c r="AF1688" s="32" t="inlineStr"/>
    </row>
    <row r="1689">
      <c r="A1689" s="32">
        <f>IF(AND(Supplier_Payments!$S35=1,N(Supplier_Payments!$E35)&gt;0),1,0)</f>
        <v/>
      </c>
      <c r="B1689" s="32">
        <f>IF($A1689=1,$E1689&amp;"/1","")</f>
        <v/>
      </c>
      <c r="C1689" s="32">
        <f>IF($A1689=1,"J-"&amp;Supplier_Payments!$A35,"")</f>
        <v/>
      </c>
      <c r="D1689" s="33">
        <f>IF($A1689=1,Supplier_Payments!$B35,"")</f>
        <v/>
      </c>
      <c r="E1689" s="32">
        <f>IF($A1689=1,IF(Supplier_Payments!$A35="","",Supplier_Payments!$A35),"")</f>
        <v/>
      </c>
      <c r="F1689" s="32">
        <f>IF($A1689=1,"SPAY","")</f>
        <v/>
      </c>
      <c r="G1689" s="32">
        <f>IF($A1689=1,ACC_SUPPLIERS,"")</f>
        <v/>
      </c>
      <c r="H1689" s="32">
        <f>IF($A1689=1,IF(COUNTIF(COA!$A:$A,$G1689)=0,"حساب غير معرف",INDEX(COA!$B:$B,MATCH($G1689,COA!$A:$A,0))),"")</f>
        <v/>
      </c>
      <c r="I1689" s="32">
        <f>IF($A1689=1,IF(Supplier_Payments!$Q35="","",Supplier_Payments!$Q35),"")</f>
        <v/>
      </c>
      <c r="J1689" s="32">
        <f>IF($A1689=1,"CC00","")</f>
        <v/>
      </c>
      <c r="K1689" s="32">
        <f>IF($A1689=1,IF(Supplier_Payments!$C35="","",Supplier_Payments!$C35),"")</f>
        <v/>
      </c>
      <c r="L1689" s="32">
        <f>IF($A1689=1,IF(Supplier_Payments!$H35="","دفعة مورد "&amp;Supplier_Payments!$C35,Supplier_Payments!$H35),"")</f>
        <v/>
      </c>
      <c r="M1689" s="43">
        <f>IF($A1689=1,Supplier_Payments!$E35,"")</f>
        <v/>
      </c>
      <c r="N1689" s="43">
        <f>IF($A1689=1,0,"")</f>
        <v/>
      </c>
      <c r="O1689" s="32">
        <f>IF($A1689=1,Supplier_Payments!$I35,"")</f>
        <v/>
      </c>
      <c r="P1689" s="32">
        <f>IF($A1689=1,IF(Supplier_Payments!$T35="","",Supplier_Payments!$T35),"")</f>
        <v/>
      </c>
      <c r="Q1689" s="32">
        <f>IF($A1689=1,Supplier_Payments!$V35,"")</f>
        <v/>
      </c>
      <c r="R1689" s="32">
        <f>IF($A1689=1,IF(AND($Q1689=1,COUNTIFS(COA!$A:$A,$G1689,COA!$R:$R,1)=1),1,0),"")</f>
        <v/>
      </c>
      <c r="S1689" s="43">
        <f>IF($A1689=1,IF($R1689=1,N($M1689),0),"")</f>
        <v/>
      </c>
      <c r="T1689" s="43">
        <f>IF($A1689=1,IF($R1689=1,N($N1689),0),"")</f>
        <v/>
      </c>
      <c r="U1689" s="32">
        <f>IF($A1689=1,YEAR($D1689)*100+MONTH($D1689),"")</f>
        <v/>
      </c>
      <c r="V1689" s="32">
        <f>IF($A1689=1,IF(COUNTIF(COA!$A:$A,$G1689)=0,0,INDEX(COA!$H:$H,MATCH($G1689,COA!$A:$A,0))),"")</f>
        <v/>
      </c>
      <c r="W1689" s="32">
        <f>IF($A1689=1,"","")</f>
        <v/>
      </c>
      <c r="X1689" s="32">
        <f>IF($A1689=1,IF($R1689=1,"",IF($O1689=ST_POST,IF($P1689&lt;&gt;"",$P1689,"حساب غير صالح أو غير نشط"),IF($O1689=ST_REV,"معكوس: لا أثر على الدفاتر",IF($O1689=ST_CANC,"ملغى",IF($O1689=ST_APPR,"معتمد ولم يُرحَّل","مسودة"))))),"")</f>
        <v/>
      </c>
      <c r="Y1689" s="32">
        <f>IF($A1689=1,IF(AND($R1689=1,OR(LG_Acct="",$G1689=LG_Acct),OR(LG_Party="",$K1689=LG_Party),OR(LG_Loc="ALL",$I1689=LG_Loc),OR(LG_CC="ALL",$J1689=LG_CC),$D1689&gt;=LG_From,$D1689&lt;=LG_To),$D1689+ROW()/1000000,""),"")</f>
        <v/>
      </c>
      <c r="Z1689" s="32">
        <f>IF($A1689=1,IF(Supplier_Payments!$J35="","",Supplier_Payments!$J35),"")</f>
        <v/>
      </c>
      <c r="AA1689" s="32">
        <f>IF($A1689=1,IF(Supplier_Payments!$K35="","",Supplier_Payments!$K35),"")</f>
        <v/>
      </c>
      <c r="AB1689" s="32">
        <f>IF($A1689=1,IF(Supplier_Payments!$L35="","",Supplier_Payments!$L35),"")</f>
        <v/>
      </c>
      <c r="AC1689" s="32">
        <f>IF($A1689=1,IF(Supplier_Payments!$M35="","",Supplier_Payments!$M35),"")</f>
        <v/>
      </c>
      <c r="AD1689" s="32">
        <f>IF($A1689=1,IF(Supplier_Payments!$N35="","",Supplier_Payments!$N35),"")</f>
        <v/>
      </c>
      <c r="AE1689" s="32">
        <f>IF($A1689=1,0,"")</f>
        <v/>
      </c>
      <c r="AF1689" s="32" t="inlineStr"/>
    </row>
    <row r="1690">
      <c r="A1690" s="32">
        <f>IF(AND(Supplier_Payments!$S35=1,N(Supplier_Payments!$E35)&gt;0),1,0)</f>
        <v/>
      </c>
      <c r="B1690" s="32">
        <f>IF($A1690=1,$E1690&amp;"/2","")</f>
        <v/>
      </c>
      <c r="C1690" s="32">
        <f>IF($A1690=1,"J-"&amp;Supplier_Payments!$A35,"")</f>
        <v/>
      </c>
      <c r="D1690" s="33">
        <f>IF($A1690=1,Supplier_Payments!$B35,"")</f>
        <v/>
      </c>
      <c r="E1690" s="32">
        <f>IF($A1690=1,IF(Supplier_Payments!$A35="","",Supplier_Payments!$A35),"")</f>
        <v/>
      </c>
      <c r="F1690" s="32">
        <f>IF($A1690=1,"SPAY","")</f>
        <v/>
      </c>
      <c r="G1690" s="32">
        <f>IF($A1690=1,IF(Supplier_Payments!$P35="","",Supplier_Payments!$P35),"")</f>
        <v/>
      </c>
      <c r="H1690" s="32">
        <f>IF($A1690=1,IF(COUNTIF(COA!$A:$A,$G1690)=0,"حساب غير معرف",INDEX(COA!$B:$B,MATCH($G1690,COA!$A:$A,0))),"")</f>
        <v/>
      </c>
      <c r="I1690" s="32">
        <f>IF($A1690=1,IF(Supplier_Payments!$Q35="","",Supplier_Payments!$Q35),"")</f>
        <v/>
      </c>
      <c r="J1690" s="32">
        <f>IF($A1690=1,"CC00","")</f>
        <v/>
      </c>
      <c r="K1690" s="32">
        <f>IF($A1690=1,"-","")</f>
        <v/>
      </c>
      <c r="L1690" s="32">
        <f>IF($A1690=1,IF(Supplier_Payments!$H35="","دفعة مورد "&amp;Supplier_Payments!$C35,Supplier_Payments!$H35),"")</f>
        <v/>
      </c>
      <c r="M1690" s="43">
        <f>IF($A1690=1,0,"")</f>
        <v/>
      </c>
      <c r="N1690" s="43">
        <f>IF($A1690=1,Supplier_Payments!$E35,"")</f>
        <v/>
      </c>
      <c r="O1690" s="32">
        <f>IF($A1690=1,Supplier_Payments!$I35,"")</f>
        <v/>
      </c>
      <c r="P1690" s="32">
        <f>IF($A1690=1,IF(Supplier_Payments!$T35="","",Supplier_Payments!$T35),"")</f>
        <v/>
      </c>
      <c r="Q1690" s="32">
        <f>IF($A1690=1,Supplier_Payments!$V35,"")</f>
        <v/>
      </c>
      <c r="R1690" s="32">
        <f>IF($A1690=1,IF(AND($Q1690=1,COUNTIFS(COA!$A:$A,$G1690,COA!$R:$R,1)=1),1,0),"")</f>
        <v/>
      </c>
      <c r="S1690" s="43">
        <f>IF($A1690=1,IF($R1690=1,N($M1690),0),"")</f>
        <v/>
      </c>
      <c r="T1690" s="43">
        <f>IF($A1690=1,IF($R1690=1,N($N1690),0),"")</f>
        <v/>
      </c>
      <c r="U1690" s="32">
        <f>IF($A1690=1,YEAR($D1690)*100+MONTH($D1690),"")</f>
        <v/>
      </c>
      <c r="V1690" s="32">
        <f>IF($A1690=1,IF(COUNTIF(COA!$A:$A,$G1690)=0,0,INDEX(COA!$H:$H,MATCH($G1690,COA!$A:$A,0))),"")</f>
        <v/>
      </c>
      <c r="W1690" s="32">
        <f>IF($A1690=1,IF(Supplier_Payments!$R35="","",Supplier_Payments!$R35),"")</f>
        <v/>
      </c>
      <c r="X1690" s="32">
        <f>IF($A1690=1,IF($R1690=1,"",IF($O1690=ST_POST,IF($P1690&lt;&gt;"",$P1690,"حساب غير صالح أو غير نشط"),IF($O1690=ST_REV,"معكوس: لا أثر على الدفاتر",IF($O1690=ST_CANC,"ملغى",IF($O1690=ST_APPR,"معتمد ولم يُرحَّل","مسودة"))))),"")</f>
        <v/>
      </c>
      <c r="Y1690" s="32">
        <f>IF($A1690=1,IF(AND($R1690=1,OR(LG_Acct="",$G1690=LG_Acct),OR(LG_Party="",$K1690=LG_Party),OR(LG_Loc="ALL",$I1690=LG_Loc),OR(LG_CC="ALL",$J1690=LG_CC),$D1690&gt;=LG_From,$D1690&lt;=LG_To),$D1690+ROW()/1000000,""),"")</f>
        <v/>
      </c>
      <c r="Z1690" s="32">
        <f>IF($A1690=1,IF(Supplier_Payments!$J35="","",Supplier_Payments!$J35),"")</f>
        <v/>
      </c>
      <c r="AA1690" s="32">
        <f>IF($A1690=1,IF(Supplier_Payments!$K35="","",Supplier_Payments!$K35),"")</f>
        <v/>
      </c>
      <c r="AB1690" s="32">
        <f>IF($A1690=1,IF(Supplier_Payments!$L35="","",Supplier_Payments!$L35),"")</f>
        <v/>
      </c>
      <c r="AC1690" s="32">
        <f>IF($A1690=1,IF(Supplier_Payments!$M35="","",Supplier_Payments!$M35),"")</f>
        <v/>
      </c>
      <c r="AD1690" s="32">
        <f>IF($A1690=1,IF(Supplier_Payments!$N35="","",Supplier_Payments!$N35),"")</f>
        <v/>
      </c>
      <c r="AE1690" s="32">
        <f>IF($A1690=1,0,"")</f>
        <v/>
      </c>
      <c r="AF1690" s="32" t="inlineStr"/>
    </row>
    <row r="1691">
      <c r="A1691" s="32">
        <f>IF(AND(Supplier_Payments!$S36=1,N(Supplier_Payments!$E36)&gt;0),1,0)</f>
        <v/>
      </c>
      <c r="B1691" s="32">
        <f>IF($A1691=1,$E1691&amp;"/1","")</f>
        <v/>
      </c>
      <c r="C1691" s="32">
        <f>IF($A1691=1,"J-"&amp;Supplier_Payments!$A36,"")</f>
        <v/>
      </c>
      <c r="D1691" s="33">
        <f>IF($A1691=1,Supplier_Payments!$B36,"")</f>
        <v/>
      </c>
      <c r="E1691" s="32">
        <f>IF($A1691=1,IF(Supplier_Payments!$A36="","",Supplier_Payments!$A36),"")</f>
        <v/>
      </c>
      <c r="F1691" s="32">
        <f>IF($A1691=1,"SPAY","")</f>
        <v/>
      </c>
      <c r="G1691" s="32">
        <f>IF($A1691=1,ACC_SUPPLIERS,"")</f>
        <v/>
      </c>
      <c r="H1691" s="32">
        <f>IF($A1691=1,IF(COUNTIF(COA!$A:$A,$G1691)=0,"حساب غير معرف",INDEX(COA!$B:$B,MATCH($G1691,COA!$A:$A,0))),"")</f>
        <v/>
      </c>
      <c r="I1691" s="32">
        <f>IF($A1691=1,IF(Supplier_Payments!$Q36="","",Supplier_Payments!$Q36),"")</f>
        <v/>
      </c>
      <c r="J1691" s="32">
        <f>IF($A1691=1,"CC00","")</f>
        <v/>
      </c>
      <c r="K1691" s="32">
        <f>IF($A1691=1,IF(Supplier_Payments!$C36="","",Supplier_Payments!$C36),"")</f>
        <v/>
      </c>
      <c r="L1691" s="32">
        <f>IF($A1691=1,IF(Supplier_Payments!$H36="","دفعة مورد "&amp;Supplier_Payments!$C36,Supplier_Payments!$H36),"")</f>
        <v/>
      </c>
      <c r="M1691" s="43">
        <f>IF($A1691=1,Supplier_Payments!$E36,"")</f>
        <v/>
      </c>
      <c r="N1691" s="43">
        <f>IF($A1691=1,0,"")</f>
        <v/>
      </c>
      <c r="O1691" s="32">
        <f>IF($A1691=1,Supplier_Payments!$I36,"")</f>
        <v/>
      </c>
      <c r="P1691" s="32">
        <f>IF($A1691=1,IF(Supplier_Payments!$T36="","",Supplier_Payments!$T36),"")</f>
        <v/>
      </c>
      <c r="Q1691" s="32">
        <f>IF($A1691=1,Supplier_Payments!$V36,"")</f>
        <v/>
      </c>
      <c r="R1691" s="32">
        <f>IF($A1691=1,IF(AND($Q1691=1,COUNTIFS(COA!$A:$A,$G1691,COA!$R:$R,1)=1),1,0),"")</f>
        <v/>
      </c>
      <c r="S1691" s="43">
        <f>IF($A1691=1,IF($R1691=1,N($M1691),0),"")</f>
        <v/>
      </c>
      <c r="T1691" s="43">
        <f>IF($A1691=1,IF($R1691=1,N($N1691),0),"")</f>
        <v/>
      </c>
      <c r="U1691" s="32">
        <f>IF($A1691=1,YEAR($D1691)*100+MONTH($D1691),"")</f>
        <v/>
      </c>
      <c r="V1691" s="32">
        <f>IF($A1691=1,IF(COUNTIF(COA!$A:$A,$G1691)=0,0,INDEX(COA!$H:$H,MATCH($G1691,COA!$A:$A,0))),"")</f>
        <v/>
      </c>
      <c r="W1691" s="32">
        <f>IF($A1691=1,"","")</f>
        <v/>
      </c>
      <c r="X1691" s="32">
        <f>IF($A1691=1,IF($R1691=1,"",IF($O1691=ST_POST,IF($P1691&lt;&gt;"",$P1691,"حساب غير صالح أو غير نشط"),IF($O1691=ST_REV,"معكوس: لا أثر على الدفاتر",IF($O1691=ST_CANC,"ملغى",IF($O1691=ST_APPR,"معتمد ولم يُرحَّل","مسودة"))))),"")</f>
        <v/>
      </c>
      <c r="Y1691" s="32">
        <f>IF($A1691=1,IF(AND($R1691=1,OR(LG_Acct="",$G1691=LG_Acct),OR(LG_Party="",$K1691=LG_Party),OR(LG_Loc="ALL",$I1691=LG_Loc),OR(LG_CC="ALL",$J1691=LG_CC),$D1691&gt;=LG_From,$D1691&lt;=LG_To),$D1691+ROW()/1000000,""),"")</f>
        <v/>
      </c>
      <c r="Z1691" s="32">
        <f>IF($A1691=1,IF(Supplier_Payments!$J36="","",Supplier_Payments!$J36),"")</f>
        <v/>
      </c>
      <c r="AA1691" s="32">
        <f>IF($A1691=1,IF(Supplier_Payments!$K36="","",Supplier_Payments!$K36),"")</f>
        <v/>
      </c>
      <c r="AB1691" s="32">
        <f>IF($A1691=1,IF(Supplier_Payments!$L36="","",Supplier_Payments!$L36),"")</f>
        <v/>
      </c>
      <c r="AC1691" s="32">
        <f>IF($A1691=1,IF(Supplier_Payments!$M36="","",Supplier_Payments!$M36),"")</f>
        <v/>
      </c>
      <c r="AD1691" s="32">
        <f>IF($A1691=1,IF(Supplier_Payments!$N36="","",Supplier_Payments!$N36),"")</f>
        <v/>
      </c>
      <c r="AE1691" s="32">
        <f>IF($A1691=1,0,"")</f>
        <v/>
      </c>
      <c r="AF1691" s="32" t="inlineStr"/>
    </row>
    <row r="1692">
      <c r="A1692" s="32">
        <f>IF(AND(Supplier_Payments!$S36=1,N(Supplier_Payments!$E36)&gt;0),1,0)</f>
        <v/>
      </c>
      <c r="B1692" s="32">
        <f>IF($A1692=1,$E1692&amp;"/2","")</f>
        <v/>
      </c>
      <c r="C1692" s="32">
        <f>IF($A1692=1,"J-"&amp;Supplier_Payments!$A36,"")</f>
        <v/>
      </c>
      <c r="D1692" s="33">
        <f>IF($A1692=1,Supplier_Payments!$B36,"")</f>
        <v/>
      </c>
      <c r="E1692" s="32">
        <f>IF($A1692=1,IF(Supplier_Payments!$A36="","",Supplier_Payments!$A36),"")</f>
        <v/>
      </c>
      <c r="F1692" s="32">
        <f>IF($A1692=1,"SPAY","")</f>
        <v/>
      </c>
      <c r="G1692" s="32">
        <f>IF($A1692=1,IF(Supplier_Payments!$P36="","",Supplier_Payments!$P36),"")</f>
        <v/>
      </c>
      <c r="H1692" s="32">
        <f>IF($A1692=1,IF(COUNTIF(COA!$A:$A,$G1692)=0,"حساب غير معرف",INDEX(COA!$B:$B,MATCH($G1692,COA!$A:$A,0))),"")</f>
        <v/>
      </c>
      <c r="I1692" s="32">
        <f>IF($A1692=1,IF(Supplier_Payments!$Q36="","",Supplier_Payments!$Q36),"")</f>
        <v/>
      </c>
      <c r="J1692" s="32">
        <f>IF($A1692=1,"CC00","")</f>
        <v/>
      </c>
      <c r="K1692" s="32">
        <f>IF($A1692=1,"-","")</f>
        <v/>
      </c>
      <c r="L1692" s="32">
        <f>IF($A1692=1,IF(Supplier_Payments!$H36="","دفعة مورد "&amp;Supplier_Payments!$C36,Supplier_Payments!$H36),"")</f>
        <v/>
      </c>
      <c r="M1692" s="43">
        <f>IF($A1692=1,0,"")</f>
        <v/>
      </c>
      <c r="N1692" s="43">
        <f>IF($A1692=1,Supplier_Payments!$E36,"")</f>
        <v/>
      </c>
      <c r="O1692" s="32">
        <f>IF($A1692=1,Supplier_Payments!$I36,"")</f>
        <v/>
      </c>
      <c r="P1692" s="32">
        <f>IF($A1692=1,IF(Supplier_Payments!$T36="","",Supplier_Payments!$T36),"")</f>
        <v/>
      </c>
      <c r="Q1692" s="32">
        <f>IF($A1692=1,Supplier_Payments!$V36,"")</f>
        <v/>
      </c>
      <c r="R1692" s="32">
        <f>IF($A1692=1,IF(AND($Q1692=1,COUNTIFS(COA!$A:$A,$G1692,COA!$R:$R,1)=1),1,0),"")</f>
        <v/>
      </c>
      <c r="S1692" s="43">
        <f>IF($A1692=1,IF($R1692=1,N($M1692),0),"")</f>
        <v/>
      </c>
      <c r="T1692" s="43">
        <f>IF($A1692=1,IF($R1692=1,N($N1692),0),"")</f>
        <v/>
      </c>
      <c r="U1692" s="32">
        <f>IF($A1692=1,YEAR($D1692)*100+MONTH($D1692),"")</f>
        <v/>
      </c>
      <c r="V1692" s="32">
        <f>IF($A1692=1,IF(COUNTIF(COA!$A:$A,$G1692)=0,0,INDEX(COA!$H:$H,MATCH($G1692,COA!$A:$A,0))),"")</f>
        <v/>
      </c>
      <c r="W1692" s="32">
        <f>IF($A1692=1,IF(Supplier_Payments!$R36="","",Supplier_Payments!$R36),"")</f>
        <v/>
      </c>
      <c r="X1692" s="32">
        <f>IF($A1692=1,IF($R1692=1,"",IF($O1692=ST_POST,IF($P1692&lt;&gt;"",$P1692,"حساب غير صالح أو غير نشط"),IF($O1692=ST_REV,"معكوس: لا أثر على الدفاتر",IF($O1692=ST_CANC,"ملغى",IF($O1692=ST_APPR,"معتمد ولم يُرحَّل","مسودة"))))),"")</f>
        <v/>
      </c>
      <c r="Y1692" s="32">
        <f>IF($A1692=1,IF(AND($R1692=1,OR(LG_Acct="",$G1692=LG_Acct),OR(LG_Party="",$K1692=LG_Party),OR(LG_Loc="ALL",$I1692=LG_Loc),OR(LG_CC="ALL",$J1692=LG_CC),$D1692&gt;=LG_From,$D1692&lt;=LG_To),$D1692+ROW()/1000000,""),"")</f>
        <v/>
      </c>
      <c r="Z1692" s="32">
        <f>IF($A1692=1,IF(Supplier_Payments!$J36="","",Supplier_Payments!$J36),"")</f>
        <v/>
      </c>
      <c r="AA1692" s="32">
        <f>IF($A1692=1,IF(Supplier_Payments!$K36="","",Supplier_Payments!$K36),"")</f>
        <v/>
      </c>
      <c r="AB1692" s="32">
        <f>IF($A1692=1,IF(Supplier_Payments!$L36="","",Supplier_Payments!$L36),"")</f>
        <v/>
      </c>
      <c r="AC1692" s="32">
        <f>IF($A1692=1,IF(Supplier_Payments!$M36="","",Supplier_Payments!$M36),"")</f>
        <v/>
      </c>
      <c r="AD1692" s="32">
        <f>IF($A1692=1,IF(Supplier_Payments!$N36="","",Supplier_Payments!$N36),"")</f>
        <v/>
      </c>
      <c r="AE1692" s="32">
        <f>IF($A1692=1,0,"")</f>
        <v/>
      </c>
      <c r="AF1692" s="32" t="inlineStr"/>
    </row>
    <row r="1693">
      <c r="A1693" s="32">
        <f>IF(AND(Supplier_Payments!$S37=1,N(Supplier_Payments!$E37)&gt;0),1,0)</f>
        <v/>
      </c>
      <c r="B1693" s="32">
        <f>IF($A1693=1,$E1693&amp;"/1","")</f>
        <v/>
      </c>
      <c r="C1693" s="32">
        <f>IF($A1693=1,"J-"&amp;Supplier_Payments!$A37,"")</f>
        <v/>
      </c>
      <c r="D1693" s="33">
        <f>IF($A1693=1,Supplier_Payments!$B37,"")</f>
        <v/>
      </c>
      <c r="E1693" s="32">
        <f>IF($A1693=1,IF(Supplier_Payments!$A37="","",Supplier_Payments!$A37),"")</f>
        <v/>
      </c>
      <c r="F1693" s="32">
        <f>IF($A1693=1,"SPAY","")</f>
        <v/>
      </c>
      <c r="G1693" s="32">
        <f>IF($A1693=1,ACC_SUPPLIERS,"")</f>
        <v/>
      </c>
      <c r="H1693" s="32">
        <f>IF($A1693=1,IF(COUNTIF(COA!$A:$A,$G1693)=0,"حساب غير معرف",INDEX(COA!$B:$B,MATCH($G1693,COA!$A:$A,0))),"")</f>
        <v/>
      </c>
      <c r="I1693" s="32">
        <f>IF($A1693=1,IF(Supplier_Payments!$Q37="","",Supplier_Payments!$Q37),"")</f>
        <v/>
      </c>
      <c r="J1693" s="32">
        <f>IF($A1693=1,"CC00","")</f>
        <v/>
      </c>
      <c r="K1693" s="32">
        <f>IF($A1693=1,IF(Supplier_Payments!$C37="","",Supplier_Payments!$C37),"")</f>
        <v/>
      </c>
      <c r="L1693" s="32">
        <f>IF($A1693=1,IF(Supplier_Payments!$H37="","دفعة مورد "&amp;Supplier_Payments!$C37,Supplier_Payments!$H37),"")</f>
        <v/>
      </c>
      <c r="M1693" s="43">
        <f>IF($A1693=1,Supplier_Payments!$E37,"")</f>
        <v/>
      </c>
      <c r="N1693" s="43">
        <f>IF($A1693=1,0,"")</f>
        <v/>
      </c>
      <c r="O1693" s="32">
        <f>IF($A1693=1,Supplier_Payments!$I37,"")</f>
        <v/>
      </c>
      <c r="P1693" s="32">
        <f>IF($A1693=1,IF(Supplier_Payments!$T37="","",Supplier_Payments!$T37),"")</f>
        <v/>
      </c>
      <c r="Q1693" s="32">
        <f>IF($A1693=1,Supplier_Payments!$V37,"")</f>
        <v/>
      </c>
      <c r="R1693" s="32">
        <f>IF($A1693=1,IF(AND($Q1693=1,COUNTIFS(COA!$A:$A,$G1693,COA!$R:$R,1)=1),1,0),"")</f>
        <v/>
      </c>
      <c r="S1693" s="43">
        <f>IF($A1693=1,IF($R1693=1,N($M1693),0),"")</f>
        <v/>
      </c>
      <c r="T1693" s="43">
        <f>IF($A1693=1,IF($R1693=1,N($N1693),0),"")</f>
        <v/>
      </c>
      <c r="U1693" s="32">
        <f>IF($A1693=1,YEAR($D1693)*100+MONTH($D1693),"")</f>
        <v/>
      </c>
      <c r="V1693" s="32">
        <f>IF($A1693=1,IF(COUNTIF(COA!$A:$A,$G1693)=0,0,INDEX(COA!$H:$H,MATCH($G1693,COA!$A:$A,0))),"")</f>
        <v/>
      </c>
      <c r="W1693" s="32">
        <f>IF($A1693=1,"","")</f>
        <v/>
      </c>
      <c r="X1693" s="32">
        <f>IF($A1693=1,IF($R1693=1,"",IF($O1693=ST_POST,IF($P1693&lt;&gt;"",$P1693,"حساب غير صالح أو غير نشط"),IF($O1693=ST_REV,"معكوس: لا أثر على الدفاتر",IF($O1693=ST_CANC,"ملغى",IF($O1693=ST_APPR,"معتمد ولم يُرحَّل","مسودة"))))),"")</f>
        <v/>
      </c>
      <c r="Y1693" s="32">
        <f>IF($A1693=1,IF(AND($R1693=1,OR(LG_Acct="",$G1693=LG_Acct),OR(LG_Party="",$K1693=LG_Party),OR(LG_Loc="ALL",$I1693=LG_Loc),OR(LG_CC="ALL",$J1693=LG_CC),$D1693&gt;=LG_From,$D1693&lt;=LG_To),$D1693+ROW()/1000000,""),"")</f>
        <v/>
      </c>
      <c r="Z1693" s="32">
        <f>IF($A1693=1,IF(Supplier_Payments!$J37="","",Supplier_Payments!$J37),"")</f>
        <v/>
      </c>
      <c r="AA1693" s="32">
        <f>IF($A1693=1,IF(Supplier_Payments!$K37="","",Supplier_Payments!$K37),"")</f>
        <v/>
      </c>
      <c r="AB1693" s="32">
        <f>IF($A1693=1,IF(Supplier_Payments!$L37="","",Supplier_Payments!$L37),"")</f>
        <v/>
      </c>
      <c r="AC1693" s="32">
        <f>IF($A1693=1,IF(Supplier_Payments!$M37="","",Supplier_Payments!$M37),"")</f>
        <v/>
      </c>
      <c r="AD1693" s="32">
        <f>IF($A1693=1,IF(Supplier_Payments!$N37="","",Supplier_Payments!$N37),"")</f>
        <v/>
      </c>
      <c r="AE1693" s="32">
        <f>IF($A1693=1,0,"")</f>
        <v/>
      </c>
      <c r="AF1693" s="32" t="inlineStr"/>
    </row>
    <row r="1694">
      <c r="A1694" s="32">
        <f>IF(AND(Supplier_Payments!$S37=1,N(Supplier_Payments!$E37)&gt;0),1,0)</f>
        <v/>
      </c>
      <c r="B1694" s="32">
        <f>IF($A1694=1,$E1694&amp;"/2","")</f>
        <v/>
      </c>
      <c r="C1694" s="32">
        <f>IF($A1694=1,"J-"&amp;Supplier_Payments!$A37,"")</f>
        <v/>
      </c>
      <c r="D1694" s="33">
        <f>IF($A1694=1,Supplier_Payments!$B37,"")</f>
        <v/>
      </c>
      <c r="E1694" s="32">
        <f>IF($A1694=1,IF(Supplier_Payments!$A37="","",Supplier_Payments!$A37),"")</f>
        <v/>
      </c>
      <c r="F1694" s="32">
        <f>IF($A1694=1,"SPAY","")</f>
        <v/>
      </c>
      <c r="G1694" s="32">
        <f>IF($A1694=1,IF(Supplier_Payments!$P37="","",Supplier_Payments!$P37),"")</f>
        <v/>
      </c>
      <c r="H1694" s="32">
        <f>IF($A1694=1,IF(COUNTIF(COA!$A:$A,$G1694)=0,"حساب غير معرف",INDEX(COA!$B:$B,MATCH($G1694,COA!$A:$A,0))),"")</f>
        <v/>
      </c>
      <c r="I1694" s="32">
        <f>IF($A1694=1,IF(Supplier_Payments!$Q37="","",Supplier_Payments!$Q37),"")</f>
        <v/>
      </c>
      <c r="J1694" s="32">
        <f>IF($A1694=1,"CC00","")</f>
        <v/>
      </c>
      <c r="K1694" s="32">
        <f>IF($A1694=1,"-","")</f>
        <v/>
      </c>
      <c r="L1694" s="32">
        <f>IF($A1694=1,IF(Supplier_Payments!$H37="","دفعة مورد "&amp;Supplier_Payments!$C37,Supplier_Payments!$H37),"")</f>
        <v/>
      </c>
      <c r="M1694" s="43">
        <f>IF($A1694=1,0,"")</f>
        <v/>
      </c>
      <c r="N1694" s="43">
        <f>IF($A1694=1,Supplier_Payments!$E37,"")</f>
        <v/>
      </c>
      <c r="O1694" s="32">
        <f>IF($A1694=1,Supplier_Payments!$I37,"")</f>
        <v/>
      </c>
      <c r="P1694" s="32">
        <f>IF($A1694=1,IF(Supplier_Payments!$T37="","",Supplier_Payments!$T37),"")</f>
        <v/>
      </c>
      <c r="Q1694" s="32">
        <f>IF($A1694=1,Supplier_Payments!$V37,"")</f>
        <v/>
      </c>
      <c r="R1694" s="32">
        <f>IF($A1694=1,IF(AND($Q1694=1,COUNTIFS(COA!$A:$A,$G1694,COA!$R:$R,1)=1),1,0),"")</f>
        <v/>
      </c>
      <c r="S1694" s="43">
        <f>IF($A1694=1,IF($R1694=1,N($M1694),0),"")</f>
        <v/>
      </c>
      <c r="T1694" s="43">
        <f>IF($A1694=1,IF($R1694=1,N($N1694),0),"")</f>
        <v/>
      </c>
      <c r="U1694" s="32">
        <f>IF($A1694=1,YEAR($D1694)*100+MONTH($D1694),"")</f>
        <v/>
      </c>
      <c r="V1694" s="32">
        <f>IF($A1694=1,IF(COUNTIF(COA!$A:$A,$G1694)=0,0,INDEX(COA!$H:$H,MATCH($G1694,COA!$A:$A,0))),"")</f>
        <v/>
      </c>
      <c r="W1694" s="32">
        <f>IF($A1694=1,IF(Supplier_Payments!$R37="","",Supplier_Payments!$R37),"")</f>
        <v/>
      </c>
      <c r="X1694" s="32">
        <f>IF($A1694=1,IF($R1694=1,"",IF($O1694=ST_POST,IF($P1694&lt;&gt;"",$P1694,"حساب غير صالح أو غير نشط"),IF($O1694=ST_REV,"معكوس: لا أثر على الدفاتر",IF($O1694=ST_CANC,"ملغى",IF($O1694=ST_APPR,"معتمد ولم يُرحَّل","مسودة"))))),"")</f>
        <v/>
      </c>
      <c r="Y1694" s="32">
        <f>IF($A1694=1,IF(AND($R1694=1,OR(LG_Acct="",$G1694=LG_Acct),OR(LG_Party="",$K1694=LG_Party),OR(LG_Loc="ALL",$I1694=LG_Loc),OR(LG_CC="ALL",$J1694=LG_CC),$D1694&gt;=LG_From,$D1694&lt;=LG_To),$D1694+ROW()/1000000,""),"")</f>
        <v/>
      </c>
      <c r="Z1694" s="32">
        <f>IF($A1694=1,IF(Supplier_Payments!$J37="","",Supplier_Payments!$J37),"")</f>
        <v/>
      </c>
      <c r="AA1694" s="32">
        <f>IF($A1694=1,IF(Supplier_Payments!$K37="","",Supplier_Payments!$K37),"")</f>
        <v/>
      </c>
      <c r="AB1694" s="32">
        <f>IF($A1694=1,IF(Supplier_Payments!$L37="","",Supplier_Payments!$L37),"")</f>
        <v/>
      </c>
      <c r="AC1694" s="32">
        <f>IF($A1694=1,IF(Supplier_Payments!$M37="","",Supplier_Payments!$M37),"")</f>
        <v/>
      </c>
      <c r="AD1694" s="32">
        <f>IF($A1694=1,IF(Supplier_Payments!$N37="","",Supplier_Payments!$N37),"")</f>
        <v/>
      </c>
      <c r="AE1694" s="32">
        <f>IF($A1694=1,0,"")</f>
        <v/>
      </c>
      <c r="AF1694" s="32" t="inlineStr"/>
    </row>
    <row r="1695">
      <c r="A1695" s="32">
        <f>IF(AND(Supplier_Payments!$S38=1,N(Supplier_Payments!$E38)&gt;0),1,0)</f>
        <v/>
      </c>
      <c r="B1695" s="32">
        <f>IF($A1695=1,$E1695&amp;"/1","")</f>
        <v/>
      </c>
      <c r="C1695" s="32">
        <f>IF($A1695=1,"J-"&amp;Supplier_Payments!$A38,"")</f>
        <v/>
      </c>
      <c r="D1695" s="33">
        <f>IF($A1695=1,Supplier_Payments!$B38,"")</f>
        <v/>
      </c>
      <c r="E1695" s="32">
        <f>IF($A1695=1,IF(Supplier_Payments!$A38="","",Supplier_Payments!$A38),"")</f>
        <v/>
      </c>
      <c r="F1695" s="32">
        <f>IF($A1695=1,"SPAY","")</f>
        <v/>
      </c>
      <c r="G1695" s="32">
        <f>IF($A1695=1,ACC_SUPPLIERS,"")</f>
        <v/>
      </c>
      <c r="H1695" s="32">
        <f>IF($A1695=1,IF(COUNTIF(COA!$A:$A,$G1695)=0,"حساب غير معرف",INDEX(COA!$B:$B,MATCH($G1695,COA!$A:$A,0))),"")</f>
        <v/>
      </c>
      <c r="I1695" s="32">
        <f>IF($A1695=1,IF(Supplier_Payments!$Q38="","",Supplier_Payments!$Q38),"")</f>
        <v/>
      </c>
      <c r="J1695" s="32">
        <f>IF($A1695=1,"CC00","")</f>
        <v/>
      </c>
      <c r="K1695" s="32">
        <f>IF($A1695=1,IF(Supplier_Payments!$C38="","",Supplier_Payments!$C38),"")</f>
        <v/>
      </c>
      <c r="L1695" s="32">
        <f>IF($A1695=1,IF(Supplier_Payments!$H38="","دفعة مورد "&amp;Supplier_Payments!$C38,Supplier_Payments!$H38),"")</f>
        <v/>
      </c>
      <c r="M1695" s="43">
        <f>IF($A1695=1,Supplier_Payments!$E38,"")</f>
        <v/>
      </c>
      <c r="N1695" s="43">
        <f>IF($A1695=1,0,"")</f>
        <v/>
      </c>
      <c r="O1695" s="32">
        <f>IF($A1695=1,Supplier_Payments!$I38,"")</f>
        <v/>
      </c>
      <c r="P1695" s="32">
        <f>IF($A1695=1,IF(Supplier_Payments!$T38="","",Supplier_Payments!$T38),"")</f>
        <v/>
      </c>
      <c r="Q1695" s="32">
        <f>IF($A1695=1,Supplier_Payments!$V38,"")</f>
        <v/>
      </c>
      <c r="R1695" s="32">
        <f>IF($A1695=1,IF(AND($Q1695=1,COUNTIFS(COA!$A:$A,$G1695,COA!$R:$R,1)=1),1,0),"")</f>
        <v/>
      </c>
      <c r="S1695" s="43">
        <f>IF($A1695=1,IF($R1695=1,N($M1695),0),"")</f>
        <v/>
      </c>
      <c r="T1695" s="43">
        <f>IF($A1695=1,IF($R1695=1,N($N1695),0),"")</f>
        <v/>
      </c>
      <c r="U1695" s="32">
        <f>IF($A1695=1,YEAR($D1695)*100+MONTH($D1695),"")</f>
        <v/>
      </c>
      <c r="V1695" s="32">
        <f>IF($A1695=1,IF(COUNTIF(COA!$A:$A,$G1695)=0,0,INDEX(COA!$H:$H,MATCH($G1695,COA!$A:$A,0))),"")</f>
        <v/>
      </c>
      <c r="W1695" s="32">
        <f>IF($A1695=1,"","")</f>
        <v/>
      </c>
      <c r="X1695" s="32">
        <f>IF($A1695=1,IF($R1695=1,"",IF($O1695=ST_POST,IF($P1695&lt;&gt;"",$P1695,"حساب غير صالح أو غير نشط"),IF($O1695=ST_REV,"معكوس: لا أثر على الدفاتر",IF($O1695=ST_CANC,"ملغى",IF($O1695=ST_APPR,"معتمد ولم يُرحَّل","مسودة"))))),"")</f>
        <v/>
      </c>
      <c r="Y1695" s="32">
        <f>IF($A1695=1,IF(AND($R1695=1,OR(LG_Acct="",$G1695=LG_Acct),OR(LG_Party="",$K1695=LG_Party),OR(LG_Loc="ALL",$I1695=LG_Loc),OR(LG_CC="ALL",$J1695=LG_CC),$D1695&gt;=LG_From,$D1695&lt;=LG_To),$D1695+ROW()/1000000,""),"")</f>
        <v/>
      </c>
      <c r="Z1695" s="32">
        <f>IF($A1695=1,IF(Supplier_Payments!$J38="","",Supplier_Payments!$J38),"")</f>
        <v/>
      </c>
      <c r="AA1695" s="32">
        <f>IF($A1695=1,IF(Supplier_Payments!$K38="","",Supplier_Payments!$K38),"")</f>
        <v/>
      </c>
      <c r="AB1695" s="32">
        <f>IF($A1695=1,IF(Supplier_Payments!$L38="","",Supplier_Payments!$L38),"")</f>
        <v/>
      </c>
      <c r="AC1695" s="32">
        <f>IF($A1695=1,IF(Supplier_Payments!$M38="","",Supplier_Payments!$M38),"")</f>
        <v/>
      </c>
      <c r="AD1695" s="32">
        <f>IF($A1695=1,IF(Supplier_Payments!$N38="","",Supplier_Payments!$N38),"")</f>
        <v/>
      </c>
      <c r="AE1695" s="32">
        <f>IF($A1695=1,0,"")</f>
        <v/>
      </c>
      <c r="AF1695" s="32" t="inlineStr"/>
    </row>
    <row r="1696">
      <c r="A1696" s="32">
        <f>IF(AND(Supplier_Payments!$S38=1,N(Supplier_Payments!$E38)&gt;0),1,0)</f>
        <v/>
      </c>
      <c r="B1696" s="32">
        <f>IF($A1696=1,$E1696&amp;"/2","")</f>
        <v/>
      </c>
      <c r="C1696" s="32">
        <f>IF($A1696=1,"J-"&amp;Supplier_Payments!$A38,"")</f>
        <v/>
      </c>
      <c r="D1696" s="33">
        <f>IF($A1696=1,Supplier_Payments!$B38,"")</f>
        <v/>
      </c>
      <c r="E1696" s="32">
        <f>IF($A1696=1,IF(Supplier_Payments!$A38="","",Supplier_Payments!$A38),"")</f>
        <v/>
      </c>
      <c r="F1696" s="32">
        <f>IF($A1696=1,"SPAY","")</f>
        <v/>
      </c>
      <c r="G1696" s="32">
        <f>IF($A1696=1,IF(Supplier_Payments!$P38="","",Supplier_Payments!$P38),"")</f>
        <v/>
      </c>
      <c r="H1696" s="32">
        <f>IF($A1696=1,IF(COUNTIF(COA!$A:$A,$G1696)=0,"حساب غير معرف",INDEX(COA!$B:$B,MATCH($G1696,COA!$A:$A,0))),"")</f>
        <v/>
      </c>
      <c r="I1696" s="32">
        <f>IF($A1696=1,IF(Supplier_Payments!$Q38="","",Supplier_Payments!$Q38),"")</f>
        <v/>
      </c>
      <c r="J1696" s="32">
        <f>IF($A1696=1,"CC00","")</f>
        <v/>
      </c>
      <c r="K1696" s="32">
        <f>IF($A1696=1,"-","")</f>
        <v/>
      </c>
      <c r="L1696" s="32">
        <f>IF($A1696=1,IF(Supplier_Payments!$H38="","دفعة مورد "&amp;Supplier_Payments!$C38,Supplier_Payments!$H38),"")</f>
        <v/>
      </c>
      <c r="M1696" s="43">
        <f>IF($A1696=1,0,"")</f>
        <v/>
      </c>
      <c r="N1696" s="43">
        <f>IF($A1696=1,Supplier_Payments!$E38,"")</f>
        <v/>
      </c>
      <c r="O1696" s="32">
        <f>IF($A1696=1,Supplier_Payments!$I38,"")</f>
        <v/>
      </c>
      <c r="P1696" s="32">
        <f>IF($A1696=1,IF(Supplier_Payments!$T38="","",Supplier_Payments!$T38),"")</f>
        <v/>
      </c>
      <c r="Q1696" s="32">
        <f>IF($A1696=1,Supplier_Payments!$V38,"")</f>
        <v/>
      </c>
      <c r="R1696" s="32">
        <f>IF($A1696=1,IF(AND($Q1696=1,COUNTIFS(COA!$A:$A,$G1696,COA!$R:$R,1)=1),1,0),"")</f>
        <v/>
      </c>
      <c r="S1696" s="43">
        <f>IF($A1696=1,IF($R1696=1,N($M1696),0),"")</f>
        <v/>
      </c>
      <c r="T1696" s="43">
        <f>IF($A1696=1,IF($R1696=1,N($N1696),0),"")</f>
        <v/>
      </c>
      <c r="U1696" s="32">
        <f>IF($A1696=1,YEAR($D1696)*100+MONTH($D1696),"")</f>
        <v/>
      </c>
      <c r="V1696" s="32">
        <f>IF($A1696=1,IF(COUNTIF(COA!$A:$A,$G1696)=0,0,INDEX(COA!$H:$H,MATCH($G1696,COA!$A:$A,0))),"")</f>
        <v/>
      </c>
      <c r="W1696" s="32">
        <f>IF($A1696=1,IF(Supplier_Payments!$R38="","",Supplier_Payments!$R38),"")</f>
        <v/>
      </c>
      <c r="X1696" s="32">
        <f>IF($A1696=1,IF($R1696=1,"",IF($O1696=ST_POST,IF($P1696&lt;&gt;"",$P1696,"حساب غير صالح أو غير نشط"),IF($O1696=ST_REV,"معكوس: لا أثر على الدفاتر",IF($O1696=ST_CANC,"ملغى",IF($O1696=ST_APPR,"معتمد ولم يُرحَّل","مسودة"))))),"")</f>
        <v/>
      </c>
      <c r="Y1696" s="32">
        <f>IF($A1696=1,IF(AND($R1696=1,OR(LG_Acct="",$G1696=LG_Acct),OR(LG_Party="",$K1696=LG_Party),OR(LG_Loc="ALL",$I1696=LG_Loc),OR(LG_CC="ALL",$J1696=LG_CC),$D1696&gt;=LG_From,$D1696&lt;=LG_To),$D1696+ROW()/1000000,""),"")</f>
        <v/>
      </c>
      <c r="Z1696" s="32">
        <f>IF($A1696=1,IF(Supplier_Payments!$J38="","",Supplier_Payments!$J38),"")</f>
        <v/>
      </c>
      <c r="AA1696" s="32">
        <f>IF($A1696=1,IF(Supplier_Payments!$K38="","",Supplier_Payments!$K38),"")</f>
        <v/>
      </c>
      <c r="AB1696" s="32">
        <f>IF($A1696=1,IF(Supplier_Payments!$L38="","",Supplier_Payments!$L38),"")</f>
        <v/>
      </c>
      <c r="AC1696" s="32">
        <f>IF($A1696=1,IF(Supplier_Payments!$M38="","",Supplier_Payments!$M38),"")</f>
        <v/>
      </c>
      <c r="AD1696" s="32">
        <f>IF($A1696=1,IF(Supplier_Payments!$N38="","",Supplier_Payments!$N38),"")</f>
        <v/>
      </c>
      <c r="AE1696" s="32">
        <f>IF($A1696=1,0,"")</f>
        <v/>
      </c>
      <c r="AF1696" s="32" t="inlineStr"/>
    </row>
    <row r="1697">
      <c r="A1697" s="32">
        <f>IF(AND(Supplier_Payments!$S39=1,N(Supplier_Payments!$E39)&gt;0),1,0)</f>
        <v/>
      </c>
      <c r="B1697" s="32">
        <f>IF($A1697=1,$E1697&amp;"/1","")</f>
        <v/>
      </c>
      <c r="C1697" s="32">
        <f>IF($A1697=1,"J-"&amp;Supplier_Payments!$A39,"")</f>
        <v/>
      </c>
      <c r="D1697" s="33">
        <f>IF($A1697=1,Supplier_Payments!$B39,"")</f>
        <v/>
      </c>
      <c r="E1697" s="32">
        <f>IF($A1697=1,IF(Supplier_Payments!$A39="","",Supplier_Payments!$A39),"")</f>
        <v/>
      </c>
      <c r="F1697" s="32">
        <f>IF($A1697=1,"SPAY","")</f>
        <v/>
      </c>
      <c r="G1697" s="32">
        <f>IF($A1697=1,ACC_SUPPLIERS,"")</f>
        <v/>
      </c>
      <c r="H1697" s="32">
        <f>IF($A1697=1,IF(COUNTIF(COA!$A:$A,$G1697)=0,"حساب غير معرف",INDEX(COA!$B:$B,MATCH($G1697,COA!$A:$A,0))),"")</f>
        <v/>
      </c>
      <c r="I1697" s="32">
        <f>IF($A1697=1,IF(Supplier_Payments!$Q39="","",Supplier_Payments!$Q39),"")</f>
        <v/>
      </c>
      <c r="J1697" s="32">
        <f>IF($A1697=1,"CC00","")</f>
        <v/>
      </c>
      <c r="K1697" s="32">
        <f>IF($A1697=1,IF(Supplier_Payments!$C39="","",Supplier_Payments!$C39),"")</f>
        <v/>
      </c>
      <c r="L1697" s="32">
        <f>IF($A1697=1,IF(Supplier_Payments!$H39="","دفعة مورد "&amp;Supplier_Payments!$C39,Supplier_Payments!$H39),"")</f>
        <v/>
      </c>
      <c r="M1697" s="43">
        <f>IF($A1697=1,Supplier_Payments!$E39,"")</f>
        <v/>
      </c>
      <c r="N1697" s="43">
        <f>IF($A1697=1,0,"")</f>
        <v/>
      </c>
      <c r="O1697" s="32">
        <f>IF($A1697=1,Supplier_Payments!$I39,"")</f>
        <v/>
      </c>
      <c r="P1697" s="32">
        <f>IF($A1697=1,IF(Supplier_Payments!$T39="","",Supplier_Payments!$T39),"")</f>
        <v/>
      </c>
      <c r="Q1697" s="32">
        <f>IF($A1697=1,Supplier_Payments!$V39,"")</f>
        <v/>
      </c>
      <c r="R1697" s="32">
        <f>IF($A1697=1,IF(AND($Q1697=1,COUNTIFS(COA!$A:$A,$G1697,COA!$R:$R,1)=1),1,0),"")</f>
        <v/>
      </c>
      <c r="S1697" s="43">
        <f>IF($A1697=1,IF($R1697=1,N($M1697),0),"")</f>
        <v/>
      </c>
      <c r="T1697" s="43">
        <f>IF($A1697=1,IF($R1697=1,N($N1697),0),"")</f>
        <v/>
      </c>
      <c r="U1697" s="32">
        <f>IF($A1697=1,YEAR($D1697)*100+MONTH($D1697),"")</f>
        <v/>
      </c>
      <c r="V1697" s="32">
        <f>IF($A1697=1,IF(COUNTIF(COA!$A:$A,$G1697)=0,0,INDEX(COA!$H:$H,MATCH($G1697,COA!$A:$A,0))),"")</f>
        <v/>
      </c>
      <c r="W1697" s="32">
        <f>IF($A1697=1,"","")</f>
        <v/>
      </c>
      <c r="X1697" s="32">
        <f>IF($A1697=1,IF($R1697=1,"",IF($O1697=ST_POST,IF($P1697&lt;&gt;"",$P1697,"حساب غير صالح أو غير نشط"),IF($O1697=ST_REV,"معكوس: لا أثر على الدفاتر",IF($O1697=ST_CANC,"ملغى",IF($O1697=ST_APPR,"معتمد ولم يُرحَّل","مسودة"))))),"")</f>
        <v/>
      </c>
      <c r="Y1697" s="32">
        <f>IF($A1697=1,IF(AND($R1697=1,OR(LG_Acct="",$G1697=LG_Acct),OR(LG_Party="",$K1697=LG_Party),OR(LG_Loc="ALL",$I1697=LG_Loc),OR(LG_CC="ALL",$J1697=LG_CC),$D1697&gt;=LG_From,$D1697&lt;=LG_To),$D1697+ROW()/1000000,""),"")</f>
        <v/>
      </c>
      <c r="Z1697" s="32">
        <f>IF($A1697=1,IF(Supplier_Payments!$J39="","",Supplier_Payments!$J39),"")</f>
        <v/>
      </c>
      <c r="AA1697" s="32">
        <f>IF($A1697=1,IF(Supplier_Payments!$K39="","",Supplier_Payments!$K39),"")</f>
        <v/>
      </c>
      <c r="AB1697" s="32">
        <f>IF($A1697=1,IF(Supplier_Payments!$L39="","",Supplier_Payments!$L39),"")</f>
        <v/>
      </c>
      <c r="AC1697" s="32">
        <f>IF($A1697=1,IF(Supplier_Payments!$M39="","",Supplier_Payments!$M39),"")</f>
        <v/>
      </c>
      <c r="AD1697" s="32">
        <f>IF($A1697=1,IF(Supplier_Payments!$N39="","",Supplier_Payments!$N39),"")</f>
        <v/>
      </c>
      <c r="AE1697" s="32">
        <f>IF($A1697=1,0,"")</f>
        <v/>
      </c>
      <c r="AF1697" s="32" t="inlineStr"/>
    </row>
    <row r="1698">
      <c r="A1698" s="32">
        <f>IF(AND(Supplier_Payments!$S39=1,N(Supplier_Payments!$E39)&gt;0),1,0)</f>
        <v/>
      </c>
      <c r="B1698" s="32">
        <f>IF($A1698=1,$E1698&amp;"/2","")</f>
        <v/>
      </c>
      <c r="C1698" s="32">
        <f>IF($A1698=1,"J-"&amp;Supplier_Payments!$A39,"")</f>
        <v/>
      </c>
      <c r="D1698" s="33">
        <f>IF($A1698=1,Supplier_Payments!$B39,"")</f>
        <v/>
      </c>
      <c r="E1698" s="32">
        <f>IF($A1698=1,IF(Supplier_Payments!$A39="","",Supplier_Payments!$A39),"")</f>
        <v/>
      </c>
      <c r="F1698" s="32">
        <f>IF($A1698=1,"SPAY","")</f>
        <v/>
      </c>
      <c r="G1698" s="32">
        <f>IF($A1698=1,IF(Supplier_Payments!$P39="","",Supplier_Payments!$P39),"")</f>
        <v/>
      </c>
      <c r="H1698" s="32">
        <f>IF($A1698=1,IF(COUNTIF(COA!$A:$A,$G1698)=0,"حساب غير معرف",INDEX(COA!$B:$B,MATCH($G1698,COA!$A:$A,0))),"")</f>
        <v/>
      </c>
      <c r="I1698" s="32">
        <f>IF($A1698=1,IF(Supplier_Payments!$Q39="","",Supplier_Payments!$Q39),"")</f>
        <v/>
      </c>
      <c r="J1698" s="32">
        <f>IF($A1698=1,"CC00","")</f>
        <v/>
      </c>
      <c r="K1698" s="32">
        <f>IF($A1698=1,"-","")</f>
        <v/>
      </c>
      <c r="L1698" s="32">
        <f>IF($A1698=1,IF(Supplier_Payments!$H39="","دفعة مورد "&amp;Supplier_Payments!$C39,Supplier_Payments!$H39),"")</f>
        <v/>
      </c>
      <c r="M1698" s="43">
        <f>IF($A1698=1,0,"")</f>
        <v/>
      </c>
      <c r="N1698" s="43">
        <f>IF($A1698=1,Supplier_Payments!$E39,"")</f>
        <v/>
      </c>
      <c r="O1698" s="32">
        <f>IF($A1698=1,Supplier_Payments!$I39,"")</f>
        <v/>
      </c>
      <c r="P1698" s="32">
        <f>IF($A1698=1,IF(Supplier_Payments!$T39="","",Supplier_Payments!$T39),"")</f>
        <v/>
      </c>
      <c r="Q1698" s="32">
        <f>IF($A1698=1,Supplier_Payments!$V39,"")</f>
        <v/>
      </c>
      <c r="R1698" s="32">
        <f>IF($A1698=1,IF(AND($Q1698=1,COUNTIFS(COA!$A:$A,$G1698,COA!$R:$R,1)=1),1,0),"")</f>
        <v/>
      </c>
      <c r="S1698" s="43">
        <f>IF($A1698=1,IF($R1698=1,N($M1698),0),"")</f>
        <v/>
      </c>
      <c r="T1698" s="43">
        <f>IF($A1698=1,IF($R1698=1,N($N1698),0),"")</f>
        <v/>
      </c>
      <c r="U1698" s="32">
        <f>IF($A1698=1,YEAR($D1698)*100+MONTH($D1698),"")</f>
        <v/>
      </c>
      <c r="V1698" s="32">
        <f>IF($A1698=1,IF(COUNTIF(COA!$A:$A,$G1698)=0,0,INDEX(COA!$H:$H,MATCH($G1698,COA!$A:$A,0))),"")</f>
        <v/>
      </c>
      <c r="W1698" s="32">
        <f>IF($A1698=1,IF(Supplier_Payments!$R39="","",Supplier_Payments!$R39),"")</f>
        <v/>
      </c>
      <c r="X1698" s="32">
        <f>IF($A1698=1,IF($R1698=1,"",IF($O1698=ST_POST,IF($P1698&lt;&gt;"",$P1698,"حساب غير صالح أو غير نشط"),IF($O1698=ST_REV,"معكوس: لا أثر على الدفاتر",IF($O1698=ST_CANC,"ملغى",IF($O1698=ST_APPR,"معتمد ولم يُرحَّل","مسودة"))))),"")</f>
        <v/>
      </c>
      <c r="Y1698" s="32">
        <f>IF($A1698=1,IF(AND($R1698=1,OR(LG_Acct="",$G1698=LG_Acct),OR(LG_Party="",$K1698=LG_Party),OR(LG_Loc="ALL",$I1698=LG_Loc),OR(LG_CC="ALL",$J1698=LG_CC),$D1698&gt;=LG_From,$D1698&lt;=LG_To),$D1698+ROW()/1000000,""),"")</f>
        <v/>
      </c>
      <c r="Z1698" s="32">
        <f>IF($A1698=1,IF(Supplier_Payments!$J39="","",Supplier_Payments!$J39),"")</f>
        <v/>
      </c>
      <c r="AA1698" s="32">
        <f>IF($A1698=1,IF(Supplier_Payments!$K39="","",Supplier_Payments!$K39),"")</f>
        <v/>
      </c>
      <c r="AB1698" s="32">
        <f>IF($A1698=1,IF(Supplier_Payments!$L39="","",Supplier_Payments!$L39),"")</f>
        <v/>
      </c>
      <c r="AC1698" s="32">
        <f>IF($A1698=1,IF(Supplier_Payments!$M39="","",Supplier_Payments!$M39),"")</f>
        <v/>
      </c>
      <c r="AD1698" s="32">
        <f>IF($A1698=1,IF(Supplier_Payments!$N39="","",Supplier_Payments!$N39),"")</f>
        <v/>
      </c>
      <c r="AE1698" s="32">
        <f>IF($A1698=1,0,"")</f>
        <v/>
      </c>
      <c r="AF1698" s="32" t="inlineStr"/>
    </row>
    <row r="1699">
      <c r="A1699" s="32">
        <f>IF(AND(Supplier_Payments!$S40=1,N(Supplier_Payments!$E40)&gt;0),1,0)</f>
        <v/>
      </c>
      <c r="B1699" s="32">
        <f>IF($A1699=1,$E1699&amp;"/1","")</f>
        <v/>
      </c>
      <c r="C1699" s="32">
        <f>IF($A1699=1,"J-"&amp;Supplier_Payments!$A40,"")</f>
        <v/>
      </c>
      <c r="D1699" s="33">
        <f>IF($A1699=1,Supplier_Payments!$B40,"")</f>
        <v/>
      </c>
      <c r="E1699" s="32">
        <f>IF($A1699=1,IF(Supplier_Payments!$A40="","",Supplier_Payments!$A40),"")</f>
        <v/>
      </c>
      <c r="F1699" s="32">
        <f>IF($A1699=1,"SPAY","")</f>
        <v/>
      </c>
      <c r="G1699" s="32">
        <f>IF($A1699=1,ACC_SUPPLIERS,"")</f>
        <v/>
      </c>
      <c r="H1699" s="32">
        <f>IF($A1699=1,IF(COUNTIF(COA!$A:$A,$G1699)=0,"حساب غير معرف",INDEX(COA!$B:$B,MATCH($G1699,COA!$A:$A,0))),"")</f>
        <v/>
      </c>
      <c r="I1699" s="32">
        <f>IF($A1699=1,IF(Supplier_Payments!$Q40="","",Supplier_Payments!$Q40),"")</f>
        <v/>
      </c>
      <c r="J1699" s="32">
        <f>IF($A1699=1,"CC00","")</f>
        <v/>
      </c>
      <c r="K1699" s="32">
        <f>IF($A1699=1,IF(Supplier_Payments!$C40="","",Supplier_Payments!$C40),"")</f>
        <v/>
      </c>
      <c r="L1699" s="32">
        <f>IF($A1699=1,IF(Supplier_Payments!$H40="","دفعة مورد "&amp;Supplier_Payments!$C40,Supplier_Payments!$H40),"")</f>
        <v/>
      </c>
      <c r="M1699" s="43">
        <f>IF($A1699=1,Supplier_Payments!$E40,"")</f>
        <v/>
      </c>
      <c r="N1699" s="43">
        <f>IF($A1699=1,0,"")</f>
        <v/>
      </c>
      <c r="O1699" s="32">
        <f>IF($A1699=1,Supplier_Payments!$I40,"")</f>
        <v/>
      </c>
      <c r="P1699" s="32">
        <f>IF($A1699=1,IF(Supplier_Payments!$T40="","",Supplier_Payments!$T40),"")</f>
        <v/>
      </c>
      <c r="Q1699" s="32">
        <f>IF($A1699=1,Supplier_Payments!$V40,"")</f>
        <v/>
      </c>
      <c r="R1699" s="32">
        <f>IF($A1699=1,IF(AND($Q1699=1,COUNTIFS(COA!$A:$A,$G1699,COA!$R:$R,1)=1),1,0),"")</f>
        <v/>
      </c>
      <c r="S1699" s="43">
        <f>IF($A1699=1,IF($R1699=1,N($M1699),0),"")</f>
        <v/>
      </c>
      <c r="T1699" s="43">
        <f>IF($A1699=1,IF($R1699=1,N($N1699),0),"")</f>
        <v/>
      </c>
      <c r="U1699" s="32">
        <f>IF($A1699=1,YEAR($D1699)*100+MONTH($D1699),"")</f>
        <v/>
      </c>
      <c r="V1699" s="32">
        <f>IF($A1699=1,IF(COUNTIF(COA!$A:$A,$G1699)=0,0,INDEX(COA!$H:$H,MATCH($G1699,COA!$A:$A,0))),"")</f>
        <v/>
      </c>
      <c r="W1699" s="32">
        <f>IF($A1699=1,"","")</f>
        <v/>
      </c>
      <c r="X1699" s="32">
        <f>IF($A1699=1,IF($R1699=1,"",IF($O1699=ST_POST,IF($P1699&lt;&gt;"",$P1699,"حساب غير صالح أو غير نشط"),IF($O1699=ST_REV,"معكوس: لا أثر على الدفاتر",IF($O1699=ST_CANC,"ملغى",IF($O1699=ST_APPR,"معتمد ولم يُرحَّل","مسودة"))))),"")</f>
        <v/>
      </c>
      <c r="Y1699" s="32">
        <f>IF($A1699=1,IF(AND($R1699=1,OR(LG_Acct="",$G1699=LG_Acct),OR(LG_Party="",$K1699=LG_Party),OR(LG_Loc="ALL",$I1699=LG_Loc),OR(LG_CC="ALL",$J1699=LG_CC),$D1699&gt;=LG_From,$D1699&lt;=LG_To),$D1699+ROW()/1000000,""),"")</f>
        <v/>
      </c>
      <c r="Z1699" s="32">
        <f>IF($A1699=1,IF(Supplier_Payments!$J40="","",Supplier_Payments!$J40),"")</f>
        <v/>
      </c>
      <c r="AA1699" s="32">
        <f>IF($A1699=1,IF(Supplier_Payments!$K40="","",Supplier_Payments!$K40),"")</f>
        <v/>
      </c>
      <c r="AB1699" s="32">
        <f>IF($A1699=1,IF(Supplier_Payments!$L40="","",Supplier_Payments!$L40),"")</f>
        <v/>
      </c>
      <c r="AC1699" s="32">
        <f>IF($A1699=1,IF(Supplier_Payments!$M40="","",Supplier_Payments!$M40),"")</f>
        <v/>
      </c>
      <c r="AD1699" s="32">
        <f>IF($A1699=1,IF(Supplier_Payments!$N40="","",Supplier_Payments!$N40),"")</f>
        <v/>
      </c>
      <c r="AE1699" s="32">
        <f>IF($A1699=1,0,"")</f>
        <v/>
      </c>
      <c r="AF1699" s="32" t="inlineStr"/>
    </row>
    <row r="1700">
      <c r="A1700" s="32">
        <f>IF(AND(Supplier_Payments!$S40=1,N(Supplier_Payments!$E40)&gt;0),1,0)</f>
        <v/>
      </c>
      <c r="B1700" s="32">
        <f>IF($A1700=1,$E1700&amp;"/2","")</f>
        <v/>
      </c>
      <c r="C1700" s="32">
        <f>IF($A1700=1,"J-"&amp;Supplier_Payments!$A40,"")</f>
        <v/>
      </c>
      <c r="D1700" s="33">
        <f>IF($A1700=1,Supplier_Payments!$B40,"")</f>
        <v/>
      </c>
      <c r="E1700" s="32">
        <f>IF($A1700=1,IF(Supplier_Payments!$A40="","",Supplier_Payments!$A40),"")</f>
        <v/>
      </c>
      <c r="F1700" s="32">
        <f>IF($A1700=1,"SPAY","")</f>
        <v/>
      </c>
      <c r="G1700" s="32">
        <f>IF($A1700=1,IF(Supplier_Payments!$P40="","",Supplier_Payments!$P40),"")</f>
        <v/>
      </c>
      <c r="H1700" s="32">
        <f>IF($A1700=1,IF(COUNTIF(COA!$A:$A,$G1700)=0,"حساب غير معرف",INDEX(COA!$B:$B,MATCH($G1700,COA!$A:$A,0))),"")</f>
        <v/>
      </c>
      <c r="I1700" s="32">
        <f>IF($A1700=1,IF(Supplier_Payments!$Q40="","",Supplier_Payments!$Q40),"")</f>
        <v/>
      </c>
      <c r="J1700" s="32">
        <f>IF($A1700=1,"CC00","")</f>
        <v/>
      </c>
      <c r="K1700" s="32">
        <f>IF($A1700=1,"-","")</f>
        <v/>
      </c>
      <c r="L1700" s="32">
        <f>IF($A1700=1,IF(Supplier_Payments!$H40="","دفعة مورد "&amp;Supplier_Payments!$C40,Supplier_Payments!$H40),"")</f>
        <v/>
      </c>
      <c r="M1700" s="43">
        <f>IF($A1700=1,0,"")</f>
        <v/>
      </c>
      <c r="N1700" s="43">
        <f>IF($A1700=1,Supplier_Payments!$E40,"")</f>
        <v/>
      </c>
      <c r="O1700" s="32">
        <f>IF($A1700=1,Supplier_Payments!$I40,"")</f>
        <v/>
      </c>
      <c r="P1700" s="32">
        <f>IF($A1700=1,IF(Supplier_Payments!$T40="","",Supplier_Payments!$T40),"")</f>
        <v/>
      </c>
      <c r="Q1700" s="32">
        <f>IF($A1700=1,Supplier_Payments!$V40,"")</f>
        <v/>
      </c>
      <c r="R1700" s="32">
        <f>IF($A1700=1,IF(AND($Q1700=1,COUNTIFS(COA!$A:$A,$G1700,COA!$R:$R,1)=1),1,0),"")</f>
        <v/>
      </c>
      <c r="S1700" s="43">
        <f>IF($A1700=1,IF($R1700=1,N($M1700),0),"")</f>
        <v/>
      </c>
      <c r="T1700" s="43">
        <f>IF($A1700=1,IF($R1700=1,N($N1700),0),"")</f>
        <v/>
      </c>
      <c r="U1700" s="32">
        <f>IF($A1700=1,YEAR($D1700)*100+MONTH($D1700),"")</f>
        <v/>
      </c>
      <c r="V1700" s="32">
        <f>IF($A1700=1,IF(COUNTIF(COA!$A:$A,$G1700)=0,0,INDEX(COA!$H:$H,MATCH($G1700,COA!$A:$A,0))),"")</f>
        <v/>
      </c>
      <c r="W1700" s="32">
        <f>IF($A1700=1,IF(Supplier_Payments!$R40="","",Supplier_Payments!$R40),"")</f>
        <v/>
      </c>
      <c r="X1700" s="32">
        <f>IF($A1700=1,IF($R1700=1,"",IF($O1700=ST_POST,IF($P1700&lt;&gt;"",$P1700,"حساب غير صالح أو غير نشط"),IF($O1700=ST_REV,"معكوس: لا أثر على الدفاتر",IF($O1700=ST_CANC,"ملغى",IF($O1700=ST_APPR,"معتمد ولم يُرحَّل","مسودة"))))),"")</f>
        <v/>
      </c>
      <c r="Y1700" s="32">
        <f>IF($A1700=1,IF(AND($R1700=1,OR(LG_Acct="",$G1700=LG_Acct),OR(LG_Party="",$K1700=LG_Party),OR(LG_Loc="ALL",$I1700=LG_Loc),OR(LG_CC="ALL",$J1700=LG_CC),$D1700&gt;=LG_From,$D1700&lt;=LG_To),$D1700+ROW()/1000000,""),"")</f>
        <v/>
      </c>
      <c r="Z1700" s="32">
        <f>IF($A1700=1,IF(Supplier_Payments!$J40="","",Supplier_Payments!$J40),"")</f>
        <v/>
      </c>
      <c r="AA1700" s="32">
        <f>IF($A1700=1,IF(Supplier_Payments!$K40="","",Supplier_Payments!$K40),"")</f>
        <v/>
      </c>
      <c r="AB1700" s="32">
        <f>IF($A1700=1,IF(Supplier_Payments!$L40="","",Supplier_Payments!$L40),"")</f>
        <v/>
      </c>
      <c r="AC1700" s="32">
        <f>IF($A1700=1,IF(Supplier_Payments!$M40="","",Supplier_Payments!$M40),"")</f>
        <v/>
      </c>
      <c r="AD1700" s="32">
        <f>IF($A1700=1,IF(Supplier_Payments!$N40="","",Supplier_Payments!$N40),"")</f>
        <v/>
      </c>
      <c r="AE1700" s="32">
        <f>IF($A1700=1,0,"")</f>
        <v/>
      </c>
      <c r="AF1700" s="32" t="inlineStr"/>
    </row>
    <row r="1701">
      <c r="A1701" s="32">
        <f>IF(AND(Supplier_Payments!$S41=1,N(Supplier_Payments!$E41)&gt;0),1,0)</f>
        <v/>
      </c>
      <c r="B1701" s="32">
        <f>IF($A1701=1,$E1701&amp;"/1","")</f>
        <v/>
      </c>
      <c r="C1701" s="32">
        <f>IF($A1701=1,"J-"&amp;Supplier_Payments!$A41,"")</f>
        <v/>
      </c>
      <c r="D1701" s="33">
        <f>IF($A1701=1,Supplier_Payments!$B41,"")</f>
        <v/>
      </c>
      <c r="E1701" s="32">
        <f>IF($A1701=1,IF(Supplier_Payments!$A41="","",Supplier_Payments!$A41),"")</f>
        <v/>
      </c>
      <c r="F1701" s="32">
        <f>IF($A1701=1,"SPAY","")</f>
        <v/>
      </c>
      <c r="G1701" s="32">
        <f>IF($A1701=1,ACC_SUPPLIERS,"")</f>
        <v/>
      </c>
      <c r="H1701" s="32">
        <f>IF($A1701=1,IF(COUNTIF(COA!$A:$A,$G1701)=0,"حساب غير معرف",INDEX(COA!$B:$B,MATCH($G1701,COA!$A:$A,0))),"")</f>
        <v/>
      </c>
      <c r="I1701" s="32">
        <f>IF($A1701=1,IF(Supplier_Payments!$Q41="","",Supplier_Payments!$Q41),"")</f>
        <v/>
      </c>
      <c r="J1701" s="32">
        <f>IF($A1701=1,"CC00","")</f>
        <v/>
      </c>
      <c r="K1701" s="32">
        <f>IF($A1701=1,IF(Supplier_Payments!$C41="","",Supplier_Payments!$C41),"")</f>
        <v/>
      </c>
      <c r="L1701" s="32">
        <f>IF($A1701=1,IF(Supplier_Payments!$H41="","دفعة مورد "&amp;Supplier_Payments!$C41,Supplier_Payments!$H41),"")</f>
        <v/>
      </c>
      <c r="M1701" s="43">
        <f>IF($A1701=1,Supplier_Payments!$E41,"")</f>
        <v/>
      </c>
      <c r="N1701" s="43">
        <f>IF($A1701=1,0,"")</f>
        <v/>
      </c>
      <c r="O1701" s="32">
        <f>IF($A1701=1,Supplier_Payments!$I41,"")</f>
        <v/>
      </c>
      <c r="P1701" s="32">
        <f>IF($A1701=1,IF(Supplier_Payments!$T41="","",Supplier_Payments!$T41),"")</f>
        <v/>
      </c>
      <c r="Q1701" s="32">
        <f>IF($A1701=1,Supplier_Payments!$V41,"")</f>
        <v/>
      </c>
      <c r="R1701" s="32">
        <f>IF($A1701=1,IF(AND($Q1701=1,COUNTIFS(COA!$A:$A,$G1701,COA!$R:$R,1)=1),1,0),"")</f>
        <v/>
      </c>
      <c r="S1701" s="43">
        <f>IF($A1701=1,IF($R1701=1,N($M1701),0),"")</f>
        <v/>
      </c>
      <c r="T1701" s="43">
        <f>IF($A1701=1,IF($R1701=1,N($N1701),0),"")</f>
        <v/>
      </c>
      <c r="U1701" s="32">
        <f>IF($A1701=1,YEAR($D1701)*100+MONTH($D1701),"")</f>
        <v/>
      </c>
      <c r="V1701" s="32">
        <f>IF($A1701=1,IF(COUNTIF(COA!$A:$A,$G1701)=0,0,INDEX(COA!$H:$H,MATCH($G1701,COA!$A:$A,0))),"")</f>
        <v/>
      </c>
      <c r="W1701" s="32">
        <f>IF($A1701=1,"","")</f>
        <v/>
      </c>
      <c r="X1701" s="32">
        <f>IF($A1701=1,IF($R1701=1,"",IF($O1701=ST_POST,IF($P1701&lt;&gt;"",$P1701,"حساب غير صالح أو غير نشط"),IF($O1701=ST_REV,"معكوس: لا أثر على الدفاتر",IF($O1701=ST_CANC,"ملغى",IF($O1701=ST_APPR,"معتمد ولم يُرحَّل","مسودة"))))),"")</f>
        <v/>
      </c>
      <c r="Y1701" s="32">
        <f>IF($A1701=1,IF(AND($R1701=1,OR(LG_Acct="",$G1701=LG_Acct),OR(LG_Party="",$K1701=LG_Party),OR(LG_Loc="ALL",$I1701=LG_Loc),OR(LG_CC="ALL",$J1701=LG_CC),$D1701&gt;=LG_From,$D1701&lt;=LG_To),$D1701+ROW()/1000000,""),"")</f>
        <v/>
      </c>
      <c r="Z1701" s="32">
        <f>IF($A1701=1,IF(Supplier_Payments!$J41="","",Supplier_Payments!$J41),"")</f>
        <v/>
      </c>
      <c r="AA1701" s="32">
        <f>IF($A1701=1,IF(Supplier_Payments!$K41="","",Supplier_Payments!$K41),"")</f>
        <v/>
      </c>
      <c r="AB1701" s="32">
        <f>IF($A1701=1,IF(Supplier_Payments!$L41="","",Supplier_Payments!$L41),"")</f>
        <v/>
      </c>
      <c r="AC1701" s="32">
        <f>IF($A1701=1,IF(Supplier_Payments!$M41="","",Supplier_Payments!$M41),"")</f>
        <v/>
      </c>
      <c r="AD1701" s="32">
        <f>IF($A1701=1,IF(Supplier_Payments!$N41="","",Supplier_Payments!$N41),"")</f>
        <v/>
      </c>
      <c r="AE1701" s="32">
        <f>IF($A1701=1,0,"")</f>
        <v/>
      </c>
      <c r="AF1701" s="32" t="inlineStr"/>
    </row>
    <row r="1702">
      <c r="A1702" s="32">
        <f>IF(AND(Supplier_Payments!$S41=1,N(Supplier_Payments!$E41)&gt;0),1,0)</f>
        <v/>
      </c>
      <c r="B1702" s="32">
        <f>IF($A1702=1,$E1702&amp;"/2","")</f>
        <v/>
      </c>
      <c r="C1702" s="32">
        <f>IF($A1702=1,"J-"&amp;Supplier_Payments!$A41,"")</f>
        <v/>
      </c>
      <c r="D1702" s="33">
        <f>IF($A1702=1,Supplier_Payments!$B41,"")</f>
        <v/>
      </c>
      <c r="E1702" s="32">
        <f>IF($A1702=1,IF(Supplier_Payments!$A41="","",Supplier_Payments!$A41),"")</f>
        <v/>
      </c>
      <c r="F1702" s="32">
        <f>IF($A1702=1,"SPAY","")</f>
        <v/>
      </c>
      <c r="G1702" s="32">
        <f>IF($A1702=1,IF(Supplier_Payments!$P41="","",Supplier_Payments!$P41),"")</f>
        <v/>
      </c>
      <c r="H1702" s="32">
        <f>IF($A1702=1,IF(COUNTIF(COA!$A:$A,$G1702)=0,"حساب غير معرف",INDEX(COA!$B:$B,MATCH($G1702,COA!$A:$A,0))),"")</f>
        <v/>
      </c>
      <c r="I1702" s="32">
        <f>IF($A1702=1,IF(Supplier_Payments!$Q41="","",Supplier_Payments!$Q41),"")</f>
        <v/>
      </c>
      <c r="J1702" s="32">
        <f>IF($A1702=1,"CC00","")</f>
        <v/>
      </c>
      <c r="K1702" s="32">
        <f>IF($A1702=1,"-","")</f>
        <v/>
      </c>
      <c r="L1702" s="32">
        <f>IF($A1702=1,IF(Supplier_Payments!$H41="","دفعة مورد "&amp;Supplier_Payments!$C41,Supplier_Payments!$H41),"")</f>
        <v/>
      </c>
      <c r="M1702" s="43">
        <f>IF($A1702=1,0,"")</f>
        <v/>
      </c>
      <c r="N1702" s="43">
        <f>IF($A1702=1,Supplier_Payments!$E41,"")</f>
        <v/>
      </c>
      <c r="O1702" s="32">
        <f>IF($A1702=1,Supplier_Payments!$I41,"")</f>
        <v/>
      </c>
      <c r="P1702" s="32">
        <f>IF($A1702=1,IF(Supplier_Payments!$T41="","",Supplier_Payments!$T41),"")</f>
        <v/>
      </c>
      <c r="Q1702" s="32">
        <f>IF($A1702=1,Supplier_Payments!$V41,"")</f>
        <v/>
      </c>
      <c r="R1702" s="32">
        <f>IF($A1702=1,IF(AND($Q1702=1,COUNTIFS(COA!$A:$A,$G1702,COA!$R:$R,1)=1),1,0),"")</f>
        <v/>
      </c>
      <c r="S1702" s="43">
        <f>IF($A1702=1,IF($R1702=1,N($M1702),0),"")</f>
        <v/>
      </c>
      <c r="T1702" s="43">
        <f>IF($A1702=1,IF($R1702=1,N($N1702),0),"")</f>
        <v/>
      </c>
      <c r="U1702" s="32">
        <f>IF($A1702=1,YEAR($D1702)*100+MONTH($D1702),"")</f>
        <v/>
      </c>
      <c r="V1702" s="32">
        <f>IF($A1702=1,IF(COUNTIF(COA!$A:$A,$G1702)=0,0,INDEX(COA!$H:$H,MATCH($G1702,COA!$A:$A,0))),"")</f>
        <v/>
      </c>
      <c r="W1702" s="32">
        <f>IF($A1702=1,IF(Supplier_Payments!$R41="","",Supplier_Payments!$R41),"")</f>
        <v/>
      </c>
      <c r="X1702" s="32">
        <f>IF($A1702=1,IF($R1702=1,"",IF($O1702=ST_POST,IF($P1702&lt;&gt;"",$P1702,"حساب غير صالح أو غير نشط"),IF($O1702=ST_REV,"معكوس: لا أثر على الدفاتر",IF($O1702=ST_CANC,"ملغى",IF($O1702=ST_APPR,"معتمد ولم يُرحَّل","مسودة"))))),"")</f>
        <v/>
      </c>
      <c r="Y1702" s="32">
        <f>IF($A1702=1,IF(AND($R1702=1,OR(LG_Acct="",$G1702=LG_Acct),OR(LG_Party="",$K1702=LG_Party),OR(LG_Loc="ALL",$I1702=LG_Loc),OR(LG_CC="ALL",$J1702=LG_CC),$D1702&gt;=LG_From,$D1702&lt;=LG_To),$D1702+ROW()/1000000,""),"")</f>
        <v/>
      </c>
      <c r="Z1702" s="32">
        <f>IF($A1702=1,IF(Supplier_Payments!$J41="","",Supplier_Payments!$J41),"")</f>
        <v/>
      </c>
      <c r="AA1702" s="32">
        <f>IF($A1702=1,IF(Supplier_Payments!$K41="","",Supplier_Payments!$K41),"")</f>
        <v/>
      </c>
      <c r="AB1702" s="32">
        <f>IF($A1702=1,IF(Supplier_Payments!$L41="","",Supplier_Payments!$L41),"")</f>
        <v/>
      </c>
      <c r="AC1702" s="32">
        <f>IF($A1702=1,IF(Supplier_Payments!$M41="","",Supplier_Payments!$M41),"")</f>
        <v/>
      </c>
      <c r="AD1702" s="32">
        <f>IF($A1702=1,IF(Supplier_Payments!$N41="","",Supplier_Payments!$N41),"")</f>
        <v/>
      </c>
      <c r="AE1702" s="32">
        <f>IF($A1702=1,0,"")</f>
        <v/>
      </c>
      <c r="AF1702" s="32" t="inlineStr"/>
    </row>
    <row r="1703">
      <c r="A1703" s="32">
        <f>IF(AND(Supplier_Payments!$S42=1,N(Supplier_Payments!$E42)&gt;0),1,0)</f>
        <v/>
      </c>
      <c r="B1703" s="32">
        <f>IF($A1703=1,$E1703&amp;"/1","")</f>
        <v/>
      </c>
      <c r="C1703" s="32">
        <f>IF($A1703=1,"J-"&amp;Supplier_Payments!$A42,"")</f>
        <v/>
      </c>
      <c r="D1703" s="33">
        <f>IF($A1703=1,Supplier_Payments!$B42,"")</f>
        <v/>
      </c>
      <c r="E1703" s="32">
        <f>IF($A1703=1,IF(Supplier_Payments!$A42="","",Supplier_Payments!$A42),"")</f>
        <v/>
      </c>
      <c r="F1703" s="32">
        <f>IF($A1703=1,"SPAY","")</f>
        <v/>
      </c>
      <c r="G1703" s="32">
        <f>IF($A1703=1,ACC_SUPPLIERS,"")</f>
        <v/>
      </c>
      <c r="H1703" s="32">
        <f>IF($A1703=1,IF(COUNTIF(COA!$A:$A,$G1703)=0,"حساب غير معرف",INDEX(COA!$B:$B,MATCH($G1703,COA!$A:$A,0))),"")</f>
        <v/>
      </c>
      <c r="I1703" s="32">
        <f>IF($A1703=1,IF(Supplier_Payments!$Q42="","",Supplier_Payments!$Q42),"")</f>
        <v/>
      </c>
      <c r="J1703" s="32">
        <f>IF($A1703=1,"CC00","")</f>
        <v/>
      </c>
      <c r="K1703" s="32">
        <f>IF($A1703=1,IF(Supplier_Payments!$C42="","",Supplier_Payments!$C42),"")</f>
        <v/>
      </c>
      <c r="L1703" s="32">
        <f>IF($A1703=1,IF(Supplier_Payments!$H42="","دفعة مورد "&amp;Supplier_Payments!$C42,Supplier_Payments!$H42),"")</f>
        <v/>
      </c>
      <c r="M1703" s="43">
        <f>IF($A1703=1,Supplier_Payments!$E42,"")</f>
        <v/>
      </c>
      <c r="N1703" s="43">
        <f>IF($A1703=1,0,"")</f>
        <v/>
      </c>
      <c r="O1703" s="32">
        <f>IF($A1703=1,Supplier_Payments!$I42,"")</f>
        <v/>
      </c>
      <c r="P1703" s="32">
        <f>IF($A1703=1,IF(Supplier_Payments!$T42="","",Supplier_Payments!$T42),"")</f>
        <v/>
      </c>
      <c r="Q1703" s="32">
        <f>IF($A1703=1,Supplier_Payments!$V42,"")</f>
        <v/>
      </c>
      <c r="R1703" s="32">
        <f>IF($A1703=1,IF(AND($Q1703=1,COUNTIFS(COA!$A:$A,$G1703,COA!$R:$R,1)=1),1,0),"")</f>
        <v/>
      </c>
      <c r="S1703" s="43">
        <f>IF($A1703=1,IF($R1703=1,N($M1703),0),"")</f>
        <v/>
      </c>
      <c r="T1703" s="43">
        <f>IF($A1703=1,IF($R1703=1,N($N1703),0),"")</f>
        <v/>
      </c>
      <c r="U1703" s="32">
        <f>IF($A1703=1,YEAR($D1703)*100+MONTH($D1703),"")</f>
        <v/>
      </c>
      <c r="V1703" s="32">
        <f>IF($A1703=1,IF(COUNTIF(COA!$A:$A,$G1703)=0,0,INDEX(COA!$H:$H,MATCH($G1703,COA!$A:$A,0))),"")</f>
        <v/>
      </c>
      <c r="W1703" s="32">
        <f>IF($A1703=1,"","")</f>
        <v/>
      </c>
      <c r="X1703" s="32">
        <f>IF($A1703=1,IF($R1703=1,"",IF($O1703=ST_POST,IF($P1703&lt;&gt;"",$P1703,"حساب غير صالح أو غير نشط"),IF($O1703=ST_REV,"معكوس: لا أثر على الدفاتر",IF($O1703=ST_CANC,"ملغى",IF($O1703=ST_APPR,"معتمد ولم يُرحَّل","مسودة"))))),"")</f>
        <v/>
      </c>
      <c r="Y1703" s="32">
        <f>IF($A1703=1,IF(AND($R1703=1,OR(LG_Acct="",$G1703=LG_Acct),OR(LG_Party="",$K1703=LG_Party),OR(LG_Loc="ALL",$I1703=LG_Loc),OR(LG_CC="ALL",$J1703=LG_CC),$D1703&gt;=LG_From,$D1703&lt;=LG_To),$D1703+ROW()/1000000,""),"")</f>
        <v/>
      </c>
      <c r="Z1703" s="32">
        <f>IF($A1703=1,IF(Supplier_Payments!$J42="","",Supplier_Payments!$J42),"")</f>
        <v/>
      </c>
      <c r="AA1703" s="32">
        <f>IF($A1703=1,IF(Supplier_Payments!$K42="","",Supplier_Payments!$K42),"")</f>
        <v/>
      </c>
      <c r="AB1703" s="32">
        <f>IF($A1703=1,IF(Supplier_Payments!$L42="","",Supplier_Payments!$L42),"")</f>
        <v/>
      </c>
      <c r="AC1703" s="32">
        <f>IF($A1703=1,IF(Supplier_Payments!$M42="","",Supplier_Payments!$M42),"")</f>
        <v/>
      </c>
      <c r="AD1703" s="32">
        <f>IF($A1703=1,IF(Supplier_Payments!$N42="","",Supplier_Payments!$N42),"")</f>
        <v/>
      </c>
      <c r="AE1703" s="32">
        <f>IF($A1703=1,0,"")</f>
        <v/>
      </c>
      <c r="AF1703" s="32" t="inlineStr"/>
    </row>
    <row r="1704">
      <c r="A1704" s="32">
        <f>IF(AND(Supplier_Payments!$S42=1,N(Supplier_Payments!$E42)&gt;0),1,0)</f>
        <v/>
      </c>
      <c r="B1704" s="32">
        <f>IF($A1704=1,$E1704&amp;"/2","")</f>
        <v/>
      </c>
      <c r="C1704" s="32">
        <f>IF($A1704=1,"J-"&amp;Supplier_Payments!$A42,"")</f>
        <v/>
      </c>
      <c r="D1704" s="33">
        <f>IF($A1704=1,Supplier_Payments!$B42,"")</f>
        <v/>
      </c>
      <c r="E1704" s="32">
        <f>IF($A1704=1,IF(Supplier_Payments!$A42="","",Supplier_Payments!$A42),"")</f>
        <v/>
      </c>
      <c r="F1704" s="32">
        <f>IF($A1704=1,"SPAY","")</f>
        <v/>
      </c>
      <c r="G1704" s="32">
        <f>IF($A1704=1,IF(Supplier_Payments!$P42="","",Supplier_Payments!$P42),"")</f>
        <v/>
      </c>
      <c r="H1704" s="32">
        <f>IF($A1704=1,IF(COUNTIF(COA!$A:$A,$G1704)=0,"حساب غير معرف",INDEX(COA!$B:$B,MATCH($G1704,COA!$A:$A,0))),"")</f>
        <v/>
      </c>
      <c r="I1704" s="32">
        <f>IF($A1704=1,IF(Supplier_Payments!$Q42="","",Supplier_Payments!$Q42),"")</f>
        <v/>
      </c>
      <c r="J1704" s="32">
        <f>IF($A1704=1,"CC00","")</f>
        <v/>
      </c>
      <c r="K1704" s="32">
        <f>IF($A1704=1,"-","")</f>
        <v/>
      </c>
      <c r="L1704" s="32">
        <f>IF($A1704=1,IF(Supplier_Payments!$H42="","دفعة مورد "&amp;Supplier_Payments!$C42,Supplier_Payments!$H42),"")</f>
        <v/>
      </c>
      <c r="M1704" s="43">
        <f>IF($A1704=1,0,"")</f>
        <v/>
      </c>
      <c r="N1704" s="43">
        <f>IF($A1704=1,Supplier_Payments!$E42,"")</f>
        <v/>
      </c>
      <c r="O1704" s="32">
        <f>IF($A1704=1,Supplier_Payments!$I42,"")</f>
        <v/>
      </c>
      <c r="P1704" s="32">
        <f>IF($A1704=1,IF(Supplier_Payments!$T42="","",Supplier_Payments!$T42),"")</f>
        <v/>
      </c>
      <c r="Q1704" s="32">
        <f>IF($A1704=1,Supplier_Payments!$V42,"")</f>
        <v/>
      </c>
      <c r="R1704" s="32">
        <f>IF($A1704=1,IF(AND($Q1704=1,COUNTIFS(COA!$A:$A,$G1704,COA!$R:$R,1)=1),1,0),"")</f>
        <v/>
      </c>
      <c r="S1704" s="43">
        <f>IF($A1704=1,IF($R1704=1,N($M1704),0),"")</f>
        <v/>
      </c>
      <c r="T1704" s="43">
        <f>IF($A1704=1,IF($R1704=1,N($N1704),0),"")</f>
        <v/>
      </c>
      <c r="U1704" s="32">
        <f>IF($A1704=1,YEAR($D1704)*100+MONTH($D1704),"")</f>
        <v/>
      </c>
      <c r="V1704" s="32">
        <f>IF($A1704=1,IF(COUNTIF(COA!$A:$A,$G1704)=0,0,INDEX(COA!$H:$H,MATCH($G1704,COA!$A:$A,0))),"")</f>
        <v/>
      </c>
      <c r="W1704" s="32">
        <f>IF($A1704=1,IF(Supplier_Payments!$R42="","",Supplier_Payments!$R42),"")</f>
        <v/>
      </c>
      <c r="X1704" s="32">
        <f>IF($A1704=1,IF($R1704=1,"",IF($O1704=ST_POST,IF($P1704&lt;&gt;"",$P1704,"حساب غير صالح أو غير نشط"),IF($O1704=ST_REV,"معكوس: لا أثر على الدفاتر",IF($O1704=ST_CANC,"ملغى",IF($O1704=ST_APPR,"معتمد ولم يُرحَّل","مسودة"))))),"")</f>
        <v/>
      </c>
      <c r="Y1704" s="32">
        <f>IF($A1704=1,IF(AND($R1704=1,OR(LG_Acct="",$G1704=LG_Acct),OR(LG_Party="",$K1704=LG_Party),OR(LG_Loc="ALL",$I1704=LG_Loc),OR(LG_CC="ALL",$J1704=LG_CC),$D1704&gt;=LG_From,$D1704&lt;=LG_To),$D1704+ROW()/1000000,""),"")</f>
        <v/>
      </c>
      <c r="Z1704" s="32">
        <f>IF($A1704=1,IF(Supplier_Payments!$J42="","",Supplier_Payments!$J42),"")</f>
        <v/>
      </c>
      <c r="AA1704" s="32">
        <f>IF($A1704=1,IF(Supplier_Payments!$K42="","",Supplier_Payments!$K42),"")</f>
        <v/>
      </c>
      <c r="AB1704" s="32">
        <f>IF($A1704=1,IF(Supplier_Payments!$L42="","",Supplier_Payments!$L42),"")</f>
        <v/>
      </c>
      <c r="AC1704" s="32">
        <f>IF($A1704=1,IF(Supplier_Payments!$M42="","",Supplier_Payments!$M42),"")</f>
        <v/>
      </c>
      <c r="AD1704" s="32">
        <f>IF($A1704=1,IF(Supplier_Payments!$N42="","",Supplier_Payments!$N42),"")</f>
        <v/>
      </c>
      <c r="AE1704" s="32">
        <f>IF($A1704=1,0,"")</f>
        <v/>
      </c>
      <c r="AF1704" s="32" t="inlineStr"/>
    </row>
    <row r="1705">
      <c r="A1705" s="32">
        <f>IF(AND(Supplier_Payments!$S43=1,N(Supplier_Payments!$E43)&gt;0),1,0)</f>
        <v/>
      </c>
      <c r="B1705" s="32">
        <f>IF($A1705=1,$E1705&amp;"/1","")</f>
        <v/>
      </c>
      <c r="C1705" s="32">
        <f>IF($A1705=1,"J-"&amp;Supplier_Payments!$A43,"")</f>
        <v/>
      </c>
      <c r="D1705" s="33">
        <f>IF($A1705=1,Supplier_Payments!$B43,"")</f>
        <v/>
      </c>
      <c r="E1705" s="32">
        <f>IF($A1705=1,IF(Supplier_Payments!$A43="","",Supplier_Payments!$A43),"")</f>
        <v/>
      </c>
      <c r="F1705" s="32">
        <f>IF($A1705=1,"SPAY","")</f>
        <v/>
      </c>
      <c r="G1705" s="32">
        <f>IF($A1705=1,ACC_SUPPLIERS,"")</f>
        <v/>
      </c>
      <c r="H1705" s="32">
        <f>IF($A1705=1,IF(COUNTIF(COA!$A:$A,$G1705)=0,"حساب غير معرف",INDEX(COA!$B:$B,MATCH($G1705,COA!$A:$A,0))),"")</f>
        <v/>
      </c>
      <c r="I1705" s="32">
        <f>IF($A1705=1,IF(Supplier_Payments!$Q43="","",Supplier_Payments!$Q43),"")</f>
        <v/>
      </c>
      <c r="J1705" s="32">
        <f>IF($A1705=1,"CC00","")</f>
        <v/>
      </c>
      <c r="K1705" s="32">
        <f>IF($A1705=1,IF(Supplier_Payments!$C43="","",Supplier_Payments!$C43),"")</f>
        <v/>
      </c>
      <c r="L1705" s="32">
        <f>IF($A1705=1,IF(Supplier_Payments!$H43="","دفعة مورد "&amp;Supplier_Payments!$C43,Supplier_Payments!$H43),"")</f>
        <v/>
      </c>
      <c r="M1705" s="43">
        <f>IF($A1705=1,Supplier_Payments!$E43,"")</f>
        <v/>
      </c>
      <c r="N1705" s="43">
        <f>IF($A1705=1,0,"")</f>
        <v/>
      </c>
      <c r="O1705" s="32">
        <f>IF($A1705=1,Supplier_Payments!$I43,"")</f>
        <v/>
      </c>
      <c r="P1705" s="32">
        <f>IF($A1705=1,IF(Supplier_Payments!$T43="","",Supplier_Payments!$T43),"")</f>
        <v/>
      </c>
      <c r="Q1705" s="32">
        <f>IF($A1705=1,Supplier_Payments!$V43,"")</f>
        <v/>
      </c>
      <c r="R1705" s="32">
        <f>IF($A1705=1,IF(AND($Q1705=1,COUNTIFS(COA!$A:$A,$G1705,COA!$R:$R,1)=1),1,0),"")</f>
        <v/>
      </c>
      <c r="S1705" s="43">
        <f>IF($A1705=1,IF($R1705=1,N($M1705),0),"")</f>
        <v/>
      </c>
      <c r="T1705" s="43">
        <f>IF($A1705=1,IF($R1705=1,N($N1705),0),"")</f>
        <v/>
      </c>
      <c r="U1705" s="32">
        <f>IF($A1705=1,YEAR($D1705)*100+MONTH($D1705),"")</f>
        <v/>
      </c>
      <c r="V1705" s="32">
        <f>IF($A1705=1,IF(COUNTIF(COA!$A:$A,$G1705)=0,0,INDEX(COA!$H:$H,MATCH($G1705,COA!$A:$A,0))),"")</f>
        <v/>
      </c>
      <c r="W1705" s="32">
        <f>IF($A1705=1,"","")</f>
        <v/>
      </c>
      <c r="X1705" s="32">
        <f>IF($A1705=1,IF($R1705=1,"",IF($O1705=ST_POST,IF($P1705&lt;&gt;"",$P1705,"حساب غير صالح أو غير نشط"),IF($O1705=ST_REV,"معكوس: لا أثر على الدفاتر",IF($O1705=ST_CANC,"ملغى",IF($O1705=ST_APPR,"معتمد ولم يُرحَّل","مسودة"))))),"")</f>
        <v/>
      </c>
      <c r="Y1705" s="32">
        <f>IF($A1705=1,IF(AND($R1705=1,OR(LG_Acct="",$G1705=LG_Acct),OR(LG_Party="",$K1705=LG_Party),OR(LG_Loc="ALL",$I1705=LG_Loc),OR(LG_CC="ALL",$J1705=LG_CC),$D1705&gt;=LG_From,$D1705&lt;=LG_To),$D1705+ROW()/1000000,""),"")</f>
        <v/>
      </c>
      <c r="Z1705" s="32">
        <f>IF($A1705=1,IF(Supplier_Payments!$J43="","",Supplier_Payments!$J43),"")</f>
        <v/>
      </c>
      <c r="AA1705" s="32">
        <f>IF($A1705=1,IF(Supplier_Payments!$K43="","",Supplier_Payments!$K43),"")</f>
        <v/>
      </c>
      <c r="AB1705" s="32">
        <f>IF($A1705=1,IF(Supplier_Payments!$L43="","",Supplier_Payments!$L43),"")</f>
        <v/>
      </c>
      <c r="AC1705" s="32">
        <f>IF($A1705=1,IF(Supplier_Payments!$M43="","",Supplier_Payments!$M43),"")</f>
        <v/>
      </c>
      <c r="AD1705" s="32">
        <f>IF($A1705=1,IF(Supplier_Payments!$N43="","",Supplier_Payments!$N43),"")</f>
        <v/>
      </c>
      <c r="AE1705" s="32">
        <f>IF($A1705=1,0,"")</f>
        <v/>
      </c>
      <c r="AF1705" s="32" t="inlineStr"/>
    </row>
    <row r="1706">
      <c r="A1706" s="32">
        <f>IF(AND(Supplier_Payments!$S43=1,N(Supplier_Payments!$E43)&gt;0),1,0)</f>
        <v/>
      </c>
      <c r="B1706" s="32">
        <f>IF($A1706=1,$E1706&amp;"/2","")</f>
        <v/>
      </c>
      <c r="C1706" s="32">
        <f>IF($A1706=1,"J-"&amp;Supplier_Payments!$A43,"")</f>
        <v/>
      </c>
      <c r="D1706" s="33">
        <f>IF($A1706=1,Supplier_Payments!$B43,"")</f>
        <v/>
      </c>
      <c r="E1706" s="32">
        <f>IF($A1706=1,IF(Supplier_Payments!$A43="","",Supplier_Payments!$A43),"")</f>
        <v/>
      </c>
      <c r="F1706" s="32">
        <f>IF($A1706=1,"SPAY","")</f>
        <v/>
      </c>
      <c r="G1706" s="32">
        <f>IF($A1706=1,IF(Supplier_Payments!$P43="","",Supplier_Payments!$P43),"")</f>
        <v/>
      </c>
      <c r="H1706" s="32">
        <f>IF($A1706=1,IF(COUNTIF(COA!$A:$A,$G1706)=0,"حساب غير معرف",INDEX(COA!$B:$B,MATCH($G1706,COA!$A:$A,0))),"")</f>
        <v/>
      </c>
      <c r="I1706" s="32">
        <f>IF($A1706=1,IF(Supplier_Payments!$Q43="","",Supplier_Payments!$Q43),"")</f>
        <v/>
      </c>
      <c r="J1706" s="32">
        <f>IF($A1706=1,"CC00","")</f>
        <v/>
      </c>
      <c r="K1706" s="32">
        <f>IF($A1706=1,"-","")</f>
        <v/>
      </c>
      <c r="L1706" s="32">
        <f>IF($A1706=1,IF(Supplier_Payments!$H43="","دفعة مورد "&amp;Supplier_Payments!$C43,Supplier_Payments!$H43),"")</f>
        <v/>
      </c>
      <c r="M1706" s="43">
        <f>IF($A1706=1,0,"")</f>
        <v/>
      </c>
      <c r="N1706" s="43">
        <f>IF($A1706=1,Supplier_Payments!$E43,"")</f>
        <v/>
      </c>
      <c r="O1706" s="32">
        <f>IF($A1706=1,Supplier_Payments!$I43,"")</f>
        <v/>
      </c>
      <c r="P1706" s="32">
        <f>IF($A1706=1,IF(Supplier_Payments!$T43="","",Supplier_Payments!$T43),"")</f>
        <v/>
      </c>
      <c r="Q1706" s="32">
        <f>IF($A1706=1,Supplier_Payments!$V43,"")</f>
        <v/>
      </c>
      <c r="R1706" s="32">
        <f>IF($A1706=1,IF(AND($Q1706=1,COUNTIFS(COA!$A:$A,$G1706,COA!$R:$R,1)=1),1,0),"")</f>
        <v/>
      </c>
      <c r="S1706" s="43">
        <f>IF($A1706=1,IF($R1706=1,N($M1706),0),"")</f>
        <v/>
      </c>
      <c r="T1706" s="43">
        <f>IF($A1706=1,IF($R1706=1,N($N1706),0),"")</f>
        <v/>
      </c>
      <c r="U1706" s="32">
        <f>IF($A1706=1,YEAR($D1706)*100+MONTH($D1706),"")</f>
        <v/>
      </c>
      <c r="V1706" s="32">
        <f>IF($A1706=1,IF(COUNTIF(COA!$A:$A,$G1706)=0,0,INDEX(COA!$H:$H,MATCH($G1706,COA!$A:$A,0))),"")</f>
        <v/>
      </c>
      <c r="W1706" s="32">
        <f>IF($A1706=1,IF(Supplier_Payments!$R43="","",Supplier_Payments!$R43),"")</f>
        <v/>
      </c>
      <c r="X1706" s="32">
        <f>IF($A1706=1,IF($R1706=1,"",IF($O1706=ST_POST,IF($P1706&lt;&gt;"",$P1706,"حساب غير صالح أو غير نشط"),IF($O1706=ST_REV,"معكوس: لا أثر على الدفاتر",IF($O1706=ST_CANC,"ملغى",IF($O1706=ST_APPR,"معتمد ولم يُرحَّل","مسودة"))))),"")</f>
        <v/>
      </c>
      <c r="Y1706" s="32">
        <f>IF($A1706=1,IF(AND($R1706=1,OR(LG_Acct="",$G1706=LG_Acct),OR(LG_Party="",$K1706=LG_Party),OR(LG_Loc="ALL",$I1706=LG_Loc),OR(LG_CC="ALL",$J1706=LG_CC),$D1706&gt;=LG_From,$D1706&lt;=LG_To),$D1706+ROW()/1000000,""),"")</f>
        <v/>
      </c>
      <c r="Z1706" s="32">
        <f>IF($A1706=1,IF(Supplier_Payments!$J43="","",Supplier_Payments!$J43),"")</f>
        <v/>
      </c>
      <c r="AA1706" s="32">
        <f>IF($A1706=1,IF(Supplier_Payments!$K43="","",Supplier_Payments!$K43),"")</f>
        <v/>
      </c>
      <c r="AB1706" s="32">
        <f>IF($A1706=1,IF(Supplier_Payments!$L43="","",Supplier_Payments!$L43),"")</f>
        <v/>
      </c>
      <c r="AC1706" s="32">
        <f>IF($A1706=1,IF(Supplier_Payments!$M43="","",Supplier_Payments!$M43),"")</f>
        <v/>
      </c>
      <c r="AD1706" s="32">
        <f>IF($A1706=1,IF(Supplier_Payments!$N43="","",Supplier_Payments!$N43),"")</f>
        <v/>
      </c>
      <c r="AE1706" s="32">
        <f>IF($A1706=1,0,"")</f>
        <v/>
      </c>
      <c r="AF1706" s="32" t="inlineStr"/>
    </row>
    <row r="1707">
      <c r="A1707" s="32">
        <f>IF(AND(Supplier_Payments!$S44=1,N(Supplier_Payments!$E44)&gt;0),1,0)</f>
        <v/>
      </c>
      <c r="B1707" s="32">
        <f>IF($A1707=1,$E1707&amp;"/1","")</f>
        <v/>
      </c>
      <c r="C1707" s="32">
        <f>IF($A1707=1,"J-"&amp;Supplier_Payments!$A44,"")</f>
        <v/>
      </c>
      <c r="D1707" s="33">
        <f>IF($A1707=1,Supplier_Payments!$B44,"")</f>
        <v/>
      </c>
      <c r="E1707" s="32">
        <f>IF($A1707=1,IF(Supplier_Payments!$A44="","",Supplier_Payments!$A44),"")</f>
        <v/>
      </c>
      <c r="F1707" s="32">
        <f>IF($A1707=1,"SPAY","")</f>
        <v/>
      </c>
      <c r="G1707" s="32">
        <f>IF($A1707=1,ACC_SUPPLIERS,"")</f>
        <v/>
      </c>
      <c r="H1707" s="32">
        <f>IF($A1707=1,IF(COUNTIF(COA!$A:$A,$G1707)=0,"حساب غير معرف",INDEX(COA!$B:$B,MATCH($G1707,COA!$A:$A,0))),"")</f>
        <v/>
      </c>
      <c r="I1707" s="32">
        <f>IF($A1707=1,IF(Supplier_Payments!$Q44="","",Supplier_Payments!$Q44),"")</f>
        <v/>
      </c>
      <c r="J1707" s="32">
        <f>IF($A1707=1,"CC00","")</f>
        <v/>
      </c>
      <c r="K1707" s="32">
        <f>IF($A1707=1,IF(Supplier_Payments!$C44="","",Supplier_Payments!$C44),"")</f>
        <v/>
      </c>
      <c r="L1707" s="32">
        <f>IF($A1707=1,IF(Supplier_Payments!$H44="","دفعة مورد "&amp;Supplier_Payments!$C44,Supplier_Payments!$H44),"")</f>
        <v/>
      </c>
      <c r="M1707" s="43">
        <f>IF($A1707=1,Supplier_Payments!$E44,"")</f>
        <v/>
      </c>
      <c r="N1707" s="43">
        <f>IF($A1707=1,0,"")</f>
        <v/>
      </c>
      <c r="O1707" s="32">
        <f>IF($A1707=1,Supplier_Payments!$I44,"")</f>
        <v/>
      </c>
      <c r="P1707" s="32">
        <f>IF($A1707=1,IF(Supplier_Payments!$T44="","",Supplier_Payments!$T44),"")</f>
        <v/>
      </c>
      <c r="Q1707" s="32">
        <f>IF($A1707=1,Supplier_Payments!$V44,"")</f>
        <v/>
      </c>
      <c r="R1707" s="32">
        <f>IF($A1707=1,IF(AND($Q1707=1,COUNTIFS(COA!$A:$A,$G1707,COA!$R:$R,1)=1),1,0),"")</f>
        <v/>
      </c>
      <c r="S1707" s="43">
        <f>IF($A1707=1,IF($R1707=1,N($M1707),0),"")</f>
        <v/>
      </c>
      <c r="T1707" s="43">
        <f>IF($A1707=1,IF($R1707=1,N($N1707),0),"")</f>
        <v/>
      </c>
      <c r="U1707" s="32">
        <f>IF($A1707=1,YEAR($D1707)*100+MONTH($D1707),"")</f>
        <v/>
      </c>
      <c r="V1707" s="32">
        <f>IF($A1707=1,IF(COUNTIF(COA!$A:$A,$G1707)=0,0,INDEX(COA!$H:$H,MATCH($G1707,COA!$A:$A,0))),"")</f>
        <v/>
      </c>
      <c r="W1707" s="32">
        <f>IF($A1707=1,"","")</f>
        <v/>
      </c>
      <c r="X1707" s="32">
        <f>IF($A1707=1,IF($R1707=1,"",IF($O1707=ST_POST,IF($P1707&lt;&gt;"",$P1707,"حساب غير صالح أو غير نشط"),IF($O1707=ST_REV,"معكوس: لا أثر على الدفاتر",IF($O1707=ST_CANC,"ملغى",IF($O1707=ST_APPR,"معتمد ولم يُرحَّل","مسودة"))))),"")</f>
        <v/>
      </c>
      <c r="Y1707" s="32">
        <f>IF($A1707=1,IF(AND($R1707=1,OR(LG_Acct="",$G1707=LG_Acct),OR(LG_Party="",$K1707=LG_Party),OR(LG_Loc="ALL",$I1707=LG_Loc),OR(LG_CC="ALL",$J1707=LG_CC),$D1707&gt;=LG_From,$D1707&lt;=LG_To),$D1707+ROW()/1000000,""),"")</f>
        <v/>
      </c>
      <c r="Z1707" s="32">
        <f>IF($A1707=1,IF(Supplier_Payments!$J44="","",Supplier_Payments!$J44),"")</f>
        <v/>
      </c>
      <c r="AA1707" s="32">
        <f>IF($A1707=1,IF(Supplier_Payments!$K44="","",Supplier_Payments!$K44),"")</f>
        <v/>
      </c>
      <c r="AB1707" s="32">
        <f>IF($A1707=1,IF(Supplier_Payments!$L44="","",Supplier_Payments!$L44),"")</f>
        <v/>
      </c>
      <c r="AC1707" s="32">
        <f>IF($A1707=1,IF(Supplier_Payments!$M44="","",Supplier_Payments!$M44),"")</f>
        <v/>
      </c>
      <c r="AD1707" s="32">
        <f>IF($A1707=1,IF(Supplier_Payments!$N44="","",Supplier_Payments!$N44),"")</f>
        <v/>
      </c>
      <c r="AE1707" s="32">
        <f>IF($A1707=1,0,"")</f>
        <v/>
      </c>
      <c r="AF1707" s="32" t="inlineStr"/>
    </row>
    <row r="1708">
      <c r="A1708" s="32">
        <f>IF(AND(Supplier_Payments!$S44=1,N(Supplier_Payments!$E44)&gt;0),1,0)</f>
        <v/>
      </c>
      <c r="B1708" s="32">
        <f>IF($A1708=1,$E1708&amp;"/2","")</f>
        <v/>
      </c>
      <c r="C1708" s="32">
        <f>IF($A1708=1,"J-"&amp;Supplier_Payments!$A44,"")</f>
        <v/>
      </c>
      <c r="D1708" s="33">
        <f>IF($A1708=1,Supplier_Payments!$B44,"")</f>
        <v/>
      </c>
      <c r="E1708" s="32">
        <f>IF($A1708=1,IF(Supplier_Payments!$A44="","",Supplier_Payments!$A44),"")</f>
        <v/>
      </c>
      <c r="F1708" s="32">
        <f>IF($A1708=1,"SPAY","")</f>
        <v/>
      </c>
      <c r="G1708" s="32">
        <f>IF($A1708=1,IF(Supplier_Payments!$P44="","",Supplier_Payments!$P44),"")</f>
        <v/>
      </c>
      <c r="H1708" s="32">
        <f>IF($A1708=1,IF(COUNTIF(COA!$A:$A,$G1708)=0,"حساب غير معرف",INDEX(COA!$B:$B,MATCH($G1708,COA!$A:$A,0))),"")</f>
        <v/>
      </c>
      <c r="I1708" s="32">
        <f>IF($A1708=1,IF(Supplier_Payments!$Q44="","",Supplier_Payments!$Q44),"")</f>
        <v/>
      </c>
      <c r="J1708" s="32">
        <f>IF($A1708=1,"CC00","")</f>
        <v/>
      </c>
      <c r="K1708" s="32">
        <f>IF($A1708=1,"-","")</f>
        <v/>
      </c>
      <c r="L1708" s="32">
        <f>IF($A1708=1,IF(Supplier_Payments!$H44="","دفعة مورد "&amp;Supplier_Payments!$C44,Supplier_Payments!$H44),"")</f>
        <v/>
      </c>
      <c r="M1708" s="43">
        <f>IF($A1708=1,0,"")</f>
        <v/>
      </c>
      <c r="N1708" s="43">
        <f>IF($A1708=1,Supplier_Payments!$E44,"")</f>
        <v/>
      </c>
      <c r="O1708" s="32">
        <f>IF($A1708=1,Supplier_Payments!$I44,"")</f>
        <v/>
      </c>
      <c r="P1708" s="32">
        <f>IF($A1708=1,IF(Supplier_Payments!$T44="","",Supplier_Payments!$T44),"")</f>
        <v/>
      </c>
      <c r="Q1708" s="32">
        <f>IF($A1708=1,Supplier_Payments!$V44,"")</f>
        <v/>
      </c>
      <c r="R1708" s="32">
        <f>IF($A1708=1,IF(AND($Q1708=1,COUNTIFS(COA!$A:$A,$G1708,COA!$R:$R,1)=1),1,0),"")</f>
        <v/>
      </c>
      <c r="S1708" s="43">
        <f>IF($A1708=1,IF($R1708=1,N($M1708),0),"")</f>
        <v/>
      </c>
      <c r="T1708" s="43">
        <f>IF($A1708=1,IF($R1708=1,N($N1708),0),"")</f>
        <v/>
      </c>
      <c r="U1708" s="32">
        <f>IF($A1708=1,YEAR($D1708)*100+MONTH($D1708),"")</f>
        <v/>
      </c>
      <c r="V1708" s="32">
        <f>IF($A1708=1,IF(COUNTIF(COA!$A:$A,$G1708)=0,0,INDEX(COA!$H:$H,MATCH($G1708,COA!$A:$A,0))),"")</f>
        <v/>
      </c>
      <c r="W1708" s="32">
        <f>IF($A1708=1,IF(Supplier_Payments!$R44="","",Supplier_Payments!$R44),"")</f>
        <v/>
      </c>
      <c r="X1708" s="32">
        <f>IF($A1708=1,IF($R1708=1,"",IF($O1708=ST_POST,IF($P1708&lt;&gt;"",$P1708,"حساب غير صالح أو غير نشط"),IF($O1708=ST_REV,"معكوس: لا أثر على الدفاتر",IF($O1708=ST_CANC,"ملغى",IF($O1708=ST_APPR,"معتمد ولم يُرحَّل","مسودة"))))),"")</f>
        <v/>
      </c>
      <c r="Y1708" s="32">
        <f>IF($A1708=1,IF(AND($R1708=1,OR(LG_Acct="",$G1708=LG_Acct),OR(LG_Party="",$K1708=LG_Party),OR(LG_Loc="ALL",$I1708=LG_Loc),OR(LG_CC="ALL",$J1708=LG_CC),$D1708&gt;=LG_From,$D1708&lt;=LG_To),$D1708+ROW()/1000000,""),"")</f>
        <v/>
      </c>
      <c r="Z1708" s="32">
        <f>IF($A1708=1,IF(Supplier_Payments!$J44="","",Supplier_Payments!$J44),"")</f>
        <v/>
      </c>
      <c r="AA1708" s="32">
        <f>IF($A1708=1,IF(Supplier_Payments!$K44="","",Supplier_Payments!$K44),"")</f>
        <v/>
      </c>
      <c r="AB1708" s="32">
        <f>IF($A1708=1,IF(Supplier_Payments!$L44="","",Supplier_Payments!$L44),"")</f>
        <v/>
      </c>
      <c r="AC1708" s="32">
        <f>IF($A1708=1,IF(Supplier_Payments!$M44="","",Supplier_Payments!$M44),"")</f>
        <v/>
      </c>
      <c r="AD1708" s="32">
        <f>IF($A1708=1,IF(Supplier_Payments!$N44="","",Supplier_Payments!$N44),"")</f>
        <v/>
      </c>
      <c r="AE1708" s="32">
        <f>IF($A1708=1,0,"")</f>
        <v/>
      </c>
      <c r="AF1708" s="32" t="inlineStr"/>
    </row>
    <row r="1709">
      <c r="A1709" s="32">
        <f>IF(AND(Supplier_Payments!$S45=1,N(Supplier_Payments!$E45)&gt;0),1,0)</f>
        <v/>
      </c>
      <c r="B1709" s="32">
        <f>IF($A1709=1,$E1709&amp;"/1","")</f>
        <v/>
      </c>
      <c r="C1709" s="32">
        <f>IF($A1709=1,"J-"&amp;Supplier_Payments!$A45,"")</f>
        <v/>
      </c>
      <c r="D1709" s="33">
        <f>IF($A1709=1,Supplier_Payments!$B45,"")</f>
        <v/>
      </c>
      <c r="E1709" s="32">
        <f>IF($A1709=1,IF(Supplier_Payments!$A45="","",Supplier_Payments!$A45),"")</f>
        <v/>
      </c>
      <c r="F1709" s="32">
        <f>IF($A1709=1,"SPAY","")</f>
        <v/>
      </c>
      <c r="G1709" s="32">
        <f>IF($A1709=1,ACC_SUPPLIERS,"")</f>
        <v/>
      </c>
      <c r="H1709" s="32">
        <f>IF($A1709=1,IF(COUNTIF(COA!$A:$A,$G1709)=0,"حساب غير معرف",INDEX(COA!$B:$B,MATCH($G1709,COA!$A:$A,0))),"")</f>
        <v/>
      </c>
      <c r="I1709" s="32">
        <f>IF($A1709=1,IF(Supplier_Payments!$Q45="","",Supplier_Payments!$Q45),"")</f>
        <v/>
      </c>
      <c r="J1709" s="32">
        <f>IF($A1709=1,"CC00","")</f>
        <v/>
      </c>
      <c r="K1709" s="32">
        <f>IF($A1709=1,IF(Supplier_Payments!$C45="","",Supplier_Payments!$C45),"")</f>
        <v/>
      </c>
      <c r="L1709" s="32">
        <f>IF($A1709=1,IF(Supplier_Payments!$H45="","دفعة مورد "&amp;Supplier_Payments!$C45,Supplier_Payments!$H45),"")</f>
        <v/>
      </c>
      <c r="M1709" s="43">
        <f>IF($A1709=1,Supplier_Payments!$E45,"")</f>
        <v/>
      </c>
      <c r="N1709" s="43">
        <f>IF($A1709=1,0,"")</f>
        <v/>
      </c>
      <c r="O1709" s="32">
        <f>IF($A1709=1,Supplier_Payments!$I45,"")</f>
        <v/>
      </c>
      <c r="P1709" s="32">
        <f>IF($A1709=1,IF(Supplier_Payments!$T45="","",Supplier_Payments!$T45),"")</f>
        <v/>
      </c>
      <c r="Q1709" s="32">
        <f>IF($A1709=1,Supplier_Payments!$V45,"")</f>
        <v/>
      </c>
      <c r="R1709" s="32">
        <f>IF($A1709=1,IF(AND($Q1709=1,COUNTIFS(COA!$A:$A,$G1709,COA!$R:$R,1)=1),1,0),"")</f>
        <v/>
      </c>
      <c r="S1709" s="43">
        <f>IF($A1709=1,IF($R1709=1,N($M1709),0),"")</f>
        <v/>
      </c>
      <c r="T1709" s="43">
        <f>IF($A1709=1,IF($R1709=1,N($N1709),0),"")</f>
        <v/>
      </c>
      <c r="U1709" s="32">
        <f>IF($A1709=1,YEAR($D1709)*100+MONTH($D1709),"")</f>
        <v/>
      </c>
      <c r="V1709" s="32">
        <f>IF($A1709=1,IF(COUNTIF(COA!$A:$A,$G1709)=0,0,INDEX(COA!$H:$H,MATCH($G1709,COA!$A:$A,0))),"")</f>
        <v/>
      </c>
      <c r="W1709" s="32">
        <f>IF($A1709=1,"","")</f>
        <v/>
      </c>
      <c r="X1709" s="32">
        <f>IF($A1709=1,IF($R1709=1,"",IF($O1709=ST_POST,IF($P1709&lt;&gt;"",$P1709,"حساب غير صالح أو غير نشط"),IF($O1709=ST_REV,"معكوس: لا أثر على الدفاتر",IF($O1709=ST_CANC,"ملغى",IF($O1709=ST_APPR,"معتمد ولم يُرحَّل","مسودة"))))),"")</f>
        <v/>
      </c>
      <c r="Y1709" s="32">
        <f>IF($A1709=1,IF(AND($R1709=1,OR(LG_Acct="",$G1709=LG_Acct),OR(LG_Party="",$K1709=LG_Party),OR(LG_Loc="ALL",$I1709=LG_Loc),OR(LG_CC="ALL",$J1709=LG_CC),$D1709&gt;=LG_From,$D1709&lt;=LG_To),$D1709+ROW()/1000000,""),"")</f>
        <v/>
      </c>
      <c r="Z1709" s="32">
        <f>IF($A1709=1,IF(Supplier_Payments!$J45="","",Supplier_Payments!$J45),"")</f>
        <v/>
      </c>
      <c r="AA1709" s="32">
        <f>IF($A1709=1,IF(Supplier_Payments!$K45="","",Supplier_Payments!$K45),"")</f>
        <v/>
      </c>
      <c r="AB1709" s="32">
        <f>IF($A1709=1,IF(Supplier_Payments!$L45="","",Supplier_Payments!$L45),"")</f>
        <v/>
      </c>
      <c r="AC1709" s="32">
        <f>IF($A1709=1,IF(Supplier_Payments!$M45="","",Supplier_Payments!$M45),"")</f>
        <v/>
      </c>
      <c r="AD1709" s="32">
        <f>IF($A1709=1,IF(Supplier_Payments!$N45="","",Supplier_Payments!$N45),"")</f>
        <v/>
      </c>
      <c r="AE1709" s="32">
        <f>IF($A1709=1,0,"")</f>
        <v/>
      </c>
      <c r="AF1709" s="32" t="inlineStr"/>
    </row>
    <row r="1710">
      <c r="A1710" s="32">
        <f>IF(AND(Supplier_Payments!$S45=1,N(Supplier_Payments!$E45)&gt;0),1,0)</f>
        <v/>
      </c>
      <c r="B1710" s="32">
        <f>IF($A1710=1,$E1710&amp;"/2","")</f>
        <v/>
      </c>
      <c r="C1710" s="32">
        <f>IF($A1710=1,"J-"&amp;Supplier_Payments!$A45,"")</f>
        <v/>
      </c>
      <c r="D1710" s="33">
        <f>IF($A1710=1,Supplier_Payments!$B45,"")</f>
        <v/>
      </c>
      <c r="E1710" s="32">
        <f>IF($A1710=1,IF(Supplier_Payments!$A45="","",Supplier_Payments!$A45),"")</f>
        <v/>
      </c>
      <c r="F1710" s="32">
        <f>IF($A1710=1,"SPAY","")</f>
        <v/>
      </c>
      <c r="G1710" s="32">
        <f>IF($A1710=1,IF(Supplier_Payments!$P45="","",Supplier_Payments!$P45),"")</f>
        <v/>
      </c>
      <c r="H1710" s="32">
        <f>IF($A1710=1,IF(COUNTIF(COA!$A:$A,$G1710)=0,"حساب غير معرف",INDEX(COA!$B:$B,MATCH($G1710,COA!$A:$A,0))),"")</f>
        <v/>
      </c>
      <c r="I1710" s="32">
        <f>IF($A1710=1,IF(Supplier_Payments!$Q45="","",Supplier_Payments!$Q45),"")</f>
        <v/>
      </c>
      <c r="J1710" s="32">
        <f>IF($A1710=1,"CC00","")</f>
        <v/>
      </c>
      <c r="K1710" s="32">
        <f>IF($A1710=1,"-","")</f>
        <v/>
      </c>
      <c r="L1710" s="32">
        <f>IF($A1710=1,IF(Supplier_Payments!$H45="","دفعة مورد "&amp;Supplier_Payments!$C45,Supplier_Payments!$H45),"")</f>
        <v/>
      </c>
      <c r="M1710" s="43">
        <f>IF($A1710=1,0,"")</f>
        <v/>
      </c>
      <c r="N1710" s="43">
        <f>IF($A1710=1,Supplier_Payments!$E45,"")</f>
        <v/>
      </c>
      <c r="O1710" s="32">
        <f>IF($A1710=1,Supplier_Payments!$I45,"")</f>
        <v/>
      </c>
      <c r="P1710" s="32">
        <f>IF($A1710=1,IF(Supplier_Payments!$T45="","",Supplier_Payments!$T45),"")</f>
        <v/>
      </c>
      <c r="Q1710" s="32">
        <f>IF($A1710=1,Supplier_Payments!$V45,"")</f>
        <v/>
      </c>
      <c r="R1710" s="32">
        <f>IF($A1710=1,IF(AND($Q1710=1,COUNTIFS(COA!$A:$A,$G1710,COA!$R:$R,1)=1),1,0),"")</f>
        <v/>
      </c>
      <c r="S1710" s="43">
        <f>IF($A1710=1,IF($R1710=1,N($M1710),0),"")</f>
        <v/>
      </c>
      <c r="T1710" s="43">
        <f>IF($A1710=1,IF($R1710=1,N($N1710),0),"")</f>
        <v/>
      </c>
      <c r="U1710" s="32">
        <f>IF($A1710=1,YEAR($D1710)*100+MONTH($D1710),"")</f>
        <v/>
      </c>
      <c r="V1710" s="32">
        <f>IF($A1710=1,IF(COUNTIF(COA!$A:$A,$G1710)=0,0,INDEX(COA!$H:$H,MATCH($G1710,COA!$A:$A,0))),"")</f>
        <v/>
      </c>
      <c r="W1710" s="32">
        <f>IF($A1710=1,IF(Supplier_Payments!$R45="","",Supplier_Payments!$R45),"")</f>
        <v/>
      </c>
      <c r="X1710" s="32">
        <f>IF($A1710=1,IF($R1710=1,"",IF($O1710=ST_POST,IF($P1710&lt;&gt;"",$P1710,"حساب غير صالح أو غير نشط"),IF($O1710=ST_REV,"معكوس: لا أثر على الدفاتر",IF($O1710=ST_CANC,"ملغى",IF($O1710=ST_APPR,"معتمد ولم يُرحَّل","مسودة"))))),"")</f>
        <v/>
      </c>
      <c r="Y1710" s="32">
        <f>IF($A1710=1,IF(AND($R1710=1,OR(LG_Acct="",$G1710=LG_Acct),OR(LG_Party="",$K1710=LG_Party),OR(LG_Loc="ALL",$I1710=LG_Loc),OR(LG_CC="ALL",$J1710=LG_CC),$D1710&gt;=LG_From,$D1710&lt;=LG_To),$D1710+ROW()/1000000,""),"")</f>
        <v/>
      </c>
      <c r="Z1710" s="32">
        <f>IF($A1710=1,IF(Supplier_Payments!$J45="","",Supplier_Payments!$J45),"")</f>
        <v/>
      </c>
      <c r="AA1710" s="32">
        <f>IF($A1710=1,IF(Supplier_Payments!$K45="","",Supplier_Payments!$K45),"")</f>
        <v/>
      </c>
      <c r="AB1710" s="32">
        <f>IF($A1710=1,IF(Supplier_Payments!$L45="","",Supplier_Payments!$L45),"")</f>
        <v/>
      </c>
      <c r="AC1710" s="32">
        <f>IF($A1710=1,IF(Supplier_Payments!$M45="","",Supplier_Payments!$M45),"")</f>
        <v/>
      </c>
      <c r="AD1710" s="32">
        <f>IF($A1710=1,IF(Supplier_Payments!$N45="","",Supplier_Payments!$N45),"")</f>
        <v/>
      </c>
      <c r="AE1710" s="32">
        <f>IF($A1710=1,0,"")</f>
        <v/>
      </c>
      <c r="AF1710" s="32" t="inlineStr"/>
    </row>
    <row r="1711">
      <c r="A1711" s="32">
        <f>IF(AND(Supplier_Payments!$S46=1,N(Supplier_Payments!$E46)&gt;0),1,0)</f>
        <v/>
      </c>
      <c r="B1711" s="32">
        <f>IF($A1711=1,$E1711&amp;"/1","")</f>
        <v/>
      </c>
      <c r="C1711" s="32">
        <f>IF($A1711=1,"J-"&amp;Supplier_Payments!$A46,"")</f>
        <v/>
      </c>
      <c r="D1711" s="33">
        <f>IF($A1711=1,Supplier_Payments!$B46,"")</f>
        <v/>
      </c>
      <c r="E1711" s="32">
        <f>IF($A1711=1,IF(Supplier_Payments!$A46="","",Supplier_Payments!$A46),"")</f>
        <v/>
      </c>
      <c r="F1711" s="32">
        <f>IF($A1711=1,"SPAY","")</f>
        <v/>
      </c>
      <c r="G1711" s="32">
        <f>IF($A1711=1,ACC_SUPPLIERS,"")</f>
        <v/>
      </c>
      <c r="H1711" s="32">
        <f>IF($A1711=1,IF(COUNTIF(COA!$A:$A,$G1711)=0,"حساب غير معرف",INDEX(COA!$B:$B,MATCH($G1711,COA!$A:$A,0))),"")</f>
        <v/>
      </c>
      <c r="I1711" s="32">
        <f>IF($A1711=1,IF(Supplier_Payments!$Q46="","",Supplier_Payments!$Q46),"")</f>
        <v/>
      </c>
      <c r="J1711" s="32">
        <f>IF($A1711=1,"CC00","")</f>
        <v/>
      </c>
      <c r="K1711" s="32">
        <f>IF($A1711=1,IF(Supplier_Payments!$C46="","",Supplier_Payments!$C46),"")</f>
        <v/>
      </c>
      <c r="L1711" s="32">
        <f>IF($A1711=1,IF(Supplier_Payments!$H46="","دفعة مورد "&amp;Supplier_Payments!$C46,Supplier_Payments!$H46),"")</f>
        <v/>
      </c>
      <c r="M1711" s="43">
        <f>IF($A1711=1,Supplier_Payments!$E46,"")</f>
        <v/>
      </c>
      <c r="N1711" s="43">
        <f>IF($A1711=1,0,"")</f>
        <v/>
      </c>
      <c r="O1711" s="32">
        <f>IF($A1711=1,Supplier_Payments!$I46,"")</f>
        <v/>
      </c>
      <c r="P1711" s="32">
        <f>IF($A1711=1,IF(Supplier_Payments!$T46="","",Supplier_Payments!$T46),"")</f>
        <v/>
      </c>
      <c r="Q1711" s="32">
        <f>IF($A1711=1,Supplier_Payments!$V46,"")</f>
        <v/>
      </c>
      <c r="R1711" s="32">
        <f>IF($A1711=1,IF(AND($Q1711=1,COUNTIFS(COA!$A:$A,$G1711,COA!$R:$R,1)=1),1,0),"")</f>
        <v/>
      </c>
      <c r="S1711" s="43">
        <f>IF($A1711=1,IF($R1711=1,N($M1711),0),"")</f>
        <v/>
      </c>
      <c r="T1711" s="43">
        <f>IF($A1711=1,IF($R1711=1,N($N1711),0),"")</f>
        <v/>
      </c>
      <c r="U1711" s="32">
        <f>IF($A1711=1,YEAR($D1711)*100+MONTH($D1711),"")</f>
        <v/>
      </c>
      <c r="V1711" s="32">
        <f>IF($A1711=1,IF(COUNTIF(COA!$A:$A,$G1711)=0,0,INDEX(COA!$H:$H,MATCH($G1711,COA!$A:$A,0))),"")</f>
        <v/>
      </c>
      <c r="W1711" s="32">
        <f>IF($A1711=1,"","")</f>
        <v/>
      </c>
      <c r="X1711" s="32">
        <f>IF($A1711=1,IF($R1711=1,"",IF($O1711=ST_POST,IF($P1711&lt;&gt;"",$P1711,"حساب غير صالح أو غير نشط"),IF($O1711=ST_REV,"معكوس: لا أثر على الدفاتر",IF($O1711=ST_CANC,"ملغى",IF($O1711=ST_APPR,"معتمد ولم يُرحَّل","مسودة"))))),"")</f>
        <v/>
      </c>
      <c r="Y1711" s="32">
        <f>IF($A1711=1,IF(AND($R1711=1,OR(LG_Acct="",$G1711=LG_Acct),OR(LG_Party="",$K1711=LG_Party),OR(LG_Loc="ALL",$I1711=LG_Loc),OR(LG_CC="ALL",$J1711=LG_CC),$D1711&gt;=LG_From,$D1711&lt;=LG_To),$D1711+ROW()/1000000,""),"")</f>
        <v/>
      </c>
      <c r="Z1711" s="32">
        <f>IF($A1711=1,IF(Supplier_Payments!$J46="","",Supplier_Payments!$J46),"")</f>
        <v/>
      </c>
      <c r="AA1711" s="32">
        <f>IF($A1711=1,IF(Supplier_Payments!$K46="","",Supplier_Payments!$K46),"")</f>
        <v/>
      </c>
      <c r="AB1711" s="32">
        <f>IF($A1711=1,IF(Supplier_Payments!$L46="","",Supplier_Payments!$L46),"")</f>
        <v/>
      </c>
      <c r="AC1711" s="32">
        <f>IF($A1711=1,IF(Supplier_Payments!$M46="","",Supplier_Payments!$M46),"")</f>
        <v/>
      </c>
      <c r="AD1711" s="32">
        <f>IF($A1711=1,IF(Supplier_Payments!$N46="","",Supplier_Payments!$N46),"")</f>
        <v/>
      </c>
      <c r="AE1711" s="32">
        <f>IF($A1711=1,0,"")</f>
        <v/>
      </c>
      <c r="AF1711" s="32" t="inlineStr"/>
    </row>
    <row r="1712">
      <c r="A1712" s="32">
        <f>IF(AND(Supplier_Payments!$S46=1,N(Supplier_Payments!$E46)&gt;0),1,0)</f>
        <v/>
      </c>
      <c r="B1712" s="32">
        <f>IF($A1712=1,$E1712&amp;"/2","")</f>
        <v/>
      </c>
      <c r="C1712" s="32">
        <f>IF($A1712=1,"J-"&amp;Supplier_Payments!$A46,"")</f>
        <v/>
      </c>
      <c r="D1712" s="33">
        <f>IF($A1712=1,Supplier_Payments!$B46,"")</f>
        <v/>
      </c>
      <c r="E1712" s="32">
        <f>IF($A1712=1,IF(Supplier_Payments!$A46="","",Supplier_Payments!$A46),"")</f>
        <v/>
      </c>
      <c r="F1712" s="32">
        <f>IF($A1712=1,"SPAY","")</f>
        <v/>
      </c>
      <c r="G1712" s="32">
        <f>IF($A1712=1,IF(Supplier_Payments!$P46="","",Supplier_Payments!$P46),"")</f>
        <v/>
      </c>
      <c r="H1712" s="32">
        <f>IF($A1712=1,IF(COUNTIF(COA!$A:$A,$G1712)=0,"حساب غير معرف",INDEX(COA!$B:$B,MATCH($G1712,COA!$A:$A,0))),"")</f>
        <v/>
      </c>
      <c r="I1712" s="32">
        <f>IF($A1712=1,IF(Supplier_Payments!$Q46="","",Supplier_Payments!$Q46),"")</f>
        <v/>
      </c>
      <c r="J1712" s="32">
        <f>IF($A1712=1,"CC00","")</f>
        <v/>
      </c>
      <c r="K1712" s="32">
        <f>IF($A1712=1,"-","")</f>
        <v/>
      </c>
      <c r="L1712" s="32">
        <f>IF($A1712=1,IF(Supplier_Payments!$H46="","دفعة مورد "&amp;Supplier_Payments!$C46,Supplier_Payments!$H46),"")</f>
        <v/>
      </c>
      <c r="M1712" s="43">
        <f>IF($A1712=1,0,"")</f>
        <v/>
      </c>
      <c r="N1712" s="43">
        <f>IF($A1712=1,Supplier_Payments!$E46,"")</f>
        <v/>
      </c>
      <c r="O1712" s="32">
        <f>IF($A1712=1,Supplier_Payments!$I46,"")</f>
        <v/>
      </c>
      <c r="P1712" s="32">
        <f>IF($A1712=1,IF(Supplier_Payments!$T46="","",Supplier_Payments!$T46),"")</f>
        <v/>
      </c>
      <c r="Q1712" s="32">
        <f>IF($A1712=1,Supplier_Payments!$V46,"")</f>
        <v/>
      </c>
      <c r="R1712" s="32">
        <f>IF($A1712=1,IF(AND($Q1712=1,COUNTIFS(COA!$A:$A,$G1712,COA!$R:$R,1)=1),1,0),"")</f>
        <v/>
      </c>
      <c r="S1712" s="43">
        <f>IF($A1712=1,IF($R1712=1,N($M1712),0),"")</f>
        <v/>
      </c>
      <c r="T1712" s="43">
        <f>IF($A1712=1,IF($R1712=1,N($N1712),0),"")</f>
        <v/>
      </c>
      <c r="U1712" s="32">
        <f>IF($A1712=1,YEAR($D1712)*100+MONTH($D1712),"")</f>
        <v/>
      </c>
      <c r="V1712" s="32">
        <f>IF($A1712=1,IF(COUNTIF(COA!$A:$A,$G1712)=0,0,INDEX(COA!$H:$H,MATCH($G1712,COA!$A:$A,0))),"")</f>
        <v/>
      </c>
      <c r="W1712" s="32">
        <f>IF($A1712=1,IF(Supplier_Payments!$R46="","",Supplier_Payments!$R46),"")</f>
        <v/>
      </c>
      <c r="X1712" s="32">
        <f>IF($A1712=1,IF($R1712=1,"",IF($O1712=ST_POST,IF($P1712&lt;&gt;"",$P1712,"حساب غير صالح أو غير نشط"),IF($O1712=ST_REV,"معكوس: لا أثر على الدفاتر",IF($O1712=ST_CANC,"ملغى",IF($O1712=ST_APPR,"معتمد ولم يُرحَّل","مسودة"))))),"")</f>
        <v/>
      </c>
      <c r="Y1712" s="32">
        <f>IF($A1712=1,IF(AND($R1712=1,OR(LG_Acct="",$G1712=LG_Acct),OR(LG_Party="",$K1712=LG_Party),OR(LG_Loc="ALL",$I1712=LG_Loc),OR(LG_CC="ALL",$J1712=LG_CC),$D1712&gt;=LG_From,$D1712&lt;=LG_To),$D1712+ROW()/1000000,""),"")</f>
        <v/>
      </c>
      <c r="Z1712" s="32">
        <f>IF($A1712=1,IF(Supplier_Payments!$J46="","",Supplier_Payments!$J46),"")</f>
        <v/>
      </c>
      <c r="AA1712" s="32">
        <f>IF($A1712=1,IF(Supplier_Payments!$K46="","",Supplier_Payments!$K46),"")</f>
        <v/>
      </c>
      <c r="AB1712" s="32">
        <f>IF($A1712=1,IF(Supplier_Payments!$L46="","",Supplier_Payments!$L46),"")</f>
        <v/>
      </c>
      <c r="AC1712" s="32">
        <f>IF($A1712=1,IF(Supplier_Payments!$M46="","",Supplier_Payments!$M46),"")</f>
        <v/>
      </c>
      <c r="AD1712" s="32">
        <f>IF($A1712=1,IF(Supplier_Payments!$N46="","",Supplier_Payments!$N46),"")</f>
        <v/>
      </c>
      <c r="AE1712" s="32">
        <f>IF($A1712=1,0,"")</f>
        <v/>
      </c>
      <c r="AF1712" s="32" t="inlineStr"/>
    </row>
    <row r="1713">
      <c r="A1713" s="32">
        <f>IF(AND(Supplier_Payments!$S47=1,N(Supplier_Payments!$E47)&gt;0),1,0)</f>
        <v/>
      </c>
      <c r="B1713" s="32">
        <f>IF($A1713=1,$E1713&amp;"/1","")</f>
        <v/>
      </c>
      <c r="C1713" s="32">
        <f>IF($A1713=1,"J-"&amp;Supplier_Payments!$A47,"")</f>
        <v/>
      </c>
      <c r="D1713" s="33">
        <f>IF($A1713=1,Supplier_Payments!$B47,"")</f>
        <v/>
      </c>
      <c r="E1713" s="32">
        <f>IF($A1713=1,IF(Supplier_Payments!$A47="","",Supplier_Payments!$A47),"")</f>
        <v/>
      </c>
      <c r="F1713" s="32">
        <f>IF($A1713=1,"SPAY","")</f>
        <v/>
      </c>
      <c r="G1713" s="32">
        <f>IF($A1713=1,ACC_SUPPLIERS,"")</f>
        <v/>
      </c>
      <c r="H1713" s="32">
        <f>IF($A1713=1,IF(COUNTIF(COA!$A:$A,$G1713)=0,"حساب غير معرف",INDEX(COA!$B:$B,MATCH($G1713,COA!$A:$A,0))),"")</f>
        <v/>
      </c>
      <c r="I1713" s="32">
        <f>IF($A1713=1,IF(Supplier_Payments!$Q47="","",Supplier_Payments!$Q47),"")</f>
        <v/>
      </c>
      <c r="J1713" s="32">
        <f>IF($A1713=1,"CC00","")</f>
        <v/>
      </c>
      <c r="K1713" s="32">
        <f>IF($A1713=1,IF(Supplier_Payments!$C47="","",Supplier_Payments!$C47),"")</f>
        <v/>
      </c>
      <c r="L1713" s="32">
        <f>IF($A1713=1,IF(Supplier_Payments!$H47="","دفعة مورد "&amp;Supplier_Payments!$C47,Supplier_Payments!$H47),"")</f>
        <v/>
      </c>
      <c r="M1713" s="43">
        <f>IF($A1713=1,Supplier_Payments!$E47,"")</f>
        <v/>
      </c>
      <c r="N1713" s="43">
        <f>IF($A1713=1,0,"")</f>
        <v/>
      </c>
      <c r="O1713" s="32">
        <f>IF($A1713=1,Supplier_Payments!$I47,"")</f>
        <v/>
      </c>
      <c r="P1713" s="32">
        <f>IF($A1713=1,IF(Supplier_Payments!$T47="","",Supplier_Payments!$T47),"")</f>
        <v/>
      </c>
      <c r="Q1713" s="32">
        <f>IF($A1713=1,Supplier_Payments!$V47,"")</f>
        <v/>
      </c>
      <c r="R1713" s="32">
        <f>IF($A1713=1,IF(AND($Q1713=1,COUNTIFS(COA!$A:$A,$G1713,COA!$R:$R,1)=1),1,0),"")</f>
        <v/>
      </c>
      <c r="S1713" s="43">
        <f>IF($A1713=1,IF($R1713=1,N($M1713),0),"")</f>
        <v/>
      </c>
      <c r="T1713" s="43">
        <f>IF($A1713=1,IF($R1713=1,N($N1713),0),"")</f>
        <v/>
      </c>
      <c r="U1713" s="32">
        <f>IF($A1713=1,YEAR($D1713)*100+MONTH($D1713),"")</f>
        <v/>
      </c>
      <c r="V1713" s="32">
        <f>IF($A1713=1,IF(COUNTIF(COA!$A:$A,$G1713)=0,0,INDEX(COA!$H:$H,MATCH($G1713,COA!$A:$A,0))),"")</f>
        <v/>
      </c>
      <c r="W1713" s="32">
        <f>IF($A1713=1,"","")</f>
        <v/>
      </c>
      <c r="X1713" s="32">
        <f>IF($A1713=1,IF($R1713=1,"",IF($O1713=ST_POST,IF($P1713&lt;&gt;"",$P1713,"حساب غير صالح أو غير نشط"),IF($O1713=ST_REV,"معكوس: لا أثر على الدفاتر",IF($O1713=ST_CANC,"ملغى",IF($O1713=ST_APPR,"معتمد ولم يُرحَّل","مسودة"))))),"")</f>
        <v/>
      </c>
      <c r="Y1713" s="32">
        <f>IF($A1713=1,IF(AND($R1713=1,OR(LG_Acct="",$G1713=LG_Acct),OR(LG_Party="",$K1713=LG_Party),OR(LG_Loc="ALL",$I1713=LG_Loc),OR(LG_CC="ALL",$J1713=LG_CC),$D1713&gt;=LG_From,$D1713&lt;=LG_To),$D1713+ROW()/1000000,""),"")</f>
        <v/>
      </c>
      <c r="Z1713" s="32">
        <f>IF($A1713=1,IF(Supplier_Payments!$J47="","",Supplier_Payments!$J47),"")</f>
        <v/>
      </c>
      <c r="AA1713" s="32">
        <f>IF($A1713=1,IF(Supplier_Payments!$K47="","",Supplier_Payments!$K47),"")</f>
        <v/>
      </c>
      <c r="AB1713" s="32">
        <f>IF($A1713=1,IF(Supplier_Payments!$L47="","",Supplier_Payments!$L47),"")</f>
        <v/>
      </c>
      <c r="AC1713" s="32">
        <f>IF($A1713=1,IF(Supplier_Payments!$M47="","",Supplier_Payments!$M47),"")</f>
        <v/>
      </c>
      <c r="AD1713" s="32">
        <f>IF($A1713=1,IF(Supplier_Payments!$N47="","",Supplier_Payments!$N47),"")</f>
        <v/>
      </c>
      <c r="AE1713" s="32">
        <f>IF($A1713=1,0,"")</f>
        <v/>
      </c>
      <c r="AF1713" s="32" t="inlineStr"/>
    </row>
    <row r="1714">
      <c r="A1714" s="32">
        <f>IF(AND(Supplier_Payments!$S47=1,N(Supplier_Payments!$E47)&gt;0),1,0)</f>
        <v/>
      </c>
      <c r="B1714" s="32">
        <f>IF($A1714=1,$E1714&amp;"/2","")</f>
        <v/>
      </c>
      <c r="C1714" s="32">
        <f>IF($A1714=1,"J-"&amp;Supplier_Payments!$A47,"")</f>
        <v/>
      </c>
      <c r="D1714" s="33">
        <f>IF($A1714=1,Supplier_Payments!$B47,"")</f>
        <v/>
      </c>
      <c r="E1714" s="32">
        <f>IF($A1714=1,IF(Supplier_Payments!$A47="","",Supplier_Payments!$A47),"")</f>
        <v/>
      </c>
      <c r="F1714" s="32">
        <f>IF($A1714=1,"SPAY","")</f>
        <v/>
      </c>
      <c r="G1714" s="32">
        <f>IF($A1714=1,IF(Supplier_Payments!$P47="","",Supplier_Payments!$P47),"")</f>
        <v/>
      </c>
      <c r="H1714" s="32">
        <f>IF($A1714=1,IF(COUNTIF(COA!$A:$A,$G1714)=0,"حساب غير معرف",INDEX(COA!$B:$B,MATCH($G1714,COA!$A:$A,0))),"")</f>
        <v/>
      </c>
      <c r="I1714" s="32">
        <f>IF($A1714=1,IF(Supplier_Payments!$Q47="","",Supplier_Payments!$Q47),"")</f>
        <v/>
      </c>
      <c r="J1714" s="32">
        <f>IF($A1714=1,"CC00","")</f>
        <v/>
      </c>
      <c r="K1714" s="32">
        <f>IF($A1714=1,"-","")</f>
        <v/>
      </c>
      <c r="L1714" s="32">
        <f>IF($A1714=1,IF(Supplier_Payments!$H47="","دفعة مورد "&amp;Supplier_Payments!$C47,Supplier_Payments!$H47),"")</f>
        <v/>
      </c>
      <c r="M1714" s="43">
        <f>IF($A1714=1,0,"")</f>
        <v/>
      </c>
      <c r="N1714" s="43">
        <f>IF($A1714=1,Supplier_Payments!$E47,"")</f>
        <v/>
      </c>
      <c r="O1714" s="32">
        <f>IF($A1714=1,Supplier_Payments!$I47,"")</f>
        <v/>
      </c>
      <c r="P1714" s="32">
        <f>IF($A1714=1,IF(Supplier_Payments!$T47="","",Supplier_Payments!$T47),"")</f>
        <v/>
      </c>
      <c r="Q1714" s="32">
        <f>IF($A1714=1,Supplier_Payments!$V47,"")</f>
        <v/>
      </c>
      <c r="R1714" s="32">
        <f>IF($A1714=1,IF(AND($Q1714=1,COUNTIFS(COA!$A:$A,$G1714,COA!$R:$R,1)=1),1,0),"")</f>
        <v/>
      </c>
      <c r="S1714" s="43">
        <f>IF($A1714=1,IF($R1714=1,N($M1714),0),"")</f>
        <v/>
      </c>
      <c r="T1714" s="43">
        <f>IF($A1714=1,IF($R1714=1,N($N1714),0),"")</f>
        <v/>
      </c>
      <c r="U1714" s="32">
        <f>IF($A1714=1,YEAR($D1714)*100+MONTH($D1714),"")</f>
        <v/>
      </c>
      <c r="V1714" s="32">
        <f>IF($A1714=1,IF(COUNTIF(COA!$A:$A,$G1714)=0,0,INDEX(COA!$H:$H,MATCH($G1714,COA!$A:$A,0))),"")</f>
        <v/>
      </c>
      <c r="W1714" s="32">
        <f>IF($A1714=1,IF(Supplier_Payments!$R47="","",Supplier_Payments!$R47),"")</f>
        <v/>
      </c>
      <c r="X1714" s="32">
        <f>IF($A1714=1,IF($R1714=1,"",IF($O1714=ST_POST,IF($P1714&lt;&gt;"",$P1714,"حساب غير صالح أو غير نشط"),IF($O1714=ST_REV,"معكوس: لا أثر على الدفاتر",IF($O1714=ST_CANC,"ملغى",IF($O1714=ST_APPR,"معتمد ولم يُرحَّل","مسودة"))))),"")</f>
        <v/>
      </c>
      <c r="Y1714" s="32">
        <f>IF($A1714=1,IF(AND($R1714=1,OR(LG_Acct="",$G1714=LG_Acct),OR(LG_Party="",$K1714=LG_Party),OR(LG_Loc="ALL",$I1714=LG_Loc),OR(LG_CC="ALL",$J1714=LG_CC),$D1714&gt;=LG_From,$D1714&lt;=LG_To),$D1714+ROW()/1000000,""),"")</f>
        <v/>
      </c>
      <c r="Z1714" s="32">
        <f>IF($A1714=1,IF(Supplier_Payments!$J47="","",Supplier_Payments!$J47),"")</f>
        <v/>
      </c>
      <c r="AA1714" s="32">
        <f>IF($A1714=1,IF(Supplier_Payments!$K47="","",Supplier_Payments!$K47),"")</f>
        <v/>
      </c>
      <c r="AB1714" s="32">
        <f>IF($A1714=1,IF(Supplier_Payments!$L47="","",Supplier_Payments!$L47),"")</f>
        <v/>
      </c>
      <c r="AC1714" s="32">
        <f>IF($A1714=1,IF(Supplier_Payments!$M47="","",Supplier_Payments!$M47),"")</f>
        <v/>
      </c>
      <c r="AD1714" s="32">
        <f>IF($A1714=1,IF(Supplier_Payments!$N47="","",Supplier_Payments!$N47),"")</f>
        <v/>
      </c>
      <c r="AE1714" s="32">
        <f>IF($A1714=1,0,"")</f>
        <v/>
      </c>
      <c r="AF1714" s="32" t="inlineStr"/>
    </row>
    <row r="1715">
      <c r="A1715" s="32">
        <f>IF(AND(Supplier_Payments!$S48=1,N(Supplier_Payments!$E48)&gt;0),1,0)</f>
        <v/>
      </c>
      <c r="B1715" s="32">
        <f>IF($A1715=1,$E1715&amp;"/1","")</f>
        <v/>
      </c>
      <c r="C1715" s="32">
        <f>IF($A1715=1,"J-"&amp;Supplier_Payments!$A48,"")</f>
        <v/>
      </c>
      <c r="D1715" s="33">
        <f>IF($A1715=1,Supplier_Payments!$B48,"")</f>
        <v/>
      </c>
      <c r="E1715" s="32">
        <f>IF($A1715=1,IF(Supplier_Payments!$A48="","",Supplier_Payments!$A48),"")</f>
        <v/>
      </c>
      <c r="F1715" s="32">
        <f>IF($A1715=1,"SPAY","")</f>
        <v/>
      </c>
      <c r="G1715" s="32">
        <f>IF($A1715=1,ACC_SUPPLIERS,"")</f>
        <v/>
      </c>
      <c r="H1715" s="32">
        <f>IF($A1715=1,IF(COUNTIF(COA!$A:$A,$G1715)=0,"حساب غير معرف",INDEX(COA!$B:$B,MATCH($G1715,COA!$A:$A,0))),"")</f>
        <v/>
      </c>
      <c r="I1715" s="32">
        <f>IF($A1715=1,IF(Supplier_Payments!$Q48="","",Supplier_Payments!$Q48),"")</f>
        <v/>
      </c>
      <c r="J1715" s="32">
        <f>IF($A1715=1,"CC00","")</f>
        <v/>
      </c>
      <c r="K1715" s="32">
        <f>IF($A1715=1,IF(Supplier_Payments!$C48="","",Supplier_Payments!$C48),"")</f>
        <v/>
      </c>
      <c r="L1715" s="32">
        <f>IF($A1715=1,IF(Supplier_Payments!$H48="","دفعة مورد "&amp;Supplier_Payments!$C48,Supplier_Payments!$H48),"")</f>
        <v/>
      </c>
      <c r="M1715" s="43">
        <f>IF($A1715=1,Supplier_Payments!$E48,"")</f>
        <v/>
      </c>
      <c r="N1715" s="43">
        <f>IF($A1715=1,0,"")</f>
        <v/>
      </c>
      <c r="O1715" s="32">
        <f>IF($A1715=1,Supplier_Payments!$I48,"")</f>
        <v/>
      </c>
      <c r="P1715" s="32">
        <f>IF($A1715=1,IF(Supplier_Payments!$T48="","",Supplier_Payments!$T48),"")</f>
        <v/>
      </c>
      <c r="Q1715" s="32">
        <f>IF($A1715=1,Supplier_Payments!$V48,"")</f>
        <v/>
      </c>
      <c r="R1715" s="32">
        <f>IF($A1715=1,IF(AND($Q1715=1,COUNTIFS(COA!$A:$A,$G1715,COA!$R:$R,1)=1),1,0),"")</f>
        <v/>
      </c>
      <c r="S1715" s="43">
        <f>IF($A1715=1,IF($R1715=1,N($M1715),0),"")</f>
        <v/>
      </c>
      <c r="T1715" s="43">
        <f>IF($A1715=1,IF($R1715=1,N($N1715),0),"")</f>
        <v/>
      </c>
      <c r="U1715" s="32">
        <f>IF($A1715=1,YEAR($D1715)*100+MONTH($D1715),"")</f>
        <v/>
      </c>
      <c r="V1715" s="32">
        <f>IF($A1715=1,IF(COUNTIF(COA!$A:$A,$G1715)=0,0,INDEX(COA!$H:$H,MATCH($G1715,COA!$A:$A,0))),"")</f>
        <v/>
      </c>
      <c r="W1715" s="32">
        <f>IF($A1715=1,"","")</f>
        <v/>
      </c>
      <c r="X1715" s="32">
        <f>IF($A1715=1,IF($R1715=1,"",IF($O1715=ST_POST,IF($P1715&lt;&gt;"",$P1715,"حساب غير صالح أو غير نشط"),IF($O1715=ST_REV,"معكوس: لا أثر على الدفاتر",IF($O1715=ST_CANC,"ملغى",IF($O1715=ST_APPR,"معتمد ولم يُرحَّل","مسودة"))))),"")</f>
        <v/>
      </c>
      <c r="Y1715" s="32">
        <f>IF($A1715=1,IF(AND($R1715=1,OR(LG_Acct="",$G1715=LG_Acct),OR(LG_Party="",$K1715=LG_Party),OR(LG_Loc="ALL",$I1715=LG_Loc),OR(LG_CC="ALL",$J1715=LG_CC),$D1715&gt;=LG_From,$D1715&lt;=LG_To),$D1715+ROW()/1000000,""),"")</f>
        <v/>
      </c>
      <c r="Z1715" s="32">
        <f>IF($A1715=1,IF(Supplier_Payments!$J48="","",Supplier_Payments!$J48),"")</f>
        <v/>
      </c>
      <c r="AA1715" s="32">
        <f>IF($A1715=1,IF(Supplier_Payments!$K48="","",Supplier_Payments!$K48),"")</f>
        <v/>
      </c>
      <c r="AB1715" s="32">
        <f>IF($A1715=1,IF(Supplier_Payments!$L48="","",Supplier_Payments!$L48),"")</f>
        <v/>
      </c>
      <c r="AC1715" s="32">
        <f>IF($A1715=1,IF(Supplier_Payments!$M48="","",Supplier_Payments!$M48),"")</f>
        <v/>
      </c>
      <c r="AD1715" s="32">
        <f>IF($A1715=1,IF(Supplier_Payments!$N48="","",Supplier_Payments!$N48),"")</f>
        <v/>
      </c>
      <c r="AE1715" s="32">
        <f>IF($A1715=1,0,"")</f>
        <v/>
      </c>
      <c r="AF1715" s="32" t="inlineStr"/>
    </row>
    <row r="1716">
      <c r="A1716" s="32">
        <f>IF(AND(Supplier_Payments!$S48=1,N(Supplier_Payments!$E48)&gt;0),1,0)</f>
        <v/>
      </c>
      <c r="B1716" s="32">
        <f>IF($A1716=1,$E1716&amp;"/2","")</f>
        <v/>
      </c>
      <c r="C1716" s="32">
        <f>IF($A1716=1,"J-"&amp;Supplier_Payments!$A48,"")</f>
        <v/>
      </c>
      <c r="D1716" s="33">
        <f>IF($A1716=1,Supplier_Payments!$B48,"")</f>
        <v/>
      </c>
      <c r="E1716" s="32">
        <f>IF($A1716=1,IF(Supplier_Payments!$A48="","",Supplier_Payments!$A48),"")</f>
        <v/>
      </c>
      <c r="F1716" s="32">
        <f>IF($A1716=1,"SPAY","")</f>
        <v/>
      </c>
      <c r="G1716" s="32">
        <f>IF($A1716=1,IF(Supplier_Payments!$P48="","",Supplier_Payments!$P48),"")</f>
        <v/>
      </c>
      <c r="H1716" s="32">
        <f>IF($A1716=1,IF(COUNTIF(COA!$A:$A,$G1716)=0,"حساب غير معرف",INDEX(COA!$B:$B,MATCH($G1716,COA!$A:$A,0))),"")</f>
        <v/>
      </c>
      <c r="I1716" s="32">
        <f>IF($A1716=1,IF(Supplier_Payments!$Q48="","",Supplier_Payments!$Q48),"")</f>
        <v/>
      </c>
      <c r="J1716" s="32">
        <f>IF($A1716=1,"CC00","")</f>
        <v/>
      </c>
      <c r="K1716" s="32">
        <f>IF($A1716=1,"-","")</f>
        <v/>
      </c>
      <c r="L1716" s="32">
        <f>IF($A1716=1,IF(Supplier_Payments!$H48="","دفعة مورد "&amp;Supplier_Payments!$C48,Supplier_Payments!$H48),"")</f>
        <v/>
      </c>
      <c r="M1716" s="43">
        <f>IF($A1716=1,0,"")</f>
        <v/>
      </c>
      <c r="N1716" s="43">
        <f>IF($A1716=1,Supplier_Payments!$E48,"")</f>
        <v/>
      </c>
      <c r="O1716" s="32">
        <f>IF($A1716=1,Supplier_Payments!$I48,"")</f>
        <v/>
      </c>
      <c r="P1716" s="32">
        <f>IF($A1716=1,IF(Supplier_Payments!$T48="","",Supplier_Payments!$T48),"")</f>
        <v/>
      </c>
      <c r="Q1716" s="32">
        <f>IF($A1716=1,Supplier_Payments!$V48,"")</f>
        <v/>
      </c>
      <c r="R1716" s="32">
        <f>IF($A1716=1,IF(AND($Q1716=1,COUNTIFS(COA!$A:$A,$G1716,COA!$R:$R,1)=1),1,0),"")</f>
        <v/>
      </c>
      <c r="S1716" s="43">
        <f>IF($A1716=1,IF($R1716=1,N($M1716),0),"")</f>
        <v/>
      </c>
      <c r="T1716" s="43">
        <f>IF($A1716=1,IF($R1716=1,N($N1716),0),"")</f>
        <v/>
      </c>
      <c r="U1716" s="32">
        <f>IF($A1716=1,YEAR($D1716)*100+MONTH($D1716),"")</f>
        <v/>
      </c>
      <c r="V1716" s="32">
        <f>IF($A1716=1,IF(COUNTIF(COA!$A:$A,$G1716)=0,0,INDEX(COA!$H:$H,MATCH($G1716,COA!$A:$A,0))),"")</f>
        <v/>
      </c>
      <c r="W1716" s="32">
        <f>IF($A1716=1,IF(Supplier_Payments!$R48="","",Supplier_Payments!$R48),"")</f>
        <v/>
      </c>
      <c r="X1716" s="32">
        <f>IF($A1716=1,IF($R1716=1,"",IF($O1716=ST_POST,IF($P1716&lt;&gt;"",$P1716,"حساب غير صالح أو غير نشط"),IF($O1716=ST_REV,"معكوس: لا أثر على الدفاتر",IF($O1716=ST_CANC,"ملغى",IF($O1716=ST_APPR,"معتمد ولم يُرحَّل","مسودة"))))),"")</f>
        <v/>
      </c>
      <c r="Y1716" s="32">
        <f>IF($A1716=1,IF(AND($R1716=1,OR(LG_Acct="",$G1716=LG_Acct),OR(LG_Party="",$K1716=LG_Party),OR(LG_Loc="ALL",$I1716=LG_Loc),OR(LG_CC="ALL",$J1716=LG_CC),$D1716&gt;=LG_From,$D1716&lt;=LG_To),$D1716+ROW()/1000000,""),"")</f>
        <v/>
      </c>
      <c r="Z1716" s="32">
        <f>IF($A1716=1,IF(Supplier_Payments!$J48="","",Supplier_Payments!$J48),"")</f>
        <v/>
      </c>
      <c r="AA1716" s="32">
        <f>IF($A1716=1,IF(Supplier_Payments!$K48="","",Supplier_Payments!$K48),"")</f>
        <v/>
      </c>
      <c r="AB1716" s="32">
        <f>IF($A1716=1,IF(Supplier_Payments!$L48="","",Supplier_Payments!$L48),"")</f>
        <v/>
      </c>
      <c r="AC1716" s="32">
        <f>IF($A1716=1,IF(Supplier_Payments!$M48="","",Supplier_Payments!$M48),"")</f>
        <v/>
      </c>
      <c r="AD1716" s="32">
        <f>IF($A1716=1,IF(Supplier_Payments!$N48="","",Supplier_Payments!$N48),"")</f>
        <v/>
      </c>
      <c r="AE1716" s="32">
        <f>IF($A1716=1,0,"")</f>
        <v/>
      </c>
      <c r="AF1716" s="32" t="inlineStr"/>
    </row>
    <row r="1717">
      <c r="A1717" s="32">
        <f>IF(AND(Supplier_Payments!$S49=1,N(Supplier_Payments!$E49)&gt;0),1,0)</f>
        <v/>
      </c>
      <c r="B1717" s="32">
        <f>IF($A1717=1,$E1717&amp;"/1","")</f>
        <v/>
      </c>
      <c r="C1717" s="32">
        <f>IF($A1717=1,"J-"&amp;Supplier_Payments!$A49,"")</f>
        <v/>
      </c>
      <c r="D1717" s="33">
        <f>IF($A1717=1,Supplier_Payments!$B49,"")</f>
        <v/>
      </c>
      <c r="E1717" s="32">
        <f>IF($A1717=1,IF(Supplier_Payments!$A49="","",Supplier_Payments!$A49),"")</f>
        <v/>
      </c>
      <c r="F1717" s="32">
        <f>IF($A1717=1,"SPAY","")</f>
        <v/>
      </c>
      <c r="G1717" s="32">
        <f>IF($A1717=1,ACC_SUPPLIERS,"")</f>
        <v/>
      </c>
      <c r="H1717" s="32">
        <f>IF($A1717=1,IF(COUNTIF(COA!$A:$A,$G1717)=0,"حساب غير معرف",INDEX(COA!$B:$B,MATCH($G1717,COA!$A:$A,0))),"")</f>
        <v/>
      </c>
      <c r="I1717" s="32">
        <f>IF($A1717=1,IF(Supplier_Payments!$Q49="","",Supplier_Payments!$Q49),"")</f>
        <v/>
      </c>
      <c r="J1717" s="32">
        <f>IF($A1717=1,"CC00","")</f>
        <v/>
      </c>
      <c r="K1717" s="32">
        <f>IF($A1717=1,IF(Supplier_Payments!$C49="","",Supplier_Payments!$C49),"")</f>
        <v/>
      </c>
      <c r="L1717" s="32">
        <f>IF($A1717=1,IF(Supplier_Payments!$H49="","دفعة مورد "&amp;Supplier_Payments!$C49,Supplier_Payments!$H49),"")</f>
        <v/>
      </c>
      <c r="M1717" s="43">
        <f>IF($A1717=1,Supplier_Payments!$E49,"")</f>
        <v/>
      </c>
      <c r="N1717" s="43">
        <f>IF($A1717=1,0,"")</f>
        <v/>
      </c>
      <c r="O1717" s="32">
        <f>IF($A1717=1,Supplier_Payments!$I49,"")</f>
        <v/>
      </c>
      <c r="P1717" s="32">
        <f>IF($A1717=1,IF(Supplier_Payments!$T49="","",Supplier_Payments!$T49),"")</f>
        <v/>
      </c>
      <c r="Q1717" s="32">
        <f>IF($A1717=1,Supplier_Payments!$V49,"")</f>
        <v/>
      </c>
      <c r="R1717" s="32">
        <f>IF($A1717=1,IF(AND($Q1717=1,COUNTIFS(COA!$A:$A,$G1717,COA!$R:$R,1)=1),1,0),"")</f>
        <v/>
      </c>
      <c r="S1717" s="43">
        <f>IF($A1717=1,IF($R1717=1,N($M1717),0),"")</f>
        <v/>
      </c>
      <c r="T1717" s="43">
        <f>IF($A1717=1,IF($R1717=1,N($N1717),0),"")</f>
        <v/>
      </c>
      <c r="U1717" s="32">
        <f>IF($A1717=1,YEAR($D1717)*100+MONTH($D1717),"")</f>
        <v/>
      </c>
      <c r="V1717" s="32">
        <f>IF($A1717=1,IF(COUNTIF(COA!$A:$A,$G1717)=0,0,INDEX(COA!$H:$H,MATCH($G1717,COA!$A:$A,0))),"")</f>
        <v/>
      </c>
      <c r="W1717" s="32">
        <f>IF($A1717=1,"","")</f>
        <v/>
      </c>
      <c r="X1717" s="32">
        <f>IF($A1717=1,IF($R1717=1,"",IF($O1717=ST_POST,IF($P1717&lt;&gt;"",$P1717,"حساب غير صالح أو غير نشط"),IF($O1717=ST_REV,"معكوس: لا أثر على الدفاتر",IF($O1717=ST_CANC,"ملغى",IF($O1717=ST_APPR,"معتمد ولم يُرحَّل","مسودة"))))),"")</f>
        <v/>
      </c>
      <c r="Y1717" s="32">
        <f>IF($A1717=1,IF(AND($R1717=1,OR(LG_Acct="",$G1717=LG_Acct),OR(LG_Party="",$K1717=LG_Party),OR(LG_Loc="ALL",$I1717=LG_Loc),OR(LG_CC="ALL",$J1717=LG_CC),$D1717&gt;=LG_From,$D1717&lt;=LG_To),$D1717+ROW()/1000000,""),"")</f>
        <v/>
      </c>
      <c r="Z1717" s="32">
        <f>IF($A1717=1,IF(Supplier_Payments!$J49="","",Supplier_Payments!$J49),"")</f>
        <v/>
      </c>
      <c r="AA1717" s="32">
        <f>IF($A1717=1,IF(Supplier_Payments!$K49="","",Supplier_Payments!$K49),"")</f>
        <v/>
      </c>
      <c r="AB1717" s="32">
        <f>IF($A1717=1,IF(Supplier_Payments!$L49="","",Supplier_Payments!$L49),"")</f>
        <v/>
      </c>
      <c r="AC1717" s="32">
        <f>IF($A1717=1,IF(Supplier_Payments!$M49="","",Supplier_Payments!$M49),"")</f>
        <v/>
      </c>
      <c r="AD1717" s="32">
        <f>IF($A1717=1,IF(Supplier_Payments!$N49="","",Supplier_Payments!$N49),"")</f>
        <v/>
      </c>
      <c r="AE1717" s="32">
        <f>IF($A1717=1,0,"")</f>
        <v/>
      </c>
      <c r="AF1717" s="32" t="inlineStr"/>
    </row>
    <row r="1718">
      <c r="A1718" s="32">
        <f>IF(AND(Supplier_Payments!$S49=1,N(Supplier_Payments!$E49)&gt;0),1,0)</f>
        <v/>
      </c>
      <c r="B1718" s="32">
        <f>IF($A1718=1,$E1718&amp;"/2","")</f>
        <v/>
      </c>
      <c r="C1718" s="32">
        <f>IF($A1718=1,"J-"&amp;Supplier_Payments!$A49,"")</f>
        <v/>
      </c>
      <c r="D1718" s="33">
        <f>IF($A1718=1,Supplier_Payments!$B49,"")</f>
        <v/>
      </c>
      <c r="E1718" s="32">
        <f>IF($A1718=1,IF(Supplier_Payments!$A49="","",Supplier_Payments!$A49),"")</f>
        <v/>
      </c>
      <c r="F1718" s="32">
        <f>IF($A1718=1,"SPAY","")</f>
        <v/>
      </c>
      <c r="G1718" s="32">
        <f>IF($A1718=1,IF(Supplier_Payments!$P49="","",Supplier_Payments!$P49),"")</f>
        <v/>
      </c>
      <c r="H1718" s="32">
        <f>IF($A1718=1,IF(COUNTIF(COA!$A:$A,$G1718)=0,"حساب غير معرف",INDEX(COA!$B:$B,MATCH($G1718,COA!$A:$A,0))),"")</f>
        <v/>
      </c>
      <c r="I1718" s="32">
        <f>IF($A1718=1,IF(Supplier_Payments!$Q49="","",Supplier_Payments!$Q49),"")</f>
        <v/>
      </c>
      <c r="J1718" s="32">
        <f>IF($A1718=1,"CC00","")</f>
        <v/>
      </c>
      <c r="K1718" s="32">
        <f>IF($A1718=1,"-","")</f>
        <v/>
      </c>
      <c r="L1718" s="32">
        <f>IF($A1718=1,IF(Supplier_Payments!$H49="","دفعة مورد "&amp;Supplier_Payments!$C49,Supplier_Payments!$H49),"")</f>
        <v/>
      </c>
      <c r="M1718" s="43">
        <f>IF($A1718=1,0,"")</f>
        <v/>
      </c>
      <c r="N1718" s="43">
        <f>IF($A1718=1,Supplier_Payments!$E49,"")</f>
        <v/>
      </c>
      <c r="O1718" s="32">
        <f>IF($A1718=1,Supplier_Payments!$I49,"")</f>
        <v/>
      </c>
      <c r="P1718" s="32">
        <f>IF($A1718=1,IF(Supplier_Payments!$T49="","",Supplier_Payments!$T49),"")</f>
        <v/>
      </c>
      <c r="Q1718" s="32">
        <f>IF($A1718=1,Supplier_Payments!$V49,"")</f>
        <v/>
      </c>
      <c r="R1718" s="32">
        <f>IF($A1718=1,IF(AND($Q1718=1,COUNTIFS(COA!$A:$A,$G1718,COA!$R:$R,1)=1),1,0),"")</f>
        <v/>
      </c>
      <c r="S1718" s="43">
        <f>IF($A1718=1,IF($R1718=1,N($M1718),0),"")</f>
        <v/>
      </c>
      <c r="T1718" s="43">
        <f>IF($A1718=1,IF($R1718=1,N($N1718),0),"")</f>
        <v/>
      </c>
      <c r="U1718" s="32">
        <f>IF($A1718=1,YEAR($D1718)*100+MONTH($D1718),"")</f>
        <v/>
      </c>
      <c r="V1718" s="32">
        <f>IF($A1718=1,IF(COUNTIF(COA!$A:$A,$G1718)=0,0,INDEX(COA!$H:$H,MATCH($G1718,COA!$A:$A,0))),"")</f>
        <v/>
      </c>
      <c r="W1718" s="32">
        <f>IF($A1718=1,IF(Supplier_Payments!$R49="","",Supplier_Payments!$R49),"")</f>
        <v/>
      </c>
      <c r="X1718" s="32">
        <f>IF($A1718=1,IF($R1718=1,"",IF($O1718=ST_POST,IF($P1718&lt;&gt;"",$P1718,"حساب غير صالح أو غير نشط"),IF($O1718=ST_REV,"معكوس: لا أثر على الدفاتر",IF($O1718=ST_CANC,"ملغى",IF($O1718=ST_APPR,"معتمد ولم يُرحَّل","مسودة"))))),"")</f>
        <v/>
      </c>
      <c r="Y1718" s="32">
        <f>IF($A1718=1,IF(AND($R1718=1,OR(LG_Acct="",$G1718=LG_Acct),OR(LG_Party="",$K1718=LG_Party),OR(LG_Loc="ALL",$I1718=LG_Loc),OR(LG_CC="ALL",$J1718=LG_CC),$D1718&gt;=LG_From,$D1718&lt;=LG_To),$D1718+ROW()/1000000,""),"")</f>
        <v/>
      </c>
      <c r="Z1718" s="32">
        <f>IF($A1718=1,IF(Supplier_Payments!$J49="","",Supplier_Payments!$J49),"")</f>
        <v/>
      </c>
      <c r="AA1718" s="32">
        <f>IF($A1718=1,IF(Supplier_Payments!$K49="","",Supplier_Payments!$K49),"")</f>
        <v/>
      </c>
      <c r="AB1718" s="32">
        <f>IF($A1718=1,IF(Supplier_Payments!$L49="","",Supplier_Payments!$L49),"")</f>
        <v/>
      </c>
      <c r="AC1718" s="32">
        <f>IF($A1718=1,IF(Supplier_Payments!$M49="","",Supplier_Payments!$M49),"")</f>
        <v/>
      </c>
      <c r="AD1718" s="32">
        <f>IF($A1718=1,IF(Supplier_Payments!$N49="","",Supplier_Payments!$N49),"")</f>
        <v/>
      </c>
      <c r="AE1718" s="32">
        <f>IF($A1718=1,0,"")</f>
        <v/>
      </c>
      <c r="AF1718" s="32" t="inlineStr"/>
    </row>
    <row r="1719">
      <c r="A1719" s="32">
        <f>IF(AND(Supplier_Payments!$S50=1,N(Supplier_Payments!$E50)&gt;0),1,0)</f>
        <v/>
      </c>
      <c r="B1719" s="32">
        <f>IF($A1719=1,$E1719&amp;"/1","")</f>
        <v/>
      </c>
      <c r="C1719" s="32">
        <f>IF($A1719=1,"J-"&amp;Supplier_Payments!$A50,"")</f>
        <v/>
      </c>
      <c r="D1719" s="33">
        <f>IF($A1719=1,Supplier_Payments!$B50,"")</f>
        <v/>
      </c>
      <c r="E1719" s="32">
        <f>IF($A1719=1,IF(Supplier_Payments!$A50="","",Supplier_Payments!$A50),"")</f>
        <v/>
      </c>
      <c r="F1719" s="32">
        <f>IF($A1719=1,"SPAY","")</f>
        <v/>
      </c>
      <c r="G1719" s="32">
        <f>IF($A1719=1,ACC_SUPPLIERS,"")</f>
        <v/>
      </c>
      <c r="H1719" s="32">
        <f>IF($A1719=1,IF(COUNTIF(COA!$A:$A,$G1719)=0,"حساب غير معرف",INDEX(COA!$B:$B,MATCH($G1719,COA!$A:$A,0))),"")</f>
        <v/>
      </c>
      <c r="I1719" s="32">
        <f>IF($A1719=1,IF(Supplier_Payments!$Q50="","",Supplier_Payments!$Q50),"")</f>
        <v/>
      </c>
      <c r="J1719" s="32">
        <f>IF($A1719=1,"CC00","")</f>
        <v/>
      </c>
      <c r="K1719" s="32">
        <f>IF($A1719=1,IF(Supplier_Payments!$C50="","",Supplier_Payments!$C50),"")</f>
        <v/>
      </c>
      <c r="L1719" s="32">
        <f>IF($A1719=1,IF(Supplier_Payments!$H50="","دفعة مورد "&amp;Supplier_Payments!$C50,Supplier_Payments!$H50),"")</f>
        <v/>
      </c>
      <c r="M1719" s="43">
        <f>IF($A1719=1,Supplier_Payments!$E50,"")</f>
        <v/>
      </c>
      <c r="N1719" s="43">
        <f>IF($A1719=1,0,"")</f>
        <v/>
      </c>
      <c r="O1719" s="32">
        <f>IF($A1719=1,Supplier_Payments!$I50,"")</f>
        <v/>
      </c>
      <c r="P1719" s="32">
        <f>IF($A1719=1,IF(Supplier_Payments!$T50="","",Supplier_Payments!$T50),"")</f>
        <v/>
      </c>
      <c r="Q1719" s="32">
        <f>IF($A1719=1,Supplier_Payments!$V50,"")</f>
        <v/>
      </c>
      <c r="R1719" s="32">
        <f>IF($A1719=1,IF(AND($Q1719=1,COUNTIFS(COA!$A:$A,$G1719,COA!$R:$R,1)=1),1,0),"")</f>
        <v/>
      </c>
      <c r="S1719" s="43">
        <f>IF($A1719=1,IF($R1719=1,N($M1719),0),"")</f>
        <v/>
      </c>
      <c r="T1719" s="43">
        <f>IF($A1719=1,IF($R1719=1,N($N1719),0),"")</f>
        <v/>
      </c>
      <c r="U1719" s="32">
        <f>IF($A1719=1,YEAR($D1719)*100+MONTH($D1719),"")</f>
        <v/>
      </c>
      <c r="V1719" s="32">
        <f>IF($A1719=1,IF(COUNTIF(COA!$A:$A,$G1719)=0,0,INDEX(COA!$H:$H,MATCH($G1719,COA!$A:$A,0))),"")</f>
        <v/>
      </c>
      <c r="W1719" s="32">
        <f>IF($A1719=1,"","")</f>
        <v/>
      </c>
      <c r="X1719" s="32">
        <f>IF($A1719=1,IF($R1719=1,"",IF($O1719=ST_POST,IF($P1719&lt;&gt;"",$P1719,"حساب غير صالح أو غير نشط"),IF($O1719=ST_REV,"معكوس: لا أثر على الدفاتر",IF($O1719=ST_CANC,"ملغى",IF($O1719=ST_APPR,"معتمد ولم يُرحَّل","مسودة"))))),"")</f>
        <v/>
      </c>
      <c r="Y1719" s="32">
        <f>IF($A1719=1,IF(AND($R1719=1,OR(LG_Acct="",$G1719=LG_Acct),OR(LG_Party="",$K1719=LG_Party),OR(LG_Loc="ALL",$I1719=LG_Loc),OR(LG_CC="ALL",$J1719=LG_CC),$D1719&gt;=LG_From,$D1719&lt;=LG_To),$D1719+ROW()/1000000,""),"")</f>
        <v/>
      </c>
      <c r="Z1719" s="32">
        <f>IF($A1719=1,IF(Supplier_Payments!$J50="","",Supplier_Payments!$J50),"")</f>
        <v/>
      </c>
      <c r="AA1719" s="32">
        <f>IF($A1719=1,IF(Supplier_Payments!$K50="","",Supplier_Payments!$K50),"")</f>
        <v/>
      </c>
      <c r="AB1719" s="32">
        <f>IF($A1719=1,IF(Supplier_Payments!$L50="","",Supplier_Payments!$L50),"")</f>
        <v/>
      </c>
      <c r="AC1719" s="32">
        <f>IF($A1719=1,IF(Supplier_Payments!$M50="","",Supplier_Payments!$M50),"")</f>
        <v/>
      </c>
      <c r="AD1719" s="32">
        <f>IF($A1719=1,IF(Supplier_Payments!$N50="","",Supplier_Payments!$N50),"")</f>
        <v/>
      </c>
      <c r="AE1719" s="32">
        <f>IF($A1719=1,0,"")</f>
        <v/>
      </c>
      <c r="AF1719" s="32" t="inlineStr"/>
    </row>
    <row r="1720">
      <c r="A1720" s="32">
        <f>IF(AND(Supplier_Payments!$S50=1,N(Supplier_Payments!$E50)&gt;0),1,0)</f>
        <v/>
      </c>
      <c r="B1720" s="32">
        <f>IF($A1720=1,$E1720&amp;"/2","")</f>
        <v/>
      </c>
      <c r="C1720" s="32">
        <f>IF($A1720=1,"J-"&amp;Supplier_Payments!$A50,"")</f>
        <v/>
      </c>
      <c r="D1720" s="33">
        <f>IF($A1720=1,Supplier_Payments!$B50,"")</f>
        <v/>
      </c>
      <c r="E1720" s="32">
        <f>IF($A1720=1,IF(Supplier_Payments!$A50="","",Supplier_Payments!$A50),"")</f>
        <v/>
      </c>
      <c r="F1720" s="32">
        <f>IF($A1720=1,"SPAY","")</f>
        <v/>
      </c>
      <c r="G1720" s="32">
        <f>IF($A1720=1,IF(Supplier_Payments!$P50="","",Supplier_Payments!$P50),"")</f>
        <v/>
      </c>
      <c r="H1720" s="32">
        <f>IF($A1720=1,IF(COUNTIF(COA!$A:$A,$G1720)=0,"حساب غير معرف",INDEX(COA!$B:$B,MATCH($G1720,COA!$A:$A,0))),"")</f>
        <v/>
      </c>
      <c r="I1720" s="32">
        <f>IF($A1720=1,IF(Supplier_Payments!$Q50="","",Supplier_Payments!$Q50),"")</f>
        <v/>
      </c>
      <c r="J1720" s="32">
        <f>IF($A1720=1,"CC00","")</f>
        <v/>
      </c>
      <c r="K1720" s="32">
        <f>IF($A1720=1,"-","")</f>
        <v/>
      </c>
      <c r="L1720" s="32">
        <f>IF($A1720=1,IF(Supplier_Payments!$H50="","دفعة مورد "&amp;Supplier_Payments!$C50,Supplier_Payments!$H50),"")</f>
        <v/>
      </c>
      <c r="M1720" s="43">
        <f>IF($A1720=1,0,"")</f>
        <v/>
      </c>
      <c r="N1720" s="43">
        <f>IF($A1720=1,Supplier_Payments!$E50,"")</f>
        <v/>
      </c>
      <c r="O1720" s="32">
        <f>IF($A1720=1,Supplier_Payments!$I50,"")</f>
        <v/>
      </c>
      <c r="P1720" s="32">
        <f>IF($A1720=1,IF(Supplier_Payments!$T50="","",Supplier_Payments!$T50),"")</f>
        <v/>
      </c>
      <c r="Q1720" s="32">
        <f>IF($A1720=1,Supplier_Payments!$V50,"")</f>
        <v/>
      </c>
      <c r="R1720" s="32">
        <f>IF($A1720=1,IF(AND($Q1720=1,COUNTIFS(COA!$A:$A,$G1720,COA!$R:$R,1)=1),1,0),"")</f>
        <v/>
      </c>
      <c r="S1720" s="43">
        <f>IF($A1720=1,IF($R1720=1,N($M1720),0),"")</f>
        <v/>
      </c>
      <c r="T1720" s="43">
        <f>IF($A1720=1,IF($R1720=1,N($N1720),0),"")</f>
        <v/>
      </c>
      <c r="U1720" s="32">
        <f>IF($A1720=1,YEAR($D1720)*100+MONTH($D1720),"")</f>
        <v/>
      </c>
      <c r="V1720" s="32">
        <f>IF($A1720=1,IF(COUNTIF(COA!$A:$A,$G1720)=0,0,INDEX(COA!$H:$H,MATCH($G1720,COA!$A:$A,0))),"")</f>
        <v/>
      </c>
      <c r="W1720" s="32">
        <f>IF($A1720=1,IF(Supplier_Payments!$R50="","",Supplier_Payments!$R50),"")</f>
        <v/>
      </c>
      <c r="X1720" s="32">
        <f>IF($A1720=1,IF($R1720=1,"",IF($O1720=ST_POST,IF($P1720&lt;&gt;"",$P1720,"حساب غير صالح أو غير نشط"),IF($O1720=ST_REV,"معكوس: لا أثر على الدفاتر",IF($O1720=ST_CANC,"ملغى",IF($O1720=ST_APPR,"معتمد ولم يُرحَّل","مسودة"))))),"")</f>
        <v/>
      </c>
      <c r="Y1720" s="32">
        <f>IF($A1720=1,IF(AND($R1720=1,OR(LG_Acct="",$G1720=LG_Acct),OR(LG_Party="",$K1720=LG_Party),OR(LG_Loc="ALL",$I1720=LG_Loc),OR(LG_CC="ALL",$J1720=LG_CC),$D1720&gt;=LG_From,$D1720&lt;=LG_To),$D1720+ROW()/1000000,""),"")</f>
        <v/>
      </c>
      <c r="Z1720" s="32">
        <f>IF($A1720=1,IF(Supplier_Payments!$J50="","",Supplier_Payments!$J50),"")</f>
        <v/>
      </c>
      <c r="AA1720" s="32">
        <f>IF($A1720=1,IF(Supplier_Payments!$K50="","",Supplier_Payments!$K50),"")</f>
        <v/>
      </c>
      <c r="AB1720" s="32">
        <f>IF($A1720=1,IF(Supplier_Payments!$L50="","",Supplier_Payments!$L50),"")</f>
        <v/>
      </c>
      <c r="AC1720" s="32">
        <f>IF($A1720=1,IF(Supplier_Payments!$M50="","",Supplier_Payments!$M50),"")</f>
        <v/>
      </c>
      <c r="AD1720" s="32">
        <f>IF($A1720=1,IF(Supplier_Payments!$N50="","",Supplier_Payments!$N50),"")</f>
        <v/>
      </c>
      <c r="AE1720" s="32">
        <f>IF($A1720=1,0,"")</f>
        <v/>
      </c>
      <c r="AF1720" s="32" t="inlineStr"/>
    </row>
    <row r="1721">
      <c r="A1721" s="32">
        <f>IF(AND(Supplier_Payments!$S51=1,N(Supplier_Payments!$E51)&gt;0),1,0)</f>
        <v/>
      </c>
      <c r="B1721" s="32">
        <f>IF($A1721=1,$E1721&amp;"/1","")</f>
        <v/>
      </c>
      <c r="C1721" s="32">
        <f>IF($A1721=1,"J-"&amp;Supplier_Payments!$A51,"")</f>
        <v/>
      </c>
      <c r="D1721" s="33">
        <f>IF($A1721=1,Supplier_Payments!$B51,"")</f>
        <v/>
      </c>
      <c r="E1721" s="32">
        <f>IF($A1721=1,IF(Supplier_Payments!$A51="","",Supplier_Payments!$A51),"")</f>
        <v/>
      </c>
      <c r="F1721" s="32">
        <f>IF($A1721=1,"SPAY","")</f>
        <v/>
      </c>
      <c r="G1721" s="32">
        <f>IF($A1721=1,ACC_SUPPLIERS,"")</f>
        <v/>
      </c>
      <c r="H1721" s="32">
        <f>IF($A1721=1,IF(COUNTIF(COA!$A:$A,$G1721)=0,"حساب غير معرف",INDEX(COA!$B:$B,MATCH($G1721,COA!$A:$A,0))),"")</f>
        <v/>
      </c>
      <c r="I1721" s="32">
        <f>IF($A1721=1,IF(Supplier_Payments!$Q51="","",Supplier_Payments!$Q51),"")</f>
        <v/>
      </c>
      <c r="J1721" s="32">
        <f>IF($A1721=1,"CC00","")</f>
        <v/>
      </c>
      <c r="K1721" s="32">
        <f>IF($A1721=1,IF(Supplier_Payments!$C51="","",Supplier_Payments!$C51),"")</f>
        <v/>
      </c>
      <c r="L1721" s="32">
        <f>IF($A1721=1,IF(Supplier_Payments!$H51="","دفعة مورد "&amp;Supplier_Payments!$C51,Supplier_Payments!$H51),"")</f>
        <v/>
      </c>
      <c r="M1721" s="43">
        <f>IF($A1721=1,Supplier_Payments!$E51,"")</f>
        <v/>
      </c>
      <c r="N1721" s="43">
        <f>IF($A1721=1,0,"")</f>
        <v/>
      </c>
      <c r="O1721" s="32">
        <f>IF($A1721=1,Supplier_Payments!$I51,"")</f>
        <v/>
      </c>
      <c r="P1721" s="32">
        <f>IF($A1721=1,IF(Supplier_Payments!$T51="","",Supplier_Payments!$T51),"")</f>
        <v/>
      </c>
      <c r="Q1721" s="32">
        <f>IF($A1721=1,Supplier_Payments!$V51,"")</f>
        <v/>
      </c>
      <c r="R1721" s="32">
        <f>IF($A1721=1,IF(AND($Q1721=1,COUNTIFS(COA!$A:$A,$G1721,COA!$R:$R,1)=1),1,0),"")</f>
        <v/>
      </c>
      <c r="S1721" s="43">
        <f>IF($A1721=1,IF($R1721=1,N($M1721),0),"")</f>
        <v/>
      </c>
      <c r="T1721" s="43">
        <f>IF($A1721=1,IF($R1721=1,N($N1721),0),"")</f>
        <v/>
      </c>
      <c r="U1721" s="32">
        <f>IF($A1721=1,YEAR($D1721)*100+MONTH($D1721),"")</f>
        <v/>
      </c>
      <c r="V1721" s="32">
        <f>IF($A1721=1,IF(COUNTIF(COA!$A:$A,$G1721)=0,0,INDEX(COA!$H:$H,MATCH($G1721,COA!$A:$A,0))),"")</f>
        <v/>
      </c>
      <c r="W1721" s="32">
        <f>IF($A1721=1,"","")</f>
        <v/>
      </c>
      <c r="X1721" s="32">
        <f>IF($A1721=1,IF($R1721=1,"",IF($O1721=ST_POST,IF($P1721&lt;&gt;"",$P1721,"حساب غير صالح أو غير نشط"),IF($O1721=ST_REV,"معكوس: لا أثر على الدفاتر",IF($O1721=ST_CANC,"ملغى",IF($O1721=ST_APPR,"معتمد ولم يُرحَّل","مسودة"))))),"")</f>
        <v/>
      </c>
      <c r="Y1721" s="32">
        <f>IF($A1721=1,IF(AND($R1721=1,OR(LG_Acct="",$G1721=LG_Acct),OR(LG_Party="",$K1721=LG_Party),OR(LG_Loc="ALL",$I1721=LG_Loc),OR(LG_CC="ALL",$J1721=LG_CC),$D1721&gt;=LG_From,$D1721&lt;=LG_To),$D1721+ROW()/1000000,""),"")</f>
        <v/>
      </c>
      <c r="Z1721" s="32">
        <f>IF($A1721=1,IF(Supplier_Payments!$J51="","",Supplier_Payments!$J51),"")</f>
        <v/>
      </c>
      <c r="AA1721" s="32">
        <f>IF($A1721=1,IF(Supplier_Payments!$K51="","",Supplier_Payments!$K51),"")</f>
        <v/>
      </c>
      <c r="AB1721" s="32">
        <f>IF($A1721=1,IF(Supplier_Payments!$L51="","",Supplier_Payments!$L51),"")</f>
        <v/>
      </c>
      <c r="AC1721" s="32">
        <f>IF($A1721=1,IF(Supplier_Payments!$M51="","",Supplier_Payments!$M51),"")</f>
        <v/>
      </c>
      <c r="AD1721" s="32">
        <f>IF($A1721=1,IF(Supplier_Payments!$N51="","",Supplier_Payments!$N51),"")</f>
        <v/>
      </c>
      <c r="AE1721" s="32">
        <f>IF($A1721=1,0,"")</f>
        <v/>
      </c>
      <c r="AF1721" s="32" t="inlineStr"/>
    </row>
    <row r="1722">
      <c r="A1722" s="32">
        <f>IF(AND(Supplier_Payments!$S51=1,N(Supplier_Payments!$E51)&gt;0),1,0)</f>
        <v/>
      </c>
      <c r="B1722" s="32">
        <f>IF($A1722=1,$E1722&amp;"/2","")</f>
        <v/>
      </c>
      <c r="C1722" s="32">
        <f>IF($A1722=1,"J-"&amp;Supplier_Payments!$A51,"")</f>
        <v/>
      </c>
      <c r="D1722" s="33">
        <f>IF($A1722=1,Supplier_Payments!$B51,"")</f>
        <v/>
      </c>
      <c r="E1722" s="32">
        <f>IF($A1722=1,IF(Supplier_Payments!$A51="","",Supplier_Payments!$A51),"")</f>
        <v/>
      </c>
      <c r="F1722" s="32">
        <f>IF($A1722=1,"SPAY","")</f>
        <v/>
      </c>
      <c r="G1722" s="32">
        <f>IF($A1722=1,IF(Supplier_Payments!$P51="","",Supplier_Payments!$P51),"")</f>
        <v/>
      </c>
      <c r="H1722" s="32">
        <f>IF($A1722=1,IF(COUNTIF(COA!$A:$A,$G1722)=0,"حساب غير معرف",INDEX(COA!$B:$B,MATCH($G1722,COA!$A:$A,0))),"")</f>
        <v/>
      </c>
      <c r="I1722" s="32">
        <f>IF($A1722=1,IF(Supplier_Payments!$Q51="","",Supplier_Payments!$Q51),"")</f>
        <v/>
      </c>
      <c r="J1722" s="32">
        <f>IF($A1722=1,"CC00","")</f>
        <v/>
      </c>
      <c r="K1722" s="32">
        <f>IF($A1722=1,"-","")</f>
        <v/>
      </c>
      <c r="L1722" s="32">
        <f>IF($A1722=1,IF(Supplier_Payments!$H51="","دفعة مورد "&amp;Supplier_Payments!$C51,Supplier_Payments!$H51),"")</f>
        <v/>
      </c>
      <c r="M1722" s="43">
        <f>IF($A1722=1,0,"")</f>
        <v/>
      </c>
      <c r="N1722" s="43">
        <f>IF($A1722=1,Supplier_Payments!$E51,"")</f>
        <v/>
      </c>
      <c r="O1722" s="32">
        <f>IF($A1722=1,Supplier_Payments!$I51,"")</f>
        <v/>
      </c>
      <c r="P1722" s="32">
        <f>IF($A1722=1,IF(Supplier_Payments!$T51="","",Supplier_Payments!$T51),"")</f>
        <v/>
      </c>
      <c r="Q1722" s="32">
        <f>IF($A1722=1,Supplier_Payments!$V51,"")</f>
        <v/>
      </c>
      <c r="R1722" s="32">
        <f>IF($A1722=1,IF(AND($Q1722=1,COUNTIFS(COA!$A:$A,$G1722,COA!$R:$R,1)=1),1,0),"")</f>
        <v/>
      </c>
      <c r="S1722" s="43">
        <f>IF($A1722=1,IF($R1722=1,N($M1722),0),"")</f>
        <v/>
      </c>
      <c r="T1722" s="43">
        <f>IF($A1722=1,IF($R1722=1,N($N1722),0),"")</f>
        <v/>
      </c>
      <c r="U1722" s="32">
        <f>IF($A1722=1,YEAR($D1722)*100+MONTH($D1722),"")</f>
        <v/>
      </c>
      <c r="V1722" s="32">
        <f>IF($A1722=1,IF(COUNTIF(COA!$A:$A,$G1722)=0,0,INDEX(COA!$H:$H,MATCH($G1722,COA!$A:$A,0))),"")</f>
        <v/>
      </c>
      <c r="W1722" s="32">
        <f>IF($A1722=1,IF(Supplier_Payments!$R51="","",Supplier_Payments!$R51),"")</f>
        <v/>
      </c>
      <c r="X1722" s="32">
        <f>IF($A1722=1,IF($R1722=1,"",IF($O1722=ST_POST,IF($P1722&lt;&gt;"",$P1722,"حساب غير صالح أو غير نشط"),IF($O1722=ST_REV,"معكوس: لا أثر على الدفاتر",IF($O1722=ST_CANC,"ملغى",IF($O1722=ST_APPR,"معتمد ولم يُرحَّل","مسودة"))))),"")</f>
        <v/>
      </c>
      <c r="Y1722" s="32">
        <f>IF($A1722=1,IF(AND($R1722=1,OR(LG_Acct="",$G1722=LG_Acct),OR(LG_Party="",$K1722=LG_Party),OR(LG_Loc="ALL",$I1722=LG_Loc),OR(LG_CC="ALL",$J1722=LG_CC),$D1722&gt;=LG_From,$D1722&lt;=LG_To),$D1722+ROW()/1000000,""),"")</f>
        <v/>
      </c>
      <c r="Z1722" s="32">
        <f>IF($A1722=1,IF(Supplier_Payments!$J51="","",Supplier_Payments!$J51),"")</f>
        <v/>
      </c>
      <c r="AA1722" s="32">
        <f>IF($A1722=1,IF(Supplier_Payments!$K51="","",Supplier_Payments!$K51),"")</f>
        <v/>
      </c>
      <c r="AB1722" s="32">
        <f>IF($A1722=1,IF(Supplier_Payments!$L51="","",Supplier_Payments!$L51),"")</f>
        <v/>
      </c>
      <c r="AC1722" s="32">
        <f>IF($A1722=1,IF(Supplier_Payments!$M51="","",Supplier_Payments!$M51),"")</f>
        <v/>
      </c>
      <c r="AD1722" s="32">
        <f>IF($A1722=1,IF(Supplier_Payments!$N51="","",Supplier_Payments!$N51),"")</f>
        <v/>
      </c>
      <c r="AE1722" s="32">
        <f>IF($A1722=1,0,"")</f>
        <v/>
      </c>
      <c r="AF1722" s="32" t="inlineStr"/>
    </row>
    <row r="1723">
      <c r="A1723" s="32">
        <f>IF(AND(Supplier_Payments!$S52=1,N(Supplier_Payments!$E52)&gt;0),1,0)</f>
        <v/>
      </c>
      <c r="B1723" s="32">
        <f>IF($A1723=1,$E1723&amp;"/1","")</f>
        <v/>
      </c>
      <c r="C1723" s="32">
        <f>IF($A1723=1,"J-"&amp;Supplier_Payments!$A52,"")</f>
        <v/>
      </c>
      <c r="D1723" s="33">
        <f>IF($A1723=1,Supplier_Payments!$B52,"")</f>
        <v/>
      </c>
      <c r="E1723" s="32">
        <f>IF($A1723=1,IF(Supplier_Payments!$A52="","",Supplier_Payments!$A52),"")</f>
        <v/>
      </c>
      <c r="F1723" s="32">
        <f>IF($A1723=1,"SPAY","")</f>
        <v/>
      </c>
      <c r="G1723" s="32">
        <f>IF($A1723=1,ACC_SUPPLIERS,"")</f>
        <v/>
      </c>
      <c r="H1723" s="32">
        <f>IF($A1723=1,IF(COUNTIF(COA!$A:$A,$G1723)=0,"حساب غير معرف",INDEX(COA!$B:$B,MATCH($G1723,COA!$A:$A,0))),"")</f>
        <v/>
      </c>
      <c r="I1723" s="32">
        <f>IF($A1723=1,IF(Supplier_Payments!$Q52="","",Supplier_Payments!$Q52),"")</f>
        <v/>
      </c>
      <c r="J1723" s="32">
        <f>IF($A1723=1,"CC00","")</f>
        <v/>
      </c>
      <c r="K1723" s="32">
        <f>IF($A1723=1,IF(Supplier_Payments!$C52="","",Supplier_Payments!$C52),"")</f>
        <v/>
      </c>
      <c r="L1723" s="32">
        <f>IF($A1723=1,IF(Supplier_Payments!$H52="","دفعة مورد "&amp;Supplier_Payments!$C52,Supplier_Payments!$H52),"")</f>
        <v/>
      </c>
      <c r="M1723" s="43">
        <f>IF($A1723=1,Supplier_Payments!$E52,"")</f>
        <v/>
      </c>
      <c r="N1723" s="43">
        <f>IF($A1723=1,0,"")</f>
        <v/>
      </c>
      <c r="O1723" s="32">
        <f>IF($A1723=1,Supplier_Payments!$I52,"")</f>
        <v/>
      </c>
      <c r="P1723" s="32">
        <f>IF($A1723=1,IF(Supplier_Payments!$T52="","",Supplier_Payments!$T52),"")</f>
        <v/>
      </c>
      <c r="Q1723" s="32">
        <f>IF($A1723=1,Supplier_Payments!$V52,"")</f>
        <v/>
      </c>
      <c r="R1723" s="32">
        <f>IF($A1723=1,IF(AND($Q1723=1,COUNTIFS(COA!$A:$A,$G1723,COA!$R:$R,1)=1),1,0),"")</f>
        <v/>
      </c>
      <c r="S1723" s="43">
        <f>IF($A1723=1,IF($R1723=1,N($M1723),0),"")</f>
        <v/>
      </c>
      <c r="T1723" s="43">
        <f>IF($A1723=1,IF($R1723=1,N($N1723),0),"")</f>
        <v/>
      </c>
      <c r="U1723" s="32">
        <f>IF($A1723=1,YEAR($D1723)*100+MONTH($D1723),"")</f>
        <v/>
      </c>
      <c r="V1723" s="32">
        <f>IF($A1723=1,IF(COUNTIF(COA!$A:$A,$G1723)=0,0,INDEX(COA!$H:$H,MATCH($G1723,COA!$A:$A,0))),"")</f>
        <v/>
      </c>
      <c r="W1723" s="32">
        <f>IF($A1723=1,"","")</f>
        <v/>
      </c>
      <c r="X1723" s="32">
        <f>IF($A1723=1,IF($R1723=1,"",IF($O1723=ST_POST,IF($P1723&lt;&gt;"",$P1723,"حساب غير صالح أو غير نشط"),IF($O1723=ST_REV,"معكوس: لا أثر على الدفاتر",IF($O1723=ST_CANC,"ملغى",IF($O1723=ST_APPR,"معتمد ولم يُرحَّل","مسودة"))))),"")</f>
        <v/>
      </c>
      <c r="Y1723" s="32">
        <f>IF($A1723=1,IF(AND($R1723=1,OR(LG_Acct="",$G1723=LG_Acct),OR(LG_Party="",$K1723=LG_Party),OR(LG_Loc="ALL",$I1723=LG_Loc),OR(LG_CC="ALL",$J1723=LG_CC),$D1723&gt;=LG_From,$D1723&lt;=LG_To),$D1723+ROW()/1000000,""),"")</f>
        <v/>
      </c>
      <c r="Z1723" s="32">
        <f>IF($A1723=1,IF(Supplier_Payments!$J52="","",Supplier_Payments!$J52),"")</f>
        <v/>
      </c>
      <c r="AA1723" s="32">
        <f>IF($A1723=1,IF(Supplier_Payments!$K52="","",Supplier_Payments!$K52),"")</f>
        <v/>
      </c>
      <c r="AB1723" s="32">
        <f>IF($A1723=1,IF(Supplier_Payments!$L52="","",Supplier_Payments!$L52),"")</f>
        <v/>
      </c>
      <c r="AC1723" s="32">
        <f>IF($A1723=1,IF(Supplier_Payments!$M52="","",Supplier_Payments!$M52),"")</f>
        <v/>
      </c>
      <c r="AD1723" s="32">
        <f>IF($A1723=1,IF(Supplier_Payments!$N52="","",Supplier_Payments!$N52),"")</f>
        <v/>
      </c>
      <c r="AE1723" s="32">
        <f>IF($A1723=1,0,"")</f>
        <v/>
      </c>
      <c r="AF1723" s="32" t="inlineStr"/>
    </row>
    <row r="1724">
      <c r="A1724" s="32">
        <f>IF(AND(Supplier_Payments!$S52=1,N(Supplier_Payments!$E52)&gt;0),1,0)</f>
        <v/>
      </c>
      <c r="B1724" s="32">
        <f>IF($A1724=1,$E1724&amp;"/2","")</f>
        <v/>
      </c>
      <c r="C1724" s="32">
        <f>IF($A1724=1,"J-"&amp;Supplier_Payments!$A52,"")</f>
        <v/>
      </c>
      <c r="D1724" s="33">
        <f>IF($A1724=1,Supplier_Payments!$B52,"")</f>
        <v/>
      </c>
      <c r="E1724" s="32">
        <f>IF($A1724=1,IF(Supplier_Payments!$A52="","",Supplier_Payments!$A52),"")</f>
        <v/>
      </c>
      <c r="F1724" s="32">
        <f>IF($A1724=1,"SPAY","")</f>
        <v/>
      </c>
      <c r="G1724" s="32">
        <f>IF($A1724=1,IF(Supplier_Payments!$P52="","",Supplier_Payments!$P52),"")</f>
        <v/>
      </c>
      <c r="H1724" s="32">
        <f>IF($A1724=1,IF(COUNTIF(COA!$A:$A,$G1724)=0,"حساب غير معرف",INDEX(COA!$B:$B,MATCH($G1724,COA!$A:$A,0))),"")</f>
        <v/>
      </c>
      <c r="I1724" s="32">
        <f>IF($A1724=1,IF(Supplier_Payments!$Q52="","",Supplier_Payments!$Q52),"")</f>
        <v/>
      </c>
      <c r="J1724" s="32">
        <f>IF($A1724=1,"CC00","")</f>
        <v/>
      </c>
      <c r="K1724" s="32">
        <f>IF($A1724=1,"-","")</f>
        <v/>
      </c>
      <c r="L1724" s="32">
        <f>IF($A1724=1,IF(Supplier_Payments!$H52="","دفعة مورد "&amp;Supplier_Payments!$C52,Supplier_Payments!$H52),"")</f>
        <v/>
      </c>
      <c r="M1724" s="43">
        <f>IF($A1724=1,0,"")</f>
        <v/>
      </c>
      <c r="N1724" s="43">
        <f>IF($A1724=1,Supplier_Payments!$E52,"")</f>
        <v/>
      </c>
      <c r="O1724" s="32">
        <f>IF($A1724=1,Supplier_Payments!$I52,"")</f>
        <v/>
      </c>
      <c r="P1724" s="32">
        <f>IF($A1724=1,IF(Supplier_Payments!$T52="","",Supplier_Payments!$T52),"")</f>
        <v/>
      </c>
      <c r="Q1724" s="32">
        <f>IF($A1724=1,Supplier_Payments!$V52,"")</f>
        <v/>
      </c>
      <c r="R1724" s="32">
        <f>IF($A1724=1,IF(AND($Q1724=1,COUNTIFS(COA!$A:$A,$G1724,COA!$R:$R,1)=1),1,0),"")</f>
        <v/>
      </c>
      <c r="S1724" s="43">
        <f>IF($A1724=1,IF($R1724=1,N($M1724),0),"")</f>
        <v/>
      </c>
      <c r="T1724" s="43">
        <f>IF($A1724=1,IF($R1724=1,N($N1724),0),"")</f>
        <v/>
      </c>
      <c r="U1724" s="32">
        <f>IF($A1724=1,YEAR($D1724)*100+MONTH($D1724),"")</f>
        <v/>
      </c>
      <c r="V1724" s="32">
        <f>IF($A1724=1,IF(COUNTIF(COA!$A:$A,$G1724)=0,0,INDEX(COA!$H:$H,MATCH($G1724,COA!$A:$A,0))),"")</f>
        <v/>
      </c>
      <c r="W1724" s="32">
        <f>IF($A1724=1,IF(Supplier_Payments!$R52="","",Supplier_Payments!$R52),"")</f>
        <v/>
      </c>
      <c r="X1724" s="32">
        <f>IF($A1724=1,IF($R1724=1,"",IF($O1724=ST_POST,IF($P1724&lt;&gt;"",$P1724,"حساب غير صالح أو غير نشط"),IF($O1724=ST_REV,"معكوس: لا أثر على الدفاتر",IF($O1724=ST_CANC,"ملغى",IF($O1724=ST_APPR,"معتمد ولم يُرحَّل","مسودة"))))),"")</f>
        <v/>
      </c>
      <c r="Y1724" s="32">
        <f>IF($A1724=1,IF(AND($R1724=1,OR(LG_Acct="",$G1724=LG_Acct),OR(LG_Party="",$K1724=LG_Party),OR(LG_Loc="ALL",$I1724=LG_Loc),OR(LG_CC="ALL",$J1724=LG_CC),$D1724&gt;=LG_From,$D1724&lt;=LG_To),$D1724+ROW()/1000000,""),"")</f>
        <v/>
      </c>
      <c r="Z1724" s="32">
        <f>IF($A1724=1,IF(Supplier_Payments!$J52="","",Supplier_Payments!$J52),"")</f>
        <v/>
      </c>
      <c r="AA1724" s="32">
        <f>IF($A1724=1,IF(Supplier_Payments!$K52="","",Supplier_Payments!$K52),"")</f>
        <v/>
      </c>
      <c r="AB1724" s="32">
        <f>IF($A1724=1,IF(Supplier_Payments!$L52="","",Supplier_Payments!$L52),"")</f>
        <v/>
      </c>
      <c r="AC1724" s="32">
        <f>IF($A1724=1,IF(Supplier_Payments!$M52="","",Supplier_Payments!$M52),"")</f>
        <v/>
      </c>
      <c r="AD1724" s="32">
        <f>IF($A1724=1,IF(Supplier_Payments!$N52="","",Supplier_Payments!$N52),"")</f>
        <v/>
      </c>
      <c r="AE1724" s="32">
        <f>IF($A1724=1,0,"")</f>
        <v/>
      </c>
      <c r="AF1724" s="32" t="inlineStr"/>
    </row>
    <row r="1725">
      <c r="A1725" s="32">
        <f>IF(AND(Supplier_Payments!$S53=1,N(Supplier_Payments!$E53)&gt;0),1,0)</f>
        <v/>
      </c>
      <c r="B1725" s="32">
        <f>IF($A1725=1,$E1725&amp;"/1","")</f>
        <v/>
      </c>
      <c r="C1725" s="32">
        <f>IF($A1725=1,"J-"&amp;Supplier_Payments!$A53,"")</f>
        <v/>
      </c>
      <c r="D1725" s="33">
        <f>IF($A1725=1,Supplier_Payments!$B53,"")</f>
        <v/>
      </c>
      <c r="E1725" s="32">
        <f>IF($A1725=1,IF(Supplier_Payments!$A53="","",Supplier_Payments!$A53),"")</f>
        <v/>
      </c>
      <c r="F1725" s="32">
        <f>IF($A1725=1,"SPAY","")</f>
        <v/>
      </c>
      <c r="G1725" s="32">
        <f>IF($A1725=1,ACC_SUPPLIERS,"")</f>
        <v/>
      </c>
      <c r="H1725" s="32">
        <f>IF($A1725=1,IF(COUNTIF(COA!$A:$A,$G1725)=0,"حساب غير معرف",INDEX(COA!$B:$B,MATCH($G1725,COA!$A:$A,0))),"")</f>
        <v/>
      </c>
      <c r="I1725" s="32">
        <f>IF($A1725=1,IF(Supplier_Payments!$Q53="","",Supplier_Payments!$Q53),"")</f>
        <v/>
      </c>
      <c r="J1725" s="32">
        <f>IF($A1725=1,"CC00","")</f>
        <v/>
      </c>
      <c r="K1725" s="32">
        <f>IF($A1725=1,IF(Supplier_Payments!$C53="","",Supplier_Payments!$C53),"")</f>
        <v/>
      </c>
      <c r="L1725" s="32">
        <f>IF($A1725=1,IF(Supplier_Payments!$H53="","دفعة مورد "&amp;Supplier_Payments!$C53,Supplier_Payments!$H53),"")</f>
        <v/>
      </c>
      <c r="M1725" s="43">
        <f>IF($A1725=1,Supplier_Payments!$E53,"")</f>
        <v/>
      </c>
      <c r="N1725" s="43">
        <f>IF($A1725=1,0,"")</f>
        <v/>
      </c>
      <c r="O1725" s="32">
        <f>IF($A1725=1,Supplier_Payments!$I53,"")</f>
        <v/>
      </c>
      <c r="P1725" s="32">
        <f>IF($A1725=1,IF(Supplier_Payments!$T53="","",Supplier_Payments!$T53),"")</f>
        <v/>
      </c>
      <c r="Q1725" s="32">
        <f>IF($A1725=1,Supplier_Payments!$V53,"")</f>
        <v/>
      </c>
      <c r="R1725" s="32">
        <f>IF($A1725=1,IF(AND($Q1725=1,COUNTIFS(COA!$A:$A,$G1725,COA!$R:$R,1)=1),1,0),"")</f>
        <v/>
      </c>
      <c r="S1725" s="43">
        <f>IF($A1725=1,IF($R1725=1,N($M1725),0),"")</f>
        <v/>
      </c>
      <c r="T1725" s="43">
        <f>IF($A1725=1,IF($R1725=1,N($N1725),0),"")</f>
        <v/>
      </c>
      <c r="U1725" s="32">
        <f>IF($A1725=1,YEAR($D1725)*100+MONTH($D1725),"")</f>
        <v/>
      </c>
      <c r="V1725" s="32">
        <f>IF($A1725=1,IF(COUNTIF(COA!$A:$A,$G1725)=0,0,INDEX(COA!$H:$H,MATCH($G1725,COA!$A:$A,0))),"")</f>
        <v/>
      </c>
      <c r="W1725" s="32">
        <f>IF($A1725=1,"","")</f>
        <v/>
      </c>
      <c r="X1725" s="32">
        <f>IF($A1725=1,IF($R1725=1,"",IF($O1725=ST_POST,IF($P1725&lt;&gt;"",$P1725,"حساب غير صالح أو غير نشط"),IF($O1725=ST_REV,"معكوس: لا أثر على الدفاتر",IF($O1725=ST_CANC,"ملغى",IF($O1725=ST_APPR,"معتمد ولم يُرحَّل","مسودة"))))),"")</f>
        <v/>
      </c>
      <c r="Y1725" s="32">
        <f>IF($A1725=1,IF(AND($R1725=1,OR(LG_Acct="",$G1725=LG_Acct),OR(LG_Party="",$K1725=LG_Party),OR(LG_Loc="ALL",$I1725=LG_Loc),OR(LG_CC="ALL",$J1725=LG_CC),$D1725&gt;=LG_From,$D1725&lt;=LG_To),$D1725+ROW()/1000000,""),"")</f>
        <v/>
      </c>
      <c r="Z1725" s="32">
        <f>IF($A1725=1,IF(Supplier_Payments!$J53="","",Supplier_Payments!$J53),"")</f>
        <v/>
      </c>
      <c r="AA1725" s="32">
        <f>IF($A1725=1,IF(Supplier_Payments!$K53="","",Supplier_Payments!$K53),"")</f>
        <v/>
      </c>
      <c r="AB1725" s="32">
        <f>IF($A1725=1,IF(Supplier_Payments!$L53="","",Supplier_Payments!$L53),"")</f>
        <v/>
      </c>
      <c r="AC1725" s="32">
        <f>IF($A1725=1,IF(Supplier_Payments!$M53="","",Supplier_Payments!$M53),"")</f>
        <v/>
      </c>
      <c r="AD1725" s="32">
        <f>IF($A1725=1,IF(Supplier_Payments!$N53="","",Supplier_Payments!$N53),"")</f>
        <v/>
      </c>
      <c r="AE1725" s="32">
        <f>IF($A1725=1,0,"")</f>
        <v/>
      </c>
      <c r="AF1725" s="32" t="inlineStr"/>
    </row>
    <row r="1726">
      <c r="A1726" s="32">
        <f>IF(AND(Supplier_Payments!$S53=1,N(Supplier_Payments!$E53)&gt;0),1,0)</f>
        <v/>
      </c>
      <c r="B1726" s="32">
        <f>IF($A1726=1,$E1726&amp;"/2","")</f>
        <v/>
      </c>
      <c r="C1726" s="32">
        <f>IF($A1726=1,"J-"&amp;Supplier_Payments!$A53,"")</f>
        <v/>
      </c>
      <c r="D1726" s="33">
        <f>IF($A1726=1,Supplier_Payments!$B53,"")</f>
        <v/>
      </c>
      <c r="E1726" s="32">
        <f>IF($A1726=1,IF(Supplier_Payments!$A53="","",Supplier_Payments!$A53),"")</f>
        <v/>
      </c>
      <c r="F1726" s="32">
        <f>IF($A1726=1,"SPAY","")</f>
        <v/>
      </c>
      <c r="G1726" s="32">
        <f>IF($A1726=1,IF(Supplier_Payments!$P53="","",Supplier_Payments!$P53),"")</f>
        <v/>
      </c>
      <c r="H1726" s="32">
        <f>IF($A1726=1,IF(COUNTIF(COA!$A:$A,$G1726)=0,"حساب غير معرف",INDEX(COA!$B:$B,MATCH($G1726,COA!$A:$A,0))),"")</f>
        <v/>
      </c>
      <c r="I1726" s="32">
        <f>IF($A1726=1,IF(Supplier_Payments!$Q53="","",Supplier_Payments!$Q53),"")</f>
        <v/>
      </c>
      <c r="J1726" s="32">
        <f>IF($A1726=1,"CC00","")</f>
        <v/>
      </c>
      <c r="K1726" s="32">
        <f>IF($A1726=1,"-","")</f>
        <v/>
      </c>
      <c r="L1726" s="32">
        <f>IF($A1726=1,IF(Supplier_Payments!$H53="","دفعة مورد "&amp;Supplier_Payments!$C53,Supplier_Payments!$H53),"")</f>
        <v/>
      </c>
      <c r="M1726" s="43">
        <f>IF($A1726=1,0,"")</f>
        <v/>
      </c>
      <c r="N1726" s="43">
        <f>IF($A1726=1,Supplier_Payments!$E53,"")</f>
        <v/>
      </c>
      <c r="O1726" s="32">
        <f>IF($A1726=1,Supplier_Payments!$I53,"")</f>
        <v/>
      </c>
      <c r="P1726" s="32">
        <f>IF($A1726=1,IF(Supplier_Payments!$T53="","",Supplier_Payments!$T53),"")</f>
        <v/>
      </c>
      <c r="Q1726" s="32">
        <f>IF($A1726=1,Supplier_Payments!$V53,"")</f>
        <v/>
      </c>
      <c r="R1726" s="32">
        <f>IF($A1726=1,IF(AND($Q1726=1,COUNTIFS(COA!$A:$A,$G1726,COA!$R:$R,1)=1),1,0),"")</f>
        <v/>
      </c>
      <c r="S1726" s="43">
        <f>IF($A1726=1,IF($R1726=1,N($M1726),0),"")</f>
        <v/>
      </c>
      <c r="T1726" s="43">
        <f>IF($A1726=1,IF($R1726=1,N($N1726),0),"")</f>
        <v/>
      </c>
      <c r="U1726" s="32">
        <f>IF($A1726=1,YEAR($D1726)*100+MONTH($D1726),"")</f>
        <v/>
      </c>
      <c r="V1726" s="32">
        <f>IF($A1726=1,IF(COUNTIF(COA!$A:$A,$G1726)=0,0,INDEX(COA!$H:$H,MATCH($G1726,COA!$A:$A,0))),"")</f>
        <v/>
      </c>
      <c r="W1726" s="32">
        <f>IF($A1726=1,IF(Supplier_Payments!$R53="","",Supplier_Payments!$R53),"")</f>
        <v/>
      </c>
      <c r="X1726" s="32">
        <f>IF($A1726=1,IF($R1726=1,"",IF($O1726=ST_POST,IF($P1726&lt;&gt;"",$P1726,"حساب غير صالح أو غير نشط"),IF($O1726=ST_REV,"معكوس: لا أثر على الدفاتر",IF($O1726=ST_CANC,"ملغى",IF($O1726=ST_APPR,"معتمد ولم يُرحَّل","مسودة"))))),"")</f>
        <v/>
      </c>
      <c r="Y1726" s="32">
        <f>IF($A1726=1,IF(AND($R1726=1,OR(LG_Acct="",$G1726=LG_Acct),OR(LG_Party="",$K1726=LG_Party),OR(LG_Loc="ALL",$I1726=LG_Loc),OR(LG_CC="ALL",$J1726=LG_CC),$D1726&gt;=LG_From,$D1726&lt;=LG_To),$D1726+ROW()/1000000,""),"")</f>
        <v/>
      </c>
      <c r="Z1726" s="32">
        <f>IF($A1726=1,IF(Supplier_Payments!$J53="","",Supplier_Payments!$J53),"")</f>
        <v/>
      </c>
      <c r="AA1726" s="32">
        <f>IF($A1726=1,IF(Supplier_Payments!$K53="","",Supplier_Payments!$K53),"")</f>
        <v/>
      </c>
      <c r="AB1726" s="32">
        <f>IF($A1726=1,IF(Supplier_Payments!$L53="","",Supplier_Payments!$L53),"")</f>
        <v/>
      </c>
      <c r="AC1726" s="32">
        <f>IF($A1726=1,IF(Supplier_Payments!$M53="","",Supplier_Payments!$M53),"")</f>
        <v/>
      </c>
      <c r="AD1726" s="32">
        <f>IF($A1726=1,IF(Supplier_Payments!$N53="","",Supplier_Payments!$N53),"")</f>
        <v/>
      </c>
      <c r="AE1726" s="32">
        <f>IF($A1726=1,0,"")</f>
        <v/>
      </c>
      <c r="AF1726" s="32" t="inlineStr"/>
    </row>
    <row r="1727">
      <c r="A1727" s="32">
        <f>IF(AND(Supplier_Payments!$S54=1,N(Supplier_Payments!$E54)&gt;0),1,0)</f>
        <v/>
      </c>
      <c r="B1727" s="32">
        <f>IF($A1727=1,$E1727&amp;"/1","")</f>
        <v/>
      </c>
      <c r="C1727" s="32">
        <f>IF($A1727=1,"J-"&amp;Supplier_Payments!$A54,"")</f>
        <v/>
      </c>
      <c r="D1727" s="33">
        <f>IF($A1727=1,Supplier_Payments!$B54,"")</f>
        <v/>
      </c>
      <c r="E1727" s="32">
        <f>IF($A1727=1,IF(Supplier_Payments!$A54="","",Supplier_Payments!$A54),"")</f>
        <v/>
      </c>
      <c r="F1727" s="32">
        <f>IF($A1727=1,"SPAY","")</f>
        <v/>
      </c>
      <c r="G1727" s="32">
        <f>IF($A1727=1,ACC_SUPPLIERS,"")</f>
        <v/>
      </c>
      <c r="H1727" s="32">
        <f>IF($A1727=1,IF(COUNTIF(COA!$A:$A,$G1727)=0,"حساب غير معرف",INDEX(COA!$B:$B,MATCH($G1727,COA!$A:$A,0))),"")</f>
        <v/>
      </c>
      <c r="I1727" s="32">
        <f>IF($A1727=1,IF(Supplier_Payments!$Q54="","",Supplier_Payments!$Q54),"")</f>
        <v/>
      </c>
      <c r="J1727" s="32">
        <f>IF($A1727=1,"CC00","")</f>
        <v/>
      </c>
      <c r="K1727" s="32">
        <f>IF($A1727=1,IF(Supplier_Payments!$C54="","",Supplier_Payments!$C54),"")</f>
        <v/>
      </c>
      <c r="L1727" s="32">
        <f>IF($A1727=1,IF(Supplier_Payments!$H54="","دفعة مورد "&amp;Supplier_Payments!$C54,Supplier_Payments!$H54),"")</f>
        <v/>
      </c>
      <c r="M1727" s="43">
        <f>IF($A1727=1,Supplier_Payments!$E54,"")</f>
        <v/>
      </c>
      <c r="N1727" s="43">
        <f>IF($A1727=1,0,"")</f>
        <v/>
      </c>
      <c r="O1727" s="32">
        <f>IF($A1727=1,Supplier_Payments!$I54,"")</f>
        <v/>
      </c>
      <c r="P1727" s="32">
        <f>IF($A1727=1,IF(Supplier_Payments!$T54="","",Supplier_Payments!$T54),"")</f>
        <v/>
      </c>
      <c r="Q1727" s="32">
        <f>IF($A1727=1,Supplier_Payments!$V54,"")</f>
        <v/>
      </c>
      <c r="R1727" s="32">
        <f>IF($A1727=1,IF(AND($Q1727=1,COUNTIFS(COA!$A:$A,$G1727,COA!$R:$R,1)=1),1,0),"")</f>
        <v/>
      </c>
      <c r="S1727" s="43">
        <f>IF($A1727=1,IF($R1727=1,N($M1727),0),"")</f>
        <v/>
      </c>
      <c r="T1727" s="43">
        <f>IF($A1727=1,IF($R1727=1,N($N1727),0),"")</f>
        <v/>
      </c>
      <c r="U1727" s="32">
        <f>IF($A1727=1,YEAR($D1727)*100+MONTH($D1727),"")</f>
        <v/>
      </c>
      <c r="V1727" s="32">
        <f>IF($A1727=1,IF(COUNTIF(COA!$A:$A,$G1727)=0,0,INDEX(COA!$H:$H,MATCH($G1727,COA!$A:$A,0))),"")</f>
        <v/>
      </c>
      <c r="W1727" s="32">
        <f>IF($A1727=1,"","")</f>
        <v/>
      </c>
      <c r="X1727" s="32">
        <f>IF($A1727=1,IF($R1727=1,"",IF($O1727=ST_POST,IF($P1727&lt;&gt;"",$P1727,"حساب غير صالح أو غير نشط"),IF($O1727=ST_REV,"معكوس: لا أثر على الدفاتر",IF($O1727=ST_CANC,"ملغى",IF($O1727=ST_APPR,"معتمد ولم يُرحَّل","مسودة"))))),"")</f>
        <v/>
      </c>
      <c r="Y1727" s="32">
        <f>IF($A1727=1,IF(AND($R1727=1,OR(LG_Acct="",$G1727=LG_Acct),OR(LG_Party="",$K1727=LG_Party),OR(LG_Loc="ALL",$I1727=LG_Loc),OR(LG_CC="ALL",$J1727=LG_CC),$D1727&gt;=LG_From,$D1727&lt;=LG_To),$D1727+ROW()/1000000,""),"")</f>
        <v/>
      </c>
      <c r="Z1727" s="32">
        <f>IF($A1727=1,IF(Supplier_Payments!$J54="","",Supplier_Payments!$J54),"")</f>
        <v/>
      </c>
      <c r="AA1727" s="32">
        <f>IF($A1727=1,IF(Supplier_Payments!$K54="","",Supplier_Payments!$K54),"")</f>
        <v/>
      </c>
      <c r="AB1727" s="32">
        <f>IF($A1727=1,IF(Supplier_Payments!$L54="","",Supplier_Payments!$L54),"")</f>
        <v/>
      </c>
      <c r="AC1727" s="32">
        <f>IF($A1727=1,IF(Supplier_Payments!$M54="","",Supplier_Payments!$M54),"")</f>
        <v/>
      </c>
      <c r="AD1727" s="32">
        <f>IF($A1727=1,IF(Supplier_Payments!$N54="","",Supplier_Payments!$N54),"")</f>
        <v/>
      </c>
      <c r="AE1727" s="32">
        <f>IF($A1727=1,0,"")</f>
        <v/>
      </c>
      <c r="AF1727" s="32" t="inlineStr"/>
    </row>
    <row r="1728">
      <c r="A1728" s="32">
        <f>IF(AND(Supplier_Payments!$S54=1,N(Supplier_Payments!$E54)&gt;0),1,0)</f>
        <v/>
      </c>
      <c r="B1728" s="32">
        <f>IF($A1728=1,$E1728&amp;"/2","")</f>
        <v/>
      </c>
      <c r="C1728" s="32">
        <f>IF($A1728=1,"J-"&amp;Supplier_Payments!$A54,"")</f>
        <v/>
      </c>
      <c r="D1728" s="33">
        <f>IF($A1728=1,Supplier_Payments!$B54,"")</f>
        <v/>
      </c>
      <c r="E1728" s="32">
        <f>IF($A1728=1,IF(Supplier_Payments!$A54="","",Supplier_Payments!$A54),"")</f>
        <v/>
      </c>
      <c r="F1728" s="32">
        <f>IF($A1728=1,"SPAY","")</f>
        <v/>
      </c>
      <c r="G1728" s="32">
        <f>IF($A1728=1,IF(Supplier_Payments!$P54="","",Supplier_Payments!$P54),"")</f>
        <v/>
      </c>
      <c r="H1728" s="32">
        <f>IF($A1728=1,IF(COUNTIF(COA!$A:$A,$G1728)=0,"حساب غير معرف",INDEX(COA!$B:$B,MATCH($G1728,COA!$A:$A,0))),"")</f>
        <v/>
      </c>
      <c r="I1728" s="32">
        <f>IF($A1728=1,IF(Supplier_Payments!$Q54="","",Supplier_Payments!$Q54),"")</f>
        <v/>
      </c>
      <c r="J1728" s="32">
        <f>IF($A1728=1,"CC00","")</f>
        <v/>
      </c>
      <c r="K1728" s="32">
        <f>IF($A1728=1,"-","")</f>
        <v/>
      </c>
      <c r="L1728" s="32">
        <f>IF($A1728=1,IF(Supplier_Payments!$H54="","دفعة مورد "&amp;Supplier_Payments!$C54,Supplier_Payments!$H54),"")</f>
        <v/>
      </c>
      <c r="M1728" s="43">
        <f>IF($A1728=1,0,"")</f>
        <v/>
      </c>
      <c r="N1728" s="43">
        <f>IF($A1728=1,Supplier_Payments!$E54,"")</f>
        <v/>
      </c>
      <c r="O1728" s="32">
        <f>IF($A1728=1,Supplier_Payments!$I54,"")</f>
        <v/>
      </c>
      <c r="P1728" s="32">
        <f>IF($A1728=1,IF(Supplier_Payments!$T54="","",Supplier_Payments!$T54),"")</f>
        <v/>
      </c>
      <c r="Q1728" s="32">
        <f>IF($A1728=1,Supplier_Payments!$V54,"")</f>
        <v/>
      </c>
      <c r="R1728" s="32">
        <f>IF($A1728=1,IF(AND($Q1728=1,COUNTIFS(COA!$A:$A,$G1728,COA!$R:$R,1)=1),1,0),"")</f>
        <v/>
      </c>
      <c r="S1728" s="43">
        <f>IF($A1728=1,IF($R1728=1,N($M1728),0),"")</f>
        <v/>
      </c>
      <c r="T1728" s="43">
        <f>IF($A1728=1,IF($R1728=1,N($N1728),0),"")</f>
        <v/>
      </c>
      <c r="U1728" s="32">
        <f>IF($A1728=1,YEAR($D1728)*100+MONTH($D1728),"")</f>
        <v/>
      </c>
      <c r="V1728" s="32">
        <f>IF($A1728=1,IF(COUNTIF(COA!$A:$A,$G1728)=0,0,INDEX(COA!$H:$H,MATCH($G1728,COA!$A:$A,0))),"")</f>
        <v/>
      </c>
      <c r="W1728" s="32">
        <f>IF($A1728=1,IF(Supplier_Payments!$R54="","",Supplier_Payments!$R54),"")</f>
        <v/>
      </c>
      <c r="X1728" s="32">
        <f>IF($A1728=1,IF($R1728=1,"",IF($O1728=ST_POST,IF($P1728&lt;&gt;"",$P1728,"حساب غير صالح أو غير نشط"),IF($O1728=ST_REV,"معكوس: لا أثر على الدفاتر",IF($O1728=ST_CANC,"ملغى",IF($O1728=ST_APPR,"معتمد ولم يُرحَّل","مسودة"))))),"")</f>
        <v/>
      </c>
      <c r="Y1728" s="32">
        <f>IF($A1728=1,IF(AND($R1728=1,OR(LG_Acct="",$G1728=LG_Acct),OR(LG_Party="",$K1728=LG_Party),OR(LG_Loc="ALL",$I1728=LG_Loc),OR(LG_CC="ALL",$J1728=LG_CC),$D1728&gt;=LG_From,$D1728&lt;=LG_To),$D1728+ROW()/1000000,""),"")</f>
        <v/>
      </c>
      <c r="Z1728" s="32">
        <f>IF($A1728=1,IF(Supplier_Payments!$J54="","",Supplier_Payments!$J54),"")</f>
        <v/>
      </c>
      <c r="AA1728" s="32">
        <f>IF($A1728=1,IF(Supplier_Payments!$K54="","",Supplier_Payments!$K54),"")</f>
        <v/>
      </c>
      <c r="AB1728" s="32">
        <f>IF($A1728=1,IF(Supplier_Payments!$L54="","",Supplier_Payments!$L54),"")</f>
        <v/>
      </c>
      <c r="AC1728" s="32">
        <f>IF($A1728=1,IF(Supplier_Payments!$M54="","",Supplier_Payments!$M54),"")</f>
        <v/>
      </c>
      <c r="AD1728" s="32">
        <f>IF($A1728=1,IF(Supplier_Payments!$N54="","",Supplier_Payments!$N54),"")</f>
        <v/>
      </c>
      <c r="AE1728" s="32">
        <f>IF($A1728=1,0,"")</f>
        <v/>
      </c>
      <c r="AF1728" s="32" t="inlineStr"/>
    </row>
    <row r="1729">
      <c r="A1729" s="32">
        <f>IF(AND(Supplier_Payments!$S55=1,N(Supplier_Payments!$E55)&gt;0),1,0)</f>
        <v/>
      </c>
      <c r="B1729" s="32">
        <f>IF($A1729=1,$E1729&amp;"/1","")</f>
        <v/>
      </c>
      <c r="C1729" s="32">
        <f>IF($A1729=1,"J-"&amp;Supplier_Payments!$A55,"")</f>
        <v/>
      </c>
      <c r="D1729" s="33">
        <f>IF($A1729=1,Supplier_Payments!$B55,"")</f>
        <v/>
      </c>
      <c r="E1729" s="32">
        <f>IF($A1729=1,IF(Supplier_Payments!$A55="","",Supplier_Payments!$A55),"")</f>
        <v/>
      </c>
      <c r="F1729" s="32">
        <f>IF($A1729=1,"SPAY","")</f>
        <v/>
      </c>
      <c r="G1729" s="32">
        <f>IF($A1729=1,ACC_SUPPLIERS,"")</f>
        <v/>
      </c>
      <c r="H1729" s="32">
        <f>IF($A1729=1,IF(COUNTIF(COA!$A:$A,$G1729)=0,"حساب غير معرف",INDEX(COA!$B:$B,MATCH($G1729,COA!$A:$A,0))),"")</f>
        <v/>
      </c>
      <c r="I1729" s="32">
        <f>IF($A1729=1,IF(Supplier_Payments!$Q55="","",Supplier_Payments!$Q55),"")</f>
        <v/>
      </c>
      <c r="J1729" s="32">
        <f>IF($A1729=1,"CC00","")</f>
        <v/>
      </c>
      <c r="K1729" s="32">
        <f>IF($A1729=1,IF(Supplier_Payments!$C55="","",Supplier_Payments!$C55),"")</f>
        <v/>
      </c>
      <c r="L1729" s="32">
        <f>IF($A1729=1,IF(Supplier_Payments!$H55="","دفعة مورد "&amp;Supplier_Payments!$C55,Supplier_Payments!$H55),"")</f>
        <v/>
      </c>
      <c r="M1729" s="43">
        <f>IF($A1729=1,Supplier_Payments!$E55,"")</f>
        <v/>
      </c>
      <c r="N1729" s="43">
        <f>IF($A1729=1,0,"")</f>
        <v/>
      </c>
      <c r="O1729" s="32">
        <f>IF($A1729=1,Supplier_Payments!$I55,"")</f>
        <v/>
      </c>
      <c r="P1729" s="32">
        <f>IF($A1729=1,IF(Supplier_Payments!$T55="","",Supplier_Payments!$T55),"")</f>
        <v/>
      </c>
      <c r="Q1729" s="32">
        <f>IF($A1729=1,Supplier_Payments!$V55,"")</f>
        <v/>
      </c>
      <c r="R1729" s="32">
        <f>IF($A1729=1,IF(AND($Q1729=1,COUNTIFS(COA!$A:$A,$G1729,COA!$R:$R,1)=1),1,0),"")</f>
        <v/>
      </c>
      <c r="S1729" s="43">
        <f>IF($A1729=1,IF($R1729=1,N($M1729),0),"")</f>
        <v/>
      </c>
      <c r="T1729" s="43">
        <f>IF($A1729=1,IF($R1729=1,N($N1729),0),"")</f>
        <v/>
      </c>
      <c r="U1729" s="32">
        <f>IF($A1729=1,YEAR($D1729)*100+MONTH($D1729),"")</f>
        <v/>
      </c>
      <c r="V1729" s="32">
        <f>IF($A1729=1,IF(COUNTIF(COA!$A:$A,$G1729)=0,0,INDEX(COA!$H:$H,MATCH($G1729,COA!$A:$A,0))),"")</f>
        <v/>
      </c>
      <c r="W1729" s="32">
        <f>IF($A1729=1,"","")</f>
        <v/>
      </c>
      <c r="X1729" s="32">
        <f>IF($A1729=1,IF($R1729=1,"",IF($O1729=ST_POST,IF($P1729&lt;&gt;"",$P1729,"حساب غير صالح أو غير نشط"),IF($O1729=ST_REV,"معكوس: لا أثر على الدفاتر",IF($O1729=ST_CANC,"ملغى",IF($O1729=ST_APPR,"معتمد ولم يُرحَّل","مسودة"))))),"")</f>
        <v/>
      </c>
      <c r="Y1729" s="32">
        <f>IF($A1729=1,IF(AND($R1729=1,OR(LG_Acct="",$G1729=LG_Acct),OR(LG_Party="",$K1729=LG_Party),OR(LG_Loc="ALL",$I1729=LG_Loc),OR(LG_CC="ALL",$J1729=LG_CC),$D1729&gt;=LG_From,$D1729&lt;=LG_To),$D1729+ROW()/1000000,""),"")</f>
        <v/>
      </c>
      <c r="Z1729" s="32">
        <f>IF($A1729=1,IF(Supplier_Payments!$J55="","",Supplier_Payments!$J55),"")</f>
        <v/>
      </c>
      <c r="AA1729" s="32">
        <f>IF($A1729=1,IF(Supplier_Payments!$K55="","",Supplier_Payments!$K55),"")</f>
        <v/>
      </c>
      <c r="AB1729" s="32">
        <f>IF($A1729=1,IF(Supplier_Payments!$L55="","",Supplier_Payments!$L55),"")</f>
        <v/>
      </c>
      <c r="AC1729" s="32">
        <f>IF($A1729=1,IF(Supplier_Payments!$M55="","",Supplier_Payments!$M55),"")</f>
        <v/>
      </c>
      <c r="AD1729" s="32">
        <f>IF($A1729=1,IF(Supplier_Payments!$N55="","",Supplier_Payments!$N55),"")</f>
        <v/>
      </c>
      <c r="AE1729" s="32">
        <f>IF($A1729=1,0,"")</f>
        <v/>
      </c>
      <c r="AF1729" s="32" t="inlineStr"/>
    </row>
    <row r="1730">
      <c r="A1730" s="32">
        <f>IF(AND(Supplier_Payments!$S55=1,N(Supplier_Payments!$E55)&gt;0),1,0)</f>
        <v/>
      </c>
      <c r="B1730" s="32">
        <f>IF($A1730=1,$E1730&amp;"/2","")</f>
        <v/>
      </c>
      <c r="C1730" s="32">
        <f>IF($A1730=1,"J-"&amp;Supplier_Payments!$A55,"")</f>
        <v/>
      </c>
      <c r="D1730" s="33">
        <f>IF($A1730=1,Supplier_Payments!$B55,"")</f>
        <v/>
      </c>
      <c r="E1730" s="32">
        <f>IF($A1730=1,IF(Supplier_Payments!$A55="","",Supplier_Payments!$A55),"")</f>
        <v/>
      </c>
      <c r="F1730" s="32">
        <f>IF($A1730=1,"SPAY","")</f>
        <v/>
      </c>
      <c r="G1730" s="32">
        <f>IF($A1730=1,IF(Supplier_Payments!$P55="","",Supplier_Payments!$P55),"")</f>
        <v/>
      </c>
      <c r="H1730" s="32">
        <f>IF($A1730=1,IF(COUNTIF(COA!$A:$A,$G1730)=0,"حساب غير معرف",INDEX(COA!$B:$B,MATCH($G1730,COA!$A:$A,0))),"")</f>
        <v/>
      </c>
      <c r="I1730" s="32">
        <f>IF($A1730=1,IF(Supplier_Payments!$Q55="","",Supplier_Payments!$Q55),"")</f>
        <v/>
      </c>
      <c r="J1730" s="32">
        <f>IF($A1730=1,"CC00","")</f>
        <v/>
      </c>
      <c r="K1730" s="32">
        <f>IF($A1730=1,"-","")</f>
        <v/>
      </c>
      <c r="L1730" s="32">
        <f>IF($A1730=1,IF(Supplier_Payments!$H55="","دفعة مورد "&amp;Supplier_Payments!$C55,Supplier_Payments!$H55),"")</f>
        <v/>
      </c>
      <c r="M1730" s="43">
        <f>IF($A1730=1,0,"")</f>
        <v/>
      </c>
      <c r="N1730" s="43">
        <f>IF($A1730=1,Supplier_Payments!$E55,"")</f>
        <v/>
      </c>
      <c r="O1730" s="32">
        <f>IF($A1730=1,Supplier_Payments!$I55,"")</f>
        <v/>
      </c>
      <c r="P1730" s="32">
        <f>IF($A1730=1,IF(Supplier_Payments!$T55="","",Supplier_Payments!$T55),"")</f>
        <v/>
      </c>
      <c r="Q1730" s="32">
        <f>IF($A1730=1,Supplier_Payments!$V55,"")</f>
        <v/>
      </c>
      <c r="R1730" s="32">
        <f>IF($A1730=1,IF(AND($Q1730=1,COUNTIFS(COA!$A:$A,$G1730,COA!$R:$R,1)=1),1,0),"")</f>
        <v/>
      </c>
      <c r="S1730" s="43">
        <f>IF($A1730=1,IF($R1730=1,N($M1730),0),"")</f>
        <v/>
      </c>
      <c r="T1730" s="43">
        <f>IF($A1730=1,IF($R1730=1,N($N1730),0),"")</f>
        <v/>
      </c>
      <c r="U1730" s="32">
        <f>IF($A1730=1,YEAR($D1730)*100+MONTH($D1730),"")</f>
        <v/>
      </c>
      <c r="V1730" s="32">
        <f>IF($A1730=1,IF(COUNTIF(COA!$A:$A,$G1730)=0,0,INDEX(COA!$H:$H,MATCH($G1730,COA!$A:$A,0))),"")</f>
        <v/>
      </c>
      <c r="W1730" s="32">
        <f>IF($A1730=1,IF(Supplier_Payments!$R55="","",Supplier_Payments!$R55),"")</f>
        <v/>
      </c>
      <c r="X1730" s="32">
        <f>IF($A1730=1,IF($R1730=1,"",IF($O1730=ST_POST,IF($P1730&lt;&gt;"",$P1730,"حساب غير صالح أو غير نشط"),IF($O1730=ST_REV,"معكوس: لا أثر على الدفاتر",IF($O1730=ST_CANC,"ملغى",IF($O1730=ST_APPR,"معتمد ولم يُرحَّل","مسودة"))))),"")</f>
        <v/>
      </c>
      <c r="Y1730" s="32">
        <f>IF($A1730=1,IF(AND($R1730=1,OR(LG_Acct="",$G1730=LG_Acct),OR(LG_Party="",$K1730=LG_Party),OR(LG_Loc="ALL",$I1730=LG_Loc),OR(LG_CC="ALL",$J1730=LG_CC),$D1730&gt;=LG_From,$D1730&lt;=LG_To),$D1730+ROW()/1000000,""),"")</f>
        <v/>
      </c>
      <c r="Z1730" s="32">
        <f>IF($A1730=1,IF(Supplier_Payments!$J55="","",Supplier_Payments!$J55),"")</f>
        <v/>
      </c>
      <c r="AA1730" s="32">
        <f>IF($A1730=1,IF(Supplier_Payments!$K55="","",Supplier_Payments!$K55),"")</f>
        <v/>
      </c>
      <c r="AB1730" s="32">
        <f>IF($A1730=1,IF(Supplier_Payments!$L55="","",Supplier_Payments!$L55),"")</f>
        <v/>
      </c>
      <c r="AC1730" s="32">
        <f>IF($A1730=1,IF(Supplier_Payments!$M55="","",Supplier_Payments!$M55),"")</f>
        <v/>
      </c>
      <c r="AD1730" s="32">
        <f>IF($A1730=1,IF(Supplier_Payments!$N55="","",Supplier_Payments!$N55),"")</f>
        <v/>
      </c>
      <c r="AE1730" s="32">
        <f>IF($A1730=1,0,"")</f>
        <v/>
      </c>
      <c r="AF1730" s="32" t="inlineStr"/>
    </row>
    <row r="1731">
      <c r="A1731" s="32">
        <f>IF(AND(Supplier_Payments!$S56=1,N(Supplier_Payments!$E56)&gt;0),1,0)</f>
        <v/>
      </c>
      <c r="B1731" s="32">
        <f>IF($A1731=1,$E1731&amp;"/1","")</f>
        <v/>
      </c>
      <c r="C1731" s="32">
        <f>IF($A1731=1,"J-"&amp;Supplier_Payments!$A56,"")</f>
        <v/>
      </c>
      <c r="D1731" s="33">
        <f>IF($A1731=1,Supplier_Payments!$B56,"")</f>
        <v/>
      </c>
      <c r="E1731" s="32">
        <f>IF($A1731=1,IF(Supplier_Payments!$A56="","",Supplier_Payments!$A56),"")</f>
        <v/>
      </c>
      <c r="F1731" s="32">
        <f>IF($A1731=1,"SPAY","")</f>
        <v/>
      </c>
      <c r="G1731" s="32">
        <f>IF($A1731=1,ACC_SUPPLIERS,"")</f>
        <v/>
      </c>
      <c r="H1731" s="32">
        <f>IF($A1731=1,IF(COUNTIF(COA!$A:$A,$G1731)=0,"حساب غير معرف",INDEX(COA!$B:$B,MATCH($G1731,COA!$A:$A,0))),"")</f>
        <v/>
      </c>
      <c r="I1731" s="32">
        <f>IF($A1731=1,IF(Supplier_Payments!$Q56="","",Supplier_Payments!$Q56),"")</f>
        <v/>
      </c>
      <c r="J1731" s="32">
        <f>IF($A1731=1,"CC00","")</f>
        <v/>
      </c>
      <c r="K1731" s="32">
        <f>IF($A1731=1,IF(Supplier_Payments!$C56="","",Supplier_Payments!$C56),"")</f>
        <v/>
      </c>
      <c r="L1731" s="32">
        <f>IF($A1731=1,IF(Supplier_Payments!$H56="","دفعة مورد "&amp;Supplier_Payments!$C56,Supplier_Payments!$H56),"")</f>
        <v/>
      </c>
      <c r="M1731" s="43">
        <f>IF($A1731=1,Supplier_Payments!$E56,"")</f>
        <v/>
      </c>
      <c r="N1731" s="43">
        <f>IF($A1731=1,0,"")</f>
        <v/>
      </c>
      <c r="O1731" s="32">
        <f>IF($A1731=1,Supplier_Payments!$I56,"")</f>
        <v/>
      </c>
      <c r="P1731" s="32">
        <f>IF($A1731=1,IF(Supplier_Payments!$T56="","",Supplier_Payments!$T56),"")</f>
        <v/>
      </c>
      <c r="Q1731" s="32">
        <f>IF($A1731=1,Supplier_Payments!$V56,"")</f>
        <v/>
      </c>
      <c r="R1731" s="32">
        <f>IF($A1731=1,IF(AND($Q1731=1,COUNTIFS(COA!$A:$A,$G1731,COA!$R:$R,1)=1),1,0),"")</f>
        <v/>
      </c>
      <c r="S1731" s="43">
        <f>IF($A1731=1,IF($R1731=1,N($M1731),0),"")</f>
        <v/>
      </c>
      <c r="T1731" s="43">
        <f>IF($A1731=1,IF($R1731=1,N($N1731),0),"")</f>
        <v/>
      </c>
      <c r="U1731" s="32">
        <f>IF($A1731=1,YEAR($D1731)*100+MONTH($D1731),"")</f>
        <v/>
      </c>
      <c r="V1731" s="32">
        <f>IF($A1731=1,IF(COUNTIF(COA!$A:$A,$G1731)=0,0,INDEX(COA!$H:$H,MATCH($G1731,COA!$A:$A,0))),"")</f>
        <v/>
      </c>
      <c r="W1731" s="32">
        <f>IF($A1731=1,"","")</f>
        <v/>
      </c>
      <c r="X1731" s="32">
        <f>IF($A1731=1,IF($R1731=1,"",IF($O1731=ST_POST,IF($P1731&lt;&gt;"",$P1731,"حساب غير صالح أو غير نشط"),IF($O1731=ST_REV,"معكوس: لا أثر على الدفاتر",IF($O1731=ST_CANC,"ملغى",IF($O1731=ST_APPR,"معتمد ولم يُرحَّل","مسودة"))))),"")</f>
        <v/>
      </c>
      <c r="Y1731" s="32">
        <f>IF($A1731=1,IF(AND($R1731=1,OR(LG_Acct="",$G1731=LG_Acct),OR(LG_Party="",$K1731=LG_Party),OR(LG_Loc="ALL",$I1731=LG_Loc),OR(LG_CC="ALL",$J1731=LG_CC),$D1731&gt;=LG_From,$D1731&lt;=LG_To),$D1731+ROW()/1000000,""),"")</f>
        <v/>
      </c>
      <c r="Z1731" s="32">
        <f>IF($A1731=1,IF(Supplier_Payments!$J56="","",Supplier_Payments!$J56),"")</f>
        <v/>
      </c>
      <c r="AA1731" s="32">
        <f>IF($A1731=1,IF(Supplier_Payments!$K56="","",Supplier_Payments!$K56),"")</f>
        <v/>
      </c>
      <c r="AB1731" s="32">
        <f>IF($A1731=1,IF(Supplier_Payments!$L56="","",Supplier_Payments!$L56),"")</f>
        <v/>
      </c>
      <c r="AC1731" s="32">
        <f>IF($A1731=1,IF(Supplier_Payments!$M56="","",Supplier_Payments!$M56),"")</f>
        <v/>
      </c>
      <c r="AD1731" s="32">
        <f>IF($A1731=1,IF(Supplier_Payments!$N56="","",Supplier_Payments!$N56),"")</f>
        <v/>
      </c>
      <c r="AE1731" s="32">
        <f>IF($A1731=1,0,"")</f>
        <v/>
      </c>
      <c r="AF1731" s="32" t="inlineStr"/>
    </row>
    <row r="1732">
      <c r="A1732" s="32">
        <f>IF(AND(Supplier_Payments!$S56=1,N(Supplier_Payments!$E56)&gt;0),1,0)</f>
        <v/>
      </c>
      <c r="B1732" s="32">
        <f>IF($A1732=1,$E1732&amp;"/2","")</f>
        <v/>
      </c>
      <c r="C1732" s="32">
        <f>IF($A1732=1,"J-"&amp;Supplier_Payments!$A56,"")</f>
        <v/>
      </c>
      <c r="D1732" s="33">
        <f>IF($A1732=1,Supplier_Payments!$B56,"")</f>
        <v/>
      </c>
      <c r="E1732" s="32">
        <f>IF($A1732=1,IF(Supplier_Payments!$A56="","",Supplier_Payments!$A56),"")</f>
        <v/>
      </c>
      <c r="F1732" s="32">
        <f>IF($A1732=1,"SPAY","")</f>
        <v/>
      </c>
      <c r="G1732" s="32">
        <f>IF($A1732=1,IF(Supplier_Payments!$P56="","",Supplier_Payments!$P56),"")</f>
        <v/>
      </c>
      <c r="H1732" s="32">
        <f>IF($A1732=1,IF(COUNTIF(COA!$A:$A,$G1732)=0,"حساب غير معرف",INDEX(COA!$B:$B,MATCH($G1732,COA!$A:$A,0))),"")</f>
        <v/>
      </c>
      <c r="I1732" s="32">
        <f>IF($A1732=1,IF(Supplier_Payments!$Q56="","",Supplier_Payments!$Q56),"")</f>
        <v/>
      </c>
      <c r="J1732" s="32">
        <f>IF($A1732=1,"CC00","")</f>
        <v/>
      </c>
      <c r="K1732" s="32">
        <f>IF($A1732=1,"-","")</f>
        <v/>
      </c>
      <c r="L1732" s="32">
        <f>IF($A1732=1,IF(Supplier_Payments!$H56="","دفعة مورد "&amp;Supplier_Payments!$C56,Supplier_Payments!$H56),"")</f>
        <v/>
      </c>
      <c r="M1732" s="43">
        <f>IF($A1732=1,0,"")</f>
        <v/>
      </c>
      <c r="N1732" s="43">
        <f>IF($A1732=1,Supplier_Payments!$E56,"")</f>
        <v/>
      </c>
      <c r="O1732" s="32">
        <f>IF($A1732=1,Supplier_Payments!$I56,"")</f>
        <v/>
      </c>
      <c r="P1732" s="32">
        <f>IF($A1732=1,IF(Supplier_Payments!$T56="","",Supplier_Payments!$T56),"")</f>
        <v/>
      </c>
      <c r="Q1732" s="32">
        <f>IF($A1732=1,Supplier_Payments!$V56,"")</f>
        <v/>
      </c>
      <c r="R1732" s="32">
        <f>IF($A1732=1,IF(AND($Q1732=1,COUNTIFS(COA!$A:$A,$G1732,COA!$R:$R,1)=1),1,0),"")</f>
        <v/>
      </c>
      <c r="S1732" s="43">
        <f>IF($A1732=1,IF($R1732=1,N($M1732),0),"")</f>
        <v/>
      </c>
      <c r="T1732" s="43">
        <f>IF($A1732=1,IF($R1732=1,N($N1732),0),"")</f>
        <v/>
      </c>
      <c r="U1732" s="32">
        <f>IF($A1732=1,YEAR($D1732)*100+MONTH($D1732),"")</f>
        <v/>
      </c>
      <c r="V1732" s="32">
        <f>IF($A1732=1,IF(COUNTIF(COA!$A:$A,$G1732)=0,0,INDEX(COA!$H:$H,MATCH($G1732,COA!$A:$A,0))),"")</f>
        <v/>
      </c>
      <c r="W1732" s="32">
        <f>IF($A1732=1,IF(Supplier_Payments!$R56="","",Supplier_Payments!$R56),"")</f>
        <v/>
      </c>
      <c r="X1732" s="32">
        <f>IF($A1732=1,IF($R1732=1,"",IF($O1732=ST_POST,IF($P1732&lt;&gt;"",$P1732,"حساب غير صالح أو غير نشط"),IF($O1732=ST_REV,"معكوس: لا أثر على الدفاتر",IF($O1732=ST_CANC,"ملغى",IF($O1732=ST_APPR,"معتمد ولم يُرحَّل","مسودة"))))),"")</f>
        <v/>
      </c>
      <c r="Y1732" s="32">
        <f>IF($A1732=1,IF(AND($R1732=1,OR(LG_Acct="",$G1732=LG_Acct),OR(LG_Party="",$K1732=LG_Party),OR(LG_Loc="ALL",$I1732=LG_Loc),OR(LG_CC="ALL",$J1732=LG_CC),$D1732&gt;=LG_From,$D1732&lt;=LG_To),$D1732+ROW()/1000000,""),"")</f>
        <v/>
      </c>
      <c r="Z1732" s="32">
        <f>IF($A1732=1,IF(Supplier_Payments!$J56="","",Supplier_Payments!$J56),"")</f>
        <v/>
      </c>
      <c r="AA1732" s="32">
        <f>IF($A1732=1,IF(Supplier_Payments!$K56="","",Supplier_Payments!$K56),"")</f>
        <v/>
      </c>
      <c r="AB1732" s="32">
        <f>IF($A1732=1,IF(Supplier_Payments!$L56="","",Supplier_Payments!$L56),"")</f>
        <v/>
      </c>
      <c r="AC1732" s="32">
        <f>IF($A1732=1,IF(Supplier_Payments!$M56="","",Supplier_Payments!$M56),"")</f>
        <v/>
      </c>
      <c r="AD1732" s="32">
        <f>IF($A1732=1,IF(Supplier_Payments!$N56="","",Supplier_Payments!$N56),"")</f>
        <v/>
      </c>
      <c r="AE1732" s="32">
        <f>IF($A1732=1,0,"")</f>
        <v/>
      </c>
      <c r="AF1732" s="32" t="inlineStr"/>
    </row>
    <row r="1733">
      <c r="A1733" s="32">
        <f>IF(AND(Supplier_Payments!$S57=1,N(Supplier_Payments!$E57)&gt;0),1,0)</f>
        <v/>
      </c>
      <c r="B1733" s="32">
        <f>IF($A1733=1,$E1733&amp;"/1","")</f>
        <v/>
      </c>
      <c r="C1733" s="32">
        <f>IF($A1733=1,"J-"&amp;Supplier_Payments!$A57,"")</f>
        <v/>
      </c>
      <c r="D1733" s="33">
        <f>IF($A1733=1,Supplier_Payments!$B57,"")</f>
        <v/>
      </c>
      <c r="E1733" s="32">
        <f>IF($A1733=1,IF(Supplier_Payments!$A57="","",Supplier_Payments!$A57),"")</f>
        <v/>
      </c>
      <c r="F1733" s="32">
        <f>IF($A1733=1,"SPAY","")</f>
        <v/>
      </c>
      <c r="G1733" s="32">
        <f>IF($A1733=1,ACC_SUPPLIERS,"")</f>
        <v/>
      </c>
      <c r="H1733" s="32">
        <f>IF($A1733=1,IF(COUNTIF(COA!$A:$A,$G1733)=0,"حساب غير معرف",INDEX(COA!$B:$B,MATCH($G1733,COA!$A:$A,0))),"")</f>
        <v/>
      </c>
      <c r="I1733" s="32">
        <f>IF($A1733=1,IF(Supplier_Payments!$Q57="","",Supplier_Payments!$Q57),"")</f>
        <v/>
      </c>
      <c r="J1733" s="32">
        <f>IF($A1733=1,"CC00","")</f>
        <v/>
      </c>
      <c r="K1733" s="32">
        <f>IF($A1733=1,IF(Supplier_Payments!$C57="","",Supplier_Payments!$C57),"")</f>
        <v/>
      </c>
      <c r="L1733" s="32">
        <f>IF($A1733=1,IF(Supplier_Payments!$H57="","دفعة مورد "&amp;Supplier_Payments!$C57,Supplier_Payments!$H57),"")</f>
        <v/>
      </c>
      <c r="M1733" s="43">
        <f>IF($A1733=1,Supplier_Payments!$E57,"")</f>
        <v/>
      </c>
      <c r="N1733" s="43">
        <f>IF($A1733=1,0,"")</f>
        <v/>
      </c>
      <c r="O1733" s="32">
        <f>IF($A1733=1,Supplier_Payments!$I57,"")</f>
        <v/>
      </c>
      <c r="P1733" s="32">
        <f>IF($A1733=1,IF(Supplier_Payments!$T57="","",Supplier_Payments!$T57),"")</f>
        <v/>
      </c>
      <c r="Q1733" s="32">
        <f>IF($A1733=1,Supplier_Payments!$V57,"")</f>
        <v/>
      </c>
      <c r="R1733" s="32">
        <f>IF($A1733=1,IF(AND($Q1733=1,COUNTIFS(COA!$A:$A,$G1733,COA!$R:$R,1)=1),1,0),"")</f>
        <v/>
      </c>
      <c r="S1733" s="43">
        <f>IF($A1733=1,IF($R1733=1,N($M1733),0),"")</f>
        <v/>
      </c>
      <c r="T1733" s="43">
        <f>IF($A1733=1,IF($R1733=1,N($N1733),0),"")</f>
        <v/>
      </c>
      <c r="U1733" s="32">
        <f>IF($A1733=1,YEAR($D1733)*100+MONTH($D1733),"")</f>
        <v/>
      </c>
      <c r="V1733" s="32">
        <f>IF($A1733=1,IF(COUNTIF(COA!$A:$A,$G1733)=0,0,INDEX(COA!$H:$H,MATCH($G1733,COA!$A:$A,0))),"")</f>
        <v/>
      </c>
      <c r="W1733" s="32">
        <f>IF($A1733=1,"","")</f>
        <v/>
      </c>
      <c r="X1733" s="32">
        <f>IF($A1733=1,IF($R1733=1,"",IF($O1733=ST_POST,IF($P1733&lt;&gt;"",$P1733,"حساب غير صالح أو غير نشط"),IF($O1733=ST_REV,"معكوس: لا أثر على الدفاتر",IF($O1733=ST_CANC,"ملغى",IF($O1733=ST_APPR,"معتمد ولم يُرحَّل","مسودة"))))),"")</f>
        <v/>
      </c>
      <c r="Y1733" s="32">
        <f>IF($A1733=1,IF(AND($R1733=1,OR(LG_Acct="",$G1733=LG_Acct),OR(LG_Party="",$K1733=LG_Party),OR(LG_Loc="ALL",$I1733=LG_Loc),OR(LG_CC="ALL",$J1733=LG_CC),$D1733&gt;=LG_From,$D1733&lt;=LG_To),$D1733+ROW()/1000000,""),"")</f>
        <v/>
      </c>
      <c r="Z1733" s="32">
        <f>IF($A1733=1,IF(Supplier_Payments!$J57="","",Supplier_Payments!$J57),"")</f>
        <v/>
      </c>
      <c r="AA1733" s="32">
        <f>IF($A1733=1,IF(Supplier_Payments!$K57="","",Supplier_Payments!$K57),"")</f>
        <v/>
      </c>
      <c r="AB1733" s="32">
        <f>IF($A1733=1,IF(Supplier_Payments!$L57="","",Supplier_Payments!$L57),"")</f>
        <v/>
      </c>
      <c r="AC1733" s="32">
        <f>IF($A1733=1,IF(Supplier_Payments!$M57="","",Supplier_Payments!$M57),"")</f>
        <v/>
      </c>
      <c r="AD1733" s="32">
        <f>IF($A1733=1,IF(Supplier_Payments!$N57="","",Supplier_Payments!$N57),"")</f>
        <v/>
      </c>
      <c r="AE1733" s="32">
        <f>IF($A1733=1,0,"")</f>
        <v/>
      </c>
      <c r="AF1733" s="32" t="inlineStr"/>
    </row>
    <row r="1734">
      <c r="A1734" s="32">
        <f>IF(AND(Supplier_Payments!$S57=1,N(Supplier_Payments!$E57)&gt;0),1,0)</f>
        <v/>
      </c>
      <c r="B1734" s="32">
        <f>IF($A1734=1,$E1734&amp;"/2","")</f>
        <v/>
      </c>
      <c r="C1734" s="32">
        <f>IF($A1734=1,"J-"&amp;Supplier_Payments!$A57,"")</f>
        <v/>
      </c>
      <c r="D1734" s="33">
        <f>IF($A1734=1,Supplier_Payments!$B57,"")</f>
        <v/>
      </c>
      <c r="E1734" s="32">
        <f>IF($A1734=1,IF(Supplier_Payments!$A57="","",Supplier_Payments!$A57),"")</f>
        <v/>
      </c>
      <c r="F1734" s="32">
        <f>IF($A1734=1,"SPAY","")</f>
        <v/>
      </c>
      <c r="G1734" s="32">
        <f>IF($A1734=1,IF(Supplier_Payments!$P57="","",Supplier_Payments!$P57),"")</f>
        <v/>
      </c>
      <c r="H1734" s="32">
        <f>IF($A1734=1,IF(COUNTIF(COA!$A:$A,$G1734)=0,"حساب غير معرف",INDEX(COA!$B:$B,MATCH($G1734,COA!$A:$A,0))),"")</f>
        <v/>
      </c>
      <c r="I1734" s="32">
        <f>IF($A1734=1,IF(Supplier_Payments!$Q57="","",Supplier_Payments!$Q57),"")</f>
        <v/>
      </c>
      <c r="J1734" s="32">
        <f>IF($A1734=1,"CC00","")</f>
        <v/>
      </c>
      <c r="K1734" s="32">
        <f>IF($A1734=1,"-","")</f>
        <v/>
      </c>
      <c r="L1734" s="32">
        <f>IF($A1734=1,IF(Supplier_Payments!$H57="","دفعة مورد "&amp;Supplier_Payments!$C57,Supplier_Payments!$H57),"")</f>
        <v/>
      </c>
      <c r="M1734" s="43">
        <f>IF($A1734=1,0,"")</f>
        <v/>
      </c>
      <c r="N1734" s="43">
        <f>IF($A1734=1,Supplier_Payments!$E57,"")</f>
        <v/>
      </c>
      <c r="O1734" s="32">
        <f>IF($A1734=1,Supplier_Payments!$I57,"")</f>
        <v/>
      </c>
      <c r="P1734" s="32">
        <f>IF($A1734=1,IF(Supplier_Payments!$T57="","",Supplier_Payments!$T57),"")</f>
        <v/>
      </c>
      <c r="Q1734" s="32">
        <f>IF($A1734=1,Supplier_Payments!$V57,"")</f>
        <v/>
      </c>
      <c r="R1734" s="32">
        <f>IF($A1734=1,IF(AND($Q1734=1,COUNTIFS(COA!$A:$A,$G1734,COA!$R:$R,1)=1),1,0),"")</f>
        <v/>
      </c>
      <c r="S1734" s="43">
        <f>IF($A1734=1,IF($R1734=1,N($M1734),0),"")</f>
        <v/>
      </c>
      <c r="T1734" s="43">
        <f>IF($A1734=1,IF($R1734=1,N($N1734),0),"")</f>
        <v/>
      </c>
      <c r="U1734" s="32">
        <f>IF($A1734=1,YEAR($D1734)*100+MONTH($D1734),"")</f>
        <v/>
      </c>
      <c r="V1734" s="32">
        <f>IF($A1734=1,IF(COUNTIF(COA!$A:$A,$G1734)=0,0,INDEX(COA!$H:$H,MATCH($G1734,COA!$A:$A,0))),"")</f>
        <v/>
      </c>
      <c r="W1734" s="32">
        <f>IF($A1734=1,IF(Supplier_Payments!$R57="","",Supplier_Payments!$R57),"")</f>
        <v/>
      </c>
      <c r="X1734" s="32">
        <f>IF($A1734=1,IF($R1734=1,"",IF($O1734=ST_POST,IF($P1734&lt;&gt;"",$P1734,"حساب غير صالح أو غير نشط"),IF($O1734=ST_REV,"معكوس: لا أثر على الدفاتر",IF($O1734=ST_CANC,"ملغى",IF($O1734=ST_APPR,"معتمد ولم يُرحَّل","مسودة"))))),"")</f>
        <v/>
      </c>
      <c r="Y1734" s="32">
        <f>IF($A1734=1,IF(AND($R1734=1,OR(LG_Acct="",$G1734=LG_Acct),OR(LG_Party="",$K1734=LG_Party),OR(LG_Loc="ALL",$I1734=LG_Loc),OR(LG_CC="ALL",$J1734=LG_CC),$D1734&gt;=LG_From,$D1734&lt;=LG_To),$D1734+ROW()/1000000,""),"")</f>
        <v/>
      </c>
      <c r="Z1734" s="32">
        <f>IF($A1734=1,IF(Supplier_Payments!$J57="","",Supplier_Payments!$J57),"")</f>
        <v/>
      </c>
      <c r="AA1734" s="32">
        <f>IF($A1734=1,IF(Supplier_Payments!$K57="","",Supplier_Payments!$K57),"")</f>
        <v/>
      </c>
      <c r="AB1734" s="32">
        <f>IF($A1734=1,IF(Supplier_Payments!$L57="","",Supplier_Payments!$L57),"")</f>
        <v/>
      </c>
      <c r="AC1734" s="32">
        <f>IF($A1734=1,IF(Supplier_Payments!$M57="","",Supplier_Payments!$M57),"")</f>
        <v/>
      </c>
      <c r="AD1734" s="32">
        <f>IF($A1734=1,IF(Supplier_Payments!$N57="","",Supplier_Payments!$N57),"")</f>
        <v/>
      </c>
      <c r="AE1734" s="32">
        <f>IF($A1734=1,0,"")</f>
        <v/>
      </c>
      <c r="AF1734" s="32" t="inlineStr"/>
    </row>
    <row r="1735">
      <c r="A1735" s="32">
        <f>IF(AND(Supplier_Payments!$S58=1,N(Supplier_Payments!$E58)&gt;0),1,0)</f>
        <v/>
      </c>
      <c r="B1735" s="32">
        <f>IF($A1735=1,$E1735&amp;"/1","")</f>
        <v/>
      </c>
      <c r="C1735" s="32">
        <f>IF($A1735=1,"J-"&amp;Supplier_Payments!$A58,"")</f>
        <v/>
      </c>
      <c r="D1735" s="33">
        <f>IF($A1735=1,Supplier_Payments!$B58,"")</f>
        <v/>
      </c>
      <c r="E1735" s="32">
        <f>IF($A1735=1,IF(Supplier_Payments!$A58="","",Supplier_Payments!$A58),"")</f>
        <v/>
      </c>
      <c r="F1735" s="32">
        <f>IF($A1735=1,"SPAY","")</f>
        <v/>
      </c>
      <c r="G1735" s="32">
        <f>IF($A1735=1,ACC_SUPPLIERS,"")</f>
        <v/>
      </c>
      <c r="H1735" s="32">
        <f>IF($A1735=1,IF(COUNTIF(COA!$A:$A,$G1735)=0,"حساب غير معرف",INDEX(COA!$B:$B,MATCH($G1735,COA!$A:$A,0))),"")</f>
        <v/>
      </c>
      <c r="I1735" s="32">
        <f>IF($A1735=1,IF(Supplier_Payments!$Q58="","",Supplier_Payments!$Q58),"")</f>
        <v/>
      </c>
      <c r="J1735" s="32">
        <f>IF($A1735=1,"CC00","")</f>
        <v/>
      </c>
      <c r="K1735" s="32">
        <f>IF($A1735=1,IF(Supplier_Payments!$C58="","",Supplier_Payments!$C58),"")</f>
        <v/>
      </c>
      <c r="L1735" s="32">
        <f>IF($A1735=1,IF(Supplier_Payments!$H58="","دفعة مورد "&amp;Supplier_Payments!$C58,Supplier_Payments!$H58),"")</f>
        <v/>
      </c>
      <c r="M1735" s="43">
        <f>IF($A1735=1,Supplier_Payments!$E58,"")</f>
        <v/>
      </c>
      <c r="N1735" s="43">
        <f>IF($A1735=1,0,"")</f>
        <v/>
      </c>
      <c r="O1735" s="32">
        <f>IF($A1735=1,Supplier_Payments!$I58,"")</f>
        <v/>
      </c>
      <c r="P1735" s="32">
        <f>IF($A1735=1,IF(Supplier_Payments!$T58="","",Supplier_Payments!$T58),"")</f>
        <v/>
      </c>
      <c r="Q1735" s="32">
        <f>IF($A1735=1,Supplier_Payments!$V58,"")</f>
        <v/>
      </c>
      <c r="R1735" s="32">
        <f>IF($A1735=1,IF(AND($Q1735=1,COUNTIFS(COA!$A:$A,$G1735,COA!$R:$R,1)=1),1,0),"")</f>
        <v/>
      </c>
      <c r="S1735" s="43">
        <f>IF($A1735=1,IF($R1735=1,N($M1735),0),"")</f>
        <v/>
      </c>
      <c r="T1735" s="43">
        <f>IF($A1735=1,IF($R1735=1,N($N1735),0),"")</f>
        <v/>
      </c>
      <c r="U1735" s="32">
        <f>IF($A1735=1,YEAR($D1735)*100+MONTH($D1735),"")</f>
        <v/>
      </c>
      <c r="V1735" s="32">
        <f>IF($A1735=1,IF(COUNTIF(COA!$A:$A,$G1735)=0,0,INDEX(COA!$H:$H,MATCH($G1735,COA!$A:$A,0))),"")</f>
        <v/>
      </c>
      <c r="W1735" s="32">
        <f>IF($A1735=1,"","")</f>
        <v/>
      </c>
      <c r="X1735" s="32">
        <f>IF($A1735=1,IF($R1735=1,"",IF($O1735=ST_POST,IF($P1735&lt;&gt;"",$P1735,"حساب غير صالح أو غير نشط"),IF($O1735=ST_REV,"معكوس: لا أثر على الدفاتر",IF($O1735=ST_CANC,"ملغى",IF($O1735=ST_APPR,"معتمد ولم يُرحَّل","مسودة"))))),"")</f>
        <v/>
      </c>
      <c r="Y1735" s="32">
        <f>IF($A1735=1,IF(AND($R1735=1,OR(LG_Acct="",$G1735=LG_Acct),OR(LG_Party="",$K1735=LG_Party),OR(LG_Loc="ALL",$I1735=LG_Loc),OR(LG_CC="ALL",$J1735=LG_CC),$D1735&gt;=LG_From,$D1735&lt;=LG_To),$D1735+ROW()/1000000,""),"")</f>
        <v/>
      </c>
      <c r="Z1735" s="32">
        <f>IF($A1735=1,IF(Supplier_Payments!$J58="","",Supplier_Payments!$J58),"")</f>
        <v/>
      </c>
      <c r="AA1735" s="32">
        <f>IF($A1735=1,IF(Supplier_Payments!$K58="","",Supplier_Payments!$K58),"")</f>
        <v/>
      </c>
      <c r="AB1735" s="32">
        <f>IF($A1735=1,IF(Supplier_Payments!$L58="","",Supplier_Payments!$L58),"")</f>
        <v/>
      </c>
      <c r="AC1735" s="32">
        <f>IF($A1735=1,IF(Supplier_Payments!$M58="","",Supplier_Payments!$M58),"")</f>
        <v/>
      </c>
      <c r="AD1735" s="32">
        <f>IF($A1735=1,IF(Supplier_Payments!$N58="","",Supplier_Payments!$N58),"")</f>
        <v/>
      </c>
      <c r="AE1735" s="32">
        <f>IF($A1735=1,0,"")</f>
        <v/>
      </c>
      <c r="AF1735" s="32" t="inlineStr"/>
    </row>
    <row r="1736">
      <c r="A1736" s="32">
        <f>IF(AND(Supplier_Payments!$S58=1,N(Supplier_Payments!$E58)&gt;0),1,0)</f>
        <v/>
      </c>
      <c r="B1736" s="32">
        <f>IF($A1736=1,$E1736&amp;"/2","")</f>
        <v/>
      </c>
      <c r="C1736" s="32">
        <f>IF($A1736=1,"J-"&amp;Supplier_Payments!$A58,"")</f>
        <v/>
      </c>
      <c r="D1736" s="33">
        <f>IF($A1736=1,Supplier_Payments!$B58,"")</f>
        <v/>
      </c>
      <c r="E1736" s="32">
        <f>IF($A1736=1,IF(Supplier_Payments!$A58="","",Supplier_Payments!$A58),"")</f>
        <v/>
      </c>
      <c r="F1736" s="32">
        <f>IF($A1736=1,"SPAY","")</f>
        <v/>
      </c>
      <c r="G1736" s="32">
        <f>IF($A1736=1,IF(Supplier_Payments!$P58="","",Supplier_Payments!$P58),"")</f>
        <v/>
      </c>
      <c r="H1736" s="32">
        <f>IF($A1736=1,IF(COUNTIF(COA!$A:$A,$G1736)=0,"حساب غير معرف",INDEX(COA!$B:$B,MATCH($G1736,COA!$A:$A,0))),"")</f>
        <v/>
      </c>
      <c r="I1736" s="32">
        <f>IF($A1736=1,IF(Supplier_Payments!$Q58="","",Supplier_Payments!$Q58),"")</f>
        <v/>
      </c>
      <c r="J1736" s="32">
        <f>IF($A1736=1,"CC00","")</f>
        <v/>
      </c>
      <c r="K1736" s="32">
        <f>IF($A1736=1,"-","")</f>
        <v/>
      </c>
      <c r="L1736" s="32">
        <f>IF($A1736=1,IF(Supplier_Payments!$H58="","دفعة مورد "&amp;Supplier_Payments!$C58,Supplier_Payments!$H58),"")</f>
        <v/>
      </c>
      <c r="M1736" s="43">
        <f>IF($A1736=1,0,"")</f>
        <v/>
      </c>
      <c r="N1736" s="43">
        <f>IF($A1736=1,Supplier_Payments!$E58,"")</f>
        <v/>
      </c>
      <c r="O1736" s="32">
        <f>IF($A1736=1,Supplier_Payments!$I58,"")</f>
        <v/>
      </c>
      <c r="P1736" s="32">
        <f>IF($A1736=1,IF(Supplier_Payments!$T58="","",Supplier_Payments!$T58),"")</f>
        <v/>
      </c>
      <c r="Q1736" s="32">
        <f>IF($A1736=1,Supplier_Payments!$V58,"")</f>
        <v/>
      </c>
      <c r="R1736" s="32">
        <f>IF($A1736=1,IF(AND($Q1736=1,COUNTIFS(COA!$A:$A,$G1736,COA!$R:$R,1)=1),1,0),"")</f>
        <v/>
      </c>
      <c r="S1736" s="43">
        <f>IF($A1736=1,IF($R1736=1,N($M1736),0),"")</f>
        <v/>
      </c>
      <c r="T1736" s="43">
        <f>IF($A1736=1,IF($R1736=1,N($N1736),0),"")</f>
        <v/>
      </c>
      <c r="U1736" s="32">
        <f>IF($A1736=1,YEAR($D1736)*100+MONTH($D1736),"")</f>
        <v/>
      </c>
      <c r="V1736" s="32">
        <f>IF($A1736=1,IF(COUNTIF(COA!$A:$A,$G1736)=0,0,INDEX(COA!$H:$H,MATCH($G1736,COA!$A:$A,0))),"")</f>
        <v/>
      </c>
      <c r="W1736" s="32">
        <f>IF($A1736=1,IF(Supplier_Payments!$R58="","",Supplier_Payments!$R58),"")</f>
        <v/>
      </c>
      <c r="X1736" s="32">
        <f>IF($A1736=1,IF($R1736=1,"",IF($O1736=ST_POST,IF($P1736&lt;&gt;"",$P1736,"حساب غير صالح أو غير نشط"),IF($O1736=ST_REV,"معكوس: لا أثر على الدفاتر",IF($O1736=ST_CANC,"ملغى",IF($O1736=ST_APPR,"معتمد ولم يُرحَّل","مسودة"))))),"")</f>
        <v/>
      </c>
      <c r="Y1736" s="32">
        <f>IF($A1736=1,IF(AND($R1736=1,OR(LG_Acct="",$G1736=LG_Acct),OR(LG_Party="",$K1736=LG_Party),OR(LG_Loc="ALL",$I1736=LG_Loc),OR(LG_CC="ALL",$J1736=LG_CC),$D1736&gt;=LG_From,$D1736&lt;=LG_To),$D1736+ROW()/1000000,""),"")</f>
        <v/>
      </c>
      <c r="Z1736" s="32">
        <f>IF($A1736=1,IF(Supplier_Payments!$J58="","",Supplier_Payments!$J58),"")</f>
        <v/>
      </c>
      <c r="AA1736" s="32">
        <f>IF($A1736=1,IF(Supplier_Payments!$K58="","",Supplier_Payments!$K58),"")</f>
        <v/>
      </c>
      <c r="AB1736" s="32">
        <f>IF($A1736=1,IF(Supplier_Payments!$L58="","",Supplier_Payments!$L58),"")</f>
        <v/>
      </c>
      <c r="AC1736" s="32">
        <f>IF($A1736=1,IF(Supplier_Payments!$M58="","",Supplier_Payments!$M58),"")</f>
        <v/>
      </c>
      <c r="AD1736" s="32">
        <f>IF($A1736=1,IF(Supplier_Payments!$N58="","",Supplier_Payments!$N58),"")</f>
        <v/>
      </c>
      <c r="AE1736" s="32">
        <f>IF($A1736=1,0,"")</f>
        <v/>
      </c>
      <c r="AF1736" s="32" t="inlineStr"/>
    </row>
    <row r="1737">
      <c r="A1737" s="32">
        <f>IF(AND(Supplier_Payments!$S59=1,N(Supplier_Payments!$E59)&gt;0),1,0)</f>
        <v/>
      </c>
      <c r="B1737" s="32">
        <f>IF($A1737=1,$E1737&amp;"/1","")</f>
        <v/>
      </c>
      <c r="C1737" s="32">
        <f>IF($A1737=1,"J-"&amp;Supplier_Payments!$A59,"")</f>
        <v/>
      </c>
      <c r="D1737" s="33">
        <f>IF($A1737=1,Supplier_Payments!$B59,"")</f>
        <v/>
      </c>
      <c r="E1737" s="32">
        <f>IF($A1737=1,IF(Supplier_Payments!$A59="","",Supplier_Payments!$A59),"")</f>
        <v/>
      </c>
      <c r="F1737" s="32">
        <f>IF($A1737=1,"SPAY","")</f>
        <v/>
      </c>
      <c r="G1737" s="32">
        <f>IF($A1737=1,ACC_SUPPLIERS,"")</f>
        <v/>
      </c>
      <c r="H1737" s="32">
        <f>IF($A1737=1,IF(COUNTIF(COA!$A:$A,$G1737)=0,"حساب غير معرف",INDEX(COA!$B:$B,MATCH($G1737,COA!$A:$A,0))),"")</f>
        <v/>
      </c>
      <c r="I1737" s="32">
        <f>IF($A1737=1,IF(Supplier_Payments!$Q59="","",Supplier_Payments!$Q59),"")</f>
        <v/>
      </c>
      <c r="J1737" s="32">
        <f>IF($A1737=1,"CC00","")</f>
        <v/>
      </c>
      <c r="K1737" s="32">
        <f>IF($A1737=1,IF(Supplier_Payments!$C59="","",Supplier_Payments!$C59),"")</f>
        <v/>
      </c>
      <c r="L1737" s="32">
        <f>IF($A1737=1,IF(Supplier_Payments!$H59="","دفعة مورد "&amp;Supplier_Payments!$C59,Supplier_Payments!$H59),"")</f>
        <v/>
      </c>
      <c r="M1737" s="43">
        <f>IF($A1737=1,Supplier_Payments!$E59,"")</f>
        <v/>
      </c>
      <c r="N1737" s="43">
        <f>IF($A1737=1,0,"")</f>
        <v/>
      </c>
      <c r="O1737" s="32">
        <f>IF($A1737=1,Supplier_Payments!$I59,"")</f>
        <v/>
      </c>
      <c r="P1737" s="32">
        <f>IF($A1737=1,IF(Supplier_Payments!$T59="","",Supplier_Payments!$T59),"")</f>
        <v/>
      </c>
      <c r="Q1737" s="32">
        <f>IF($A1737=1,Supplier_Payments!$V59,"")</f>
        <v/>
      </c>
      <c r="R1737" s="32">
        <f>IF($A1737=1,IF(AND($Q1737=1,COUNTIFS(COA!$A:$A,$G1737,COA!$R:$R,1)=1),1,0),"")</f>
        <v/>
      </c>
      <c r="S1737" s="43">
        <f>IF($A1737=1,IF($R1737=1,N($M1737),0),"")</f>
        <v/>
      </c>
      <c r="T1737" s="43">
        <f>IF($A1737=1,IF($R1737=1,N($N1737),0),"")</f>
        <v/>
      </c>
      <c r="U1737" s="32">
        <f>IF($A1737=1,YEAR($D1737)*100+MONTH($D1737),"")</f>
        <v/>
      </c>
      <c r="V1737" s="32">
        <f>IF($A1737=1,IF(COUNTIF(COA!$A:$A,$G1737)=0,0,INDEX(COA!$H:$H,MATCH($G1737,COA!$A:$A,0))),"")</f>
        <v/>
      </c>
      <c r="W1737" s="32">
        <f>IF($A1737=1,"","")</f>
        <v/>
      </c>
      <c r="X1737" s="32">
        <f>IF($A1737=1,IF($R1737=1,"",IF($O1737=ST_POST,IF($P1737&lt;&gt;"",$P1737,"حساب غير صالح أو غير نشط"),IF($O1737=ST_REV,"معكوس: لا أثر على الدفاتر",IF($O1737=ST_CANC,"ملغى",IF($O1737=ST_APPR,"معتمد ولم يُرحَّل","مسودة"))))),"")</f>
        <v/>
      </c>
      <c r="Y1737" s="32">
        <f>IF($A1737=1,IF(AND($R1737=1,OR(LG_Acct="",$G1737=LG_Acct),OR(LG_Party="",$K1737=LG_Party),OR(LG_Loc="ALL",$I1737=LG_Loc),OR(LG_CC="ALL",$J1737=LG_CC),$D1737&gt;=LG_From,$D1737&lt;=LG_To),$D1737+ROW()/1000000,""),"")</f>
        <v/>
      </c>
      <c r="Z1737" s="32">
        <f>IF($A1737=1,IF(Supplier_Payments!$J59="","",Supplier_Payments!$J59),"")</f>
        <v/>
      </c>
      <c r="AA1737" s="32">
        <f>IF($A1737=1,IF(Supplier_Payments!$K59="","",Supplier_Payments!$K59),"")</f>
        <v/>
      </c>
      <c r="AB1737" s="32">
        <f>IF($A1737=1,IF(Supplier_Payments!$L59="","",Supplier_Payments!$L59),"")</f>
        <v/>
      </c>
      <c r="AC1737" s="32">
        <f>IF($A1737=1,IF(Supplier_Payments!$M59="","",Supplier_Payments!$M59),"")</f>
        <v/>
      </c>
      <c r="AD1737" s="32">
        <f>IF($A1737=1,IF(Supplier_Payments!$N59="","",Supplier_Payments!$N59),"")</f>
        <v/>
      </c>
      <c r="AE1737" s="32">
        <f>IF($A1737=1,0,"")</f>
        <v/>
      </c>
      <c r="AF1737" s="32" t="inlineStr"/>
    </row>
    <row r="1738">
      <c r="A1738" s="32">
        <f>IF(AND(Supplier_Payments!$S59=1,N(Supplier_Payments!$E59)&gt;0),1,0)</f>
        <v/>
      </c>
      <c r="B1738" s="32">
        <f>IF($A1738=1,$E1738&amp;"/2","")</f>
        <v/>
      </c>
      <c r="C1738" s="32">
        <f>IF($A1738=1,"J-"&amp;Supplier_Payments!$A59,"")</f>
        <v/>
      </c>
      <c r="D1738" s="33">
        <f>IF($A1738=1,Supplier_Payments!$B59,"")</f>
        <v/>
      </c>
      <c r="E1738" s="32">
        <f>IF($A1738=1,IF(Supplier_Payments!$A59="","",Supplier_Payments!$A59),"")</f>
        <v/>
      </c>
      <c r="F1738" s="32">
        <f>IF($A1738=1,"SPAY","")</f>
        <v/>
      </c>
      <c r="G1738" s="32">
        <f>IF($A1738=1,IF(Supplier_Payments!$P59="","",Supplier_Payments!$P59),"")</f>
        <v/>
      </c>
      <c r="H1738" s="32">
        <f>IF($A1738=1,IF(COUNTIF(COA!$A:$A,$G1738)=0,"حساب غير معرف",INDEX(COA!$B:$B,MATCH($G1738,COA!$A:$A,0))),"")</f>
        <v/>
      </c>
      <c r="I1738" s="32">
        <f>IF($A1738=1,IF(Supplier_Payments!$Q59="","",Supplier_Payments!$Q59),"")</f>
        <v/>
      </c>
      <c r="J1738" s="32">
        <f>IF($A1738=1,"CC00","")</f>
        <v/>
      </c>
      <c r="K1738" s="32">
        <f>IF($A1738=1,"-","")</f>
        <v/>
      </c>
      <c r="L1738" s="32">
        <f>IF($A1738=1,IF(Supplier_Payments!$H59="","دفعة مورد "&amp;Supplier_Payments!$C59,Supplier_Payments!$H59),"")</f>
        <v/>
      </c>
      <c r="M1738" s="43">
        <f>IF($A1738=1,0,"")</f>
        <v/>
      </c>
      <c r="N1738" s="43">
        <f>IF($A1738=1,Supplier_Payments!$E59,"")</f>
        <v/>
      </c>
      <c r="O1738" s="32">
        <f>IF($A1738=1,Supplier_Payments!$I59,"")</f>
        <v/>
      </c>
      <c r="P1738" s="32">
        <f>IF($A1738=1,IF(Supplier_Payments!$T59="","",Supplier_Payments!$T59),"")</f>
        <v/>
      </c>
      <c r="Q1738" s="32">
        <f>IF($A1738=1,Supplier_Payments!$V59,"")</f>
        <v/>
      </c>
      <c r="R1738" s="32">
        <f>IF($A1738=1,IF(AND($Q1738=1,COUNTIFS(COA!$A:$A,$G1738,COA!$R:$R,1)=1),1,0),"")</f>
        <v/>
      </c>
      <c r="S1738" s="43">
        <f>IF($A1738=1,IF($R1738=1,N($M1738),0),"")</f>
        <v/>
      </c>
      <c r="T1738" s="43">
        <f>IF($A1738=1,IF($R1738=1,N($N1738),0),"")</f>
        <v/>
      </c>
      <c r="U1738" s="32">
        <f>IF($A1738=1,YEAR($D1738)*100+MONTH($D1738),"")</f>
        <v/>
      </c>
      <c r="V1738" s="32">
        <f>IF($A1738=1,IF(COUNTIF(COA!$A:$A,$G1738)=0,0,INDEX(COA!$H:$H,MATCH($G1738,COA!$A:$A,0))),"")</f>
        <v/>
      </c>
      <c r="W1738" s="32">
        <f>IF($A1738=1,IF(Supplier_Payments!$R59="","",Supplier_Payments!$R59),"")</f>
        <v/>
      </c>
      <c r="X1738" s="32">
        <f>IF($A1738=1,IF($R1738=1,"",IF($O1738=ST_POST,IF($P1738&lt;&gt;"",$P1738,"حساب غير صالح أو غير نشط"),IF($O1738=ST_REV,"معكوس: لا أثر على الدفاتر",IF($O1738=ST_CANC,"ملغى",IF($O1738=ST_APPR,"معتمد ولم يُرحَّل","مسودة"))))),"")</f>
        <v/>
      </c>
      <c r="Y1738" s="32">
        <f>IF($A1738=1,IF(AND($R1738=1,OR(LG_Acct="",$G1738=LG_Acct),OR(LG_Party="",$K1738=LG_Party),OR(LG_Loc="ALL",$I1738=LG_Loc),OR(LG_CC="ALL",$J1738=LG_CC),$D1738&gt;=LG_From,$D1738&lt;=LG_To),$D1738+ROW()/1000000,""),"")</f>
        <v/>
      </c>
      <c r="Z1738" s="32">
        <f>IF($A1738=1,IF(Supplier_Payments!$J59="","",Supplier_Payments!$J59),"")</f>
        <v/>
      </c>
      <c r="AA1738" s="32">
        <f>IF($A1738=1,IF(Supplier_Payments!$K59="","",Supplier_Payments!$K59),"")</f>
        <v/>
      </c>
      <c r="AB1738" s="32">
        <f>IF($A1738=1,IF(Supplier_Payments!$L59="","",Supplier_Payments!$L59),"")</f>
        <v/>
      </c>
      <c r="AC1738" s="32">
        <f>IF($A1738=1,IF(Supplier_Payments!$M59="","",Supplier_Payments!$M59),"")</f>
        <v/>
      </c>
      <c r="AD1738" s="32">
        <f>IF($A1738=1,IF(Supplier_Payments!$N59="","",Supplier_Payments!$N59),"")</f>
        <v/>
      </c>
      <c r="AE1738" s="32">
        <f>IF($A1738=1,0,"")</f>
        <v/>
      </c>
      <c r="AF1738" s="32" t="inlineStr"/>
    </row>
    <row r="1739">
      <c r="A1739" s="32">
        <f>IF(AND(Supplier_Payments!$S60=1,N(Supplier_Payments!$E60)&gt;0),1,0)</f>
        <v/>
      </c>
      <c r="B1739" s="32">
        <f>IF($A1739=1,$E1739&amp;"/1","")</f>
        <v/>
      </c>
      <c r="C1739" s="32">
        <f>IF($A1739=1,"J-"&amp;Supplier_Payments!$A60,"")</f>
        <v/>
      </c>
      <c r="D1739" s="33">
        <f>IF($A1739=1,Supplier_Payments!$B60,"")</f>
        <v/>
      </c>
      <c r="E1739" s="32">
        <f>IF($A1739=1,IF(Supplier_Payments!$A60="","",Supplier_Payments!$A60),"")</f>
        <v/>
      </c>
      <c r="F1739" s="32">
        <f>IF($A1739=1,"SPAY","")</f>
        <v/>
      </c>
      <c r="G1739" s="32">
        <f>IF($A1739=1,ACC_SUPPLIERS,"")</f>
        <v/>
      </c>
      <c r="H1739" s="32">
        <f>IF($A1739=1,IF(COUNTIF(COA!$A:$A,$G1739)=0,"حساب غير معرف",INDEX(COA!$B:$B,MATCH($G1739,COA!$A:$A,0))),"")</f>
        <v/>
      </c>
      <c r="I1739" s="32">
        <f>IF($A1739=1,IF(Supplier_Payments!$Q60="","",Supplier_Payments!$Q60),"")</f>
        <v/>
      </c>
      <c r="J1739" s="32">
        <f>IF($A1739=1,"CC00","")</f>
        <v/>
      </c>
      <c r="K1739" s="32">
        <f>IF($A1739=1,IF(Supplier_Payments!$C60="","",Supplier_Payments!$C60),"")</f>
        <v/>
      </c>
      <c r="L1739" s="32">
        <f>IF($A1739=1,IF(Supplier_Payments!$H60="","دفعة مورد "&amp;Supplier_Payments!$C60,Supplier_Payments!$H60),"")</f>
        <v/>
      </c>
      <c r="M1739" s="43">
        <f>IF($A1739=1,Supplier_Payments!$E60,"")</f>
        <v/>
      </c>
      <c r="N1739" s="43">
        <f>IF($A1739=1,0,"")</f>
        <v/>
      </c>
      <c r="O1739" s="32">
        <f>IF($A1739=1,Supplier_Payments!$I60,"")</f>
        <v/>
      </c>
      <c r="P1739" s="32">
        <f>IF($A1739=1,IF(Supplier_Payments!$T60="","",Supplier_Payments!$T60),"")</f>
        <v/>
      </c>
      <c r="Q1739" s="32">
        <f>IF($A1739=1,Supplier_Payments!$V60,"")</f>
        <v/>
      </c>
      <c r="R1739" s="32">
        <f>IF($A1739=1,IF(AND($Q1739=1,COUNTIFS(COA!$A:$A,$G1739,COA!$R:$R,1)=1),1,0),"")</f>
        <v/>
      </c>
      <c r="S1739" s="43">
        <f>IF($A1739=1,IF($R1739=1,N($M1739),0),"")</f>
        <v/>
      </c>
      <c r="T1739" s="43">
        <f>IF($A1739=1,IF($R1739=1,N($N1739),0),"")</f>
        <v/>
      </c>
      <c r="U1739" s="32">
        <f>IF($A1739=1,YEAR($D1739)*100+MONTH($D1739),"")</f>
        <v/>
      </c>
      <c r="V1739" s="32">
        <f>IF($A1739=1,IF(COUNTIF(COA!$A:$A,$G1739)=0,0,INDEX(COA!$H:$H,MATCH($G1739,COA!$A:$A,0))),"")</f>
        <v/>
      </c>
      <c r="W1739" s="32">
        <f>IF($A1739=1,"","")</f>
        <v/>
      </c>
      <c r="X1739" s="32">
        <f>IF($A1739=1,IF($R1739=1,"",IF($O1739=ST_POST,IF($P1739&lt;&gt;"",$P1739,"حساب غير صالح أو غير نشط"),IF($O1739=ST_REV,"معكوس: لا أثر على الدفاتر",IF($O1739=ST_CANC,"ملغى",IF($O1739=ST_APPR,"معتمد ولم يُرحَّل","مسودة"))))),"")</f>
        <v/>
      </c>
      <c r="Y1739" s="32">
        <f>IF($A1739=1,IF(AND($R1739=1,OR(LG_Acct="",$G1739=LG_Acct),OR(LG_Party="",$K1739=LG_Party),OR(LG_Loc="ALL",$I1739=LG_Loc),OR(LG_CC="ALL",$J1739=LG_CC),$D1739&gt;=LG_From,$D1739&lt;=LG_To),$D1739+ROW()/1000000,""),"")</f>
        <v/>
      </c>
      <c r="Z1739" s="32">
        <f>IF($A1739=1,IF(Supplier_Payments!$J60="","",Supplier_Payments!$J60),"")</f>
        <v/>
      </c>
      <c r="AA1739" s="32">
        <f>IF($A1739=1,IF(Supplier_Payments!$K60="","",Supplier_Payments!$K60),"")</f>
        <v/>
      </c>
      <c r="AB1739" s="32">
        <f>IF($A1739=1,IF(Supplier_Payments!$L60="","",Supplier_Payments!$L60),"")</f>
        <v/>
      </c>
      <c r="AC1739" s="32">
        <f>IF($A1739=1,IF(Supplier_Payments!$M60="","",Supplier_Payments!$M60),"")</f>
        <v/>
      </c>
      <c r="AD1739" s="32">
        <f>IF($A1739=1,IF(Supplier_Payments!$N60="","",Supplier_Payments!$N60),"")</f>
        <v/>
      </c>
      <c r="AE1739" s="32">
        <f>IF($A1739=1,0,"")</f>
        <v/>
      </c>
      <c r="AF1739" s="32" t="inlineStr"/>
    </row>
    <row r="1740">
      <c r="A1740" s="32">
        <f>IF(AND(Supplier_Payments!$S60=1,N(Supplier_Payments!$E60)&gt;0),1,0)</f>
        <v/>
      </c>
      <c r="B1740" s="32">
        <f>IF($A1740=1,$E1740&amp;"/2","")</f>
        <v/>
      </c>
      <c r="C1740" s="32">
        <f>IF($A1740=1,"J-"&amp;Supplier_Payments!$A60,"")</f>
        <v/>
      </c>
      <c r="D1740" s="33">
        <f>IF($A1740=1,Supplier_Payments!$B60,"")</f>
        <v/>
      </c>
      <c r="E1740" s="32">
        <f>IF($A1740=1,IF(Supplier_Payments!$A60="","",Supplier_Payments!$A60),"")</f>
        <v/>
      </c>
      <c r="F1740" s="32">
        <f>IF($A1740=1,"SPAY","")</f>
        <v/>
      </c>
      <c r="G1740" s="32">
        <f>IF($A1740=1,IF(Supplier_Payments!$P60="","",Supplier_Payments!$P60),"")</f>
        <v/>
      </c>
      <c r="H1740" s="32">
        <f>IF($A1740=1,IF(COUNTIF(COA!$A:$A,$G1740)=0,"حساب غير معرف",INDEX(COA!$B:$B,MATCH($G1740,COA!$A:$A,0))),"")</f>
        <v/>
      </c>
      <c r="I1740" s="32">
        <f>IF($A1740=1,IF(Supplier_Payments!$Q60="","",Supplier_Payments!$Q60),"")</f>
        <v/>
      </c>
      <c r="J1740" s="32">
        <f>IF($A1740=1,"CC00","")</f>
        <v/>
      </c>
      <c r="K1740" s="32">
        <f>IF($A1740=1,"-","")</f>
        <v/>
      </c>
      <c r="L1740" s="32">
        <f>IF($A1740=1,IF(Supplier_Payments!$H60="","دفعة مورد "&amp;Supplier_Payments!$C60,Supplier_Payments!$H60),"")</f>
        <v/>
      </c>
      <c r="M1740" s="43">
        <f>IF($A1740=1,0,"")</f>
        <v/>
      </c>
      <c r="N1740" s="43">
        <f>IF($A1740=1,Supplier_Payments!$E60,"")</f>
        <v/>
      </c>
      <c r="O1740" s="32">
        <f>IF($A1740=1,Supplier_Payments!$I60,"")</f>
        <v/>
      </c>
      <c r="P1740" s="32">
        <f>IF($A1740=1,IF(Supplier_Payments!$T60="","",Supplier_Payments!$T60),"")</f>
        <v/>
      </c>
      <c r="Q1740" s="32">
        <f>IF($A1740=1,Supplier_Payments!$V60,"")</f>
        <v/>
      </c>
      <c r="R1740" s="32">
        <f>IF($A1740=1,IF(AND($Q1740=1,COUNTIFS(COA!$A:$A,$G1740,COA!$R:$R,1)=1),1,0),"")</f>
        <v/>
      </c>
      <c r="S1740" s="43">
        <f>IF($A1740=1,IF($R1740=1,N($M1740),0),"")</f>
        <v/>
      </c>
      <c r="T1740" s="43">
        <f>IF($A1740=1,IF($R1740=1,N($N1740),0),"")</f>
        <v/>
      </c>
      <c r="U1740" s="32">
        <f>IF($A1740=1,YEAR($D1740)*100+MONTH($D1740),"")</f>
        <v/>
      </c>
      <c r="V1740" s="32">
        <f>IF($A1740=1,IF(COUNTIF(COA!$A:$A,$G1740)=0,0,INDEX(COA!$H:$H,MATCH($G1740,COA!$A:$A,0))),"")</f>
        <v/>
      </c>
      <c r="W1740" s="32">
        <f>IF($A1740=1,IF(Supplier_Payments!$R60="","",Supplier_Payments!$R60),"")</f>
        <v/>
      </c>
      <c r="X1740" s="32">
        <f>IF($A1740=1,IF($R1740=1,"",IF($O1740=ST_POST,IF($P1740&lt;&gt;"",$P1740,"حساب غير صالح أو غير نشط"),IF($O1740=ST_REV,"معكوس: لا أثر على الدفاتر",IF($O1740=ST_CANC,"ملغى",IF($O1740=ST_APPR,"معتمد ولم يُرحَّل","مسودة"))))),"")</f>
        <v/>
      </c>
      <c r="Y1740" s="32">
        <f>IF($A1740=1,IF(AND($R1740=1,OR(LG_Acct="",$G1740=LG_Acct),OR(LG_Party="",$K1740=LG_Party),OR(LG_Loc="ALL",$I1740=LG_Loc),OR(LG_CC="ALL",$J1740=LG_CC),$D1740&gt;=LG_From,$D1740&lt;=LG_To),$D1740+ROW()/1000000,""),"")</f>
        <v/>
      </c>
      <c r="Z1740" s="32">
        <f>IF($A1740=1,IF(Supplier_Payments!$J60="","",Supplier_Payments!$J60),"")</f>
        <v/>
      </c>
      <c r="AA1740" s="32">
        <f>IF($A1740=1,IF(Supplier_Payments!$K60="","",Supplier_Payments!$K60),"")</f>
        <v/>
      </c>
      <c r="AB1740" s="32">
        <f>IF($A1740=1,IF(Supplier_Payments!$L60="","",Supplier_Payments!$L60),"")</f>
        <v/>
      </c>
      <c r="AC1740" s="32">
        <f>IF($A1740=1,IF(Supplier_Payments!$M60="","",Supplier_Payments!$M60),"")</f>
        <v/>
      </c>
      <c r="AD1740" s="32">
        <f>IF($A1740=1,IF(Supplier_Payments!$N60="","",Supplier_Payments!$N60),"")</f>
        <v/>
      </c>
      <c r="AE1740" s="32">
        <f>IF($A1740=1,0,"")</f>
        <v/>
      </c>
      <c r="AF1740" s="32" t="inlineStr"/>
    </row>
    <row r="1741">
      <c r="A1741" s="32">
        <f>IF(AND(Supplier_Payments!$S61=1,N(Supplier_Payments!$E61)&gt;0),1,0)</f>
        <v/>
      </c>
      <c r="B1741" s="32">
        <f>IF($A1741=1,$E1741&amp;"/1","")</f>
        <v/>
      </c>
      <c r="C1741" s="32">
        <f>IF($A1741=1,"J-"&amp;Supplier_Payments!$A61,"")</f>
        <v/>
      </c>
      <c r="D1741" s="33">
        <f>IF($A1741=1,Supplier_Payments!$B61,"")</f>
        <v/>
      </c>
      <c r="E1741" s="32">
        <f>IF($A1741=1,IF(Supplier_Payments!$A61="","",Supplier_Payments!$A61),"")</f>
        <v/>
      </c>
      <c r="F1741" s="32">
        <f>IF($A1741=1,"SPAY","")</f>
        <v/>
      </c>
      <c r="G1741" s="32">
        <f>IF($A1741=1,ACC_SUPPLIERS,"")</f>
        <v/>
      </c>
      <c r="H1741" s="32">
        <f>IF($A1741=1,IF(COUNTIF(COA!$A:$A,$G1741)=0,"حساب غير معرف",INDEX(COA!$B:$B,MATCH($G1741,COA!$A:$A,0))),"")</f>
        <v/>
      </c>
      <c r="I1741" s="32">
        <f>IF($A1741=1,IF(Supplier_Payments!$Q61="","",Supplier_Payments!$Q61),"")</f>
        <v/>
      </c>
      <c r="J1741" s="32">
        <f>IF($A1741=1,"CC00","")</f>
        <v/>
      </c>
      <c r="K1741" s="32">
        <f>IF($A1741=1,IF(Supplier_Payments!$C61="","",Supplier_Payments!$C61),"")</f>
        <v/>
      </c>
      <c r="L1741" s="32">
        <f>IF($A1741=1,IF(Supplier_Payments!$H61="","دفعة مورد "&amp;Supplier_Payments!$C61,Supplier_Payments!$H61),"")</f>
        <v/>
      </c>
      <c r="M1741" s="43">
        <f>IF($A1741=1,Supplier_Payments!$E61,"")</f>
        <v/>
      </c>
      <c r="N1741" s="43">
        <f>IF($A1741=1,0,"")</f>
        <v/>
      </c>
      <c r="O1741" s="32">
        <f>IF($A1741=1,Supplier_Payments!$I61,"")</f>
        <v/>
      </c>
      <c r="P1741" s="32">
        <f>IF($A1741=1,IF(Supplier_Payments!$T61="","",Supplier_Payments!$T61),"")</f>
        <v/>
      </c>
      <c r="Q1741" s="32">
        <f>IF($A1741=1,Supplier_Payments!$V61,"")</f>
        <v/>
      </c>
      <c r="R1741" s="32">
        <f>IF($A1741=1,IF(AND($Q1741=1,COUNTIFS(COA!$A:$A,$G1741,COA!$R:$R,1)=1),1,0),"")</f>
        <v/>
      </c>
      <c r="S1741" s="43">
        <f>IF($A1741=1,IF($R1741=1,N($M1741),0),"")</f>
        <v/>
      </c>
      <c r="T1741" s="43">
        <f>IF($A1741=1,IF($R1741=1,N($N1741),0),"")</f>
        <v/>
      </c>
      <c r="U1741" s="32">
        <f>IF($A1741=1,YEAR($D1741)*100+MONTH($D1741),"")</f>
        <v/>
      </c>
      <c r="V1741" s="32">
        <f>IF($A1741=1,IF(COUNTIF(COA!$A:$A,$G1741)=0,0,INDEX(COA!$H:$H,MATCH($G1741,COA!$A:$A,0))),"")</f>
        <v/>
      </c>
      <c r="W1741" s="32">
        <f>IF($A1741=1,"","")</f>
        <v/>
      </c>
      <c r="X1741" s="32">
        <f>IF($A1741=1,IF($R1741=1,"",IF($O1741=ST_POST,IF($P1741&lt;&gt;"",$P1741,"حساب غير صالح أو غير نشط"),IF($O1741=ST_REV,"معكوس: لا أثر على الدفاتر",IF($O1741=ST_CANC,"ملغى",IF($O1741=ST_APPR,"معتمد ولم يُرحَّل","مسودة"))))),"")</f>
        <v/>
      </c>
      <c r="Y1741" s="32">
        <f>IF($A1741=1,IF(AND($R1741=1,OR(LG_Acct="",$G1741=LG_Acct),OR(LG_Party="",$K1741=LG_Party),OR(LG_Loc="ALL",$I1741=LG_Loc),OR(LG_CC="ALL",$J1741=LG_CC),$D1741&gt;=LG_From,$D1741&lt;=LG_To),$D1741+ROW()/1000000,""),"")</f>
        <v/>
      </c>
      <c r="Z1741" s="32">
        <f>IF($A1741=1,IF(Supplier_Payments!$J61="","",Supplier_Payments!$J61),"")</f>
        <v/>
      </c>
      <c r="AA1741" s="32">
        <f>IF($A1741=1,IF(Supplier_Payments!$K61="","",Supplier_Payments!$K61),"")</f>
        <v/>
      </c>
      <c r="AB1741" s="32">
        <f>IF($A1741=1,IF(Supplier_Payments!$L61="","",Supplier_Payments!$L61),"")</f>
        <v/>
      </c>
      <c r="AC1741" s="32">
        <f>IF($A1741=1,IF(Supplier_Payments!$M61="","",Supplier_Payments!$M61),"")</f>
        <v/>
      </c>
      <c r="AD1741" s="32">
        <f>IF($A1741=1,IF(Supplier_Payments!$N61="","",Supplier_Payments!$N61),"")</f>
        <v/>
      </c>
      <c r="AE1741" s="32">
        <f>IF($A1741=1,0,"")</f>
        <v/>
      </c>
      <c r="AF1741" s="32" t="inlineStr"/>
    </row>
    <row r="1742">
      <c r="A1742" s="32">
        <f>IF(AND(Supplier_Payments!$S61=1,N(Supplier_Payments!$E61)&gt;0),1,0)</f>
        <v/>
      </c>
      <c r="B1742" s="32">
        <f>IF($A1742=1,$E1742&amp;"/2","")</f>
        <v/>
      </c>
      <c r="C1742" s="32">
        <f>IF($A1742=1,"J-"&amp;Supplier_Payments!$A61,"")</f>
        <v/>
      </c>
      <c r="D1742" s="33">
        <f>IF($A1742=1,Supplier_Payments!$B61,"")</f>
        <v/>
      </c>
      <c r="E1742" s="32">
        <f>IF($A1742=1,IF(Supplier_Payments!$A61="","",Supplier_Payments!$A61),"")</f>
        <v/>
      </c>
      <c r="F1742" s="32">
        <f>IF($A1742=1,"SPAY","")</f>
        <v/>
      </c>
      <c r="G1742" s="32">
        <f>IF($A1742=1,IF(Supplier_Payments!$P61="","",Supplier_Payments!$P61),"")</f>
        <v/>
      </c>
      <c r="H1742" s="32">
        <f>IF($A1742=1,IF(COUNTIF(COA!$A:$A,$G1742)=0,"حساب غير معرف",INDEX(COA!$B:$B,MATCH($G1742,COA!$A:$A,0))),"")</f>
        <v/>
      </c>
      <c r="I1742" s="32">
        <f>IF($A1742=1,IF(Supplier_Payments!$Q61="","",Supplier_Payments!$Q61),"")</f>
        <v/>
      </c>
      <c r="J1742" s="32">
        <f>IF($A1742=1,"CC00","")</f>
        <v/>
      </c>
      <c r="K1742" s="32">
        <f>IF($A1742=1,"-","")</f>
        <v/>
      </c>
      <c r="L1742" s="32">
        <f>IF($A1742=1,IF(Supplier_Payments!$H61="","دفعة مورد "&amp;Supplier_Payments!$C61,Supplier_Payments!$H61),"")</f>
        <v/>
      </c>
      <c r="M1742" s="43">
        <f>IF($A1742=1,0,"")</f>
        <v/>
      </c>
      <c r="N1742" s="43">
        <f>IF($A1742=1,Supplier_Payments!$E61,"")</f>
        <v/>
      </c>
      <c r="O1742" s="32">
        <f>IF($A1742=1,Supplier_Payments!$I61,"")</f>
        <v/>
      </c>
      <c r="P1742" s="32">
        <f>IF($A1742=1,IF(Supplier_Payments!$T61="","",Supplier_Payments!$T61),"")</f>
        <v/>
      </c>
      <c r="Q1742" s="32">
        <f>IF($A1742=1,Supplier_Payments!$V61,"")</f>
        <v/>
      </c>
      <c r="R1742" s="32">
        <f>IF($A1742=1,IF(AND($Q1742=1,COUNTIFS(COA!$A:$A,$G1742,COA!$R:$R,1)=1),1,0),"")</f>
        <v/>
      </c>
      <c r="S1742" s="43">
        <f>IF($A1742=1,IF($R1742=1,N($M1742),0),"")</f>
        <v/>
      </c>
      <c r="T1742" s="43">
        <f>IF($A1742=1,IF($R1742=1,N($N1742),0),"")</f>
        <v/>
      </c>
      <c r="U1742" s="32">
        <f>IF($A1742=1,YEAR($D1742)*100+MONTH($D1742),"")</f>
        <v/>
      </c>
      <c r="V1742" s="32">
        <f>IF($A1742=1,IF(COUNTIF(COA!$A:$A,$G1742)=0,0,INDEX(COA!$H:$H,MATCH($G1742,COA!$A:$A,0))),"")</f>
        <v/>
      </c>
      <c r="W1742" s="32">
        <f>IF($A1742=1,IF(Supplier_Payments!$R61="","",Supplier_Payments!$R61),"")</f>
        <v/>
      </c>
      <c r="X1742" s="32">
        <f>IF($A1742=1,IF($R1742=1,"",IF($O1742=ST_POST,IF($P1742&lt;&gt;"",$P1742,"حساب غير صالح أو غير نشط"),IF($O1742=ST_REV,"معكوس: لا أثر على الدفاتر",IF($O1742=ST_CANC,"ملغى",IF($O1742=ST_APPR,"معتمد ولم يُرحَّل","مسودة"))))),"")</f>
        <v/>
      </c>
      <c r="Y1742" s="32">
        <f>IF($A1742=1,IF(AND($R1742=1,OR(LG_Acct="",$G1742=LG_Acct),OR(LG_Party="",$K1742=LG_Party),OR(LG_Loc="ALL",$I1742=LG_Loc),OR(LG_CC="ALL",$J1742=LG_CC),$D1742&gt;=LG_From,$D1742&lt;=LG_To),$D1742+ROW()/1000000,""),"")</f>
        <v/>
      </c>
      <c r="Z1742" s="32">
        <f>IF($A1742=1,IF(Supplier_Payments!$J61="","",Supplier_Payments!$J61),"")</f>
        <v/>
      </c>
      <c r="AA1742" s="32">
        <f>IF($A1742=1,IF(Supplier_Payments!$K61="","",Supplier_Payments!$K61),"")</f>
        <v/>
      </c>
      <c r="AB1742" s="32">
        <f>IF($A1742=1,IF(Supplier_Payments!$L61="","",Supplier_Payments!$L61),"")</f>
        <v/>
      </c>
      <c r="AC1742" s="32">
        <f>IF($A1742=1,IF(Supplier_Payments!$M61="","",Supplier_Payments!$M61),"")</f>
        <v/>
      </c>
      <c r="AD1742" s="32">
        <f>IF($A1742=1,IF(Supplier_Payments!$N61="","",Supplier_Payments!$N61),"")</f>
        <v/>
      </c>
      <c r="AE1742" s="32">
        <f>IF($A1742=1,0,"")</f>
        <v/>
      </c>
      <c r="AF1742" s="32" t="inlineStr"/>
    </row>
    <row r="1743">
      <c r="A1743" s="32">
        <f>IF(AND(Supplier_Payments!$S62=1,N(Supplier_Payments!$E62)&gt;0),1,0)</f>
        <v/>
      </c>
      <c r="B1743" s="32">
        <f>IF($A1743=1,$E1743&amp;"/1","")</f>
        <v/>
      </c>
      <c r="C1743" s="32">
        <f>IF($A1743=1,"J-"&amp;Supplier_Payments!$A62,"")</f>
        <v/>
      </c>
      <c r="D1743" s="33">
        <f>IF($A1743=1,Supplier_Payments!$B62,"")</f>
        <v/>
      </c>
      <c r="E1743" s="32">
        <f>IF($A1743=1,IF(Supplier_Payments!$A62="","",Supplier_Payments!$A62),"")</f>
        <v/>
      </c>
      <c r="F1743" s="32">
        <f>IF($A1743=1,"SPAY","")</f>
        <v/>
      </c>
      <c r="G1743" s="32">
        <f>IF($A1743=1,ACC_SUPPLIERS,"")</f>
        <v/>
      </c>
      <c r="H1743" s="32">
        <f>IF($A1743=1,IF(COUNTIF(COA!$A:$A,$G1743)=0,"حساب غير معرف",INDEX(COA!$B:$B,MATCH($G1743,COA!$A:$A,0))),"")</f>
        <v/>
      </c>
      <c r="I1743" s="32">
        <f>IF($A1743=1,IF(Supplier_Payments!$Q62="","",Supplier_Payments!$Q62),"")</f>
        <v/>
      </c>
      <c r="J1743" s="32">
        <f>IF($A1743=1,"CC00","")</f>
        <v/>
      </c>
      <c r="K1743" s="32">
        <f>IF($A1743=1,IF(Supplier_Payments!$C62="","",Supplier_Payments!$C62),"")</f>
        <v/>
      </c>
      <c r="L1743" s="32">
        <f>IF($A1743=1,IF(Supplier_Payments!$H62="","دفعة مورد "&amp;Supplier_Payments!$C62,Supplier_Payments!$H62),"")</f>
        <v/>
      </c>
      <c r="M1743" s="43">
        <f>IF($A1743=1,Supplier_Payments!$E62,"")</f>
        <v/>
      </c>
      <c r="N1743" s="43">
        <f>IF($A1743=1,0,"")</f>
        <v/>
      </c>
      <c r="O1743" s="32">
        <f>IF($A1743=1,Supplier_Payments!$I62,"")</f>
        <v/>
      </c>
      <c r="P1743" s="32">
        <f>IF($A1743=1,IF(Supplier_Payments!$T62="","",Supplier_Payments!$T62),"")</f>
        <v/>
      </c>
      <c r="Q1743" s="32">
        <f>IF($A1743=1,Supplier_Payments!$V62,"")</f>
        <v/>
      </c>
      <c r="R1743" s="32">
        <f>IF($A1743=1,IF(AND($Q1743=1,COUNTIFS(COA!$A:$A,$G1743,COA!$R:$R,1)=1),1,0),"")</f>
        <v/>
      </c>
      <c r="S1743" s="43">
        <f>IF($A1743=1,IF($R1743=1,N($M1743),0),"")</f>
        <v/>
      </c>
      <c r="T1743" s="43">
        <f>IF($A1743=1,IF($R1743=1,N($N1743),0),"")</f>
        <v/>
      </c>
      <c r="U1743" s="32">
        <f>IF($A1743=1,YEAR($D1743)*100+MONTH($D1743),"")</f>
        <v/>
      </c>
      <c r="V1743" s="32">
        <f>IF($A1743=1,IF(COUNTIF(COA!$A:$A,$G1743)=0,0,INDEX(COA!$H:$H,MATCH($G1743,COA!$A:$A,0))),"")</f>
        <v/>
      </c>
      <c r="W1743" s="32">
        <f>IF($A1743=1,"","")</f>
        <v/>
      </c>
      <c r="X1743" s="32">
        <f>IF($A1743=1,IF($R1743=1,"",IF($O1743=ST_POST,IF($P1743&lt;&gt;"",$P1743,"حساب غير صالح أو غير نشط"),IF($O1743=ST_REV,"معكوس: لا أثر على الدفاتر",IF($O1743=ST_CANC,"ملغى",IF($O1743=ST_APPR,"معتمد ولم يُرحَّل","مسودة"))))),"")</f>
        <v/>
      </c>
      <c r="Y1743" s="32">
        <f>IF($A1743=1,IF(AND($R1743=1,OR(LG_Acct="",$G1743=LG_Acct),OR(LG_Party="",$K1743=LG_Party),OR(LG_Loc="ALL",$I1743=LG_Loc),OR(LG_CC="ALL",$J1743=LG_CC),$D1743&gt;=LG_From,$D1743&lt;=LG_To),$D1743+ROW()/1000000,""),"")</f>
        <v/>
      </c>
      <c r="Z1743" s="32">
        <f>IF($A1743=1,IF(Supplier_Payments!$J62="","",Supplier_Payments!$J62),"")</f>
        <v/>
      </c>
      <c r="AA1743" s="32">
        <f>IF($A1743=1,IF(Supplier_Payments!$K62="","",Supplier_Payments!$K62),"")</f>
        <v/>
      </c>
      <c r="AB1743" s="32">
        <f>IF($A1743=1,IF(Supplier_Payments!$L62="","",Supplier_Payments!$L62),"")</f>
        <v/>
      </c>
      <c r="AC1743" s="32">
        <f>IF($A1743=1,IF(Supplier_Payments!$M62="","",Supplier_Payments!$M62),"")</f>
        <v/>
      </c>
      <c r="AD1743" s="32">
        <f>IF($A1743=1,IF(Supplier_Payments!$N62="","",Supplier_Payments!$N62),"")</f>
        <v/>
      </c>
      <c r="AE1743" s="32">
        <f>IF($A1743=1,0,"")</f>
        <v/>
      </c>
      <c r="AF1743" s="32" t="inlineStr"/>
    </row>
    <row r="1744">
      <c r="A1744" s="32">
        <f>IF(AND(Supplier_Payments!$S62=1,N(Supplier_Payments!$E62)&gt;0),1,0)</f>
        <v/>
      </c>
      <c r="B1744" s="32">
        <f>IF($A1744=1,$E1744&amp;"/2","")</f>
        <v/>
      </c>
      <c r="C1744" s="32">
        <f>IF($A1744=1,"J-"&amp;Supplier_Payments!$A62,"")</f>
        <v/>
      </c>
      <c r="D1744" s="33">
        <f>IF($A1744=1,Supplier_Payments!$B62,"")</f>
        <v/>
      </c>
      <c r="E1744" s="32">
        <f>IF($A1744=1,IF(Supplier_Payments!$A62="","",Supplier_Payments!$A62),"")</f>
        <v/>
      </c>
      <c r="F1744" s="32">
        <f>IF($A1744=1,"SPAY","")</f>
        <v/>
      </c>
      <c r="G1744" s="32">
        <f>IF($A1744=1,IF(Supplier_Payments!$P62="","",Supplier_Payments!$P62),"")</f>
        <v/>
      </c>
      <c r="H1744" s="32">
        <f>IF($A1744=1,IF(COUNTIF(COA!$A:$A,$G1744)=0,"حساب غير معرف",INDEX(COA!$B:$B,MATCH($G1744,COA!$A:$A,0))),"")</f>
        <v/>
      </c>
      <c r="I1744" s="32">
        <f>IF($A1744=1,IF(Supplier_Payments!$Q62="","",Supplier_Payments!$Q62),"")</f>
        <v/>
      </c>
      <c r="J1744" s="32">
        <f>IF($A1744=1,"CC00","")</f>
        <v/>
      </c>
      <c r="K1744" s="32">
        <f>IF($A1744=1,"-","")</f>
        <v/>
      </c>
      <c r="L1744" s="32">
        <f>IF($A1744=1,IF(Supplier_Payments!$H62="","دفعة مورد "&amp;Supplier_Payments!$C62,Supplier_Payments!$H62),"")</f>
        <v/>
      </c>
      <c r="M1744" s="43">
        <f>IF($A1744=1,0,"")</f>
        <v/>
      </c>
      <c r="N1744" s="43">
        <f>IF($A1744=1,Supplier_Payments!$E62,"")</f>
        <v/>
      </c>
      <c r="O1744" s="32">
        <f>IF($A1744=1,Supplier_Payments!$I62,"")</f>
        <v/>
      </c>
      <c r="P1744" s="32">
        <f>IF($A1744=1,IF(Supplier_Payments!$T62="","",Supplier_Payments!$T62),"")</f>
        <v/>
      </c>
      <c r="Q1744" s="32">
        <f>IF($A1744=1,Supplier_Payments!$V62,"")</f>
        <v/>
      </c>
      <c r="R1744" s="32">
        <f>IF($A1744=1,IF(AND($Q1744=1,COUNTIFS(COA!$A:$A,$G1744,COA!$R:$R,1)=1),1,0),"")</f>
        <v/>
      </c>
      <c r="S1744" s="43">
        <f>IF($A1744=1,IF($R1744=1,N($M1744),0),"")</f>
        <v/>
      </c>
      <c r="T1744" s="43">
        <f>IF($A1744=1,IF($R1744=1,N($N1744),0),"")</f>
        <v/>
      </c>
      <c r="U1744" s="32">
        <f>IF($A1744=1,YEAR($D1744)*100+MONTH($D1744),"")</f>
        <v/>
      </c>
      <c r="V1744" s="32">
        <f>IF($A1744=1,IF(COUNTIF(COA!$A:$A,$G1744)=0,0,INDEX(COA!$H:$H,MATCH($G1744,COA!$A:$A,0))),"")</f>
        <v/>
      </c>
      <c r="W1744" s="32">
        <f>IF($A1744=1,IF(Supplier_Payments!$R62="","",Supplier_Payments!$R62),"")</f>
        <v/>
      </c>
      <c r="X1744" s="32">
        <f>IF($A1744=1,IF($R1744=1,"",IF($O1744=ST_POST,IF($P1744&lt;&gt;"",$P1744,"حساب غير صالح أو غير نشط"),IF($O1744=ST_REV,"معكوس: لا أثر على الدفاتر",IF($O1744=ST_CANC,"ملغى",IF($O1744=ST_APPR,"معتمد ولم يُرحَّل","مسودة"))))),"")</f>
        <v/>
      </c>
      <c r="Y1744" s="32">
        <f>IF($A1744=1,IF(AND($R1744=1,OR(LG_Acct="",$G1744=LG_Acct),OR(LG_Party="",$K1744=LG_Party),OR(LG_Loc="ALL",$I1744=LG_Loc),OR(LG_CC="ALL",$J1744=LG_CC),$D1744&gt;=LG_From,$D1744&lt;=LG_To),$D1744+ROW()/1000000,""),"")</f>
        <v/>
      </c>
      <c r="Z1744" s="32">
        <f>IF($A1744=1,IF(Supplier_Payments!$J62="","",Supplier_Payments!$J62),"")</f>
        <v/>
      </c>
      <c r="AA1744" s="32">
        <f>IF($A1744=1,IF(Supplier_Payments!$K62="","",Supplier_Payments!$K62),"")</f>
        <v/>
      </c>
      <c r="AB1744" s="32">
        <f>IF($A1744=1,IF(Supplier_Payments!$L62="","",Supplier_Payments!$L62),"")</f>
        <v/>
      </c>
      <c r="AC1744" s="32">
        <f>IF($A1744=1,IF(Supplier_Payments!$M62="","",Supplier_Payments!$M62),"")</f>
        <v/>
      </c>
      <c r="AD1744" s="32">
        <f>IF($A1744=1,IF(Supplier_Payments!$N62="","",Supplier_Payments!$N62),"")</f>
        <v/>
      </c>
      <c r="AE1744" s="32">
        <f>IF($A1744=1,0,"")</f>
        <v/>
      </c>
      <c r="AF1744" s="32" t="inlineStr"/>
    </row>
    <row r="1745">
      <c r="A1745" s="32">
        <f>IF(AND(Supplier_Payments!$S63=1,N(Supplier_Payments!$E63)&gt;0),1,0)</f>
        <v/>
      </c>
      <c r="B1745" s="32">
        <f>IF($A1745=1,$E1745&amp;"/1","")</f>
        <v/>
      </c>
      <c r="C1745" s="32">
        <f>IF($A1745=1,"J-"&amp;Supplier_Payments!$A63,"")</f>
        <v/>
      </c>
      <c r="D1745" s="33">
        <f>IF($A1745=1,Supplier_Payments!$B63,"")</f>
        <v/>
      </c>
      <c r="E1745" s="32">
        <f>IF($A1745=1,IF(Supplier_Payments!$A63="","",Supplier_Payments!$A63),"")</f>
        <v/>
      </c>
      <c r="F1745" s="32">
        <f>IF($A1745=1,"SPAY","")</f>
        <v/>
      </c>
      <c r="G1745" s="32">
        <f>IF($A1745=1,ACC_SUPPLIERS,"")</f>
        <v/>
      </c>
      <c r="H1745" s="32">
        <f>IF($A1745=1,IF(COUNTIF(COA!$A:$A,$G1745)=0,"حساب غير معرف",INDEX(COA!$B:$B,MATCH($G1745,COA!$A:$A,0))),"")</f>
        <v/>
      </c>
      <c r="I1745" s="32">
        <f>IF($A1745=1,IF(Supplier_Payments!$Q63="","",Supplier_Payments!$Q63),"")</f>
        <v/>
      </c>
      <c r="J1745" s="32">
        <f>IF($A1745=1,"CC00","")</f>
        <v/>
      </c>
      <c r="K1745" s="32">
        <f>IF($A1745=1,IF(Supplier_Payments!$C63="","",Supplier_Payments!$C63),"")</f>
        <v/>
      </c>
      <c r="L1745" s="32">
        <f>IF($A1745=1,IF(Supplier_Payments!$H63="","دفعة مورد "&amp;Supplier_Payments!$C63,Supplier_Payments!$H63),"")</f>
        <v/>
      </c>
      <c r="M1745" s="43">
        <f>IF($A1745=1,Supplier_Payments!$E63,"")</f>
        <v/>
      </c>
      <c r="N1745" s="43">
        <f>IF($A1745=1,0,"")</f>
        <v/>
      </c>
      <c r="O1745" s="32">
        <f>IF($A1745=1,Supplier_Payments!$I63,"")</f>
        <v/>
      </c>
      <c r="P1745" s="32">
        <f>IF($A1745=1,IF(Supplier_Payments!$T63="","",Supplier_Payments!$T63),"")</f>
        <v/>
      </c>
      <c r="Q1745" s="32">
        <f>IF($A1745=1,Supplier_Payments!$V63,"")</f>
        <v/>
      </c>
      <c r="R1745" s="32">
        <f>IF($A1745=1,IF(AND($Q1745=1,COUNTIFS(COA!$A:$A,$G1745,COA!$R:$R,1)=1),1,0),"")</f>
        <v/>
      </c>
      <c r="S1745" s="43">
        <f>IF($A1745=1,IF($R1745=1,N($M1745),0),"")</f>
        <v/>
      </c>
      <c r="T1745" s="43">
        <f>IF($A1745=1,IF($R1745=1,N($N1745),0),"")</f>
        <v/>
      </c>
      <c r="U1745" s="32">
        <f>IF($A1745=1,YEAR($D1745)*100+MONTH($D1745),"")</f>
        <v/>
      </c>
      <c r="V1745" s="32">
        <f>IF($A1745=1,IF(COUNTIF(COA!$A:$A,$G1745)=0,0,INDEX(COA!$H:$H,MATCH($G1745,COA!$A:$A,0))),"")</f>
        <v/>
      </c>
      <c r="W1745" s="32">
        <f>IF($A1745=1,"","")</f>
        <v/>
      </c>
      <c r="X1745" s="32">
        <f>IF($A1745=1,IF($R1745=1,"",IF($O1745=ST_POST,IF($P1745&lt;&gt;"",$P1745,"حساب غير صالح أو غير نشط"),IF($O1745=ST_REV,"معكوس: لا أثر على الدفاتر",IF($O1745=ST_CANC,"ملغى",IF($O1745=ST_APPR,"معتمد ولم يُرحَّل","مسودة"))))),"")</f>
        <v/>
      </c>
      <c r="Y1745" s="32">
        <f>IF($A1745=1,IF(AND($R1745=1,OR(LG_Acct="",$G1745=LG_Acct),OR(LG_Party="",$K1745=LG_Party),OR(LG_Loc="ALL",$I1745=LG_Loc),OR(LG_CC="ALL",$J1745=LG_CC),$D1745&gt;=LG_From,$D1745&lt;=LG_To),$D1745+ROW()/1000000,""),"")</f>
        <v/>
      </c>
      <c r="Z1745" s="32">
        <f>IF($A1745=1,IF(Supplier_Payments!$J63="","",Supplier_Payments!$J63),"")</f>
        <v/>
      </c>
      <c r="AA1745" s="32">
        <f>IF($A1745=1,IF(Supplier_Payments!$K63="","",Supplier_Payments!$K63),"")</f>
        <v/>
      </c>
      <c r="AB1745" s="32">
        <f>IF($A1745=1,IF(Supplier_Payments!$L63="","",Supplier_Payments!$L63),"")</f>
        <v/>
      </c>
      <c r="AC1745" s="32">
        <f>IF($A1745=1,IF(Supplier_Payments!$M63="","",Supplier_Payments!$M63),"")</f>
        <v/>
      </c>
      <c r="AD1745" s="32">
        <f>IF($A1745=1,IF(Supplier_Payments!$N63="","",Supplier_Payments!$N63),"")</f>
        <v/>
      </c>
      <c r="AE1745" s="32">
        <f>IF($A1745=1,0,"")</f>
        <v/>
      </c>
      <c r="AF1745" s="32" t="inlineStr"/>
    </row>
    <row r="1746">
      <c r="A1746" s="32">
        <f>IF(AND(Supplier_Payments!$S63=1,N(Supplier_Payments!$E63)&gt;0),1,0)</f>
        <v/>
      </c>
      <c r="B1746" s="32">
        <f>IF($A1746=1,$E1746&amp;"/2","")</f>
        <v/>
      </c>
      <c r="C1746" s="32">
        <f>IF($A1746=1,"J-"&amp;Supplier_Payments!$A63,"")</f>
        <v/>
      </c>
      <c r="D1746" s="33">
        <f>IF($A1746=1,Supplier_Payments!$B63,"")</f>
        <v/>
      </c>
      <c r="E1746" s="32">
        <f>IF($A1746=1,IF(Supplier_Payments!$A63="","",Supplier_Payments!$A63),"")</f>
        <v/>
      </c>
      <c r="F1746" s="32">
        <f>IF($A1746=1,"SPAY","")</f>
        <v/>
      </c>
      <c r="G1746" s="32">
        <f>IF($A1746=1,IF(Supplier_Payments!$P63="","",Supplier_Payments!$P63),"")</f>
        <v/>
      </c>
      <c r="H1746" s="32">
        <f>IF($A1746=1,IF(COUNTIF(COA!$A:$A,$G1746)=0,"حساب غير معرف",INDEX(COA!$B:$B,MATCH($G1746,COA!$A:$A,0))),"")</f>
        <v/>
      </c>
      <c r="I1746" s="32">
        <f>IF($A1746=1,IF(Supplier_Payments!$Q63="","",Supplier_Payments!$Q63),"")</f>
        <v/>
      </c>
      <c r="J1746" s="32">
        <f>IF($A1746=1,"CC00","")</f>
        <v/>
      </c>
      <c r="K1746" s="32">
        <f>IF($A1746=1,"-","")</f>
        <v/>
      </c>
      <c r="L1746" s="32">
        <f>IF($A1746=1,IF(Supplier_Payments!$H63="","دفعة مورد "&amp;Supplier_Payments!$C63,Supplier_Payments!$H63),"")</f>
        <v/>
      </c>
      <c r="M1746" s="43">
        <f>IF($A1746=1,0,"")</f>
        <v/>
      </c>
      <c r="N1746" s="43">
        <f>IF($A1746=1,Supplier_Payments!$E63,"")</f>
        <v/>
      </c>
      <c r="O1746" s="32">
        <f>IF($A1746=1,Supplier_Payments!$I63,"")</f>
        <v/>
      </c>
      <c r="P1746" s="32">
        <f>IF($A1746=1,IF(Supplier_Payments!$T63="","",Supplier_Payments!$T63),"")</f>
        <v/>
      </c>
      <c r="Q1746" s="32">
        <f>IF($A1746=1,Supplier_Payments!$V63,"")</f>
        <v/>
      </c>
      <c r="R1746" s="32">
        <f>IF($A1746=1,IF(AND($Q1746=1,COUNTIFS(COA!$A:$A,$G1746,COA!$R:$R,1)=1),1,0),"")</f>
        <v/>
      </c>
      <c r="S1746" s="43">
        <f>IF($A1746=1,IF($R1746=1,N($M1746),0),"")</f>
        <v/>
      </c>
      <c r="T1746" s="43">
        <f>IF($A1746=1,IF($R1746=1,N($N1746),0),"")</f>
        <v/>
      </c>
      <c r="U1746" s="32">
        <f>IF($A1746=1,YEAR($D1746)*100+MONTH($D1746),"")</f>
        <v/>
      </c>
      <c r="V1746" s="32">
        <f>IF($A1746=1,IF(COUNTIF(COA!$A:$A,$G1746)=0,0,INDEX(COA!$H:$H,MATCH($G1746,COA!$A:$A,0))),"")</f>
        <v/>
      </c>
      <c r="W1746" s="32">
        <f>IF($A1746=1,IF(Supplier_Payments!$R63="","",Supplier_Payments!$R63),"")</f>
        <v/>
      </c>
      <c r="X1746" s="32">
        <f>IF($A1746=1,IF($R1746=1,"",IF($O1746=ST_POST,IF($P1746&lt;&gt;"",$P1746,"حساب غير صالح أو غير نشط"),IF($O1746=ST_REV,"معكوس: لا أثر على الدفاتر",IF($O1746=ST_CANC,"ملغى",IF($O1746=ST_APPR,"معتمد ولم يُرحَّل","مسودة"))))),"")</f>
        <v/>
      </c>
      <c r="Y1746" s="32">
        <f>IF($A1746=1,IF(AND($R1746=1,OR(LG_Acct="",$G1746=LG_Acct),OR(LG_Party="",$K1746=LG_Party),OR(LG_Loc="ALL",$I1746=LG_Loc),OR(LG_CC="ALL",$J1746=LG_CC),$D1746&gt;=LG_From,$D1746&lt;=LG_To),$D1746+ROW()/1000000,""),"")</f>
        <v/>
      </c>
      <c r="Z1746" s="32">
        <f>IF($A1746=1,IF(Supplier_Payments!$J63="","",Supplier_Payments!$J63),"")</f>
        <v/>
      </c>
      <c r="AA1746" s="32">
        <f>IF($A1746=1,IF(Supplier_Payments!$K63="","",Supplier_Payments!$K63),"")</f>
        <v/>
      </c>
      <c r="AB1746" s="32">
        <f>IF($A1746=1,IF(Supplier_Payments!$L63="","",Supplier_Payments!$L63),"")</f>
        <v/>
      </c>
      <c r="AC1746" s="32">
        <f>IF($A1746=1,IF(Supplier_Payments!$M63="","",Supplier_Payments!$M63),"")</f>
        <v/>
      </c>
      <c r="AD1746" s="32">
        <f>IF($A1746=1,IF(Supplier_Payments!$N63="","",Supplier_Payments!$N63),"")</f>
        <v/>
      </c>
      <c r="AE1746" s="32">
        <f>IF($A1746=1,0,"")</f>
        <v/>
      </c>
      <c r="AF1746" s="32" t="inlineStr"/>
    </row>
    <row r="1747">
      <c r="A1747" s="32">
        <f>IF(AND(Supplier_Payments!$S64=1,N(Supplier_Payments!$E64)&gt;0),1,0)</f>
        <v/>
      </c>
      <c r="B1747" s="32">
        <f>IF($A1747=1,$E1747&amp;"/1","")</f>
        <v/>
      </c>
      <c r="C1747" s="32">
        <f>IF($A1747=1,"J-"&amp;Supplier_Payments!$A64,"")</f>
        <v/>
      </c>
      <c r="D1747" s="33">
        <f>IF($A1747=1,Supplier_Payments!$B64,"")</f>
        <v/>
      </c>
      <c r="E1747" s="32">
        <f>IF($A1747=1,IF(Supplier_Payments!$A64="","",Supplier_Payments!$A64),"")</f>
        <v/>
      </c>
      <c r="F1747" s="32">
        <f>IF($A1747=1,"SPAY","")</f>
        <v/>
      </c>
      <c r="G1747" s="32">
        <f>IF($A1747=1,ACC_SUPPLIERS,"")</f>
        <v/>
      </c>
      <c r="H1747" s="32">
        <f>IF($A1747=1,IF(COUNTIF(COA!$A:$A,$G1747)=0,"حساب غير معرف",INDEX(COA!$B:$B,MATCH($G1747,COA!$A:$A,0))),"")</f>
        <v/>
      </c>
      <c r="I1747" s="32">
        <f>IF($A1747=1,IF(Supplier_Payments!$Q64="","",Supplier_Payments!$Q64),"")</f>
        <v/>
      </c>
      <c r="J1747" s="32">
        <f>IF($A1747=1,"CC00","")</f>
        <v/>
      </c>
      <c r="K1747" s="32">
        <f>IF($A1747=1,IF(Supplier_Payments!$C64="","",Supplier_Payments!$C64),"")</f>
        <v/>
      </c>
      <c r="L1747" s="32">
        <f>IF($A1747=1,IF(Supplier_Payments!$H64="","دفعة مورد "&amp;Supplier_Payments!$C64,Supplier_Payments!$H64),"")</f>
        <v/>
      </c>
      <c r="M1747" s="43">
        <f>IF($A1747=1,Supplier_Payments!$E64,"")</f>
        <v/>
      </c>
      <c r="N1747" s="43">
        <f>IF($A1747=1,0,"")</f>
        <v/>
      </c>
      <c r="O1747" s="32">
        <f>IF($A1747=1,Supplier_Payments!$I64,"")</f>
        <v/>
      </c>
      <c r="P1747" s="32">
        <f>IF($A1747=1,IF(Supplier_Payments!$T64="","",Supplier_Payments!$T64),"")</f>
        <v/>
      </c>
      <c r="Q1747" s="32">
        <f>IF($A1747=1,Supplier_Payments!$V64,"")</f>
        <v/>
      </c>
      <c r="R1747" s="32">
        <f>IF($A1747=1,IF(AND($Q1747=1,COUNTIFS(COA!$A:$A,$G1747,COA!$R:$R,1)=1),1,0),"")</f>
        <v/>
      </c>
      <c r="S1747" s="43">
        <f>IF($A1747=1,IF($R1747=1,N($M1747),0),"")</f>
        <v/>
      </c>
      <c r="T1747" s="43">
        <f>IF($A1747=1,IF($R1747=1,N($N1747),0),"")</f>
        <v/>
      </c>
      <c r="U1747" s="32">
        <f>IF($A1747=1,YEAR($D1747)*100+MONTH($D1747),"")</f>
        <v/>
      </c>
      <c r="V1747" s="32">
        <f>IF($A1747=1,IF(COUNTIF(COA!$A:$A,$G1747)=0,0,INDEX(COA!$H:$H,MATCH($G1747,COA!$A:$A,0))),"")</f>
        <v/>
      </c>
      <c r="W1747" s="32">
        <f>IF($A1747=1,"","")</f>
        <v/>
      </c>
      <c r="X1747" s="32">
        <f>IF($A1747=1,IF($R1747=1,"",IF($O1747=ST_POST,IF($P1747&lt;&gt;"",$P1747,"حساب غير صالح أو غير نشط"),IF($O1747=ST_REV,"معكوس: لا أثر على الدفاتر",IF($O1747=ST_CANC,"ملغى",IF($O1747=ST_APPR,"معتمد ولم يُرحَّل","مسودة"))))),"")</f>
        <v/>
      </c>
      <c r="Y1747" s="32">
        <f>IF($A1747=1,IF(AND($R1747=1,OR(LG_Acct="",$G1747=LG_Acct),OR(LG_Party="",$K1747=LG_Party),OR(LG_Loc="ALL",$I1747=LG_Loc),OR(LG_CC="ALL",$J1747=LG_CC),$D1747&gt;=LG_From,$D1747&lt;=LG_To),$D1747+ROW()/1000000,""),"")</f>
        <v/>
      </c>
      <c r="Z1747" s="32">
        <f>IF($A1747=1,IF(Supplier_Payments!$J64="","",Supplier_Payments!$J64),"")</f>
        <v/>
      </c>
      <c r="AA1747" s="32">
        <f>IF($A1747=1,IF(Supplier_Payments!$K64="","",Supplier_Payments!$K64),"")</f>
        <v/>
      </c>
      <c r="AB1747" s="32">
        <f>IF($A1747=1,IF(Supplier_Payments!$L64="","",Supplier_Payments!$L64),"")</f>
        <v/>
      </c>
      <c r="AC1747" s="32">
        <f>IF($A1747=1,IF(Supplier_Payments!$M64="","",Supplier_Payments!$M64),"")</f>
        <v/>
      </c>
      <c r="AD1747" s="32">
        <f>IF($A1747=1,IF(Supplier_Payments!$N64="","",Supplier_Payments!$N64),"")</f>
        <v/>
      </c>
      <c r="AE1747" s="32">
        <f>IF($A1747=1,0,"")</f>
        <v/>
      </c>
      <c r="AF1747" s="32" t="inlineStr"/>
    </row>
    <row r="1748">
      <c r="A1748" s="32">
        <f>IF(AND(Supplier_Payments!$S64=1,N(Supplier_Payments!$E64)&gt;0),1,0)</f>
        <v/>
      </c>
      <c r="B1748" s="32">
        <f>IF($A1748=1,$E1748&amp;"/2","")</f>
        <v/>
      </c>
      <c r="C1748" s="32">
        <f>IF($A1748=1,"J-"&amp;Supplier_Payments!$A64,"")</f>
        <v/>
      </c>
      <c r="D1748" s="33">
        <f>IF($A1748=1,Supplier_Payments!$B64,"")</f>
        <v/>
      </c>
      <c r="E1748" s="32">
        <f>IF($A1748=1,IF(Supplier_Payments!$A64="","",Supplier_Payments!$A64),"")</f>
        <v/>
      </c>
      <c r="F1748" s="32">
        <f>IF($A1748=1,"SPAY","")</f>
        <v/>
      </c>
      <c r="G1748" s="32">
        <f>IF($A1748=1,IF(Supplier_Payments!$P64="","",Supplier_Payments!$P64),"")</f>
        <v/>
      </c>
      <c r="H1748" s="32">
        <f>IF($A1748=1,IF(COUNTIF(COA!$A:$A,$G1748)=0,"حساب غير معرف",INDEX(COA!$B:$B,MATCH($G1748,COA!$A:$A,0))),"")</f>
        <v/>
      </c>
      <c r="I1748" s="32">
        <f>IF($A1748=1,IF(Supplier_Payments!$Q64="","",Supplier_Payments!$Q64),"")</f>
        <v/>
      </c>
      <c r="J1748" s="32">
        <f>IF($A1748=1,"CC00","")</f>
        <v/>
      </c>
      <c r="K1748" s="32">
        <f>IF($A1748=1,"-","")</f>
        <v/>
      </c>
      <c r="L1748" s="32">
        <f>IF($A1748=1,IF(Supplier_Payments!$H64="","دفعة مورد "&amp;Supplier_Payments!$C64,Supplier_Payments!$H64),"")</f>
        <v/>
      </c>
      <c r="M1748" s="43">
        <f>IF($A1748=1,0,"")</f>
        <v/>
      </c>
      <c r="N1748" s="43">
        <f>IF($A1748=1,Supplier_Payments!$E64,"")</f>
        <v/>
      </c>
      <c r="O1748" s="32">
        <f>IF($A1748=1,Supplier_Payments!$I64,"")</f>
        <v/>
      </c>
      <c r="P1748" s="32">
        <f>IF($A1748=1,IF(Supplier_Payments!$T64="","",Supplier_Payments!$T64),"")</f>
        <v/>
      </c>
      <c r="Q1748" s="32">
        <f>IF($A1748=1,Supplier_Payments!$V64,"")</f>
        <v/>
      </c>
      <c r="R1748" s="32">
        <f>IF($A1748=1,IF(AND($Q1748=1,COUNTIFS(COA!$A:$A,$G1748,COA!$R:$R,1)=1),1,0),"")</f>
        <v/>
      </c>
      <c r="S1748" s="43">
        <f>IF($A1748=1,IF($R1748=1,N($M1748),0),"")</f>
        <v/>
      </c>
      <c r="T1748" s="43">
        <f>IF($A1748=1,IF($R1748=1,N($N1748),0),"")</f>
        <v/>
      </c>
      <c r="U1748" s="32">
        <f>IF($A1748=1,YEAR($D1748)*100+MONTH($D1748),"")</f>
        <v/>
      </c>
      <c r="V1748" s="32">
        <f>IF($A1748=1,IF(COUNTIF(COA!$A:$A,$G1748)=0,0,INDEX(COA!$H:$H,MATCH($G1748,COA!$A:$A,0))),"")</f>
        <v/>
      </c>
      <c r="W1748" s="32">
        <f>IF($A1748=1,IF(Supplier_Payments!$R64="","",Supplier_Payments!$R64),"")</f>
        <v/>
      </c>
      <c r="X1748" s="32">
        <f>IF($A1748=1,IF($R1748=1,"",IF($O1748=ST_POST,IF($P1748&lt;&gt;"",$P1748,"حساب غير صالح أو غير نشط"),IF($O1748=ST_REV,"معكوس: لا أثر على الدفاتر",IF($O1748=ST_CANC,"ملغى",IF($O1748=ST_APPR,"معتمد ولم يُرحَّل","مسودة"))))),"")</f>
        <v/>
      </c>
      <c r="Y1748" s="32">
        <f>IF($A1748=1,IF(AND($R1748=1,OR(LG_Acct="",$G1748=LG_Acct),OR(LG_Party="",$K1748=LG_Party),OR(LG_Loc="ALL",$I1748=LG_Loc),OR(LG_CC="ALL",$J1748=LG_CC),$D1748&gt;=LG_From,$D1748&lt;=LG_To),$D1748+ROW()/1000000,""),"")</f>
        <v/>
      </c>
      <c r="Z1748" s="32">
        <f>IF($A1748=1,IF(Supplier_Payments!$J64="","",Supplier_Payments!$J64),"")</f>
        <v/>
      </c>
      <c r="AA1748" s="32">
        <f>IF($A1748=1,IF(Supplier_Payments!$K64="","",Supplier_Payments!$K64),"")</f>
        <v/>
      </c>
      <c r="AB1748" s="32">
        <f>IF($A1748=1,IF(Supplier_Payments!$L64="","",Supplier_Payments!$L64),"")</f>
        <v/>
      </c>
      <c r="AC1748" s="32">
        <f>IF($A1748=1,IF(Supplier_Payments!$M64="","",Supplier_Payments!$M64),"")</f>
        <v/>
      </c>
      <c r="AD1748" s="32">
        <f>IF($A1748=1,IF(Supplier_Payments!$N64="","",Supplier_Payments!$N64),"")</f>
        <v/>
      </c>
      <c r="AE1748" s="32">
        <f>IF($A1748=1,0,"")</f>
        <v/>
      </c>
      <c r="AF1748" s="32" t="inlineStr"/>
    </row>
    <row r="1749">
      <c r="A1749" s="32">
        <f>IF(Manual_JE!$U5=1,1,0)</f>
        <v/>
      </c>
      <c r="B1749" s="32">
        <f>IF($A1749=1,$E1749&amp;"/1","")</f>
        <v/>
      </c>
      <c r="C1749" s="32">
        <f>IF($A1749=1,IF(Manual_JE!$A5="","",Manual_JE!$A5),"")</f>
        <v/>
      </c>
      <c r="D1749" s="33">
        <f>IF($A1749=1,Manual_JE!$B5,"")</f>
        <v/>
      </c>
      <c r="E1749" s="32">
        <f>IF($A1749=1,IF(Manual_JE!$A5="","",Manual_JE!$A5),"")</f>
        <v/>
      </c>
      <c r="F1749" s="32">
        <f>IF($A1749=1,"MJE","")</f>
        <v/>
      </c>
      <c r="G1749" s="32">
        <f>IF($A1749=1,IF(Manual_JE!$E5="","",Manual_JE!$E5),"")</f>
        <v/>
      </c>
      <c r="H1749" s="32">
        <f>IF($A1749=1,IF(COUNTIF(COA!$A:$A,$G1749)=0,"حساب غير معرف",INDEX(COA!$B:$B,MATCH($G1749,COA!$A:$A,0))),"")</f>
        <v/>
      </c>
      <c r="I1749" s="32">
        <f>IF($A1749=1,IF(Manual_JE!$F5="","",Manual_JE!$F5),"")</f>
        <v/>
      </c>
      <c r="J1749" s="32">
        <f>IF($A1749=1,IF(Manual_JE!$G5="","CC00",Manual_JE!$G5),"")</f>
        <v/>
      </c>
      <c r="K1749" s="32">
        <f>IF($A1749=1,IF(Manual_JE!$H5="","-",Manual_JE!$H5),"")</f>
        <v/>
      </c>
      <c r="L1749" s="32">
        <f>IF($A1749=1,IF(Manual_JE!$I5="","",Manual_JE!$I5),"")</f>
        <v/>
      </c>
      <c r="M1749" s="43">
        <f>IF($A1749=1,N(Manual_JE!$J5),"")</f>
        <v/>
      </c>
      <c r="N1749" s="43">
        <f>IF($A1749=1,N(Manual_JE!$K5),"")</f>
        <v/>
      </c>
      <c r="O1749" s="32">
        <f>IF($A1749=1,Manual_JE!$M5,"")</f>
        <v/>
      </c>
      <c r="P1749" s="32">
        <f>IF($A1749=1,IF(Manual_JE!$AE5="","",Manual_JE!$AE5),"")</f>
        <v/>
      </c>
      <c r="Q1749" s="32">
        <f>IF($A1749=1,Manual_JE!$AG5,"")</f>
        <v/>
      </c>
      <c r="R1749" s="32">
        <f>IF($A1749=1,IF(AND($Q1749=1,COUNTIFS(COA!$A:$A,$G1749,COA!$R:$R,1)=1),1,0),"")</f>
        <v/>
      </c>
      <c r="S1749" s="43">
        <f>IF($A1749=1,IF($R1749=1,N($M1749),0),"")</f>
        <v/>
      </c>
      <c r="T1749" s="43">
        <f>IF($A1749=1,IF($R1749=1,N($N1749),0),"")</f>
        <v/>
      </c>
      <c r="U1749" s="32">
        <f>IF($A1749=1,YEAR($D1749)*100+MONTH($D1749),"")</f>
        <v/>
      </c>
      <c r="V1749" s="32">
        <f>IF($A1749=1,IF(COUNTIF(COA!$A:$A,$G1749)=0,0,INDEX(COA!$H:$H,MATCH($G1749,COA!$A:$A,0))),"")</f>
        <v/>
      </c>
      <c r="W1749" s="32">
        <f>IF($A1749=1,IF(Manual_JE!$L5="","",Manual_JE!$L5),"")</f>
        <v/>
      </c>
      <c r="X1749" s="32">
        <f>IF($A1749=1,IF($R1749=1,"",IF($O1749=ST_POST,IF($P1749&lt;&gt;"",$P1749,"حساب غير صالح أو غير نشط"),IF($O1749=ST_REV,"معكوس: لا أثر على الدفاتر",IF($O1749=ST_CANC,"ملغى",IF($O1749=ST_APPR,"معتمد ولم يُرحَّل","مسودة"))))),"")</f>
        <v/>
      </c>
      <c r="Y1749" s="32">
        <f>IF($A1749=1,IF(AND($R1749=1,OR(LG_Acct="",$G1749=LG_Acct),OR(LG_Party="",$K1749=LG_Party),OR(LG_Loc="ALL",$I1749=LG_Loc),OR(LG_CC="ALL",$J1749=LG_CC),$D1749&gt;=LG_From,$D1749&lt;=LG_To),$D1749+ROW()/1000000,""),"")</f>
        <v/>
      </c>
      <c r="Z1749" s="32">
        <f>IF($A1749=1,IF(Manual_JE!$N5="","",Manual_JE!$N5),"")</f>
        <v/>
      </c>
      <c r="AA1749" s="32">
        <f>IF($A1749=1,IF(Manual_JE!$O5="","",Manual_JE!$O5),"")</f>
        <v/>
      </c>
      <c r="AB1749" s="32">
        <f>IF($A1749=1,IF(Manual_JE!$P5="","",Manual_JE!$P5),"")</f>
        <v/>
      </c>
      <c r="AC1749" s="32">
        <f>IF($A1749=1,IF(Manual_JE!$Q5="","",Manual_JE!$Q5),"")</f>
        <v/>
      </c>
      <c r="AD1749" s="32">
        <f>IF($A1749=1,IF(Manual_JE!$R5="","",Manual_JE!$R5),"")</f>
        <v/>
      </c>
      <c r="AE1749" s="32">
        <f>IF($A1749=1,IF(Manual_JE!$D5="إقفال",1,0),"")</f>
        <v/>
      </c>
      <c r="AF1749" s="32" t="inlineStr"/>
    </row>
    <row r="1750">
      <c r="A1750" s="32">
        <f>IF(Manual_JE!$U6=1,1,0)</f>
        <v/>
      </c>
      <c r="B1750" s="32">
        <f>IF($A1750=1,$E1750&amp;"/1","")</f>
        <v/>
      </c>
      <c r="C1750" s="32">
        <f>IF($A1750=1,IF(Manual_JE!$A6="","",Manual_JE!$A6),"")</f>
        <v/>
      </c>
      <c r="D1750" s="33">
        <f>IF($A1750=1,Manual_JE!$B6,"")</f>
        <v/>
      </c>
      <c r="E1750" s="32">
        <f>IF($A1750=1,IF(Manual_JE!$A6="","",Manual_JE!$A6),"")</f>
        <v/>
      </c>
      <c r="F1750" s="32">
        <f>IF($A1750=1,"MJE","")</f>
        <v/>
      </c>
      <c r="G1750" s="32">
        <f>IF($A1750=1,IF(Manual_JE!$E6="","",Manual_JE!$E6),"")</f>
        <v/>
      </c>
      <c r="H1750" s="32">
        <f>IF($A1750=1,IF(COUNTIF(COA!$A:$A,$G1750)=0,"حساب غير معرف",INDEX(COA!$B:$B,MATCH($G1750,COA!$A:$A,0))),"")</f>
        <v/>
      </c>
      <c r="I1750" s="32">
        <f>IF($A1750=1,IF(Manual_JE!$F6="","",Manual_JE!$F6),"")</f>
        <v/>
      </c>
      <c r="J1750" s="32">
        <f>IF($A1750=1,IF(Manual_JE!$G6="","CC00",Manual_JE!$G6),"")</f>
        <v/>
      </c>
      <c r="K1750" s="32">
        <f>IF($A1750=1,IF(Manual_JE!$H6="","-",Manual_JE!$H6),"")</f>
        <v/>
      </c>
      <c r="L1750" s="32">
        <f>IF($A1750=1,IF(Manual_JE!$I6="","",Manual_JE!$I6),"")</f>
        <v/>
      </c>
      <c r="M1750" s="43">
        <f>IF($A1750=1,N(Manual_JE!$J6),"")</f>
        <v/>
      </c>
      <c r="N1750" s="43">
        <f>IF($A1750=1,N(Manual_JE!$K6),"")</f>
        <v/>
      </c>
      <c r="O1750" s="32">
        <f>IF($A1750=1,Manual_JE!$M6,"")</f>
        <v/>
      </c>
      <c r="P1750" s="32">
        <f>IF($A1750=1,IF(Manual_JE!$AE6="","",Manual_JE!$AE6),"")</f>
        <v/>
      </c>
      <c r="Q1750" s="32">
        <f>IF($A1750=1,Manual_JE!$AG6,"")</f>
        <v/>
      </c>
      <c r="R1750" s="32">
        <f>IF($A1750=1,IF(AND($Q1750=1,COUNTIFS(COA!$A:$A,$G1750,COA!$R:$R,1)=1),1,0),"")</f>
        <v/>
      </c>
      <c r="S1750" s="43">
        <f>IF($A1750=1,IF($R1750=1,N($M1750),0),"")</f>
        <v/>
      </c>
      <c r="T1750" s="43">
        <f>IF($A1750=1,IF($R1750=1,N($N1750),0),"")</f>
        <v/>
      </c>
      <c r="U1750" s="32">
        <f>IF($A1750=1,YEAR($D1750)*100+MONTH($D1750),"")</f>
        <v/>
      </c>
      <c r="V1750" s="32">
        <f>IF($A1750=1,IF(COUNTIF(COA!$A:$A,$G1750)=0,0,INDEX(COA!$H:$H,MATCH($G1750,COA!$A:$A,0))),"")</f>
        <v/>
      </c>
      <c r="W1750" s="32">
        <f>IF($A1750=1,IF(Manual_JE!$L6="","",Manual_JE!$L6),"")</f>
        <v/>
      </c>
      <c r="X1750" s="32">
        <f>IF($A1750=1,IF($R1750=1,"",IF($O1750=ST_POST,IF($P1750&lt;&gt;"",$P1750,"حساب غير صالح أو غير نشط"),IF($O1750=ST_REV,"معكوس: لا أثر على الدفاتر",IF($O1750=ST_CANC,"ملغى",IF($O1750=ST_APPR,"معتمد ولم يُرحَّل","مسودة"))))),"")</f>
        <v/>
      </c>
      <c r="Y1750" s="32">
        <f>IF($A1750=1,IF(AND($R1750=1,OR(LG_Acct="",$G1750=LG_Acct),OR(LG_Party="",$K1750=LG_Party),OR(LG_Loc="ALL",$I1750=LG_Loc),OR(LG_CC="ALL",$J1750=LG_CC),$D1750&gt;=LG_From,$D1750&lt;=LG_To),$D1750+ROW()/1000000,""),"")</f>
        <v/>
      </c>
      <c r="Z1750" s="32">
        <f>IF($A1750=1,IF(Manual_JE!$N6="","",Manual_JE!$N6),"")</f>
        <v/>
      </c>
      <c r="AA1750" s="32">
        <f>IF($A1750=1,IF(Manual_JE!$O6="","",Manual_JE!$O6),"")</f>
        <v/>
      </c>
      <c r="AB1750" s="32">
        <f>IF($A1750=1,IF(Manual_JE!$P6="","",Manual_JE!$P6),"")</f>
        <v/>
      </c>
      <c r="AC1750" s="32">
        <f>IF($A1750=1,IF(Manual_JE!$Q6="","",Manual_JE!$Q6),"")</f>
        <v/>
      </c>
      <c r="AD1750" s="32">
        <f>IF($A1750=1,IF(Manual_JE!$R6="","",Manual_JE!$R6),"")</f>
        <v/>
      </c>
      <c r="AE1750" s="32">
        <f>IF($A1750=1,IF(Manual_JE!$D6="إقفال",1,0),"")</f>
        <v/>
      </c>
      <c r="AF1750" s="32" t="inlineStr"/>
    </row>
    <row r="1751">
      <c r="A1751" s="32">
        <f>IF(Manual_JE!$U7=1,1,0)</f>
        <v/>
      </c>
      <c r="B1751" s="32">
        <f>IF($A1751=1,$E1751&amp;"/1","")</f>
        <v/>
      </c>
      <c r="C1751" s="32">
        <f>IF($A1751=1,IF(Manual_JE!$A7="","",Manual_JE!$A7),"")</f>
        <v/>
      </c>
      <c r="D1751" s="33">
        <f>IF($A1751=1,Manual_JE!$B7,"")</f>
        <v/>
      </c>
      <c r="E1751" s="32">
        <f>IF($A1751=1,IF(Manual_JE!$A7="","",Manual_JE!$A7),"")</f>
        <v/>
      </c>
      <c r="F1751" s="32">
        <f>IF($A1751=1,"MJE","")</f>
        <v/>
      </c>
      <c r="G1751" s="32">
        <f>IF($A1751=1,IF(Manual_JE!$E7="","",Manual_JE!$E7),"")</f>
        <v/>
      </c>
      <c r="H1751" s="32">
        <f>IF($A1751=1,IF(COUNTIF(COA!$A:$A,$G1751)=0,"حساب غير معرف",INDEX(COA!$B:$B,MATCH($G1751,COA!$A:$A,0))),"")</f>
        <v/>
      </c>
      <c r="I1751" s="32">
        <f>IF($A1751=1,IF(Manual_JE!$F7="","",Manual_JE!$F7),"")</f>
        <v/>
      </c>
      <c r="J1751" s="32">
        <f>IF($A1751=1,IF(Manual_JE!$G7="","CC00",Manual_JE!$G7),"")</f>
        <v/>
      </c>
      <c r="K1751" s="32">
        <f>IF($A1751=1,IF(Manual_JE!$H7="","-",Manual_JE!$H7),"")</f>
        <v/>
      </c>
      <c r="L1751" s="32">
        <f>IF($A1751=1,IF(Manual_JE!$I7="","",Manual_JE!$I7),"")</f>
        <v/>
      </c>
      <c r="M1751" s="43">
        <f>IF($A1751=1,N(Manual_JE!$J7),"")</f>
        <v/>
      </c>
      <c r="N1751" s="43">
        <f>IF($A1751=1,N(Manual_JE!$K7),"")</f>
        <v/>
      </c>
      <c r="O1751" s="32">
        <f>IF($A1751=1,Manual_JE!$M7,"")</f>
        <v/>
      </c>
      <c r="P1751" s="32">
        <f>IF($A1751=1,IF(Manual_JE!$AE7="","",Manual_JE!$AE7),"")</f>
        <v/>
      </c>
      <c r="Q1751" s="32">
        <f>IF($A1751=1,Manual_JE!$AG7,"")</f>
        <v/>
      </c>
      <c r="R1751" s="32">
        <f>IF($A1751=1,IF(AND($Q1751=1,COUNTIFS(COA!$A:$A,$G1751,COA!$R:$R,1)=1),1,0),"")</f>
        <v/>
      </c>
      <c r="S1751" s="43">
        <f>IF($A1751=1,IF($R1751=1,N($M1751),0),"")</f>
        <v/>
      </c>
      <c r="T1751" s="43">
        <f>IF($A1751=1,IF($R1751=1,N($N1751),0),"")</f>
        <v/>
      </c>
      <c r="U1751" s="32">
        <f>IF($A1751=1,YEAR($D1751)*100+MONTH($D1751),"")</f>
        <v/>
      </c>
      <c r="V1751" s="32">
        <f>IF($A1751=1,IF(COUNTIF(COA!$A:$A,$G1751)=0,0,INDEX(COA!$H:$H,MATCH($G1751,COA!$A:$A,0))),"")</f>
        <v/>
      </c>
      <c r="W1751" s="32">
        <f>IF($A1751=1,IF(Manual_JE!$L7="","",Manual_JE!$L7),"")</f>
        <v/>
      </c>
      <c r="X1751" s="32">
        <f>IF($A1751=1,IF($R1751=1,"",IF($O1751=ST_POST,IF($P1751&lt;&gt;"",$P1751,"حساب غير صالح أو غير نشط"),IF($O1751=ST_REV,"معكوس: لا أثر على الدفاتر",IF($O1751=ST_CANC,"ملغى",IF($O1751=ST_APPR,"معتمد ولم يُرحَّل","مسودة"))))),"")</f>
        <v/>
      </c>
      <c r="Y1751" s="32">
        <f>IF($A1751=1,IF(AND($R1751=1,OR(LG_Acct="",$G1751=LG_Acct),OR(LG_Party="",$K1751=LG_Party),OR(LG_Loc="ALL",$I1751=LG_Loc),OR(LG_CC="ALL",$J1751=LG_CC),$D1751&gt;=LG_From,$D1751&lt;=LG_To),$D1751+ROW()/1000000,""),"")</f>
        <v/>
      </c>
      <c r="Z1751" s="32">
        <f>IF($A1751=1,IF(Manual_JE!$N7="","",Manual_JE!$N7),"")</f>
        <v/>
      </c>
      <c r="AA1751" s="32">
        <f>IF($A1751=1,IF(Manual_JE!$O7="","",Manual_JE!$O7),"")</f>
        <v/>
      </c>
      <c r="AB1751" s="32">
        <f>IF($A1751=1,IF(Manual_JE!$P7="","",Manual_JE!$P7),"")</f>
        <v/>
      </c>
      <c r="AC1751" s="32">
        <f>IF($A1751=1,IF(Manual_JE!$Q7="","",Manual_JE!$Q7),"")</f>
        <v/>
      </c>
      <c r="AD1751" s="32">
        <f>IF($A1751=1,IF(Manual_JE!$R7="","",Manual_JE!$R7),"")</f>
        <v/>
      </c>
      <c r="AE1751" s="32">
        <f>IF($A1751=1,IF(Manual_JE!$D7="إقفال",1,0),"")</f>
        <v/>
      </c>
      <c r="AF1751" s="32" t="inlineStr"/>
    </row>
    <row r="1752">
      <c r="A1752" s="32">
        <f>IF(Manual_JE!$U8=1,1,0)</f>
        <v/>
      </c>
      <c r="B1752" s="32">
        <f>IF($A1752=1,$E1752&amp;"/1","")</f>
        <v/>
      </c>
      <c r="C1752" s="32">
        <f>IF($A1752=1,IF(Manual_JE!$A8="","",Manual_JE!$A8),"")</f>
        <v/>
      </c>
      <c r="D1752" s="33">
        <f>IF($A1752=1,Manual_JE!$B8,"")</f>
        <v/>
      </c>
      <c r="E1752" s="32">
        <f>IF($A1752=1,IF(Manual_JE!$A8="","",Manual_JE!$A8),"")</f>
        <v/>
      </c>
      <c r="F1752" s="32">
        <f>IF($A1752=1,"MJE","")</f>
        <v/>
      </c>
      <c r="G1752" s="32">
        <f>IF($A1752=1,IF(Manual_JE!$E8="","",Manual_JE!$E8),"")</f>
        <v/>
      </c>
      <c r="H1752" s="32">
        <f>IF($A1752=1,IF(COUNTIF(COA!$A:$A,$G1752)=0,"حساب غير معرف",INDEX(COA!$B:$B,MATCH($G1752,COA!$A:$A,0))),"")</f>
        <v/>
      </c>
      <c r="I1752" s="32">
        <f>IF($A1752=1,IF(Manual_JE!$F8="","",Manual_JE!$F8),"")</f>
        <v/>
      </c>
      <c r="J1752" s="32">
        <f>IF($A1752=1,IF(Manual_JE!$G8="","CC00",Manual_JE!$G8),"")</f>
        <v/>
      </c>
      <c r="K1752" s="32">
        <f>IF($A1752=1,IF(Manual_JE!$H8="","-",Manual_JE!$H8),"")</f>
        <v/>
      </c>
      <c r="L1752" s="32">
        <f>IF($A1752=1,IF(Manual_JE!$I8="","",Manual_JE!$I8),"")</f>
        <v/>
      </c>
      <c r="M1752" s="43">
        <f>IF($A1752=1,N(Manual_JE!$J8),"")</f>
        <v/>
      </c>
      <c r="N1752" s="43">
        <f>IF($A1752=1,N(Manual_JE!$K8),"")</f>
        <v/>
      </c>
      <c r="O1752" s="32">
        <f>IF($A1752=1,Manual_JE!$M8,"")</f>
        <v/>
      </c>
      <c r="P1752" s="32">
        <f>IF($A1752=1,IF(Manual_JE!$AE8="","",Manual_JE!$AE8),"")</f>
        <v/>
      </c>
      <c r="Q1752" s="32">
        <f>IF($A1752=1,Manual_JE!$AG8,"")</f>
        <v/>
      </c>
      <c r="R1752" s="32">
        <f>IF($A1752=1,IF(AND($Q1752=1,COUNTIFS(COA!$A:$A,$G1752,COA!$R:$R,1)=1),1,0),"")</f>
        <v/>
      </c>
      <c r="S1752" s="43">
        <f>IF($A1752=1,IF($R1752=1,N($M1752),0),"")</f>
        <v/>
      </c>
      <c r="T1752" s="43">
        <f>IF($A1752=1,IF($R1752=1,N($N1752),0),"")</f>
        <v/>
      </c>
      <c r="U1752" s="32">
        <f>IF($A1752=1,YEAR($D1752)*100+MONTH($D1752),"")</f>
        <v/>
      </c>
      <c r="V1752" s="32">
        <f>IF($A1752=1,IF(COUNTIF(COA!$A:$A,$G1752)=0,0,INDEX(COA!$H:$H,MATCH($G1752,COA!$A:$A,0))),"")</f>
        <v/>
      </c>
      <c r="W1752" s="32">
        <f>IF($A1752=1,IF(Manual_JE!$L8="","",Manual_JE!$L8),"")</f>
        <v/>
      </c>
      <c r="X1752" s="32">
        <f>IF($A1752=1,IF($R1752=1,"",IF($O1752=ST_POST,IF($P1752&lt;&gt;"",$P1752,"حساب غير صالح أو غير نشط"),IF($O1752=ST_REV,"معكوس: لا أثر على الدفاتر",IF($O1752=ST_CANC,"ملغى",IF($O1752=ST_APPR,"معتمد ولم يُرحَّل","مسودة"))))),"")</f>
        <v/>
      </c>
      <c r="Y1752" s="32">
        <f>IF($A1752=1,IF(AND($R1752=1,OR(LG_Acct="",$G1752=LG_Acct),OR(LG_Party="",$K1752=LG_Party),OR(LG_Loc="ALL",$I1752=LG_Loc),OR(LG_CC="ALL",$J1752=LG_CC),$D1752&gt;=LG_From,$D1752&lt;=LG_To),$D1752+ROW()/1000000,""),"")</f>
        <v/>
      </c>
      <c r="Z1752" s="32">
        <f>IF($A1752=1,IF(Manual_JE!$N8="","",Manual_JE!$N8),"")</f>
        <v/>
      </c>
      <c r="AA1752" s="32">
        <f>IF($A1752=1,IF(Manual_JE!$O8="","",Manual_JE!$O8),"")</f>
        <v/>
      </c>
      <c r="AB1752" s="32">
        <f>IF($A1752=1,IF(Manual_JE!$P8="","",Manual_JE!$P8),"")</f>
        <v/>
      </c>
      <c r="AC1752" s="32">
        <f>IF($A1752=1,IF(Manual_JE!$Q8="","",Manual_JE!$Q8),"")</f>
        <v/>
      </c>
      <c r="AD1752" s="32">
        <f>IF($A1752=1,IF(Manual_JE!$R8="","",Manual_JE!$R8),"")</f>
        <v/>
      </c>
      <c r="AE1752" s="32">
        <f>IF($A1752=1,IF(Manual_JE!$D8="إقفال",1,0),"")</f>
        <v/>
      </c>
      <c r="AF1752" s="32" t="inlineStr"/>
    </row>
    <row r="1753">
      <c r="A1753" s="32">
        <f>IF(Manual_JE!$U9=1,1,0)</f>
        <v/>
      </c>
      <c r="B1753" s="32">
        <f>IF($A1753=1,$E1753&amp;"/1","")</f>
        <v/>
      </c>
      <c r="C1753" s="32">
        <f>IF($A1753=1,IF(Manual_JE!$A9="","",Manual_JE!$A9),"")</f>
        <v/>
      </c>
      <c r="D1753" s="33">
        <f>IF($A1753=1,Manual_JE!$B9,"")</f>
        <v/>
      </c>
      <c r="E1753" s="32">
        <f>IF($A1753=1,IF(Manual_JE!$A9="","",Manual_JE!$A9),"")</f>
        <v/>
      </c>
      <c r="F1753" s="32">
        <f>IF($A1753=1,"MJE","")</f>
        <v/>
      </c>
      <c r="G1753" s="32">
        <f>IF($A1753=1,IF(Manual_JE!$E9="","",Manual_JE!$E9),"")</f>
        <v/>
      </c>
      <c r="H1753" s="32">
        <f>IF($A1753=1,IF(COUNTIF(COA!$A:$A,$G1753)=0,"حساب غير معرف",INDEX(COA!$B:$B,MATCH($G1753,COA!$A:$A,0))),"")</f>
        <v/>
      </c>
      <c r="I1753" s="32">
        <f>IF($A1753=1,IF(Manual_JE!$F9="","",Manual_JE!$F9),"")</f>
        <v/>
      </c>
      <c r="J1753" s="32">
        <f>IF($A1753=1,IF(Manual_JE!$G9="","CC00",Manual_JE!$G9),"")</f>
        <v/>
      </c>
      <c r="K1753" s="32">
        <f>IF($A1753=1,IF(Manual_JE!$H9="","-",Manual_JE!$H9),"")</f>
        <v/>
      </c>
      <c r="L1753" s="32">
        <f>IF($A1753=1,IF(Manual_JE!$I9="","",Manual_JE!$I9),"")</f>
        <v/>
      </c>
      <c r="M1753" s="43">
        <f>IF($A1753=1,N(Manual_JE!$J9),"")</f>
        <v/>
      </c>
      <c r="N1753" s="43">
        <f>IF($A1753=1,N(Manual_JE!$K9),"")</f>
        <v/>
      </c>
      <c r="O1753" s="32">
        <f>IF($A1753=1,Manual_JE!$M9,"")</f>
        <v/>
      </c>
      <c r="P1753" s="32">
        <f>IF($A1753=1,IF(Manual_JE!$AE9="","",Manual_JE!$AE9),"")</f>
        <v/>
      </c>
      <c r="Q1753" s="32">
        <f>IF($A1753=1,Manual_JE!$AG9,"")</f>
        <v/>
      </c>
      <c r="R1753" s="32">
        <f>IF($A1753=1,IF(AND($Q1753=1,COUNTIFS(COA!$A:$A,$G1753,COA!$R:$R,1)=1),1,0),"")</f>
        <v/>
      </c>
      <c r="S1753" s="43">
        <f>IF($A1753=1,IF($R1753=1,N($M1753),0),"")</f>
        <v/>
      </c>
      <c r="T1753" s="43">
        <f>IF($A1753=1,IF($R1753=1,N($N1753),0),"")</f>
        <v/>
      </c>
      <c r="U1753" s="32">
        <f>IF($A1753=1,YEAR($D1753)*100+MONTH($D1753),"")</f>
        <v/>
      </c>
      <c r="V1753" s="32">
        <f>IF($A1753=1,IF(COUNTIF(COA!$A:$A,$G1753)=0,0,INDEX(COA!$H:$H,MATCH($G1753,COA!$A:$A,0))),"")</f>
        <v/>
      </c>
      <c r="W1753" s="32">
        <f>IF($A1753=1,IF(Manual_JE!$L9="","",Manual_JE!$L9),"")</f>
        <v/>
      </c>
      <c r="X1753" s="32">
        <f>IF($A1753=1,IF($R1753=1,"",IF($O1753=ST_POST,IF($P1753&lt;&gt;"",$P1753,"حساب غير صالح أو غير نشط"),IF($O1753=ST_REV,"معكوس: لا أثر على الدفاتر",IF($O1753=ST_CANC,"ملغى",IF($O1753=ST_APPR,"معتمد ولم يُرحَّل","مسودة"))))),"")</f>
        <v/>
      </c>
      <c r="Y1753" s="32">
        <f>IF($A1753=1,IF(AND($R1753=1,OR(LG_Acct="",$G1753=LG_Acct),OR(LG_Party="",$K1753=LG_Party),OR(LG_Loc="ALL",$I1753=LG_Loc),OR(LG_CC="ALL",$J1753=LG_CC),$D1753&gt;=LG_From,$D1753&lt;=LG_To),$D1753+ROW()/1000000,""),"")</f>
        <v/>
      </c>
      <c r="Z1753" s="32">
        <f>IF($A1753=1,IF(Manual_JE!$N9="","",Manual_JE!$N9),"")</f>
        <v/>
      </c>
      <c r="AA1753" s="32">
        <f>IF($A1753=1,IF(Manual_JE!$O9="","",Manual_JE!$O9),"")</f>
        <v/>
      </c>
      <c r="AB1753" s="32">
        <f>IF($A1753=1,IF(Manual_JE!$P9="","",Manual_JE!$P9),"")</f>
        <v/>
      </c>
      <c r="AC1753" s="32">
        <f>IF($A1753=1,IF(Manual_JE!$Q9="","",Manual_JE!$Q9),"")</f>
        <v/>
      </c>
      <c r="AD1753" s="32">
        <f>IF($A1753=1,IF(Manual_JE!$R9="","",Manual_JE!$R9),"")</f>
        <v/>
      </c>
      <c r="AE1753" s="32">
        <f>IF($A1753=1,IF(Manual_JE!$D9="إقفال",1,0),"")</f>
        <v/>
      </c>
      <c r="AF1753" s="32" t="inlineStr"/>
    </row>
    <row r="1754">
      <c r="A1754" s="32">
        <f>IF(Manual_JE!$U10=1,1,0)</f>
        <v/>
      </c>
      <c r="B1754" s="32">
        <f>IF($A1754=1,$E1754&amp;"/1","")</f>
        <v/>
      </c>
      <c r="C1754" s="32">
        <f>IF($A1754=1,IF(Manual_JE!$A10="","",Manual_JE!$A10),"")</f>
        <v/>
      </c>
      <c r="D1754" s="33">
        <f>IF($A1754=1,Manual_JE!$B10,"")</f>
        <v/>
      </c>
      <c r="E1754" s="32">
        <f>IF($A1754=1,IF(Manual_JE!$A10="","",Manual_JE!$A10),"")</f>
        <v/>
      </c>
      <c r="F1754" s="32">
        <f>IF($A1754=1,"MJE","")</f>
        <v/>
      </c>
      <c r="G1754" s="32">
        <f>IF($A1754=1,IF(Manual_JE!$E10="","",Manual_JE!$E10),"")</f>
        <v/>
      </c>
      <c r="H1754" s="32">
        <f>IF($A1754=1,IF(COUNTIF(COA!$A:$A,$G1754)=0,"حساب غير معرف",INDEX(COA!$B:$B,MATCH($G1754,COA!$A:$A,0))),"")</f>
        <v/>
      </c>
      <c r="I1754" s="32">
        <f>IF($A1754=1,IF(Manual_JE!$F10="","",Manual_JE!$F10),"")</f>
        <v/>
      </c>
      <c r="J1754" s="32">
        <f>IF($A1754=1,IF(Manual_JE!$G10="","CC00",Manual_JE!$G10),"")</f>
        <v/>
      </c>
      <c r="K1754" s="32">
        <f>IF($A1754=1,IF(Manual_JE!$H10="","-",Manual_JE!$H10),"")</f>
        <v/>
      </c>
      <c r="L1754" s="32">
        <f>IF($A1754=1,IF(Manual_JE!$I10="","",Manual_JE!$I10),"")</f>
        <v/>
      </c>
      <c r="M1754" s="43">
        <f>IF($A1754=1,N(Manual_JE!$J10),"")</f>
        <v/>
      </c>
      <c r="N1754" s="43">
        <f>IF($A1754=1,N(Manual_JE!$K10),"")</f>
        <v/>
      </c>
      <c r="O1754" s="32">
        <f>IF($A1754=1,Manual_JE!$M10,"")</f>
        <v/>
      </c>
      <c r="P1754" s="32">
        <f>IF($A1754=1,IF(Manual_JE!$AE10="","",Manual_JE!$AE10),"")</f>
        <v/>
      </c>
      <c r="Q1754" s="32">
        <f>IF($A1754=1,Manual_JE!$AG10,"")</f>
        <v/>
      </c>
      <c r="R1754" s="32">
        <f>IF($A1754=1,IF(AND($Q1754=1,COUNTIFS(COA!$A:$A,$G1754,COA!$R:$R,1)=1),1,0),"")</f>
        <v/>
      </c>
      <c r="S1754" s="43">
        <f>IF($A1754=1,IF($R1754=1,N($M1754),0),"")</f>
        <v/>
      </c>
      <c r="T1754" s="43">
        <f>IF($A1754=1,IF($R1754=1,N($N1754),0),"")</f>
        <v/>
      </c>
      <c r="U1754" s="32">
        <f>IF($A1754=1,YEAR($D1754)*100+MONTH($D1754),"")</f>
        <v/>
      </c>
      <c r="V1754" s="32">
        <f>IF($A1754=1,IF(COUNTIF(COA!$A:$A,$G1754)=0,0,INDEX(COA!$H:$H,MATCH($G1754,COA!$A:$A,0))),"")</f>
        <v/>
      </c>
      <c r="W1754" s="32">
        <f>IF($A1754=1,IF(Manual_JE!$L10="","",Manual_JE!$L10),"")</f>
        <v/>
      </c>
      <c r="X1754" s="32">
        <f>IF($A1754=1,IF($R1754=1,"",IF($O1754=ST_POST,IF($P1754&lt;&gt;"",$P1754,"حساب غير صالح أو غير نشط"),IF($O1754=ST_REV,"معكوس: لا أثر على الدفاتر",IF($O1754=ST_CANC,"ملغى",IF($O1754=ST_APPR,"معتمد ولم يُرحَّل","مسودة"))))),"")</f>
        <v/>
      </c>
      <c r="Y1754" s="32">
        <f>IF($A1754=1,IF(AND($R1754=1,OR(LG_Acct="",$G1754=LG_Acct),OR(LG_Party="",$K1754=LG_Party),OR(LG_Loc="ALL",$I1754=LG_Loc),OR(LG_CC="ALL",$J1754=LG_CC),$D1754&gt;=LG_From,$D1754&lt;=LG_To),$D1754+ROW()/1000000,""),"")</f>
        <v/>
      </c>
      <c r="Z1754" s="32">
        <f>IF($A1754=1,IF(Manual_JE!$N10="","",Manual_JE!$N10),"")</f>
        <v/>
      </c>
      <c r="AA1754" s="32">
        <f>IF($A1754=1,IF(Manual_JE!$O10="","",Manual_JE!$O10),"")</f>
        <v/>
      </c>
      <c r="AB1754" s="32">
        <f>IF($A1754=1,IF(Manual_JE!$P10="","",Manual_JE!$P10),"")</f>
        <v/>
      </c>
      <c r="AC1754" s="32">
        <f>IF($A1754=1,IF(Manual_JE!$Q10="","",Manual_JE!$Q10),"")</f>
        <v/>
      </c>
      <c r="AD1754" s="32">
        <f>IF($A1754=1,IF(Manual_JE!$R10="","",Manual_JE!$R10),"")</f>
        <v/>
      </c>
      <c r="AE1754" s="32">
        <f>IF($A1754=1,IF(Manual_JE!$D10="إقفال",1,0),"")</f>
        <v/>
      </c>
      <c r="AF1754" s="32" t="inlineStr"/>
    </row>
    <row r="1755">
      <c r="A1755" s="32">
        <f>IF(Manual_JE!$U11=1,1,0)</f>
        <v/>
      </c>
      <c r="B1755" s="32">
        <f>IF($A1755=1,$E1755&amp;"/1","")</f>
        <v/>
      </c>
      <c r="C1755" s="32">
        <f>IF($A1755=1,IF(Manual_JE!$A11="","",Manual_JE!$A11),"")</f>
        <v/>
      </c>
      <c r="D1755" s="33">
        <f>IF($A1755=1,Manual_JE!$B11,"")</f>
        <v/>
      </c>
      <c r="E1755" s="32">
        <f>IF($A1755=1,IF(Manual_JE!$A11="","",Manual_JE!$A11),"")</f>
        <v/>
      </c>
      <c r="F1755" s="32">
        <f>IF($A1755=1,"MJE","")</f>
        <v/>
      </c>
      <c r="G1755" s="32">
        <f>IF($A1755=1,IF(Manual_JE!$E11="","",Manual_JE!$E11),"")</f>
        <v/>
      </c>
      <c r="H1755" s="32">
        <f>IF($A1755=1,IF(COUNTIF(COA!$A:$A,$G1755)=0,"حساب غير معرف",INDEX(COA!$B:$B,MATCH($G1755,COA!$A:$A,0))),"")</f>
        <v/>
      </c>
      <c r="I1755" s="32">
        <f>IF($A1755=1,IF(Manual_JE!$F11="","",Manual_JE!$F11),"")</f>
        <v/>
      </c>
      <c r="J1755" s="32">
        <f>IF($A1755=1,IF(Manual_JE!$G11="","CC00",Manual_JE!$G11),"")</f>
        <v/>
      </c>
      <c r="K1755" s="32">
        <f>IF($A1755=1,IF(Manual_JE!$H11="","-",Manual_JE!$H11),"")</f>
        <v/>
      </c>
      <c r="L1755" s="32">
        <f>IF($A1755=1,IF(Manual_JE!$I11="","",Manual_JE!$I11),"")</f>
        <v/>
      </c>
      <c r="M1755" s="43">
        <f>IF($A1755=1,N(Manual_JE!$J11),"")</f>
        <v/>
      </c>
      <c r="N1755" s="43">
        <f>IF($A1755=1,N(Manual_JE!$K11),"")</f>
        <v/>
      </c>
      <c r="O1755" s="32">
        <f>IF($A1755=1,Manual_JE!$M11,"")</f>
        <v/>
      </c>
      <c r="P1755" s="32">
        <f>IF($A1755=1,IF(Manual_JE!$AE11="","",Manual_JE!$AE11),"")</f>
        <v/>
      </c>
      <c r="Q1755" s="32">
        <f>IF($A1755=1,Manual_JE!$AG11,"")</f>
        <v/>
      </c>
      <c r="R1755" s="32">
        <f>IF($A1755=1,IF(AND($Q1755=1,COUNTIFS(COA!$A:$A,$G1755,COA!$R:$R,1)=1),1,0),"")</f>
        <v/>
      </c>
      <c r="S1755" s="43">
        <f>IF($A1755=1,IF($R1755=1,N($M1755),0),"")</f>
        <v/>
      </c>
      <c r="T1755" s="43">
        <f>IF($A1755=1,IF($R1755=1,N($N1755),0),"")</f>
        <v/>
      </c>
      <c r="U1755" s="32">
        <f>IF($A1755=1,YEAR($D1755)*100+MONTH($D1755),"")</f>
        <v/>
      </c>
      <c r="V1755" s="32">
        <f>IF($A1755=1,IF(COUNTIF(COA!$A:$A,$G1755)=0,0,INDEX(COA!$H:$H,MATCH($G1755,COA!$A:$A,0))),"")</f>
        <v/>
      </c>
      <c r="W1755" s="32">
        <f>IF($A1755=1,IF(Manual_JE!$L11="","",Manual_JE!$L11),"")</f>
        <v/>
      </c>
      <c r="X1755" s="32">
        <f>IF($A1755=1,IF($R1755=1,"",IF($O1755=ST_POST,IF($P1755&lt;&gt;"",$P1755,"حساب غير صالح أو غير نشط"),IF($O1755=ST_REV,"معكوس: لا أثر على الدفاتر",IF($O1755=ST_CANC,"ملغى",IF($O1755=ST_APPR,"معتمد ولم يُرحَّل","مسودة"))))),"")</f>
        <v/>
      </c>
      <c r="Y1755" s="32">
        <f>IF($A1755=1,IF(AND($R1755=1,OR(LG_Acct="",$G1755=LG_Acct),OR(LG_Party="",$K1755=LG_Party),OR(LG_Loc="ALL",$I1755=LG_Loc),OR(LG_CC="ALL",$J1755=LG_CC),$D1755&gt;=LG_From,$D1755&lt;=LG_To),$D1755+ROW()/1000000,""),"")</f>
        <v/>
      </c>
      <c r="Z1755" s="32">
        <f>IF($A1755=1,IF(Manual_JE!$N11="","",Manual_JE!$N11),"")</f>
        <v/>
      </c>
      <c r="AA1755" s="32">
        <f>IF($A1755=1,IF(Manual_JE!$O11="","",Manual_JE!$O11),"")</f>
        <v/>
      </c>
      <c r="AB1755" s="32">
        <f>IF($A1755=1,IF(Manual_JE!$P11="","",Manual_JE!$P11),"")</f>
        <v/>
      </c>
      <c r="AC1755" s="32">
        <f>IF($A1755=1,IF(Manual_JE!$Q11="","",Manual_JE!$Q11),"")</f>
        <v/>
      </c>
      <c r="AD1755" s="32">
        <f>IF($A1755=1,IF(Manual_JE!$R11="","",Manual_JE!$R11),"")</f>
        <v/>
      </c>
      <c r="AE1755" s="32">
        <f>IF($A1755=1,IF(Manual_JE!$D11="إقفال",1,0),"")</f>
        <v/>
      </c>
      <c r="AF1755" s="32" t="inlineStr"/>
    </row>
    <row r="1756">
      <c r="A1756" s="32">
        <f>IF(Manual_JE!$U12=1,1,0)</f>
        <v/>
      </c>
      <c r="B1756" s="32">
        <f>IF($A1756=1,$E1756&amp;"/1","")</f>
        <v/>
      </c>
      <c r="C1756" s="32">
        <f>IF($A1756=1,IF(Manual_JE!$A12="","",Manual_JE!$A12),"")</f>
        <v/>
      </c>
      <c r="D1756" s="33">
        <f>IF($A1756=1,Manual_JE!$B12,"")</f>
        <v/>
      </c>
      <c r="E1756" s="32">
        <f>IF($A1756=1,IF(Manual_JE!$A12="","",Manual_JE!$A12),"")</f>
        <v/>
      </c>
      <c r="F1756" s="32">
        <f>IF($A1756=1,"MJE","")</f>
        <v/>
      </c>
      <c r="G1756" s="32">
        <f>IF($A1756=1,IF(Manual_JE!$E12="","",Manual_JE!$E12),"")</f>
        <v/>
      </c>
      <c r="H1756" s="32">
        <f>IF($A1756=1,IF(COUNTIF(COA!$A:$A,$G1756)=0,"حساب غير معرف",INDEX(COA!$B:$B,MATCH($G1756,COA!$A:$A,0))),"")</f>
        <v/>
      </c>
      <c r="I1756" s="32">
        <f>IF($A1756=1,IF(Manual_JE!$F12="","",Manual_JE!$F12),"")</f>
        <v/>
      </c>
      <c r="J1756" s="32">
        <f>IF($A1756=1,IF(Manual_JE!$G12="","CC00",Manual_JE!$G12),"")</f>
        <v/>
      </c>
      <c r="K1756" s="32">
        <f>IF($A1756=1,IF(Manual_JE!$H12="","-",Manual_JE!$H12),"")</f>
        <v/>
      </c>
      <c r="L1756" s="32">
        <f>IF($A1756=1,IF(Manual_JE!$I12="","",Manual_JE!$I12),"")</f>
        <v/>
      </c>
      <c r="M1756" s="43">
        <f>IF($A1756=1,N(Manual_JE!$J12),"")</f>
        <v/>
      </c>
      <c r="N1756" s="43">
        <f>IF($A1756=1,N(Manual_JE!$K12),"")</f>
        <v/>
      </c>
      <c r="O1756" s="32">
        <f>IF($A1756=1,Manual_JE!$M12,"")</f>
        <v/>
      </c>
      <c r="P1756" s="32">
        <f>IF($A1756=1,IF(Manual_JE!$AE12="","",Manual_JE!$AE12),"")</f>
        <v/>
      </c>
      <c r="Q1756" s="32">
        <f>IF($A1756=1,Manual_JE!$AG12,"")</f>
        <v/>
      </c>
      <c r="R1756" s="32">
        <f>IF($A1756=1,IF(AND($Q1756=1,COUNTIFS(COA!$A:$A,$G1756,COA!$R:$R,1)=1),1,0),"")</f>
        <v/>
      </c>
      <c r="S1756" s="43">
        <f>IF($A1756=1,IF($R1756=1,N($M1756),0),"")</f>
        <v/>
      </c>
      <c r="T1756" s="43">
        <f>IF($A1756=1,IF($R1756=1,N($N1756),0),"")</f>
        <v/>
      </c>
      <c r="U1756" s="32">
        <f>IF($A1756=1,YEAR($D1756)*100+MONTH($D1756),"")</f>
        <v/>
      </c>
      <c r="V1756" s="32">
        <f>IF($A1756=1,IF(COUNTIF(COA!$A:$A,$G1756)=0,0,INDEX(COA!$H:$H,MATCH($G1756,COA!$A:$A,0))),"")</f>
        <v/>
      </c>
      <c r="W1756" s="32">
        <f>IF($A1756=1,IF(Manual_JE!$L12="","",Manual_JE!$L12),"")</f>
        <v/>
      </c>
      <c r="X1756" s="32">
        <f>IF($A1756=1,IF($R1756=1,"",IF($O1756=ST_POST,IF($P1756&lt;&gt;"",$P1756,"حساب غير صالح أو غير نشط"),IF($O1756=ST_REV,"معكوس: لا أثر على الدفاتر",IF($O1756=ST_CANC,"ملغى",IF($O1756=ST_APPR,"معتمد ولم يُرحَّل","مسودة"))))),"")</f>
        <v/>
      </c>
      <c r="Y1756" s="32">
        <f>IF($A1756=1,IF(AND($R1756=1,OR(LG_Acct="",$G1756=LG_Acct),OR(LG_Party="",$K1756=LG_Party),OR(LG_Loc="ALL",$I1756=LG_Loc),OR(LG_CC="ALL",$J1756=LG_CC),$D1756&gt;=LG_From,$D1756&lt;=LG_To),$D1756+ROW()/1000000,""),"")</f>
        <v/>
      </c>
      <c r="Z1756" s="32">
        <f>IF($A1756=1,IF(Manual_JE!$N12="","",Manual_JE!$N12),"")</f>
        <v/>
      </c>
      <c r="AA1756" s="32">
        <f>IF($A1756=1,IF(Manual_JE!$O12="","",Manual_JE!$O12),"")</f>
        <v/>
      </c>
      <c r="AB1756" s="32">
        <f>IF($A1756=1,IF(Manual_JE!$P12="","",Manual_JE!$P12),"")</f>
        <v/>
      </c>
      <c r="AC1756" s="32">
        <f>IF($A1756=1,IF(Manual_JE!$Q12="","",Manual_JE!$Q12),"")</f>
        <v/>
      </c>
      <c r="AD1756" s="32">
        <f>IF($A1756=1,IF(Manual_JE!$R12="","",Manual_JE!$R12),"")</f>
        <v/>
      </c>
      <c r="AE1756" s="32">
        <f>IF($A1756=1,IF(Manual_JE!$D12="إقفال",1,0),"")</f>
        <v/>
      </c>
      <c r="AF1756" s="32" t="inlineStr"/>
    </row>
    <row r="1757">
      <c r="A1757" s="32">
        <f>IF(Manual_JE!$U13=1,1,0)</f>
        <v/>
      </c>
      <c r="B1757" s="32">
        <f>IF($A1757=1,$E1757&amp;"/1","")</f>
        <v/>
      </c>
      <c r="C1757" s="32">
        <f>IF($A1757=1,IF(Manual_JE!$A13="","",Manual_JE!$A13),"")</f>
        <v/>
      </c>
      <c r="D1757" s="33">
        <f>IF($A1757=1,Manual_JE!$B13,"")</f>
        <v/>
      </c>
      <c r="E1757" s="32">
        <f>IF($A1757=1,IF(Manual_JE!$A13="","",Manual_JE!$A13),"")</f>
        <v/>
      </c>
      <c r="F1757" s="32">
        <f>IF($A1757=1,"MJE","")</f>
        <v/>
      </c>
      <c r="G1757" s="32">
        <f>IF($A1757=1,IF(Manual_JE!$E13="","",Manual_JE!$E13),"")</f>
        <v/>
      </c>
      <c r="H1757" s="32">
        <f>IF($A1757=1,IF(COUNTIF(COA!$A:$A,$G1757)=0,"حساب غير معرف",INDEX(COA!$B:$B,MATCH($G1757,COA!$A:$A,0))),"")</f>
        <v/>
      </c>
      <c r="I1757" s="32">
        <f>IF($A1757=1,IF(Manual_JE!$F13="","",Manual_JE!$F13),"")</f>
        <v/>
      </c>
      <c r="J1757" s="32">
        <f>IF($A1757=1,IF(Manual_JE!$G13="","CC00",Manual_JE!$G13),"")</f>
        <v/>
      </c>
      <c r="K1757" s="32">
        <f>IF($A1757=1,IF(Manual_JE!$H13="","-",Manual_JE!$H13),"")</f>
        <v/>
      </c>
      <c r="L1757" s="32">
        <f>IF($A1757=1,IF(Manual_JE!$I13="","",Manual_JE!$I13),"")</f>
        <v/>
      </c>
      <c r="M1757" s="43">
        <f>IF($A1757=1,N(Manual_JE!$J13),"")</f>
        <v/>
      </c>
      <c r="N1757" s="43">
        <f>IF($A1757=1,N(Manual_JE!$K13),"")</f>
        <v/>
      </c>
      <c r="O1757" s="32">
        <f>IF($A1757=1,Manual_JE!$M13,"")</f>
        <v/>
      </c>
      <c r="P1757" s="32">
        <f>IF($A1757=1,IF(Manual_JE!$AE13="","",Manual_JE!$AE13),"")</f>
        <v/>
      </c>
      <c r="Q1757" s="32">
        <f>IF($A1757=1,Manual_JE!$AG13,"")</f>
        <v/>
      </c>
      <c r="R1757" s="32">
        <f>IF($A1757=1,IF(AND($Q1757=1,COUNTIFS(COA!$A:$A,$G1757,COA!$R:$R,1)=1),1,0),"")</f>
        <v/>
      </c>
      <c r="S1757" s="43">
        <f>IF($A1757=1,IF($R1757=1,N($M1757),0),"")</f>
        <v/>
      </c>
      <c r="T1757" s="43">
        <f>IF($A1757=1,IF($R1757=1,N($N1757),0),"")</f>
        <v/>
      </c>
      <c r="U1757" s="32">
        <f>IF($A1757=1,YEAR($D1757)*100+MONTH($D1757),"")</f>
        <v/>
      </c>
      <c r="V1757" s="32">
        <f>IF($A1757=1,IF(COUNTIF(COA!$A:$A,$G1757)=0,0,INDEX(COA!$H:$H,MATCH($G1757,COA!$A:$A,0))),"")</f>
        <v/>
      </c>
      <c r="W1757" s="32">
        <f>IF($A1757=1,IF(Manual_JE!$L13="","",Manual_JE!$L13),"")</f>
        <v/>
      </c>
      <c r="X1757" s="32">
        <f>IF($A1757=1,IF($R1757=1,"",IF($O1757=ST_POST,IF($P1757&lt;&gt;"",$P1757,"حساب غير صالح أو غير نشط"),IF($O1757=ST_REV,"معكوس: لا أثر على الدفاتر",IF($O1757=ST_CANC,"ملغى",IF($O1757=ST_APPR,"معتمد ولم يُرحَّل","مسودة"))))),"")</f>
        <v/>
      </c>
      <c r="Y1757" s="32">
        <f>IF($A1757=1,IF(AND($R1757=1,OR(LG_Acct="",$G1757=LG_Acct),OR(LG_Party="",$K1757=LG_Party),OR(LG_Loc="ALL",$I1757=LG_Loc),OR(LG_CC="ALL",$J1757=LG_CC),$D1757&gt;=LG_From,$D1757&lt;=LG_To),$D1757+ROW()/1000000,""),"")</f>
        <v/>
      </c>
      <c r="Z1757" s="32">
        <f>IF($A1757=1,IF(Manual_JE!$N13="","",Manual_JE!$N13),"")</f>
        <v/>
      </c>
      <c r="AA1757" s="32">
        <f>IF($A1757=1,IF(Manual_JE!$O13="","",Manual_JE!$O13),"")</f>
        <v/>
      </c>
      <c r="AB1757" s="32">
        <f>IF($A1757=1,IF(Manual_JE!$P13="","",Manual_JE!$P13),"")</f>
        <v/>
      </c>
      <c r="AC1757" s="32">
        <f>IF($A1757=1,IF(Manual_JE!$Q13="","",Manual_JE!$Q13),"")</f>
        <v/>
      </c>
      <c r="AD1757" s="32">
        <f>IF($A1757=1,IF(Manual_JE!$R13="","",Manual_JE!$R13),"")</f>
        <v/>
      </c>
      <c r="AE1757" s="32">
        <f>IF($A1757=1,IF(Manual_JE!$D13="إقفال",1,0),"")</f>
        <v/>
      </c>
      <c r="AF1757" s="32" t="inlineStr"/>
    </row>
    <row r="1758">
      <c r="A1758" s="32">
        <f>IF(Manual_JE!$U14=1,1,0)</f>
        <v/>
      </c>
      <c r="B1758" s="32">
        <f>IF($A1758=1,$E1758&amp;"/1","")</f>
        <v/>
      </c>
      <c r="C1758" s="32">
        <f>IF($A1758=1,IF(Manual_JE!$A14="","",Manual_JE!$A14),"")</f>
        <v/>
      </c>
      <c r="D1758" s="33">
        <f>IF($A1758=1,Manual_JE!$B14,"")</f>
        <v/>
      </c>
      <c r="E1758" s="32">
        <f>IF($A1758=1,IF(Manual_JE!$A14="","",Manual_JE!$A14),"")</f>
        <v/>
      </c>
      <c r="F1758" s="32">
        <f>IF($A1758=1,"MJE","")</f>
        <v/>
      </c>
      <c r="G1758" s="32">
        <f>IF($A1758=1,IF(Manual_JE!$E14="","",Manual_JE!$E14),"")</f>
        <v/>
      </c>
      <c r="H1758" s="32">
        <f>IF($A1758=1,IF(COUNTIF(COA!$A:$A,$G1758)=0,"حساب غير معرف",INDEX(COA!$B:$B,MATCH($G1758,COA!$A:$A,0))),"")</f>
        <v/>
      </c>
      <c r="I1758" s="32">
        <f>IF($A1758=1,IF(Manual_JE!$F14="","",Manual_JE!$F14),"")</f>
        <v/>
      </c>
      <c r="J1758" s="32">
        <f>IF($A1758=1,IF(Manual_JE!$G14="","CC00",Manual_JE!$G14),"")</f>
        <v/>
      </c>
      <c r="K1758" s="32">
        <f>IF($A1758=1,IF(Manual_JE!$H14="","-",Manual_JE!$H14),"")</f>
        <v/>
      </c>
      <c r="L1758" s="32">
        <f>IF($A1758=1,IF(Manual_JE!$I14="","",Manual_JE!$I14),"")</f>
        <v/>
      </c>
      <c r="M1758" s="43">
        <f>IF($A1758=1,N(Manual_JE!$J14),"")</f>
        <v/>
      </c>
      <c r="N1758" s="43">
        <f>IF($A1758=1,N(Manual_JE!$K14),"")</f>
        <v/>
      </c>
      <c r="O1758" s="32">
        <f>IF($A1758=1,Manual_JE!$M14,"")</f>
        <v/>
      </c>
      <c r="P1758" s="32">
        <f>IF($A1758=1,IF(Manual_JE!$AE14="","",Manual_JE!$AE14),"")</f>
        <v/>
      </c>
      <c r="Q1758" s="32">
        <f>IF($A1758=1,Manual_JE!$AG14,"")</f>
        <v/>
      </c>
      <c r="R1758" s="32">
        <f>IF($A1758=1,IF(AND($Q1758=1,COUNTIFS(COA!$A:$A,$G1758,COA!$R:$R,1)=1),1,0),"")</f>
        <v/>
      </c>
      <c r="S1758" s="43">
        <f>IF($A1758=1,IF($R1758=1,N($M1758),0),"")</f>
        <v/>
      </c>
      <c r="T1758" s="43">
        <f>IF($A1758=1,IF($R1758=1,N($N1758),0),"")</f>
        <v/>
      </c>
      <c r="U1758" s="32">
        <f>IF($A1758=1,YEAR($D1758)*100+MONTH($D1758),"")</f>
        <v/>
      </c>
      <c r="V1758" s="32">
        <f>IF($A1758=1,IF(COUNTIF(COA!$A:$A,$G1758)=0,0,INDEX(COA!$H:$H,MATCH($G1758,COA!$A:$A,0))),"")</f>
        <v/>
      </c>
      <c r="W1758" s="32">
        <f>IF($A1758=1,IF(Manual_JE!$L14="","",Manual_JE!$L14),"")</f>
        <v/>
      </c>
      <c r="X1758" s="32">
        <f>IF($A1758=1,IF($R1758=1,"",IF($O1758=ST_POST,IF($P1758&lt;&gt;"",$P1758,"حساب غير صالح أو غير نشط"),IF($O1758=ST_REV,"معكوس: لا أثر على الدفاتر",IF($O1758=ST_CANC,"ملغى",IF($O1758=ST_APPR,"معتمد ولم يُرحَّل","مسودة"))))),"")</f>
        <v/>
      </c>
      <c r="Y1758" s="32">
        <f>IF($A1758=1,IF(AND($R1758=1,OR(LG_Acct="",$G1758=LG_Acct),OR(LG_Party="",$K1758=LG_Party),OR(LG_Loc="ALL",$I1758=LG_Loc),OR(LG_CC="ALL",$J1758=LG_CC),$D1758&gt;=LG_From,$D1758&lt;=LG_To),$D1758+ROW()/1000000,""),"")</f>
        <v/>
      </c>
      <c r="Z1758" s="32">
        <f>IF($A1758=1,IF(Manual_JE!$N14="","",Manual_JE!$N14),"")</f>
        <v/>
      </c>
      <c r="AA1758" s="32">
        <f>IF($A1758=1,IF(Manual_JE!$O14="","",Manual_JE!$O14),"")</f>
        <v/>
      </c>
      <c r="AB1758" s="32">
        <f>IF($A1758=1,IF(Manual_JE!$P14="","",Manual_JE!$P14),"")</f>
        <v/>
      </c>
      <c r="AC1758" s="32">
        <f>IF($A1758=1,IF(Manual_JE!$Q14="","",Manual_JE!$Q14),"")</f>
        <v/>
      </c>
      <c r="AD1758" s="32">
        <f>IF($A1758=1,IF(Manual_JE!$R14="","",Manual_JE!$R14),"")</f>
        <v/>
      </c>
      <c r="AE1758" s="32">
        <f>IF($A1758=1,IF(Manual_JE!$D14="إقفال",1,0),"")</f>
        <v/>
      </c>
      <c r="AF1758" s="32" t="inlineStr"/>
    </row>
    <row r="1759">
      <c r="A1759" s="32">
        <f>IF(Manual_JE!$U15=1,1,0)</f>
        <v/>
      </c>
      <c r="B1759" s="32">
        <f>IF($A1759=1,$E1759&amp;"/1","")</f>
        <v/>
      </c>
      <c r="C1759" s="32">
        <f>IF($A1759=1,IF(Manual_JE!$A15="","",Manual_JE!$A15),"")</f>
        <v/>
      </c>
      <c r="D1759" s="33">
        <f>IF($A1759=1,Manual_JE!$B15,"")</f>
        <v/>
      </c>
      <c r="E1759" s="32">
        <f>IF($A1759=1,IF(Manual_JE!$A15="","",Manual_JE!$A15),"")</f>
        <v/>
      </c>
      <c r="F1759" s="32">
        <f>IF($A1759=1,"MJE","")</f>
        <v/>
      </c>
      <c r="G1759" s="32">
        <f>IF($A1759=1,IF(Manual_JE!$E15="","",Manual_JE!$E15),"")</f>
        <v/>
      </c>
      <c r="H1759" s="32">
        <f>IF($A1759=1,IF(COUNTIF(COA!$A:$A,$G1759)=0,"حساب غير معرف",INDEX(COA!$B:$B,MATCH($G1759,COA!$A:$A,0))),"")</f>
        <v/>
      </c>
      <c r="I1759" s="32">
        <f>IF($A1759=1,IF(Manual_JE!$F15="","",Manual_JE!$F15),"")</f>
        <v/>
      </c>
      <c r="J1759" s="32">
        <f>IF($A1759=1,IF(Manual_JE!$G15="","CC00",Manual_JE!$G15),"")</f>
        <v/>
      </c>
      <c r="K1759" s="32">
        <f>IF($A1759=1,IF(Manual_JE!$H15="","-",Manual_JE!$H15),"")</f>
        <v/>
      </c>
      <c r="L1759" s="32">
        <f>IF($A1759=1,IF(Manual_JE!$I15="","",Manual_JE!$I15),"")</f>
        <v/>
      </c>
      <c r="M1759" s="43">
        <f>IF($A1759=1,N(Manual_JE!$J15),"")</f>
        <v/>
      </c>
      <c r="N1759" s="43">
        <f>IF($A1759=1,N(Manual_JE!$K15),"")</f>
        <v/>
      </c>
      <c r="O1759" s="32">
        <f>IF($A1759=1,Manual_JE!$M15,"")</f>
        <v/>
      </c>
      <c r="P1759" s="32">
        <f>IF($A1759=1,IF(Manual_JE!$AE15="","",Manual_JE!$AE15),"")</f>
        <v/>
      </c>
      <c r="Q1759" s="32">
        <f>IF($A1759=1,Manual_JE!$AG15,"")</f>
        <v/>
      </c>
      <c r="R1759" s="32">
        <f>IF($A1759=1,IF(AND($Q1759=1,COUNTIFS(COA!$A:$A,$G1759,COA!$R:$R,1)=1),1,0),"")</f>
        <v/>
      </c>
      <c r="S1759" s="43">
        <f>IF($A1759=1,IF($R1759=1,N($M1759),0),"")</f>
        <v/>
      </c>
      <c r="T1759" s="43">
        <f>IF($A1759=1,IF($R1759=1,N($N1759),0),"")</f>
        <v/>
      </c>
      <c r="U1759" s="32">
        <f>IF($A1759=1,YEAR($D1759)*100+MONTH($D1759),"")</f>
        <v/>
      </c>
      <c r="V1759" s="32">
        <f>IF($A1759=1,IF(COUNTIF(COA!$A:$A,$G1759)=0,0,INDEX(COA!$H:$H,MATCH($G1759,COA!$A:$A,0))),"")</f>
        <v/>
      </c>
      <c r="W1759" s="32">
        <f>IF($A1759=1,IF(Manual_JE!$L15="","",Manual_JE!$L15),"")</f>
        <v/>
      </c>
      <c r="X1759" s="32">
        <f>IF($A1759=1,IF($R1759=1,"",IF($O1759=ST_POST,IF($P1759&lt;&gt;"",$P1759,"حساب غير صالح أو غير نشط"),IF($O1759=ST_REV,"معكوس: لا أثر على الدفاتر",IF($O1759=ST_CANC,"ملغى",IF($O1759=ST_APPR,"معتمد ولم يُرحَّل","مسودة"))))),"")</f>
        <v/>
      </c>
      <c r="Y1759" s="32">
        <f>IF($A1759=1,IF(AND($R1759=1,OR(LG_Acct="",$G1759=LG_Acct),OR(LG_Party="",$K1759=LG_Party),OR(LG_Loc="ALL",$I1759=LG_Loc),OR(LG_CC="ALL",$J1759=LG_CC),$D1759&gt;=LG_From,$D1759&lt;=LG_To),$D1759+ROW()/1000000,""),"")</f>
        <v/>
      </c>
      <c r="Z1759" s="32">
        <f>IF($A1759=1,IF(Manual_JE!$N15="","",Manual_JE!$N15),"")</f>
        <v/>
      </c>
      <c r="AA1759" s="32">
        <f>IF($A1759=1,IF(Manual_JE!$O15="","",Manual_JE!$O15),"")</f>
        <v/>
      </c>
      <c r="AB1759" s="32">
        <f>IF($A1759=1,IF(Manual_JE!$P15="","",Manual_JE!$P15),"")</f>
        <v/>
      </c>
      <c r="AC1759" s="32">
        <f>IF($A1759=1,IF(Manual_JE!$Q15="","",Manual_JE!$Q15),"")</f>
        <v/>
      </c>
      <c r="AD1759" s="32">
        <f>IF($A1759=1,IF(Manual_JE!$R15="","",Manual_JE!$R15),"")</f>
        <v/>
      </c>
      <c r="AE1759" s="32">
        <f>IF($A1759=1,IF(Manual_JE!$D15="إقفال",1,0),"")</f>
        <v/>
      </c>
      <c r="AF1759" s="32" t="inlineStr"/>
    </row>
    <row r="1760">
      <c r="A1760" s="32">
        <f>IF(Manual_JE!$U16=1,1,0)</f>
        <v/>
      </c>
      <c r="B1760" s="32">
        <f>IF($A1760=1,$E1760&amp;"/1","")</f>
        <v/>
      </c>
      <c r="C1760" s="32">
        <f>IF($A1760=1,IF(Manual_JE!$A16="","",Manual_JE!$A16),"")</f>
        <v/>
      </c>
      <c r="D1760" s="33">
        <f>IF($A1760=1,Manual_JE!$B16,"")</f>
        <v/>
      </c>
      <c r="E1760" s="32">
        <f>IF($A1760=1,IF(Manual_JE!$A16="","",Manual_JE!$A16),"")</f>
        <v/>
      </c>
      <c r="F1760" s="32">
        <f>IF($A1760=1,"MJE","")</f>
        <v/>
      </c>
      <c r="G1760" s="32">
        <f>IF($A1760=1,IF(Manual_JE!$E16="","",Manual_JE!$E16),"")</f>
        <v/>
      </c>
      <c r="H1760" s="32">
        <f>IF($A1760=1,IF(COUNTIF(COA!$A:$A,$G1760)=0,"حساب غير معرف",INDEX(COA!$B:$B,MATCH($G1760,COA!$A:$A,0))),"")</f>
        <v/>
      </c>
      <c r="I1760" s="32">
        <f>IF($A1760=1,IF(Manual_JE!$F16="","",Manual_JE!$F16),"")</f>
        <v/>
      </c>
      <c r="J1760" s="32">
        <f>IF($A1760=1,IF(Manual_JE!$G16="","CC00",Manual_JE!$G16),"")</f>
        <v/>
      </c>
      <c r="K1760" s="32">
        <f>IF($A1760=1,IF(Manual_JE!$H16="","-",Manual_JE!$H16),"")</f>
        <v/>
      </c>
      <c r="L1760" s="32">
        <f>IF($A1760=1,IF(Manual_JE!$I16="","",Manual_JE!$I16),"")</f>
        <v/>
      </c>
      <c r="M1760" s="43">
        <f>IF($A1760=1,N(Manual_JE!$J16),"")</f>
        <v/>
      </c>
      <c r="N1760" s="43">
        <f>IF($A1760=1,N(Manual_JE!$K16),"")</f>
        <v/>
      </c>
      <c r="O1760" s="32">
        <f>IF($A1760=1,Manual_JE!$M16,"")</f>
        <v/>
      </c>
      <c r="P1760" s="32">
        <f>IF($A1760=1,IF(Manual_JE!$AE16="","",Manual_JE!$AE16),"")</f>
        <v/>
      </c>
      <c r="Q1760" s="32">
        <f>IF($A1760=1,Manual_JE!$AG16,"")</f>
        <v/>
      </c>
      <c r="R1760" s="32">
        <f>IF($A1760=1,IF(AND($Q1760=1,COUNTIFS(COA!$A:$A,$G1760,COA!$R:$R,1)=1),1,0),"")</f>
        <v/>
      </c>
      <c r="S1760" s="43">
        <f>IF($A1760=1,IF($R1760=1,N($M1760),0),"")</f>
        <v/>
      </c>
      <c r="T1760" s="43">
        <f>IF($A1760=1,IF($R1760=1,N($N1760),0),"")</f>
        <v/>
      </c>
      <c r="U1760" s="32">
        <f>IF($A1760=1,YEAR($D1760)*100+MONTH($D1760),"")</f>
        <v/>
      </c>
      <c r="V1760" s="32">
        <f>IF($A1760=1,IF(COUNTIF(COA!$A:$A,$G1760)=0,0,INDEX(COA!$H:$H,MATCH($G1760,COA!$A:$A,0))),"")</f>
        <v/>
      </c>
      <c r="W1760" s="32">
        <f>IF($A1760=1,IF(Manual_JE!$L16="","",Manual_JE!$L16),"")</f>
        <v/>
      </c>
      <c r="X1760" s="32">
        <f>IF($A1760=1,IF($R1760=1,"",IF($O1760=ST_POST,IF($P1760&lt;&gt;"",$P1760,"حساب غير صالح أو غير نشط"),IF($O1760=ST_REV,"معكوس: لا أثر على الدفاتر",IF($O1760=ST_CANC,"ملغى",IF($O1760=ST_APPR,"معتمد ولم يُرحَّل","مسودة"))))),"")</f>
        <v/>
      </c>
      <c r="Y1760" s="32">
        <f>IF($A1760=1,IF(AND($R1760=1,OR(LG_Acct="",$G1760=LG_Acct),OR(LG_Party="",$K1760=LG_Party),OR(LG_Loc="ALL",$I1760=LG_Loc),OR(LG_CC="ALL",$J1760=LG_CC),$D1760&gt;=LG_From,$D1760&lt;=LG_To),$D1760+ROW()/1000000,""),"")</f>
        <v/>
      </c>
      <c r="Z1760" s="32">
        <f>IF($A1760=1,IF(Manual_JE!$N16="","",Manual_JE!$N16),"")</f>
        <v/>
      </c>
      <c r="AA1760" s="32">
        <f>IF($A1760=1,IF(Manual_JE!$O16="","",Manual_JE!$O16),"")</f>
        <v/>
      </c>
      <c r="AB1760" s="32">
        <f>IF($A1760=1,IF(Manual_JE!$P16="","",Manual_JE!$P16),"")</f>
        <v/>
      </c>
      <c r="AC1760" s="32">
        <f>IF($A1760=1,IF(Manual_JE!$Q16="","",Manual_JE!$Q16),"")</f>
        <v/>
      </c>
      <c r="AD1760" s="32">
        <f>IF($A1760=1,IF(Manual_JE!$R16="","",Manual_JE!$R16),"")</f>
        <v/>
      </c>
      <c r="AE1760" s="32">
        <f>IF($A1760=1,IF(Manual_JE!$D16="إقفال",1,0),"")</f>
        <v/>
      </c>
      <c r="AF1760" s="32" t="inlineStr"/>
    </row>
    <row r="1761">
      <c r="A1761" s="32">
        <f>IF(Manual_JE!$U17=1,1,0)</f>
        <v/>
      </c>
      <c r="B1761" s="32">
        <f>IF($A1761=1,$E1761&amp;"/1","")</f>
        <v/>
      </c>
      <c r="C1761" s="32">
        <f>IF($A1761=1,IF(Manual_JE!$A17="","",Manual_JE!$A17),"")</f>
        <v/>
      </c>
      <c r="D1761" s="33">
        <f>IF($A1761=1,Manual_JE!$B17,"")</f>
        <v/>
      </c>
      <c r="E1761" s="32">
        <f>IF($A1761=1,IF(Manual_JE!$A17="","",Manual_JE!$A17),"")</f>
        <v/>
      </c>
      <c r="F1761" s="32">
        <f>IF($A1761=1,"MJE","")</f>
        <v/>
      </c>
      <c r="G1761" s="32">
        <f>IF($A1761=1,IF(Manual_JE!$E17="","",Manual_JE!$E17),"")</f>
        <v/>
      </c>
      <c r="H1761" s="32">
        <f>IF($A1761=1,IF(COUNTIF(COA!$A:$A,$G1761)=0,"حساب غير معرف",INDEX(COA!$B:$B,MATCH($G1761,COA!$A:$A,0))),"")</f>
        <v/>
      </c>
      <c r="I1761" s="32">
        <f>IF($A1761=1,IF(Manual_JE!$F17="","",Manual_JE!$F17),"")</f>
        <v/>
      </c>
      <c r="J1761" s="32">
        <f>IF($A1761=1,IF(Manual_JE!$G17="","CC00",Manual_JE!$G17),"")</f>
        <v/>
      </c>
      <c r="K1761" s="32">
        <f>IF($A1761=1,IF(Manual_JE!$H17="","-",Manual_JE!$H17),"")</f>
        <v/>
      </c>
      <c r="L1761" s="32">
        <f>IF($A1761=1,IF(Manual_JE!$I17="","",Manual_JE!$I17),"")</f>
        <v/>
      </c>
      <c r="M1761" s="43">
        <f>IF($A1761=1,N(Manual_JE!$J17),"")</f>
        <v/>
      </c>
      <c r="N1761" s="43">
        <f>IF($A1761=1,N(Manual_JE!$K17),"")</f>
        <v/>
      </c>
      <c r="O1761" s="32">
        <f>IF($A1761=1,Manual_JE!$M17,"")</f>
        <v/>
      </c>
      <c r="P1761" s="32">
        <f>IF($A1761=1,IF(Manual_JE!$AE17="","",Manual_JE!$AE17),"")</f>
        <v/>
      </c>
      <c r="Q1761" s="32">
        <f>IF($A1761=1,Manual_JE!$AG17,"")</f>
        <v/>
      </c>
      <c r="R1761" s="32">
        <f>IF($A1761=1,IF(AND($Q1761=1,COUNTIFS(COA!$A:$A,$G1761,COA!$R:$R,1)=1),1,0),"")</f>
        <v/>
      </c>
      <c r="S1761" s="43">
        <f>IF($A1761=1,IF($R1761=1,N($M1761),0),"")</f>
        <v/>
      </c>
      <c r="T1761" s="43">
        <f>IF($A1761=1,IF($R1761=1,N($N1761),0),"")</f>
        <v/>
      </c>
      <c r="U1761" s="32">
        <f>IF($A1761=1,YEAR($D1761)*100+MONTH($D1761),"")</f>
        <v/>
      </c>
      <c r="V1761" s="32">
        <f>IF($A1761=1,IF(COUNTIF(COA!$A:$A,$G1761)=0,0,INDEX(COA!$H:$H,MATCH($G1761,COA!$A:$A,0))),"")</f>
        <v/>
      </c>
      <c r="W1761" s="32">
        <f>IF($A1761=1,IF(Manual_JE!$L17="","",Manual_JE!$L17),"")</f>
        <v/>
      </c>
      <c r="X1761" s="32">
        <f>IF($A1761=1,IF($R1761=1,"",IF($O1761=ST_POST,IF($P1761&lt;&gt;"",$P1761,"حساب غير صالح أو غير نشط"),IF($O1761=ST_REV,"معكوس: لا أثر على الدفاتر",IF($O1761=ST_CANC,"ملغى",IF($O1761=ST_APPR,"معتمد ولم يُرحَّل","مسودة"))))),"")</f>
        <v/>
      </c>
      <c r="Y1761" s="32">
        <f>IF($A1761=1,IF(AND($R1761=1,OR(LG_Acct="",$G1761=LG_Acct),OR(LG_Party="",$K1761=LG_Party),OR(LG_Loc="ALL",$I1761=LG_Loc),OR(LG_CC="ALL",$J1761=LG_CC),$D1761&gt;=LG_From,$D1761&lt;=LG_To),$D1761+ROW()/1000000,""),"")</f>
        <v/>
      </c>
      <c r="Z1761" s="32">
        <f>IF($A1761=1,IF(Manual_JE!$N17="","",Manual_JE!$N17),"")</f>
        <v/>
      </c>
      <c r="AA1761" s="32">
        <f>IF($A1761=1,IF(Manual_JE!$O17="","",Manual_JE!$O17),"")</f>
        <v/>
      </c>
      <c r="AB1761" s="32">
        <f>IF($A1761=1,IF(Manual_JE!$P17="","",Manual_JE!$P17),"")</f>
        <v/>
      </c>
      <c r="AC1761" s="32">
        <f>IF($A1761=1,IF(Manual_JE!$Q17="","",Manual_JE!$Q17),"")</f>
        <v/>
      </c>
      <c r="AD1761" s="32">
        <f>IF($A1761=1,IF(Manual_JE!$R17="","",Manual_JE!$R17),"")</f>
        <v/>
      </c>
      <c r="AE1761" s="32">
        <f>IF($A1761=1,IF(Manual_JE!$D17="إقفال",1,0),"")</f>
        <v/>
      </c>
      <c r="AF1761" s="32" t="inlineStr"/>
    </row>
    <row r="1762">
      <c r="A1762" s="32">
        <f>IF(Manual_JE!$U18=1,1,0)</f>
        <v/>
      </c>
      <c r="B1762" s="32">
        <f>IF($A1762=1,$E1762&amp;"/1","")</f>
        <v/>
      </c>
      <c r="C1762" s="32">
        <f>IF($A1762=1,IF(Manual_JE!$A18="","",Manual_JE!$A18),"")</f>
        <v/>
      </c>
      <c r="D1762" s="33">
        <f>IF($A1762=1,Manual_JE!$B18,"")</f>
        <v/>
      </c>
      <c r="E1762" s="32">
        <f>IF($A1762=1,IF(Manual_JE!$A18="","",Manual_JE!$A18),"")</f>
        <v/>
      </c>
      <c r="F1762" s="32">
        <f>IF($A1762=1,"MJE","")</f>
        <v/>
      </c>
      <c r="G1762" s="32">
        <f>IF($A1762=1,IF(Manual_JE!$E18="","",Manual_JE!$E18),"")</f>
        <v/>
      </c>
      <c r="H1762" s="32">
        <f>IF($A1762=1,IF(COUNTIF(COA!$A:$A,$G1762)=0,"حساب غير معرف",INDEX(COA!$B:$B,MATCH($G1762,COA!$A:$A,0))),"")</f>
        <v/>
      </c>
      <c r="I1762" s="32">
        <f>IF($A1762=1,IF(Manual_JE!$F18="","",Manual_JE!$F18),"")</f>
        <v/>
      </c>
      <c r="J1762" s="32">
        <f>IF($A1762=1,IF(Manual_JE!$G18="","CC00",Manual_JE!$G18),"")</f>
        <v/>
      </c>
      <c r="K1762" s="32">
        <f>IF($A1762=1,IF(Manual_JE!$H18="","-",Manual_JE!$H18),"")</f>
        <v/>
      </c>
      <c r="L1762" s="32">
        <f>IF($A1762=1,IF(Manual_JE!$I18="","",Manual_JE!$I18),"")</f>
        <v/>
      </c>
      <c r="M1762" s="43">
        <f>IF($A1762=1,N(Manual_JE!$J18),"")</f>
        <v/>
      </c>
      <c r="N1762" s="43">
        <f>IF($A1762=1,N(Manual_JE!$K18),"")</f>
        <v/>
      </c>
      <c r="O1762" s="32">
        <f>IF($A1762=1,Manual_JE!$M18,"")</f>
        <v/>
      </c>
      <c r="P1762" s="32">
        <f>IF($A1762=1,IF(Manual_JE!$AE18="","",Manual_JE!$AE18),"")</f>
        <v/>
      </c>
      <c r="Q1762" s="32">
        <f>IF($A1762=1,Manual_JE!$AG18,"")</f>
        <v/>
      </c>
      <c r="R1762" s="32">
        <f>IF($A1762=1,IF(AND($Q1762=1,COUNTIFS(COA!$A:$A,$G1762,COA!$R:$R,1)=1),1,0),"")</f>
        <v/>
      </c>
      <c r="S1762" s="43">
        <f>IF($A1762=1,IF($R1762=1,N($M1762),0),"")</f>
        <v/>
      </c>
      <c r="T1762" s="43">
        <f>IF($A1762=1,IF($R1762=1,N($N1762),0),"")</f>
        <v/>
      </c>
      <c r="U1762" s="32">
        <f>IF($A1762=1,YEAR($D1762)*100+MONTH($D1762),"")</f>
        <v/>
      </c>
      <c r="V1762" s="32">
        <f>IF($A1762=1,IF(COUNTIF(COA!$A:$A,$G1762)=0,0,INDEX(COA!$H:$H,MATCH($G1762,COA!$A:$A,0))),"")</f>
        <v/>
      </c>
      <c r="W1762" s="32">
        <f>IF($A1762=1,IF(Manual_JE!$L18="","",Manual_JE!$L18),"")</f>
        <v/>
      </c>
      <c r="X1762" s="32">
        <f>IF($A1762=1,IF($R1762=1,"",IF($O1762=ST_POST,IF($P1762&lt;&gt;"",$P1762,"حساب غير صالح أو غير نشط"),IF($O1762=ST_REV,"معكوس: لا أثر على الدفاتر",IF($O1762=ST_CANC,"ملغى",IF($O1762=ST_APPR,"معتمد ولم يُرحَّل","مسودة"))))),"")</f>
        <v/>
      </c>
      <c r="Y1762" s="32">
        <f>IF($A1762=1,IF(AND($R1762=1,OR(LG_Acct="",$G1762=LG_Acct),OR(LG_Party="",$K1762=LG_Party),OR(LG_Loc="ALL",$I1762=LG_Loc),OR(LG_CC="ALL",$J1762=LG_CC),$D1762&gt;=LG_From,$D1762&lt;=LG_To),$D1762+ROW()/1000000,""),"")</f>
        <v/>
      </c>
      <c r="Z1762" s="32">
        <f>IF($A1762=1,IF(Manual_JE!$N18="","",Manual_JE!$N18),"")</f>
        <v/>
      </c>
      <c r="AA1762" s="32">
        <f>IF($A1762=1,IF(Manual_JE!$O18="","",Manual_JE!$O18),"")</f>
        <v/>
      </c>
      <c r="AB1762" s="32">
        <f>IF($A1762=1,IF(Manual_JE!$P18="","",Manual_JE!$P18),"")</f>
        <v/>
      </c>
      <c r="AC1762" s="32">
        <f>IF($A1762=1,IF(Manual_JE!$Q18="","",Manual_JE!$Q18),"")</f>
        <v/>
      </c>
      <c r="AD1762" s="32">
        <f>IF($A1762=1,IF(Manual_JE!$R18="","",Manual_JE!$R18),"")</f>
        <v/>
      </c>
      <c r="AE1762" s="32">
        <f>IF($A1762=1,IF(Manual_JE!$D18="إقفال",1,0),"")</f>
        <v/>
      </c>
      <c r="AF1762" s="32" t="inlineStr"/>
    </row>
    <row r="1763">
      <c r="A1763" s="32">
        <f>IF(Manual_JE!$U19=1,1,0)</f>
        <v/>
      </c>
      <c r="B1763" s="32">
        <f>IF($A1763=1,$E1763&amp;"/1","")</f>
        <v/>
      </c>
      <c r="C1763" s="32">
        <f>IF($A1763=1,IF(Manual_JE!$A19="","",Manual_JE!$A19),"")</f>
        <v/>
      </c>
      <c r="D1763" s="33">
        <f>IF($A1763=1,Manual_JE!$B19,"")</f>
        <v/>
      </c>
      <c r="E1763" s="32">
        <f>IF($A1763=1,IF(Manual_JE!$A19="","",Manual_JE!$A19),"")</f>
        <v/>
      </c>
      <c r="F1763" s="32">
        <f>IF($A1763=1,"MJE","")</f>
        <v/>
      </c>
      <c r="G1763" s="32">
        <f>IF($A1763=1,IF(Manual_JE!$E19="","",Manual_JE!$E19),"")</f>
        <v/>
      </c>
      <c r="H1763" s="32">
        <f>IF($A1763=1,IF(COUNTIF(COA!$A:$A,$G1763)=0,"حساب غير معرف",INDEX(COA!$B:$B,MATCH($G1763,COA!$A:$A,0))),"")</f>
        <v/>
      </c>
      <c r="I1763" s="32">
        <f>IF($A1763=1,IF(Manual_JE!$F19="","",Manual_JE!$F19),"")</f>
        <v/>
      </c>
      <c r="J1763" s="32">
        <f>IF($A1763=1,IF(Manual_JE!$G19="","CC00",Manual_JE!$G19),"")</f>
        <v/>
      </c>
      <c r="K1763" s="32">
        <f>IF($A1763=1,IF(Manual_JE!$H19="","-",Manual_JE!$H19),"")</f>
        <v/>
      </c>
      <c r="L1763" s="32">
        <f>IF($A1763=1,IF(Manual_JE!$I19="","",Manual_JE!$I19),"")</f>
        <v/>
      </c>
      <c r="M1763" s="43">
        <f>IF($A1763=1,N(Manual_JE!$J19),"")</f>
        <v/>
      </c>
      <c r="N1763" s="43">
        <f>IF($A1763=1,N(Manual_JE!$K19),"")</f>
        <v/>
      </c>
      <c r="O1763" s="32">
        <f>IF($A1763=1,Manual_JE!$M19,"")</f>
        <v/>
      </c>
      <c r="P1763" s="32">
        <f>IF($A1763=1,IF(Manual_JE!$AE19="","",Manual_JE!$AE19),"")</f>
        <v/>
      </c>
      <c r="Q1763" s="32">
        <f>IF($A1763=1,Manual_JE!$AG19,"")</f>
        <v/>
      </c>
      <c r="R1763" s="32">
        <f>IF($A1763=1,IF(AND($Q1763=1,COUNTIFS(COA!$A:$A,$G1763,COA!$R:$R,1)=1),1,0),"")</f>
        <v/>
      </c>
      <c r="S1763" s="43">
        <f>IF($A1763=1,IF($R1763=1,N($M1763),0),"")</f>
        <v/>
      </c>
      <c r="T1763" s="43">
        <f>IF($A1763=1,IF($R1763=1,N($N1763),0),"")</f>
        <v/>
      </c>
      <c r="U1763" s="32">
        <f>IF($A1763=1,YEAR($D1763)*100+MONTH($D1763),"")</f>
        <v/>
      </c>
      <c r="V1763" s="32">
        <f>IF($A1763=1,IF(COUNTIF(COA!$A:$A,$G1763)=0,0,INDEX(COA!$H:$H,MATCH($G1763,COA!$A:$A,0))),"")</f>
        <v/>
      </c>
      <c r="W1763" s="32">
        <f>IF($A1763=1,IF(Manual_JE!$L19="","",Manual_JE!$L19),"")</f>
        <v/>
      </c>
      <c r="X1763" s="32">
        <f>IF($A1763=1,IF($R1763=1,"",IF($O1763=ST_POST,IF($P1763&lt;&gt;"",$P1763,"حساب غير صالح أو غير نشط"),IF($O1763=ST_REV,"معكوس: لا أثر على الدفاتر",IF($O1763=ST_CANC,"ملغى",IF($O1763=ST_APPR,"معتمد ولم يُرحَّل","مسودة"))))),"")</f>
        <v/>
      </c>
      <c r="Y1763" s="32">
        <f>IF($A1763=1,IF(AND($R1763=1,OR(LG_Acct="",$G1763=LG_Acct),OR(LG_Party="",$K1763=LG_Party),OR(LG_Loc="ALL",$I1763=LG_Loc),OR(LG_CC="ALL",$J1763=LG_CC),$D1763&gt;=LG_From,$D1763&lt;=LG_To),$D1763+ROW()/1000000,""),"")</f>
        <v/>
      </c>
      <c r="Z1763" s="32">
        <f>IF($A1763=1,IF(Manual_JE!$N19="","",Manual_JE!$N19),"")</f>
        <v/>
      </c>
      <c r="AA1763" s="32">
        <f>IF($A1763=1,IF(Manual_JE!$O19="","",Manual_JE!$O19),"")</f>
        <v/>
      </c>
      <c r="AB1763" s="32">
        <f>IF($A1763=1,IF(Manual_JE!$P19="","",Manual_JE!$P19),"")</f>
        <v/>
      </c>
      <c r="AC1763" s="32">
        <f>IF($A1763=1,IF(Manual_JE!$Q19="","",Manual_JE!$Q19),"")</f>
        <v/>
      </c>
      <c r="AD1763" s="32">
        <f>IF($A1763=1,IF(Manual_JE!$R19="","",Manual_JE!$R19),"")</f>
        <v/>
      </c>
      <c r="AE1763" s="32">
        <f>IF($A1763=1,IF(Manual_JE!$D19="إقفال",1,0),"")</f>
        <v/>
      </c>
      <c r="AF1763" s="32" t="inlineStr"/>
    </row>
    <row r="1764">
      <c r="A1764" s="32">
        <f>IF(Manual_JE!$U20=1,1,0)</f>
        <v/>
      </c>
      <c r="B1764" s="32">
        <f>IF($A1764=1,$E1764&amp;"/1","")</f>
        <v/>
      </c>
      <c r="C1764" s="32">
        <f>IF($A1764=1,IF(Manual_JE!$A20="","",Manual_JE!$A20),"")</f>
        <v/>
      </c>
      <c r="D1764" s="33">
        <f>IF($A1764=1,Manual_JE!$B20,"")</f>
        <v/>
      </c>
      <c r="E1764" s="32">
        <f>IF($A1764=1,IF(Manual_JE!$A20="","",Manual_JE!$A20),"")</f>
        <v/>
      </c>
      <c r="F1764" s="32">
        <f>IF($A1764=1,"MJE","")</f>
        <v/>
      </c>
      <c r="G1764" s="32">
        <f>IF($A1764=1,IF(Manual_JE!$E20="","",Manual_JE!$E20),"")</f>
        <v/>
      </c>
      <c r="H1764" s="32">
        <f>IF($A1764=1,IF(COUNTIF(COA!$A:$A,$G1764)=0,"حساب غير معرف",INDEX(COA!$B:$B,MATCH($G1764,COA!$A:$A,0))),"")</f>
        <v/>
      </c>
      <c r="I1764" s="32">
        <f>IF($A1764=1,IF(Manual_JE!$F20="","",Manual_JE!$F20),"")</f>
        <v/>
      </c>
      <c r="J1764" s="32">
        <f>IF($A1764=1,IF(Manual_JE!$G20="","CC00",Manual_JE!$G20),"")</f>
        <v/>
      </c>
      <c r="K1764" s="32">
        <f>IF($A1764=1,IF(Manual_JE!$H20="","-",Manual_JE!$H20),"")</f>
        <v/>
      </c>
      <c r="L1764" s="32">
        <f>IF($A1764=1,IF(Manual_JE!$I20="","",Manual_JE!$I20),"")</f>
        <v/>
      </c>
      <c r="M1764" s="43">
        <f>IF($A1764=1,N(Manual_JE!$J20),"")</f>
        <v/>
      </c>
      <c r="N1764" s="43">
        <f>IF($A1764=1,N(Manual_JE!$K20),"")</f>
        <v/>
      </c>
      <c r="O1764" s="32">
        <f>IF($A1764=1,Manual_JE!$M20,"")</f>
        <v/>
      </c>
      <c r="P1764" s="32">
        <f>IF($A1764=1,IF(Manual_JE!$AE20="","",Manual_JE!$AE20),"")</f>
        <v/>
      </c>
      <c r="Q1764" s="32">
        <f>IF($A1764=1,Manual_JE!$AG20,"")</f>
        <v/>
      </c>
      <c r="R1764" s="32">
        <f>IF($A1764=1,IF(AND($Q1764=1,COUNTIFS(COA!$A:$A,$G1764,COA!$R:$R,1)=1),1,0),"")</f>
        <v/>
      </c>
      <c r="S1764" s="43">
        <f>IF($A1764=1,IF($R1764=1,N($M1764),0),"")</f>
        <v/>
      </c>
      <c r="T1764" s="43">
        <f>IF($A1764=1,IF($R1764=1,N($N1764),0),"")</f>
        <v/>
      </c>
      <c r="U1764" s="32">
        <f>IF($A1764=1,YEAR($D1764)*100+MONTH($D1764),"")</f>
        <v/>
      </c>
      <c r="V1764" s="32">
        <f>IF($A1764=1,IF(COUNTIF(COA!$A:$A,$G1764)=0,0,INDEX(COA!$H:$H,MATCH($G1764,COA!$A:$A,0))),"")</f>
        <v/>
      </c>
      <c r="W1764" s="32">
        <f>IF($A1764=1,IF(Manual_JE!$L20="","",Manual_JE!$L20),"")</f>
        <v/>
      </c>
      <c r="X1764" s="32">
        <f>IF($A1764=1,IF($R1764=1,"",IF($O1764=ST_POST,IF($P1764&lt;&gt;"",$P1764,"حساب غير صالح أو غير نشط"),IF($O1764=ST_REV,"معكوس: لا أثر على الدفاتر",IF($O1764=ST_CANC,"ملغى",IF($O1764=ST_APPR,"معتمد ولم يُرحَّل","مسودة"))))),"")</f>
        <v/>
      </c>
      <c r="Y1764" s="32">
        <f>IF($A1764=1,IF(AND($R1764=1,OR(LG_Acct="",$G1764=LG_Acct),OR(LG_Party="",$K1764=LG_Party),OR(LG_Loc="ALL",$I1764=LG_Loc),OR(LG_CC="ALL",$J1764=LG_CC),$D1764&gt;=LG_From,$D1764&lt;=LG_To),$D1764+ROW()/1000000,""),"")</f>
        <v/>
      </c>
      <c r="Z1764" s="32">
        <f>IF($A1764=1,IF(Manual_JE!$N20="","",Manual_JE!$N20),"")</f>
        <v/>
      </c>
      <c r="AA1764" s="32">
        <f>IF($A1764=1,IF(Manual_JE!$O20="","",Manual_JE!$O20),"")</f>
        <v/>
      </c>
      <c r="AB1764" s="32">
        <f>IF($A1764=1,IF(Manual_JE!$P20="","",Manual_JE!$P20),"")</f>
        <v/>
      </c>
      <c r="AC1764" s="32">
        <f>IF($A1764=1,IF(Manual_JE!$Q20="","",Manual_JE!$Q20),"")</f>
        <v/>
      </c>
      <c r="AD1764" s="32">
        <f>IF($A1764=1,IF(Manual_JE!$R20="","",Manual_JE!$R20),"")</f>
        <v/>
      </c>
      <c r="AE1764" s="32">
        <f>IF($A1764=1,IF(Manual_JE!$D20="إقفال",1,0),"")</f>
        <v/>
      </c>
      <c r="AF1764" s="32" t="inlineStr"/>
    </row>
    <row r="1765">
      <c r="A1765" s="32">
        <f>IF(Manual_JE!$U21=1,1,0)</f>
        <v/>
      </c>
      <c r="B1765" s="32">
        <f>IF($A1765=1,$E1765&amp;"/1","")</f>
        <v/>
      </c>
      <c r="C1765" s="32">
        <f>IF($A1765=1,IF(Manual_JE!$A21="","",Manual_JE!$A21),"")</f>
        <v/>
      </c>
      <c r="D1765" s="33">
        <f>IF($A1765=1,Manual_JE!$B21,"")</f>
        <v/>
      </c>
      <c r="E1765" s="32">
        <f>IF($A1765=1,IF(Manual_JE!$A21="","",Manual_JE!$A21),"")</f>
        <v/>
      </c>
      <c r="F1765" s="32">
        <f>IF($A1765=1,"MJE","")</f>
        <v/>
      </c>
      <c r="G1765" s="32">
        <f>IF($A1765=1,IF(Manual_JE!$E21="","",Manual_JE!$E21),"")</f>
        <v/>
      </c>
      <c r="H1765" s="32">
        <f>IF($A1765=1,IF(COUNTIF(COA!$A:$A,$G1765)=0,"حساب غير معرف",INDEX(COA!$B:$B,MATCH($G1765,COA!$A:$A,0))),"")</f>
        <v/>
      </c>
      <c r="I1765" s="32">
        <f>IF($A1765=1,IF(Manual_JE!$F21="","",Manual_JE!$F21),"")</f>
        <v/>
      </c>
      <c r="J1765" s="32">
        <f>IF($A1765=1,IF(Manual_JE!$G21="","CC00",Manual_JE!$G21),"")</f>
        <v/>
      </c>
      <c r="K1765" s="32">
        <f>IF($A1765=1,IF(Manual_JE!$H21="","-",Manual_JE!$H21),"")</f>
        <v/>
      </c>
      <c r="L1765" s="32">
        <f>IF($A1765=1,IF(Manual_JE!$I21="","",Manual_JE!$I21),"")</f>
        <v/>
      </c>
      <c r="M1765" s="43">
        <f>IF($A1765=1,N(Manual_JE!$J21),"")</f>
        <v/>
      </c>
      <c r="N1765" s="43">
        <f>IF($A1765=1,N(Manual_JE!$K21),"")</f>
        <v/>
      </c>
      <c r="O1765" s="32">
        <f>IF($A1765=1,Manual_JE!$M21,"")</f>
        <v/>
      </c>
      <c r="P1765" s="32">
        <f>IF($A1765=1,IF(Manual_JE!$AE21="","",Manual_JE!$AE21),"")</f>
        <v/>
      </c>
      <c r="Q1765" s="32">
        <f>IF($A1765=1,Manual_JE!$AG21,"")</f>
        <v/>
      </c>
      <c r="R1765" s="32">
        <f>IF($A1765=1,IF(AND($Q1765=1,COUNTIFS(COA!$A:$A,$G1765,COA!$R:$R,1)=1),1,0),"")</f>
        <v/>
      </c>
      <c r="S1765" s="43">
        <f>IF($A1765=1,IF($R1765=1,N($M1765),0),"")</f>
        <v/>
      </c>
      <c r="T1765" s="43">
        <f>IF($A1765=1,IF($R1765=1,N($N1765),0),"")</f>
        <v/>
      </c>
      <c r="U1765" s="32">
        <f>IF($A1765=1,YEAR($D1765)*100+MONTH($D1765),"")</f>
        <v/>
      </c>
      <c r="V1765" s="32">
        <f>IF($A1765=1,IF(COUNTIF(COA!$A:$A,$G1765)=0,0,INDEX(COA!$H:$H,MATCH($G1765,COA!$A:$A,0))),"")</f>
        <v/>
      </c>
      <c r="W1765" s="32">
        <f>IF($A1765=1,IF(Manual_JE!$L21="","",Manual_JE!$L21),"")</f>
        <v/>
      </c>
      <c r="X1765" s="32">
        <f>IF($A1765=1,IF($R1765=1,"",IF($O1765=ST_POST,IF($P1765&lt;&gt;"",$P1765,"حساب غير صالح أو غير نشط"),IF($O1765=ST_REV,"معكوس: لا أثر على الدفاتر",IF($O1765=ST_CANC,"ملغى",IF($O1765=ST_APPR,"معتمد ولم يُرحَّل","مسودة"))))),"")</f>
        <v/>
      </c>
      <c r="Y1765" s="32">
        <f>IF($A1765=1,IF(AND($R1765=1,OR(LG_Acct="",$G1765=LG_Acct),OR(LG_Party="",$K1765=LG_Party),OR(LG_Loc="ALL",$I1765=LG_Loc),OR(LG_CC="ALL",$J1765=LG_CC),$D1765&gt;=LG_From,$D1765&lt;=LG_To),$D1765+ROW()/1000000,""),"")</f>
        <v/>
      </c>
      <c r="Z1765" s="32">
        <f>IF($A1765=1,IF(Manual_JE!$N21="","",Manual_JE!$N21),"")</f>
        <v/>
      </c>
      <c r="AA1765" s="32">
        <f>IF($A1765=1,IF(Manual_JE!$O21="","",Manual_JE!$O21),"")</f>
        <v/>
      </c>
      <c r="AB1765" s="32">
        <f>IF($A1765=1,IF(Manual_JE!$P21="","",Manual_JE!$P21),"")</f>
        <v/>
      </c>
      <c r="AC1765" s="32">
        <f>IF($A1765=1,IF(Manual_JE!$Q21="","",Manual_JE!$Q21),"")</f>
        <v/>
      </c>
      <c r="AD1765" s="32">
        <f>IF($A1765=1,IF(Manual_JE!$R21="","",Manual_JE!$R21),"")</f>
        <v/>
      </c>
      <c r="AE1765" s="32">
        <f>IF($A1765=1,IF(Manual_JE!$D21="إقفال",1,0),"")</f>
        <v/>
      </c>
      <c r="AF1765" s="32" t="inlineStr"/>
    </row>
    <row r="1766">
      <c r="A1766" s="32">
        <f>IF(Manual_JE!$U22=1,1,0)</f>
        <v/>
      </c>
      <c r="B1766" s="32">
        <f>IF($A1766=1,$E1766&amp;"/1","")</f>
        <v/>
      </c>
      <c r="C1766" s="32">
        <f>IF($A1766=1,IF(Manual_JE!$A22="","",Manual_JE!$A22),"")</f>
        <v/>
      </c>
      <c r="D1766" s="33">
        <f>IF($A1766=1,Manual_JE!$B22,"")</f>
        <v/>
      </c>
      <c r="E1766" s="32">
        <f>IF($A1766=1,IF(Manual_JE!$A22="","",Manual_JE!$A22),"")</f>
        <v/>
      </c>
      <c r="F1766" s="32">
        <f>IF($A1766=1,"MJE","")</f>
        <v/>
      </c>
      <c r="G1766" s="32">
        <f>IF($A1766=1,IF(Manual_JE!$E22="","",Manual_JE!$E22),"")</f>
        <v/>
      </c>
      <c r="H1766" s="32">
        <f>IF($A1766=1,IF(COUNTIF(COA!$A:$A,$G1766)=0,"حساب غير معرف",INDEX(COA!$B:$B,MATCH($G1766,COA!$A:$A,0))),"")</f>
        <v/>
      </c>
      <c r="I1766" s="32">
        <f>IF($A1766=1,IF(Manual_JE!$F22="","",Manual_JE!$F22),"")</f>
        <v/>
      </c>
      <c r="J1766" s="32">
        <f>IF($A1766=1,IF(Manual_JE!$G22="","CC00",Manual_JE!$G22),"")</f>
        <v/>
      </c>
      <c r="K1766" s="32">
        <f>IF($A1766=1,IF(Manual_JE!$H22="","-",Manual_JE!$H22),"")</f>
        <v/>
      </c>
      <c r="L1766" s="32">
        <f>IF($A1766=1,IF(Manual_JE!$I22="","",Manual_JE!$I22),"")</f>
        <v/>
      </c>
      <c r="M1766" s="43">
        <f>IF($A1766=1,N(Manual_JE!$J22),"")</f>
        <v/>
      </c>
      <c r="N1766" s="43">
        <f>IF($A1766=1,N(Manual_JE!$K22),"")</f>
        <v/>
      </c>
      <c r="O1766" s="32">
        <f>IF($A1766=1,Manual_JE!$M22,"")</f>
        <v/>
      </c>
      <c r="P1766" s="32">
        <f>IF($A1766=1,IF(Manual_JE!$AE22="","",Manual_JE!$AE22),"")</f>
        <v/>
      </c>
      <c r="Q1766" s="32">
        <f>IF($A1766=1,Manual_JE!$AG22,"")</f>
        <v/>
      </c>
      <c r="R1766" s="32">
        <f>IF($A1766=1,IF(AND($Q1766=1,COUNTIFS(COA!$A:$A,$G1766,COA!$R:$R,1)=1),1,0),"")</f>
        <v/>
      </c>
      <c r="S1766" s="43">
        <f>IF($A1766=1,IF($R1766=1,N($M1766),0),"")</f>
        <v/>
      </c>
      <c r="T1766" s="43">
        <f>IF($A1766=1,IF($R1766=1,N($N1766),0),"")</f>
        <v/>
      </c>
      <c r="U1766" s="32">
        <f>IF($A1766=1,YEAR($D1766)*100+MONTH($D1766),"")</f>
        <v/>
      </c>
      <c r="V1766" s="32">
        <f>IF($A1766=1,IF(COUNTIF(COA!$A:$A,$G1766)=0,0,INDEX(COA!$H:$H,MATCH($G1766,COA!$A:$A,0))),"")</f>
        <v/>
      </c>
      <c r="W1766" s="32">
        <f>IF($A1766=1,IF(Manual_JE!$L22="","",Manual_JE!$L22),"")</f>
        <v/>
      </c>
      <c r="X1766" s="32">
        <f>IF($A1766=1,IF($R1766=1,"",IF($O1766=ST_POST,IF($P1766&lt;&gt;"",$P1766,"حساب غير صالح أو غير نشط"),IF($O1766=ST_REV,"معكوس: لا أثر على الدفاتر",IF($O1766=ST_CANC,"ملغى",IF($O1766=ST_APPR,"معتمد ولم يُرحَّل","مسودة"))))),"")</f>
        <v/>
      </c>
      <c r="Y1766" s="32">
        <f>IF($A1766=1,IF(AND($R1766=1,OR(LG_Acct="",$G1766=LG_Acct),OR(LG_Party="",$K1766=LG_Party),OR(LG_Loc="ALL",$I1766=LG_Loc),OR(LG_CC="ALL",$J1766=LG_CC),$D1766&gt;=LG_From,$D1766&lt;=LG_To),$D1766+ROW()/1000000,""),"")</f>
        <v/>
      </c>
      <c r="Z1766" s="32">
        <f>IF($A1766=1,IF(Manual_JE!$N22="","",Manual_JE!$N22),"")</f>
        <v/>
      </c>
      <c r="AA1766" s="32">
        <f>IF($A1766=1,IF(Manual_JE!$O22="","",Manual_JE!$O22),"")</f>
        <v/>
      </c>
      <c r="AB1766" s="32">
        <f>IF($A1766=1,IF(Manual_JE!$P22="","",Manual_JE!$P22),"")</f>
        <v/>
      </c>
      <c r="AC1766" s="32">
        <f>IF($A1766=1,IF(Manual_JE!$Q22="","",Manual_JE!$Q22),"")</f>
        <v/>
      </c>
      <c r="AD1766" s="32">
        <f>IF($A1766=1,IF(Manual_JE!$R22="","",Manual_JE!$R22),"")</f>
        <v/>
      </c>
      <c r="AE1766" s="32">
        <f>IF($A1766=1,IF(Manual_JE!$D22="إقفال",1,0),"")</f>
        <v/>
      </c>
      <c r="AF1766" s="32" t="inlineStr"/>
    </row>
    <row r="1767">
      <c r="A1767" s="32">
        <f>IF(Manual_JE!$U23=1,1,0)</f>
        <v/>
      </c>
      <c r="B1767" s="32">
        <f>IF($A1767=1,$E1767&amp;"/1","")</f>
        <v/>
      </c>
      <c r="C1767" s="32">
        <f>IF($A1767=1,IF(Manual_JE!$A23="","",Manual_JE!$A23),"")</f>
        <v/>
      </c>
      <c r="D1767" s="33">
        <f>IF($A1767=1,Manual_JE!$B23,"")</f>
        <v/>
      </c>
      <c r="E1767" s="32">
        <f>IF($A1767=1,IF(Manual_JE!$A23="","",Manual_JE!$A23),"")</f>
        <v/>
      </c>
      <c r="F1767" s="32">
        <f>IF($A1767=1,"MJE","")</f>
        <v/>
      </c>
      <c r="G1767" s="32">
        <f>IF($A1767=1,IF(Manual_JE!$E23="","",Manual_JE!$E23),"")</f>
        <v/>
      </c>
      <c r="H1767" s="32">
        <f>IF($A1767=1,IF(COUNTIF(COA!$A:$A,$G1767)=0,"حساب غير معرف",INDEX(COA!$B:$B,MATCH($G1767,COA!$A:$A,0))),"")</f>
        <v/>
      </c>
      <c r="I1767" s="32">
        <f>IF($A1767=1,IF(Manual_JE!$F23="","",Manual_JE!$F23),"")</f>
        <v/>
      </c>
      <c r="J1767" s="32">
        <f>IF($A1767=1,IF(Manual_JE!$G23="","CC00",Manual_JE!$G23),"")</f>
        <v/>
      </c>
      <c r="K1767" s="32">
        <f>IF($A1767=1,IF(Manual_JE!$H23="","-",Manual_JE!$H23),"")</f>
        <v/>
      </c>
      <c r="L1767" s="32">
        <f>IF($A1767=1,IF(Manual_JE!$I23="","",Manual_JE!$I23),"")</f>
        <v/>
      </c>
      <c r="M1767" s="43">
        <f>IF($A1767=1,N(Manual_JE!$J23),"")</f>
        <v/>
      </c>
      <c r="N1767" s="43">
        <f>IF($A1767=1,N(Manual_JE!$K23),"")</f>
        <v/>
      </c>
      <c r="O1767" s="32">
        <f>IF($A1767=1,Manual_JE!$M23,"")</f>
        <v/>
      </c>
      <c r="P1767" s="32">
        <f>IF($A1767=1,IF(Manual_JE!$AE23="","",Manual_JE!$AE23),"")</f>
        <v/>
      </c>
      <c r="Q1767" s="32">
        <f>IF($A1767=1,Manual_JE!$AG23,"")</f>
        <v/>
      </c>
      <c r="R1767" s="32">
        <f>IF($A1767=1,IF(AND($Q1767=1,COUNTIFS(COA!$A:$A,$G1767,COA!$R:$R,1)=1),1,0),"")</f>
        <v/>
      </c>
      <c r="S1767" s="43">
        <f>IF($A1767=1,IF($R1767=1,N($M1767),0),"")</f>
        <v/>
      </c>
      <c r="T1767" s="43">
        <f>IF($A1767=1,IF($R1767=1,N($N1767),0),"")</f>
        <v/>
      </c>
      <c r="U1767" s="32">
        <f>IF($A1767=1,YEAR($D1767)*100+MONTH($D1767),"")</f>
        <v/>
      </c>
      <c r="V1767" s="32">
        <f>IF($A1767=1,IF(COUNTIF(COA!$A:$A,$G1767)=0,0,INDEX(COA!$H:$H,MATCH($G1767,COA!$A:$A,0))),"")</f>
        <v/>
      </c>
      <c r="W1767" s="32">
        <f>IF($A1767=1,IF(Manual_JE!$L23="","",Manual_JE!$L23),"")</f>
        <v/>
      </c>
      <c r="X1767" s="32">
        <f>IF($A1767=1,IF($R1767=1,"",IF($O1767=ST_POST,IF($P1767&lt;&gt;"",$P1767,"حساب غير صالح أو غير نشط"),IF($O1767=ST_REV,"معكوس: لا أثر على الدفاتر",IF($O1767=ST_CANC,"ملغى",IF($O1767=ST_APPR,"معتمد ولم يُرحَّل","مسودة"))))),"")</f>
        <v/>
      </c>
      <c r="Y1767" s="32">
        <f>IF($A1767=1,IF(AND($R1767=1,OR(LG_Acct="",$G1767=LG_Acct),OR(LG_Party="",$K1767=LG_Party),OR(LG_Loc="ALL",$I1767=LG_Loc),OR(LG_CC="ALL",$J1767=LG_CC),$D1767&gt;=LG_From,$D1767&lt;=LG_To),$D1767+ROW()/1000000,""),"")</f>
        <v/>
      </c>
      <c r="Z1767" s="32">
        <f>IF($A1767=1,IF(Manual_JE!$N23="","",Manual_JE!$N23),"")</f>
        <v/>
      </c>
      <c r="AA1767" s="32">
        <f>IF($A1767=1,IF(Manual_JE!$O23="","",Manual_JE!$O23),"")</f>
        <v/>
      </c>
      <c r="AB1767" s="32">
        <f>IF($A1767=1,IF(Manual_JE!$P23="","",Manual_JE!$P23),"")</f>
        <v/>
      </c>
      <c r="AC1767" s="32">
        <f>IF($A1767=1,IF(Manual_JE!$Q23="","",Manual_JE!$Q23),"")</f>
        <v/>
      </c>
      <c r="AD1767" s="32">
        <f>IF($A1767=1,IF(Manual_JE!$R23="","",Manual_JE!$R23),"")</f>
        <v/>
      </c>
      <c r="AE1767" s="32">
        <f>IF($A1767=1,IF(Manual_JE!$D23="إقفال",1,0),"")</f>
        <v/>
      </c>
      <c r="AF1767" s="32" t="inlineStr"/>
    </row>
    <row r="1768">
      <c r="A1768" s="32">
        <f>IF(Manual_JE!$U24=1,1,0)</f>
        <v/>
      </c>
      <c r="B1768" s="32">
        <f>IF($A1768=1,$E1768&amp;"/1","")</f>
        <v/>
      </c>
      <c r="C1768" s="32">
        <f>IF($A1768=1,IF(Manual_JE!$A24="","",Manual_JE!$A24),"")</f>
        <v/>
      </c>
      <c r="D1768" s="33">
        <f>IF($A1768=1,Manual_JE!$B24,"")</f>
        <v/>
      </c>
      <c r="E1768" s="32">
        <f>IF($A1768=1,IF(Manual_JE!$A24="","",Manual_JE!$A24),"")</f>
        <v/>
      </c>
      <c r="F1768" s="32">
        <f>IF($A1768=1,"MJE","")</f>
        <v/>
      </c>
      <c r="G1768" s="32">
        <f>IF($A1768=1,IF(Manual_JE!$E24="","",Manual_JE!$E24),"")</f>
        <v/>
      </c>
      <c r="H1768" s="32">
        <f>IF($A1768=1,IF(COUNTIF(COA!$A:$A,$G1768)=0,"حساب غير معرف",INDEX(COA!$B:$B,MATCH($G1768,COA!$A:$A,0))),"")</f>
        <v/>
      </c>
      <c r="I1768" s="32">
        <f>IF($A1768=1,IF(Manual_JE!$F24="","",Manual_JE!$F24),"")</f>
        <v/>
      </c>
      <c r="J1768" s="32">
        <f>IF($A1768=1,IF(Manual_JE!$G24="","CC00",Manual_JE!$G24),"")</f>
        <v/>
      </c>
      <c r="K1768" s="32">
        <f>IF($A1768=1,IF(Manual_JE!$H24="","-",Manual_JE!$H24),"")</f>
        <v/>
      </c>
      <c r="L1768" s="32">
        <f>IF($A1768=1,IF(Manual_JE!$I24="","",Manual_JE!$I24),"")</f>
        <v/>
      </c>
      <c r="M1768" s="43">
        <f>IF($A1768=1,N(Manual_JE!$J24),"")</f>
        <v/>
      </c>
      <c r="N1768" s="43">
        <f>IF($A1768=1,N(Manual_JE!$K24),"")</f>
        <v/>
      </c>
      <c r="O1768" s="32">
        <f>IF($A1768=1,Manual_JE!$M24,"")</f>
        <v/>
      </c>
      <c r="P1768" s="32">
        <f>IF($A1768=1,IF(Manual_JE!$AE24="","",Manual_JE!$AE24),"")</f>
        <v/>
      </c>
      <c r="Q1768" s="32">
        <f>IF($A1768=1,Manual_JE!$AG24,"")</f>
        <v/>
      </c>
      <c r="R1768" s="32">
        <f>IF($A1768=1,IF(AND($Q1768=1,COUNTIFS(COA!$A:$A,$G1768,COA!$R:$R,1)=1),1,0),"")</f>
        <v/>
      </c>
      <c r="S1768" s="43">
        <f>IF($A1768=1,IF($R1768=1,N($M1768),0),"")</f>
        <v/>
      </c>
      <c r="T1768" s="43">
        <f>IF($A1768=1,IF($R1768=1,N($N1768),0),"")</f>
        <v/>
      </c>
      <c r="U1768" s="32">
        <f>IF($A1768=1,YEAR($D1768)*100+MONTH($D1768),"")</f>
        <v/>
      </c>
      <c r="V1768" s="32">
        <f>IF($A1768=1,IF(COUNTIF(COA!$A:$A,$G1768)=0,0,INDEX(COA!$H:$H,MATCH($G1768,COA!$A:$A,0))),"")</f>
        <v/>
      </c>
      <c r="W1768" s="32">
        <f>IF($A1768=1,IF(Manual_JE!$L24="","",Manual_JE!$L24),"")</f>
        <v/>
      </c>
      <c r="X1768" s="32">
        <f>IF($A1768=1,IF($R1768=1,"",IF($O1768=ST_POST,IF($P1768&lt;&gt;"",$P1768,"حساب غير صالح أو غير نشط"),IF($O1768=ST_REV,"معكوس: لا أثر على الدفاتر",IF($O1768=ST_CANC,"ملغى",IF($O1768=ST_APPR,"معتمد ولم يُرحَّل","مسودة"))))),"")</f>
        <v/>
      </c>
      <c r="Y1768" s="32">
        <f>IF($A1768=1,IF(AND($R1768=1,OR(LG_Acct="",$G1768=LG_Acct),OR(LG_Party="",$K1768=LG_Party),OR(LG_Loc="ALL",$I1768=LG_Loc),OR(LG_CC="ALL",$J1768=LG_CC),$D1768&gt;=LG_From,$D1768&lt;=LG_To),$D1768+ROW()/1000000,""),"")</f>
        <v/>
      </c>
      <c r="Z1768" s="32">
        <f>IF($A1768=1,IF(Manual_JE!$N24="","",Manual_JE!$N24),"")</f>
        <v/>
      </c>
      <c r="AA1768" s="32">
        <f>IF($A1768=1,IF(Manual_JE!$O24="","",Manual_JE!$O24),"")</f>
        <v/>
      </c>
      <c r="AB1768" s="32">
        <f>IF($A1768=1,IF(Manual_JE!$P24="","",Manual_JE!$P24),"")</f>
        <v/>
      </c>
      <c r="AC1768" s="32">
        <f>IF($A1768=1,IF(Manual_JE!$Q24="","",Manual_JE!$Q24),"")</f>
        <v/>
      </c>
      <c r="AD1768" s="32">
        <f>IF($A1768=1,IF(Manual_JE!$R24="","",Manual_JE!$R24),"")</f>
        <v/>
      </c>
      <c r="AE1768" s="32">
        <f>IF($A1768=1,IF(Manual_JE!$D24="إقفال",1,0),"")</f>
        <v/>
      </c>
      <c r="AF1768" s="32" t="inlineStr"/>
    </row>
    <row r="1769">
      <c r="A1769" s="32">
        <f>IF(Manual_JE!$U25=1,1,0)</f>
        <v/>
      </c>
      <c r="B1769" s="32">
        <f>IF($A1769=1,$E1769&amp;"/1","")</f>
        <v/>
      </c>
      <c r="C1769" s="32">
        <f>IF($A1769=1,IF(Manual_JE!$A25="","",Manual_JE!$A25),"")</f>
        <v/>
      </c>
      <c r="D1769" s="33">
        <f>IF($A1769=1,Manual_JE!$B25,"")</f>
        <v/>
      </c>
      <c r="E1769" s="32">
        <f>IF($A1769=1,IF(Manual_JE!$A25="","",Manual_JE!$A25),"")</f>
        <v/>
      </c>
      <c r="F1769" s="32">
        <f>IF($A1769=1,"MJE","")</f>
        <v/>
      </c>
      <c r="G1769" s="32">
        <f>IF($A1769=1,IF(Manual_JE!$E25="","",Manual_JE!$E25),"")</f>
        <v/>
      </c>
      <c r="H1769" s="32">
        <f>IF($A1769=1,IF(COUNTIF(COA!$A:$A,$G1769)=0,"حساب غير معرف",INDEX(COA!$B:$B,MATCH($G1769,COA!$A:$A,0))),"")</f>
        <v/>
      </c>
      <c r="I1769" s="32">
        <f>IF($A1769=1,IF(Manual_JE!$F25="","",Manual_JE!$F25),"")</f>
        <v/>
      </c>
      <c r="J1769" s="32">
        <f>IF($A1769=1,IF(Manual_JE!$G25="","CC00",Manual_JE!$G25),"")</f>
        <v/>
      </c>
      <c r="K1769" s="32">
        <f>IF($A1769=1,IF(Manual_JE!$H25="","-",Manual_JE!$H25),"")</f>
        <v/>
      </c>
      <c r="L1769" s="32">
        <f>IF($A1769=1,IF(Manual_JE!$I25="","",Manual_JE!$I25),"")</f>
        <v/>
      </c>
      <c r="M1769" s="43">
        <f>IF($A1769=1,N(Manual_JE!$J25),"")</f>
        <v/>
      </c>
      <c r="N1769" s="43">
        <f>IF($A1769=1,N(Manual_JE!$K25),"")</f>
        <v/>
      </c>
      <c r="O1769" s="32">
        <f>IF($A1769=1,Manual_JE!$M25,"")</f>
        <v/>
      </c>
      <c r="P1769" s="32">
        <f>IF($A1769=1,IF(Manual_JE!$AE25="","",Manual_JE!$AE25),"")</f>
        <v/>
      </c>
      <c r="Q1769" s="32">
        <f>IF($A1769=1,Manual_JE!$AG25,"")</f>
        <v/>
      </c>
      <c r="R1769" s="32">
        <f>IF($A1769=1,IF(AND($Q1769=1,COUNTIFS(COA!$A:$A,$G1769,COA!$R:$R,1)=1),1,0),"")</f>
        <v/>
      </c>
      <c r="S1769" s="43">
        <f>IF($A1769=1,IF($R1769=1,N($M1769),0),"")</f>
        <v/>
      </c>
      <c r="T1769" s="43">
        <f>IF($A1769=1,IF($R1769=1,N($N1769),0),"")</f>
        <v/>
      </c>
      <c r="U1769" s="32">
        <f>IF($A1769=1,YEAR($D1769)*100+MONTH($D1769),"")</f>
        <v/>
      </c>
      <c r="V1769" s="32">
        <f>IF($A1769=1,IF(COUNTIF(COA!$A:$A,$G1769)=0,0,INDEX(COA!$H:$H,MATCH($G1769,COA!$A:$A,0))),"")</f>
        <v/>
      </c>
      <c r="W1769" s="32">
        <f>IF($A1769=1,IF(Manual_JE!$L25="","",Manual_JE!$L25),"")</f>
        <v/>
      </c>
      <c r="X1769" s="32">
        <f>IF($A1769=1,IF($R1769=1,"",IF($O1769=ST_POST,IF($P1769&lt;&gt;"",$P1769,"حساب غير صالح أو غير نشط"),IF($O1769=ST_REV,"معكوس: لا أثر على الدفاتر",IF($O1769=ST_CANC,"ملغى",IF($O1769=ST_APPR,"معتمد ولم يُرحَّل","مسودة"))))),"")</f>
        <v/>
      </c>
      <c r="Y1769" s="32">
        <f>IF($A1769=1,IF(AND($R1769=1,OR(LG_Acct="",$G1769=LG_Acct),OR(LG_Party="",$K1769=LG_Party),OR(LG_Loc="ALL",$I1769=LG_Loc),OR(LG_CC="ALL",$J1769=LG_CC),$D1769&gt;=LG_From,$D1769&lt;=LG_To),$D1769+ROW()/1000000,""),"")</f>
        <v/>
      </c>
      <c r="Z1769" s="32">
        <f>IF($A1769=1,IF(Manual_JE!$N25="","",Manual_JE!$N25),"")</f>
        <v/>
      </c>
      <c r="AA1769" s="32">
        <f>IF($A1769=1,IF(Manual_JE!$O25="","",Manual_JE!$O25),"")</f>
        <v/>
      </c>
      <c r="AB1769" s="32">
        <f>IF($A1769=1,IF(Manual_JE!$P25="","",Manual_JE!$P25),"")</f>
        <v/>
      </c>
      <c r="AC1769" s="32">
        <f>IF($A1769=1,IF(Manual_JE!$Q25="","",Manual_JE!$Q25),"")</f>
        <v/>
      </c>
      <c r="AD1769" s="32">
        <f>IF($A1769=1,IF(Manual_JE!$R25="","",Manual_JE!$R25),"")</f>
        <v/>
      </c>
      <c r="AE1769" s="32">
        <f>IF($A1769=1,IF(Manual_JE!$D25="إقفال",1,0),"")</f>
        <v/>
      </c>
      <c r="AF1769" s="32" t="inlineStr"/>
    </row>
    <row r="1770">
      <c r="A1770" s="32">
        <f>IF(Manual_JE!$U26=1,1,0)</f>
        <v/>
      </c>
      <c r="B1770" s="32">
        <f>IF($A1770=1,$E1770&amp;"/1","")</f>
        <v/>
      </c>
      <c r="C1770" s="32">
        <f>IF($A1770=1,IF(Manual_JE!$A26="","",Manual_JE!$A26),"")</f>
        <v/>
      </c>
      <c r="D1770" s="33">
        <f>IF($A1770=1,Manual_JE!$B26,"")</f>
        <v/>
      </c>
      <c r="E1770" s="32">
        <f>IF($A1770=1,IF(Manual_JE!$A26="","",Manual_JE!$A26),"")</f>
        <v/>
      </c>
      <c r="F1770" s="32">
        <f>IF($A1770=1,"MJE","")</f>
        <v/>
      </c>
      <c r="G1770" s="32">
        <f>IF($A1770=1,IF(Manual_JE!$E26="","",Manual_JE!$E26),"")</f>
        <v/>
      </c>
      <c r="H1770" s="32">
        <f>IF($A1770=1,IF(COUNTIF(COA!$A:$A,$G1770)=0,"حساب غير معرف",INDEX(COA!$B:$B,MATCH($G1770,COA!$A:$A,0))),"")</f>
        <v/>
      </c>
      <c r="I1770" s="32">
        <f>IF($A1770=1,IF(Manual_JE!$F26="","",Manual_JE!$F26),"")</f>
        <v/>
      </c>
      <c r="J1770" s="32">
        <f>IF($A1770=1,IF(Manual_JE!$G26="","CC00",Manual_JE!$G26),"")</f>
        <v/>
      </c>
      <c r="K1770" s="32">
        <f>IF($A1770=1,IF(Manual_JE!$H26="","-",Manual_JE!$H26),"")</f>
        <v/>
      </c>
      <c r="L1770" s="32">
        <f>IF($A1770=1,IF(Manual_JE!$I26="","",Manual_JE!$I26),"")</f>
        <v/>
      </c>
      <c r="M1770" s="43">
        <f>IF($A1770=1,N(Manual_JE!$J26),"")</f>
        <v/>
      </c>
      <c r="N1770" s="43">
        <f>IF($A1770=1,N(Manual_JE!$K26),"")</f>
        <v/>
      </c>
      <c r="O1770" s="32">
        <f>IF($A1770=1,Manual_JE!$M26,"")</f>
        <v/>
      </c>
      <c r="P1770" s="32">
        <f>IF($A1770=1,IF(Manual_JE!$AE26="","",Manual_JE!$AE26),"")</f>
        <v/>
      </c>
      <c r="Q1770" s="32">
        <f>IF($A1770=1,Manual_JE!$AG26,"")</f>
        <v/>
      </c>
      <c r="R1770" s="32">
        <f>IF($A1770=1,IF(AND($Q1770=1,COUNTIFS(COA!$A:$A,$G1770,COA!$R:$R,1)=1),1,0),"")</f>
        <v/>
      </c>
      <c r="S1770" s="43">
        <f>IF($A1770=1,IF($R1770=1,N($M1770),0),"")</f>
        <v/>
      </c>
      <c r="T1770" s="43">
        <f>IF($A1770=1,IF($R1770=1,N($N1770),0),"")</f>
        <v/>
      </c>
      <c r="U1770" s="32">
        <f>IF($A1770=1,YEAR($D1770)*100+MONTH($D1770),"")</f>
        <v/>
      </c>
      <c r="V1770" s="32">
        <f>IF($A1770=1,IF(COUNTIF(COA!$A:$A,$G1770)=0,0,INDEX(COA!$H:$H,MATCH($G1770,COA!$A:$A,0))),"")</f>
        <v/>
      </c>
      <c r="W1770" s="32">
        <f>IF($A1770=1,IF(Manual_JE!$L26="","",Manual_JE!$L26),"")</f>
        <v/>
      </c>
      <c r="X1770" s="32">
        <f>IF($A1770=1,IF($R1770=1,"",IF($O1770=ST_POST,IF($P1770&lt;&gt;"",$P1770,"حساب غير صالح أو غير نشط"),IF($O1770=ST_REV,"معكوس: لا أثر على الدفاتر",IF($O1770=ST_CANC,"ملغى",IF($O1770=ST_APPR,"معتمد ولم يُرحَّل","مسودة"))))),"")</f>
        <v/>
      </c>
      <c r="Y1770" s="32">
        <f>IF($A1770=1,IF(AND($R1770=1,OR(LG_Acct="",$G1770=LG_Acct),OR(LG_Party="",$K1770=LG_Party),OR(LG_Loc="ALL",$I1770=LG_Loc),OR(LG_CC="ALL",$J1770=LG_CC),$D1770&gt;=LG_From,$D1770&lt;=LG_To),$D1770+ROW()/1000000,""),"")</f>
        <v/>
      </c>
      <c r="Z1770" s="32">
        <f>IF($A1770=1,IF(Manual_JE!$N26="","",Manual_JE!$N26),"")</f>
        <v/>
      </c>
      <c r="AA1770" s="32">
        <f>IF($A1770=1,IF(Manual_JE!$O26="","",Manual_JE!$O26),"")</f>
        <v/>
      </c>
      <c r="AB1770" s="32">
        <f>IF($A1770=1,IF(Manual_JE!$P26="","",Manual_JE!$P26),"")</f>
        <v/>
      </c>
      <c r="AC1770" s="32">
        <f>IF($A1770=1,IF(Manual_JE!$Q26="","",Manual_JE!$Q26),"")</f>
        <v/>
      </c>
      <c r="AD1770" s="32">
        <f>IF($A1770=1,IF(Manual_JE!$R26="","",Manual_JE!$R26),"")</f>
        <v/>
      </c>
      <c r="AE1770" s="32">
        <f>IF($A1770=1,IF(Manual_JE!$D26="إقفال",1,0),"")</f>
        <v/>
      </c>
      <c r="AF1770" s="32" t="inlineStr"/>
    </row>
    <row r="1771">
      <c r="A1771" s="32">
        <f>IF(Manual_JE!$U27=1,1,0)</f>
        <v/>
      </c>
      <c r="B1771" s="32">
        <f>IF($A1771=1,$E1771&amp;"/1","")</f>
        <v/>
      </c>
      <c r="C1771" s="32">
        <f>IF($A1771=1,IF(Manual_JE!$A27="","",Manual_JE!$A27),"")</f>
        <v/>
      </c>
      <c r="D1771" s="33">
        <f>IF($A1771=1,Manual_JE!$B27,"")</f>
        <v/>
      </c>
      <c r="E1771" s="32">
        <f>IF($A1771=1,IF(Manual_JE!$A27="","",Manual_JE!$A27),"")</f>
        <v/>
      </c>
      <c r="F1771" s="32">
        <f>IF($A1771=1,"MJE","")</f>
        <v/>
      </c>
      <c r="G1771" s="32">
        <f>IF($A1771=1,IF(Manual_JE!$E27="","",Manual_JE!$E27),"")</f>
        <v/>
      </c>
      <c r="H1771" s="32">
        <f>IF($A1771=1,IF(COUNTIF(COA!$A:$A,$G1771)=0,"حساب غير معرف",INDEX(COA!$B:$B,MATCH($G1771,COA!$A:$A,0))),"")</f>
        <v/>
      </c>
      <c r="I1771" s="32">
        <f>IF($A1771=1,IF(Manual_JE!$F27="","",Manual_JE!$F27),"")</f>
        <v/>
      </c>
      <c r="J1771" s="32">
        <f>IF($A1771=1,IF(Manual_JE!$G27="","CC00",Manual_JE!$G27),"")</f>
        <v/>
      </c>
      <c r="K1771" s="32">
        <f>IF($A1771=1,IF(Manual_JE!$H27="","-",Manual_JE!$H27),"")</f>
        <v/>
      </c>
      <c r="L1771" s="32">
        <f>IF($A1771=1,IF(Manual_JE!$I27="","",Manual_JE!$I27),"")</f>
        <v/>
      </c>
      <c r="M1771" s="43">
        <f>IF($A1771=1,N(Manual_JE!$J27),"")</f>
        <v/>
      </c>
      <c r="N1771" s="43">
        <f>IF($A1771=1,N(Manual_JE!$K27),"")</f>
        <v/>
      </c>
      <c r="O1771" s="32">
        <f>IF($A1771=1,Manual_JE!$M27,"")</f>
        <v/>
      </c>
      <c r="P1771" s="32">
        <f>IF($A1771=1,IF(Manual_JE!$AE27="","",Manual_JE!$AE27),"")</f>
        <v/>
      </c>
      <c r="Q1771" s="32">
        <f>IF($A1771=1,Manual_JE!$AG27,"")</f>
        <v/>
      </c>
      <c r="R1771" s="32">
        <f>IF($A1771=1,IF(AND($Q1771=1,COUNTIFS(COA!$A:$A,$G1771,COA!$R:$R,1)=1),1,0),"")</f>
        <v/>
      </c>
      <c r="S1771" s="43">
        <f>IF($A1771=1,IF($R1771=1,N($M1771),0),"")</f>
        <v/>
      </c>
      <c r="T1771" s="43">
        <f>IF($A1771=1,IF($R1771=1,N($N1771),0),"")</f>
        <v/>
      </c>
      <c r="U1771" s="32">
        <f>IF($A1771=1,YEAR($D1771)*100+MONTH($D1771),"")</f>
        <v/>
      </c>
      <c r="V1771" s="32">
        <f>IF($A1771=1,IF(COUNTIF(COA!$A:$A,$G1771)=0,0,INDEX(COA!$H:$H,MATCH($G1771,COA!$A:$A,0))),"")</f>
        <v/>
      </c>
      <c r="W1771" s="32">
        <f>IF($A1771=1,IF(Manual_JE!$L27="","",Manual_JE!$L27),"")</f>
        <v/>
      </c>
      <c r="X1771" s="32">
        <f>IF($A1771=1,IF($R1771=1,"",IF($O1771=ST_POST,IF($P1771&lt;&gt;"",$P1771,"حساب غير صالح أو غير نشط"),IF($O1771=ST_REV,"معكوس: لا أثر على الدفاتر",IF($O1771=ST_CANC,"ملغى",IF($O1771=ST_APPR,"معتمد ولم يُرحَّل","مسودة"))))),"")</f>
        <v/>
      </c>
      <c r="Y1771" s="32">
        <f>IF($A1771=1,IF(AND($R1771=1,OR(LG_Acct="",$G1771=LG_Acct),OR(LG_Party="",$K1771=LG_Party),OR(LG_Loc="ALL",$I1771=LG_Loc),OR(LG_CC="ALL",$J1771=LG_CC),$D1771&gt;=LG_From,$D1771&lt;=LG_To),$D1771+ROW()/1000000,""),"")</f>
        <v/>
      </c>
      <c r="Z1771" s="32">
        <f>IF($A1771=1,IF(Manual_JE!$N27="","",Manual_JE!$N27),"")</f>
        <v/>
      </c>
      <c r="AA1771" s="32">
        <f>IF($A1771=1,IF(Manual_JE!$O27="","",Manual_JE!$O27),"")</f>
        <v/>
      </c>
      <c r="AB1771" s="32">
        <f>IF($A1771=1,IF(Manual_JE!$P27="","",Manual_JE!$P27),"")</f>
        <v/>
      </c>
      <c r="AC1771" s="32">
        <f>IF($A1771=1,IF(Manual_JE!$Q27="","",Manual_JE!$Q27),"")</f>
        <v/>
      </c>
      <c r="AD1771" s="32">
        <f>IF($A1771=1,IF(Manual_JE!$R27="","",Manual_JE!$R27),"")</f>
        <v/>
      </c>
      <c r="AE1771" s="32">
        <f>IF($A1771=1,IF(Manual_JE!$D27="إقفال",1,0),"")</f>
        <v/>
      </c>
      <c r="AF1771" s="32" t="inlineStr"/>
    </row>
    <row r="1772">
      <c r="A1772" s="32">
        <f>IF(Manual_JE!$U28=1,1,0)</f>
        <v/>
      </c>
      <c r="B1772" s="32">
        <f>IF($A1772=1,$E1772&amp;"/1","")</f>
        <v/>
      </c>
      <c r="C1772" s="32">
        <f>IF($A1772=1,IF(Manual_JE!$A28="","",Manual_JE!$A28),"")</f>
        <v/>
      </c>
      <c r="D1772" s="33">
        <f>IF($A1772=1,Manual_JE!$B28,"")</f>
        <v/>
      </c>
      <c r="E1772" s="32">
        <f>IF($A1772=1,IF(Manual_JE!$A28="","",Manual_JE!$A28),"")</f>
        <v/>
      </c>
      <c r="F1772" s="32">
        <f>IF($A1772=1,"MJE","")</f>
        <v/>
      </c>
      <c r="G1772" s="32">
        <f>IF($A1772=1,IF(Manual_JE!$E28="","",Manual_JE!$E28),"")</f>
        <v/>
      </c>
      <c r="H1772" s="32">
        <f>IF($A1772=1,IF(COUNTIF(COA!$A:$A,$G1772)=0,"حساب غير معرف",INDEX(COA!$B:$B,MATCH($G1772,COA!$A:$A,0))),"")</f>
        <v/>
      </c>
      <c r="I1772" s="32">
        <f>IF($A1772=1,IF(Manual_JE!$F28="","",Manual_JE!$F28),"")</f>
        <v/>
      </c>
      <c r="J1772" s="32">
        <f>IF($A1772=1,IF(Manual_JE!$G28="","CC00",Manual_JE!$G28),"")</f>
        <v/>
      </c>
      <c r="K1772" s="32">
        <f>IF($A1772=1,IF(Manual_JE!$H28="","-",Manual_JE!$H28),"")</f>
        <v/>
      </c>
      <c r="L1772" s="32">
        <f>IF($A1772=1,IF(Manual_JE!$I28="","",Manual_JE!$I28),"")</f>
        <v/>
      </c>
      <c r="M1772" s="43">
        <f>IF($A1772=1,N(Manual_JE!$J28),"")</f>
        <v/>
      </c>
      <c r="N1772" s="43">
        <f>IF($A1772=1,N(Manual_JE!$K28),"")</f>
        <v/>
      </c>
      <c r="O1772" s="32">
        <f>IF($A1772=1,Manual_JE!$M28,"")</f>
        <v/>
      </c>
      <c r="P1772" s="32">
        <f>IF($A1772=1,IF(Manual_JE!$AE28="","",Manual_JE!$AE28),"")</f>
        <v/>
      </c>
      <c r="Q1772" s="32">
        <f>IF($A1772=1,Manual_JE!$AG28,"")</f>
        <v/>
      </c>
      <c r="R1772" s="32">
        <f>IF($A1772=1,IF(AND($Q1772=1,COUNTIFS(COA!$A:$A,$G1772,COA!$R:$R,1)=1),1,0),"")</f>
        <v/>
      </c>
      <c r="S1772" s="43">
        <f>IF($A1772=1,IF($R1772=1,N($M1772),0),"")</f>
        <v/>
      </c>
      <c r="T1772" s="43">
        <f>IF($A1772=1,IF($R1772=1,N($N1772),0),"")</f>
        <v/>
      </c>
      <c r="U1772" s="32">
        <f>IF($A1772=1,YEAR($D1772)*100+MONTH($D1772),"")</f>
        <v/>
      </c>
      <c r="V1772" s="32">
        <f>IF($A1772=1,IF(COUNTIF(COA!$A:$A,$G1772)=0,0,INDEX(COA!$H:$H,MATCH($G1772,COA!$A:$A,0))),"")</f>
        <v/>
      </c>
      <c r="W1772" s="32">
        <f>IF($A1772=1,IF(Manual_JE!$L28="","",Manual_JE!$L28),"")</f>
        <v/>
      </c>
      <c r="X1772" s="32">
        <f>IF($A1772=1,IF($R1772=1,"",IF($O1772=ST_POST,IF($P1772&lt;&gt;"",$P1772,"حساب غير صالح أو غير نشط"),IF($O1772=ST_REV,"معكوس: لا أثر على الدفاتر",IF($O1772=ST_CANC,"ملغى",IF($O1772=ST_APPR,"معتمد ولم يُرحَّل","مسودة"))))),"")</f>
        <v/>
      </c>
      <c r="Y1772" s="32">
        <f>IF($A1772=1,IF(AND($R1772=1,OR(LG_Acct="",$G1772=LG_Acct),OR(LG_Party="",$K1772=LG_Party),OR(LG_Loc="ALL",$I1772=LG_Loc),OR(LG_CC="ALL",$J1772=LG_CC),$D1772&gt;=LG_From,$D1772&lt;=LG_To),$D1772+ROW()/1000000,""),"")</f>
        <v/>
      </c>
      <c r="Z1772" s="32">
        <f>IF($A1772=1,IF(Manual_JE!$N28="","",Manual_JE!$N28),"")</f>
        <v/>
      </c>
      <c r="AA1772" s="32">
        <f>IF($A1772=1,IF(Manual_JE!$O28="","",Manual_JE!$O28),"")</f>
        <v/>
      </c>
      <c r="AB1772" s="32">
        <f>IF($A1772=1,IF(Manual_JE!$P28="","",Manual_JE!$P28),"")</f>
        <v/>
      </c>
      <c r="AC1772" s="32">
        <f>IF($A1772=1,IF(Manual_JE!$Q28="","",Manual_JE!$Q28),"")</f>
        <v/>
      </c>
      <c r="AD1772" s="32">
        <f>IF($A1772=1,IF(Manual_JE!$R28="","",Manual_JE!$R28),"")</f>
        <v/>
      </c>
      <c r="AE1772" s="32">
        <f>IF($A1772=1,IF(Manual_JE!$D28="إقفال",1,0),"")</f>
        <v/>
      </c>
      <c r="AF1772" s="32" t="inlineStr"/>
    </row>
    <row r="1773">
      <c r="A1773" s="32">
        <f>IF(Manual_JE!$U29=1,1,0)</f>
        <v/>
      </c>
      <c r="B1773" s="32">
        <f>IF($A1773=1,$E1773&amp;"/1","")</f>
        <v/>
      </c>
      <c r="C1773" s="32">
        <f>IF($A1773=1,IF(Manual_JE!$A29="","",Manual_JE!$A29),"")</f>
        <v/>
      </c>
      <c r="D1773" s="33">
        <f>IF($A1773=1,Manual_JE!$B29,"")</f>
        <v/>
      </c>
      <c r="E1773" s="32">
        <f>IF($A1773=1,IF(Manual_JE!$A29="","",Manual_JE!$A29),"")</f>
        <v/>
      </c>
      <c r="F1773" s="32">
        <f>IF($A1773=1,"MJE","")</f>
        <v/>
      </c>
      <c r="G1773" s="32">
        <f>IF($A1773=1,IF(Manual_JE!$E29="","",Manual_JE!$E29),"")</f>
        <v/>
      </c>
      <c r="H1773" s="32">
        <f>IF($A1773=1,IF(COUNTIF(COA!$A:$A,$G1773)=0,"حساب غير معرف",INDEX(COA!$B:$B,MATCH($G1773,COA!$A:$A,0))),"")</f>
        <v/>
      </c>
      <c r="I1773" s="32">
        <f>IF($A1773=1,IF(Manual_JE!$F29="","",Manual_JE!$F29),"")</f>
        <v/>
      </c>
      <c r="J1773" s="32">
        <f>IF($A1773=1,IF(Manual_JE!$G29="","CC00",Manual_JE!$G29),"")</f>
        <v/>
      </c>
      <c r="K1773" s="32">
        <f>IF($A1773=1,IF(Manual_JE!$H29="","-",Manual_JE!$H29),"")</f>
        <v/>
      </c>
      <c r="L1773" s="32">
        <f>IF($A1773=1,IF(Manual_JE!$I29="","",Manual_JE!$I29),"")</f>
        <v/>
      </c>
      <c r="M1773" s="43">
        <f>IF($A1773=1,N(Manual_JE!$J29),"")</f>
        <v/>
      </c>
      <c r="N1773" s="43">
        <f>IF($A1773=1,N(Manual_JE!$K29),"")</f>
        <v/>
      </c>
      <c r="O1773" s="32">
        <f>IF($A1773=1,Manual_JE!$M29,"")</f>
        <v/>
      </c>
      <c r="P1773" s="32">
        <f>IF($A1773=1,IF(Manual_JE!$AE29="","",Manual_JE!$AE29),"")</f>
        <v/>
      </c>
      <c r="Q1773" s="32">
        <f>IF($A1773=1,Manual_JE!$AG29,"")</f>
        <v/>
      </c>
      <c r="R1773" s="32">
        <f>IF($A1773=1,IF(AND($Q1773=1,COUNTIFS(COA!$A:$A,$G1773,COA!$R:$R,1)=1),1,0),"")</f>
        <v/>
      </c>
      <c r="S1773" s="43">
        <f>IF($A1773=1,IF($R1773=1,N($M1773),0),"")</f>
        <v/>
      </c>
      <c r="T1773" s="43">
        <f>IF($A1773=1,IF($R1773=1,N($N1773),0),"")</f>
        <v/>
      </c>
      <c r="U1773" s="32">
        <f>IF($A1773=1,YEAR($D1773)*100+MONTH($D1773),"")</f>
        <v/>
      </c>
      <c r="V1773" s="32">
        <f>IF($A1773=1,IF(COUNTIF(COA!$A:$A,$G1773)=0,0,INDEX(COA!$H:$H,MATCH($G1773,COA!$A:$A,0))),"")</f>
        <v/>
      </c>
      <c r="W1773" s="32">
        <f>IF($A1773=1,IF(Manual_JE!$L29="","",Manual_JE!$L29),"")</f>
        <v/>
      </c>
      <c r="X1773" s="32">
        <f>IF($A1773=1,IF($R1773=1,"",IF($O1773=ST_POST,IF($P1773&lt;&gt;"",$P1773,"حساب غير صالح أو غير نشط"),IF($O1773=ST_REV,"معكوس: لا أثر على الدفاتر",IF($O1773=ST_CANC,"ملغى",IF($O1773=ST_APPR,"معتمد ولم يُرحَّل","مسودة"))))),"")</f>
        <v/>
      </c>
      <c r="Y1773" s="32">
        <f>IF($A1773=1,IF(AND($R1773=1,OR(LG_Acct="",$G1773=LG_Acct),OR(LG_Party="",$K1773=LG_Party),OR(LG_Loc="ALL",$I1773=LG_Loc),OR(LG_CC="ALL",$J1773=LG_CC),$D1773&gt;=LG_From,$D1773&lt;=LG_To),$D1773+ROW()/1000000,""),"")</f>
        <v/>
      </c>
      <c r="Z1773" s="32">
        <f>IF($A1773=1,IF(Manual_JE!$N29="","",Manual_JE!$N29),"")</f>
        <v/>
      </c>
      <c r="AA1773" s="32">
        <f>IF($A1773=1,IF(Manual_JE!$O29="","",Manual_JE!$O29),"")</f>
        <v/>
      </c>
      <c r="AB1773" s="32">
        <f>IF($A1773=1,IF(Manual_JE!$P29="","",Manual_JE!$P29),"")</f>
        <v/>
      </c>
      <c r="AC1773" s="32">
        <f>IF($A1773=1,IF(Manual_JE!$Q29="","",Manual_JE!$Q29),"")</f>
        <v/>
      </c>
      <c r="AD1773" s="32">
        <f>IF($A1773=1,IF(Manual_JE!$R29="","",Manual_JE!$R29),"")</f>
        <v/>
      </c>
      <c r="AE1773" s="32">
        <f>IF($A1773=1,IF(Manual_JE!$D29="إقفال",1,0),"")</f>
        <v/>
      </c>
      <c r="AF1773" s="32" t="inlineStr"/>
    </row>
    <row r="1774">
      <c r="A1774" s="32">
        <f>IF(Manual_JE!$U30=1,1,0)</f>
        <v/>
      </c>
      <c r="B1774" s="32">
        <f>IF($A1774=1,$E1774&amp;"/1","")</f>
        <v/>
      </c>
      <c r="C1774" s="32">
        <f>IF($A1774=1,IF(Manual_JE!$A30="","",Manual_JE!$A30),"")</f>
        <v/>
      </c>
      <c r="D1774" s="33">
        <f>IF($A1774=1,Manual_JE!$B30,"")</f>
        <v/>
      </c>
      <c r="E1774" s="32">
        <f>IF($A1774=1,IF(Manual_JE!$A30="","",Manual_JE!$A30),"")</f>
        <v/>
      </c>
      <c r="F1774" s="32">
        <f>IF($A1774=1,"MJE","")</f>
        <v/>
      </c>
      <c r="G1774" s="32">
        <f>IF($A1774=1,IF(Manual_JE!$E30="","",Manual_JE!$E30),"")</f>
        <v/>
      </c>
      <c r="H1774" s="32">
        <f>IF($A1774=1,IF(COUNTIF(COA!$A:$A,$G1774)=0,"حساب غير معرف",INDEX(COA!$B:$B,MATCH($G1774,COA!$A:$A,0))),"")</f>
        <v/>
      </c>
      <c r="I1774" s="32">
        <f>IF($A1774=1,IF(Manual_JE!$F30="","",Manual_JE!$F30),"")</f>
        <v/>
      </c>
      <c r="J1774" s="32">
        <f>IF($A1774=1,IF(Manual_JE!$G30="","CC00",Manual_JE!$G30),"")</f>
        <v/>
      </c>
      <c r="K1774" s="32">
        <f>IF($A1774=1,IF(Manual_JE!$H30="","-",Manual_JE!$H30),"")</f>
        <v/>
      </c>
      <c r="L1774" s="32">
        <f>IF($A1774=1,IF(Manual_JE!$I30="","",Manual_JE!$I30),"")</f>
        <v/>
      </c>
      <c r="M1774" s="43">
        <f>IF($A1774=1,N(Manual_JE!$J30),"")</f>
        <v/>
      </c>
      <c r="N1774" s="43">
        <f>IF($A1774=1,N(Manual_JE!$K30),"")</f>
        <v/>
      </c>
      <c r="O1774" s="32">
        <f>IF($A1774=1,Manual_JE!$M30,"")</f>
        <v/>
      </c>
      <c r="P1774" s="32">
        <f>IF($A1774=1,IF(Manual_JE!$AE30="","",Manual_JE!$AE30),"")</f>
        <v/>
      </c>
      <c r="Q1774" s="32">
        <f>IF($A1774=1,Manual_JE!$AG30,"")</f>
        <v/>
      </c>
      <c r="R1774" s="32">
        <f>IF($A1774=1,IF(AND($Q1774=1,COUNTIFS(COA!$A:$A,$G1774,COA!$R:$R,1)=1),1,0),"")</f>
        <v/>
      </c>
      <c r="S1774" s="43">
        <f>IF($A1774=1,IF($R1774=1,N($M1774),0),"")</f>
        <v/>
      </c>
      <c r="T1774" s="43">
        <f>IF($A1774=1,IF($R1774=1,N($N1774),0),"")</f>
        <v/>
      </c>
      <c r="U1774" s="32">
        <f>IF($A1774=1,YEAR($D1774)*100+MONTH($D1774),"")</f>
        <v/>
      </c>
      <c r="V1774" s="32">
        <f>IF($A1774=1,IF(COUNTIF(COA!$A:$A,$G1774)=0,0,INDEX(COA!$H:$H,MATCH($G1774,COA!$A:$A,0))),"")</f>
        <v/>
      </c>
      <c r="W1774" s="32">
        <f>IF($A1774=1,IF(Manual_JE!$L30="","",Manual_JE!$L30),"")</f>
        <v/>
      </c>
      <c r="X1774" s="32">
        <f>IF($A1774=1,IF($R1774=1,"",IF($O1774=ST_POST,IF($P1774&lt;&gt;"",$P1774,"حساب غير صالح أو غير نشط"),IF($O1774=ST_REV,"معكوس: لا أثر على الدفاتر",IF($O1774=ST_CANC,"ملغى",IF($O1774=ST_APPR,"معتمد ولم يُرحَّل","مسودة"))))),"")</f>
        <v/>
      </c>
      <c r="Y1774" s="32">
        <f>IF($A1774=1,IF(AND($R1774=1,OR(LG_Acct="",$G1774=LG_Acct),OR(LG_Party="",$K1774=LG_Party),OR(LG_Loc="ALL",$I1774=LG_Loc),OR(LG_CC="ALL",$J1774=LG_CC),$D1774&gt;=LG_From,$D1774&lt;=LG_To),$D1774+ROW()/1000000,""),"")</f>
        <v/>
      </c>
      <c r="Z1774" s="32">
        <f>IF($A1774=1,IF(Manual_JE!$N30="","",Manual_JE!$N30),"")</f>
        <v/>
      </c>
      <c r="AA1774" s="32">
        <f>IF($A1774=1,IF(Manual_JE!$O30="","",Manual_JE!$O30),"")</f>
        <v/>
      </c>
      <c r="AB1774" s="32">
        <f>IF($A1774=1,IF(Manual_JE!$P30="","",Manual_JE!$P30),"")</f>
        <v/>
      </c>
      <c r="AC1774" s="32">
        <f>IF($A1774=1,IF(Manual_JE!$Q30="","",Manual_JE!$Q30),"")</f>
        <v/>
      </c>
      <c r="AD1774" s="32">
        <f>IF($A1774=1,IF(Manual_JE!$R30="","",Manual_JE!$R30),"")</f>
        <v/>
      </c>
      <c r="AE1774" s="32">
        <f>IF($A1774=1,IF(Manual_JE!$D30="إقفال",1,0),"")</f>
        <v/>
      </c>
      <c r="AF1774" s="32" t="inlineStr"/>
    </row>
    <row r="1775">
      <c r="A1775" s="32">
        <f>IF(Manual_JE!$U31=1,1,0)</f>
        <v/>
      </c>
      <c r="B1775" s="32">
        <f>IF($A1775=1,$E1775&amp;"/1","")</f>
        <v/>
      </c>
      <c r="C1775" s="32">
        <f>IF($A1775=1,IF(Manual_JE!$A31="","",Manual_JE!$A31),"")</f>
        <v/>
      </c>
      <c r="D1775" s="33">
        <f>IF($A1775=1,Manual_JE!$B31,"")</f>
        <v/>
      </c>
      <c r="E1775" s="32">
        <f>IF($A1775=1,IF(Manual_JE!$A31="","",Manual_JE!$A31),"")</f>
        <v/>
      </c>
      <c r="F1775" s="32">
        <f>IF($A1775=1,"MJE","")</f>
        <v/>
      </c>
      <c r="G1775" s="32">
        <f>IF($A1775=1,IF(Manual_JE!$E31="","",Manual_JE!$E31),"")</f>
        <v/>
      </c>
      <c r="H1775" s="32">
        <f>IF($A1775=1,IF(COUNTIF(COA!$A:$A,$G1775)=0,"حساب غير معرف",INDEX(COA!$B:$B,MATCH($G1775,COA!$A:$A,0))),"")</f>
        <v/>
      </c>
      <c r="I1775" s="32">
        <f>IF($A1775=1,IF(Manual_JE!$F31="","",Manual_JE!$F31),"")</f>
        <v/>
      </c>
      <c r="J1775" s="32">
        <f>IF($A1775=1,IF(Manual_JE!$G31="","CC00",Manual_JE!$G31),"")</f>
        <v/>
      </c>
      <c r="K1775" s="32">
        <f>IF($A1775=1,IF(Manual_JE!$H31="","-",Manual_JE!$H31),"")</f>
        <v/>
      </c>
      <c r="L1775" s="32">
        <f>IF($A1775=1,IF(Manual_JE!$I31="","",Manual_JE!$I31),"")</f>
        <v/>
      </c>
      <c r="M1775" s="43">
        <f>IF($A1775=1,N(Manual_JE!$J31),"")</f>
        <v/>
      </c>
      <c r="N1775" s="43">
        <f>IF($A1775=1,N(Manual_JE!$K31),"")</f>
        <v/>
      </c>
      <c r="O1775" s="32">
        <f>IF($A1775=1,Manual_JE!$M31,"")</f>
        <v/>
      </c>
      <c r="P1775" s="32">
        <f>IF($A1775=1,IF(Manual_JE!$AE31="","",Manual_JE!$AE31),"")</f>
        <v/>
      </c>
      <c r="Q1775" s="32">
        <f>IF($A1775=1,Manual_JE!$AG31,"")</f>
        <v/>
      </c>
      <c r="R1775" s="32">
        <f>IF($A1775=1,IF(AND($Q1775=1,COUNTIFS(COA!$A:$A,$G1775,COA!$R:$R,1)=1),1,0),"")</f>
        <v/>
      </c>
      <c r="S1775" s="43">
        <f>IF($A1775=1,IF($R1775=1,N($M1775),0),"")</f>
        <v/>
      </c>
      <c r="T1775" s="43">
        <f>IF($A1775=1,IF($R1775=1,N($N1775),0),"")</f>
        <v/>
      </c>
      <c r="U1775" s="32">
        <f>IF($A1775=1,YEAR($D1775)*100+MONTH($D1775),"")</f>
        <v/>
      </c>
      <c r="V1775" s="32">
        <f>IF($A1775=1,IF(COUNTIF(COA!$A:$A,$G1775)=0,0,INDEX(COA!$H:$H,MATCH($G1775,COA!$A:$A,0))),"")</f>
        <v/>
      </c>
      <c r="W1775" s="32">
        <f>IF($A1775=1,IF(Manual_JE!$L31="","",Manual_JE!$L31),"")</f>
        <v/>
      </c>
      <c r="X1775" s="32">
        <f>IF($A1775=1,IF($R1775=1,"",IF($O1775=ST_POST,IF($P1775&lt;&gt;"",$P1775,"حساب غير صالح أو غير نشط"),IF($O1775=ST_REV,"معكوس: لا أثر على الدفاتر",IF($O1775=ST_CANC,"ملغى",IF($O1775=ST_APPR,"معتمد ولم يُرحَّل","مسودة"))))),"")</f>
        <v/>
      </c>
      <c r="Y1775" s="32">
        <f>IF($A1775=1,IF(AND($R1775=1,OR(LG_Acct="",$G1775=LG_Acct),OR(LG_Party="",$K1775=LG_Party),OR(LG_Loc="ALL",$I1775=LG_Loc),OR(LG_CC="ALL",$J1775=LG_CC),$D1775&gt;=LG_From,$D1775&lt;=LG_To),$D1775+ROW()/1000000,""),"")</f>
        <v/>
      </c>
      <c r="Z1775" s="32">
        <f>IF($A1775=1,IF(Manual_JE!$N31="","",Manual_JE!$N31),"")</f>
        <v/>
      </c>
      <c r="AA1775" s="32">
        <f>IF($A1775=1,IF(Manual_JE!$O31="","",Manual_JE!$O31),"")</f>
        <v/>
      </c>
      <c r="AB1775" s="32">
        <f>IF($A1775=1,IF(Manual_JE!$P31="","",Manual_JE!$P31),"")</f>
        <v/>
      </c>
      <c r="AC1775" s="32">
        <f>IF($A1775=1,IF(Manual_JE!$Q31="","",Manual_JE!$Q31),"")</f>
        <v/>
      </c>
      <c r="AD1775" s="32">
        <f>IF($A1775=1,IF(Manual_JE!$R31="","",Manual_JE!$R31),"")</f>
        <v/>
      </c>
      <c r="AE1775" s="32">
        <f>IF($A1775=1,IF(Manual_JE!$D31="إقفال",1,0),"")</f>
        <v/>
      </c>
      <c r="AF1775" s="32" t="inlineStr"/>
    </row>
    <row r="1776">
      <c r="A1776" s="32">
        <f>IF(Manual_JE!$U32=1,1,0)</f>
        <v/>
      </c>
      <c r="B1776" s="32">
        <f>IF($A1776=1,$E1776&amp;"/1","")</f>
        <v/>
      </c>
      <c r="C1776" s="32">
        <f>IF($A1776=1,IF(Manual_JE!$A32="","",Manual_JE!$A32),"")</f>
        <v/>
      </c>
      <c r="D1776" s="33">
        <f>IF($A1776=1,Manual_JE!$B32,"")</f>
        <v/>
      </c>
      <c r="E1776" s="32">
        <f>IF($A1776=1,IF(Manual_JE!$A32="","",Manual_JE!$A32),"")</f>
        <v/>
      </c>
      <c r="F1776" s="32">
        <f>IF($A1776=1,"MJE","")</f>
        <v/>
      </c>
      <c r="G1776" s="32">
        <f>IF($A1776=1,IF(Manual_JE!$E32="","",Manual_JE!$E32),"")</f>
        <v/>
      </c>
      <c r="H1776" s="32">
        <f>IF($A1776=1,IF(COUNTIF(COA!$A:$A,$G1776)=0,"حساب غير معرف",INDEX(COA!$B:$B,MATCH($G1776,COA!$A:$A,0))),"")</f>
        <v/>
      </c>
      <c r="I1776" s="32">
        <f>IF($A1776=1,IF(Manual_JE!$F32="","",Manual_JE!$F32),"")</f>
        <v/>
      </c>
      <c r="J1776" s="32">
        <f>IF($A1776=1,IF(Manual_JE!$G32="","CC00",Manual_JE!$G32),"")</f>
        <v/>
      </c>
      <c r="K1776" s="32">
        <f>IF($A1776=1,IF(Manual_JE!$H32="","-",Manual_JE!$H32),"")</f>
        <v/>
      </c>
      <c r="L1776" s="32">
        <f>IF($A1776=1,IF(Manual_JE!$I32="","",Manual_JE!$I32),"")</f>
        <v/>
      </c>
      <c r="M1776" s="43">
        <f>IF($A1776=1,N(Manual_JE!$J32),"")</f>
        <v/>
      </c>
      <c r="N1776" s="43">
        <f>IF($A1776=1,N(Manual_JE!$K32),"")</f>
        <v/>
      </c>
      <c r="O1776" s="32">
        <f>IF($A1776=1,Manual_JE!$M32,"")</f>
        <v/>
      </c>
      <c r="P1776" s="32">
        <f>IF($A1776=1,IF(Manual_JE!$AE32="","",Manual_JE!$AE32),"")</f>
        <v/>
      </c>
      <c r="Q1776" s="32">
        <f>IF($A1776=1,Manual_JE!$AG32,"")</f>
        <v/>
      </c>
      <c r="R1776" s="32">
        <f>IF($A1776=1,IF(AND($Q1776=1,COUNTIFS(COA!$A:$A,$G1776,COA!$R:$R,1)=1),1,0),"")</f>
        <v/>
      </c>
      <c r="S1776" s="43">
        <f>IF($A1776=1,IF($R1776=1,N($M1776),0),"")</f>
        <v/>
      </c>
      <c r="T1776" s="43">
        <f>IF($A1776=1,IF($R1776=1,N($N1776),0),"")</f>
        <v/>
      </c>
      <c r="U1776" s="32">
        <f>IF($A1776=1,YEAR($D1776)*100+MONTH($D1776),"")</f>
        <v/>
      </c>
      <c r="V1776" s="32">
        <f>IF($A1776=1,IF(COUNTIF(COA!$A:$A,$G1776)=0,0,INDEX(COA!$H:$H,MATCH($G1776,COA!$A:$A,0))),"")</f>
        <v/>
      </c>
      <c r="W1776" s="32">
        <f>IF($A1776=1,IF(Manual_JE!$L32="","",Manual_JE!$L32),"")</f>
        <v/>
      </c>
      <c r="X1776" s="32">
        <f>IF($A1776=1,IF($R1776=1,"",IF($O1776=ST_POST,IF($P1776&lt;&gt;"",$P1776,"حساب غير صالح أو غير نشط"),IF($O1776=ST_REV,"معكوس: لا أثر على الدفاتر",IF($O1776=ST_CANC,"ملغى",IF($O1776=ST_APPR,"معتمد ولم يُرحَّل","مسودة"))))),"")</f>
        <v/>
      </c>
      <c r="Y1776" s="32">
        <f>IF($A1776=1,IF(AND($R1776=1,OR(LG_Acct="",$G1776=LG_Acct),OR(LG_Party="",$K1776=LG_Party),OR(LG_Loc="ALL",$I1776=LG_Loc),OR(LG_CC="ALL",$J1776=LG_CC),$D1776&gt;=LG_From,$D1776&lt;=LG_To),$D1776+ROW()/1000000,""),"")</f>
        <v/>
      </c>
      <c r="Z1776" s="32">
        <f>IF($A1776=1,IF(Manual_JE!$N32="","",Manual_JE!$N32),"")</f>
        <v/>
      </c>
      <c r="AA1776" s="32">
        <f>IF($A1776=1,IF(Manual_JE!$O32="","",Manual_JE!$O32),"")</f>
        <v/>
      </c>
      <c r="AB1776" s="32">
        <f>IF($A1776=1,IF(Manual_JE!$P32="","",Manual_JE!$P32),"")</f>
        <v/>
      </c>
      <c r="AC1776" s="32">
        <f>IF($A1776=1,IF(Manual_JE!$Q32="","",Manual_JE!$Q32),"")</f>
        <v/>
      </c>
      <c r="AD1776" s="32">
        <f>IF($A1776=1,IF(Manual_JE!$R32="","",Manual_JE!$R32),"")</f>
        <v/>
      </c>
      <c r="AE1776" s="32">
        <f>IF($A1776=1,IF(Manual_JE!$D32="إقفال",1,0),"")</f>
        <v/>
      </c>
      <c r="AF1776" s="32" t="inlineStr"/>
    </row>
    <row r="1777">
      <c r="A1777" s="32">
        <f>IF(Manual_JE!$U33=1,1,0)</f>
        <v/>
      </c>
      <c r="B1777" s="32">
        <f>IF($A1777=1,$E1777&amp;"/1","")</f>
        <v/>
      </c>
      <c r="C1777" s="32">
        <f>IF($A1777=1,IF(Manual_JE!$A33="","",Manual_JE!$A33),"")</f>
        <v/>
      </c>
      <c r="D1777" s="33">
        <f>IF($A1777=1,Manual_JE!$B33,"")</f>
        <v/>
      </c>
      <c r="E1777" s="32">
        <f>IF($A1777=1,IF(Manual_JE!$A33="","",Manual_JE!$A33),"")</f>
        <v/>
      </c>
      <c r="F1777" s="32">
        <f>IF($A1777=1,"MJE","")</f>
        <v/>
      </c>
      <c r="G1777" s="32">
        <f>IF($A1777=1,IF(Manual_JE!$E33="","",Manual_JE!$E33),"")</f>
        <v/>
      </c>
      <c r="H1777" s="32">
        <f>IF($A1777=1,IF(COUNTIF(COA!$A:$A,$G1777)=0,"حساب غير معرف",INDEX(COA!$B:$B,MATCH($G1777,COA!$A:$A,0))),"")</f>
        <v/>
      </c>
      <c r="I1777" s="32">
        <f>IF($A1777=1,IF(Manual_JE!$F33="","",Manual_JE!$F33),"")</f>
        <v/>
      </c>
      <c r="J1777" s="32">
        <f>IF($A1777=1,IF(Manual_JE!$G33="","CC00",Manual_JE!$G33),"")</f>
        <v/>
      </c>
      <c r="K1777" s="32">
        <f>IF($A1777=1,IF(Manual_JE!$H33="","-",Manual_JE!$H33),"")</f>
        <v/>
      </c>
      <c r="L1777" s="32">
        <f>IF($A1777=1,IF(Manual_JE!$I33="","",Manual_JE!$I33),"")</f>
        <v/>
      </c>
      <c r="M1777" s="43">
        <f>IF($A1777=1,N(Manual_JE!$J33),"")</f>
        <v/>
      </c>
      <c r="N1777" s="43">
        <f>IF($A1777=1,N(Manual_JE!$K33),"")</f>
        <v/>
      </c>
      <c r="O1777" s="32">
        <f>IF($A1777=1,Manual_JE!$M33,"")</f>
        <v/>
      </c>
      <c r="P1777" s="32">
        <f>IF($A1777=1,IF(Manual_JE!$AE33="","",Manual_JE!$AE33),"")</f>
        <v/>
      </c>
      <c r="Q1777" s="32">
        <f>IF($A1777=1,Manual_JE!$AG33,"")</f>
        <v/>
      </c>
      <c r="R1777" s="32">
        <f>IF($A1777=1,IF(AND($Q1777=1,COUNTIFS(COA!$A:$A,$G1777,COA!$R:$R,1)=1),1,0),"")</f>
        <v/>
      </c>
      <c r="S1777" s="43">
        <f>IF($A1777=1,IF($R1777=1,N($M1777),0),"")</f>
        <v/>
      </c>
      <c r="T1777" s="43">
        <f>IF($A1777=1,IF($R1777=1,N($N1777),0),"")</f>
        <v/>
      </c>
      <c r="U1777" s="32">
        <f>IF($A1777=1,YEAR($D1777)*100+MONTH($D1777),"")</f>
        <v/>
      </c>
      <c r="V1777" s="32">
        <f>IF($A1777=1,IF(COUNTIF(COA!$A:$A,$G1777)=0,0,INDEX(COA!$H:$H,MATCH($G1777,COA!$A:$A,0))),"")</f>
        <v/>
      </c>
      <c r="W1777" s="32">
        <f>IF($A1777=1,IF(Manual_JE!$L33="","",Manual_JE!$L33),"")</f>
        <v/>
      </c>
      <c r="X1777" s="32">
        <f>IF($A1777=1,IF($R1777=1,"",IF($O1777=ST_POST,IF($P1777&lt;&gt;"",$P1777,"حساب غير صالح أو غير نشط"),IF($O1777=ST_REV,"معكوس: لا أثر على الدفاتر",IF($O1777=ST_CANC,"ملغى",IF($O1777=ST_APPR,"معتمد ولم يُرحَّل","مسودة"))))),"")</f>
        <v/>
      </c>
      <c r="Y1777" s="32">
        <f>IF($A1777=1,IF(AND($R1777=1,OR(LG_Acct="",$G1777=LG_Acct),OR(LG_Party="",$K1777=LG_Party),OR(LG_Loc="ALL",$I1777=LG_Loc),OR(LG_CC="ALL",$J1777=LG_CC),$D1777&gt;=LG_From,$D1777&lt;=LG_To),$D1777+ROW()/1000000,""),"")</f>
        <v/>
      </c>
      <c r="Z1777" s="32">
        <f>IF($A1777=1,IF(Manual_JE!$N33="","",Manual_JE!$N33),"")</f>
        <v/>
      </c>
      <c r="AA1777" s="32">
        <f>IF($A1777=1,IF(Manual_JE!$O33="","",Manual_JE!$O33),"")</f>
        <v/>
      </c>
      <c r="AB1777" s="32">
        <f>IF($A1777=1,IF(Manual_JE!$P33="","",Manual_JE!$P33),"")</f>
        <v/>
      </c>
      <c r="AC1777" s="32">
        <f>IF($A1777=1,IF(Manual_JE!$Q33="","",Manual_JE!$Q33),"")</f>
        <v/>
      </c>
      <c r="AD1777" s="32">
        <f>IF($A1777=1,IF(Manual_JE!$R33="","",Manual_JE!$R33),"")</f>
        <v/>
      </c>
      <c r="AE1777" s="32">
        <f>IF($A1777=1,IF(Manual_JE!$D33="إقفال",1,0),"")</f>
        <v/>
      </c>
      <c r="AF1777" s="32" t="inlineStr"/>
    </row>
    <row r="1778">
      <c r="A1778" s="32">
        <f>IF(Manual_JE!$U34=1,1,0)</f>
        <v/>
      </c>
      <c r="B1778" s="32">
        <f>IF($A1778=1,$E1778&amp;"/1","")</f>
        <v/>
      </c>
      <c r="C1778" s="32">
        <f>IF($A1778=1,IF(Manual_JE!$A34="","",Manual_JE!$A34),"")</f>
        <v/>
      </c>
      <c r="D1778" s="33">
        <f>IF($A1778=1,Manual_JE!$B34,"")</f>
        <v/>
      </c>
      <c r="E1778" s="32">
        <f>IF($A1778=1,IF(Manual_JE!$A34="","",Manual_JE!$A34),"")</f>
        <v/>
      </c>
      <c r="F1778" s="32">
        <f>IF($A1778=1,"MJE","")</f>
        <v/>
      </c>
      <c r="G1778" s="32">
        <f>IF($A1778=1,IF(Manual_JE!$E34="","",Manual_JE!$E34),"")</f>
        <v/>
      </c>
      <c r="H1778" s="32">
        <f>IF($A1778=1,IF(COUNTIF(COA!$A:$A,$G1778)=0,"حساب غير معرف",INDEX(COA!$B:$B,MATCH($G1778,COA!$A:$A,0))),"")</f>
        <v/>
      </c>
      <c r="I1778" s="32">
        <f>IF($A1778=1,IF(Manual_JE!$F34="","",Manual_JE!$F34),"")</f>
        <v/>
      </c>
      <c r="J1778" s="32">
        <f>IF($A1778=1,IF(Manual_JE!$G34="","CC00",Manual_JE!$G34),"")</f>
        <v/>
      </c>
      <c r="K1778" s="32">
        <f>IF($A1778=1,IF(Manual_JE!$H34="","-",Manual_JE!$H34),"")</f>
        <v/>
      </c>
      <c r="L1778" s="32">
        <f>IF($A1778=1,IF(Manual_JE!$I34="","",Manual_JE!$I34),"")</f>
        <v/>
      </c>
      <c r="M1778" s="43">
        <f>IF($A1778=1,N(Manual_JE!$J34),"")</f>
        <v/>
      </c>
      <c r="N1778" s="43">
        <f>IF($A1778=1,N(Manual_JE!$K34),"")</f>
        <v/>
      </c>
      <c r="O1778" s="32">
        <f>IF($A1778=1,Manual_JE!$M34,"")</f>
        <v/>
      </c>
      <c r="P1778" s="32">
        <f>IF($A1778=1,IF(Manual_JE!$AE34="","",Manual_JE!$AE34),"")</f>
        <v/>
      </c>
      <c r="Q1778" s="32">
        <f>IF($A1778=1,Manual_JE!$AG34,"")</f>
        <v/>
      </c>
      <c r="R1778" s="32">
        <f>IF($A1778=1,IF(AND($Q1778=1,COUNTIFS(COA!$A:$A,$G1778,COA!$R:$R,1)=1),1,0),"")</f>
        <v/>
      </c>
      <c r="S1778" s="43">
        <f>IF($A1778=1,IF($R1778=1,N($M1778),0),"")</f>
        <v/>
      </c>
      <c r="T1778" s="43">
        <f>IF($A1778=1,IF($R1778=1,N($N1778),0),"")</f>
        <v/>
      </c>
      <c r="U1778" s="32">
        <f>IF($A1778=1,YEAR($D1778)*100+MONTH($D1778),"")</f>
        <v/>
      </c>
      <c r="V1778" s="32">
        <f>IF($A1778=1,IF(COUNTIF(COA!$A:$A,$G1778)=0,0,INDEX(COA!$H:$H,MATCH($G1778,COA!$A:$A,0))),"")</f>
        <v/>
      </c>
      <c r="W1778" s="32">
        <f>IF($A1778=1,IF(Manual_JE!$L34="","",Manual_JE!$L34),"")</f>
        <v/>
      </c>
      <c r="X1778" s="32">
        <f>IF($A1778=1,IF($R1778=1,"",IF($O1778=ST_POST,IF($P1778&lt;&gt;"",$P1778,"حساب غير صالح أو غير نشط"),IF($O1778=ST_REV,"معكوس: لا أثر على الدفاتر",IF($O1778=ST_CANC,"ملغى",IF($O1778=ST_APPR,"معتمد ولم يُرحَّل","مسودة"))))),"")</f>
        <v/>
      </c>
      <c r="Y1778" s="32">
        <f>IF($A1778=1,IF(AND($R1778=1,OR(LG_Acct="",$G1778=LG_Acct),OR(LG_Party="",$K1778=LG_Party),OR(LG_Loc="ALL",$I1778=LG_Loc),OR(LG_CC="ALL",$J1778=LG_CC),$D1778&gt;=LG_From,$D1778&lt;=LG_To),$D1778+ROW()/1000000,""),"")</f>
        <v/>
      </c>
      <c r="Z1778" s="32">
        <f>IF($A1778=1,IF(Manual_JE!$N34="","",Manual_JE!$N34),"")</f>
        <v/>
      </c>
      <c r="AA1778" s="32">
        <f>IF($A1778=1,IF(Manual_JE!$O34="","",Manual_JE!$O34),"")</f>
        <v/>
      </c>
      <c r="AB1778" s="32">
        <f>IF($A1778=1,IF(Manual_JE!$P34="","",Manual_JE!$P34),"")</f>
        <v/>
      </c>
      <c r="AC1778" s="32">
        <f>IF($A1778=1,IF(Manual_JE!$Q34="","",Manual_JE!$Q34),"")</f>
        <v/>
      </c>
      <c r="AD1778" s="32">
        <f>IF($A1778=1,IF(Manual_JE!$R34="","",Manual_JE!$R34),"")</f>
        <v/>
      </c>
      <c r="AE1778" s="32">
        <f>IF($A1778=1,IF(Manual_JE!$D34="إقفال",1,0),"")</f>
        <v/>
      </c>
      <c r="AF1778" s="32" t="inlineStr"/>
    </row>
    <row r="1779">
      <c r="A1779" s="32">
        <f>IF(Manual_JE!$U35=1,1,0)</f>
        <v/>
      </c>
      <c r="B1779" s="32">
        <f>IF($A1779=1,$E1779&amp;"/1","")</f>
        <v/>
      </c>
      <c r="C1779" s="32">
        <f>IF($A1779=1,IF(Manual_JE!$A35="","",Manual_JE!$A35),"")</f>
        <v/>
      </c>
      <c r="D1779" s="33">
        <f>IF($A1779=1,Manual_JE!$B35,"")</f>
        <v/>
      </c>
      <c r="E1779" s="32">
        <f>IF($A1779=1,IF(Manual_JE!$A35="","",Manual_JE!$A35),"")</f>
        <v/>
      </c>
      <c r="F1779" s="32">
        <f>IF($A1779=1,"MJE","")</f>
        <v/>
      </c>
      <c r="G1779" s="32">
        <f>IF($A1779=1,IF(Manual_JE!$E35="","",Manual_JE!$E35),"")</f>
        <v/>
      </c>
      <c r="H1779" s="32">
        <f>IF($A1779=1,IF(COUNTIF(COA!$A:$A,$G1779)=0,"حساب غير معرف",INDEX(COA!$B:$B,MATCH($G1779,COA!$A:$A,0))),"")</f>
        <v/>
      </c>
      <c r="I1779" s="32">
        <f>IF($A1779=1,IF(Manual_JE!$F35="","",Manual_JE!$F35),"")</f>
        <v/>
      </c>
      <c r="J1779" s="32">
        <f>IF($A1779=1,IF(Manual_JE!$G35="","CC00",Manual_JE!$G35),"")</f>
        <v/>
      </c>
      <c r="K1779" s="32">
        <f>IF($A1779=1,IF(Manual_JE!$H35="","-",Manual_JE!$H35),"")</f>
        <v/>
      </c>
      <c r="L1779" s="32">
        <f>IF($A1779=1,IF(Manual_JE!$I35="","",Manual_JE!$I35),"")</f>
        <v/>
      </c>
      <c r="M1779" s="43">
        <f>IF($A1779=1,N(Manual_JE!$J35),"")</f>
        <v/>
      </c>
      <c r="N1779" s="43">
        <f>IF($A1779=1,N(Manual_JE!$K35),"")</f>
        <v/>
      </c>
      <c r="O1779" s="32">
        <f>IF($A1779=1,Manual_JE!$M35,"")</f>
        <v/>
      </c>
      <c r="P1779" s="32">
        <f>IF($A1779=1,IF(Manual_JE!$AE35="","",Manual_JE!$AE35),"")</f>
        <v/>
      </c>
      <c r="Q1779" s="32">
        <f>IF($A1779=1,Manual_JE!$AG35,"")</f>
        <v/>
      </c>
      <c r="R1779" s="32">
        <f>IF($A1779=1,IF(AND($Q1779=1,COUNTIFS(COA!$A:$A,$G1779,COA!$R:$R,1)=1),1,0),"")</f>
        <v/>
      </c>
      <c r="S1779" s="43">
        <f>IF($A1779=1,IF($R1779=1,N($M1779),0),"")</f>
        <v/>
      </c>
      <c r="T1779" s="43">
        <f>IF($A1779=1,IF($R1779=1,N($N1779),0),"")</f>
        <v/>
      </c>
      <c r="U1779" s="32">
        <f>IF($A1779=1,YEAR($D1779)*100+MONTH($D1779),"")</f>
        <v/>
      </c>
      <c r="V1779" s="32">
        <f>IF($A1779=1,IF(COUNTIF(COA!$A:$A,$G1779)=0,0,INDEX(COA!$H:$H,MATCH($G1779,COA!$A:$A,0))),"")</f>
        <v/>
      </c>
      <c r="W1779" s="32">
        <f>IF($A1779=1,IF(Manual_JE!$L35="","",Manual_JE!$L35),"")</f>
        <v/>
      </c>
      <c r="X1779" s="32">
        <f>IF($A1779=1,IF($R1779=1,"",IF($O1779=ST_POST,IF($P1779&lt;&gt;"",$P1779,"حساب غير صالح أو غير نشط"),IF($O1779=ST_REV,"معكوس: لا أثر على الدفاتر",IF($O1779=ST_CANC,"ملغى",IF($O1779=ST_APPR,"معتمد ولم يُرحَّل","مسودة"))))),"")</f>
        <v/>
      </c>
      <c r="Y1779" s="32">
        <f>IF($A1779=1,IF(AND($R1779=1,OR(LG_Acct="",$G1779=LG_Acct),OR(LG_Party="",$K1779=LG_Party),OR(LG_Loc="ALL",$I1779=LG_Loc),OR(LG_CC="ALL",$J1779=LG_CC),$D1779&gt;=LG_From,$D1779&lt;=LG_To),$D1779+ROW()/1000000,""),"")</f>
        <v/>
      </c>
      <c r="Z1779" s="32">
        <f>IF($A1779=1,IF(Manual_JE!$N35="","",Manual_JE!$N35),"")</f>
        <v/>
      </c>
      <c r="AA1779" s="32">
        <f>IF($A1779=1,IF(Manual_JE!$O35="","",Manual_JE!$O35),"")</f>
        <v/>
      </c>
      <c r="AB1779" s="32">
        <f>IF($A1779=1,IF(Manual_JE!$P35="","",Manual_JE!$P35),"")</f>
        <v/>
      </c>
      <c r="AC1779" s="32">
        <f>IF($A1779=1,IF(Manual_JE!$Q35="","",Manual_JE!$Q35),"")</f>
        <v/>
      </c>
      <c r="AD1779" s="32">
        <f>IF($A1779=1,IF(Manual_JE!$R35="","",Manual_JE!$R35),"")</f>
        <v/>
      </c>
      <c r="AE1779" s="32">
        <f>IF($A1779=1,IF(Manual_JE!$D35="إقفال",1,0),"")</f>
        <v/>
      </c>
      <c r="AF1779" s="32" t="inlineStr"/>
    </row>
    <row r="1780">
      <c r="A1780" s="32">
        <f>IF(Manual_JE!$U36=1,1,0)</f>
        <v/>
      </c>
      <c r="B1780" s="32">
        <f>IF($A1780=1,$E1780&amp;"/1","")</f>
        <v/>
      </c>
      <c r="C1780" s="32">
        <f>IF($A1780=1,IF(Manual_JE!$A36="","",Manual_JE!$A36),"")</f>
        <v/>
      </c>
      <c r="D1780" s="33">
        <f>IF($A1780=1,Manual_JE!$B36,"")</f>
        <v/>
      </c>
      <c r="E1780" s="32">
        <f>IF($A1780=1,IF(Manual_JE!$A36="","",Manual_JE!$A36),"")</f>
        <v/>
      </c>
      <c r="F1780" s="32">
        <f>IF($A1780=1,"MJE","")</f>
        <v/>
      </c>
      <c r="G1780" s="32">
        <f>IF($A1780=1,IF(Manual_JE!$E36="","",Manual_JE!$E36),"")</f>
        <v/>
      </c>
      <c r="H1780" s="32">
        <f>IF($A1780=1,IF(COUNTIF(COA!$A:$A,$G1780)=0,"حساب غير معرف",INDEX(COA!$B:$B,MATCH($G1780,COA!$A:$A,0))),"")</f>
        <v/>
      </c>
      <c r="I1780" s="32">
        <f>IF($A1780=1,IF(Manual_JE!$F36="","",Manual_JE!$F36),"")</f>
        <v/>
      </c>
      <c r="J1780" s="32">
        <f>IF($A1780=1,IF(Manual_JE!$G36="","CC00",Manual_JE!$G36),"")</f>
        <v/>
      </c>
      <c r="K1780" s="32">
        <f>IF($A1780=1,IF(Manual_JE!$H36="","-",Manual_JE!$H36),"")</f>
        <v/>
      </c>
      <c r="L1780" s="32">
        <f>IF($A1780=1,IF(Manual_JE!$I36="","",Manual_JE!$I36),"")</f>
        <v/>
      </c>
      <c r="M1780" s="43">
        <f>IF($A1780=1,N(Manual_JE!$J36),"")</f>
        <v/>
      </c>
      <c r="N1780" s="43">
        <f>IF($A1780=1,N(Manual_JE!$K36),"")</f>
        <v/>
      </c>
      <c r="O1780" s="32">
        <f>IF($A1780=1,Manual_JE!$M36,"")</f>
        <v/>
      </c>
      <c r="P1780" s="32">
        <f>IF($A1780=1,IF(Manual_JE!$AE36="","",Manual_JE!$AE36),"")</f>
        <v/>
      </c>
      <c r="Q1780" s="32">
        <f>IF($A1780=1,Manual_JE!$AG36,"")</f>
        <v/>
      </c>
      <c r="R1780" s="32">
        <f>IF($A1780=1,IF(AND($Q1780=1,COUNTIFS(COA!$A:$A,$G1780,COA!$R:$R,1)=1),1,0),"")</f>
        <v/>
      </c>
      <c r="S1780" s="43">
        <f>IF($A1780=1,IF($R1780=1,N($M1780),0),"")</f>
        <v/>
      </c>
      <c r="T1780" s="43">
        <f>IF($A1780=1,IF($R1780=1,N($N1780),0),"")</f>
        <v/>
      </c>
      <c r="U1780" s="32">
        <f>IF($A1780=1,YEAR($D1780)*100+MONTH($D1780),"")</f>
        <v/>
      </c>
      <c r="V1780" s="32">
        <f>IF($A1780=1,IF(COUNTIF(COA!$A:$A,$G1780)=0,0,INDEX(COA!$H:$H,MATCH($G1780,COA!$A:$A,0))),"")</f>
        <v/>
      </c>
      <c r="W1780" s="32">
        <f>IF($A1780=1,IF(Manual_JE!$L36="","",Manual_JE!$L36),"")</f>
        <v/>
      </c>
      <c r="X1780" s="32">
        <f>IF($A1780=1,IF($R1780=1,"",IF($O1780=ST_POST,IF($P1780&lt;&gt;"",$P1780,"حساب غير صالح أو غير نشط"),IF($O1780=ST_REV,"معكوس: لا أثر على الدفاتر",IF($O1780=ST_CANC,"ملغى",IF($O1780=ST_APPR,"معتمد ولم يُرحَّل","مسودة"))))),"")</f>
        <v/>
      </c>
      <c r="Y1780" s="32">
        <f>IF($A1780=1,IF(AND($R1780=1,OR(LG_Acct="",$G1780=LG_Acct),OR(LG_Party="",$K1780=LG_Party),OR(LG_Loc="ALL",$I1780=LG_Loc),OR(LG_CC="ALL",$J1780=LG_CC),$D1780&gt;=LG_From,$D1780&lt;=LG_To),$D1780+ROW()/1000000,""),"")</f>
        <v/>
      </c>
      <c r="Z1780" s="32">
        <f>IF($A1780=1,IF(Manual_JE!$N36="","",Manual_JE!$N36),"")</f>
        <v/>
      </c>
      <c r="AA1780" s="32">
        <f>IF($A1780=1,IF(Manual_JE!$O36="","",Manual_JE!$O36),"")</f>
        <v/>
      </c>
      <c r="AB1780" s="32">
        <f>IF($A1780=1,IF(Manual_JE!$P36="","",Manual_JE!$P36),"")</f>
        <v/>
      </c>
      <c r="AC1780" s="32">
        <f>IF($A1780=1,IF(Manual_JE!$Q36="","",Manual_JE!$Q36),"")</f>
        <v/>
      </c>
      <c r="AD1780" s="32">
        <f>IF($A1780=1,IF(Manual_JE!$R36="","",Manual_JE!$R36),"")</f>
        <v/>
      </c>
      <c r="AE1780" s="32">
        <f>IF($A1780=1,IF(Manual_JE!$D36="إقفال",1,0),"")</f>
        <v/>
      </c>
      <c r="AF1780" s="32" t="inlineStr"/>
    </row>
    <row r="1781">
      <c r="A1781" s="32">
        <f>IF(Manual_JE!$U37=1,1,0)</f>
        <v/>
      </c>
      <c r="B1781" s="32">
        <f>IF($A1781=1,$E1781&amp;"/1","")</f>
        <v/>
      </c>
      <c r="C1781" s="32">
        <f>IF($A1781=1,IF(Manual_JE!$A37="","",Manual_JE!$A37),"")</f>
        <v/>
      </c>
      <c r="D1781" s="33">
        <f>IF($A1781=1,Manual_JE!$B37,"")</f>
        <v/>
      </c>
      <c r="E1781" s="32">
        <f>IF($A1781=1,IF(Manual_JE!$A37="","",Manual_JE!$A37),"")</f>
        <v/>
      </c>
      <c r="F1781" s="32">
        <f>IF($A1781=1,"MJE","")</f>
        <v/>
      </c>
      <c r="G1781" s="32">
        <f>IF($A1781=1,IF(Manual_JE!$E37="","",Manual_JE!$E37),"")</f>
        <v/>
      </c>
      <c r="H1781" s="32">
        <f>IF($A1781=1,IF(COUNTIF(COA!$A:$A,$G1781)=0,"حساب غير معرف",INDEX(COA!$B:$B,MATCH($G1781,COA!$A:$A,0))),"")</f>
        <v/>
      </c>
      <c r="I1781" s="32">
        <f>IF($A1781=1,IF(Manual_JE!$F37="","",Manual_JE!$F37),"")</f>
        <v/>
      </c>
      <c r="J1781" s="32">
        <f>IF($A1781=1,IF(Manual_JE!$G37="","CC00",Manual_JE!$G37),"")</f>
        <v/>
      </c>
      <c r="K1781" s="32">
        <f>IF($A1781=1,IF(Manual_JE!$H37="","-",Manual_JE!$H37),"")</f>
        <v/>
      </c>
      <c r="L1781" s="32">
        <f>IF($A1781=1,IF(Manual_JE!$I37="","",Manual_JE!$I37),"")</f>
        <v/>
      </c>
      <c r="M1781" s="43">
        <f>IF($A1781=1,N(Manual_JE!$J37),"")</f>
        <v/>
      </c>
      <c r="N1781" s="43">
        <f>IF($A1781=1,N(Manual_JE!$K37),"")</f>
        <v/>
      </c>
      <c r="O1781" s="32">
        <f>IF($A1781=1,Manual_JE!$M37,"")</f>
        <v/>
      </c>
      <c r="P1781" s="32">
        <f>IF($A1781=1,IF(Manual_JE!$AE37="","",Manual_JE!$AE37),"")</f>
        <v/>
      </c>
      <c r="Q1781" s="32">
        <f>IF($A1781=1,Manual_JE!$AG37,"")</f>
        <v/>
      </c>
      <c r="R1781" s="32">
        <f>IF($A1781=1,IF(AND($Q1781=1,COUNTIFS(COA!$A:$A,$G1781,COA!$R:$R,1)=1),1,0),"")</f>
        <v/>
      </c>
      <c r="S1781" s="43">
        <f>IF($A1781=1,IF($R1781=1,N($M1781),0),"")</f>
        <v/>
      </c>
      <c r="T1781" s="43">
        <f>IF($A1781=1,IF($R1781=1,N($N1781),0),"")</f>
        <v/>
      </c>
      <c r="U1781" s="32">
        <f>IF($A1781=1,YEAR($D1781)*100+MONTH($D1781),"")</f>
        <v/>
      </c>
      <c r="V1781" s="32">
        <f>IF($A1781=1,IF(COUNTIF(COA!$A:$A,$G1781)=0,0,INDEX(COA!$H:$H,MATCH($G1781,COA!$A:$A,0))),"")</f>
        <v/>
      </c>
      <c r="W1781" s="32">
        <f>IF($A1781=1,IF(Manual_JE!$L37="","",Manual_JE!$L37),"")</f>
        <v/>
      </c>
      <c r="X1781" s="32">
        <f>IF($A1781=1,IF($R1781=1,"",IF($O1781=ST_POST,IF($P1781&lt;&gt;"",$P1781,"حساب غير صالح أو غير نشط"),IF($O1781=ST_REV,"معكوس: لا أثر على الدفاتر",IF($O1781=ST_CANC,"ملغى",IF($O1781=ST_APPR,"معتمد ولم يُرحَّل","مسودة"))))),"")</f>
        <v/>
      </c>
      <c r="Y1781" s="32">
        <f>IF($A1781=1,IF(AND($R1781=1,OR(LG_Acct="",$G1781=LG_Acct),OR(LG_Party="",$K1781=LG_Party),OR(LG_Loc="ALL",$I1781=LG_Loc),OR(LG_CC="ALL",$J1781=LG_CC),$D1781&gt;=LG_From,$D1781&lt;=LG_To),$D1781+ROW()/1000000,""),"")</f>
        <v/>
      </c>
      <c r="Z1781" s="32">
        <f>IF($A1781=1,IF(Manual_JE!$N37="","",Manual_JE!$N37),"")</f>
        <v/>
      </c>
      <c r="AA1781" s="32">
        <f>IF($A1781=1,IF(Manual_JE!$O37="","",Manual_JE!$O37),"")</f>
        <v/>
      </c>
      <c r="AB1781" s="32">
        <f>IF($A1781=1,IF(Manual_JE!$P37="","",Manual_JE!$P37),"")</f>
        <v/>
      </c>
      <c r="AC1781" s="32">
        <f>IF($A1781=1,IF(Manual_JE!$Q37="","",Manual_JE!$Q37),"")</f>
        <v/>
      </c>
      <c r="AD1781" s="32">
        <f>IF($A1781=1,IF(Manual_JE!$R37="","",Manual_JE!$R37),"")</f>
        <v/>
      </c>
      <c r="AE1781" s="32">
        <f>IF($A1781=1,IF(Manual_JE!$D37="إقفال",1,0),"")</f>
        <v/>
      </c>
      <c r="AF1781" s="32" t="inlineStr"/>
    </row>
    <row r="1782">
      <c r="A1782" s="32">
        <f>IF(Manual_JE!$U38=1,1,0)</f>
        <v/>
      </c>
      <c r="B1782" s="32">
        <f>IF($A1782=1,$E1782&amp;"/1","")</f>
        <v/>
      </c>
      <c r="C1782" s="32">
        <f>IF($A1782=1,IF(Manual_JE!$A38="","",Manual_JE!$A38),"")</f>
        <v/>
      </c>
      <c r="D1782" s="33">
        <f>IF($A1782=1,Manual_JE!$B38,"")</f>
        <v/>
      </c>
      <c r="E1782" s="32">
        <f>IF($A1782=1,IF(Manual_JE!$A38="","",Manual_JE!$A38),"")</f>
        <v/>
      </c>
      <c r="F1782" s="32">
        <f>IF($A1782=1,"MJE","")</f>
        <v/>
      </c>
      <c r="G1782" s="32">
        <f>IF($A1782=1,IF(Manual_JE!$E38="","",Manual_JE!$E38),"")</f>
        <v/>
      </c>
      <c r="H1782" s="32">
        <f>IF($A1782=1,IF(COUNTIF(COA!$A:$A,$G1782)=0,"حساب غير معرف",INDEX(COA!$B:$B,MATCH($G1782,COA!$A:$A,0))),"")</f>
        <v/>
      </c>
      <c r="I1782" s="32">
        <f>IF($A1782=1,IF(Manual_JE!$F38="","",Manual_JE!$F38),"")</f>
        <v/>
      </c>
      <c r="J1782" s="32">
        <f>IF($A1782=1,IF(Manual_JE!$G38="","CC00",Manual_JE!$G38),"")</f>
        <v/>
      </c>
      <c r="K1782" s="32">
        <f>IF($A1782=1,IF(Manual_JE!$H38="","-",Manual_JE!$H38),"")</f>
        <v/>
      </c>
      <c r="L1782" s="32">
        <f>IF($A1782=1,IF(Manual_JE!$I38="","",Manual_JE!$I38),"")</f>
        <v/>
      </c>
      <c r="M1782" s="43">
        <f>IF($A1782=1,N(Manual_JE!$J38),"")</f>
        <v/>
      </c>
      <c r="N1782" s="43">
        <f>IF($A1782=1,N(Manual_JE!$K38),"")</f>
        <v/>
      </c>
      <c r="O1782" s="32">
        <f>IF($A1782=1,Manual_JE!$M38,"")</f>
        <v/>
      </c>
      <c r="P1782" s="32">
        <f>IF($A1782=1,IF(Manual_JE!$AE38="","",Manual_JE!$AE38),"")</f>
        <v/>
      </c>
      <c r="Q1782" s="32">
        <f>IF($A1782=1,Manual_JE!$AG38,"")</f>
        <v/>
      </c>
      <c r="R1782" s="32">
        <f>IF($A1782=1,IF(AND($Q1782=1,COUNTIFS(COA!$A:$A,$G1782,COA!$R:$R,1)=1),1,0),"")</f>
        <v/>
      </c>
      <c r="S1782" s="43">
        <f>IF($A1782=1,IF($R1782=1,N($M1782),0),"")</f>
        <v/>
      </c>
      <c r="T1782" s="43">
        <f>IF($A1782=1,IF($R1782=1,N($N1782),0),"")</f>
        <v/>
      </c>
      <c r="U1782" s="32">
        <f>IF($A1782=1,YEAR($D1782)*100+MONTH($D1782),"")</f>
        <v/>
      </c>
      <c r="V1782" s="32">
        <f>IF($A1782=1,IF(COUNTIF(COA!$A:$A,$G1782)=0,0,INDEX(COA!$H:$H,MATCH($G1782,COA!$A:$A,0))),"")</f>
        <v/>
      </c>
      <c r="W1782" s="32">
        <f>IF($A1782=1,IF(Manual_JE!$L38="","",Manual_JE!$L38),"")</f>
        <v/>
      </c>
      <c r="X1782" s="32">
        <f>IF($A1782=1,IF($R1782=1,"",IF($O1782=ST_POST,IF($P1782&lt;&gt;"",$P1782,"حساب غير صالح أو غير نشط"),IF($O1782=ST_REV,"معكوس: لا أثر على الدفاتر",IF($O1782=ST_CANC,"ملغى",IF($O1782=ST_APPR,"معتمد ولم يُرحَّل","مسودة"))))),"")</f>
        <v/>
      </c>
      <c r="Y1782" s="32">
        <f>IF($A1782=1,IF(AND($R1782=1,OR(LG_Acct="",$G1782=LG_Acct),OR(LG_Party="",$K1782=LG_Party),OR(LG_Loc="ALL",$I1782=LG_Loc),OR(LG_CC="ALL",$J1782=LG_CC),$D1782&gt;=LG_From,$D1782&lt;=LG_To),$D1782+ROW()/1000000,""),"")</f>
        <v/>
      </c>
      <c r="Z1782" s="32">
        <f>IF($A1782=1,IF(Manual_JE!$N38="","",Manual_JE!$N38),"")</f>
        <v/>
      </c>
      <c r="AA1782" s="32">
        <f>IF($A1782=1,IF(Manual_JE!$O38="","",Manual_JE!$O38),"")</f>
        <v/>
      </c>
      <c r="AB1782" s="32">
        <f>IF($A1782=1,IF(Manual_JE!$P38="","",Manual_JE!$P38),"")</f>
        <v/>
      </c>
      <c r="AC1782" s="32">
        <f>IF($A1782=1,IF(Manual_JE!$Q38="","",Manual_JE!$Q38),"")</f>
        <v/>
      </c>
      <c r="AD1782" s="32">
        <f>IF($A1782=1,IF(Manual_JE!$R38="","",Manual_JE!$R38),"")</f>
        <v/>
      </c>
      <c r="AE1782" s="32">
        <f>IF($A1782=1,IF(Manual_JE!$D38="إقفال",1,0),"")</f>
        <v/>
      </c>
      <c r="AF1782" s="32" t="inlineStr"/>
    </row>
    <row r="1783">
      <c r="A1783" s="32">
        <f>IF(Manual_JE!$U39=1,1,0)</f>
        <v/>
      </c>
      <c r="B1783" s="32">
        <f>IF($A1783=1,$E1783&amp;"/1","")</f>
        <v/>
      </c>
      <c r="C1783" s="32">
        <f>IF($A1783=1,IF(Manual_JE!$A39="","",Manual_JE!$A39),"")</f>
        <v/>
      </c>
      <c r="D1783" s="33">
        <f>IF($A1783=1,Manual_JE!$B39,"")</f>
        <v/>
      </c>
      <c r="E1783" s="32">
        <f>IF($A1783=1,IF(Manual_JE!$A39="","",Manual_JE!$A39),"")</f>
        <v/>
      </c>
      <c r="F1783" s="32">
        <f>IF($A1783=1,"MJE","")</f>
        <v/>
      </c>
      <c r="G1783" s="32">
        <f>IF($A1783=1,IF(Manual_JE!$E39="","",Manual_JE!$E39),"")</f>
        <v/>
      </c>
      <c r="H1783" s="32">
        <f>IF($A1783=1,IF(COUNTIF(COA!$A:$A,$G1783)=0,"حساب غير معرف",INDEX(COA!$B:$B,MATCH($G1783,COA!$A:$A,0))),"")</f>
        <v/>
      </c>
      <c r="I1783" s="32">
        <f>IF($A1783=1,IF(Manual_JE!$F39="","",Manual_JE!$F39),"")</f>
        <v/>
      </c>
      <c r="J1783" s="32">
        <f>IF($A1783=1,IF(Manual_JE!$G39="","CC00",Manual_JE!$G39),"")</f>
        <v/>
      </c>
      <c r="K1783" s="32">
        <f>IF($A1783=1,IF(Manual_JE!$H39="","-",Manual_JE!$H39),"")</f>
        <v/>
      </c>
      <c r="L1783" s="32">
        <f>IF($A1783=1,IF(Manual_JE!$I39="","",Manual_JE!$I39),"")</f>
        <v/>
      </c>
      <c r="M1783" s="43">
        <f>IF($A1783=1,N(Manual_JE!$J39),"")</f>
        <v/>
      </c>
      <c r="N1783" s="43">
        <f>IF($A1783=1,N(Manual_JE!$K39),"")</f>
        <v/>
      </c>
      <c r="O1783" s="32">
        <f>IF($A1783=1,Manual_JE!$M39,"")</f>
        <v/>
      </c>
      <c r="P1783" s="32">
        <f>IF($A1783=1,IF(Manual_JE!$AE39="","",Manual_JE!$AE39),"")</f>
        <v/>
      </c>
      <c r="Q1783" s="32">
        <f>IF($A1783=1,Manual_JE!$AG39,"")</f>
        <v/>
      </c>
      <c r="R1783" s="32">
        <f>IF($A1783=1,IF(AND($Q1783=1,COUNTIFS(COA!$A:$A,$G1783,COA!$R:$R,1)=1),1,0),"")</f>
        <v/>
      </c>
      <c r="S1783" s="43">
        <f>IF($A1783=1,IF($R1783=1,N($M1783),0),"")</f>
        <v/>
      </c>
      <c r="T1783" s="43">
        <f>IF($A1783=1,IF($R1783=1,N($N1783),0),"")</f>
        <v/>
      </c>
      <c r="U1783" s="32">
        <f>IF($A1783=1,YEAR($D1783)*100+MONTH($D1783),"")</f>
        <v/>
      </c>
      <c r="V1783" s="32">
        <f>IF($A1783=1,IF(COUNTIF(COA!$A:$A,$G1783)=0,0,INDEX(COA!$H:$H,MATCH($G1783,COA!$A:$A,0))),"")</f>
        <v/>
      </c>
      <c r="W1783" s="32">
        <f>IF($A1783=1,IF(Manual_JE!$L39="","",Manual_JE!$L39),"")</f>
        <v/>
      </c>
      <c r="X1783" s="32">
        <f>IF($A1783=1,IF($R1783=1,"",IF($O1783=ST_POST,IF($P1783&lt;&gt;"",$P1783,"حساب غير صالح أو غير نشط"),IF($O1783=ST_REV,"معكوس: لا أثر على الدفاتر",IF($O1783=ST_CANC,"ملغى",IF($O1783=ST_APPR,"معتمد ولم يُرحَّل","مسودة"))))),"")</f>
        <v/>
      </c>
      <c r="Y1783" s="32">
        <f>IF($A1783=1,IF(AND($R1783=1,OR(LG_Acct="",$G1783=LG_Acct),OR(LG_Party="",$K1783=LG_Party),OR(LG_Loc="ALL",$I1783=LG_Loc),OR(LG_CC="ALL",$J1783=LG_CC),$D1783&gt;=LG_From,$D1783&lt;=LG_To),$D1783+ROW()/1000000,""),"")</f>
        <v/>
      </c>
      <c r="Z1783" s="32">
        <f>IF($A1783=1,IF(Manual_JE!$N39="","",Manual_JE!$N39),"")</f>
        <v/>
      </c>
      <c r="AA1783" s="32">
        <f>IF($A1783=1,IF(Manual_JE!$O39="","",Manual_JE!$O39),"")</f>
        <v/>
      </c>
      <c r="AB1783" s="32">
        <f>IF($A1783=1,IF(Manual_JE!$P39="","",Manual_JE!$P39),"")</f>
        <v/>
      </c>
      <c r="AC1783" s="32">
        <f>IF($A1783=1,IF(Manual_JE!$Q39="","",Manual_JE!$Q39),"")</f>
        <v/>
      </c>
      <c r="AD1783" s="32">
        <f>IF($A1783=1,IF(Manual_JE!$R39="","",Manual_JE!$R39),"")</f>
        <v/>
      </c>
      <c r="AE1783" s="32">
        <f>IF($A1783=1,IF(Manual_JE!$D39="إقفال",1,0),"")</f>
        <v/>
      </c>
      <c r="AF1783" s="32" t="inlineStr"/>
    </row>
    <row r="1784">
      <c r="A1784" s="32">
        <f>IF(Manual_JE!$U40=1,1,0)</f>
        <v/>
      </c>
      <c r="B1784" s="32">
        <f>IF($A1784=1,$E1784&amp;"/1","")</f>
        <v/>
      </c>
      <c r="C1784" s="32">
        <f>IF($A1784=1,IF(Manual_JE!$A40="","",Manual_JE!$A40),"")</f>
        <v/>
      </c>
      <c r="D1784" s="33">
        <f>IF($A1784=1,Manual_JE!$B40,"")</f>
        <v/>
      </c>
      <c r="E1784" s="32">
        <f>IF($A1784=1,IF(Manual_JE!$A40="","",Manual_JE!$A40),"")</f>
        <v/>
      </c>
      <c r="F1784" s="32">
        <f>IF($A1784=1,"MJE","")</f>
        <v/>
      </c>
      <c r="G1784" s="32">
        <f>IF($A1784=1,IF(Manual_JE!$E40="","",Manual_JE!$E40),"")</f>
        <v/>
      </c>
      <c r="H1784" s="32">
        <f>IF($A1784=1,IF(COUNTIF(COA!$A:$A,$G1784)=0,"حساب غير معرف",INDEX(COA!$B:$B,MATCH($G1784,COA!$A:$A,0))),"")</f>
        <v/>
      </c>
      <c r="I1784" s="32">
        <f>IF($A1784=1,IF(Manual_JE!$F40="","",Manual_JE!$F40),"")</f>
        <v/>
      </c>
      <c r="J1784" s="32">
        <f>IF($A1784=1,IF(Manual_JE!$G40="","CC00",Manual_JE!$G40),"")</f>
        <v/>
      </c>
      <c r="K1784" s="32">
        <f>IF($A1784=1,IF(Manual_JE!$H40="","-",Manual_JE!$H40),"")</f>
        <v/>
      </c>
      <c r="L1784" s="32">
        <f>IF($A1784=1,IF(Manual_JE!$I40="","",Manual_JE!$I40),"")</f>
        <v/>
      </c>
      <c r="M1784" s="43">
        <f>IF($A1784=1,N(Manual_JE!$J40),"")</f>
        <v/>
      </c>
      <c r="N1784" s="43">
        <f>IF($A1784=1,N(Manual_JE!$K40),"")</f>
        <v/>
      </c>
      <c r="O1784" s="32">
        <f>IF($A1784=1,Manual_JE!$M40,"")</f>
        <v/>
      </c>
      <c r="P1784" s="32">
        <f>IF($A1784=1,IF(Manual_JE!$AE40="","",Manual_JE!$AE40),"")</f>
        <v/>
      </c>
      <c r="Q1784" s="32">
        <f>IF($A1784=1,Manual_JE!$AG40,"")</f>
        <v/>
      </c>
      <c r="R1784" s="32">
        <f>IF($A1784=1,IF(AND($Q1784=1,COUNTIFS(COA!$A:$A,$G1784,COA!$R:$R,1)=1),1,0),"")</f>
        <v/>
      </c>
      <c r="S1784" s="43">
        <f>IF($A1784=1,IF($R1784=1,N($M1784),0),"")</f>
        <v/>
      </c>
      <c r="T1784" s="43">
        <f>IF($A1784=1,IF($R1784=1,N($N1784),0),"")</f>
        <v/>
      </c>
      <c r="U1784" s="32">
        <f>IF($A1784=1,YEAR($D1784)*100+MONTH($D1784),"")</f>
        <v/>
      </c>
      <c r="V1784" s="32">
        <f>IF($A1784=1,IF(COUNTIF(COA!$A:$A,$G1784)=0,0,INDEX(COA!$H:$H,MATCH($G1784,COA!$A:$A,0))),"")</f>
        <v/>
      </c>
      <c r="W1784" s="32">
        <f>IF($A1784=1,IF(Manual_JE!$L40="","",Manual_JE!$L40),"")</f>
        <v/>
      </c>
      <c r="X1784" s="32">
        <f>IF($A1784=1,IF($R1784=1,"",IF($O1784=ST_POST,IF($P1784&lt;&gt;"",$P1784,"حساب غير صالح أو غير نشط"),IF($O1784=ST_REV,"معكوس: لا أثر على الدفاتر",IF($O1784=ST_CANC,"ملغى",IF($O1784=ST_APPR,"معتمد ولم يُرحَّل","مسودة"))))),"")</f>
        <v/>
      </c>
      <c r="Y1784" s="32">
        <f>IF($A1784=1,IF(AND($R1784=1,OR(LG_Acct="",$G1784=LG_Acct),OR(LG_Party="",$K1784=LG_Party),OR(LG_Loc="ALL",$I1784=LG_Loc),OR(LG_CC="ALL",$J1784=LG_CC),$D1784&gt;=LG_From,$D1784&lt;=LG_To),$D1784+ROW()/1000000,""),"")</f>
        <v/>
      </c>
      <c r="Z1784" s="32">
        <f>IF($A1784=1,IF(Manual_JE!$N40="","",Manual_JE!$N40),"")</f>
        <v/>
      </c>
      <c r="AA1784" s="32">
        <f>IF($A1784=1,IF(Manual_JE!$O40="","",Manual_JE!$O40),"")</f>
        <v/>
      </c>
      <c r="AB1784" s="32">
        <f>IF($A1784=1,IF(Manual_JE!$P40="","",Manual_JE!$P40),"")</f>
        <v/>
      </c>
      <c r="AC1784" s="32">
        <f>IF($A1784=1,IF(Manual_JE!$Q40="","",Manual_JE!$Q40),"")</f>
        <v/>
      </c>
      <c r="AD1784" s="32">
        <f>IF($A1784=1,IF(Manual_JE!$R40="","",Manual_JE!$R40),"")</f>
        <v/>
      </c>
      <c r="AE1784" s="32">
        <f>IF($A1784=1,IF(Manual_JE!$D40="إقفال",1,0),"")</f>
        <v/>
      </c>
      <c r="AF1784" s="32" t="inlineStr"/>
    </row>
    <row r="1785">
      <c r="A1785" s="32">
        <f>IF(Manual_JE!$U41=1,1,0)</f>
        <v/>
      </c>
      <c r="B1785" s="32">
        <f>IF($A1785=1,$E1785&amp;"/1","")</f>
        <v/>
      </c>
      <c r="C1785" s="32">
        <f>IF($A1785=1,IF(Manual_JE!$A41="","",Manual_JE!$A41),"")</f>
        <v/>
      </c>
      <c r="D1785" s="33">
        <f>IF($A1785=1,Manual_JE!$B41,"")</f>
        <v/>
      </c>
      <c r="E1785" s="32">
        <f>IF($A1785=1,IF(Manual_JE!$A41="","",Manual_JE!$A41),"")</f>
        <v/>
      </c>
      <c r="F1785" s="32">
        <f>IF($A1785=1,"MJE","")</f>
        <v/>
      </c>
      <c r="G1785" s="32">
        <f>IF($A1785=1,IF(Manual_JE!$E41="","",Manual_JE!$E41),"")</f>
        <v/>
      </c>
      <c r="H1785" s="32">
        <f>IF($A1785=1,IF(COUNTIF(COA!$A:$A,$G1785)=0,"حساب غير معرف",INDEX(COA!$B:$B,MATCH($G1785,COA!$A:$A,0))),"")</f>
        <v/>
      </c>
      <c r="I1785" s="32">
        <f>IF($A1785=1,IF(Manual_JE!$F41="","",Manual_JE!$F41),"")</f>
        <v/>
      </c>
      <c r="J1785" s="32">
        <f>IF($A1785=1,IF(Manual_JE!$G41="","CC00",Manual_JE!$G41),"")</f>
        <v/>
      </c>
      <c r="K1785" s="32">
        <f>IF($A1785=1,IF(Manual_JE!$H41="","-",Manual_JE!$H41),"")</f>
        <v/>
      </c>
      <c r="L1785" s="32">
        <f>IF($A1785=1,IF(Manual_JE!$I41="","",Manual_JE!$I41),"")</f>
        <v/>
      </c>
      <c r="M1785" s="43">
        <f>IF($A1785=1,N(Manual_JE!$J41),"")</f>
        <v/>
      </c>
      <c r="N1785" s="43">
        <f>IF($A1785=1,N(Manual_JE!$K41),"")</f>
        <v/>
      </c>
      <c r="O1785" s="32">
        <f>IF($A1785=1,Manual_JE!$M41,"")</f>
        <v/>
      </c>
      <c r="P1785" s="32">
        <f>IF($A1785=1,IF(Manual_JE!$AE41="","",Manual_JE!$AE41),"")</f>
        <v/>
      </c>
      <c r="Q1785" s="32">
        <f>IF($A1785=1,Manual_JE!$AG41,"")</f>
        <v/>
      </c>
      <c r="R1785" s="32">
        <f>IF($A1785=1,IF(AND($Q1785=1,COUNTIFS(COA!$A:$A,$G1785,COA!$R:$R,1)=1),1,0),"")</f>
        <v/>
      </c>
      <c r="S1785" s="43">
        <f>IF($A1785=1,IF($R1785=1,N($M1785),0),"")</f>
        <v/>
      </c>
      <c r="T1785" s="43">
        <f>IF($A1785=1,IF($R1785=1,N($N1785),0),"")</f>
        <v/>
      </c>
      <c r="U1785" s="32">
        <f>IF($A1785=1,YEAR($D1785)*100+MONTH($D1785),"")</f>
        <v/>
      </c>
      <c r="V1785" s="32">
        <f>IF($A1785=1,IF(COUNTIF(COA!$A:$A,$G1785)=0,0,INDEX(COA!$H:$H,MATCH($G1785,COA!$A:$A,0))),"")</f>
        <v/>
      </c>
      <c r="W1785" s="32">
        <f>IF($A1785=1,IF(Manual_JE!$L41="","",Manual_JE!$L41),"")</f>
        <v/>
      </c>
      <c r="X1785" s="32">
        <f>IF($A1785=1,IF($R1785=1,"",IF($O1785=ST_POST,IF($P1785&lt;&gt;"",$P1785,"حساب غير صالح أو غير نشط"),IF($O1785=ST_REV,"معكوس: لا أثر على الدفاتر",IF($O1785=ST_CANC,"ملغى",IF($O1785=ST_APPR,"معتمد ولم يُرحَّل","مسودة"))))),"")</f>
        <v/>
      </c>
      <c r="Y1785" s="32">
        <f>IF($A1785=1,IF(AND($R1785=1,OR(LG_Acct="",$G1785=LG_Acct),OR(LG_Party="",$K1785=LG_Party),OR(LG_Loc="ALL",$I1785=LG_Loc),OR(LG_CC="ALL",$J1785=LG_CC),$D1785&gt;=LG_From,$D1785&lt;=LG_To),$D1785+ROW()/1000000,""),"")</f>
        <v/>
      </c>
      <c r="Z1785" s="32">
        <f>IF($A1785=1,IF(Manual_JE!$N41="","",Manual_JE!$N41),"")</f>
        <v/>
      </c>
      <c r="AA1785" s="32">
        <f>IF($A1785=1,IF(Manual_JE!$O41="","",Manual_JE!$O41),"")</f>
        <v/>
      </c>
      <c r="AB1785" s="32">
        <f>IF($A1785=1,IF(Manual_JE!$P41="","",Manual_JE!$P41),"")</f>
        <v/>
      </c>
      <c r="AC1785" s="32">
        <f>IF($A1785=1,IF(Manual_JE!$Q41="","",Manual_JE!$Q41),"")</f>
        <v/>
      </c>
      <c r="AD1785" s="32">
        <f>IF($A1785=1,IF(Manual_JE!$R41="","",Manual_JE!$R41),"")</f>
        <v/>
      </c>
      <c r="AE1785" s="32">
        <f>IF($A1785=1,IF(Manual_JE!$D41="إقفال",1,0),"")</f>
        <v/>
      </c>
      <c r="AF1785" s="32" t="inlineStr"/>
    </row>
    <row r="1786">
      <c r="A1786" s="32">
        <f>IF(Manual_JE!$U42=1,1,0)</f>
        <v/>
      </c>
      <c r="B1786" s="32">
        <f>IF($A1786=1,$E1786&amp;"/1","")</f>
        <v/>
      </c>
      <c r="C1786" s="32">
        <f>IF($A1786=1,IF(Manual_JE!$A42="","",Manual_JE!$A42),"")</f>
        <v/>
      </c>
      <c r="D1786" s="33">
        <f>IF($A1786=1,Manual_JE!$B42,"")</f>
        <v/>
      </c>
      <c r="E1786" s="32">
        <f>IF($A1786=1,IF(Manual_JE!$A42="","",Manual_JE!$A42),"")</f>
        <v/>
      </c>
      <c r="F1786" s="32">
        <f>IF($A1786=1,"MJE","")</f>
        <v/>
      </c>
      <c r="G1786" s="32">
        <f>IF($A1786=1,IF(Manual_JE!$E42="","",Manual_JE!$E42),"")</f>
        <v/>
      </c>
      <c r="H1786" s="32">
        <f>IF($A1786=1,IF(COUNTIF(COA!$A:$A,$G1786)=0,"حساب غير معرف",INDEX(COA!$B:$B,MATCH($G1786,COA!$A:$A,0))),"")</f>
        <v/>
      </c>
      <c r="I1786" s="32">
        <f>IF($A1786=1,IF(Manual_JE!$F42="","",Manual_JE!$F42),"")</f>
        <v/>
      </c>
      <c r="J1786" s="32">
        <f>IF($A1786=1,IF(Manual_JE!$G42="","CC00",Manual_JE!$G42),"")</f>
        <v/>
      </c>
      <c r="K1786" s="32">
        <f>IF($A1786=1,IF(Manual_JE!$H42="","-",Manual_JE!$H42),"")</f>
        <v/>
      </c>
      <c r="L1786" s="32">
        <f>IF($A1786=1,IF(Manual_JE!$I42="","",Manual_JE!$I42),"")</f>
        <v/>
      </c>
      <c r="M1786" s="43">
        <f>IF($A1786=1,N(Manual_JE!$J42),"")</f>
        <v/>
      </c>
      <c r="N1786" s="43">
        <f>IF($A1786=1,N(Manual_JE!$K42),"")</f>
        <v/>
      </c>
      <c r="O1786" s="32">
        <f>IF($A1786=1,Manual_JE!$M42,"")</f>
        <v/>
      </c>
      <c r="P1786" s="32">
        <f>IF($A1786=1,IF(Manual_JE!$AE42="","",Manual_JE!$AE42),"")</f>
        <v/>
      </c>
      <c r="Q1786" s="32">
        <f>IF($A1786=1,Manual_JE!$AG42,"")</f>
        <v/>
      </c>
      <c r="R1786" s="32">
        <f>IF($A1786=1,IF(AND($Q1786=1,COUNTIFS(COA!$A:$A,$G1786,COA!$R:$R,1)=1),1,0),"")</f>
        <v/>
      </c>
      <c r="S1786" s="43">
        <f>IF($A1786=1,IF($R1786=1,N($M1786),0),"")</f>
        <v/>
      </c>
      <c r="T1786" s="43">
        <f>IF($A1786=1,IF($R1786=1,N($N1786),0),"")</f>
        <v/>
      </c>
      <c r="U1786" s="32">
        <f>IF($A1786=1,YEAR($D1786)*100+MONTH($D1786),"")</f>
        <v/>
      </c>
      <c r="V1786" s="32">
        <f>IF($A1786=1,IF(COUNTIF(COA!$A:$A,$G1786)=0,0,INDEX(COA!$H:$H,MATCH($G1786,COA!$A:$A,0))),"")</f>
        <v/>
      </c>
      <c r="W1786" s="32">
        <f>IF($A1786=1,IF(Manual_JE!$L42="","",Manual_JE!$L42),"")</f>
        <v/>
      </c>
      <c r="X1786" s="32">
        <f>IF($A1786=1,IF($R1786=1,"",IF($O1786=ST_POST,IF($P1786&lt;&gt;"",$P1786,"حساب غير صالح أو غير نشط"),IF($O1786=ST_REV,"معكوس: لا أثر على الدفاتر",IF($O1786=ST_CANC,"ملغى",IF($O1786=ST_APPR,"معتمد ولم يُرحَّل","مسودة"))))),"")</f>
        <v/>
      </c>
      <c r="Y1786" s="32">
        <f>IF($A1786=1,IF(AND($R1786=1,OR(LG_Acct="",$G1786=LG_Acct),OR(LG_Party="",$K1786=LG_Party),OR(LG_Loc="ALL",$I1786=LG_Loc),OR(LG_CC="ALL",$J1786=LG_CC),$D1786&gt;=LG_From,$D1786&lt;=LG_To),$D1786+ROW()/1000000,""),"")</f>
        <v/>
      </c>
      <c r="Z1786" s="32">
        <f>IF($A1786=1,IF(Manual_JE!$N42="","",Manual_JE!$N42),"")</f>
        <v/>
      </c>
      <c r="AA1786" s="32">
        <f>IF($A1786=1,IF(Manual_JE!$O42="","",Manual_JE!$O42),"")</f>
        <v/>
      </c>
      <c r="AB1786" s="32">
        <f>IF($A1786=1,IF(Manual_JE!$P42="","",Manual_JE!$P42),"")</f>
        <v/>
      </c>
      <c r="AC1786" s="32">
        <f>IF($A1786=1,IF(Manual_JE!$Q42="","",Manual_JE!$Q42),"")</f>
        <v/>
      </c>
      <c r="AD1786" s="32">
        <f>IF($A1786=1,IF(Manual_JE!$R42="","",Manual_JE!$R42),"")</f>
        <v/>
      </c>
      <c r="AE1786" s="32">
        <f>IF($A1786=1,IF(Manual_JE!$D42="إقفال",1,0),"")</f>
        <v/>
      </c>
      <c r="AF1786" s="32" t="inlineStr"/>
    </row>
    <row r="1787">
      <c r="A1787" s="32">
        <f>IF(Manual_JE!$U43=1,1,0)</f>
        <v/>
      </c>
      <c r="B1787" s="32">
        <f>IF($A1787=1,$E1787&amp;"/1","")</f>
        <v/>
      </c>
      <c r="C1787" s="32">
        <f>IF($A1787=1,IF(Manual_JE!$A43="","",Manual_JE!$A43),"")</f>
        <v/>
      </c>
      <c r="D1787" s="33">
        <f>IF($A1787=1,Manual_JE!$B43,"")</f>
        <v/>
      </c>
      <c r="E1787" s="32">
        <f>IF($A1787=1,IF(Manual_JE!$A43="","",Manual_JE!$A43),"")</f>
        <v/>
      </c>
      <c r="F1787" s="32">
        <f>IF($A1787=1,"MJE","")</f>
        <v/>
      </c>
      <c r="G1787" s="32">
        <f>IF($A1787=1,IF(Manual_JE!$E43="","",Manual_JE!$E43),"")</f>
        <v/>
      </c>
      <c r="H1787" s="32">
        <f>IF($A1787=1,IF(COUNTIF(COA!$A:$A,$G1787)=0,"حساب غير معرف",INDEX(COA!$B:$B,MATCH($G1787,COA!$A:$A,0))),"")</f>
        <v/>
      </c>
      <c r="I1787" s="32">
        <f>IF($A1787=1,IF(Manual_JE!$F43="","",Manual_JE!$F43),"")</f>
        <v/>
      </c>
      <c r="J1787" s="32">
        <f>IF($A1787=1,IF(Manual_JE!$G43="","CC00",Manual_JE!$G43),"")</f>
        <v/>
      </c>
      <c r="K1787" s="32">
        <f>IF($A1787=1,IF(Manual_JE!$H43="","-",Manual_JE!$H43),"")</f>
        <v/>
      </c>
      <c r="L1787" s="32">
        <f>IF($A1787=1,IF(Manual_JE!$I43="","",Manual_JE!$I43),"")</f>
        <v/>
      </c>
      <c r="M1787" s="43">
        <f>IF($A1787=1,N(Manual_JE!$J43),"")</f>
        <v/>
      </c>
      <c r="N1787" s="43">
        <f>IF($A1787=1,N(Manual_JE!$K43),"")</f>
        <v/>
      </c>
      <c r="O1787" s="32">
        <f>IF($A1787=1,Manual_JE!$M43,"")</f>
        <v/>
      </c>
      <c r="P1787" s="32">
        <f>IF($A1787=1,IF(Manual_JE!$AE43="","",Manual_JE!$AE43),"")</f>
        <v/>
      </c>
      <c r="Q1787" s="32">
        <f>IF($A1787=1,Manual_JE!$AG43,"")</f>
        <v/>
      </c>
      <c r="R1787" s="32">
        <f>IF($A1787=1,IF(AND($Q1787=1,COUNTIFS(COA!$A:$A,$G1787,COA!$R:$R,1)=1),1,0),"")</f>
        <v/>
      </c>
      <c r="S1787" s="43">
        <f>IF($A1787=1,IF($R1787=1,N($M1787),0),"")</f>
        <v/>
      </c>
      <c r="T1787" s="43">
        <f>IF($A1787=1,IF($R1787=1,N($N1787),0),"")</f>
        <v/>
      </c>
      <c r="U1787" s="32">
        <f>IF($A1787=1,YEAR($D1787)*100+MONTH($D1787),"")</f>
        <v/>
      </c>
      <c r="V1787" s="32">
        <f>IF($A1787=1,IF(COUNTIF(COA!$A:$A,$G1787)=0,0,INDEX(COA!$H:$H,MATCH($G1787,COA!$A:$A,0))),"")</f>
        <v/>
      </c>
      <c r="W1787" s="32">
        <f>IF($A1787=1,IF(Manual_JE!$L43="","",Manual_JE!$L43),"")</f>
        <v/>
      </c>
      <c r="X1787" s="32">
        <f>IF($A1787=1,IF($R1787=1,"",IF($O1787=ST_POST,IF($P1787&lt;&gt;"",$P1787,"حساب غير صالح أو غير نشط"),IF($O1787=ST_REV,"معكوس: لا أثر على الدفاتر",IF($O1787=ST_CANC,"ملغى",IF($O1787=ST_APPR,"معتمد ولم يُرحَّل","مسودة"))))),"")</f>
        <v/>
      </c>
      <c r="Y1787" s="32">
        <f>IF($A1787=1,IF(AND($R1787=1,OR(LG_Acct="",$G1787=LG_Acct),OR(LG_Party="",$K1787=LG_Party),OR(LG_Loc="ALL",$I1787=LG_Loc),OR(LG_CC="ALL",$J1787=LG_CC),$D1787&gt;=LG_From,$D1787&lt;=LG_To),$D1787+ROW()/1000000,""),"")</f>
        <v/>
      </c>
      <c r="Z1787" s="32">
        <f>IF($A1787=1,IF(Manual_JE!$N43="","",Manual_JE!$N43),"")</f>
        <v/>
      </c>
      <c r="AA1787" s="32">
        <f>IF($A1787=1,IF(Manual_JE!$O43="","",Manual_JE!$O43),"")</f>
        <v/>
      </c>
      <c r="AB1787" s="32">
        <f>IF($A1787=1,IF(Manual_JE!$P43="","",Manual_JE!$P43),"")</f>
        <v/>
      </c>
      <c r="AC1787" s="32">
        <f>IF($A1787=1,IF(Manual_JE!$Q43="","",Manual_JE!$Q43),"")</f>
        <v/>
      </c>
      <c r="AD1787" s="32">
        <f>IF($A1787=1,IF(Manual_JE!$R43="","",Manual_JE!$R43),"")</f>
        <v/>
      </c>
      <c r="AE1787" s="32">
        <f>IF($A1787=1,IF(Manual_JE!$D43="إقفال",1,0),"")</f>
        <v/>
      </c>
      <c r="AF1787" s="32" t="inlineStr"/>
    </row>
    <row r="1788">
      <c r="A1788" s="32">
        <f>IF(Manual_JE!$U44=1,1,0)</f>
        <v/>
      </c>
      <c r="B1788" s="32">
        <f>IF($A1788=1,$E1788&amp;"/1","")</f>
        <v/>
      </c>
      <c r="C1788" s="32">
        <f>IF($A1788=1,IF(Manual_JE!$A44="","",Manual_JE!$A44),"")</f>
        <v/>
      </c>
      <c r="D1788" s="33">
        <f>IF($A1788=1,Manual_JE!$B44,"")</f>
        <v/>
      </c>
      <c r="E1788" s="32">
        <f>IF($A1788=1,IF(Manual_JE!$A44="","",Manual_JE!$A44),"")</f>
        <v/>
      </c>
      <c r="F1788" s="32">
        <f>IF($A1788=1,"MJE","")</f>
        <v/>
      </c>
      <c r="G1788" s="32">
        <f>IF($A1788=1,IF(Manual_JE!$E44="","",Manual_JE!$E44),"")</f>
        <v/>
      </c>
      <c r="H1788" s="32">
        <f>IF($A1788=1,IF(COUNTIF(COA!$A:$A,$G1788)=0,"حساب غير معرف",INDEX(COA!$B:$B,MATCH($G1788,COA!$A:$A,0))),"")</f>
        <v/>
      </c>
      <c r="I1788" s="32">
        <f>IF($A1788=1,IF(Manual_JE!$F44="","",Manual_JE!$F44),"")</f>
        <v/>
      </c>
      <c r="J1788" s="32">
        <f>IF($A1788=1,IF(Manual_JE!$G44="","CC00",Manual_JE!$G44),"")</f>
        <v/>
      </c>
      <c r="K1788" s="32">
        <f>IF($A1788=1,IF(Manual_JE!$H44="","-",Manual_JE!$H44),"")</f>
        <v/>
      </c>
      <c r="L1788" s="32">
        <f>IF($A1788=1,IF(Manual_JE!$I44="","",Manual_JE!$I44),"")</f>
        <v/>
      </c>
      <c r="M1788" s="43">
        <f>IF($A1788=1,N(Manual_JE!$J44),"")</f>
        <v/>
      </c>
      <c r="N1788" s="43">
        <f>IF($A1788=1,N(Manual_JE!$K44),"")</f>
        <v/>
      </c>
      <c r="O1788" s="32">
        <f>IF($A1788=1,Manual_JE!$M44,"")</f>
        <v/>
      </c>
      <c r="P1788" s="32">
        <f>IF($A1788=1,IF(Manual_JE!$AE44="","",Manual_JE!$AE44),"")</f>
        <v/>
      </c>
      <c r="Q1788" s="32">
        <f>IF($A1788=1,Manual_JE!$AG44,"")</f>
        <v/>
      </c>
      <c r="R1788" s="32">
        <f>IF($A1788=1,IF(AND($Q1788=1,COUNTIFS(COA!$A:$A,$G1788,COA!$R:$R,1)=1),1,0),"")</f>
        <v/>
      </c>
      <c r="S1788" s="43">
        <f>IF($A1788=1,IF($R1788=1,N($M1788),0),"")</f>
        <v/>
      </c>
      <c r="T1788" s="43">
        <f>IF($A1788=1,IF($R1788=1,N($N1788),0),"")</f>
        <v/>
      </c>
      <c r="U1788" s="32">
        <f>IF($A1788=1,YEAR($D1788)*100+MONTH($D1788),"")</f>
        <v/>
      </c>
      <c r="V1788" s="32">
        <f>IF($A1788=1,IF(COUNTIF(COA!$A:$A,$G1788)=0,0,INDEX(COA!$H:$H,MATCH($G1788,COA!$A:$A,0))),"")</f>
        <v/>
      </c>
      <c r="W1788" s="32">
        <f>IF($A1788=1,IF(Manual_JE!$L44="","",Manual_JE!$L44),"")</f>
        <v/>
      </c>
      <c r="X1788" s="32">
        <f>IF($A1788=1,IF($R1788=1,"",IF($O1788=ST_POST,IF($P1788&lt;&gt;"",$P1788,"حساب غير صالح أو غير نشط"),IF($O1788=ST_REV,"معكوس: لا أثر على الدفاتر",IF($O1788=ST_CANC,"ملغى",IF($O1788=ST_APPR,"معتمد ولم يُرحَّل","مسودة"))))),"")</f>
        <v/>
      </c>
      <c r="Y1788" s="32">
        <f>IF($A1788=1,IF(AND($R1788=1,OR(LG_Acct="",$G1788=LG_Acct),OR(LG_Party="",$K1788=LG_Party),OR(LG_Loc="ALL",$I1788=LG_Loc),OR(LG_CC="ALL",$J1788=LG_CC),$D1788&gt;=LG_From,$D1788&lt;=LG_To),$D1788+ROW()/1000000,""),"")</f>
        <v/>
      </c>
      <c r="Z1788" s="32">
        <f>IF($A1788=1,IF(Manual_JE!$N44="","",Manual_JE!$N44),"")</f>
        <v/>
      </c>
      <c r="AA1788" s="32">
        <f>IF($A1788=1,IF(Manual_JE!$O44="","",Manual_JE!$O44),"")</f>
        <v/>
      </c>
      <c r="AB1788" s="32">
        <f>IF($A1788=1,IF(Manual_JE!$P44="","",Manual_JE!$P44),"")</f>
        <v/>
      </c>
      <c r="AC1788" s="32">
        <f>IF($A1788=1,IF(Manual_JE!$Q44="","",Manual_JE!$Q44),"")</f>
        <v/>
      </c>
      <c r="AD1788" s="32">
        <f>IF($A1788=1,IF(Manual_JE!$R44="","",Manual_JE!$R44),"")</f>
        <v/>
      </c>
      <c r="AE1788" s="32">
        <f>IF($A1788=1,IF(Manual_JE!$D44="إقفال",1,0),"")</f>
        <v/>
      </c>
      <c r="AF1788" s="32" t="inlineStr"/>
    </row>
    <row r="1789">
      <c r="A1789" s="32">
        <f>IF(Manual_JE!$U45=1,1,0)</f>
        <v/>
      </c>
      <c r="B1789" s="32">
        <f>IF($A1789=1,$E1789&amp;"/1","")</f>
        <v/>
      </c>
      <c r="C1789" s="32">
        <f>IF($A1789=1,IF(Manual_JE!$A45="","",Manual_JE!$A45),"")</f>
        <v/>
      </c>
      <c r="D1789" s="33">
        <f>IF($A1789=1,Manual_JE!$B45,"")</f>
        <v/>
      </c>
      <c r="E1789" s="32">
        <f>IF($A1789=1,IF(Manual_JE!$A45="","",Manual_JE!$A45),"")</f>
        <v/>
      </c>
      <c r="F1789" s="32">
        <f>IF($A1789=1,"MJE","")</f>
        <v/>
      </c>
      <c r="G1789" s="32">
        <f>IF($A1789=1,IF(Manual_JE!$E45="","",Manual_JE!$E45),"")</f>
        <v/>
      </c>
      <c r="H1789" s="32">
        <f>IF($A1789=1,IF(COUNTIF(COA!$A:$A,$G1789)=0,"حساب غير معرف",INDEX(COA!$B:$B,MATCH($G1789,COA!$A:$A,0))),"")</f>
        <v/>
      </c>
      <c r="I1789" s="32">
        <f>IF($A1789=1,IF(Manual_JE!$F45="","",Manual_JE!$F45),"")</f>
        <v/>
      </c>
      <c r="J1789" s="32">
        <f>IF($A1789=1,IF(Manual_JE!$G45="","CC00",Manual_JE!$G45),"")</f>
        <v/>
      </c>
      <c r="K1789" s="32">
        <f>IF($A1789=1,IF(Manual_JE!$H45="","-",Manual_JE!$H45),"")</f>
        <v/>
      </c>
      <c r="L1789" s="32">
        <f>IF($A1789=1,IF(Manual_JE!$I45="","",Manual_JE!$I45),"")</f>
        <v/>
      </c>
      <c r="M1789" s="43">
        <f>IF($A1789=1,N(Manual_JE!$J45),"")</f>
        <v/>
      </c>
      <c r="N1789" s="43">
        <f>IF($A1789=1,N(Manual_JE!$K45),"")</f>
        <v/>
      </c>
      <c r="O1789" s="32">
        <f>IF($A1789=1,Manual_JE!$M45,"")</f>
        <v/>
      </c>
      <c r="P1789" s="32">
        <f>IF($A1789=1,IF(Manual_JE!$AE45="","",Manual_JE!$AE45),"")</f>
        <v/>
      </c>
      <c r="Q1789" s="32">
        <f>IF($A1789=1,Manual_JE!$AG45,"")</f>
        <v/>
      </c>
      <c r="R1789" s="32">
        <f>IF($A1789=1,IF(AND($Q1789=1,COUNTIFS(COA!$A:$A,$G1789,COA!$R:$R,1)=1),1,0),"")</f>
        <v/>
      </c>
      <c r="S1789" s="43">
        <f>IF($A1789=1,IF($R1789=1,N($M1789),0),"")</f>
        <v/>
      </c>
      <c r="T1789" s="43">
        <f>IF($A1789=1,IF($R1789=1,N($N1789),0),"")</f>
        <v/>
      </c>
      <c r="U1789" s="32">
        <f>IF($A1789=1,YEAR($D1789)*100+MONTH($D1789),"")</f>
        <v/>
      </c>
      <c r="V1789" s="32">
        <f>IF($A1789=1,IF(COUNTIF(COA!$A:$A,$G1789)=0,0,INDEX(COA!$H:$H,MATCH($G1789,COA!$A:$A,0))),"")</f>
        <v/>
      </c>
      <c r="W1789" s="32">
        <f>IF($A1789=1,IF(Manual_JE!$L45="","",Manual_JE!$L45),"")</f>
        <v/>
      </c>
      <c r="X1789" s="32">
        <f>IF($A1789=1,IF($R1789=1,"",IF($O1789=ST_POST,IF($P1789&lt;&gt;"",$P1789,"حساب غير صالح أو غير نشط"),IF($O1789=ST_REV,"معكوس: لا أثر على الدفاتر",IF($O1789=ST_CANC,"ملغى",IF($O1789=ST_APPR,"معتمد ولم يُرحَّل","مسودة"))))),"")</f>
        <v/>
      </c>
      <c r="Y1789" s="32">
        <f>IF($A1789=1,IF(AND($R1789=1,OR(LG_Acct="",$G1789=LG_Acct),OR(LG_Party="",$K1789=LG_Party),OR(LG_Loc="ALL",$I1789=LG_Loc),OR(LG_CC="ALL",$J1789=LG_CC),$D1789&gt;=LG_From,$D1789&lt;=LG_To),$D1789+ROW()/1000000,""),"")</f>
        <v/>
      </c>
      <c r="Z1789" s="32">
        <f>IF($A1789=1,IF(Manual_JE!$N45="","",Manual_JE!$N45),"")</f>
        <v/>
      </c>
      <c r="AA1789" s="32">
        <f>IF($A1789=1,IF(Manual_JE!$O45="","",Manual_JE!$O45),"")</f>
        <v/>
      </c>
      <c r="AB1789" s="32">
        <f>IF($A1789=1,IF(Manual_JE!$P45="","",Manual_JE!$P45),"")</f>
        <v/>
      </c>
      <c r="AC1789" s="32">
        <f>IF($A1789=1,IF(Manual_JE!$Q45="","",Manual_JE!$Q45),"")</f>
        <v/>
      </c>
      <c r="AD1789" s="32">
        <f>IF($A1789=1,IF(Manual_JE!$R45="","",Manual_JE!$R45),"")</f>
        <v/>
      </c>
      <c r="AE1789" s="32">
        <f>IF($A1789=1,IF(Manual_JE!$D45="إقفال",1,0),"")</f>
        <v/>
      </c>
      <c r="AF1789" s="32" t="inlineStr"/>
    </row>
    <row r="1790">
      <c r="A1790" s="32">
        <f>IF(Manual_JE!$U46=1,1,0)</f>
        <v/>
      </c>
      <c r="B1790" s="32">
        <f>IF($A1790=1,$E1790&amp;"/1","")</f>
        <v/>
      </c>
      <c r="C1790" s="32">
        <f>IF($A1790=1,IF(Manual_JE!$A46="","",Manual_JE!$A46),"")</f>
        <v/>
      </c>
      <c r="D1790" s="33">
        <f>IF($A1790=1,Manual_JE!$B46,"")</f>
        <v/>
      </c>
      <c r="E1790" s="32">
        <f>IF($A1790=1,IF(Manual_JE!$A46="","",Manual_JE!$A46),"")</f>
        <v/>
      </c>
      <c r="F1790" s="32">
        <f>IF($A1790=1,"MJE","")</f>
        <v/>
      </c>
      <c r="G1790" s="32">
        <f>IF($A1790=1,IF(Manual_JE!$E46="","",Manual_JE!$E46),"")</f>
        <v/>
      </c>
      <c r="H1790" s="32">
        <f>IF($A1790=1,IF(COUNTIF(COA!$A:$A,$G1790)=0,"حساب غير معرف",INDEX(COA!$B:$B,MATCH($G1790,COA!$A:$A,0))),"")</f>
        <v/>
      </c>
      <c r="I1790" s="32">
        <f>IF($A1790=1,IF(Manual_JE!$F46="","",Manual_JE!$F46),"")</f>
        <v/>
      </c>
      <c r="J1790" s="32">
        <f>IF($A1790=1,IF(Manual_JE!$G46="","CC00",Manual_JE!$G46),"")</f>
        <v/>
      </c>
      <c r="K1790" s="32">
        <f>IF($A1790=1,IF(Manual_JE!$H46="","-",Manual_JE!$H46),"")</f>
        <v/>
      </c>
      <c r="L1790" s="32">
        <f>IF($A1790=1,IF(Manual_JE!$I46="","",Manual_JE!$I46),"")</f>
        <v/>
      </c>
      <c r="M1790" s="43">
        <f>IF($A1790=1,N(Manual_JE!$J46),"")</f>
        <v/>
      </c>
      <c r="N1790" s="43">
        <f>IF($A1790=1,N(Manual_JE!$K46),"")</f>
        <v/>
      </c>
      <c r="O1790" s="32">
        <f>IF($A1790=1,Manual_JE!$M46,"")</f>
        <v/>
      </c>
      <c r="P1790" s="32">
        <f>IF($A1790=1,IF(Manual_JE!$AE46="","",Manual_JE!$AE46),"")</f>
        <v/>
      </c>
      <c r="Q1790" s="32">
        <f>IF($A1790=1,Manual_JE!$AG46,"")</f>
        <v/>
      </c>
      <c r="R1790" s="32">
        <f>IF($A1790=1,IF(AND($Q1790=1,COUNTIFS(COA!$A:$A,$G1790,COA!$R:$R,1)=1),1,0),"")</f>
        <v/>
      </c>
      <c r="S1790" s="43">
        <f>IF($A1790=1,IF($R1790=1,N($M1790),0),"")</f>
        <v/>
      </c>
      <c r="T1790" s="43">
        <f>IF($A1790=1,IF($R1790=1,N($N1790),0),"")</f>
        <v/>
      </c>
      <c r="U1790" s="32">
        <f>IF($A1790=1,YEAR($D1790)*100+MONTH($D1790),"")</f>
        <v/>
      </c>
      <c r="V1790" s="32">
        <f>IF($A1790=1,IF(COUNTIF(COA!$A:$A,$G1790)=0,0,INDEX(COA!$H:$H,MATCH($G1790,COA!$A:$A,0))),"")</f>
        <v/>
      </c>
      <c r="W1790" s="32">
        <f>IF($A1790=1,IF(Manual_JE!$L46="","",Manual_JE!$L46),"")</f>
        <v/>
      </c>
      <c r="X1790" s="32">
        <f>IF($A1790=1,IF($R1790=1,"",IF($O1790=ST_POST,IF($P1790&lt;&gt;"",$P1790,"حساب غير صالح أو غير نشط"),IF($O1790=ST_REV,"معكوس: لا أثر على الدفاتر",IF($O1790=ST_CANC,"ملغى",IF($O1790=ST_APPR,"معتمد ولم يُرحَّل","مسودة"))))),"")</f>
        <v/>
      </c>
      <c r="Y1790" s="32">
        <f>IF($A1790=1,IF(AND($R1790=1,OR(LG_Acct="",$G1790=LG_Acct),OR(LG_Party="",$K1790=LG_Party),OR(LG_Loc="ALL",$I1790=LG_Loc),OR(LG_CC="ALL",$J1790=LG_CC),$D1790&gt;=LG_From,$D1790&lt;=LG_To),$D1790+ROW()/1000000,""),"")</f>
        <v/>
      </c>
      <c r="Z1790" s="32">
        <f>IF($A1790=1,IF(Manual_JE!$N46="","",Manual_JE!$N46),"")</f>
        <v/>
      </c>
      <c r="AA1790" s="32">
        <f>IF($A1790=1,IF(Manual_JE!$O46="","",Manual_JE!$O46),"")</f>
        <v/>
      </c>
      <c r="AB1790" s="32">
        <f>IF($A1790=1,IF(Manual_JE!$P46="","",Manual_JE!$P46),"")</f>
        <v/>
      </c>
      <c r="AC1790" s="32">
        <f>IF($A1790=1,IF(Manual_JE!$Q46="","",Manual_JE!$Q46),"")</f>
        <v/>
      </c>
      <c r="AD1790" s="32">
        <f>IF($A1790=1,IF(Manual_JE!$R46="","",Manual_JE!$R46),"")</f>
        <v/>
      </c>
      <c r="AE1790" s="32">
        <f>IF($A1790=1,IF(Manual_JE!$D46="إقفال",1,0),"")</f>
        <v/>
      </c>
      <c r="AF1790" s="32" t="inlineStr"/>
    </row>
    <row r="1791">
      <c r="A1791" s="32">
        <f>IF(Manual_JE!$U47=1,1,0)</f>
        <v/>
      </c>
      <c r="B1791" s="32">
        <f>IF($A1791=1,$E1791&amp;"/1","")</f>
        <v/>
      </c>
      <c r="C1791" s="32">
        <f>IF($A1791=1,IF(Manual_JE!$A47="","",Manual_JE!$A47),"")</f>
        <v/>
      </c>
      <c r="D1791" s="33">
        <f>IF($A1791=1,Manual_JE!$B47,"")</f>
        <v/>
      </c>
      <c r="E1791" s="32">
        <f>IF($A1791=1,IF(Manual_JE!$A47="","",Manual_JE!$A47),"")</f>
        <v/>
      </c>
      <c r="F1791" s="32">
        <f>IF($A1791=1,"MJE","")</f>
        <v/>
      </c>
      <c r="G1791" s="32">
        <f>IF($A1791=1,IF(Manual_JE!$E47="","",Manual_JE!$E47),"")</f>
        <v/>
      </c>
      <c r="H1791" s="32">
        <f>IF($A1791=1,IF(COUNTIF(COA!$A:$A,$G1791)=0,"حساب غير معرف",INDEX(COA!$B:$B,MATCH($G1791,COA!$A:$A,0))),"")</f>
        <v/>
      </c>
      <c r="I1791" s="32">
        <f>IF($A1791=1,IF(Manual_JE!$F47="","",Manual_JE!$F47),"")</f>
        <v/>
      </c>
      <c r="J1791" s="32">
        <f>IF($A1791=1,IF(Manual_JE!$G47="","CC00",Manual_JE!$G47),"")</f>
        <v/>
      </c>
      <c r="K1791" s="32">
        <f>IF($A1791=1,IF(Manual_JE!$H47="","-",Manual_JE!$H47),"")</f>
        <v/>
      </c>
      <c r="L1791" s="32">
        <f>IF($A1791=1,IF(Manual_JE!$I47="","",Manual_JE!$I47),"")</f>
        <v/>
      </c>
      <c r="M1791" s="43">
        <f>IF($A1791=1,N(Manual_JE!$J47),"")</f>
        <v/>
      </c>
      <c r="N1791" s="43">
        <f>IF($A1791=1,N(Manual_JE!$K47),"")</f>
        <v/>
      </c>
      <c r="O1791" s="32">
        <f>IF($A1791=1,Manual_JE!$M47,"")</f>
        <v/>
      </c>
      <c r="P1791" s="32">
        <f>IF($A1791=1,IF(Manual_JE!$AE47="","",Manual_JE!$AE47),"")</f>
        <v/>
      </c>
      <c r="Q1791" s="32">
        <f>IF($A1791=1,Manual_JE!$AG47,"")</f>
        <v/>
      </c>
      <c r="R1791" s="32">
        <f>IF($A1791=1,IF(AND($Q1791=1,COUNTIFS(COA!$A:$A,$G1791,COA!$R:$R,1)=1),1,0),"")</f>
        <v/>
      </c>
      <c r="S1791" s="43">
        <f>IF($A1791=1,IF($R1791=1,N($M1791),0),"")</f>
        <v/>
      </c>
      <c r="T1791" s="43">
        <f>IF($A1791=1,IF($R1791=1,N($N1791),0),"")</f>
        <v/>
      </c>
      <c r="U1791" s="32">
        <f>IF($A1791=1,YEAR($D1791)*100+MONTH($D1791),"")</f>
        <v/>
      </c>
      <c r="V1791" s="32">
        <f>IF($A1791=1,IF(COUNTIF(COA!$A:$A,$G1791)=0,0,INDEX(COA!$H:$H,MATCH($G1791,COA!$A:$A,0))),"")</f>
        <v/>
      </c>
      <c r="W1791" s="32">
        <f>IF($A1791=1,IF(Manual_JE!$L47="","",Manual_JE!$L47),"")</f>
        <v/>
      </c>
      <c r="X1791" s="32">
        <f>IF($A1791=1,IF($R1791=1,"",IF($O1791=ST_POST,IF($P1791&lt;&gt;"",$P1791,"حساب غير صالح أو غير نشط"),IF($O1791=ST_REV,"معكوس: لا أثر على الدفاتر",IF($O1791=ST_CANC,"ملغى",IF($O1791=ST_APPR,"معتمد ولم يُرحَّل","مسودة"))))),"")</f>
        <v/>
      </c>
      <c r="Y1791" s="32">
        <f>IF($A1791=1,IF(AND($R1791=1,OR(LG_Acct="",$G1791=LG_Acct),OR(LG_Party="",$K1791=LG_Party),OR(LG_Loc="ALL",$I1791=LG_Loc),OR(LG_CC="ALL",$J1791=LG_CC),$D1791&gt;=LG_From,$D1791&lt;=LG_To),$D1791+ROW()/1000000,""),"")</f>
        <v/>
      </c>
      <c r="Z1791" s="32">
        <f>IF($A1791=1,IF(Manual_JE!$N47="","",Manual_JE!$N47),"")</f>
        <v/>
      </c>
      <c r="AA1791" s="32">
        <f>IF($A1791=1,IF(Manual_JE!$O47="","",Manual_JE!$O47),"")</f>
        <v/>
      </c>
      <c r="AB1791" s="32">
        <f>IF($A1791=1,IF(Manual_JE!$P47="","",Manual_JE!$P47),"")</f>
        <v/>
      </c>
      <c r="AC1791" s="32">
        <f>IF($A1791=1,IF(Manual_JE!$Q47="","",Manual_JE!$Q47),"")</f>
        <v/>
      </c>
      <c r="AD1791" s="32">
        <f>IF($A1791=1,IF(Manual_JE!$R47="","",Manual_JE!$R47),"")</f>
        <v/>
      </c>
      <c r="AE1791" s="32">
        <f>IF($A1791=1,IF(Manual_JE!$D47="إقفال",1,0),"")</f>
        <v/>
      </c>
      <c r="AF1791" s="32" t="inlineStr"/>
    </row>
    <row r="1792">
      <c r="A1792" s="32">
        <f>IF(Manual_JE!$U48=1,1,0)</f>
        <v/>
      </c>
      <c r="B1792" s="32">
        <f>IF($A1792=1,$E1792&amp;"/1","")</f>
        <v/>
      </c>
      <c r="C1792" s="32">
        <f>IF($A1792=1,IF(Manual_JE!$A48="","",Manual_JE!$A48),"")</f>
        <v/>
      </c>
      <c r="D1792" s="33">
        <f>IF($A1792=1,Manual_JE!$B48,"")</f>
        <v/>
      </c>
      <c r="E1792" s="32">
        <f>IF($A1792=1,IF(Manual_JE!$A48="","",Manual_JE!$A48),"")</f>
        <v/>
      </c>
      <c r="F1792" s="32">
        <f>IF($A1792=1,"MJE","")</f>
        <v/>
      </c>
      <c r="G1792" s="32">
        <f>IF($A1792=1,IF(Manual_JE!$E48="","",Manual_JE!$E48),"")</f>
        <v/>
      </c>
      <c r="H1792" s="32">
        <f>IF($A1792=1,IF(COUNTIF(COA!$A:$A,$G1792)=0,"حساب غير معرف",INDEX(COA!$B:$B,MATCH($G1792,COA!$A:$A,0))),"")</f>
        <v/>
      </c>
      <c r="I1792" s="32">
        <f>IF($A1792=1,IF(Manual_JE!$F48="","",Manual_JE!$F48),"")</f>
        <v/>
      </c>
      <c r="J1792" s="32">
        <f>IF($A1792=1,IF(Manual_JE!$G48="","CC00",Manual_JE!$G48),"")</f>
        <v/>
      </c>
      <c r="K1792" s="32">
        <f>IF($A1792=1,IF(Manual_JE!$H48="","-",Manual_JE!$H48),"")</f>
        <v/>
      </c>
      <c r="L1792" s="32">
        <f>IF($A1792=1,IF(Manual_JE!$I48="","",Manual_JE!$I48),"")</f>
        <v/>
      </c>
      <c r="M1792" s="43">
        <f>IF($A1792=1,N(Manual_JE!$J48),"")</f>
        <v/>
      </c>
      <c r="N1792" s="43">
        <f>IF($A1792=1,N(Manual_JE!$K48),"")</f>
        <v/>
      </c>
      <c r="O1792" s="32">
        <f>IF($A1792=1,Manual_JE!$M48,"")</f>
        <v/>
      </c>
      <c r="P1792" s="32">
        <f>IF($A1792=1,IF(Manual_JE!$AE48="","",Manual_JE!$AE48),"")</f>
        <v/>
      </c>
      <c r="Q1792" s="32">
        <f>IF($A1792=1,Manual_JE!$AG48,"")</f>
        <v/>
      </c>
      <c r="R1792" s="32">
        <f>IF($A1792=1,IF(AND($Q1792=1,COUNTIFS(COA!$A:$A,$G1792,COA!$R:$R,1)=1),1,0),"")</f>
        <v/>
      </c>
      <c r="S1792" s="43">
        <f>IF($A1792=1,IF($R1792=1,N($M1792),0),"")</f>
        <v/>
      </c>
      <c r="T1792" s="43">
        <f>IF($A1792=1,IF($R1792=1,N($N1792),0),"")</f>
        <v/>
      </c>
      <c r="U1792" s="32">
        <f>IF($A1792=1,YEAR($D1792)*100+MONTH($D1792),"")</f>
        <v/>
      </c>
      <c r="V1792" s="32">
        <f>IF($A1792=1,IF(COUNTIF(COA!$A:$A,$G1792)=0,0,INDEX(COA!$H:$H,MATCH($G1792,COA!$A:$A,0))),"")</f>
        <v/>
      </c>
      <c r="W1792" s="32">
        <f>IF($A1792=1,IF(Manual_JE!$L48="","",Manual_JE!$L48),"")</f>
        <v/>
      </c>
      <c r="X1792" s="32">
        <f>IF($A1792=1,IF($R1792=1,"",IF($O1792=ST_POST,IF($P1792&lt;&gt;"",$P1792,"حساب غير صالح أو غير نشط"),IF($O1792=ST_REV,"معكوس: لا أثر على الدفاتر",IF($O1792=ST_CANC,"ملغى",IF($O1792=ST_APPR,"معتمد ولم يُرحَّل","مسودة"))))),"")</f>
        <v/>
      </c>
      <c r="Y1792" s="32">
        <f>IF($A1792=1,IF(AND($R1792=1,OR(LG_Acct="",$G1792=LG_Acct),OR(LG_Party="",$K1792=LG_Party),OR(LG_Loc="ALL",$I1792=LG_Loc),OR(LG_CC="ALL",$J1792=LG_CC),$D1792&gt;=LG_From,$D1792&lt;=LG_To),$D1792+ROW()/1000000,""),"")</f>
        <v/>
      </c>
      <c r="Z1792" s="32">
        <f>IF($A1792=1,IF(Manual_JE!$N48="","",Manual_JE!$N48),"")</f>
        <v/>
      </c>
      <c r="AA1792" s="32">
        <f>IF($A1792=1,IF(Manual_JE!$O48="","",Manual_JE!$O48),"")</f>
        <v/>
      </c>
      <c r="AB1792" s="32">
        <f>IF($A1792=1,IF(Manual_JE!$P48="","",Manual_JE!$P48),"")</f>
        <v/>
      </c>
      <c r="AC1792" s="32">
        <f>IF($A1792=1,IF(Manual_JE!$Q48="","",Manual_JE!$Q48),"")</f>
        <v/>
      </c>
      <c r="AD1792" s="32">
        <f>IF($A1792=1,IF(Manual_JE!$R48="","",Manual_JE!$R48),"")</f>
        <v/>
      </c>
      <c r="AE1792" s="32">
        <f>IF($A1792=1,IF(Manual_JE!$D48="إقفال",1,0),"")</f>
        <v/>
      </c>
      <c r="AF1792" s="32" t="inlineStr"/>
    </row>
    <row r="1793">
      <c r="A1793" s="32">
        <f>IF(Manual_JE!$U49=1,1,0)</f>
        <v/>
      </c>
      <c r="B1793" s="32">
        <f>IF($A1793=1,$E1793&amp;"/1","")</f>
        <v/>
      </c>
      <c r="C1793" s="32">
        <f>IF($A1793=1,IF(Manual_JE!$A49="","",Manual_JE!$A49),"")</f>
        <v/>
      </c>
      <c r="D1793" s="33">
        <f>IF($A1793=1,Manual_JE!$B49,"")</f>
        <v/>
      </c>
      <c r="E1793" s="32">
        <f>IF($A1793=1,IF(Manual_JE!$A49="","",Manual_JE!$A49),"")</f>
        <v/>
      </c>
      <c r="F1793" s="32">
        <f>IF($A1793=1,"MJE","")</f>
        <v/>
      </c>
      <c r="G1793" s="32">
        <f>IF($A1793=1,IF(Manual_JE!$E49="","",Manual_JE!$E49),"")</f>
        <v/>
      </c>
      <c r="H1793" s="32">
        <f>IF($A1793=1,IF(COUNTIF(COA!$A:$A,$G1793)=0,"حساب غير معرف",INDEX(COA!$B:$B,MATCH($G1793,COA!$A:$A,0))),"")</f>
        <v/>
      </c>
      <c r="I1793" s="32">
        <f>IF($A1793=1,IF(Manual_JE!$F49="","",Manual_JE!$F49),"")</f>
        <v/>
      </c>
      <c r="J1793" s="32">
        <f>IF($A1793=1,IF(Manual_JE!$G49="","CC00",Manual_JE!$G49),"")</f>
        <v/>
      </c>
      <c r="K1793" s="32">
        <f>IF($A1793=1,IF(Manual_JE!$H49="","-",Manual_JE!$H49),"")</f>
        <v/>
      </c>
      <c r="L1793" s="32">
        <f>IF($A1793=1,IF(Manual_JE!$I49="","",Manual_JE!$I49),"")</f>
        <v/>
      </c>
      <c r="M1793" s="43">
        <f>IF($A1793=1,N(Manual_JE!$J49),"")</f>
        <v/>
      </c>
      <c r="N1793" s="43">
        <f>IF($A1793=1,N(Manual_JE!$K49),"")</f>
        <v/>
      </c>
      <c r="O1793" s="32">
        <f>IF($A1793=1,Manual_JE!$M49,"")</f>
        <v/>
      </c>
      <c r="P1793" s="32">
        <f>IF($A1793=1,IF(Manual_JE!$AE49="","",Manual_JE!$AE49),"")</f>
        <v/>
      </c>
      <c r="Q1793" s="32">
        <f>IF($A1793=1,Manual_JE!$AG49,"")</f>
        <v/>
      </c>
      <c r="R1793" s="32">
        <f>IF($A1793=1,IF(AND($Q1793=1,COUNTIFS(COA!$A:$A,$G1793,COA!$R:$R,1)=1),1,0),"")</f>
        <v/>
      </c>
      <c r="S1793" s="43">
        <f>IF($A1793=1,IF($R1793=1,N($M1793),0),"")</f>
        <v/>
      </c>
      <c r="T1793" s="43">
        <f>IF($A1793=1,IF($R1793=1,N($N1793),0),"")</f>
        <v/>
      </c>
      <c r="U1793" s="32">
        <f>IF($A1793=1,YEAR($D1793)*100+MONTH($D1793),"")</f>
        <v/>
      </c>
      <c r="V1793" s="32">
        <f>IF($A1793=1,IF(COUNTIF(COA!$A:$A,$G1793)=0,0,INDEX(COA!$H:$H,MATCH($G1793,COA!$A:$A,0))),"")</f>
        <v/>
      </c>
      <c r="W1793" s="32">
        <f>IF($A1793=1,IF(Manual_JE!$L49="","",Manual_JE!$L49),"")</f>
        <v/>
      </c>
      <c r="X1793" s="32">
        <f>IF($A1793=1,IF($R1793=1,"",IF($O1793=ST_POST,IF($P1793&lt;&gt;"",$P1793,"حساب غير صالح أو غير نشط"),IF($O1793=ST_REV,"معكوس: لا أثر على الدفاتر",IF($O1793=ST_CANC,"ملغى",IF($O1793=ST_APPR,"معتمد ولم يُرحَّل","مسودة"))))),"")</f>
        <v/>
      </c>
      <c r="Y1793" s="32">
        <f>IF($A1793=1,IF(AND($R1793=1,OR(LG_Acct="",$G1793=LG_Acct),OR(LG_Party="",$K1793=LG_Party),OR(LG_Loc="ALL",$I1793=LG_Loc),OR(LG_CC="ALL",$J1793=LG_CC),$D1793&gt;=LG_From,$D1793&lt;=LG_To),$D1793+ROW()/1000000,""),"")</f>
        <v/>
      </c>
      <c r="Z1793" s="32">
        <f>IF($A1793=1,IF(Manual_JE!$N49="","",Manual_JE!$N49),"")</f>
        <v/>
      </c>
      <c r="AA1793" s="32">
        <f>IF($A1793=1,IF(Manual_JE!$O49="","",Manual_JE!$O49),"")</f>
        <v/>
      </c>
      <c r="AB1793" s="32">
        <f>IF($A1793=1,IF(Manual_JE!$P49="","",Manual_JE!$P49),"")</f>
        <v/>
      </c>
      <c r="AC1793" s="32">
        <f>IF($A1793=1,IF(Manual_JE!$Q49="","",Manual_JE!$Q49),"")</f>
        <v/>
      </c>
      <c r="AD1793" s="32">
        <f>IF($A1793=1,IF(Manual_JE!$R49="","",Manual_JE!$R49),"")</f>
        <v/>
      </c>
      <c r="AE1793" s="32">
        <f>IF($A1793=1,IF(Manual_JE!$D49="إقفال",1,0),"")</f>
        <v/>
      </c>
      <c r="AF1793" s="32" t="inlineStr"/>
    </row>
    <row r="1794">
      <c r="A1794" s="32">
        <f>IF(Manual_JE!$U50=1,1,0)</f>
        <v/>
      </c>
      <c r="B1794" s="32">
        <f>IF($A1794=1,$E1794&amp;"/1","")</f>
        <v/>
      </c>
      <c r="C1794" s="32">
        <f>IF($A1794=1,IF(Manual_JE!$A50="","",Manual_JE!$A50),"")</f>
        <v/>
      </c>
      <c r="D1794" s="33">
        <f>IF($A1794=1,Manual_JE!$B50,"")</f>
        <v/>
      </c>
      <c r="E1794" s="32">
        <f>IF($A1794=1,IF(Manual_JE!$A50="","",Manual_JE!$A50),"")</f>
        <v/>
      </c>
      <c r="F1794" s="32">
        <f>IF($A1794=1,"MJE","")</f>
        <v/>
      </c>
      <c r="G1794" s="32">
        <f>IF($A1794=1,IF(Manual_JE!$E50="","",Manual_JE!$E50),"")</f>
        <v/>
      </c>
      <c r="H1794" s="32">
        <f>IF($A1794=1,IF(COUNTIF(COA!$A:$A,$G1794)=0,"حساب غير معرف",INDEX(COA!$B:$B,MATCH($G1794,COA!$A:$A,0))),"")</f>
        <v/>
      </c>
      <c r="I1794" s="32">
        <f>IF($A1794=1,IF(Manual_JE!$F50="","",Manual_JE!$F50),"")</f>
        <v/>
      </c>
      <c r="J1794" s="32">
        <f>IF($A1794=1,IF(Manual_JE!$G50="","CC00",Manual_JE!$G50),"")</f>
        <v/>
      </c>
      <c r="K1794" s="32">
        <f>IF($A1794=1,IF(Manual_JE!$H50="","-",Manual_JE!$H50),"")</f>
        <v/>
      </c>
      <c r="L1794" s="32">
        <f>IF($A1794=1,IF(Manual_JE!$I50="","",Manual_JE!$I50),"")</f>
        <v/>
      </c>
      <c r="M1794" s="43">
        <f>IF($A1794=1,N(Manual_JE!$J50),"")</f>
        <v/>
      </c>
      <c r="N1794" s="43">
        <f>IF($A1794=1,N(Manual_JE!$K50),"")</f>
        <v/>
      </c>
      <c r="O1794" s="32">
        <f>IF($A1794=1,Manual_JE!$M50,"")</f>
        <v/>
      </c>
      <c r="P1794" s="32">
        <f>IF($A1794=1,IF(Manual_JE!$AE50="","",Manual_JE!$AE50),"")</f>
        <v/>
      </c>
      <c r="Q1794" s="32">
        <f>IF($A1794=1,Manual_JE!$AG50,"")</f>
        <v/>
      </c>
      <c r="R1794" s="32">
        <f>IF($A1794=1,IF(AND($Q1794=1,COUNTIFS(COA!$A:$A,$G1794,COA!$R:$R,1)=1),1,0),"")</f>
        <v/>
      </c>
      <c r="S1794" s="43">
        <f>IF($A1794=1,IF($R1794=1,N($M1794),0),"")</f>
        <v/>
      </c>
      <c r="T1794" s="43">
        <f>IF($A1794=1,IF($R1794=1,N($N1794),0),"")</f>
        <v/>
      </c>
      <c r="U1794" s="32">
        <f>IF($A1794=1,YEAR($D1794)*100+MONTH($D1794),"")</f>
        <v/>
      </c>
      <c r="V1794" s="32">
        <f>IF($A1794=1,IF(COUNTIF(COA!$A:$A,$G1794)=0,0,INDEX(COA!$H:$H,MATCH($G1794,COA!$A:$A,0))),"")</f>
        <v/>
      </c>
      <c r="W1794" s="32">
        <f>IF($A1794=1,IF(Manual_JE!$L50="","",Manual_JE!$L50),"")</f>
        <v/>
      </c>
      <c r="X1794" s="32">
        <f>IF($A1794=1,IF($R1794=1,"",IF($O1794=ST_POST,IF($P1794&lt;&gt;"",$P1794,"حساب غير صالح أو غير نشط"),IF($O1794=ST_REV,"معكوس: لا أثر على الدفاتر",IF($O1794=ST_CANC,"ملغى",IF($O1794=ST_APPR,"معتمد ولم يُرحَّل","مسودة"))))),"")</f>
        <v/>
      </c>
      <c r="Y1794" s="32">
        <f>IF($A1794=1,IF(AND($R1794=1,OR(LG_Acct="",$G1794=LG_Acct),OR(LG_Party="",$K1794=LG_Party),OR(LG_Loc="ALL",$I1794=LG_Loc),OR(LG_CC="ALL",$J1794=LG_CC),$D1794&gt;=LG_From,$D1794&lt;=LG_To),$D1794+ROW()/1000000,""),"")</f>
        <v/>
      </c>
      <c r="Z1794" s="32">
        <f>IF($A1794=1,IF(Manual_JE!$N50="","",Manual_JE!$N50),"")</f>
        <v/>
      </c>
      <c r="AA1794" s="32">
        <f>IF($A1794=1,IF(Manual_JE!$O50="","",Manual_JE!$O50),"")</f>
        <v/>
      </c>
      <c r="AB1794" s="32">
        <f>IF($A1794=1,IF(Manual_JE!$P50="","",Manual_JE!$P50),"")</f>
        <v/>
      </c>
      <c r="AC1794" s="32">
        <f>IF($A1794=1,IF(Manual_JE!$Q50="","",Manual_JE!$Q50),"")</f>
        <v/>
      </c>
      <c r="AD1794" s="32">
        <f>IF($A1794=1,IF(Manual_JE!$R50="","",Manual_JE!$R50),"")</f>
        <v/>
      </c>
      <c r="AE1794" s="32">
        <f>IF($A1794=1,IF(Manual_JE!$D50="إقفال",1,0),"")</f>
        <v/>
      </c>
      <c r="AF1794" s="32" t="inlineStr"/>
    </row>
    <row r="1795">
      <c r="A1795" s="32">
        <f>IF(Manual_JE!$U51=1,1,0)</f>
        <v/>
      </c>
      <c r="B1795" s="32">
        <f>IF($A1795=1,$E1795&amp;"/1","")</f>
        <v/>
      </c>
      <c r="C1795" s="32">
        <f>IF($A1795=1,IF(Manual_JE!$A51="","",Manual_JE!$A51),"")</f>
        <v/>
      </c>
      <c r="D1795" s="33">
        <f>IF($A1795=1,Manual_JE!$B51,"")</f>
        <v/>
      </c>
      <c r="E1795" s="32">
        <f>IF($A1795=1,IF(Manual_JE!$A51="","",Manual_JE!$A51),"")</f>
        <v/>
      </c>
      <c r="F1795" s="32">
        <f>IF($A1795=1,"MJE","")</f>
        <v/>
      </c>
      <c r="G1795" s="32">
        <f>IF($A1795=1,IF(Manual_JE!$E51="","",Manual_JE!$E51),"")</f>
        <v/>
      </c>
      <c r="H1795" s="32">
        <f>IF($A1795=1,IF(COUNTIF(COA!$A:$A,$G1795)=0,"حساب غير معرف",INDEX(COA!$B:$B,MATCH($G1795,COA!$A:$A,0))),"")</f>
        <v/>
      </c>
      <c r="I1795" s="32">
        <f>IF($A1795=1,IF(Manual_JE!$F51="","",Manual_JE!$F51),"")</f>
        <v/>
      </c>
      <c r="J1795" s="32">
        <f>IF($A1795=1,IF(Manual_JE!$G51="","CC00",Manual_JE!$G51),"")</f>
        <v/>
      </c>
      <c r="K1795" s="32">
        <f>IF($A1795=1,IF(Manual_JE!$H51="","-",Manual_JE!$H51),"")</f>
        <v/>
      </c>
      <c r="L1795" s="32">
        <f>IF($A1795=1,IF(Manual_JE!$I51="","",Manual_JE!$I51),"")</f>
        <v/>
      </c>
      <c r="M1795" s="43">
        <f>IF($A1795=1,N(Manual_JE!$J51),"")</f>
        <v/>
      </c>
      <c r="N1795" s="43">
        <f>IF($A1795=1,N(Manual_JE!$K51),"")</f>
        <v/>
      </c>
      <c r="O1795" s="32">
        <f>IF($A1795=1,Manual_JE!$M51,"")</f>
        <v/>
      </c>
      <c r="P1795" s="32">
        <f>IF($A1795=1,IF(Manual_JE!$AE51="","",Manual_JE!$AE51),"")</f>
        <v/>
      </c>
      <c r="Q1795" s="32">
        <f>IF($A1795=1,Manual_JE!$AG51,"")</f>
        <v/>
      </c>
      <c r="R1795" s="32">
        <f>IF($A1795=1,IF(AND($Q1795=1,COUNTIFS(COA!$A:$A,$G1795,COA!$R:$R,1)=1),1,0),"")</f>
        <v/>
      </c>
      <c r="S1795" s="43">
        <f>IF($A1795=1,IF($R1795=1,N($M1795),0),"")</f>
        <v/>
      </c>
      <c r="T1795" s="43">
        <f>IF($A1795=1,IF($R1795=1,N($N1795),0),"")</f>
        <v/>
      </c>
      <c r="U1795" s="32">
        <f>IF($A1795=1,YEAR($D1795)*100+MONTH($D1795),"")</f>
        <v/>
      </c>
      <c r="V1795" s="32">
        <f>IF($A1795=1,IF(COUNTIF(COA!$A:$A,$G1795)=0,0,INDEX(COA!$H:$H,MATCH($G1795,COA!$A:$A,0))),"")</f>
        <v/>
      </c>
      <c r="W1795" s="32">
        <f>IF($A1795=1,IF(Manual_JE!$L51="","",Manual_JE!$L51),"")</f>
        <v/>
      </c>
      <c r="X1795" s="32">
        <f>IF($A1795=1,IF($R1795=1,"",IF($O1795=ST_POST,IF($P1795&lt;&gt;"",$P1795,"حساب غير صالح أو غير نشط"),IF($O1795=ST_REV,"معكوس: لا أثر على الدفاتر",IF($O1795=ST_CANC,"ملغى",IF($O1795=ST_APPR,"معتمد ولم يُرحَّل","مسودة"))))),"")</f>
        <v/>
      </c>
      <c r="Y1795" s="32">
        <f>IF($A1795=1,IF(AND($R1795=1,OR(LG_Acct="",$G1795=LG_Acct),OR(LG_Party="",$K1795=LG_Party),OR(LG_Loc="ALL",$I1795=LG_Loc),OR(LG_CC="ALL",$J1795=LG_CC),$D1795&gt;=LG_From,$D1795&lt;=LG_To),$D1795+ROW()/1000000,""),"")</f>
        <v/>
      </c>
      <c r="Z1795" s="32">
        <f>IF($A1795=1,IF(Manual_JE!$N51="","",Manual_JE!$N51),"")</f>
        <v/>
      </c>
      <c r="AA1795" s="32">
        <f>IF($A1795=1,IF(Manual_JE!$O51="","",Manual_JE!$O51),"")</f>
        <v/>
      </c>
      <c r="AB1795" s="32">
        <f>IF($A1795=1,IF(Manual_JE!$P51="","",Manual_JE!$P51),"")</f>
        <v/>
      </c>
      <c r="AC1795" s="32">
        <f>IF($A1795=1,IF(Manual_JE!$Q51="","",Manual_JE!$Q51),"")</f>
        <v/>
      </c>
      <c r="AD1795" s="32">
        <f>IF($A1795=1,IF(Manual_JE!$R51="","",Manual_JE!$R51),"")</f>
        <v/>
      </c>
      <c r="AE1795" s="32">
        <f>IF($A1795=1,IF(Manual_JE!$D51="إقفال",1,0),"")</f>
        <v/>
      </c>
      <c r="AF1795" s="32" t="inlineStr"/>
    </row>
    <row r="1796">
      <c r="A1796" s="32">
        <f>IF(Manual_JE!$U52=1,1,0)</f>
        <v/>
      </c>
      <c r="B1796" s="32">
        <f>IF($A1796=1,$E1796&amp;"/1","")</f>
        <v/>
      </c>
      <c r="C1796" s="32">
        <f>IF($A1796=1,IF(Manual_JE!$A52="","",Manual_JE!$A52),"")</f>
        <v/>
      </c>
      <c r="D1796" s="33">
        <f>IF($A1796=1,Manual_JE!$B52,"")</f>
        <v/>
      </c>
      <c r="E1796" s="32">
        <f>IF($A1796=1,IF(Manual_JE!$A52="","",Manual_JE!$A52),"")</f>
        <v/>
      </c>
      <c r="F1796" s="32">
        <f>IF($A1796=1,"MJE","")</f>
        <v/>
      </c>
      <c r="G1796" s="32">
        <f>IF($A1796=1,IF(Manual_JE!$E52="","",Manual_JE!$E52),"")</f>
        <v/>
      </c>
      <c r="H1796" s="32">
        <f>IF($A1796=1,IF(COUNTIF(COA!$A:$A,$G1796)=0,"حساب غير معرف",INDEX(COA!$B:$B,MATCH($G1796,COA!$A:$A,0))),"")</f>
        <v/>
      </c>
      <c r="I1796" s="32">
        <f>IF($A1796=1,IF(Manual_JE!$F52="","",Manual_JE!$F52),"")</f>
        <v/>
      </c>
      <c r="J1796" s="32">
        <f>IF($A1796=1,IF(Manual_JE!$G52="","CC00",Manual_JE!$G52),"")</f>
        <v/>
      </c>
      <c r="K1796" s="32">
        <f>IF($A1796=1,IF(Manual_JE!$H52="","-",Manual_JE!$H52),"")</f>
        <v/>
      </c>
      <c r="L1796" s="32">
        <f>IF($A1796=1,IF(Manual_JE!$I52="","",Manual_JE!$I52),"")</f>
        <v/>
      </c>
      <c r="M1796" s="43">
        <f>IF($A1796=1,N(Manual_JE!$J52),"")</f>
        <v/>
      </c>
      <c r="N1796" s="43">
        <f>IF($A1796=1,N(Manual_JE!$K52),"")</f>
        <v/>
      </c>
      <c r="O1796" s="32">
        <f>IF($A1796=1,Manual_JE!$M52,"")</f>
        <v/>
      </c>
      <c r="P1796" s="32">
        <f>IF($A1796=1,IF(Manual_JE!$AE52="","",Manual_JE!$AE52),"")</f>
        <v/>
      </c>
      <c r="Q1796" s="32">
        <f>IF($A1796=1,Manual_JE!$AG52,"")</f>
        <v/>
      </c>
      <c r="R1796" s="32">
        <f>IF($A1796=1,IF(AND($Q1796=1,COUNTIFS(COA!$A:$A,$G1796,COA!$R:$R,1)=1),1,0),"")</f>
        <v/>
      </c>
      <c r="S1796" s="43">
        <f>IF($A1796=1,IF($R1796=1,N($M1796),0),"")</f>
        <v/>
      </c>
      <c r="T1796" s="43">
        <f>IF($A1796=1,IF($R1796=1,N($N1796),0),"")</f>
        <v/>
      </c>
      <c r="U1796" s="32">
        <f>IF($A1796=1,YEAR($D1796)*100+MONTH($D1796),"")</f>
        <v/>
      </c>
      <c r="V1796" s="32">
        <f>IF($A1796=1,IF(COUNTIF(COA!$A:$A,$G1796)=0,0,INDEX(COA!$H:$H,MATCH($G1796,COA!$A:$A,0))),"")</f>
        <v/>
      </c>
      <c r="W1796" s="32">
        <f>IF($A1796=1,IF(Manual_JE!$L52="","",Manual_JE!$L52),"")</f>
        <v/>
      </c>
      <c r="X1796" s="32">
        <f>IF($A1796=1,IF($R1796=1,"",IF($O1796=ST_POST,IF($P1796&lt;&gt;"",$P1796,"حساب غير صالح أو غير نشط"),IF($O1796=ST_REV,"معكوس: لا أثر على الدفاتر",IF($O1796=ST_CANC,"ملغى",IF($O1796=ST_APPR,"معتمد ولم يُرحَّل","مسودة"))))),"")</f>
        <v/>
      </c>
      <c r="Y1796" s="32">
        <f>IF($A1796=1,IF(AND($R1796=1,OR(LG_Acct="",$G1796=LG_Acct),OR(LG_Party="",$K1796=LG_Party),OR(LG_Loc="ALL",$I1796=LG_Loc),OR(LG_CC="ALL",$J1796=LG_CC),$D1796&gt;=LG_From,$D1796&lt;=LG_To),$D1796+ROW()/1000000,""),"")</f>
        <v/>
      </c>
      <c r="Z1796" s="32">
        <f>IF($A1796=1,IF(Manual_JE!$N52="","",Manual_JE!$N52),"")</f>
        <v/>
      </c>
      <c r="AA1796" s="32">
        <f>IF($A1796=1,IF(Manual_JE!$O52="","",Manual_JE!$O52),"")</f>
        <v/>
      </c>
      <c r="AB1796" s="32">
        <f>IF($A1796=1,IF(Manual_JE!$P52="","",Manual_JE!$P52),"")</f>
        <v/>
      </c>
      <c r="AC1796" s="32">
        <f>IF($A1796=1,IF(Manual_JE!$Q52="","",Manual_JE!$Q52),"")</f>
        <v/>
      </c>
      <c r="AD1796" s="32">
        <f>IF($A1796=1,IF(Manual_JE!$R52="","",Manual_JE!$R52),"")</f>
        <v/>
      </c>
      <c r="AE1796" s="32">
        <f>IF($A1796=1,IF(Manual_JE!$D52="إقفال",1,0),"")</f>
        <v/>
      </c>
      <c r="AF1796" s="32" t="inlineStr"/>
    </row>
    <row r="1797">
      <c r="A1797" s="32">
        <f>IF(Manual_JE!$U53=1,1,0)</f>
        <v/>
      </c>
      <c r="B1797" s="32">
        <f>IF($A1797=1,$E1797&amp;"/1","")</f>
        <v/>
      </c>
      <c r="C1797" s="32">
        <f>IF($A1797=1,IF(Manual_JE!$A53="","",Manual_JE!$A53),"")</f>
        <v/>
      </c>
      <c r="D1797" s="33">
        <f>IF($A1797=1,Manual_JE!$B53,"")</f>
        <v/>
      </c>
      <c r="E1797" s="32">
        <f>IF($A1797=1,IF(Manual_JE!$A53="","",Manual_JE!$A53),"")</f>
        <v/>
      </c>
      <c r="F1797" s="32">
        <f>IF($A1797=1,"MJE","")</f>
        <v/>
      </c>
      <c r="G1797" s="32">
        <f>IF($A1797=1,IF(Manual_JE!$E53="","",Manual_JE!$E53),"")</f>
        <v/>
      </c>
      <c r="H1797" s="32">
        <f>IF($A1797=1,IF(COUNTIF(COA!$A:$A,$G1797)=0,"حساب غير معرف",INDEX(COA!$B:$B,MATCH($G1797,COA!$A:$A,0))),"")</f>
        <v/>
      </c>
      <c r="I1797" s="32">
        <f>IF($A1797=1,IF(Manual_JE!$F53="","",Manual_JE!$F53),"")</f>
        <v/>
      </c>
      <c r="J1797" s="32">
        <f>IF($A1797=1,IF(Manual_JE!$G53="","CC00",Manual_JE!$G53),"")</f>
        <v/>
      </c>
      <c r="K1797" s="32">
        <f>IF($A1797=1,IF(Manual_JE!$H53="","-",Manual_JE!$H53),"")</f>
        <v/>
      </c>
      <c r="L1797" s="32">
        <f>IF($A1797=1,IF(Manual_JE!$I53="","",Manual_JE!$I53),"")</f>
        <v/>
      </c>
      <c r="M1797" s="43">
        <f>IF($A1797=1,N(Manual_JE!$J53),"")</f>
        <v/>
      </c>
      <c r="N1797" s="43">
        <f>IF($A1797=1,N(Manual_JE!$K53),"")</f>
        <v/>
      </c>
      <c r="O1797" s="32">
        <f>IF($A1797=1,Manual_JE!$M53,"")</f>
        <v/>
      </c>
      <c r="P1797" s="32">
        <f>IF($A1797=1,IF(Manual_JE!$AE53="","",Manual_JE!$AE53),"")</f>
        <v/>
      </c>
      <c r="Q1797" s="32">
        <f>IF($A1797=1,Manual_JE!$AG53,"")</f>
        <v/>
      </c>
      <c r="R1797" s="32">
        <f>IF($A1797=1,IF(AND($Q1797=1,COUNTIFS(COA!$A:$A,$G1797,COA!$R:$R,1)=1),1,0),"")</f>
        <v/>
      </c>
      <c r="S1797" s="43">
        <f>IF($A1797=1,IF($R1797=1,N($M1797),0),"")</f>
        <v/>
      </c>
      <c r="T1797" s="43">
        <f>IF($A1797=1,IF($R1797=1,N($N1797),0),"")</f>
        <v/>
      </c>
      <c r="U1797" s="32">
        <f>IF($A1797=1,YEAR($D1797)*100+MONTH($D1797),"")</f>
        <v/>
      </c>
      <c r="V1797" s="32">
        <f>IF($A1797=1,IF(COUNTIF(COA!$A:$A,$G1797)=0,0,INDEX(COA!$H:$H,MATCH($G1797,COA!$A:$A,0))),"")</f>
        <v/>
      </c>
      <c r="W1797" s="32">
        <f>IF($A1797=1,IF(Manual_JE!$L53="","",Manual_JE!$L53),"")</f>
        <v/>
      </c>
      <c r="X1797" s="32">
        <f>IF($A1797=1,IF($R1797=1,"",IF($O1797=ST_POST,IF($P1797&lt;&gt;"",$P1797,"حساب غير صالح أو غير نشط"),IF($O1797=ST_REV,"معكوس: لا أثر على الدفاتر",IF($O1797=ST_CANC,"ملغى",IF($O1797=ST_APPR,"معتمد ولم يُرحَّل","مسودة"))))),"")</f>
        <v/>
      </c>
      <c r="Y1797" s="32">
        <f>IF($A1797=1,IF(AND($R1797=1,OR(LG_Acct="",$G1797=LG_Acct),OR(LG_Party="",$K1797=LG_Party),OR(LG_Loc="ALL",$I1797=LG_Loc),OR(LG_CC="ALL",$J1797=LG_CC),$D1797&gt;=LG_From,$D1797&lt;=LG_To),$D1797+ROW()/1000000,""),"")</f>
        <v/>
      </c>
      <c r="Z1797" s="32">
        <f>IF($A1797=1,IF(Manual_JE!$N53="","",Manual_JE!$N53),"")</f>
        <v/>
      </c>
      <c r="AA1797" s="32">
        <f>IF($A1797=1,IF(Manual_JE!$O53="","",Manual_JE!$O53),"")</f>
        <v/>
      </c>
      <c r="AB1797" s="32">
        <f>IF($A1797=1,IF(Manual_JE!$P53="","",Manual_JE!$P53),"")</f>
        <v/>
      </c>
      <c r="AC1797" s="32">
        <f>IF($A1797=1,IF(Manual_JE!$Q53="","",Manual_JE!$Q53),"")</f>
        <v/>
      </c>
      <c r="AD1797" s="32">
        <f>IF($A1797=1,IF(Manual_JE!$R53="","",Manual_JE!$R53),"")</f>
        <v/>
      </c>
      <c r="AE1797" s="32">
        <f>IF($A1797=1,IF(Manual_JE!$D53="إقفال",1,0),"")</f>
        <v/>
      </c>
      <c r="AF1797" s="32" t="inlineStr"/>
    </row>
    <row r="1798">
      <c r="A1798" s="32">
        <f>IF(Manual_JE!$U54=1,1,0)</f>
        <v/>
      </c>
      <c r="B1798" s="32">
        <f>IF($A1798=1,$E1798&amp;"/1","")</f>
        <v/>
      </c>
      <c r="C1798" s="32">
        <f>IF($A1798=1,IF(Manual_JE!$A54="","",Manual_JE!$A54),"")</f>
        <v/>
      </c>
      <c r="D1798" s="33">
        <f>IF($A1798=1,Manual_JE!$B54,"")</f>
        <v/>
      </c>
      <c r="E1798" s="32">
        <f>IF($A1798=1,IF(Manual_JE!$A54="","",Manual_JE!$A54),"")</f>
        <v/>
      </c>
      <c r="F1798" s="32">
        <f>IF($A1798=1,"MJE","")</f>
        <v/>
      </c>
      <c r="G1798" s="32">
        <f>IF($A1798=1,IF(Manual_JE!$E54="","",Manual_JE!$E54),"")</f>
        <v/>
      </c>
      <c r="H1798" s="32">
        <f>IF($A1798=1,IF(COUNTIF(COA!$A:$A,$G1798)=0,"حساب غير معرف",INDEX(COA!$B:$B,MATCH($G1798,COA!$A:$A,0))),"")</f>
        <v/>
      </c>
      <c r="I1798" s="32">
        <f>IF($A1798=1,IF(Manual_JE!$F54="","",Manual_JE!$F54),"")</f>
        <v/>
      </c>
      <c r="J1798" s="32">
        <f>IF($A1798=1,IF(Manual_JE!$G54="","CC00",Manual_JE!$G54),"")</f>
        <v/>
      </c>
      <c r="K1798" s="32">
        <f>IF($A1798=1,IF(Manual_JE!$H54="","-",Manual_JE!$H54),"")</f>
        <v/>
      </c>
      <c r="L1798" s="32">
        <f>IF($A1798=1,IF(Manual_JE!$I54="","",Manual_JE!$I54),"")</f>
        <v/>
      </c>
      <c r="M1798" s="43">
        <f>IF($A1798=1,N(Manual_JE!$J54),"")</f>
        <v/>
      </c>
      <c r="N1798" s="43">
        <f>IF($A1798=1,N(Manual_JE!$K54),"")</f>
        <v/>
      </c>
      <c r="O1798" s="32">
        <f>IF($A1798=1,Manual_JE!$M54,"")</f>
        <v/>
      </c>
      <c r="P1798" s="32">
        <f>IF($A1798=1,IF(Manual_JE!$AE54="","",Manual_JE!$AE54),"")</f>
        <v/>
      </c>
      <c r="Q1798" s="32">
        <f>IF($A1798=1,Manual_JE!$AG54,"")</f>
        <v/>
      </c>
      <c r="R1798" s="32">
        <f>IF($A1798=1,IF(AND($Q1798=1,COUNTIFS(COA!$A:$A,$G1798,COA!$R:$R,1)=1),1,0),"")</f>
        <v/>
      </c>
      <c r="S1798" s="43">
        <f>IF($A1798=1,IF($R1798=1,N($M1798),0),"")</f>
        <v/>
      </c>
      <c r="T1798" s="43">
        <f>IF($A1798=1,IF($R1798=1,N($N1798),0),"")</f>
        <v/>
      </c>
      <c r="U1798" s="32">
        <f>IF($A1798=1,YEAR($D1798)*100+MONTH($D1798),"")</f>
        <v/>
      </c>
      <c r="V1798" s="32">
        <f>IF($A1798=1,IF(COUNTIF(COA!$A:$A,$G1798)=0,0,INDEX(COA!$H:$H,MATCH($G1798,COA!$A:$A,0))),"")</f>
        <v/>
      </c>
      <c r="W1798" s="32">
        <f>IF($A1798=1,IF(Manual_JE!$L54="","",Manual_JE!$L54),"")</f>
        <v/>
      </c>
      <c r="X1798" s="32">
        <f>IF($A1798=1,IF($R1798=1,"",IF($O1798=ST_POST,IF($P1798&lt;&gt;"",$P1798,"حساب غير صالح أو غير نشط"),IF($O1798=ST_REV,"معكوس: لا أثر على الدفاتر",IF($O1798=ST_CANC,"ملغى",IF($O1798=ST_APPR,"معتمد ولم يُرحَّل","مسودة"))))),"")</f>
        <v/>
      </c>
      <c r="Y1798" s="32">
        <f>IF($A1798=1,IF(AND($R1798=1,OR(LG_Acct="",$G1798=LG_Acct),OR(LG_Party="",$K1798=LG_Party),OR(LG_Loc="ALL",$I1798=LG_Loc),OR(LG_CC="ALL",$J1798=LG_CC),$D1798&gt;=LG_From,$D1798&lt;=LG_To),$D1798+ROW()/1000000,""),"")</f>
        <v/>
      </c>
      <c r="Z1798" s="32">
        <f>IF($A1798=1,IF(Manual_JE!$N54="","",Manual_JE!$N54),"")</f>
        <v/>
      </c>
      <c r="AA1798" s="32">
        <f>IF($A1798=1,IF(Manual_JE!$O54="","",Manual_JE!$O54),"")</f>
        <v/>
      </c>
      <c r="AB1798" s="32">
        <f>IF($A1798=1,IF(Manual_JE!$P54="","",Manual_JE!$P54),"")</f>
        <v/>
      </c>
      <c r="AC1798" s="32">
        <f>IF($A1798=1,IF(Manual_JE!$Q54="","",Manual_JE!$Q54),"")</f>
        <v/>
      </c>
      <c r="AD1798" s="32">
        <f>IF($A1798=1,IF(Manual_JE!$R54="","",Manual_JE!$R54),"")</f>
        <v/>
      </c>
      <c r="AE1798" s="32">
        <f>IF($A1798=1,IF(Manual_JE!$D54="إقفال",1,0),"")</f>
        <v/>
      </c>
      <c r="AF1798" s="32" t="inlineStr"/>
    </row>
    <row r="1799">
      <c r="A1799" s="32">
        <f>IF(Manual_JE!$U55=1,1,0)</f>
        <v/>
      </c>
      <c r="B1799" s="32">
        <f>IF($A1799=1,$E1799&amp;"/1","")</f>
        <v/>
      </c>
      <c r="C1799" s="32">
        <f>IF($A1799=1,IF(Manual_JE!$A55="","",Manual_JE!$A55),"")</f>
        <v/>
      </c>
      <c r="D1799" s="33">
        <f>IF($A1799=1,Manual_JE!$B55,"")</f>
        <v/>
      </c>
      <c r="E1799" s="32">
        <f>IF($A1799=1,IF(Manual_JE!$A55="","",Manual_JE!$A55),"")</f>
        <v/>
      </c>
      <c r="F1799" s="32">
        <f>IF($A1799=1,"MJE","")</f>
        <v/>
      </c>
      <c r="G1799" s="32">
        <f>IF($A1799=1,IF(Manual_JE!$E55="","",Manual_JE!$E55),"")</f>
        <v/>
      </c>
      <c r="H1799" s="32">
        <f>IF($A1799=1,IF(COUNTIF(COA!$A:$A,$G1799)=0,"حساب غير معرف",INDEX(COA!$B:$B,MATCH($G1799,COA!$A:$A,0))),"")</f>
        <v/>
      </c>
      <c r="I1799" s="32">
        <f>IF($A1799=1,IF(Manual_JE!$F55="","",Manual_JE!$F55),"")</f>
        <v/>
      </c>
      <c r="J1799" s="32">
        <f>IF($A1799=1,IF(Manual_JE!$G55="","CC00",Manual_JE!$G55),"")</f>
        <v/>
      </c>
      <c r="K1799" s="32">
        <f>IF($A1799=1,IF(Manual_JE!$H55="","-",Manual_JE!$H55),"")</f>
        <v/>
      </c>
      <c r="L1799" s="32">
        <f>IF($A1799=1,IF(Manual_JE!$I55="","",Manual_JE!$I55),"")</f>
        <v/>
      </c>
      <c r="M1799" s="43">
        <f>IF($A1799=1,N(Manual_JE!$J55),"")</f>
        <v/>
      </c>
      <c r="N1799" s="43">
        <f>IF($A1799=1,N(Manual_JE!$K55),"")</f>
        <v/>
      </c>
      <c r="O1799" s="32">
        <f>IF($A1799=1,Manual_JE!$M55,"")</f>
        <v/>
      </c>
      <c r="P1799" s="32">
        <f>IF($A1799=1,IF(Manual_JE!$AE55="","",Manual_JE!$AE55),"")</f>
        <v/>
      </c>
      <c r="Q1799" s="32">
        <f>IF($A1799=1,Manual_JE!$AG55,"")</f>
        <v/>
      </c>
      <c r="R1799" s="32">
        <f>IF($A1799=1,IF(AND($Q1799=1,COUNTIFS(COA!$A:$A,$G1799,COA!$R:$R,1)=1),1,0),"")</f>
        <v/>
      </c>
      <c r="S1799" s="43">
        <f>IF($A1799=1,IF($R1799=1,N($M1799),0),"")</f>
        <v/>
      </c>
      <c r="T1799" s="43">
        <f>IF($A1799=1,IF($R1799=1,N($N1799),0),"")</f>
        <v/>
      </c>
      <c r="U1799" s="32">
        <f>IF($A1799=1,YEAR($D1799)*100+MONTH($D1799),"")</f>
        <v/>
      </c>
      <c r="V1799" s="32">
        <f>IF($A1799=1,IF(COUNTIF(COA!$A:$A,$G1799)=0,0,INDEX(COA!$H:$H,MATCH($G1799,COA!$A:$A,0))),"")</f>
        <v/>
      </c>
      <c r="W1799" s="32">
        <f>IF($A1799=1,IF(Manual_JE!$L55="","",Manual_JE!$L55),"")</f>
        <v/>
      </c>
      <c r="X1799" s="32">
        <f>IF($A1799=1,IF($R1799=1,"",IF($O1799=ST_POST,IF($P1799&lt;&gt;"",$P1799,"حساب غير صالح أو غير نشط"),IF($O1799=ST_REV,"معكوس: لا أثر على الدفاتر",IF($O1799=ST_CANC,"ملغى",IF($O1799=ST_APPR,"معتمد ولم يُرحَّل","مسودة"))))),"")</f>
        <v/>
      </c>
      <c r="Y1799" s="32">
        <f>IF($A1799=1,IF(AND($R1799=1,OR(LG_Acct="",$G1799=LG_Acct),OR(LG_Party="",$K1799=LG_Party),OR(LG_Loc="ALL",$I1799=LG_Loc),OR(LG_CC="ALL",$J1799=LG_CC),$D1799&gt;=LG_From,$D1799&lt;=LG_To),$D1799+ROW()/1000000,""),"")</f>
        <v/>
      </c>
      <c r="Z1799" s="32">
        <f>IF($A1799=1,IF(Manual_JE!$N55="","",Manual_JE!$N55),"")</f>
        <v/>
      </c>
      <c r="AA1799" s="32">
        <f>IF($A1799=1,IF(Manual_JE!$O55="","",Manual_JE!$O55),"")</f>
        <v/>
      </c>
      <c r="AB1799" s="32">
        <f>IF($A1799=1,IF(Manual_JE!$P55="","",Manual_JE!$P55),"")</f>
        <v/>
      </c>
      <c r="AC1799" s="32">
        <f>IF($A1799=1,IF(Manual_JE!$Q55="","",Manual_JE!$Q55),"")</f>
        <v/>
      </c>
      <c r="AD1799" s="32">
        <f>IF($A1799=1,IF(Manual_JE!$R55="","",Manual_JE!$R55),"")</f>
        <v/>
      </c>
      <c r="AE1799" s="32">
        <f>IF($A1799=1,IF(Manual_JE!$D55="إقفال",1,0),"")</f>
        <v/>
      </c>
      <c r="AF1799" s="32" t="inlineStr"/>
    </row>
    <row r="1800">
      <c r="A1800" s="32">
        <f>IF(Manual_JE!$U56=1,1,0)</f>
        <v/>
      </c>
      <c r="B1800" s="32">
        <f>IF($A1800=1,$E1800&amp;"/1","")</f>
        <v/>
      </c>
      <c r="C1800" s="32">
        <f>IF($A1800=1,IF(Manual_JE!$A56="","",Manual_JE!$A56),"")</f>
        <v/>
      </c>
      <c r="D1800" s="33">
        <f>IF($A1800=1,Manual_JE!$B56,"")</f>
        <v/>
      </c>
      <c r="E1800" s="32">
        <f>IF($A1800=1,IF(Manual_JE!$A56="","",Manual_JE!$A56),"")</f>
        <v/>
      </c>
      <c r="F1800" s="32">
        <f>IF($A1800=1,"MJE","")</f>
        <v/>
      </c>
      <c r="G1800" s="32">
        <f>IF($A1800=1,IF(Manual_JE!$E56="","",Manual_JE!$E56),"")</f>
        <v/>
      </c>
      <c r="H1800" s="32">
        <f>IF($A1800=1,IF(COUNTIF(COA!$A:$A,$G1800)=0,"حساب غير معرف",INDEX(COA!$B:$B,MATCH($G1800,COA!$A:$A,0))),"")</f>
        <v/>
      </c>
      <c r="I1800" s="32">
        <f>IF($A1800=1,IF(Manual_JE!$F56="","",Manual_JE!$F56),"")</f>
        <v/>
      </c>
      <c r="J1800" s="32">
        <f>IF($A1800=1,IF(Manual_JE!$G56="","CC00",Manual_JE!$G56),"")</f>
        <v/>
      </c>
      <c r="K1800" s="32">
        <f>IF($A1800=1,IF(Manual_JE!$H56="","-",Manual_JE!$H56),"")</f>
        <v/>
      </c>
      <c r="L1800" s="32">
        <f>IF($A1800=1,IF(Manual_JE!$I56="","",Manual_JE!$I56),"")</f>
        <v/>
      </c>
      <c r="M1800" s="43">
        <f>IF($A1800=1,N(Manual_JE!$J56),"")</f>
        <v/>
      </c>
      <c r="N1800" s="43">
        <f>IF($A1800=1,N(Manual_JE!$K56),"")</f>
        <v/>
      </c>
      <c r="O1800" s="32">
        <f>IF($A1800=1,Manual_JE!$M56,"")</f>
        <v/>
      </c>
      <c r="P1800" s="32">
        <f>IF($A1800=1,IF(Manual_JE!$AE56="","",Manual_JE!$AE56),"")</f>
        <v/>
      </c>
      <c r="Q1800" s="32">
        <f>IF($A1800=1,Manual_JE!$AG56,"")</f>
        <v/>
      </c>
      <c r="R1800" s="32">
        <f>IF($A1800=1,IF(AND($Q1800=1,COUNTIFS(COA!$A:$A,$G1800,COA!$R:$R,1)=1),1,0),"")</f>
        <v/>
      </c>
      <c r="S1800" s="43">
        <f>IF($A1800=1,IF($R1800=1,N($M1800),0),"")</f>
        <v/>
      </c>
      <c r="T1800" s="43">
        <f>IF($A1800=1,IF($R1800=1,N($N1800),0),"")</f>
        <v/>
      </c>
      <c r="U1800" s="32">
        <f>IF($A1800=1,YEAR($D1800)*100+MONTH($D1800),"")</f>
        <v/>
      </c>
      <c r="V1800" s="32">
        <f>IF($A1800=1,IF(COUNTIF(COA!$A:$A,$G1800)=0,0,INDEX(COA!$H:$H,MATCH($G1800,COA!$A:$A,0))),"")</f>
        <v/>
      </c>
      <c r="W1800" s="32">
        <f>IF($A1800=1,IF(Manual_JE!$L56="","",Manual_JE!$L56),"")</f>
        <v/>
      </c>
      <c r="X1800" s="32">
        <f>IF($A1800=1,IF($R1800=1,"",IF($O1800=ST_POST,IF($P1800&lt;&gt;"",$P1800,"حساب غير صالح أو غير نشط"),IF($O1800=ST_REV,"معكوس: لا أثر على الدفاتر",IF($O1800=ST_CANC,"ملغى",IF($O1800=ST_APPR,"معتمد ولم يُرحَّل","مسودة"))))),"")</f>
        <v/>
      </c>
      <c r="Y1800" s="32">
        <f>IF($A1800=1,IF(AND($R1800=1,OR(LG_Acct="",$G1800=LG_Acct),OR(LG_Party="",$K1800=LG_Party),OR(LG_Loc="ALL",$I1800=LG_Loc),OR(LG_CC="ALL",$J1800=LG_CC),$D1800&gt;=LG_From,$D1800&lt;=LG_To),$D1800+ROW()/1000000,""),"")</f>
        <v/>
      </c>
      <c r="Z1800" s="32">
        <f>IF($A1800=1,IF(Manual_JE!$N56="","",Manual_JE!$N56),"")</f>
        <v/>
      </c>
      <c r="AA1800" s="32">
        <f>IF($A1800=1,IF(Manual_JE!$O56="","",Manual_JE!$O56),"")</f>
        <v/>
      </c>
      <c r="AB1800" s="32">
        <f>IF($A1800=1,IF(Manual_JE!$P56="","",Manual_JE!$P56),"")</f>
        <v/>
      </c>
      <c r="AC1800" s="32">
        <f>IF($A1800=1,IF(Manual_JE!$Q56="","",Manual_JE!$Q56),"")</f>
        <v/>
      </c>
      <c r="AD1800" s="32">
        <f>IF($A1800=1,IF(Manual_JE!$R56="","",Manual_JE!$R56),"")</f>
        <v/>
      </c>
      <c r="AE1800" s="32">
        <f>IF($A1800=1,IF(Manual_JE!$D56="إقفال",1,0),"")</f>
        <v/>
      </c>
      <c r="AF1800" s="32" t="inlineStr"/>
    </row>
    <row r="1801">
      <c r="A1801" s="32">
        <f>IF(Manual_JE!$U57=1,1,0)</f>
        <v/>
      </c>
      <c r="B1801" s="32">
        <f>IF($A1801=1,$E1801&amp;"/1","")</f>
        <v/>
      </c>
      <c r="C1801" s="32">
        <f>IF($A1801=1,IF(Manual_JE!$A57="","",Manual_JE!$A57),"")</f>
        <v/>
      </c>
      <c r="D1801" s="33">
        <f>IF($A1801=1,Manual_JE!$B57,"")</f>
        <v/>
      </c>
      <c r="E1801" s="32">
        <f>IF($A1801=1,IF(Manual_JE!$A57="","",Manual_JE!$A57),"")</f>
        <v/>
      </c>
      <c r="F1801" s="32">
        <f>IF($A1801=1,"MJE","")</f>
        <v/>
      </c>
      <c r="G1801" s="32">
        <f>IF($A1801=1,IF(Manual_JE!$E57="","",Manual_JE!$E57),"")</f>
        <v/>
      </c>
      <c r="H1801" s="32">
        <f>IF($A1801=1,IF(COUNTIF(COA!$A:$A,$G1801)=0,"حساب غير معرف",INDEX(COA!$B:$B,MATCH($G1801,COA!$A:$A,0))),"")</f>
        <v/>
      </c>
      <c r="I1801" s="32">
        <f>IF($A1801=1,IF(Manual_JE!$F57="","",Manual_JE!$F57),"")</f>
        <v/>
      </c>
      <c r="J1801" s="32">
        <f>IF($A1801=1,IF(Manual_JE!$G57="","CC00",Manual_JE!$G57),"")</f>
        <v/>
      </c>
      <c r="K1801" s="32">
        <f>IF($A1801=1,IF(Manual_JE!$H57="","-",Manual_JE!$H57),"")</f>
        <v/>
      </c>
      <c r="L1801" s="32">
        <f>IF($A1801=1,IF(Manual_JE!$I57="","",Manual_JE!$I57),"")</f>
        <v/>
      </c>
      <c r="M1801" s="43">
        <f>IF($A1801=1,N(Manual_JE!$J57),"")</f>
        <v/>
      </c>
      <c r="N1801" s="43">
        <f>IF($A1801=1,N(Manual_JE!$K57),"")</f>
        <v/>
      </c>
      <c r="O1801" s="32">
        <f>IF($A1801=1,Manual_JE!$M57,"")</f>
        <v/>
      </c>
      <c r="P1801" s="32">
        <f>IF($A1801=1,IF(Manual_JE!$AE57="","",Manual_JE!$AE57),"")</f>
        <v/>
      </c>
      <c r="Q1801" s="32">
        <f>IF($A1801=1,Manual_JE!$AG57,"")</f>
        <v/>
      </c>
      <c r="R1801" s="32">
        <f>IF($A1801=1,IF(AND($Q1801=1,COUNTIFS(COA!$A:$A,$G1801,COA!$R:$R,1)=1),1,0),"")</f>
        <v/>
      </c>
      <c r="S1801" s="43">
        <f>IF($A1801=1,IF($R1801=1,N($M1801),0),"")</f>
        <v/>
      </c>
      <c r="T1801" s="43">
        <f>IF($A1801=1,IF($R1801=1,N($N1801),0),"")</f>
        <v/>
      </c>
      <c r="U1801" s="32">
        <f>IF($A1801=1,YEAR($D1801)*100+MONTH($D1801),"")</f>
        <v/>
      </c>
      <c r="V1801" s="32">
        <f>IF($A1801=1,IF(COUNTIF(COA!$A:$A,$G1801)=0,0,INDEX(COA!$H:$H,MATCH($G1801,COA!$A:$A,0))),"")</f>
        <v/>
      </c>
      <c r="W1801" s="32">
        <f>IF($A1801=1,IF(Manual_JE!$L57="","",Manual_JE!$L57),"")</f>
        <v/>
      </c>
      <c r="X1801" s="32">
        <f>IF($A1801=1,IF($R1801=1,"",IF($O1801=ST_POST,IF($P1801&lt;&gt;"",$P1801,"حساب غير صالح أو غير نشط"),IF($O1801=ST_REV,"معكوس: لا أثر على الدفاتر",IF($O1801=ST_CANC,"ملغى",IF($O1801=ST_APPR,"معتمد ولم يُرحَّل","مسودة"))))),"")</f>
        <v/>
      </c>
      <c r="Y1801" s="32">
        <f>IF($A1801=1,IF(AND($R1801=1,OR(LG_Acct="",$G1801=LG_Acct),OR(LG_Party="",$K1801=LG_Party),OR(LG_Loc="ALL",$I1801=LG_Loc),OR(LG_CC="ALL",$J1801=LG_CC),$D1801&gt;=LG_From,$D1801&lt;=LG_To),$D1801+ROW()/1000000,""),"")</f>
        <v/>
      </c>
      <c r="Z1801" s="32">
        <f>IF($A1801=1,IF(Manual_JE!$N57="","",Manual_JE!$N57),"")</f>
        <v/>
      </c>
      <c r="AA1801" s="32">
        <f>IF($A1801=1,IF(Manual_JE!$O57="","",Manual_JE!$O57),"")</f>
        <v/>
      </c>
      <c r="AB1801" s="32">
        <f>IF($A1801=1,IF(Manual_JE!$P57="","",Manual_JE!$P57),"")</f>
        <v/>
      </c>
      <c r="AC1801" s="32">
        <f>IF($A1801=1,IF(Manual_JE!$Q57="","",Manual_JE!$Q57),"")</f>
        <v/>
      </c>
      <c r="AD1801" s="32">
        <f>IF($A1801=1,IF(Manual_JE!$R57="","",Manual_JE!$R57),"")</f>
        <v/>
      </c>
      <c r="AE1801" s="32">
        <f>IF($A1801=1,IF(Manual_JE!$D57="إقفال",1,0),"")</f>
        <v/>
      </c>
      <c r="AF1801" s="32" t="inlineStr"/>
    </row>
    <row r="1802">
      <c r="A1802" s="32">
        <f>IF(Manual_JE!$U58=1,1,0)</f>
        <v/>
      </c>
      <c r="B1802" s="32">
        <f>IF($A1802=1,$E1802&amp;"/1","")</f>
        <v/>
      </c>
      <c r="C1802" s="32">
        <f>IF($A1802=1,IF(Manual_JE!$A58="","",Manual_JE!$A58),"")</f>
        <v/>
      </c>
      <c r="D1802" s="33">
        <f>IF($A1802=1,Manual_JE!$B58,"")</f>
        <v/>
      </c>
      <c r="E1802" s="32">
        <f>IF($A1802=1,IF(Manual_JE!$A58="","",Manual_JE!$A58),"")</f>
        <v/>
      </c>
      <c r="F1802" s="32">
        <f>IF($A1802=1,"MJE","")</f>
        <v/>
      </c>
      <c r="G1802" s="32">
        <f>IF($A1802=1,IF(Manual_JE!$E58="","",Manual_JE!$E58),"")</f>
        <v/>
      </c>
      <c r="H1802" s="32">
        <f>IF($A1802=1,IF(COUNTIF(COA!$A:$A,$G1802)=0,"حساب غير معرف",INDEX(COA!$B:$B,MATCH($G1802,COA!$A:$A,0))),"")</f>
        <v/>
      </c>
      <c r="I1802" s="32">
        <f>IF($A1802=1,IF(Manual_JE!$F58="","",Manual_JE!$F58),"")</f>
        <v/>
      </c>
      <c r="J1802" s="32">
        <f>IF($A1802=1,IF(Manual_JE!$G58="","CC00",Manual_JE!$G58),"")</f>
        <v/>
      </c>
      <c r="K1802" s="32">
        <f>IF($A1802=1,IF(Manual_JE!$H58="","-",Manual_JE!$H58),"")</f>
        <v/>
      </c>
      <c r="L1802" s="32">
        <f>IF($A1802=1,IF(Manual_JE!$I58="","",Manual_JE!$I58),"")</f>
        <v/>
      </c>
      <c r="M1802" s="43">
        <f>IF($A1802=1,N(Manual_JE!$J58),"")</f>
        <v/>
      </c>
      <c r="N1802" s="43">
        <f>IF($A1802=1,N(Manual_JE!$K58),"")</f>
        <v/>
      </c>
      <c r="O1802" s="32">
        <f>IF($A1802=1,Manual_JE!$M58,"")</f>
        <v/>
      </c>
      <c r="P1802" s="32">
        <f>IF($A1802=1,IF(Manual_JE!$AE58="","",Manual_JE!$AE58),"")</f>
        <v/>
      </c>
      <c r="Q1802" s="32">
        <f>IF($A1802=1,Manual_JE!$AG58,"")</f>
        <v/>
      </c>
      <c r="R1802" s="32">
        <f>IF($A1802=1,IF(AND($Q1802=1,COUNTIFS(COA!$A:$A,$G1802,COA!$R:$R,1)=1),1,0),"")</f>
        <v/>
      </c>
      <c r="S1802" s="43">
        <f>IF($A1802=1,IF($R1802=1,N($M1802),0),"")</f>
        <v/>
      </c>
      <c r="T1802" s="43">
        <f>IF($A1802=1,IF($R1802=1,N($N1802),0),"")</f>
        <v/>
      </c>
      <c r="U1802" s="32">
        <f>IF($A1802=1,YEAR($D1802)*100+MONTH($D1802),"")</f>
        <v/>
      </c>
      <c r="V1802" s="32">
        <f>IF($A1802=1,IF(COUNTIF(COA!$A:$A,$G1802)=0,0,INDEX(COA!$H:$H,MATCH($G1802,COA!$A:$A,0))),"")</f>
        <v/>
      </c>
      <c r="W1802" s="32">
        <f>IF($A1802=1,IF(Manual_JE!$L58="","",Manual_JE!$L58),"")</f>
        <v/>
      </c>
      <c r="X1802" s="32">
        <f>IF($A1802=1,IF($R1802=1,"",IF($O1802=ST_POST,IF($P1802&lt;&gt;"",$P1802,"حساب غير صالح أو غير نشط"),IF($O1802=ST_REV,"معكوس: لا أثر على الدفاتر",IF($O1802=ST_CANC,"ملغى",IF($O1802=ST_APPR,"معتمد ولم يُرحَّل","مسودة"))))),"")</f>
        <v/>
      </c>
      <c r="Y1802" s="32">
        <f>IF($A1802=1,IF(AND($R1802=1,OR(LG_Acct="",$G1802=LG_Acct),OR(LG_Party="",$K1802=LG_Party),OR(LG_Loc="ALL",$I1802=LG_Loc),OR(LG_CC="ALL",$J1802=LG_CC),$D1802&gt;=LG_From,$D1802&lt;=LG_To),$D1802+ROW()/1000000,""),"")</f>
        <v/>
      </c>
      <c r="Z1802" s="32">
        <f>IF($A1802=1,IF(Manual_JE!$N58="","",Manual_JE!$N58),"")</f>
        <v/>
      </c>
      <c r="AA1802" s="32">
        <f>IF($A1802=1,IF(Manual_JE!$O58="","",Manual_JE!$O58),"")</f>
        <v/>
      </c>
      <c r="AB1802" s="32">
        <f>IF($A1802=1,IF(Manual_JE!$P58="","",Manual_JE!$P58),"")</f>
        <v/>
      </c>
      <c r="AC1802" s="32">
        <f>IF($A1802=1,IF(Manual_JE!$Q58="","",Manual_JE!$Q58),"")</f>
        <v/>
      </c>
      <c r="AD1802" s="32">
        <f>IF($A1802=1,IF(Manual_JE!$R58="","",Manual_JE!$R58),"")</f>
        <v/>
      </c>
      <c r="AE1802" s="32">
        <f>IF($A1802=1,IF(Manual_JE!$D58="إقفال",1,0),"")</f>
        <v/>
      </c>
      <c r="AF1802" s="32" t="inlineStr"/>
    </row>
    <row r="1803">
      <c r="A1803" s="32">
        <f>IF(Manual_JE!$U59=1,1,0)</f>
        <v/>
      </c>
      <c r="B1803" s="32">
        <f>IF($A1803=1,$E1803&amp;"/1","")</f>
        <v/>
      </c>
      <c r="C1803" s="32">
        <f>IF($A1803=1,IF(Manual_JE!$A59="","",Manual_JE!$A59),"")</f>
        <v/>
      </c>
      <c r="D1803" s="33">
        <f>IF($A1803=1,Manual_JE!$B59,"")</f>
        <v/>
      </c>
      <c r="E1803" s="32">
        <f>IF($A1803=1,IF(Manual_JE!$A59="","",Manual_JE!$A59),"")</f>
        <v/>
      </c>
      <c r="F1803" s="32">
        <f>IF($A1803=1,"MJE","")</f>
        <v/>
      </c>
      <c r="G1803" s="32">
        <f>IF($A1803=1,IF(Manual_JE!$E59="","",Manual_JE!$E59),"")</f>
        <v/>
      </c>
      <c r="H1803" s="32">
        <f>IF($A1803=1,IF(COUNTIF(COA!$A:$A,$G1803)=0,"حساب غير معرف",INDEX(COA!$B:$B,MATCH($G1803,COA!$A:$A,0))),"")</f>
        <v/>
      </c>
      <c r="I1803" s="32">
        <f>IF($A1803=1,IF(Manual_JE!$F59="","",Manual_JE!$F59),"")</f>
        <v/>
      </c>
      <c r="J1803" s="32">
        <f>IF($A1803=1,IF(Manual_JE!$G59="","CC00",Manual_JE!$G59),"")</f>
        <v/>
      </c>
      <c r="K1803" s="32">
        <f>IF($A1803=1,IF(Manual_JE!$H59="","-",Manual_JE!$H59),"")</f>
        <v/>
      </c>
      <c r="L1803" s="32">
        <f>IF($A1803=1,IF(Manual_JE!$I59="","",Manual_JE!$I59),"")</f>
        <v/>
      </c>
      <c r="M1803" s="43">
        <f>IF($A1803=1,N(Manual_JE!$J59),"")</f>
        <v/>
      </c>
      <c r="N1803" s="43">
        <f>IF($A1803=1,N(Manual_JE!$K59),"")</f>
        <v/>
      </c>
      <c r="O1803" s="32">
        <f>IF($A1803=1,Manual_JE!$M59,"")</f>
        <v/>
      </c>
      <c r="P1803" s="32">
        <f>IF($A1803=1,IF(Manual_JE!$AE59="","",Manual_JE!$AE59),"")</f>
        <v/>
      </c>
      <c r="Q1803" s="32">
        <f>IF($A1803=1,Manual_JE!$AG59,"")</f>
        <v/>
      </c>
      <c r="R1803" s="32">
        <f>IF($A1803=1,IF(AND($Q1803=1,COUNTIFS(COA!$A:$A,$G1803,COA!$R:$R,1)=1),1,0),"")</f>
        <v/>
      </c>
      <c r="S1803" s="43">
        <f>IF($A1803=1,IF($R1803=1,N($M1803),0),"")</f>
        <v/>
      </c>
      <c r="T1803" s="43">
        <f>IF($A1803=1,IF($R1803=1,N($N1803),0),"")</f>
        <v/>
      </c>
      <c r="U1803" s="32">
        <f>IF($A1803=1,YEAR($D1803)*100+MONTH($D1803),"")</f>
        <v/>
      </c>
      <c r="V1803" s="32">
        <f>IF($A1803=1,IF(COUNTIF(COA!$A:$A,$G1803)=0,0,INDEX(COA!$H:$H,MATCH($G1803,COA!$A:$A,0))),"")</f>
        <v/>
      </c>
      <c r="W1803" s="32">
        <f>IF($A1803=1,IF(Manual_JE!$L59="","",Manual_JE!$L59),"")</f>
        <v/>
      </c>
      <c r="X1803" s="32">
        <f>IF($A1803=1,IF($R1803=1,"",IF($O1803=ST_POST,IF($P1803&lt;&gt;"",$P1803,"حساب غير صالح أو غير نشط"),IF($O1803=ST_REV,"معكوس: لا أثر على الدفاتر",IF($O1803=ST_CANC,"ملغى",IF($O1803=ST_APPR,"معتمد ولم يُرحَّل","مسودة"))))),"")</f>
        <v/>
      </c>
      <c r="Y1803" s="32">
        <f>IF($A1803=1,IF(AND($R1803=1,OR(LG_Acct="",$G1803=LG_Acct),OR(LG_Party="",$K1803=LG_Party),OR(LG_Loc="ALL",$I1803=LG_Loc),OR(LG_CC="ALL",$J1803=LG_CC),$D1803&gt;=LG_From,$D1803&lt;=LG_To),$D1803+ROW()/1000000,""),"")</f>
        <v/>
      </c>
      <c r="Z1803" s="32">
        <f>IF($A1803=1,IF(Manual_JE!$N59="","",Manual_JE!$N59),"")</f>
        <v/>
      </c>
      <c r="AA1803" s="32">
        <f>IF($A1803=1,IF(Manual_JE!$O59="","",Manual_JE!$O59),"")</f>
        <v/>
      </c>
      <c r="AB1803" s="32">
        <f>IF($A1803=1,IF(Manual_JE!$P59="","",Manual_JE!$P59),"")</f>
        <v/>
      </c>
      <c r="AC1803" s="32">
        <f>IF($A1803=1,IF(Manual_JE!$Q59="","",Manual_JE!$Q59),"")</f>
        <v/>
      </c>
      <c r="AD1803" s="32">
        <f>IF($A1803=1,IF(Manual_JE!$R59="","",Manual_JE!$R59),"")</f>
        <v/>
      </c>
      <c r="AE1803" s="32">
        <f>IF($A1803=1,IF(Manual_JE!$D59="إقفال",1,0),"")</f>
        <v/>
      </c>
      <c r="AF1803" s="32" t="inlineStr"/>
    </row>
    <row r="1804">
      <c r="A1804" s="32">
        <f>IF(Manual_JE!$U60=1,1,0)</f>
        <v/>
      </c>
      <c r="B1804" s="32">
        <f>IF($A1804=1,$E1804&amp;"/1","")</f>
        <v/>
      </c>
      <c r="C1804" s="32">
        <f>IF($A1804=1,IF(Manual_JE!$A60="","",Manual_JE!$A60),"")</f>
        <v/>
      </c>
      <c r="D1804" s="33">
        <f>IF($A1804=1,Manual_JE!$B60,"")</f>
        <v/>
      </c>
      <c r="E1804" s="32">
        <f>IF($A1804=1,IF(Manual_JE!$A60="","",Manual_JE!$A60),"")</f>
        <v/>
      </c>
      <c r="F1804" s="32">
        <f>IF($A1804=1,"MJE","")</f>
        <v/>
      </c>
      <c r="G1804" s="32">
        <f>IF($A1804=1,IF(Manual_JE!$E60="","",Manual_JE!$E60),"")</f>
        <v/>
      </c>
      <c r="H1804" s="32">
        <f>IF($A1804=1,IF(COUNTIF(COA!$A:$A,$G1804)=0,"حساب غير معرف",INDEX(COA!$B:$B,MATCH($G1804,COA!$A:$A,0))),"")</f>
        <v/>
      </c>
      <c r="I1804" s="32">
        <f>IF($A1804=1,IF(Manual_JE!$F60="","",Manual_JE!$F60),"")</f>
        <v/>
      </c>
      <c r="J1804" s="32">
        <f>IF($A1804=1,IF(Manual_JE!$G60="","CC00",Manual_JE!$G60),"")</f>
        <v/>
      </c>
      <c r="K1804" s="32">
        <f>IF($A1804=1,IF(Manual_JE!$H60="","-",Manual_JE!$H60),"")</f>
        <v/>
      </c>
      <c r="L1804" s="32">
        <f>IF($A1804=1,IF(Manual_JE!$I60="","",Manual_JE!$I60),"")</f>
        <v/>
      </c>
      <c r="M1804" s="43">
        <f>IF($A1804=1,N(Manual_JE!$J60),"")</f>
        <v/>
      </c>
      <c r="N1804" s="43">
        <f>IF($A1804=1,N(Manual_JE!$K60),"")</f>
        <v/>
      </c>
      <c r="O1804" s="32">
        <f>IF($A1804=1,Manual_JE!$M60,"")</f>
        <v/>
      </c>
      <c r="P1804" s="32">
        <f>IF($A1804=1,IF(Manual_JE!$AE60="","",Manual_JE!$AE60),"")</f>
        <v/>
      </c>
      <c r="Q1804" s="32">
        <f>IF($A1804=1,Manual_JE!$AG60,"")</f>
        <v/>
      </c>
      <c r="R1804" s="32">
        <f>IF($A1804=1,IF(AND($Q1804=1,COUNTIFS(COA!$A:$A,$G1804,COA!$R:$R,1)=1),1,0),"")</f>
        <v/>
      </c>
      <c r="S1804" s="43">
        <f>IF($A1804=1,IF($R1804=1,N($M1804),0),"")</f>
        <v/>
      </c>
      <c r="T1804" s="43">
        <f>IF($A1804=1,IF($R1804=1,N($N1804),0),"")</f>
        <v/>
      </c>
      <c r="U1804" s="32">
        <f>IF($A1804=1,YEAR($D1804)*100+MONTH($D1804),"")</f>
        <v/>
      </c>
      <c r="V1804" s="32">
        <f>IF($A1804=1,IF(COUNTIF(COA!$A:$A,$G1804)=0,0,INDEX(COA!$H:$H,MATCH($G1804,COA!$A:$A,0))),"")</f>
        <v/>
      </c>
      <c r="W1804" s="32">
        <f>IF($A1804=1,IF(Manual_JE!$L60="","",Manual_JE!$L60),"")</f>
        <v/>
      </c>
      <c r="X1804" s="32">
        <f>IF($A1804=1,IF($R1804=1,"",IF($O1804=ST_POST,IF($P1804&lt;&gt;"",$P1804,"حساب غير صالح أو غير نشط"),IF($O1804=ST_REV,"معكوس: لا أثر على الدفاتر",IF($O1804=ST_CANC,"ملغى",IF($O1804=ST_APPR,"معتمد ولم يُرحَّل","مسودة"))))),"")</f>
        <v/>
      </c>
      <c r="Y1804" s="32">
        <f>IF($A1804=1,IF(AND($R1804=1,OR(LG_Acct="",$G1804=LG_Acct),OR(LG_Party="",$K1804=LG_Party),OR(LG_Loc="ALL",$I1804=LG_Loc),OR(LG_CC="ALL",$J1804=LG_CC),$D1804&gt;=LG_From,$D1804&lt;=LG_To),$D1804+ROW()/1000000,""),"")</f>
        <v/>
      </c>
      <c r="Z1804" s="32">
        <f>IF($A1804=1,IF(Manual_JE!$N60="","",Manual_JE!$N60),"")</f>
        <v/>
      </c>
      <c r="AA1804" s="32">
        <f>IF($A1804=1,IF(Manual_JE!$O60="","",Manual_JE!$O60),"")</f>
        <v/>
      </c>
      <c r="AB1804" s="32">
        <f>IF($A1804=1,IF(Manual_JE!$P60="","",Manual_JE!$P60),"")</f>
        <v/>
      </c>
      <c r="AC1804" s="32">
        <f>IF($A1804=1,IF(Manual_JE!$Q60="","",Manual_JE!$Q60),"")</f>
        <v/>
      </c>
      <c r="AD1804" s="32">
        <f>IF($A1804=1,IF(Manual_JE!$R60="","",Manual_JE!$R60),"")</f>
        <v/>
      </c>
      <c r="AE1804" s="32">
        <f>IF($A1804=1,IF(Manual_JE!$D60="إقفال",1,0),"")</f>
        <v/>
      </c>
      <c r="AF1804" s="32" t="inlineStr"/>
    </row>
    <row r="1805">
      <c r="A1805" s="32">
        <f>IF(Manual_JE!$U61=1,1,0)</f>
        <v/>
      </c>
      <c r="B1805" s="32">
        <f>IF($A1805=1,$E1805&amp;"/1","")</f>
        <v/>
      </c>
      <c r="C1805" s="32">
        <f>IF($A1805=1,IF(Manual_JE!$A61="","",Manual_JE!$A61),"")</f>
        <v/>
      </c>
      <c r="D1805" s="33">
        <f>IF($A1805=1,Manual_JE!$B61,"")</f>
        <v/>
      </c>
      <c r="E1805" s="32">
        <f>IF($A1805=1,IF(Manual_JE!$A61="","",Manual_JE!$A61),"")</f>
        <v/>
      </c>
      <c r="F1805" s="32">
        <f>IF($A1805=1,"MJE","")</f>
        <v/>
      </c>
      <c r="G1805" s="32">
        <f>IF($A1805=1,IF(Manual_JE!$E61="","",Manual_JE!$E61),"")</f>
        <v/>
      </c>
      <c r="H1805" s="32">
        <f>IF($A1805=1,IF(COUNTIF(COA!$A:$A,$G1805)=0,"حساب غير معرف",INDEX(COA!$B:$B,MATCH($G1805,COA!$A:$A,0))),"")</f>
        <v/>
      </c>
      <c r="I1805" s="32">
        <f>IF($A1805=1,IF(Manual_JE!$F61="","",Manual_JE!$F61),"")</f>
        <v/>
      </c>
      <c r="J1805" s="32">
        <f>IF($A1805=1,IF(Manual_JE!$G61="","CC00",Manual_JE!$G61),"")</f>
        <v/>
      </c>
      <c r="K1805" s="32">
        <f>IF($A1805=1,IF(Manual_JE!$H61="","-",Manual_JE!$H61),"")</f>
        <v/>
      </c>
      <c r="L1805" s="32">
        <f>IF($A1805=1,IF(Manual_JE!$I61="","",Manual_JE!$I61),"")</f>
        <v/>
      </c>
      <c r="M1805" s="43">
        <f>IF($A1805=1,N(Manual_JE!$J61),"")</f>
        <v/>
      </c>
      <c r="N1805" s="43">
        <f>IF($A1805=1,N(Manual_JE!$K61),"")</f>
        <v/>
      </c>
      <c r="O1805" s="32">
        <f>IF($A1805=1,Manual_JE!$M61,"")</f>
        <v/>
      </c>
      <c r="P1805" s="32">
        <f>IF($A1805=1,IF(Manual_JE!$AE61="","",Manual_JE!$AE61),"")</f>
        <v/>
      </c>
      <c r="Q1805" s="32">
        <f>IF($A1805=1,Manual_JE!$AG61,"")</f>
        <v/>
      </c>
      <c r="R1805" s="32">
        <f>IF($A1805=1,IF(AND($Q1805=1,COUNTIFS(COA!$A:$A,$G1805,COA!$R:$R,1)=1),1,0),"")</f>
        <v/>
      </c>
      <c r="S1805" s="43">
        <f>IF($A1805=1,IF($R1805=1,N($M1805),0),"")</f>
        <v/>
      </c>
      <c r="T1805" s="43">
        <f>IF($A1805=1,IF($R1805=1,N($N1805),0),"")</f>
        <v/>
      </c>
      <c r="U1805" s="32">
        <f>IF($A1805=1,YEAR($D1805)*100+MONTH($D1805),"")</f>
        <v/>
      </c>
      <c r="V1805" s="32">
        <f>IF($A1805=1,IF(COUNTIF(COA!$A:$A,$G1805)=0,0,INDEX(COA!$H:$H,MATCH($G1805,COA!$A:$A,0))),"")</f>
        <v/>
      </c>
      <c r="W1805" s="32">
        <f>IF($A1805=1,IF(Manual_JE!$L61="","",Manual_JE!$L61),"")</f>
        <v/>
      </c>
      <c r="X1805" s="32">
        <f>IF($A1805=1,IF($R1805=1,"",IF($O1805=ST_POST,IF($P1805&lt;&gt;"",$P1805,"حساب غير صالح أو غير نشط"),IF($O1805=ST_REV,"معكوس: لا أثر على الدفاتر",IF($O1805=ST_CANC,"ملغى",IF($O1805=ST_APPR,"معتمد ولم يُرحَّل","مسودة"))))),"")</f>
        <v/>
      </c>
      <c r="Y1805" s="32">
        <f>IF($A1805=1,IF(AND($R1805=1,OR(LG_Acct="",$G1805=LG_Acct),OR(LG_Party="",$K1805=LG_Party),OR(LG_Loc="ALL",$I1805=LG_Loc),OR(LG_CC="ALL",$J1805=LG_CC),$D1805&gt;=LG_From,$D1805&lt;=LG_To),$D1805+ROW()/1000000,""),"")</f>
        <v/>
      </c>
      <c r="Z1805" s="32">
        <f>IF($A1805=1,IF(Manual_JE!$N61="","",Manual_JE!$N61),"")</f>
        <v/>
      </c>
      <c r="AA1805" s="32">
        <f>IF($A1805=1,IF(Manual_JE!$O61="","",Manual_JE!$O61),"")</f>
        <v/>
      </c>
      <c r="AB1805" s="32">
        <f>IF($A1805=1,IF(Manual_JE!$P61="","",Manual_JE!$P61),"")</f>
        <v/>
      </c>
      <c r="AC1805" s="32">
        <f>IF($A1805=1,IF(Manual_JE!$Q61="","",Manual_JE!$Q61),"")</f>
        <v/>
      </c>
      <c r="AD1805" s="32">
        <f>IF($A1805=1,IF(Manual_JE!$R61="","",Manual_JE!$R61),"")</f>
        <v/>
      </c>
      <c r="AE1805" s="32">
        <f>IF($A1805=1,IF(Manual_JE!$D61="إقفال",1,0),"")</f>
        <v/>
      </c>
      <c r="AF1805" s="32" t="inlineStr"/>
    </row>
    <row r="1806">
      <c r="A1806" s="32">
        <f>IF(Manual_JE!$U62=1,1,0)</f>
        <v/>
      </c>
      <c r="B1806" s="32">
        <f>IF($A1806=1,$E1806&amp;"/1","")</f>
        <v/>
      </c>
      <c r="C1806" s="32">
        <f>IF($A1806=1,IF(Manual_JE!$A62="","",Manual_JE!$A62),"")</f>
        <v/>
      </c>
      <c r="D1806" s="33">
        <f>IF($A1806=1,Manual_JE!$B62,"")</f>
        <v/>
      </c>
      <c r="E1806" s="32">
        <f>IF($A1806=1,IF(Manual_JE!$A62="","",Manual_JE!$A62),"")</f>
        <v/>
      </c>
      <c r="F1806" s="32">
        <f>IF($A1806=1,"MJE","")</f>
        <v/>
      </c>
      <c r="G1806" s="32">
        <f>IF($A1806=1,IF(Manual_JE!$E62="","",Manual_JE!$E62),"")</f>
        <v/>
      </c>
      <c r="H1806" s="32">
        <f>IF($A1806=1,IF(COUNTIF(COA!$A:$A,$G1806)=0,"حساب غير معرف",INDEX(COA!$B:$B,MATCH($G1806,COA!$A:$A,0))),"")</f>
        <v/>
      </c>
      <c r="I1806" s="32">
        <f>IF($A1806=1,IF(Manual_JE!$F62="","",Manual_JE!$F62),"")</f>
        <v/>
      </c>
      <c r="J1806" s="32">
        <f>IF($A1806=1,IF(Manual_JE!$G62="","CC00",Manual_JE!$G62),"")</f>
        <v/>
      </c>
      <c r="K1806" s="32">
        <f>IF($A1806=1,IF(Manual_JE!$H62="","-",Manual_JE!$H62),"")</f>
        <v/>
      </c>
      <c r="L1806" s="32">
        <f>IF($A1806=1,IF(Manual_JE!$I62="","",Manual_JE!$I62),"")</f>
        <v/>
      </c>
      <c r="M1806" s="43">
        <f>IF($A1806=1,N(Manual_JE!$J62),"")</f>
        <v/>
      </c>
      <c r="N1806" s="43">
        <f>IF($A1806=1,N(Manual_JE!$K62),"")</f>
        <v/>
      </c>
      <c r="O1806" s="32">
        <f>IF($A1806=1,Manual_JE!$M62,"")</f>
        <v/>
      </c>
      <c r="P1806" s="32">
        <f>IF($A1806=1,IF(Manual_JE!$AE62="","",Manual_JE!$AE62),"")</f>
        <v/>
      </c>
      <c r="Q1806" s="32">
        <f>IF($A1806=1,Manual_JE!$AG62,"")</f>
        <v/>
      </c>
      <c r="R1806" s="32">
        <f>IF($A1806=1,IF(AND($Q1806=1,COUNTIFS(COA!$A:$A,$G1806,COA!$R:$R,1)=1),1,0),"")</f>
        <v/>
      </c>
      <c r="S1806" s="43">
        <f>IF($A1806=1,IF($R1806=1,N($M1806),0),"")</f>
        <v/>
      </c>
      <c r="T1806" s="43">
        <f>IF($A1806=1,IF($R1806=1,N($N1806),0),"")</f>
        <v/>
      </c>
      <c r="U1806" s="32">
        <f>IF($A1806=1,YEAR($D1806)*100+MONTH($D1806),"")</f>
        <v/>
      </c>
      <c r="V1806" s="32">
        <f>IF($A1806=1,IF(COUNTIF(COA!$A:$A,$G1806)=0,0,INDEX(COA!$H:$H,MATCH($G1806,COA!$A:$A,0))),"")</f>
        <v/>
      </c>
      <c r="W1806" s="32">
        <f>IF($A1806=1,IF(Manual_JE!$L62="","",Manual_JE!$L62),"")</f>
        <v/>
      </c>
      <c r="X1806" s="32">
        <f>IF($A1806=1,IF($R1806=1,"",IF($O1806=ST_POST,IF($P1806&lt;&gt;"",$P1806,"حساب غير صالح أو غير نشط"),IF($O1806=ST_REV,"معكوس: لا أثر على الدفاتر",IF($O1806=ST_CANC,"ملغى",IF($O1806=ST_APPR,"معتمد ولم يُرحَّل","مسودة"))))),"")</f>
        <v/>
      </c>
      <c r="Y1806" s="32">
        <f>IF($A1806=1,IF(AND($R1806=1,OR(LG_Acct="",$G1806=LG_Acct),OR(LG_Party="",$K1806=LG_Party),OR(LG_Loc="ALL",$I1806=LG_Loc),OR(LG_CC="ALL",$J1806=LG_CC),$D1806&gt;=LG_From,$D1806&lt;=LG_To),$D1806+ROW()/1000000,""),"")</f>
        <v/>
      </c>
      <c r="Z1806" s="32">
        <f>IF($A1806=1,IF(Manual_JE!$N62="","",Manual_JE!$N62),"")</f>
        <v/>
      </c>
      <c r="AA1806" s="32">
        <f>IF($A1806=1,IF(Manual_JE!$O62="","",Manual_JE!$O62),"")</f>
        <v/>
      </c>
      <c r="AB1806" s="32">
        <f>IF($A1806=1,IF(Manual_JE!$P62="","",Manual_JE!$P62),"")</f>
        <v/>
      </c>
      <c r="AC1806" s="32">
        <f>IF($A1806=1,IF(Manual_JE!$Q62="","",Manual_JE!$Q62),"")</f>
        <v/>
      </c>
      <c r="AD1806" s="32">
        <f>IF($A1806=1,IF(Manual_JE!$R62="","",Manual_JE!$R62),"")</f>
        <v/>
      </c>
      <c r="AE1806" s="32">
        <f>IF($A1806=1,IF(Manual_JE!$D62="إقفال",1,0),"")</f>
        <v/>
      </c>
      <c r="AF1806" s="32" t="inlineStr"/>
    </row>
    <row r="1807">
      <c r="A1807" s="32">
        <f>IF(Manual_JE!$U63=1,1,0)</f>
        <v/>
      </c>
      <c r="B1807" s="32">
        <f>IF($A1807=1,$E1807&amp;"/1","")</f>
        <v/>
      </c>
      <c r="C1807" s="32">
        <f>IF($A1807=1,IF(Manual_JE!$A63="","",Manual_JE!$A63),"")</f>
        <v/>
      </c>
      <c r="D1807" s="33">
        <f>IF($A1807=1,Manual_JE!$B63,"")</f>
        <v/>
      </c>
      <c r="E1807" s="32">
        <f>IF($A1807=1,IF(Manual_JE!$A63="","",Manual_JE!$A63),"")</f>
        <v/>
      </c>
      <c r="F1807" s="32">
        <f>IF($A1807=1,"MJE","")</f>
        <v/>
      </c>
      <c r="G1807" s="32">
        <f>IF($A1807=1,IF(Manual_JE!$E63="","",Manual_JE!$E63),"")</f>
        <v/>
      </c>
      <c r="H1807" s="32">
        <f>IF($A1807=1,IF(COUNTIF(COA!$A:$A,$G1807)=0,"حساب غير معرف",INDEX(COA!$B:$B,MATCH($G1807,COA!$A:$A,0))),"")</f>
        <v/>
      </c>
      <c r="I1807" s="32">
        <f>IF($A1807=1,IF(Manual_JE!$F63="","",Manual_JE!$F63),"")</f>
        <v/>
      </c>
      <c r="J1807" s="32">
        <f>IF($A1807=1,IF(Manual_JE!$G63="","CC00",Manual_JE!$G63),"")</f>
        <v/>
      </c>
      <c r="K1807" s="32">
        <f>IF($A1807=1,IF(Manual_JE!$H63="","-",Manual_JE!$H63),"")</f>
        <v/>
      </c>
      <c r="L1807" s="32">
        <f>IF($A1807=1,IF(Manual_JE!$I63="","",Manual_JE!$I63),"")</f>
        <v/>
      </c>
      <c r="M1807" s="43">
        <f>IF($A1807=1,N(Manual_JE!$J63),"")</f>
        <v/>
      </c>
      <c r="N1807" s="43">
        <f>IF($A1807=1,N(Manual_JE!$K63),"")</f>
        <v/>
      </c>
      <c r="O1807" s="32">
        <f>IF($A1807=1,Manual_JE!$M63,"")</f>
        <v/>
      </c>
      <c r="P1807" s="32">
        <f>IF($A1807=1,IF(Manual_JE!$AE63="","",Manual_JE!$AE63),"")</f>
        <v/>
      </c>
      <c r="Q1807" s="32">
        <f>IF($A1807=1,Manual_JE!$AG63,"")</f>
        <v/>
      </c>
      <c r="R1807" s="32">
        <f>IF($A1807=1,IF(AND($Q1807=1,COUNTIFS(COA!$A:$A,$G1807,COA!$R:$R,1)=1),1,0),"")</f>
        <v/>
      </c>
      <c r="S1807" s="43">
        <f>IF($A1807=1,IF($R1807=1,N($M1807),0),"")</f>
        <v/>
      </c>
      <c r="T1807" s="43">
        <f>IF($A1807=1,IF($R1807=1,N($N1807),0),"")</f>
        <v/>
      </c>
      <c r="U1807" s="32">
        <f>IF($A1807=1,YEAR($D1807)*100+MONTH($D1807),"")</f>
        <v/>
      </c>
      <c r="V1807" s="32">
        <f>IF($A1807=1,IF(COUNTIF(COA!$A:$A,$G1807)=0,0,INDEX(COA!$H:$H,MATCH($G1807,COA!$A:$A,0))),"")</f>
        <v/>
      </c>
      <c r="W1807" s="32">
        <f>IF($A1807=1,IF(Manual_JE!$L63="","",Manual_JE!$L63),"")</f>
        <v/>
      </c>
      <c r="X1807" s="32">
        <f>IF($A1807=1,IF($R1807=1,"",IF($O1807=ST_POST,IF($P1807&lt;&gt;"",$P1807,"حساب غير صالح أو غير نشط"),IF($O1807=ST_REV,"معكوس: لا أثر على الدفاتر",IF($O1807=ST_CANC,"ملغى",IF($O1807=ST_APPR,"معتمد ولم يُرحَّل","مسودة"))))),"")</f>
        <v/>
      </c>
      <c r="Y1807" s="32">
        <f>IF($A1807=1,IF(AND($R1807=1,OR(LG_Acct="",$G1807=LG_Acct),OR(LG_Party="",$K1807=LG_Party),OR(LG_Loc="ALL",$I1807=LG_Loc),OR(LG_CC="ALL",$J1807=LG_CC),$D1807&gt;=LG_From,$D1807&lt;=LG_To),$D1807+ROW()/1000000,""),"")</f>
        <v/>
      </c>
      <c r="Z1807" s="32">
        <f>IF($A1807=1,IF(Manual_JE!$N63="","",Manual_JE!$N63),"")</f>
        <v/>
      </c>
      <c r="AA1807" s="32">
        <f>IF($A1807=1,IF(Manual_JE!$O63="","",Manual_JE!$O63),"")</f>
        <v/>
      </c>
      <c r="AB1807" s="32">
        <f>IF($A1807=1,IF(Manual_JE!$P63="","",Manual_JE!$P63),"")</f>
        <v/>
      </c>
      <c r="AC1807" s="32">
        <f>IF($A1807=1,IF(Manual_JE!$Q63="","",Manual_JE!$Q63),"")</f>
        <v/>
      </c>
      <c r="AD1807" s="32">
        <f>IF($A1807=1,IF(Manual_JE!$R63="","",Manual_JE!$R63),"")</f>
        <v/>
      </c>
      <c r="AE1807" s="32">
        <f>IF($A1807=1,IF(Manual_JE!$D63="إقفال",1,0),"")</f>
        <v/>
      </c>
      <c r="AF1807" s="32" t="inlineStr"/>
    </row>
    <row r="1808">
      <c r="A1808" s="32">
        <f>IF(Manual_JE!$U64=1,1,0)</f>
        <v/>
      </c>
      <c r="B1808" s="32">
        <f>IF($A1808=1,$E1808&amp;"/1","")</f>
        <v/>
      </c>
      <c r="C1808" s="32">
        <f>IF($A1808=1,IF(Manual_JE!$A64="","",Manual_JE!$A64),"")</f>
        <v/>
      </c>
      <c r="D1808" s="33">
        <f>IF($A1808=1,Manual_JE!$B64,"")</f>
        <v/>
      </c>
      <c r="E1808" s="32">
        <f>IF($A1808=1,IF(Manual_JE!$A64="","",Manual_JE!$A64),"")</f>
        <v/>
      </c>
      <c r="F1808" s="32">
        <f>IF($A1808=1,"MJE","")</f>
        <v/>
      </c>
      <c r="G1808" s="32">
        <f>IF($A1808=1,IF(Manual_JE!$E64="","",Manual_JE!$E64),"")</f>
        <v/>
      </c>
      <c r="H1808" s="32">
        <f>IF($A1808=1,IF(COUNTIF(COA!$A:$A,$G1808)=0,"حساب غير معرف",INDEX(COA!$B:$B,MATCH($G1808,COA!$A:$A,0))),"")</f>
        <v/>
      </c>
      <c r="I1808" s="32">
        <f>IF($A1808=1,IF(Manual_JE!$F64="","",Manual_JE!$F64),"")</f>
        <v/>
      </c>
      <c r="J1808" s="32">
        <f>IF($A1808=1,IF(Manual_JE!$G64="","CC00",Manual_JE!$G64),"")</f>
        <v/>
      </c>
      <c r="K1808" s="32">
        <f>IF($A1808=1,IF(Manual_JE!$H64="","-",Manual_JE!$H64),"")</f>
        <v/>
      </c>
      <c r="L1808" s="32">
        <f>IF($A1808=1,IF(Manual_JE!$I64="","",Manual_JE!$I64),"")</f>
        <v/>
      </c>
      <c r="M1808" s="43">
        <f>IF($A1808=1,N(Manual_JE!$J64),"")</f>
        <v/>
      </c>
      <c r="N1808" s="43">
        <f>IF($A1808=1,N(Manual_JE!$K64),"")</f>
        <v/>
      </c>
      <c r="O1808" s="32">
        <f>IF($A1808=1,Manual_JE!$M64,"")</f>
        <v/>
      </c>
      <c r="P1808" s="32">
        <f>IF($A1808=1,IF(Manual_JE!$AE64="","",Manual_JE!$AE64),"")</f>
        <v/>
      </c>
      <c r="Q1808" s="32">
        <f>IF($A1808=1,Manual_JE!$AG64,"")</f>
        <v/>
      </c>
      <c r="R1808" s="32">
        <f>IF($A1808=1,IF(AND($Q1808=1,COUNTIFS(COA!$A:$A,$G1808,COA!$R:$R,1)=1),1,0),"")</f>
        <v/>
      </c>
      <c r="S1808" s="43">
        <f>IF($A1808=1,IF($R1808=1,N($M1808),0),"")</f>
        <v/>
      </c>
      <c r="T1808" s="43">
        <f>IF($A1808=1,IF($R1808=1,N($N1808),0),"")</f>
        <v/>
      </c>
      <c r="U1808" s="32">
        <f>IF($A1808=1,YEAR($D1808)*100+MONTH($D1808),"")</f>
        <v/>
      </c>
      <c r="V1808" s="32">
        <f>IF($A1808=1,IF(COUNTIF(COA!$A:$A,$G1808)=0,0,INDEX(COA!$H:$H,MATCH($G1808,COA!$A:$A,0))),"")</f>
        <v/>
      </c>
      <c r="W1808" s="32">
        <f>IF($A1808=1,IF(Manual_JE!$L64="","",Manual_JE!$L64),"")</f>
        <v/>
      </c>
      <c r="X1808" s="32">
        <f>IF($A1808=1,IF($R1808=1,"",IF($O1808=ST_POST,IF($P1808&lt;&gt;"",$P1808,"حساب غير صالح أو غير نشط"),IF($O1808=ST_REV,"معكوس: لا أثر على الدفاتر",IF($O1808=ST_CANC,"ملغى",IF($O1808=ST_APPR,"معتمد ولم يُرحَّل","مسودة"))))),"")</f>
        <v/>
      </c>
      <c r="Y1808" s="32">
        <f>IF($A1808=1,IF(AND($R1808=1,OR(LG_Acct="",$G1808=LG_Acct),OR(LG_Party="",$K1808=LG_Party),OR(LG_Loc="ALL",$I1808=LG_Loc),OR(LG_CC="ALL",$J1808=LG_CC),$D1808&gt;=LG_From,$D1808&lt;=LG_To),$D1808+ROW()/1000000,""),"")</f>
        <v/>
      </c>
      <c r="Z1808" s="32">
        <f>IF($A1808=1,IF(Manual_JE!$N64="","",Manual_JE!$N64),"")</f>
        <v/>
      </c>
      <c r="AA1808" s="32">
        <f>IF($A1808=1,IF(Manual_JE!$O64="","",Manual_JE!$O64),"")</f>
        <v/>
      </c>
      <c r="AB1808" s="32">
        <f>IF($A1808=1,IF(Manual_JE!$P64="","",Manual_JE!$P64),"")</f>
        <v/>
      </c>
      <c r="AC1808" s="32">
        <f>IF($A1808=1,IF(Manual_JE!$Q64="","",Manual_JE!$Q64),"")</f>
        <v/>
      </c>
      <c r="AD1808" s="32">
        <f>IF($A1808=1,IF(Manual_JE!$R64="","",Manual_JE!$R64),"")</f>
        <v/>
      </c>
      <c r="AE1808" s="32">
        <f>IF($A1808=1,IF(Manual_JE!$D64="إقفال",1,0),"")</f>
        <v/>
      </c>
      <c r="AF1808" s="32" t="inlineStr"/>
    </row>
  </sheetData>
  <sheetProtection selectLockedCells="0" selectUnlockedCells="0" sheet="1" objects="0" insertRows="1" insertHyperlinks="1" autoFilter="0" scenarios="0" formatColumns="0" deleteColumns="1" insertColumns="1" pivotTables="1" deleteRows="1" formatCells="0" formatRows="0" sort="1"/>
  <autoFilter ref="A4:AF1808"/>
  <conditionalFormatting sqref="O5:O1808">
    <cfRule type="expression" priority="1" dxfId="1">
      <formula>O5="مرحل"</formula>
    </cfRule>
    <cfRule type="expression" priority="2" dxfId="0">
      <formula>O5="معكوس"</formula>
    </cfRule>
  </conditionalFormatting>
  <conditionalFormatting sqref="X5:X1808">
    <cfRule type="expression" priority="3" dxfId="3">
      <formula>LEN(X5)&gt;0</formula>
    </cfRule>
  </conditionalFormatting>
  <conditionalFormatting sqref="AF5:AF1808">
    <cfRule type="expression" priority="4" dxfId="3">
      <formula>LEN(AF5)&gt;0</formula>
    </cfRule>
  </conditionalFormatting>
  <pageMargins left="0.75" right="0.75" top="1" bottom="1" header="0.5" footer="0.5"/>
  <pageSetup orientation="landscape" fitToHeight="0" fitToWidth="1"/>
</worksheet>
</file>

<file path=xl/worksheets/sheet40.xml><?xml version="1.0" encoding="utf-8"?>
<worksheet xmlns="http://schemas.openxmlformats.org/spreadsheetml/2006/main">
  <sheetPr>
    <tabColor rgb="00C00000"/>
    <outlinePr summaryBelow="1" summaryRight="1"/>
    <pageSetUpPr fitToPage="1"/>
  </sheetPr>
  <dimension ref="A1:Q512"/>
  <sheetViews>
    <sheetView rightToLeft="1" zoomScale="90" workbookViewId="0">
      <pane xSplit="1" ySplit="12" topLeftCell="B13"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20" customWidth="1" min="3" max="3"/>
    <col width="30" customWidth="1" min="4" max="4"/>
    <col width="7" customWidth="1" min="5" max="5"/>
    <col width="8" customWidth="1" min="6" max="6"/>
    <col width="28" customWidth="1" min="7" max="7"/>
    <col width="8" customWidth="1" min="8" max="8"/>
    <col width="7" customWidth="1" min="9" max="9"/>
    <col width="9" customWidth="1" min="10" max="10"/>
    <col width="34" customWidth="1" min="11" max="11"/>
    <col width="13" customWidth="1" min="12" max="12"/>
    <col width="13" customWidth="1" min="13" max="13"/>
    <col width="14" customWidth="1" min="14" max="14"/>
    <col hidden="1" width="11" customWidth="1" min="15" max="15"/>
    <col hidden="1" width="6" customWidth="1" min="16" max="16"/>
    <col hidden="1" width="6" customWidth="1" min="17" max="17"/>
  </cols>
  <sheetData>
    <row r="1" ht="26" customHeight="1">
      <c r="A1" s="22" t="inlineStr">
        <is>
          <t>الأستاذ العام وكشف حركة الحساب (General Ledger / Account Activity)</t>
        </is>
      </c>
      <c r="B1" s="1" t="n"/>
      <c r="C1" s="1" t="n"/>
      <c r="D1" s="1" t="n"/>
      <c r="E1" s="1" t="n"/>
      <c r="F1" s="1" t="n"/>
      <c r="G1" s="1" t="n"/>
      <c r="H1" s="1" t="n"/>
      <c r="I1" s="1" t="n"/>
      <c r="J1" s="1" t="n"/>
      <c r="K1" s="1" t="n"/>
      <c r="L1" s="1" t="n"/>
      <c r="M1" s="1" t="n"/>
      <c r="N1" s="1" t="n"/>
      <c r="O1" s="1" t="n"/>
      <c r="P1" s="1" t="n"/>
      <c r="Q1" s="1" t="n"/>
    </row>
    <row r="2">
      <c r="A2" s="35" t="inlineStr">
        <is>
          <t>اختر حسابًا (واختياريًا جهة: مورد/عميل/موظف، فرع، مركز تكلفة، فترة) لتظهر حركته مرتبة بالتاريخ مع الرصيد الجاري. أستاذ المورد = حساب 2101 + كود المورد. أستاذ العميل = 1301 + كود العميل. الرصيد: موجب = مدين، سالب = دائن.</t>
        </is>
      </c>
    </row>
    <row r="3">
      <c r="A3" s="36" t="inlineStr">
        <is>
          <t>خلايا الإدخال</t>
        </is>
      </c>
      <c r="B3" s="37" t="inlineStr">
        <is>
          <t>معادلات (لا تعدّل)</t>
        </is>
      </c>
    </row>
    <row r="4">
      <c r="A4" s="53" t="inlineStr">
        <is>
          <t>رقم الحساب (فارغ = كل الحسابات)</t>
        </is>
      </c>
      <c r="B4" s="29" t="n"/>
      <c r="D4" s="53" t="inlineStr">
        <is>
          <t>اسم الحساب</t>
        </is>
      </c>
      <c r="E4" s="32">
        <f>IF(LG_Acct="","(كل الحسابات)",IFERROR(INDEX(COA!$B:$B,MATCH(LG_Acct,COA!$A:$A,0)),"حساب غير معرف"))</f>
        <v/>
      </c>
    </row>
    <row r="5">
      <c r="A5" s="53" t="inlineStr">
        <is>
          <t>كود الجهة (مورد/عميل/موظف) - اختياري</t>
        </is>
      </c>
      <c r="B5" s="29" t="n"/>
      <c r="D5" s="53" t="inlineStr">
        <is>
          <t>الرصيد الافتتاحي (قبل الفترة)</t>
        </is>
      </c>
      <c r="E5" s="47">
        <f>IF(LG_Acct="",0,(SUMIFS(GL_Journal!$S:$S,GL_Journal!$G:$G,LG_Acct,GL_Journal!$D:$D,"&lt;"&amp;LG_From,GL_Journal!$I:$I,IF(LG_Loc="ALL","&lt;&gt;",LG_Loc),GL_Journal!$J:$J,IF(LG_CC="ALL","&lt;&gt;",LG_CC),GL_Journal!$K:$K,IF(LG_Party="","&lt;&gt;",LG_Party))-SUMIFS(GL_Journal!$T:$T,GL_Journal!$G:$G,LG_Acct,GL_Journal!$D:$D,"&lt;"&amp;LG_From,GL_Journal!$I:$I,IF(LG_Loc="ALL","&lt;&gt;",LG_Loc),GL_Journal!$J:$J,IF(LG_CC="ALL","&lt;&gt;",LG_CC),GL_Journal!$K:$K,IF(LG_Party="","&lt;&gt;",LG_Party))))</f>
        <v/>
      </c>
    </row>
    <row r="6">
      <c r="A6" s="53" t="inlineStr">
        <is>
          <t>الفرع/الموقع (ALL = الكل)</t>
        </is>
      </c>
      <c r="B6" s="29">
        <f>S_Branch</f>
        <v/>
      </c>
      <c r="D6" s="53" t="inlineStr">
        <is>
          <t>عدد الحركات المطابقة</t>
        </is>
      </c>
      <c r="E6" s="32">
        <f>COUNT(GL_Journal!$Y:$Y)</f>
        <v/>
      </c>
    </row>
    <row r="7">
      <c r="A7" s="53" t="inlineStr">
        <is>
          <t>مركز التكلفة (ALL = الكل)</t>
        </is>
      </c>
      <c r="B7" s="29">
        <f>S_CC</f>
        <v/>
      </c>
      <c r="D7" s="53" t="inlineStr">
        <is>
          <t>تنبيه</t>
        </is>
      </c>
      <c r="E7" s="32">
        <f>IF(E6&gt;500,"عدد الحركات أكبر من سعة العرض (500) - ضيّق الفترة أو الفلتر",IF(LG_Acct="","اختر حسابًا لعرض الرصيد الجاري",""))</f>
        <v/>
      </c>
    </row>
    <row r="8">
      <c r="A8" s="53" t="inlineStr">
        <is>
          <t>من تاريخ</t>
        </is>
      </c>
      <c r="B8" s="31">
        <f>S_From</f>
        <v/>
      </c>
      <c r="D8" s="53" t="inlineStr">
        <is>
          <t>إجمالي المدين / الدائن</t>
        </is>
      </c>
      <c r="E8" s="43">
        <f>SUM(GL_Ledger!$L$13:$L$512)</f>
        <v/>
      </c>
      <c r="F8" s="43">
        <f>SUM(GL_Ledger!$M$13:$M$512)</f>
        <v/>
      </c>
    </row>
    <row r="9">
      <c r="A9" s="53" t="inlineStr">
        <is>
          <t>إلى تاريخ</t>
        </is>
      </c>
      <c r="B9" s="31">
        <f>S_To</f>
        <v/>
      </c>
      <c r="D9" s="53" t="inlineStr">
        <is>
          <t>الرصيد الختامي</t>
        </is>
      </c>
      <c r="E9" s="47">
        <f>IF(LG_Acct="","",E5+E8-F8)</f>
        <v/>
      </c>
    </row>
    <row r="12" ht="34" customHeight="1">
      <c r="A12" s="38" t="inlineStr">
        <is>
          <t>م</t>
        </is>
      </c>
      <c r="B12" s="38" t="inlineStr">
        <is>
          <t>التاريخ</t>
        </is>
      </c>
      <c r="C12" s="38" t="inlineStr">
        <is>
          <t>رقم القيد</t>
        </is>
      </c>
      <c r="D12" s="38" t="inlineStr">
        <is>
          <t>المستند</t>
        </is>
      </c>
      <c r="E12" s="38" t="inlineStr">
        <is>
          <t>المصدر</t>
        </is>
      </c>
      <c r="F12" s="38" t="inlineStr">
        <is>
          <t>الحساب</t>
        </is>
      </c>
      <c r="G12" s="38" t="inlineStr">
        <is>
          <t>اسم الحساب</t>
        </is>
      </c>
      <c r="H12" s="38" t="inlineStr">
        <is>
          <t>الفرع</t>
        </is>
      </c>
      <c r="I12" s="38" t="inlineStr">
        <is>
          <t>م.ت</t>
        </is>
      </c>
      <c r="J12" s="38" t="inlineStr">
        <is>
          <t>الجهة</t>
        </is>
      </c>
      <c r="K12" s="38" t="inlineStr">
        <is>
          <t>البيان</t>
        </is>
      </c>
      <c r="L12" s="38" t="inlineStr">
        <is>
          <t>مدين</t>
        </is>
      </c>
      <c r="M12" s="38" t="inlineStr">
        <is>
          <t>دائن</t>
        </is>
      </c>
      <c r="N12" s="38" t="inlineStr">
        <is>
          <t>الرصيد الجاري</t>
        </is>
      </c>
      <c r="O12" s="38" t="inlineStr">
        <is>
          <t>مفتاح</t>
        </is>
      </c>
      <c r="P12" s="38" t="inlineStr">
        <is>
          <t>صف</t>
        </is>
      </c>
      <c r="Q12" s="38" t="inlineStr">
        <is>
          <t>فحص</t>
        </is>
      </c>
    </row>
    <row r="13">
      <c r="A13" s="32">
        <f>ROW()-12</f>
        <v/>
      </c>
      <c r="B13" s="33">
        <f>IF($P13="","",INDEX(GL_Journal!$D:$D,$P13))</f>
        <v/>
      </c>
      <c r="C13" s="32">
        <f>IF($P13="","",INDEX(GL_Journal!$C:$C,$P13))</f>
        <v/>
      </c>
      <c r="D13" s="32">
        <f>IF($P13="","",INDEX(GL_Journal!$E:$E,$P13))</f>
        <v/>
      </c>
      <c r="E13" s="32">
        <f>IF($P13="","",INDEX(GL_Journal!$F:$F,$P13))</f>
        <v/>
      </c>
      <c r="F13" s="32">
        <f>IF($P13="","",INDEX(GL_Journal!$G:$G,$P13))</f>
        <v/>
      </c>
      <c r="G13" s="32">
        <f>IF($P13="","",INDEX(GL_Journal!$H:$H,$P13))</f>
        <v/>
      </c>
      <c r="H13" s="32">
        <f>IF($P13="","",INDEX(GL_Journal!$I:$I,$P13))</f>
        <v/>
      </c>
      <c r="I13" s="32">
        <f>IF($P13="","",INDEX(GL_Journal!$J:$J,$P13))</f>
        <v/>
      </c>
      <c r="J13" s="32">
        <f>IF($P13="","",INDEX(GL_Journal!$K:$K,$P13))</f>
        <v/>
      </c>
      <c r="K13" s="32">
        <f>IF($P13="","",INDEX(GL_Journal!$L:$L,$P13))</f>
        <v/>
      </c>
      <c r="L13" s="43">
        <f>IF($P13="","",INDEX(GL_Journal!$M:$M,$P13))</f>
        <v/>
      </c>
      <c r="M13" s="43">
        <f>IF($P13="","",INDEX(GL_Journal!$N:$N,$P13))</f>
        <v/>
      </c>
      <c r="N13" s="47">
        <f>IF($P13="","",IF($A13=1,LG_Open,$N12)+$L13-$M13)</f>
        <v/>
      </c>
      <c r="O13" s="32">
        <f>IF($A13&gt;COUNT(GL_Journal!$Y:$Y),"",SMALL(GL_Journal!$Y:$Y,$A13))</f>
        <v/>
      </c>
      <c r="P13" s="32">
        <f>IF($O13="","",MATCH($O13,GL_Journal!$Y:$Y,0))</f>
        <v/>
      </c>
      <c r="Q13" s="32" t="inlineStr"/>
    </row>
    <row r="14">
      <c r="A14" s="32">
        <f>ROW()-12</f>
        <v/>
      </c>
      <c r="B14" s="33">
        <f>IF($P14="","",INDEX(GL_Journal!$D:$D,$P14))</f>
        <v/>
      </c>
      <c r="C14" s="32">
        <f>IF($P14="","",INDEX(GL_Journal!$C:$C,$P14))</f>
        <v/>
      </c>
      <c r="D14" s="32">
        <f>IF($P14="","",INDEX(GL_Journal!$E:$E,$P14))</f>
        <v/>
      </c>
      <c r="E14" s="32">
        <f>IF($P14="","",INDEX(GL_Journal!$F:$F,$P14))</f>
        <v/>
      </c>
      <c r="F14" s="32">
        <f>IF($P14="","",INDEX(GL_Journal!$G:$G,$P14))</f>
        <v/>
      </c>
      <c r="G14" s="32">
        <f>IF($P14="","",INDEX(GL_Journal!$H:$H,$P14))</f>
        <v/>
      </c>
      <c r="H14" s="32">
        <f>IF($P14="","",INDEX(GL_Journal!$I:$I,$P14))</f>
        <v/>
      </c>
      <c r="I14" s="32">
        <f>IF($P14="","",INDEX(GL_Journal!$J:$J,$P14))</f>
        <v/>
      </c>
      <c r="J14" s="32">
        <f>IF($P14="","",INDEX(GL_Journal!$K:$K,$P14))</f>
        <v/>
      </c>
      <c r="K14" s="32">
        <f>IF($P14="","",INDEX(GL_Journal!$L:$L,$P14))</f>
        <v/>
      </c>
      <c r="L14" s="43">
        <f>IF($P14="","",INDEX(GL_Journal!$M:$M,$P14))</f>
        <v/>
      </c>
      <c r="M14" s="43">
        <f>IF($P14="","",INDEX(GL_Journal!$N:$N,$P14))</f>
        <v/>
      </c>
      <c r="N14" s="47">
        <f>IF($P14="","",IF($A14=1,LG_Open,$N13)+$L14-$M14)</f>
        <v/>
      </c>
      <c r="O14" s="32">
        <f>IF($A14&gt;COUNT(GL_Journal!$Y:$Y),"",SMALL(GL_Journal!$Y:$Y,$A14))</f>
        <v/>
      </c>
      <c r="P14" s="32">
        <f>IF($O14="","",MATCH($O14,GL_Journal!$Y:$Y,0))</f>
        <v/>
      </c>
      <c r="Q14" s="32" t="inlineStr"/>
    </row>
    <row r="15">
      <c r="A15" s="32">
        <f>ROW()-12</f>
        <v/>
      </c>
      <c r="B15" s="33">
        <f>IF($P15="","",INDEX(GL_Journal!$D:$D,$P15))</f>
        <v/>
      </c>
      <c r="C15" s="32">
        <f>IF($P15="","",INDEX(GL_Journal!$C:$C,$P15))</f>
        <v/>
      </c>
      <c r="D15" s="32">
        <f>IF($P15="","",INDEX(GL_Journal!$E:$E,$P15))</f>
        <v/>
      </c>
      <c r="E15" s="32">
        <f>IF($P15="","",INDEX(GL_Journal!$F:$F,$P15))</f>
        <v/>
      </c>
      <c r="F15" s="32">
        <f>IF($P15="","",INDEX(GL_Journal!$G:$G,$P15))</f>
        <v/>
      </c>
      <c r="G15" s="32">
        <f>IF($P15="","",INDEX(GL_Journal!$H:$H,$P15))</f>
        <v/>
      </c>
      <c r="H15" s="32">
        <f>IF($P15="","",INDEX(GL_Journal!$I:$I,$P15))</f>
        <v/>
      </c>
      <c r="I15" s="32">
        <f>IF($P15="","",INDEX(GL_Journal!$J:$J,$P15))</f>
        <v/>
      </c>
      <c r="J15" s="32">
        <f>IF($P15="","",INDEX(GL_Journal!$K:$K,$P15))</f>
        <v/>
      </c>
      <c r="K15" s="32">
        <f>IF($P15="","",INDEX(GL_Journal!$L:$L,$P15))</f>
        <v/>
      </c>
      <c r="L15" s="43">
        <f>IF($P15="","",INDEX(GL_Journal!$M:$M,$P15))</f>
        <v/>
      </c>
      <c r="M15" s="43">
        <f>IF($P15="","",INDEX(GL_Journal!$N:$N,$P15))</f>
        <v/>
      </c>
      <c r="N15" s="47">
        <f>IF($P15="","",IF($A15=1,LG_Open,$N14)+$L15-$M15)</f>
        <v/>
      </c>
      <c r="O15" s="32">
        <f>IF($A15&gt;COUNT(GL_Journal!$Y:$Y),"",SMALL(GL_Journal!$Y:$Y,$A15))</f>
        <v/>
      </c>
      <c r="P15" s="32">
        <f>IF($O15="","",MATCH($O15,GL_Journal!$Y:$Y,0))</f>
        <v/>
      </c>
      <c r="Q15" s="32" t="inlineStr"/>
    </row>
    <row r="16">
      <c r="A16" s="32">
        <f>ROW()-12</f>
        <v/>
      </c>
      <c r="B16" s="33">
        <f>IF($P16="","",INDEX(GL_Journal!$D:$D,$P16))</f>
        <v/>
      </c>
      <c r="C16" s="32">
        <f>IF($P16="","",INDEX(GL_Journal!$C:$C,$P16))</f>
        <v/>
      </c>
      <c r="D16" s="32">
        <f>IF($P16="","",INDEX(GL_Journal!$E:$E,$P16))</f>
        <v/>
      </c>
      <c r="E16" s="32">
        <f>IF($P16="","",INDEX(GL_Journal!$F:$F,$P16))</f>
        <v/>
      </c>
      <c r="F16" s="32">
        <f>IF($P16="","",INDEX(GL_Journal!$G:$G,$P16))</f>
        <v/>
      </c>
      <c r="G16" s="32">
        <f>IF($P16="","",INDEX(GL_Journal!$H:$H,$P16))</f>
        <v/>
      </c>
      <c r="H16" s="32">
        <f>IF($P16="","",INDEX(GL_Journal!$I:$I,$P16))</f>
        <v/>
      </c>
      <c r="I16" s="32">
        <f>IF($P16="","",INDEX(GL_Journal!$J:$J,$P16))</f>
        <v/>
      </c>
      <c r="J16" s="32">
        <f>IF($P16="","",INDEX(GL_Journal!$K:$K,$P16))</f>
        <v/>
      </c>
      <c r="K16" s="32">
        <f>IF($P16="","",INDEX(GL_Journal!$L:$L,$P16))</f>
        <v/>
      </c>
      <c r="L16" s="43">
        <f>IF($P16="","",INDEX(GL_Journal!$M:$M,$P16))</f>
        <v/>
      </c>
      <c r="M16" s="43">
        <f>IF($P16="","",INDEX(GL_Journal!$N:$N,$P16))</f>
        <v/>
      </c>
      <c r="N16" s="47">
        <f>IF($P16="","",IF($A16=1,LG_Open,$N15)+$L16-$M16)</f>
        <v/>
      </c>
      <c r="O16" s="32">
        <f>IF($A16&gt;COUNT(GL_Journal!$Y:$Y),"",SMALL(GL_Journal!$Y:$Y,$A16))</f>
        <v/>
      </c>
      <c r="P16" s="32">
        <f>IF($O16="","",MATCH($O16,GL_Journal!$Y:$Y,0))</f>
        <v/>
      </c>
      <c r="Q16" s="32" t="inlineStr"/>
    </row>
    <row r="17">
      <c r="A17" s="32">
        <f>ROW()-12</f>
        <v/>
      </c>
      <c r="B17" s="33">
        <f>IF($P17="","",INDEX(GL_Journal!$D:$D,$P17))</f>
        <v/>
      </c>
      <c r="C17" s="32">
        <f>IF($P17="","",INDEX(GL_Journal!$C:$C,$P17))</f>
        <v/>
      </c>
      <c r="D17" s="32">
        <f>IF($P17="","",INDEX(GL_Journal!$E:$E,$P17))</f>
        <v/>
      </c>
      <c r="E17" s="32">
        <f>IF($P17="","",INDEX(GL_Journal!$F:$F,$P17))</f>
        <v/>
      </c>
      <c r="F17" s="32">
        <f>IF($P17="","",INDEX(GL_Journal!$G:$G,$P17))</f>
        <v/>
      </c>
      <c r="G17" s="32">
        <f>IF($P17="","",INDEX(GL_Journal!$H:$H,$P17))</f>
        <v/>
      </c>
      <c r="H17" s="32">
        <f>IF($P17="","",INDEX(GL_Journal!$I:$I,$P17))</f>
        <v/>
      </c>
      <c r="I17" s="32">
        <f>IF($P17="","",INDEX(GL_Journal!$J:$J,$P17))</f>
        <v/>
      </c>
      <c r="J17" s="32">
        <f>IF($P17="","",INDEX(GL_Journal!$K:$K,$P17))</f>
        <v/>
      </c>
      <c r="K17" s="32">
        <f>IF($P17="","",INDEX(GL_Journal!$L:$L,$P17))</f>
        <v/>
      </c>
      <c r="L17" s="43">
        <f>IF($P17="","",INDEX(GL_Journal!$M:$M,$P17))</f>
        <v/>
      </c>
      <c r="M17" s="43">
        <f>IF($P17="","",INDEX(GL_Journal!$N:$N,$P17))</f>
        <v/>
      </c>
      <c r="N17" s="47">
        <f>IF($P17="","",IF($A17=1,LG_Open,$N16)+$L17-$M17)</f>
        <v/>
      </c>
      <c r="O17" s="32">
        <f>IF($A17&gt;COUNT(GL_Journal!$Y:$Y),"",SMALL(GL_Journal!$Y:$Y,$A17))</f>
        <v/>
      </c>
      <c r="P17" s="32">
        <f>IF($O17="","",MATCH($O17,GL_Journal!$Y:$Y,0))</f>
        <v/>
      </c>
      <c r="Q17" s="32" t="inlineStr"/>
    </row>
    <row r="18">
      <c r="A18" s="32">
        <f>ROW()-12</f>
        <v/>
      </c>
      <c r="B18" s="33">
        <f>IF($P18="","",INDEX(GL_Journal!$D:$D,$P18))</f>
        <v/>
      </c>
      <c r="C18" s="32">
        <f>IF($P18="","",INDEX(GL_Journal!$C:$C,$P18))</f>
        <v/>
      </c>
      <c r="D18" s="32">
        <f>IF($P18="","",INDEX(GL_Journal!$E:$E,$P18))</f>
        <v/>
      </c>
      <c r="E18" s="32">
        <f>IF($P18="","",INDEX(GL_Journal!$F:$F,$P18))</f>
        <v/>
      </c>
      <c r="F18" s="32">
        <f>IF($P18="","",INDEX(GL_Journal!$G:$G,$P18))</f>
        <v/>
      </c>
      <c r="G18" s="32">
        <f>IF($P18="","",INDEX(GL_Journal!$H:$H,$P18))</f>
        <v/>
      </c>
      <c r="H18" s="32">
        <f>IF($P18="","",INDEX(GL_Journal!$I:$I,$P18))</f>
        <v/>
      </c>
      <c r="I18" s="32">
        <f>IF($P18="","",INDEX(GL_Journal!$J:$J,$P18))</f>
        <v/>
      </c>
      <c r="J18" s="32">
        <f>IF($P18="","",INDEX(GL_Journal!$K:$K,$P18))</f>
        <v/>
      </c>
      <c r="K18" s="32">
        <f>IF($P18="","",INDEX(GL_Journal!$L:$L,$P18))</f>
        <v/>
      </c>
      <c r="L18" s="43">
        <f>IF($P18="","",INDEX(GL_Journal!$M:$M,$P18))</f>
        <v/>
      </c>
      <c r="M18" s="43">
        <f>IF($P18="","",INDEX(GL_Journal!$N:$N,$P18))</f>
        <v/>
      </c>
      <c r="N18" s="47">
        <f>IF($P18="","",IF($A18=1,LG_Open,$N17)+$L18-$M18)</f>
        <v/>
      </c>
      <c r="O18" s="32">
        <f>IF($A18&gt;COUNT(GL_Journal!$Y:$Y),"",SMALL(GL_Journal!$Y:$Y,$A18))</f>
        <v/>
      </c>
      <c r="P18" s="32">
        <f>IF($O18="","",MATCH($O18,GL_Journal!$Y:$Y,0))</f>
        <v/>
      </c>
      <c r="Q18" s="32" t="inlineStr"/>
    </row>
    <row r="19">
      <c r="A19" s="32">
        <f>ROW()-12</f>
        <v/>
      </c>
      <c r="B19" s="33">
        <f>IF($P19="","",INDEX(GL_Journal!$D:$D,$P19))</f>
        <v/>
      </c>
      <c r="C19" s="32">
        <f>IF($P19="","",INDEX(GL_Journal!$C:$C,$P19))</f>
        <v/>
      </c>
      <c r="D19" s="32">
        <f>IF($P19="","",INDEX(GL_Journal!$E:$E,$P19))</f>
        <v/>
      </c>
      <c r="E19" s="32">
        <f>IF($P19="","",INDEX(GL_Journal!$F:$F,$P19))</f>
        <v/>
      </c>
      <c r="F19" s="32">
        <f>IF($P19="","",INDEX(GL_Journal!$G:$G,$P19))</f>
        <v/>
      </c>
      <c r="G19" s="32">
        <f>IF($P19="","",INDEX(GL_Journal!$H:$H,$P19))</f>
        <v/>
      </c>
      <c r="H19" s="32">
        <f>IF($P19="","",INDEX(GL_Journal!$I:$I,$P19))</f>
        <v/>
      </c>
      <c r="I19" s="32">
        <f>IF($P19="","",INDEX(GL_Journal!$J:$J,$P19))</f>
        <v/>
      </c>
      <c r="J19" s="32">
        <f>IF($P19="","",INDEX(GL_Journal!$K:$K,$P19))</f>
        <v/>
      </c>
      <c r="K19" s="32">
        <f>IF($P19="","",INDEX(GL_Journal!$L:$L,$P19))</f>
        <v/>
      </c>
      <c r="L19" s="43">
        <f>IF($P19="","",INDEX(GL_Journal!$M:$M,$P19))</f>
        <v/>
      </c>
      <c r="M19" s="43">
        <f>IF($P19="","",INDEX(GL_Journal!$N:$N,$P19))</f>
        <v/>
      </c>
      <c r="N19" s="47">
        <f>IF($P19="","",IF($A19=1,LG_Open,$N18)+$L19-$M19)</f>
        <v/>
      </c>
      <c r="O19" s="32">
        <f>IF($A19&gt;COUNT(GL_Journal!$Y:$Y),"",SMALL(GL_Journal!$Y:$Y,$A19))</f>
        <v/>
      </c>
      <c r="P19" s="32">
        <f>IF($O19="","",MATCH($O19,GL_Journal!$Y:$Y,0))</f>
        <v/>
      </c>
      <c r="Q19" s="32" t="inlineStr"/>
    </row>
    <row r="20">
      <c r="A20" s="32">
        <f>ROW()-12</f>
        <v/>
      </c>
      <c r="B20" s="33">
        <f>IF($P20="","",INDEX(GL_Journal!$D:$D,$P20))</f>
        <v/>
      </c>
      <c r="C20" s="32">
        <f>IF($P20="","",INDEX(GL_Journal!$C:$C,$P20))</f>
        <v/>
      </c>
      <c r="D20" s="32">
        <f>IF($P20="","",INDEX(GL_Journal!$E:$E,$P20))</f>
        <v/>
      </c>
      <c r="E20" s="32">
        <f>IF($P20="","",INDEX(GL_Journal!$F:$F,$P20))</f>
        <v/>
      </c>
      <c r="F20" s="32">
        <f>IF($P20="","",INDEX(GL_Journal!$G:$G,$P20))</f>
        <v/>
      </c>
      <c r="G20" s="32">
        <f>IF($P20="","",INDEX(GL_Journal!$H:$H,$P20))</f>
        <v/>
      </c>
      <c r="H20" s="32">
        <f>IF($P20="","",INDEX(GL_Journal!$I:$I,$P20))</f>
        <v/>
      </c>
      <c r="I20" s="32">
        <f>IF($P20="","",INDEX(GL_Journal!$J:$J,$P20))</f>
        <v/>
      </c>
      <c r="J20" s="32">
        <f>IF($P20="","",INDEX(GL_Journal!$K:$K,$P20))</f>
        <v/>
      </c>
      <c r="K20" s="32">
        <f>IF($P20="","",INDEX(GL_Journal!$L:$L,$P20))</f>
        <v/>
      </c>
      <c r="L20" s="43">
        <f>IF($P20="","",INDEX(GL_Journal!$M:$M,$P20))</f>
        <v/>
      </c>
      <c r="M20" s="43">
        <f>IF($P20="","",INDEX(GL_Journal!$N:$N,$P20))</f>
        <v/>
      </c>
      <c r="N20" s="47">
        <f>IF($P20="","",IF($A20=1,LG_Open,$N19)+$L20-$M20)</f>
        <v/>
      </c>
      <c r="O20" s="32">
        <f>IF($A20&gt;COUNT(GL_Journal!$Y:$Y),"",SMALL(GL_Journal!$Y:$Y,$A20))</f>
        <v/>
      </c>
      <c r="P20" s="32">
        <f>IF($O20="","",MATCH($O20,GL_Journal!$Y:$Y,0))</f>
        <v/>
      </c>
      <c r="Q20" s="32" t="inlineStr"/>
    </row>
    <row r="21">
      <c r="A21" s="32">
        <f>ROW()-12</f>
        <v/>
      </c>
      <c r="B21" s="33">
        <f>IF($P21="","",INDEX(GL_Journal!$D:$D,$P21))</f>
        <v/>
      </c>
      <c r="C21" s="32">
        <f>IF($P21="","",INDEX(GL_Journal!$C:$C,$P21))</f>
        <v/>
      </c>
      <c r="D21" s="32">
        <f>IF($P21="","",INDEX(GL_Journal!$E:$E,$P21))</f>
        <v/>
      </c>
      <c r="E21" s="32">
        <f>IF($P21="","",INDEX(GL_Journal!$F:$F,$P21))</f>
        <v/>
      </c>
      <c r="F21" s="32">
        <f>IF($P21="","",INDEX(GL_Journal!$G:$G,$P21))</f>
        <v/>
      </c>
      <c r="G21" s="32">
        <f>IF($P21="","",INDEX(GL_Journal!$H:$H,$P21))</f>
        <v/>
      </c>
      <c r="H21" s="32">
        <f>IF($P21="","",INDEX(GL_Journal!$I:$I,$P21))</f>
        <v/>
      </c>
      <c r="I21" s="32">
        <f>IF($P21="","",INDEX(GL_Journal!$J:$J,$P21))</f>
        <v/>
      </c>
      <c r="J21" s="32">
        <f>IF($P21="","",INDEX(GL_Journal!$K:$K,$P21))</f>
        <v/>
      </c>
      <c r="K21" s="32">
        <f>IF($P21="","",INDEX(GL_Journal!$L:$L,$P21))</f>
        <v/>
      </c>
      <c r="L21" s="43">
        <f>IF($P21="","",INDEX(GL_Journal!$M:$M,$P21))</f>
        <v/>
      </c>
      <c r="M21" s="43">
        <f>IF($P21="","",INDEX(GL_Journal!$N:$N,$P21))</f>
        <v/>
      </c>
      <c r="N21" s="47">
        <f>IF($P21="","",IF($A21=1,LG_Open,$N20)+$L21-$M21)</f>
        <v/>
      </c>
      <c r="O21" s="32">
        <f>IF($A21&gt;COUNT(GL_Journal!$Y:$Y),"",SMALL(GL_Journal!$Y:$Y,$A21))</f>
        <v/>
      </c>
      <c r="P21" s="32">
        <f>IF($O21="","",MATCH($O21,GL_Journal!$Y:$Y,0))</f>
        <v/>
      </c>
      <c r="Q21" s="32" t="inlineStr"/>
    </row>
    <row r="22">
      <c r="A22" s="32">
        <f>ROW()-12</f>
        <v/>
      </c>
      <c r="B22" s="33">
        <f>IF($P22="","",INDEX(GL_Journal!$D:$D,$P22))</f>
        <v/>
      </c>
      <c r="C22" s="32">
        <f>IF($P22="","",INDEX(GL_Journal!$C:$C,$P22))</f>
        <v/>
      </c>
      <c r="D22" s="32">
        <f>IF($P22="","",INDEX(GL_Journal!$E:$E,$P22))</f>
        <v/>
      </c>
      <c r="E22" s="32">
        <f>IF($P22="","",INDEX(GL_Journal!$F:$F,$P22))</f>
        <v/>
      </c>
      <c r="F22" s="32">
        <f>IF($P22="","",INDEX(GL_Journal!$G:$G,$P22))</f>
        <v/>
      </c>
      <c r="G22" s="32">
        <f>IF($P22="","",INDEX(GL_Journal!$H:$H,$P22))</f>
        <v/>
      </c>
      <c r="H22" s="32">
        <f>IF($P22="","",INDEX(GL_Journal!$I:$I,$P22))</f>
        <v/>
      </c>
      <c r="I22" s="32">
        <f>IF($P22="","",INDEX(GL_Journal!$J:$J,$P22))</f>
        <v/>
      </c>
      <c r="J22" s="32">
        <f>IF($P22="","",INDEX(GL_Journal!$K:$K,$P22))</f>
        <v/>
      </c>
      <c r="K22" s="32">
        <f>IF($P22="","",INDEX(GL_Journal!$L:$L,$P22))</f>
        <v/>
      </c>
      <c r="L22" s="43">
        <f>IF($P22="","",INDEX(GL_Journal!$M:$M,$P22))</f>
        <v/>
      </c>
      <c r="M22" s="43">
        <f>IF($P22="","",INDEX(GL_Journal!$N:$N,$P22))</f>
        <v/>
      </c>
      <c r="N22" s="47">
        <f>IF($P22="","",IF($A22=1,LG_Open,$N21)+$L22-$M22)</f>
        <v/>
      </c>
      <c r="O22" s="32">
        <f>IF($A22&gt;COUNT(GL_Journal!$Y:$Y),"",SMALL(GL_Journal!$Y:$Y,$A22))</f>
        <v/>
      </c>
      <c r="P22" s="32">
        <f>IF($O22="","",MATCH($O22,GL_Journal!$Y:$Y,0))</f>
        <v/>
      </c>
      <c r="Q22" s="32" t="inlineStr"/>
    </row>
    <row r="23">
      <c r="A23" s="32">
        <f>ROW()-12</f>
        <v/>
      </c>
      <c r="B23" s="33">
        <f>IF($P23="","",INDEX(GL_Journal!$D:$D,$P23))</f>
        <v/>
      </c>
      <c r="C23" s="32">
        <f>IF($P23="","",INDEX(GL_Journal!$C:$C,$P23))</f>
        <v/>
      </c>
      <c r="D23" s="32">
        <f>IF($P23="","",INDEX(GL_Journal!$E:$E,$P23))</f>
        <v/>
      </c>
      <c r="E23" s="32">
        <f>IF($P23="","",INDEX(GL_Journal!$F:$F,$P23))</f>
        <v/>
      </c>
      <c r="F23" s="32">
        <f>IF($P23="","",INDEX(GL_Journal!$G:$G,$P23))</f>
        <v/>
      </c>
      <c r="G23" s="32">
        <f>IF($P23="","",INDEX(GL_Journal!$H:$H,$P23))</f>
        <v/>
      </c>
      <c r="H23" s="32">
        <f>IF($P23="","",INDEX(GL_Journal!$I:$I,$P23))</f>
        <v/>
      </c>
      <c r="I23" s="32">
        <f>IF($P23="","",INDEX(GL_Journal!$J:$J,$P23))</f>
        <v/>
      </c>
      <c r="J23" s="32">
        <f>IF($P23="","",INDEX(GL_Journal!$K:$K,$P23))</f>
        <v/>
      </c>
      <c r="K23" s="32">
        <f>IF($P23="","",INDEX(GL_Journal!$L:$L,$P23))</f>
        <v/>
      </c>
      <c r="L23" s="43">
        <f>IF($P23="","",INDEX(GL_Journal!$M:$M,$P23))</f>
        <v/>
      </c>
      <c r="M23" s="43">
        <f>IF($P23="","",INDEX(GL_Journal!$N:$N,$P23))</f>
        <v/>
      </c>
      <c r="N23" s="47">
        <f>IF($P23="","",IF($A23=1,LG_Open,$N22)+$L23-$M23)</f>
        <v/>
      </c>
      <c r="O23" s="32">
        <f>IF($A23&gt;COUNT(GL_Journal!$Y:$Y),"",SMALL(GL_Journal!$Y:$Y,$A23))</f>
        <v/>
      </c>
      <c r="P23" s="32">
        <f>IF($O23="","",MATCH($O23,GL_Journal!$Y:$Y,0))</f>
        <v/>
      </c>
      <c r="Q23" s="32" t="inlineStr"/>
    </row>
    <row r="24">
      <c r="A24" s="32">
        <f>ROW()-12</f>
        <v/>
      </c>
      <c r="B24" s="33">
        <f>IF($P24="","",INDEX(GL_Journal!$D:$D,$P24))</f>
        <v/>
      </c>
      <c r="C24" s="32">
        <f>IF($P24="","",INDEX(GL_Journal!$C:$C,$P24))</f>
        <v/>
      </c>
      <c r="D24" s="32">
        <f>IF($P24="","",INDEX(GL_Journal!$E:$E,$P24))</f>
        <v/>
      </c>
      <c r="E24" s="32">
        <f>IF($P24="","",INDEX(GL_Journal!$F:$F,$P24))</f>
        <v/>
      </c>
      <c r="F24" s="32">
        <f>IF($P24="","",INDEX(GL_Journal!$G:$G,$P24))</f>
        <v/>
      </c>
      <c r="G24" s="32">
        <f>IF($P24="","",INDEX(GL_Journal!$H:$H,$P24))</f>
        <v/>
      </c>
      <c r="H24" s="32">
        <f>IF($P24="","",INDEX(GL_Journal!$I:$I,$P24))</f>
        <v/>
      </c>
      <c r="I24" s="32">
        <f>IF($P24="","",INDEX(GL_Journal!$J:$J,$P24))</f>
        <v/>
      </c>
      <c r="J24" s="32">
        <f>IF($P24="","",INDEX(GL_Journal!$K:$K,$P24))</f>
        <v/>
      </c>
      <c r="K24" s="32">
        <f>IF($P24="","",INDEX(GL_Journal!$L:$L,$P24))</f>
        <v/>
      </c>
      <c r="L24" s="43">
        <f>IF($P24="","",INDEX(GL_Journal!$M:$M,$P24))</f>
        <v/>
      </c>
      <c r="M24" s="43">
        <f>IF($P24="","",INDEX(GL_Journal!$N:$N,$P24))</f>
        <v/>
      </c>
      <c r="N24" s="47">
        <f>IF($P24="","",IF($A24=1,LG_Open,$N23)+$L24-$M24)</f>
        <v/>
      </c>
      <c r="O24" s="32">
        <f>IF($A24&gt;COUNT(GL_Journal!$Y:$Y),"",SMALL(GL_Journal!$Y:$Y,$A24))</f>
        <v/>
      </c>
      <c r="P24" s="32">
        <f>IF($O24="","",MATCH($O24,GL_Journal!$Y:$Y,0))</f>
        <v/>
      </c>
      <c r="Q24" s="32" t="inlineStr"/>
    </row>
    <row r="25">
      <c r="A25" s="32">
        <f>ROW()-12</f>
        <v/>
      </c>
      <c r="B25" s="33">
        <f>IF($P25="","",INDEX(GL_Journal!$D:$D,$P25))</f>
        <v/>
      </c>
      <c r="C25" s="32">
        <f>IF($P25="","",INDEX(GL_Journal!$C:$C,$P25))</f>
        <v/>
      </c>
      <c r="D25" s="32">
        <f>IF($P25="","",INDEX(GL_Journal!$E:$E,$P25))</f>
        <v/>
      </c>
      <c r="E25" s="32">
        <f>IF($P25="","",INDEX(GL_Journal!$F:$F,$P25))</f>
        <v/>
      </c>
      <c r="F25" s="32">
        <f>IF($P25="","",INDEX(GL_Journal!$G:$G,$P25))</f>
        <v/>
      </c>
      <c r="G25" s="32">
        <f>IF($P25="","",INDEX(GL_Journal!$H:$H,$P25))</f>
        <v/>
      </c>
      <c r="H25" s="32">
        <f>IF($P25="","",INDEX(GL_Journal!$I:$I,$P25))</f>
        <v/>
      </c>
      <c r="I25" s="32">
        <f>IF($P25="","",INDEX(GL_Journal!$J:$J,$P25))</f>
        <v/>
      </c>
      <c r="J25" s="32">
        <f>IF($P25="","",INDEX(GL_Journal!$K:$K,$P25))</f>
        <v/>
      </c>
      <c r="K25" s="32">
        <f>IF($P25="","",INDEX(GL_Journal!$L:$L,$P25))</f>
        <v/>
      </c>
      <c r="L25" s="43">
        <f>IF($P25="","",INDEX(GL_Journal!$M:$M,$P25))</f>
        <v/>
      </c>
      <c r="M25" s="43">
        <f>IF($P25="","",INDEX(GL_Journal!$N:$N,$P25))</f>
        <v/>
      </c>
      <c r="N25" s="47">
        <f>IF($P25="","",IF($A25=1,LG_Open,$N24)+$L25-$M25)</f>
        <v/>
      </c>
      <c r="O25" s="32">
        <f>IF($A25&gt;COUNT(GL_Journal!$Y:$Y),"",SMALL(GL_Journal!$Y:$Y,$A25))</f>
        <v/>
      </c>
      <c r="P25" s="32">
        <f>IF($O25="","",MATCH($O25,GL_Journal!$Y:$Y,0))</f>
        <v/>
      </c>
      <c r="Q25" s="32" t="inlineStr"/>
    </row>
    <row r="26">
      <c r="A26" s="32">
        <f>ROW()-12</f>
        <v/>
      </c>
      <c r="B26" s="33">
        <f>IF($P26="","",INDEX(GL_Journal!$D:$D,$P26))</f>
        <v/>
      </c>
      <c r="C26" s="32">
        <f>IF($P26="","",INDEX(GL_Journal!$C:$C,$P26))</f>
        <v/>
      </c>
      <c r="D26" s="32">
        <f>IF($P26="","",INDEX(GL_Journal!$E:$E,$P26))</f>
        <v/>
      </c>
      <c r="E26" s="32">
        <f>IF($P26="","",INDEX(GL_Journal!$F:$F,$P26))</f>
        <v/>
      </c>
      <c r="F26" s="32">
        <f>IF($P26="","",INDEX(GL_Journal!$G:$G,$P26))</f>
        <v/>
      </c>
      <c r="G26" s="32">
        <f>IF($P26="","",INDEX(GL_Journal!$H:$H,$P26))</f>
        <v/>
      </c>
      <c r="H26" s="32">
        <f>IF($P26="","",INDEX(GL_Journal!$I:$I,$P26))</f>
        <v/>
      </c>
      <c r="I26" s="32">
        <f>IF($P26="","",INDEX(GL_Journal!$J:$J,$P26))</f>
        <v/>
      </c>
      <c r="J26" s="32">
        <f>IF($P26="","",INDEX(GL_Journal!$K:$K,$P26))</f>
        <v/>
      </c>
      <c r="K26" s="32">
        <f>IF($P26="","",INDEX(GL_Journal!$L:$L,$P26))</f>
        <v/>
      </c>
      <c r="L26" s="43">
        <f>IF($P26="","",INDEX(GL_Journal!$M:$M,$P26))</f>
        <v/>
      </c>
      <c r="M26" s="43">
        <f>IF($P26="","",INDEX(GL_Journal!$N:$N,$P26))</f>
        <v/>
      </c>
      <c r="N26" s="47">
        <f>IF($P26="","",IF($A26=1,LG_Open,$N25)+$L26-$M26)</f>
        <v/>
      </c>
      <c r="O26" s="32">
        <f>IF($A26&gt;COUNT(GL_Journal!$Y:$Y),"",SMALL(GL_Journal!$Y:$Y,$A26))</f>
        <v/>
      </c>
      <c r="P26" s="32">
        <f>IF($O26="","",MATCH($O26,GL_Journal!$Y:$Y,0))</f>
        <v/>
      </c>
      <c r="Q26" s="32" t="inlineStr"/>
    </row>
    <row r="27">
      <c r="A27" s="32">
        <f>ROW()-12</f>
        <v/>
      </c>
      <c r="B27" s="33">
        <f>IF($P27="","",INDEX(GL_Journal!$D:$D,$P27))</f>
        <v/>
      </c>
      <c r="C27" s="32">
        <f>IF($P27="","",INDEX(GL_Journal!$C:$C,$P27))</f>
        <v/>
      </c>
      <c r="D27" s="32">
        <f>IF($P27="","",INDEX(GL_Journal!$E:$E,$P27))</f>
        <v/>
      </c>
      <c r="E27" s="32">
        <f>IF($P27="","",INDEX(GL_Journal!$F:$F,$P27))</f>
        <v/>
      </c>
      <c r="F27" s="32">
        <f>IF($P27="","",INDEX(GL_Journal!$G:$G,$P27))</f>
        <v/>
      </c>
      <c r="G27" s="32">
        <f>IF($P27="","",INDEX(GL_Journal!$H:$H,$P27))</f>
        <v/>
      </c>
      <c r="H27" s="32">
        <f>IF($P27="","",INDEX(GL_Journal!$I:$I,$P27))</f>
        <v/>
      </c>
      <c r="I27" s="32">
        <f>IF($P27="","",INDEX(GL_Journal!$J:$J,$P27))</f>
        <v/>
      </c>
      <c r="J27" s="32">
        <f>IF($P27="","",INDEX(GL_Journal!$K:$K,$P27))</f>
        <v/>
      </c>
      <c r="K27" s="32">
        <f>IF($P27="","",INDEX(GL_Journal!$L:$L,$P27))</f>
        <v/>
      </c>
      <c r="L27" s="43">
        <f>IF($P27="","",INDEX(GL_Journal!$M:$M,$P27))</f>
        <v/>
      </c>
      <c r="M27" s="43">
        <f>IF($P27="","",INDEX(GL_Journal!$N:$N,$P27))</f>
        <v/>
      </c>
      <c r="N27" s="47">
        <f>IF($P27="","",IF($A27=1,LG_Open,$N26)+$L27-$M27)</f>
        <v/>
      </c>
      <c r="O27" s="32">
        <f>IF($A27&gt;COUNT(GL_Journal!$Y:$Y),"",SMALL(GL_Journal!$Y:$Y,$A27))</f>
        <v/>
      </c>
      <c r="P27" s="32">
        <f>IF($O27="","",MATCH($O27,GL_Journal!$Y:$Y,0))</f>
        <v/>
      </c>
      <c r="Q27" s="32" t="inlineStr"/>
    </row>
    <row r="28">
      <c r="A28" s="32">
        <f>ROW()-12</f>
        <v/>
      </c>
      <c r="B28" s="33">
        <f>IF($P28="","",INDEX(GL_Journal!$D:$D,$P28))</f>
        <v/>
      </c>
      <c r="C28" s="32">
        <f>IF($P28="","",INDEX(GL_Journal!$C:$C,$P28))</f>
        <v/>
      </c>
      <c r="D28" s="32">
        <f>IF($P28="","",INDEX(GL_Journal!$E:$E,$P28))</f>
        <v/>
      </c>
      <c r="E28" s="32">
        <f>IF($P28="","",INDEX(GL_Journal!$F:$F,$P28))</f>
        <v/>
      </c>
      <c r="F28" s="32">
        <f>IF($P28="","",INDEX(GL_Journal!$G:$G,$P28))</f>
        <v/>
      </c>
      <c r="G28" s="32">
        <f>IF($P28="","",INDEX(GL_Journal!$H:$H,$P28))</f>
        <v/>
      </c>
      <c r="H28" s="32">
        <f>IF($P28="","",INDEX(GL_Journal!$I:$I,$P28))</f>
        <v/>
      </c>
      <c r="I28" s="32">
        <f>IF($P28="","",INDEX(GL_Journal!$J:$J,$P28))</f>
        <v/>
      </c>
      <c r="J28" s="32">
        <f>IF($P28="","",INDEX(GL_Journal!$K:$K,$P28))</f>
        <v/>
      </c>
      <c r="K28" s="32">
        <f>IF($P28="","",INDEX(GL_Journal!$L:$L,$P28))</f>
        <v/>
      </c>
      <c r="L28" s="43">
        <f>IF($P28="","",INDEX(GL_Journal!$M:$M,$P28))</f>
        <v/>
      </c>
      <c r="M28" s="43">
        <f>IF($P28="","",INDEX(GL_Journal!$N:$N,$P28))</f>
        <v/>
      </c>
      <c r="N28" s="47">
        <f>IF($P28="","",IF($A28=1,LG_Open,$N27)+$L28-$M28)</f>
        <v/>
      </c>
      <c r="O28" s="32">
        <f>IF($A28&gt;COUNT(GL_Journal!$Y:$Y),"",SMALL(GL_Journal!$Y:$Y,$A28))</f>
        <v/>
      </c>
      <c r="P28" s="32">
        <f>IF($O28="","",MATCH($O28,GL_Journal!$Y:$Y,0))</f>
        <v/>
      </c>
      <c r="Q28" s="32" t="inlineStr"/>
    </row>
    <row r="29">
      <c r="A29" s="32">
        <f>ROW()-12</f>
        <v/>
      </c>
      <c r="B29" s="33">
        <f>IF($P29="","",INDEX(GL_Journal!$D:$D,$P29))</f>
        <v/>
      </c>
      <c r="C29" s="32">
        <f>IF($P29="","",INDEX(GL_Journal!$C:$C,$P29))</f>
        <v/>
      </c>
      <c r="D29" s="32">
        <f>IF($P29="","",INDEX(GL_Journal!$E:$E,$P29))</f>
        <v/>
      </c>
      <c r="E29" s="32">
        <f>IF($P29="","",INDEX(GL_Journal!$F:$F,$P29))</f>
        <v/>
      </c>
      <c r="F29" s="32">
        <f>IF($P29="","",INDEX(GL_Journal!$G:$G,$P29))</f>
        <v/>
      </c>
      <c r="G29" s="32">
        <f>IF($P29="","",INDEX(GL_Journal!$H:$H,$P29))</f>
        <v/>
      </c>
      <c r="H29" s="32">
        <f>IF($P29="","",INDEX(GL_Journal!$I:$I,$P29))</f>
        <v/>
      </c>
      <c r="I29" s="32">
        <f>IF($P29="","",INDEX(GL_Journal!$J:$J,$P29))</f>
        <v/>
      </c>
      <c r="J29" s="32">
        <f>IF($P29="","",INDEX(GL_Journal!$K:$K,$P29))</f>
        <v/>
      </c>
      <c r="K29" s="32">
        <f>IF($P29="","",INDEX(GL_Journal!$L:$L,$P29))</f>
        <v/>
      </c>
      <c r="L29" s="43">
        <f>IF($P29="","",INDEX(GL_Journal!$M:$M,$P29))</f>
        <v/>
      </c>
      <c r="M29" s="43">
        <f>IF($P29="","",INDEX(GL_Journal!$N:$N,$P29))</f>
        <v/>
      </c>
      <c r="N29" s="47">
        <f>IF($P29="","",IF($A29=1,LG_Open,$N28)+$L29-$M29)</f>
        <v/>
      </c>
      <c r="O29" s="32">
        <f>IF($A29&gt;COUNT(GL_Journal!$Y:$Y),"",SMALL(GL_Journal!$Y:$Y,$A29))</f>
        <v/>
      </c>
      <c r="P29" s="32">
        <f>IF($O29="","",MATCH($O29,GL_Journal!$Y:$Y,0))</f>
        <v/>
      </c>
      <c r="Q29" s="32" t="inlineStr"/>
    </row>
    <row r="30">
      <c r="A30" s="32">
        <f>ROW()-12</f>
        <v/>
      </c>
      <c r="B30" s="33">
        <f>IF($P30="","",INDEX(GL_Journal!$D:$D,$P30))</f>
        <v/>
      </c>
      <c r="C30" s="32">
        <f>IF($P30="","",INDEX(GL_Journal!$C:$C,$P30))</f>
        <v/>
      </c>
      <c r="D30" s="32">
        <f>IF($P30="","",INDEX(GL_Journal!$E:$E,$P30))</f>
        <v/>
      </c>
      <c r="E30" s="32">
        <f>IF($P30="","",INDEX(GL_Journal!$F:$F,$P30))</f>
        <v/>
      </c>
      <c r="F30" s="32">
        <f>IF($P30="","",INDEX(GL_Journal!$G:$G,$P30))</f>
        <v/>
      </c>
      <c r="G30" s="32">
        <f>IF($P30="","",INDEX(GL_Journal!$H:$H,$P30))</f>
        <v/>
      </c>
      <c r="H30" s="32">
        <f>IF($P30="","",INDEX(GL_Journal!$I:$I,$P30))</f>
        <v/>
      </c>
      <c r="I30" s="32">
        <f>IF($P30="","",INDEX(GL_Journal!$J:$J,$P30))</f>
        <v/>
      </c>
      <c r="J30" s="32">
        <f>IF($P30="","",INDEX(GL_Journal!$K:$K,$P30))</f>
        <v/>
      </c>
      <c r="K30" s="32">
        <f>IF($P30="","",INDEX(GL_Journal!$L:$L,$P30))</f>
        <v/>
      </c>
      <c r="L30" s="43">
        <f>IF($P30="","",INDEX(GL_Journal!$M:$M,$P30))</f>
        <v/>
      </c>
      <c r="M30" s="43">
        <f>IF($P30="","",INDEX(GL_Journal!$N:$N,$P30))</f>
        <v/>
      </c>
      <c r="N30" s="47">
        <f>IF($P30="","",IF($A30=1,LG_Open,$N29)+$L30-$M30)</f>
        <v/>
      </c>
      <c r="O30" s="32">
        <f>IF($A30&gt;COUNT(GL_Journal!$Y:$Y),"",SMALL(GL_Journal!$Y:$Y,$A30))</f>
        <v/>
      </c>
      <c r="P30" s="32">
        <f>IF($O30="","",MATCH($O30,GL_Journal!$Y:$Y,0))</f>
        <v/>
      </c>
      <c r="Q30" s="32" t="inlineStr"/>
    </row>
    <row r="31">
      <c r="A31" s="32">
        <f>ROW()-12</f>
        <v/>
      </c>
      <c r="B31" s="33">
        <f>IF($P31="","",INDEX(GL_Journal!$D:$D,$P31))</f>
        <v/>
      </c>
      <c r="C31" s="32">
        <f>IF($P31="","",INDEX(GL_Journal!$C:$C,$P31))</f>
        <v/>
      </c>
      <c r="D31" s="32">
        <f>IF($P31="","",INDEX(GL_Journal!$E:$E,$P31))</f>
        <v/>
      </c>
      <c r="E31" s="32">
        <f>IF($P31="","",INDEX(GL_Journal!$F:$F,$P31))</f>
        <v/>
      </c>
      <c r="F31" s="32">
        <f>IF($P31="","",INDEX(GL_Journal!$G:$G,$P31))</f>
        <v/>
      </c>
      <c r="G31" s="32">
        <f>IF($P31="","",INDEX(GL_Journal!$H:$H,$P31))</f>
        <v/>
      </c>
      <c r="H31" s="32">
        <f>IF($P31="","",INDEX(GL_Journal!$I:$I,$P31))</f>
        <v/>
      </c>
      <c r="I31" s="32">
        <f>IF($P31="","",INDEX(GL_Journal!$J:$J,$P31))</f>
        <v/>
      </c>
      <c r="J31" s="32">
        <f>IF($P31="","",INDEX(GL_Journal!$K:$K,$P31))</f>
        <v/>
      </c>
      <c r="K31" s="32">
        <f>IF($P31="","",INDEX(GL_Journal!$L:$L,$P31))</f>
        <v/>
      </c>
      <c r="L31" s="43">
        <f>IF($P31="","",INDEX(GL_Journal!$M:$M,$P31))</f>
        <v/>
      </c>
      <c r="M31" s="43">
        <f>IF($P31="","",INDEX(GL_Journal!$N:$N,$P31))</f>
        <v/>
      </c>
      <c r="N31" s="47">
        <f>IF($P31="","",IF($A31=1,LG_Open,$N30)+$L31-$M31)</f>
        <v/>
      </c>
      <c r="O31" s="32">
        <f>IF($A31&gt;COUNT(GL_Journal!$Y:$Y),"",SMALL(GL_Journal!$Y:$Y,$A31))</f>
        <v/>
      </c>
      <c r="P31" s="32">
        <f>IF($O31="","",MATCH($O31,GL_Journal!$Y:$Y,0))</f>
        <v/>
      </c>
      <c r="Q31" s="32" t="inlineStr"/>
    </row>
    <row r="32">
      <c r="A32" s="32">
        <f>ROW()-12</f>
        <v/>
      </c>
      <c r="B32" s="33">
        <f>IF($P32="","",INDEX(GL_Journal!$D:$D,$P32))</f>
        <v/>
      </c>
      <c r="C32" s="32">
        <f>IF($P32="","",INDEX(GL_Journal!$C:$C,$P32))</f>
        <v/>
      </c>
      <c r="D32" s="32">
        <f>IF($P32="","",INDEX(GL_Journal!$E:$E,$P32))</f>
        <v/>
      </c>
      <c r="E32" s="32">
        <f>IF($P32="","",INDEX(GL_Journal!$F:$F,$P32))</f>
        <v/>
      </c>
      <c r="F32" s="32">
        <f>IF($P32="","",INDEX(GL_Journal!$G:$G,$P32))</f>
        <v/>
      </c>
      <c r="G32" s="32">
        <f>IF($P32="","",INDEX(GL_Journal!$H:$H,$P32))</f>
        <v/>
      </c>
      <c r="H32" s="32">
        <f>IF($P32="","",INDEX(GL_Journal!$I:$I,$P32))</f>
        <v/>
      </c>
      <c r="I32" s="32">
        <f>IF($P32="","",INDEX(GL_Journal!$J:$J,$P32))</f>
        <v/>
      </c>
      <c r="J32" s="32">
        <f>IF($P32="","",INDEX(GL_Journal!$K:$K,$P32))</f>
        <v/>
      </c>
      <c r="K32" s="32">
        <f>IF($P32="","",INDEX(GL_Journal!$L:$L,$P32))</f>
        <v/>
      </c>
      <c r="L32" s="43">
        <f>IF($P32="","",INDEX(GL_Journal!$M:$M,$P32))</f>
        <v/>
      </c>
      <c r="M32" s="43">
        <f>IF($P32="","",INDEX(GL_Journal!$N:$N,$P32))</f>
        <v/>
      </c>
      <c r="N32" s="47">
        <f>IF($P32="","",IF($A32=1,LG_Open,$N31)+$L32-$M32)</f>
        <v/>
      </c>
      <c r="O32" s="32">
        <f>IF($A32&gt;COUNT(GL_Journal!$Y:$Y),"",SMALL(GL_Journal!$Y:$Y,$A32))</f>
        <v/>
      </c>
      <c r="P32" s="32">
        <f>IF($O32="","",MATCH($O32,GL_Journal!$Y:$Y,0))</f>
        <v/>
      </c>
      <c r="Q32" s="32" t="inlineStr"/>
    </row>
    <row r="33">
      <c r="A33" s="32">
        <f>ROW()-12</f>
        <v/>
      </c>
      <c r="B33" s="33">
        <f>IF($P33="","",INDEX(GL_Journal!$D:$D,$P33))</f>
        <v/>
      </c>
      <c r="C33" s="32">
        <f>IF($P33="","",INDEX(GL_Journal!$C:$C,$P33))</f>
        <v/>
      </c>
      <c r="D33" s="32">
        <f>IF($P33="","",INDEX(GL_Journal!$E:$E,$P33))</f>
        <v/>
      </c>
      <c r="E33" s="32">
        <f>IF($P33="","",INDEX(GL_Journal!$F:$F,$P33))</f>
        <v/>
      </c>
      <c r="F33" s="32">
        <f>IF($P33="","",INDEX(GL_Journal!$G:$G,$P33))</f>
        <v/>
      </c>
      <c r="G33" s="32">
        <f>IF($P33="","",INDEX(GL_Journal!$H:$H,$P33))</f>
        <v/>
      </c>
      <c r="H33" s="32">
        <f>IF($P33="","",INDEX(GL_Journal!$I:$I,$P33))</f>
        <v/>
      </c>
      <c r="I33" s="32">
        <f>IF($P33="","",INDEX(GL_Journal!$J:$J,$P33))</f>
        <v/>
      </c>
      <c r="J33" s="32">
        <f>IF($P33="","",INDEX(GL_Journal!$K:$K,$P33))</f>
        <v/>
      </c>
      <c r="K33" s="32">
        <f>IF($P33="","",INDEX(GL_Journal!$L:$L,$P33))</f>
        <v/>
      </c>
      <c r="L33" s="43">
        <f>IF($P33="","",INDEX(GL_Journal!$M:$M,$P33))</f>
        <v/>
      </c>
      <c r="M33" s="43">
        <f>IF($P33="","",INDEX(GL_Journal!$N:$N,$P33))</f>
        <v/>
      </c>
      <c r="N33" s="47">
        <f>IF($P33="","",IF($A33=1,LG_Open,$N32)+$L33-$M33)</f>
        <v/>
      </c>
      <c r="O33" s="32">
        <f>IF($A33&gt;COUNT(GL_Journal!$Y:$Y),"",SMALL(GL_Journal!$Y:$Y,$A33))</f>
        <v/>
      </c>
      <c r="P33" s="32">
        <f>IF($O33="","",MATCH($O33,GL_Journal!$Y:$Y,0))</f>
        <v/>
      </c>
      <c r="Q33" s="32" t="inlineStr"/>
    </row>
    <row r="34">
      <c r="A34" s="32">
        <f>ROW()-12</f>
        <v/>
      </c>
      <c r="B34" s="33">
        <f>IF($P34="","",INDEX(GL_Journal!$D:$D,$P34))</f>
        <v/>
      </c>
      <c r="C34" s="32">
        <f>IF($P34="","",INDEX(GL_Journal!$C:$C,$P34))</f>
        <v/>
      </c>
      <c r="D34" s="32">
        <f>IF($P34="","",INDEX(GL_Journal!$E:$E,$P34))</f>
        <v/>
      </c>
      <c r="E34" s="32">
        <f>IF($P34="","",INDEX(GL_Journal!$F:$F,$P34))</f>
        <v/>
      </c>
      <c r="F34" s="32">
        <f>IF($P34="","",INDEX(GL_Journal!$G:$G,$P34))</f>
        <v/>
      </c>
      <c r="G34" s="32">
        <f>IF($P34="","",INDEX(GL_Journal!$H:$H,$P34))</f>
        <v/>
      </c>
      <c r="H34" s="32">
        <f>IF($P34="","",INDEX(GL_Journal!$I:$I,$P34))</f>
        <v/>
      </c>
      <c r="I34" s="32">
        <f>IF($P34="","",INDEX(GL_Journal!$J:$J,$P34))</f>
        <v/>
      </c>
      <c r="J34" s="32">
        <f>IF($P34="","",INDEX(GL_Journal!$K:$K,$P34))</f>
        <v/>
      </c>
      <c r="K34" s="32">
        <f>IF($P34="","",INDEX(GL_Journal!$L:$L,$P34))</f>
        <v/>
      </c>
      <c r="L34" s="43">
        <f>IF($P34="","",INDEX(GL_Journal!$M:$M,$P34))</f>
        <v/>
      </c>
      <c r="M34" s="43">
        <f>IF($P34="","",INDEX(GL_Journal!$N:$N,$P34))</f>
        <v/>
      </c>
      <c r="N34" s="47">
        <f>IF($P34="","",IF($A34=1,LG_Open,$N33)+$L34-$M34)</f>
        <v/>
      </c>
      <c r="O34" s="32">
        <f>IF($A34&gt;COUNT(GL_Journal!$Y:$Y),"",SMALL(GL_Journal!$Y:$Y,$A34))</f>
        <v/>
      </c>
      <c r="P34" s="32">
        <f>IF($O34="","",MATCH($O34,GL_Journal!$Y:$Y,0))</f>
        <v/>
      </c>
      <c r="Q34" s="32" t="inlineStr"/>
    </row>
    <row r="35">
      <c r="A35" s="32">
        <f>ROW()-12</f>
        <v/>
      </c>
      <c r="B35" s="33">
        <f>IF($P35="","",INDEX(GL_Journal!$D:$D,$P35))</f>
        <v/>
      </c>
      <c r="C35" s="32">
        <f>IF($P35="","",INDEX(GL_Journal!$C:$C,$P35))</f>
        <v/>
      </c>
      <c r="D35" s="32">
        <f>IF($P35="","",INDEX(GL_Journal!$E:$E,$P35))</f>
        <v/>
      </c>
      <c r="E35" s="32">
        <f>IF($P35="","",INDEX(GL_Journal!$F:$F,$P35))</f>
        <v/>
      </c>
      <c r="F35" s="32">
        <f>IF($P35="","",INDEX(GL_Journal!$G:$G,$P35))</f>
        <v/>
      </c>
      <c r="G35" s="32">
        <f>IF($P35="","",INDEX(GL_Journal!$H:$H,$P35))</f>
        <v/>
      </c>
      <c r="H35" s="32">
        <f>IF($P35="","",INDEX(GL_Journal!$I:$I,$P35))</f>
        <v/>
      </c>
      <c r="I35" s="32">
        <f>IF($P35="","",INDEX(GL_Journal!$J:$J,$P35))</f>
        <v/>
      </c>
      <c r="J35" s="32">
        <f>IF($P35="","",INDEX(GL_Journal!$K:$K,$P35))</f>
        <v/>
      </c>
      <c r="K35" s="32">
        <f>IF($P35="","",INDEX(GL_Journal!$L:$L,$P35))</f>
        <v/>
      </c>
      <c r="L35" s="43">
        <f>IF($P35="","",INDEX(GL_Journal!$M:$M,$P35))</f>
        <v/>
      </c>
      <c r="M35" s="43">
        <f>IF($P35="","",INDEX(GL_Journal!$N:$N,$P35))</f>
        <v/>
      </c>
      <c r="N35" s="47">
        <f>IF($P35="","",IF($A35=1,LG_Open,$N34)+$L35-$M35)</f>
        <v/>
      </c>
      <c r="O35" s="32">
        <f>IF($A35&gt;COUNT(GL_Journal!$Y:$Y),"",SMALL(GL_Journal!$Y:$Y,$A35))</f>
        <v/>
      </c>
      <c r="P35" s="32">
        <f>IF($O35="","",MATCH($O35,GL_Journal!$Y:$Y,0))</f>
        <v/>
      </c>
      <c r="Q35" s="32" t="inlineStr"/>
    </row>
    <row r="36">
      <c r="A36" s="32">
        <f>ROW()-12</f>
        <v/>
      </c>
      <c r="B36" s="33">
        <f>IF($P36="","",INDEX(GL_Journal!$D:$D,$P36))</f>
        <v/>
      </c>
      <c r="C36" s="32">
        <f>IF($P36="","",INDEX(GL_Journal!$C:$C,$P36))</f>
        <v/>
      </c>
      <c r="D36" s="32">
        <f>IF($P36="","",INDEX(GL_Journal!$E:$E,$P36))</f>
        <v/>
      </c>
      <c r="E36" s="32">
        <f>IF($P36="","",INDEX(GL_Journal!$F:$F,$P36))</f>
        <v/>
      </c>
      <c r="F36" s="32">
        <f>IF($P36="","",INDEX(GL_Journal!$G:$G,$P36))</f>
        <v/>
      </c>
      <c r="G36" s="32">
        <f>IF($P36="","",INDEX(GL_Journal!$H:$H,$P36))</f>
        <v/>
      </c>
      <c r="H36" s="32">
        <f>IF($P36="","",INDEX(GL_Journal!$I:$I,$P36))</f>
        <v/>
      </c>
      <c r="I36" s="32">
        <f>IF($P36="","",INDEX(GL_Journal!$J:$J,$P36))</f>
        <v/>
      </c>
      <c r="J36" s="32">
        <f>IF($P36="","",INDEX(GL_Journal!$K:$K,$P36))</f>
        <v/>
      </c>
      <c r="K36" s="32">
        <f>IF($P36="","",INDEX(GL_Journal!$L:$L,$P36))</f>
        <v/>
      </c>
      <c r="L36" s="43">
        <f>IF($P36="","",INDEX(GL_Journal!$M:$M,$P36))</f>
        <v/>
      </c>
      <c r="M36" s="43">
        <f>IF($P36="","",INDEX(GL_Journal!$N:$N,$P36))</f>
        <v/>
      </c>
      <c r="N36" s="47">
        <f>IF($P36="","",IF($A36=1,LG_Open,$N35)+$L36-$M36)</f>
        <v/>
      </c>
      <c r="O36" s="32">
        <f>IF($A36&gt;COUNT(GL_Journal!$Y:$Y),"",SMALL(GL_Journal!$Y:$Y,$A36))</f>
        <v/>
      </c>
      <c r="P36" s="32">
        <f>IF($O36="","",MATCH($O36,GL_Journal!$Y:$Y,0))</f>
        <v/>
      </c>
      <c r="Q36" s="32" t="inlineStr"/>
    </row>
    <row r="37">
      <c r="A37" s="32">
        <f>ROW()-12</f>
        <v/>
      </c>
      <c r="B37" s="33">
        <f>IF($P37="","",INDEX(GL_Journal!$D:$D,$P37))</f>
        <v/>
      </c>
      <c r="C37" s="32">
        <f>IF($P37="","",INDEX(GL_Journal!$C:$C,$P37))</f>
        <v/>
      </c>
      <c r="D37" s="32">
        <f>IF($P37="","",INDEX(GL_Journal!$E:$E,$P37))</f>
        <v/>
      </c>
      <c r="E37" s="32">
        <f>IF($P37="","",INDEX(GL_Journal!$F:$F,$P37))</f>
        <v/>
      </c>
      <c r="F37" s="32">
        <f>IF($P37="","",INDEX(GL_Journal!$G:$G,$P37))</f>
        <v/>
      </c>
      <c r="G37" s="32">
        <f>IF($P37="","",INDEX(GL_Journal!$H:$H,$P37))</f>
        <v/>
      </c>
      <c r="H37" s="32">
        <f>IF($P37="","",INDEX(GL_Journal!$I:$I,$P37))</f>
        <v/>
      </c>
      <c r="I37" s="32">
        <f>IF($P37="","",INDEX(GL_Journal!$J:$J,$P37))</f>
        <v/>
      </c>
      <c r="J37" s="32">
        <f>IF($P37="","",INDEX(GL_Journal!$K:$K,$P37))</f>
        <v/>
      </c>
      <c r="K37" s="32">
        <f>IF($P37="","",INDEX(GL_Journal!$L:$L,$P37))</f>
        <v/>
      </c>
      <c r="L37" s="43">
        <f>IF($P37="","",INDEX(GL_Journal!$M:$M,$P37))</f>
        <v/>
      </c>
      <c r="M37" s="43">
        <f>IF($P37="","",INDEX(GL_Journal!$N:$N,$P37))</f>
        <v/>
      </c>
      <c r="N37" s="47">
        <f>IF($P37="","",IF($A37=1,LG_Open,$N36)+$L37-$M37)</f>
        <v/>
      </c>
      <c r="O37" s="32">
        <f>IF($A37&gt;COUNT(GL_Journal!$Y:$Y),"",SMALL(GL_Journal!$Y:$Y,$A37))</f>
        <v/>
      </c>
      <c r="P37" s="32">
        <f>IF($O37="","",MATCH($O37,GL_Journal!$Y:$Y,0))</f>
        <v/>
      </c>
      <c r="Q37" s="32" t="inlineStr"/>
    </row>
    <row r="38">
      <c r="A38" s="32">
        <f>ROW()-12</f>
        <v/>
      </c>
      <c r="B38" s="33">
        <f>IF($P38="","",INDEX(GL_Journal!$D:$D,$P38))</f>
        <v/>
      </c>
      <c r="C38" s="32">
        <f>IF($P38="","",INDEX(GL_Journal!$C:$C,$P38))</f>
        <v/>
      </c>
      <c r="D38" s="32">
        <f>IF($P38="","",INDEX(GL_Journal!$E:$E,$P38))</f>
        <v/>
      </c>
      <c r="E38" s="32">
        <f>IF($P38="","",INDEX(GL_Journal!$F:$F,$P38))</f>
        <v/>
      </c>
      <c r="F38" s="32">
        <f>IF($P38="","",INDEX(GL_Journal!$G:$G,$P38))</f>
        <v/>
      </c>
      <c r="G38" s="32">
        <f>IF($P38="","",INDEX(GL_Journal!$H:$H,$P38))</f>
        <v/>
      </c>
      <c r="H38" s="32">
        <f>IF($P38="","",INDEX(GL_Journal!$I:$I,$P38))</f>
        <v/>
      </c>
      <c r="I38" s="32">
        <f>IF($P38="","",INDEX(GL_Journal!$J:$J,$P38))</f>
        <v/>
      </c>
      <c r="J38" s="32">
        <f>IF($P38="","",INDEX(GL_Journal!$K:$K,$P38))</f>
        <v/>
      </c>
      <c r="K38" s="32">
        <f>IF($P38="","",INDEX(GL_Journal!$L:$L,$P38))</f>
        <v/>
      </c>
      <c r="L38" s="43">
        <f>IF($P38="","",INDEX(GL_Journal!$M:$M,$P38))</f>
        <v/>
      </c>
      <c r="M38" s="43">
        <f>IF($P38="","",INDEX(GL_Journal!$N:$N,$P38))</f>
        <v/>
      </c>
      <c r="N38" s="47">
        <f>IF($P38="","",IF($A38=1,LG_Open,$N37)+$L38-$M38)</f>
        <v/>
      </c>
      <c r="O38" s="32">
        <f>IF($A38&gt;COUNT(GL_Journal!$Y:$Y),"",SMALL(GL_Journal!$Y:$Y,$A38))</f>
        <v/>
      </c>
      <c r="P38" s="32">
        <f>IF($O38="","",MATCH($O38,GL_Journal!$Y:$Y,0))</f>
        <v/>
      </c>
      <c r="Q38" s="32" t="inlineStr"/>
    </row>
    <row r="39">
      <c r="A39" s="32">
        <f>ROW()-12</f>
        <v/>
      </c>
      <c r="B39" s="33">
        <f>IF($P39="","",INDEX(GL_Journal!$D:$D,$P39))</f>
        <v/>
      </c>
      <c r="C39" s="32">
        <f>IF($P39="","",INDEX(GL_Journal!$C:$C,$P39))</f>
        <v/>
      </c>
      <c r="D39" s="32">
        <f>IF($P39="","",INDEX(GL_Journal!$E:$E,$P39))</f>
        <v/>
      </c>
      <c r="E39" s="32">
        <f>IF($P39="","",INDEX(GL_Journal!$F:$F,$P39))</f>
        <v/>
      </c>
      <c r="F39" s="32">
        <f>IF($P39="","",INDEX(GL_Journal!$G:$G,$P39))</f>
        <v/>
      </c>
      <c r="G39" s="32">
        <f>IF($P39="","",INDEX(GL_Journal!$H:$H,$P39))</f>
        <v/>
      </c>
      <c r="H39" s="32">
        <f>IF($P39="","",INDEX(GL_Journal!$I:$I,$P39))</f>
        <v/>
      </c>
      <c r="I39" s="32">
        <f>IF($P39="","",INDEX(GL_Journal!$J:$J,$P39))</f>
        <v/>
      </c>
      <c r="J39" s="32">
        <f>IF($P39="","",INDEX(GL_Journal!$K:$K,$P39))</f>
        <v/>
      </c>
      <c r="K39" s="32">
        <f>IF($P39="","",INDEX(GL_Journal!$L:$L,$P39))</f>
        <v/>
      </c>
      <c r="L39" s="43">
        <f>IF($P39="","",INDEX(GL_Journal!$M:$M,$P39))</f>
        <v/>
      </c>
      <c r="M39" s="43">
        <f>IF($P39="","",INDEX(GL_Journal!$N:$N,$P39))</f>
        <v/>
      </c>
      <c r="N39" s="47">
        <f>IF($P39="","",IF($A39=1,LG_Open,$N38)+$L39-$M39)</f>
        <v/>
      </c>
      <c r="O39" s="32">
        <f>IF($A39&gt;COUNT(GL_Journal!$Y:$Y),"",SMALL(GL_Journal!$Y:$Y,$A39))</f>
        <v/>
      </c>
      <c r="P39" s="32">
        <f>IF($O39="","",MATCH($O39,GL_Journal!$Y:$Y,0))</f>
        <v/>
      </c>
      <c r="Q39" s="32" t="inlineStr"/>
    </row>
    <row r="40">
      <c r="A40" s="32">
        <f>ROW()-12</f>
        <v/>
      </c>
      <c r="B40" s="33">
        <f>IF($P40="","",INDEX(GL_Journal!$D:$D,$P40))</f>
        <v/>
      </c>
      <c r="C40" s="32">
        <f>IF($P40="","",INDEX(GL_Journal!$C:$C,$P40))</f>
        <v/>
      </c>
      <c r="D40" s="32">
        <f>IF($P40="","",INDEX(GL_Journal!$E:$E,$P40))</f>
        <v/>
      </c>
      <c r="E40" s="32">
        <f>IF($P40="","",INDEX(GL_Journal!$F:$F,$P40))</f>
        <v/>
      </c>
      <c r="F40" s="32">
        <f>IF($P40="","",INDEX(GL_Journal!$G:$G,$P40))</f>
        <v/>
      </c>
      <c r="G40" s="32">
        <f>IF($P40="","",INDEX(GL_Journal!$H:$H,$P40))</f>
        <v/>
      </c>
      <c r="H40" s="32">
        <f>IF($P40="","",INDEX(GL_Journal!$I:$I,$P40))</f>
        <v/>
      </c>
      <c r="I40" s="32">
        <f>IF($P40="","",INDEX(GL_Journal!$J:$J,$P40))</f>
        <v/>
      </c>
      <c r="J40" s="32">
        <f>IF($P40="","",INDEX(GL_Journal!$K:$K,$P40))</f>
        <v/>
      </c>
      <c r="K40" s="32">
        <f>IF($P40="","",INDEX(GL_Journal!$L:$L,$P40))</f>
        <v/>
      </c>
      <c r="L40" s="43">
        <f>IF($P40="","",INDEX(GL_Journal!$M:$M,$P40))</f>
        <v/>
      </c>
      <c r="M40" s="43">
        <f>IF($P40="","",INDEX(GL_Journal!$N:$N,$P40))</f>
        <v/>
      </c>
      <c r="N40" s="47">
        <f>IF($P40="","",IF($A40=1,LG_Open,$N39)+$L40-$M40)</f>
        <v/>
      </c>
      <c r="O40" s="32">
        <f>IF($A40&gt;COUNT(GL_Journal!$Y:$Y),"",SMALL(GL_Journal!$Y:$Y,$A40))</f>
        <v/>
      </c>
      <c r="P40" s="32">
        <f>IF($O40="","",MATCH($O40,GL_Journal!$Y:$Y,0))</f>
        <v/>
      </c>
      <c r="Q40" s="32" t="inlineStr"/>
    </row>
    <row r="41">
      <c r="A41" s="32">
        <f>ROW()-12</f>
        <v/>
      </c>
      <c r="B41" s="33">
        <f>IF($P41="","",INDEX(GL_Journal!$D:$D,$P41))</f>
        <v/>
      </c>
      <c r="C41" s="32">
        <f>IF($P41="","",INDEX(GL_Journal!$C:$C,$P41))</f>
        <v/>
      </c>
      <c r="D41" s="32">
        <f>IF($P41="","",INDEX(GL_Journal!$E:$E,$P41))</f>
        <v/>
      </c>
      <c r="E41" s="32">
        <f>IF($P41="","",INDEX(GL_Journal!$F:$F,$P41))</f>
        <v/>
      </c>
      <c r="F41" s="32">
        <f>IF($P41="","",INDEX(GL_Journal!$G:$G,$P41))</f>
        <v/>
      </c>
      <c r="G41" s="32">
        <f>IF($P41="","",INDEX(GL_Journal!$H:$H,$P41))</f>
        <v/>
      </c>
      <c r="H41" s="32">
        <f>IF($P41="","",INDEX(GL_Journal!$I:$I,$P41))</f>
        <v/>
      </c>
      <c r="I41" s="32">
        <f>IF($P41="","",INDEX(GL_Journal!$J:$J,$P41))</f>
        <v/>
      </c>
      <c r="J41" s="32">
        <f>IF($P41="","",INDEX(GL_Journal!$K:$K,$P41))</f>
        <v/>
      </c>
      <c r="K41" s="32">
        <f>IF($P41="","",INDEX(GL_Journal!$L:$L,$P41))</f>
        <v/>
      </c>
      <c r="L41" s="43">
        <f>IF($P41="","",INDEX(GL_Journal!$M:$M,$P41))</f>
        <v/>
      </c>
      <c r="M41" s="43">
        <f>IF($P41="","",INDEX(GL_Journal!$N:$N,$P41))</f>
        <v/>
      </c>
      <c r="N41" s="47">
        <f>IF($P41="","",IF($A41=1,LG_Open,$N40)+$L41-$M41)</f>
        <v/>
      </c>
      <c r="O41" s="32">
        <f>IF($A41&gt;COUNT(GL_Journal!$Y:$Y),"",SMALL(GL_Journal!$Y:$Y,$A41))</f>
        <v/>
      </c>
      <c r="P41" s="32">
        <f>IF($O41="","",MATCH($O41,GL_Journal!$Y:$Y,0))</f>
        <v/>
      </c>
      <c r="Q41" s="32" t="inlineStr"/>
    </row>
    <row r="42">
      <c r="A42" s="32">
        <f>ROW()-12</f>
        <v/>
      </c>
      <c r="B42" s="33">
        <f>IF($P42="","",INDEX(GL_Journal!$D:$D,$P42))</f>
        <v/>
      </c>
      <c r="C42" s="32">
        <f>IF($P42="","",INDEX(GL_Journal!$C:$C,$P42))</f>
        <v/>
      </c>
      <c r="D42" s="32">
        <f>IF($P42="","",INDEX(GL_Journal!$E:$E,$P42))</f>
        <v/>
      </c>
      <c r="E42" s="32">
        <f>IF($P42="","",INDEX(GL_Journal!$F:$F,$P42))</f>
        <v/>
      </c>
      <c r="F42" s="32">
        <f>IF($P42="","",INDEX(GL_Journal!$G:$G,$P42))</f>
        <v/>
      </c>
      <c r="G42" s="32">
        <f>IF($P42="","",INDEX(GL_Journal!$H:$H,$P42))</f>
        <v/>
      </c>
      <c r="H42" s="32">
        <f>IF($P42="","",INDEX(GL_Journal!$I:$I,$P42))</f>
        <v/>
      </c>
      <c r="I42" s="32">
        <f>IF($P42="","",INDEX(GL_Journal!$J:$J,$P42))</f>
        <v/>
      </c>
      <c r="J42" s="32">
        <f>IF($P42="","",INDEX(GL_Journal!$K:$K,$P42))</f>
        <v/>
      </c>
      <c r="K42" s="32">
        <f>IF($P42="","",INDEX(GL_Journal!$L:$L,$P42))</f>
        <v/>
      </c>
      <c r="L42" s="43">
        <f>IF($P42="","",INDEX(GL_Journal!$M:$M,$P42))</f>
        <v/>
      </c>
      <c r="M42" s="43">
        <f>IF($P42="","",INDEX(GL_Journal!$N:$N,$P42))</f>
        <v/>
      </c>
      <c r="N42" s="47">
        <f>IF($P42="","",IF($A42=1,LG_Open,$N41)+$L42-$M42)</f>
        <v/>
      </c>
      <c r="O42" s="32">
        <f>IF($A42&gt;COUNT(GL_Journal!$Y:$Y),"",SMALL(GL_Journal!$Y:$Y,$A42))</f>
        <v/>
      </c>
      <c r="P42" s="32">
        <f>IF($O42="","",MATCH($O42,GL_Journal!$Y:$Y,0))</f>
        <v/>
      </c>
      <c r="Q42" s="32" t="inlineStr"/>
    </row>
    <row r="43">
      <c r="A43" s="32">
        <f>ROW()-12</f>
        <v/>
      </c>
      <c r="B43" s="33">
        <f>IF($P43="","",INDEX(GL_Journal!$D:$D,$P43))</f>
        <v/>
      </c>
      <c r="C43" s="32">
        <f>IF($P43="","",INDEX(GL_Journal!$C:$C,$P43))</f>
        <v/>
      </c>
      <c r="D43" s="32">
        <f>IF($P43="","",INDEX(GL_Journal!$E:$E,$P43))</f>
        <v/>
      </c>
      <c r="E43" s="32">
        <f>IF($P43="","",INDEX(GL_Journal!$F:$F,$P43))</f>
        <v/>
      </c>
      <c r="F43" s="32">
        <f>IF($P43="","",INDEX(GL_Journal!$G:$G,$P43))</f>
        <v/>
      </c>
      <c r="G43" s="32">
        <f>IF($P43="","",INDEX(GL_Journal!$H:$H,$P43))</f>
        <v/>
      </c>
      <c r="H43" s="32">
        <f>IF($P43="","",INDEX(GL_Journal!$I:$I,$P43))</f>
        <v/>
      </c>
      <c r="I43" s="32">
        <f>IF($P43="","",INDEX(GL_Journal!$J:$J,$P43))</f>
        <v/>
      </c>
      <c r="J43" s="32">
        <f>IF($P43="","",INDEX(GL_Journal!$K:$K,$P43))</f>
        <v/>
      </c>
      <c r="K43" s="32">
        <f>IF($P43="","",INDEX(GL_Journal!$L:$L,$P43))</f>
        <v/>
      </c>
      <c r="L43" s="43">
        <f>IF($P43="","",INDEX(GL_Journal!$M:$M,$P43))</f>
        <v/>
      </c>
      <c r="M43" s="43">
        <f>IF($P43="","",INDEX(GL_Journal!$N:$N,$P43))</f>
        <v/>
      </c>
      <c r="N43" s="47">
        <f>IF($P43="","",IF($A43=1,LG_Open,$N42)+$L43-$M43)</f>
        <v/>
      </c>
      <c r="O43" s="32">
        <f>IF($A43&gt;COUNT(GL_Journal!$Y:$Y),"",SMALL(GL_Journal!$Y:$Y,$A43))</f>
        <v/>
      </c>
      <c r="P43" s="32">
        <f>IF($O43="","",MATCH($O43,GL_Journal!$Y:$Y,0))</f>
        <v/>
      </c>
      <c r="Q43" s="32" t="inlineStr"/>
    </row>
    <row r="44">
      <c r="A44" s="32">
        <f>ROW()-12</f>
        <v/>
      </c>
      <c r="B44" s="33">
        <f>IF($P44="","",INDEX(GL_Journal!$D:$D,$P44))</f>
        <v/>
      </c>
      <c r="C44" s="32">
        <f>IF($P44="","",INDEX(GL_Journal!$C:$C,$P44))</f>
        <v/>
      </c>
      <c r="D44" s="32">
        <f>IF($P44="","",INDEX(GL_Journal!$E:$E,$P44))</f>
        <v/>
      </c>
      <c r="E44" s="32">
        <f>IF($P44="","",INDEX(GL_Journal!$F:$F,$P44))</f>
        <v/>
      </c>
      <c r="F44" s="32">
        <f>IF($P44="","",INDEX(GL_Journal!$G:$G,$P44))</f>
        <v/>
      </c>
      <c r="G44" s="32">
        <f>IF($P44="","",INDEX(GL_Journal!$H:$H,$P44))</f>
        <v/>
      </c>
      <c r="H44" s="32">
        <f>IF($P44="","",INDEX(GL_Journal!$I:$I,$P44))</f>
        <v/>
      </c>
      <c r="I44" s="32">
        <f>IF($P44="","",INDEX(GL_Journal!$J:$J,$P44))</f>
        <v/>
      </c>
      <c r="J44" s="32">
        <f>IF($P44="","",INDEX(GL_Journal!$K:$K,$P44))</f>
        <v/>
      </c>
      <c r="K44" s="32">
        <f>IF($P44="","",INDEX(GL_Journal!$L:$L,$P44))</f>
        <v/>
      </c>
      <c r="L44" s="43">
        <f>IF($P44="","",INDEX(GL_Journal!$M:$M,$P44))</f>
        <v/>
      </c>
      <c r="M44" s="43">
        <f>IF($P44="","",INDEX(GL_Journal!$N:$N,$P44))</f>
        <v/>
      </c>
      <c r="N44" s="47">
        <f>IF($P44="","",IF($A44=1,LG_Open,$N43)+$L44-$M44)</f>
        <v/>
      </c>
      <c r="O44" s="32">
        <f>IF($A44&gt;COUNT(GL_Journal!$Y:$Y),"",SMALL(GL_Journal!$Y:$Y,$A44))</f>
        <v/>
      </c>
      <c r="P44" s="32">
        <f>IF($O44="","",MATCH($O44,GL_Journal!$Y:$Y,0))</f>
        <v/>
      </c>
      <c r="Q44" s="32" t="inlineStr"/>
    </row>
    <row r="45">
      <c r="A45" s="32">
        <f>ROW()-12</f>
        <v/>
      </c>
      <c r="B45" s="33">
        <f>IF($P45="","",INDEX(GL_Journal!$D:$D,$P45))</f>
        <v/>
      </c>
      <c r="C45" s="32">
        <f>IF($P45="","",INDEX(GL_Journal!$C:$C,$P45))</f>
        <v/>
      </c>
      <c r="D45" s="32">
        <f>IF($P45="","",INDEX(GL_Journal!$E:$E,$P45))</f>
        <v/>
      </c>
      <c r="E45" s="32">
        <f>IF($P45="","",INDEX(GL_Journal!$F:$F,$P45))</f>
        <v/>
      </c>
      <c r="F45" s="32">
        <f>IF($P45="","",INDEX(GL_Journal!$G:$G,$P45))</f>
        <v/>
      </c>
      <c r="G45" s="32">
        <f>IF($P45="","",INDEX(GL_Journal!$H:$H,$P45))</f>
        <v/>
      </c>
      <c r="H45" s="32">
        <f>IF($P45="","",INDEX(GL_Journal!$I:$I,$P45))</f>
        <v/>
      </c>
      <c r="I45" s="32">
        <f>IF($P45="","",INDEX(GL_Journal!$J:$J,$P45))</f>
        <v/>
      </c>
      <c r="J45" s="32">
        <f>IF($P45="","",INDEX(GL_Journal!$K:$K,$P45))</f>
        <v/>
      </c>
      <c r="K45" s="32">
        <f>IF($P45="","",INDEX(GL_Journal!$L:$L,$P45))</f>
        <v/>
      </c>
      <c r="L45" s="43">
        <f>IF($P45="","",INDEX(GL_Journal!$M:$M,$P45))</f>
        <v/>
      </c>
      <c r="M45" s="43">
        <f>IF($P45="","",INDEX(GL_Journal!$N:$N,$P45))</f>
        <v/>
      </c>
      <c r="N45" s="47">
        <f>IF($P45="","",IF($A45=1,LG_Open,$N44)+$L45-$M45)</f>
        <v/>
      </c>
      <c r="O45" s="32">
        <f>IF($A45&gt;COUNT(GL_Journal!$Y:$Y),"",SMALL(GL_Journal!$Y:$Y,$A45))</f>
        <v/>
      </c>
      <c r="P45" s="32">
        <f>IF($O45="","",MATCH($O45,GL_Journal!$Y:$Y,0))</f>
        <v/>
      </c>
      <c r="Q45" s="32" t="inlineStr"/>
    </row>
    <row r="46">
      <c r="A46" s="32">
        <f>ROW()-12</f>
        <v/>
      </c>
      <c r="B46" s="33">
        <f>IF($P46="","",INDEX(GL_Journal!$D:$D,$P46))</f>
        <v/>
      </c>
      <c r="C46" s="32">
        <f>IF($P46="","",INDEX(GL_Journal!$C:$C,$P46))</f>
        <v/>
      </c>
      <c r="D46" s="32">
        <f>IF($P46="","",INDEX(GL_Journal!$E:$E,$P46))</f>
        <v/>
      </c>
      <c r="E46" s="32">
        <f>IF($P46="","",INDEX(GL_Journal!$F:$F,$P46))</f>
        <v/>
      </c>
      <c r="F46" s="32">
        <f>IF($P46="","",INDEX(GL_Journal!$G:$G,$P46))</f>
        <v/>
      </c>
      <c r="G46" s="32">
        <f>IF($P46="","",INDEX(GL_Journal!$H:$H,$P46))</f>
        <v/>
      </c>
      <c r="H46" s="32">
        <f>IF($P46="","",INDEX(GL_Journal!$I:$I,$P46))</f>
        <v/>
      </c>
      <c r="I46" s="32">
        <f>IF($P46="","",INDEX(GL_Journal!$J:$J,$P46))</f>
        <v/>
      </c>
      <c r="J46" s="32">
        <f>IF($P46="","",INDEX(GL_Journal!$K:$K,$P46))</f>
        <v/>
      </c>
      <c r="K46" s="32">
        <f>IF($P46="","",INDEX(GL_Journal!$L:$L,$P46))</f>
        <v/>
      </c>
      <c r="L46" s="43">
        <f>IF($P46="","",INDEX(GL_Journal!$M:$M,$P46))</f>
        <v/>
      </c>
      <c r="M46" s="43">
        <f>IF($P46="","",INDEX(GL_Journal!$N:$N,$P46))</f>
        <v/>
      </c>
      <c r="N46" s="47">
        <f>IF($P46="","",IF($A46=1,LG_Open,$N45)+$L46-$M46)</f>
        <v/>
      </c>
      <c r="O46" s="32">
        <f>IF($A46&gt;COUNT(GL_Journal!$Y:$Y),"",SMALL(GL_Journal!$Y:$Y,$A46))</f>
        <v/>
      </c>
      <c r="P46" s="32">
        <f>IF($O46="","",MATCH($O46,GL_Journal!$Y:$Y,0))</f>
        <v/>
      </c>
      <c r="Q46" s="32" t="inlineStr"/>
    </row>
    <row r="47">
      <c r="A47" s="32">
        <f>ROW()-12</f>
        <v/>
      </c>
      <c r="B47" s="33">
        <f>IF($P47="","",INDEX(GL_Journal!$D:$D,$P47))</f>
        <v/>
      </c>
      <c r="C47" s="32">
        <f>IF($P47="","",INDEX(GL_Journal!$C:$C,$P47))</f>
        <v/>
      </c>
      <c r="D47" s="32">
        <f>IF($P47="","",INDEX(GL_Journal!$E:$E,$P47))</f>
        <v/>
      </c>
      <c r="E47" s="32">
        <f>IF($P47="","",INDEX(GL_Journal!$F:$F,$P47))</f>
        <v/>
      </c>
      <c r="F47" s="32">
        <f>IF($P47="","",INDEX(GL_Journal!$G:$G,$P47))</f>
        <v/>
      </c>
      <c r="G47" s="32">
        <f>IF($P47="","",INDEX(GL_Journal!$H:$H,$P47))</f>
        <v/>
      </c>
      <c r="H47" s="32">
        <f>IF($P47="","",INDEX(GL_Journal!$I:$I,$P47))</f>
        <v/>
      </c>
      <c r="I47" s="32">
        <f>IF($P47="","",INDEX(GL_Journal!$J:$J,$P47))</f>
        <v/>
      </c>
      <c r="J47" s="32">
        <f>IF($P47="","",INDEX(GL_Journal!$K:$K,$P47))</f>
        <v/>
      </c>
      <c r="K47" s="32">
        <f>IF($P47="","",INDEX(GL_Journal!$L:$L,$P47))</f>
        <v/>
      </c>
      <c r="L47" s="43">
        <f>IF($P47="","",INDEX(GL_Journal!$M:$M,$P47))</f>
        <v/>
      </c>
      <c r="M47" s="43">
        <f>IF($P47="","",INDEX(GL_Journal!$N:$N,$P47))</f>
        <v/>
      </c>
      <c r="N47" s="47">
        <f>IF($P47="","",IF($A47=1,LG_Open,$N46)+$L47-$M47)</f>
        <v/>
      </c>
      <c r="O47" s="32">
        <f>IF($A47&gt;COUNT(GL_Journal!$Y:$Y),"",SMALL(GL_Journal!$Y:$Y,$A47))</f>
        <v/>
      </c>
      <c r="P47" s="32">
        <f>IF($O47="","",MATCH($O47,GL_Journal!$Y:$Y,0))</f>
        <v/>
      </c>
      <c r="Q47" s="32" t="inlineStr"/>
    </row>
    <row r="48">
      <c r="A48" s="32">
        <f>ROW()-12</f>
        <v/>
      </c>
      <c r="B48" s="33">
        <f>IF($P48="","",INDEX(GL_Journal!$D:$D,$P48))</f>
        <v/>
      </c>
      <c r="C48" s="32">
        <f>IF($P48="","",INDEX(GL_Journal!$C:$C,$P48))</f>
        <v/>
      </c>
      <c r="D48" s="32">
        <f>IF($P48="","",INDEX(GL_Journal!$E:$E,$P48))</f>
        <v/>
      </c>
      <c r="E48" s="32">
        <f>IF($P48="","",INDEX(GL_Journal!$F:$F,$P48))</f>
        <v/>
      </c>
      <c r="F48" s="32">
        <f>IF($P48="","",INDEX(GL_Journal!$G:$G,$P48))</f>
        <v/>
      </c>
      <c r="G48" s="32">
        <f>IF($P48="","",INDEX(GL_Journal!$H:$H,$P48))</f>
        <v/>
      </c>
      <c r="H48" s="32">
        <f>IF($P48="","",INDEX(GL_Journal!$I:$I,$P48))</f>
        <v/>
      </c>
      <c r="I48" s="32">
        <f>IF($P48="","",INDEX(GL_Journal!$J:$J,$P48))</f>
        <v/>
      </c>
      <c r="J48" s="32">
        <f>IF($P48="","",INDEX(GL_Journal!$K:$K,$P48))</f>
        <v/>
      </c>
      <c r="K48" s="32">
        <f>IF($P48="","",INDEX(GL_Journal!$L:$L,$P48))</f>
        <v/>
      </c>
      <c r="L48" s="43">
        <f>IF($P48="","",INDEX(GL_Journal!$M:$M,$P48))</f>
        <v/>
      </c>
      <c r="M48" s="43">
        <f>IF($P48="","",INDEX(GL_Journal!$N:$N,$P48))</f>
        <v/>
      </c>
      <c r="N48" s="47">
        <f>IF($P48="","",IF($A48=1,LG_Open,$N47)+$L48-$M48)</f>
        <v/>
      </c>
      <c r="O48" s="32">
        <f>IF($A48&gt;COUNT(GL_Journal!$Y:$Y),"",SMALL(GL_Journal!$Y:$Y,$A48))</f>
        <v/>
      </c>
      <c r="P48" s="32">
        <f>IF($O48="","",MATCH($O48,GL_Journal!$Y:$Y,0))</f>
        <v/>
      </c>
      <c r="Q48" s="32" t="inlineStr"/>
    </row>
    <row r="49">
      <c r="A49" s="32">
        <f>ROW()-12</f>
        <v/>
      </c>
      <c r="B49" s="33">
        <f>IF($P49="","",INDEX(GL_Journal!$D:$D,$P49))</f>
        <v/>
      </c>
      <c r="C49" s="32">
        <f>IF($P49="","",INDEX(GL_Journal!$C:$C,$P49))</f>
        <v/>
      </c>
      <c r="D49" s="32">
        <f>IF($P49="","",INDEX(GL_Journal!$E:$E,$P49))</f>
        <v/>
      </c>
      <c r="E49" s="32">
        <f>IF($P49="","",INDEX(GL_Journal!$F:$F,$P49))</f>
        <v/>
      </c>
      <c r="F49" s="32">
        <f>IF($P49="","",INDEX(GL_Journal!$G:$G,$P49))</f>
        <v/>
      </c>
      <c r="G49" s="32">
        <f>IF($P49="","",INDEX(GL_Journal!$H:$H,$P49))</f>
        <v/>
      </c>
      <c r="H49" s="32">
        <f>IF($P49="","",INDEX(GL_Journal!$I:$I,$P49))</f>
        <v/>
      </c>
      <c r="I49" s="32">
        <f>IF($P49="","",INDEX(GL_Journal!$J:$J,$P49))</f>
        <v/>
      </c>
      <c r="J49" s="32">
        <f>IF($P49="","",INDEX(GL_Journal!$K:$K,$P49))</f>
        <v/>
      </c>
      <c r="K49" s="32">
        <f>IF($P49="","",INDEX(GL_Journal!$L:$L,$P49))</f>
        <v/>
      </c>
      <c r="L49" s="43">
        <f>IF($P49="","",INDEX(GL_Journal!$M:$M,$P49))</f>
        <v/>
      </c>
      <c r="M49" s="43">
        <f>IF($P49="","",INDEX(GL_Journal!$N:$N,$P49))</f>
        <v/>
      </c>
      <c r="N49" s="47">
        <f>IF($P49="","",IF($A49=1,LG_Open,$N48)+$L49-$M49)</f>
        <v/>
      </c>
      <c r="O49" s="32">
        <f>IF($A49&gt;COUNT(GL_Journal!$Y:$Y),"",SMALL(GL_Journal!$Y:$Y,$A49))</f>
        <v/>
      </c>
      <c r="P49" s="32">
        <f>IF($O49="","",MATCH($O49,GL_Journal!$Y:$Y,0))</f>
        <v/>
      </c>
      <c r="Q49" s="32" t="inlineStr"/>
    </row>
    <row r="50">
      <c r="A50" s="32">
        <f>ROW()-12</f>
        <v/>
      </c>
      <c r="B50" s="33">
        <f>IF($P50="","",INDEX(GL_Journal!$D:$D,$P50))</f>
        <v/>
      </c>
      <c r="C50" s="32">
        <f>IF($P50="","",INDEX(GL_Journal!$C:$C,$P50))</f>
        <v/>
      </c>
      <c r="D50" s="32">
        <f>IF($P50="","",INDEX(GL_Journal!$E:$E,$P50))</f>
        <v/>
      </c>
      <c r="E50" s="32">
        <f>IF($P50="","",INDEX(GL_Journal!$F:$F,$P50))</f>
        <v/>
      </c>
      <c r="F50" s="32">
        <f>IF($P50="","",INDEX(GL_Journal!$G:$G,$P50))</f>
        <v/>
      </c>
      <c r="G50" s="32">
        <f>IF($P50="","",INDEX(GL_Journal!$H:$H,$P50))</f>
        <v/>
      </c>
      <c r="H50" s="32">
        <f>IF($P50="","",INDEX(GL_Journal!$I:$I,$P50))</f>
        <v/>
      </c>
      <c r="I50" s="32">
        <f>IF($P50="","",INDEX(GL_Journal!$J:$J,$P50))</f>
        <v/>
      </c>
      <c r="J50" s="32">
        <f>IF($P50="","",INDEX(GL_Journal!$K:$K,$P50))</f>
        <v/>
      </c>
      <c r="K50" s="32">
        <f>IF($P50="","",INDEX(GL_Journal!$L:$L,$P50))</f>
        <v/>
      </c>
      <c r="L50" s="43">
        <f>IF($P50="","",INDEX(GL_Journal!$M:$M,$P50))</f>
        <v/>
      </c>
      <c r="M50" s="43">
        <f>IF($P50="","",INDEX(GL_Journal!$N:$N,$P50))</f>
        <v/>
      </c>
      <c r="N50" s="47">
        <f>IF($P50="","",IF($A50=1,LG_Open,$N49)+$L50-$M50)</f>
        <v/>
      </c>
      <c r="O50" s="32">
        <f>IF($A50&gt;COUNT(GL_Journal!$Y:$Y),"",SMALL(GL_Journal!$Y:$Y,$A50))</f>
        <v/>
      </c>
      <c r="P50" s="32">
        <f>IF($O50="","",MATCH($O50,GL_Journal!$Y:$Y,0))</f>
        <v/>
      </c>
      <c r="Q50" s="32" t="inlineStr"/>
    </row>
    <row r="51">
      <c r="A51" s="32">
        <f>ROW()-12</f>
        <v/>
      </c>
      <c r="B51" s="33">
        <f>IF($P51="","",INDEX(GL_Journal!$D:$D,$P51))</f>
        <v/>
      </c>
      <c r="C51" s="32">
        <f>IF($P51="","",INDEX(GL_Journal!$C:$C,$P51))</f>
        <v/>
      </c>
      <c r="D51" s="32">
        <f>IF($P51="","",INDEX(GL_Journal!$E:$E,$P51))</f>
        <v/>
      </c>
      <c r="E51" s="32">
        <f>IF($P51="","",INDEX(GL_Journal!$F:$F,$P51))</f>
        <v/>
      </c>
      <c r="F51" s="32">
        <f>IF($P51="","",INDEX(GL_Journal!$G:$G,$P51))</f>
        <v/>
      </c>
      <c r="G51" s="32">
        <f>IF($P51="","",INDEX(GL_Journal!$H:$H,$P51))</f>
        <v/>
      </c>
      <c r="H51" s="32">
        <f>IF($P51="","",INDEX(GL_Journal!$I:$I,$P51))</f>
        <v/>
      </c>
      <c r="I51" s="32">
        <f>IF($P51="","",INDEX(GL_Journal!$J:$J,$P51))</f>
        <v/>
      </c>
      <c r="J51" s="32">
        <f>IF($P51="","",INDEX(GL_Journal!$K:$K,$P51))</f>
        <v/>
      </c>
      <c r="K51" s="32">
        <f>IF($P51="","",INDEX(GL_Journal!$L:$L,$P51))</f>
        <v/>
      </c>
      <c r="L51" s="43">
        <f>IF($P51="","",INDEX(GL_Journal!$M:$M,$P51))</f>
        <v/>
      </c>
      <c r="M51" s="43">
        <f>IF($P51="","",INDEX(GL_Journal!$N:$N,$P51))</f>
        <v/>
      </c>
      <c r="N51" s="47">
        <f>IF($P51="","",IF($A51=1,LG_Open,$N50)+$L51-$M51)</f>
        <v/>
      </c>
      <c r="O51" s="32">
        <f>IF($A51&gt;COUNT(GL_Journal!$Y:$Y),"",SMALL(GL_Journal!$Y:$Y,$A51))</f>
        <v/>
      </c>
      <c r="P51" s="32">
        <f>IF($O51="","",MATCH($O51,GL_Journal!$Y:$Y,0))</f>
        <v/>
      </c>
      <c r="Q51" s="32" t="inlineStr"/>
    </row>
    <row r="52">
      <c r="A52" s="32">
        <f>ROW()-12</f>
        <v/>
      </c>
      <c r="B52" s="33">
        <f>IF($P52="","",INDEX(GL_Journal!$D:$D,$P52))</f>
        <v/>
      </c>
      <c r="C52" s="32">
        <f>IF($P52="","",INDEX(GL_Journal!$C:$C,$P52))</f>
        <v/>
      </c>
      <c r="D52" s="32">
        <f>IF($P52="","",INDEX(GL_Journal!$E:$E,$P52))</f>
        <v/>
      </c>
      <c r="E52" s="32">
        <f>IF($P52="","",INDEX(GL_Journal!$F:$F,$P52))</f>
        <v/>
      </c>
      <c r="F52" s="32">
        <f>IF($P52="","",INDEX(GL_Journal!$G:$G,$P52))</f>
        <v/>
      </c>
      <c r="G52" s="32">
        <f>IF($P52="","",INDEX(GL_Journal!$H:$H,$P52))</f>
        <v/>
      </c>
      <c r="H52" s="32">
        <f>IF($P52="","",INDEX(GL_Journal!$I:$I,$P52))</f>
        <v/>
      </c>
      <c r="I52" s="32">
        <f>IF($P52="","",INDEX(GL_Journal!$J:$J,$P52))</f>
        <v/>
      </c>
      <c r="J52" s="32">
        <f>IF($P52="","",INDEX(GL_Journal!$K:$K,$P52))</f>
        <v/>
      </c>
      <c r="K52" s="32">
        <f>IF($P52="","",INDEX(GL_Journal!$L:$L,$P52))</f>
        <v/>
      </c>
      <c r="L52" s="43">
        <f>IF($P52="","",INDEX(GL_Journal!$M:$M,$P52))</f>
        <v/>
      </c>
      <c r="M52" s="43">
        <f>IF($P52="","",INDEX(GL_Journal!$N:$N,$P52))</f>
        <v/>
      </c>
      <c r="N52" s="47">
        <f>IF($P52="","",IF($A52=1,LG_Open,$N51)+$L52-$M52)</f>
        <v/>
      </c>
      <c r="O52" s="32">
        <f>IF($A52&gt;COUNT(GL_Journal!$Y:$Y),"",SMALL(GL_Journal!$Y:$Y,$A52))</f>
        <v/>
      </c>
      <c r="P52" s="32">
        <f>IF($O52="","",MATCH($O52,GL_Journal!$Y:$Y,0))</f>
        <v/>
      </c>
      <c r="Q52" s="32" t="inlineStr"/>
    </row>
    <row r="53">
      <c r="A53" s="32">
        <f>ROW()-12</f>
        <v/>
      </c>
      <c r="B53" s="33">
        <f>IF($P53="","",INDEX(GL_Journal!$D:$D,$P53))</f>
        <v/>
      </c>
      <c r="C53" s="32">
        <f>IF($P53="","",INDEX(GL_Journal!$C:$C,$P53))</f>
        <v/>
      </c>
      <c r="D53" s="32">
        <f>IF($P53="","",INDEX(GL_Journal!$E:$E,$P53))</f>
        <v/>
      </c>
      <c r="E53" s="32">
        <f>IF($P53="","",INDEX(GL_Journal!$F:$F,$P53))</f>
        <v/>
      </c>
      <c r="F53" s="32">
        <f>IF($P53="","",INDEX(GL_Journal!$G:$G,$P53))</f>
        <v/>
      </c>
      <c r="G53" s="32">
        <f>IF($P53="","",INDEX(GL_Journal!$H:$H,$P53))</f>
        <v/>
      </c>
      <c r="H53" s="32">
        <f>IF($P53="","",INDEX(GL_Journal!$I:$I,$P53))</f>
        <v/>
      </c>
      <c r="I53" s="32">
        <f>IF($P53="","",INDEX(GL_Journal!$J:$J,$P53))</f>
        <v/>
      </c>
      <c r="J53" s="32">
        <f>IF($P53="","",INDEX(GL_Journal!$K:$K,$P53))</f>
        <v/>
      </c>
      <c r="K53" s="32">
        <f>IF($P53="","",INDEX(GL_Journal!$L:$L,$P53))</f>
        <v/>
      </c>
      <c r="L53" s="43">
        <f>IF($P53="","",INDEX(GL_Journal!$M:$M,$P53))</f>
        <v/>
      </c>
      <c r="M53" s="43">
        <f>IF($P53="","",INDEX(GL_Journal!$N:$N,$P53))</f>
        <v/>
      </c>
      <c r="N53" s="47">
        <f>IF($P53="","",IF($A53=1,LG_Open,$N52)+$L53-$M53)</f>
        <v/>
      </c>
      <c r="O53" s="32">
        <f>IF($A53&gt;COUNT(GL_Journal!$Y:$Y),"",SMALL(GL_Journal!$Y:$Y,$A53))</f>
        <v/>
      </c>
      <c r="P53" s="32">
        <f>IF($O53="","",MATCH($O53,GL_Journal!$Y:$Y,0))</f>
        <v/>
      </c>
      <c r="Q53" s="32" t="inlineStr"/>
    </row>
    <row r="54">
      <c r="A54" s="32">
        <f>ROW()-12</f>
        <v/>
      </c>
      <c r="B54" s="33">
        <f>IF($P54="","",INDEX(GL_Journal!$D:$D,$P54))</f>
        <v/>
      </c>
      <c r="C54" s="32">
        <f>IF($P54="","",INDEX(GL_Journal!$C:$C,$P54))</f>
        <v/>
      </c>
      <c r="D54" s="32">
        <f>IF($P54="","",INDEX(GL_Journal!$E:$E,$P54))</f>
        <v/>
      </c>
      <c r="E54" s="32">
        <f>IF($P54="","",INDEX(GL_Journal!$F:$F,$P54))</f>
        <v/>
      </c>
      <c r="F54" s="32">
        <f>IF($P54="","",INDEX(GL_Journal!$G:$G,$P54))</f>
        <v/>
      </c>
      <c r="G54" s="32">
        <f>IF($P54="","",INDEX(GL_Journal!$H:$H,$P54))</f>
        <v/>
      </c>
      <c r="H54" s="32">
        <f>IF($P54="","",INDEX(GL_Journal!$I:$I,$P54))</f>
        <v/>
      </c>
      <c r="I54" s="32">
        <f>IF($P54="","",INDEX(GL_Journal!$J:$J,$P54))</f>
        <v/>
      </c>
      <c r="J54" s="32">
        <f>IF($P54="","",INDEX(GL_Journal!$K:$K,$P54))</f>
        <v/>
      </c>
      <c r="K54" s="32">
        <f>IF($P54="","",INDEX(GL_Journal!$L:$L,$P54))</f>
        <v/>
      </c>
      <c r="L54" s="43">
        <f>IF($P54="","",INDEX(GL_Journal!$M:$M,$P54))</f>
        <v/>
      </c>
      <c r="M54" s="43">
        <f>IF($P54="","",INDEX(GL_Journal!$N:$N,$P54))</f>
        <v/>
      </c>
      <c r="N54" s="47">
        <f>IF($P54="","",IF($A54=1,LG_Open,$N53)+$L54-$M54)</f>
        <v/>
      </c>
      <c r="O54" s="32">
        <f>IF($A54&gt;COUNT(GL_Journal!$Y:$Y),"",SMALL(GL_Journal!$Y:$Y,$A54))</f>
        <v/>
      </c>
      <c r="P54" s="32">
        <f>IF($O54="","",MATCH($O54,GL_Journal!$Y:$Y,0))</f>
        <v/>
      </c>
      <c r="Q54" s="32" t="inlineStr"/>
    </row>
    <row r="55">
      <c r="A55" s="32">
        <f>ROW()-12</f>
        <v/>
      </c>
      <c r="B55" s="33">
        <f>IF($P55="","",INDEX(GL_Journal!$D:$D,$P55))</f>
        <v/>
      </c>
      <c r="C55" s="32">
        <f>IF($P55="","",INDEX(GL_Journal!$C:$C,$P55))</f>
        <v/>
      </c>
      <c r="D55" s="32">
        <f>IF($P55="","",INDEX(GL_Journal!$E:$E,$P55))</f>
        <v/>
      </c>
      <c r="E55" s="32">
        <f>IF($P55="","",INDEX(GL_Journal!$F:$F,$P55))</f>
        <v/>
      </c>
      <c r="F55" s="32">
        <f>IF($P55="","",INDEX(GL_Journal!$G:$G,$P55))</f>
        <v/>
      </c>
      <c r="G55" s="32">
        <f>IF($P55="","",INDEX(GL_Journal!$H:$H,$P55))</f>
        <v/>
      </c>
      <c r="H55" s="32">
        <f>IF($P55="","",INDEX(GL_Journal!$I:$I,$P55))</f>
        <v/>
      </c>
      <c r="I55" s="32">
        <f>IF($P55="","",INDEX(GL_Journal!$J:$J,$P55))</f>
        <v/>
      </c>
      <c r="J55" s="32">
        <f>IF($P55="","",INDEX(GL_Journal!$K:$K,$P55))</f>
        <v/>
      </c>
      <c r="K55" s="32">
        <f>IF($P55="","",INDEX(GL_Journal!$L:$L,$P55))</f>
        <v/>
      </c>
      <c r="L55" s="43">
        <f>IF($P55="","",INDEX(GL_Journal!$M:$M,$P55))</f>
        <v/>
      </c>
      <c r="M55" s="43">
        <f>IF($P55="","",INDEX(GL_Journal!$N:$N,$P55))</f>
        <v/>
      </c>
      <c r="N55" s="47">
        <f>IF($P55="","",IF($A55=1,LG_Open,$N54)+$L55-$M55)</f>
        <v/>
      </c>
      <c r="O55" s="32">
        <f>IF($A55&gt;COUNT(GL_Journal!$Y:$Y),"",SMALL(GL_Journal!$Y:$Y,$A55))</f>
        <v/>
      </c>
      <c r="P55" s="32">
        <f>IF($O55="","",MATCH($O55,GL_Journal!$Y:$Y,0))</f>
        <v/>
      </c>
      <c r="Q55" s="32" t="inlineStr"/>
    </row>
    <row r="56">
      <c r="A56" s="32">
        <f>ROW()-12</f>
        <v/>
      </c>
      <c r="B56" s="33">
        <f>IF($P56="","",INDEX(GL_Journal!$D:$D,$P56))</f>
        <v/>
      </c>
      <c r="C56" s="32">
        <f>IF($P56="","",INDEX(GL_Journal!$C:$C,$P56))</f>
        <v/>
      </c>
      <c r="D56" s="32">
        <f>IF($P56="","",INDEX(GL_Journal!$E:$E,$P56))</f>
        <v/>
      </c>
      <c r="E56" s="32">
        <f>IF($P56="","",INDEX(GL_Journal!$F:$F,$P56))</f>
        <v/>
      </c>
      <c r="F56" s="32">
        <f>IF($P56="","",INDEX(GL_Journal!$G:$G,$P56))</f>
        <v/>
      </c>
      <c r="G56" s="32">
        <f>IF($P56="","",INDEX(GL_Journal!$H:$H,$P56))</f>
        <v/>
      </c>
      <c r="H56" s="32">
        <f>IF($P56="","",INDEX(GL_Journal!$I:$I,$P56))</f>
        <v/>
      </c>
      <c r="I56" s="32">
        <f>IF($P56="","",INDEX(GL_Journal!$J:$J,$P56))</f>
        <v/>
      </c>
      <c r="J56" s="32">
        <f>IF($P56="","",INDEX(GL_Journal!$K:$K,$P56))</f>
        <v/>
      </c>
      <c r="K56" s="32">
        <f>IF($P56="","",INDEX(GL_Journal!$L:$L,$P56))</f>
        <v/>
      </c>
      <c r="L56" s="43">
        <f>IF($P56="","",INDEX(GL_Journal!$M:$M,$P56))</f>
        <v/>
      </c>
      <c r="M56" s="43">
        <f>IF($P56="","",INDEX(GL_Journal!$N:$N,$P56))</f>
        <v/>
      </c>
      <c r="N56" s="47">
        <f>IF($P56="","",IF($A56=1,LG_Open,$N55)+$L56-$M56)</f>
        <v/>
      </c>
      <c r="O56" s="32">
        <f>IF($A56&gt;COUNT(GL_Journal!$Y:$Y),"",SMALL(GL_Journal!$Y:$Y,$A56))</f>
        <v/>
      </c>
      <c r="P56" s="32">
        <f>IF($O56="","",MATCH($O56,GL_Journal!$Y:$Y,0))</f>
        <v/>
      </c>
      <c r="Q56" s="32" t="inlineStr"/>
    </row>
    <row r="57">
      <c r="A57" s="32">
        <f>ROW()-12</f>
        <v/>
      </c>
      <c r="B57" s="33">
        <f>IF($P57="","",INDEX(GL_Journal!$D:$D,$P57))</f>
        <v/>
      </c>
      <c r="C57" s="32">
        <f>IF($P57="","",INDEX(GL_Journal!$C:$C,$P57))</f>
        <v/>
      </c>
      <c r="D57" s="32">
        <f>IF($P57="","",INDEX(GL_Journal!$E:$E,$P57))</f>
        <v/>
      </c>
      <c r="E57" s="32">
        <f>IF($P57="","",INDEX(GL_Journal!$F:$F,$P57))</f>
        <v/>
      </c>
      <c r="F57" s="32">
        <f>IF($P57="","",INDEX(GL_Journal!$G:$G,$P57))</f>
        <v/>
      </c>
      <c r="G57" s="32">
        <f>IF($P57="","",INDEX(GL_Journal!$H:$H,$P57))</f>
        <v/>
      </c>
      <c r="H57" s="32">
        <f>IF($P57="","",INDEX(GL_Journal!$I:$I,$P57))</f>
        <v/>
      </c>
      <c r="I57" s="32">
        <f>IF($P57="","",INDEX(GL_Journal!$J:$J,$P57))</f>
        <v/>
      </c>
      <c r="J57" s="32">
        <f>IF($P57="","",INDEX(GL_Journal!$K:$K,$P57))</f>
        <v/>
      </c>
      <c r="K57" s="32">
        <f>IF($P57="","",INDEX(GL_Journal!$L:$L,$P57))</f>
        <v/>
      </c>
      <c r="L57" s="43">
        <f>IF($P57="","",INDEX(GL_Journal!$M:$M,$P57))</f>
        <v/>
      </c>
      <c r="M57" s="43">
        <f>IF($P57="","",INDEX(GL_Journal!$N:$N,$P57))</f>
        <v/>
      </c>
      <c r="N57" s="47">
        <f>IF($P57="","",IF($A57=1,LG_Open,$N56)+$L57-$M57)</f>
        <v/>
      </c>
      <c r="O57" s="32">
        <f>IF($A57&gt;COUNT(GL_Journal!$Y:$Y),"",SMALL(GL_Journal!$Y:$Y,$A57))</f>
        <v/>
      </c>
      <c r="P57" s="32">
        <f>IF($O57="","",MATCH($O57,GL_Journal!$Y:$Y,0))</f>
        <v/>
      </c>
      <c r="Q57" s="32" t="inlineStr"/>
    </row>
    <row r="58">
      <c r="A58" s="32">
        <f>ROW()-12</f>
        <v/>
      </c>
      <c r="B58" s="33">
        <f>IF($P58="","",INDEX(GL_Journal!$D:$D,$P58))</f>
        <v/>
      </c>
      <c r="C58" s="32">
        <f>IF($P58="","",INDEX(GL_Journal!$C:$C,$P58))</f>
        <v/>
      </c>
      <c r="D58" s="32">
        <f>IF($P58="","",INDEX(GL_Journal!$E:$E,$P58))</f>
        <v/>
      </c>
      <c r="E58" s="32">
        <f>IF($P58="","",INDEX(GL_Journal!$F:$F,$P58))</f>
        <v/>
      </c>
      <c r="F58" s="32">
        <f>IF($P58="","",INDEX(GL_Journal!$G:$G,$P58))</f>
        <v/>
      </c>
      <c r="G58" s="32">
        <f>IF($P58="","",INDEX(GL_Journal!$H:$H,$P58))</f>
        <v/>
      </c>
      <c r="H58" s="32">
        <f>IF($P58="","",INDEX(GL_Journal!$I:$I,$P58))</f>
        <v/>
      </c>
      <c r="I58" s="32">
        <f>IF($P58="","",INDEX(GL_Journal!$J:$J,$P58))</f>
        <v/>
      </c>
      <c r="J58" s="32">
        <f>IF($P58="","",INDEX(GL_Journal!$K:$K,$P58))</f>
        <v/>
      </c>
      <c r="K58" s="32">
        <f>IF($P58="","",INDEX(GL_Journal!$L:$L,$P58))</f>
        <v/>
      </c>
      <c r="L58" s="43">
        <f>IF($P58="","",INDEX(GL_Journal!$M:$M,$P58))</f>
        <v/>
      </c>
      <c r="M58" s="43">
        <f>IF($P58="","",INDEX(GL_Journal!$N:$N,$P58))</f>
        <v/>
      </c>
      <c r="N58" s="47">
        <f>IF($P58="","",IF($A58=1,LG_Open,$N57)+$L58-$M58)</f>
        <v/>
      </c>
      <c r="O58" s="32">
        <f>IF($A58&gt;COUNT(GL_Journal!$Y:$Y),"",SMALL(GL_Journal!$Y:$Y,$A58))</f>
        <v/>
      </c>
      <c r="P58" s="32">
        <f>IF($O58="","",MATCH($O58,GL_Journal!$Y:$Y,0))</f>
        <v/>
      </c>
      <c r="Q58" s="32" t="inlineStr"/>
    </row>
    <row r="59">
      <c r="A59" s="32">
        <f>ROW()-12</f>
        <v/>
      </c>
      <c r="B59" s="33">
        <f>IF($P59="","",INDEX(GL_Journal!$D:$D,$P59))</f>
        <v/>
      </c>
      <c r="C59" s="32">
        <f>IF($P59="","",INDEX(GL_Journal!$C:$C,$P59))</f>
        <v/>
      </c>
      <c r="D59" s="32">
        <f>IF($P59="","",INDEX(GL_Journal!$E:$E,$P59))</f>
        <v/>
      </c>
      <c r="E59" s="32">
        <f>IF($P59="","",INDEX(GL_Journal!$F:$F,$P59))</f>
        <v/>
      </c>
      <c r="F59" s="32">
        <f>IF($P59="","",INDEX(GL_Journal!$G:$G,$P59))</f>
        <v/>
      </c>
      <c r="G59" s="32">
        <f>IF($P59="","",INDEX(GL_Journal!$H:$H,$P59))</f>
        <v/>
      </c>
      <c r="H59" s="32">
        <f>IF($P59="","",INDEX(GL_Journal!$I:$I,$P59))</f>
        <v/>
      </c>
      <c r="I59" s="32">
        <f>IF($P59="","",INDEX(GL_Journal!$J:$J,$P59))</f>
        <v/>
      </c>
      <c r="J59" s="32">
        <f>IF($P59="","",INDEX(GL_Journal!$K:$K,$P59))</f>
        <v/>
      </c>
      <c r="K59" s="32">
        <f>IF($P59="","",INDEX(GL_Journal!$L:$L,$P59))</f>
        <v/>
      </c>
      <c r="L59" s="43">
        <f>IF($P59="","",INDEX(GL_Journal!$M:$M,$P59))</f>
        <v/>
      </c>
      <c r="M59" s="43">
        <f>IF($P59="","",INDEX(GL_Journal!$N:$N,$P59))</f>
        <v/>
      </c>
      <c r="N59" s="47">
        <f>IF($P59="","",IF($A59=1,LG_Open,$N58)+$L59-$M59)</f>
        <v/>
      </c>
      <c r="O59" s="32">
        <f>IF($A59&gt;COUNT(GL_Journal!$Y:$Y),"",SMALL(GL_Journal!$Y:$Y,$A59))</f>
        <v/>
      </c>
      <c r="P59" s="32">
        <f>IF($O59="","",MATCH($O59,GL_Journal!$Y:$Y,0))</f>
        <v/>
      </c>
      <c r="Q59" s="32" t="inlineStr"/>
    </row>
    <row r="60">
      <c r="A60" s="32">
        <f>ROW()-12</f>
        <v/>
      </c>
      <c r="B60" s="33">
        <f>IF($P60="","",INDEX(GL_Journal!$D:$D,$P60))</f>
        <v/>
      </c>
      <c r="C60" s="32">
        <f>IF($P60="","",INDEX(GL_Journal!$C:$C,$P60))</f>
        <v/>
      </c>
      <c r="D60" s="32">
        <f>IF($P60="","",INDEX(GL_Journal!$E:$E,$P60))</f>
        <v/>
      </c>
      <c r="E60" s="32">
        <f>IF($P60="","",INDEX(GL_Journal!$F:$F,$P60))</f>
        <v/>
      </c>
      <c r="F60" s="32">
        <f>IF($P60="","",INDEX(GL_Journal!$G:$G,$P60))</f>
        <v/>
      </c>
      <c r="G60" s="32">
        <f>IF($P60="","",INDEX(GL_Journal!$H:$H,$P60))</f>
        <v/>
      </c>
      <c r="H60" s="32">
        <f>IF($P60="","",INDEX(GL_Journal!$I:$I,$P60))</f>
        <v/>
      </c>
      <c r="I60" s="32">
        <f>IF($P60="","",INDEX(GL_Journal!$J:$J,$P60))</f>
        <v/>
      </c>
      <c r="J60" s="32">
        <f>IF($P60="","",INDEX(GL_Journal!$K:$K,$P60))</f>
        <v/>
      </c>
      <c r="K60" s="32">
        <f>IF($P60="","",INDEX(GL_Journal!$L:$L,$P60))</f>
        <v/>
      </c>
      <c r="L60" s="43">
        <f>IF($P60="","",INDEX(GL_Journal!$M:$M,$P60))</f>
        <v/>
      </c>
      <c r="M60" s="43">
        <f>IF($P60="","",INDEX(GL_Journal!$N:$N,$P60))</f>
        <v/>
      </c>
      <c r="N60" s="47">
        <f>IF($P60="","",IF($A60=1,LG_Open,$N59)+$L60-$M60)</f>
        <v/>
      </c>
      <c r="O60" s="32">
        <f>IF($A60&gt;COUNT(GL_Journal!$Y:$Y),"",SMALL(GL_Journal!$Y:$Y,$A60))</f>
        <v/>
      </c>
      <c r="P60" s="32">
        <f>IF($O60="","",MATCH($O60,GL_Journal!$Y:$Y,0))</f>
        <v/>
      </c>
      <c r="Q60" s="32" t="inlineStr"/>
    </row>
    <row r="61">
      <c r="A61" s="32">
        <f>ROW()-12</f>
        <v/>
      </c>
      <c r="B61" s="33">
        <f>IF($P61="","",INDEX(GL_Journal!$D:$D,$P61))</f>
        <v/>
      </c>
      <c r="C61" s="32">
        <f>IF($P61="","",INDEX(GL_Journal!$C:$C,$P61))</f>
        <v/>
      </c>
      <c r="D61" s="32">
        <f>IF($P61="","",INDEX(GL_Journal!$E:$E,$P61))</f>
        <v/>
      </c>
      <c r="E61" s="32">
        <f>IF($P61="","",INDEX(GL_Journal!$F:$F,$P61))</f>
        <v/>
      </c>
      <c r="F61" s="32">
        <f>IF($P61="","",INDEX(GL_Journal!$G:$G,$P61))</f>
        <v/>
      </c>
      <c r="G61" s="32">
        <f>IF($P61="","",INDEX(GL_Journal!$H:$H,$P61))</f>
        <v/>
      </c>
      <c r="H61" s="32">
        <f>IF($P61="","",INDEX(GL_Journal!$I:$I,$P61))</f>
        <v/>
      </c>
      <c r="I61" s="32">
        <f>IF($P61="","",INDEX(GL_Journal!$J:$J,$P61))</f>
        <v/>
      </c>
      <c r="J61" s="32">
        <f>IF($P61="","",INDEX(GL_Journal!$K:$K,$P61))</f>
        <v/>
      </c>
      <c r="K61" s="32">
        <f>IF($P61="","",INDEX(GL_Journal!$L:$L,$P61))</f>
        <v/>
      </c>
      <c r="L61" s="43">
        <f>IF($P61="","",INDEX(GL_Journal!$M:$M,$P61))</f>
        <v/>
      </c>
      <c r="M61" s="43">
        <f>IF($P61="","",INDEX(GL_Journal!$N:$N,$P61))</f>
        <v/>
      </c>
      <c r="N61" s="47">
        <f>IF($P61="","",IF($A61=1,LG_Open,$N60)+$L61-$M61)</f>
        <v/>
      </c>
      <c r="O61" s="32">
        <f>IF($A61&gt;COUNT(GL_Journal!$Y:$Y),"",SMALL(GL_Journal!$Y:$Y,$A61))</f>
        <v/>
      </c>
      <c r="P61" s="32">
        <f>IF($O61="","",MATCH($O61,GL_Journal!$Y:$Y,0))</f>
        <v/>
      </c>
      <c r="Q61" s="32" t="inlineStr"/>
    </row>
    <row r="62">
      <c r="A62" s="32">
        <f>ROW()-12</f>
        <v/>
      </c>
      <c r="B62" s="33">
        <f>IF($P62="","",INDEX(GL_Journal!$D:$D,$P62))</f>
        <v/>
      </c>
      <c r="C62" s="32">
        <f>IF($P62="","",INDEX(GL_Journal!$C:$C,$P62))</f>
        <v/>
      </c>
      <c r="D62" s="32">
        <f>IF($P62="","",INDEX(GL_Journal!$E:$E,$P62))</f>
        <v/>
      </c>
      <c r="E62" s="32">
        <f>IF($P62="","",INDEX(GL_Journal!$F:$F,$P62))</f>
        <v/>
      </c>
      <c r="F62" s="32">
        <f>IF($P62="","",INDEX(GL_Journal!$G:$G,$P62))</f>
        <v/>
      </c>
      <c r="G62" s="32">
        <f>IF($P62="","",INDEX(GL_Journal!$H:$H,$P62))</f>
        <v/>
      </c>
      <c r="H62" s="32">
        <f>IF($P62="","",INDEX(GL_Journal!$I:$I,$P62))</f>
        <v/>
      </c>
      <c r="I62" s="32">
        <f>IF($P62="","",INDEX(GL_Journal!$J:$J,$P62))</f>
        <v/>
      </c>
      <c r="J62" s="32">
        <f>IF($P62="","",INDEX(GL_Journal!$K:$K,$P62))</f>
        <v/>
      </c>
      <c r="K62" s="32">
        <f>IF($P62="","",INDEX(GL_Journal!$L:$L,$P62))</f>
        <v/>
      </c>
      <c r="L62" s="43">
        <f>IF($P62="","",INDEX(GL_Journal!$M:$M,$P62))</f>
        <v/>
      </c>
      <c r="M62" s="43">
        <f>IF($P62="","",INDEX(GL_Journal!$N:$N,$P62))</f>
        <v/>
      </c>
      <c r="N62" s="47">
        <f>IF($P62="","",IF($A62=1,LG_Open,$N61)+$L62-$M62)</f>
        <v/>
      </c>
      <c r="O62" s="32">
        <f>IF($A62&gt;COUNT(GL_Journal!$Y:$Y),"",SMALL(GL_Journal!$Y:$Y,$A62))</f>
        <v/>
      </c>
      <c r="P62" s="32">
        <f>IF($O62="","",MATCH($O62,GL_Journal!$Y:$Y,0))</f>
        <v/>
      </c>
      <c r="Q62" s="32" t="inlineStr"/>
    </row>
    <row r="63">
      <c r="A63" s="32">
        <f>ROW()-12</f>
        <v/>
      </c>
      <c r="B63" s="33">
        <f>IF($P63="","",INDEX(GL_Journal!$D:$D,$P63))</f>
        <v/>
      </c>
      <c r="C63" s="32">
        <f>IF($P63="","",INDEX(GL_Journal!$C:$C,$P63))</f>
        <v/>
      </c>
      <c r="D63" s="32">
        <f>IF($P63="","",INDEX(GL_Journal!$E:$E,$P63))</f>
        <v/>
      </c>
      <c r="E63" s="32">
        <f>IF($P63="","",INDEX(GL_Journal!$F:$F,$P63))</f>
        <v/>
      </c>
      <c r="F63" s="32">
        <f>IF($P63="","",INDEX(GL_Journal!$G:$G,$P63))</f>
        <v/>
      </c>
      <c r="G63" s="32">
        <f>IF($P63="","",INDEX(GL_Journal!$H:$H,$P63))</f>
        <v/>
      </c>
      <c r="H63" s="32">
        <f>IF($P63="","",INDEX(GL_Journal!$I:$I,$P63))</f>
        <v/>
      </c>
      <c r="I63" s="32">
        <f>IF($P63="","",INDEX(GL_Journal!$J:$J,$P63))</f>
        <v/>
      </c>
      <c r="J63" s="32">
        <f>IF($P63="","",INDEX(GL_Journal!$K:$K,$P63))</f>
        <v/>
      </c>
      <c r="K63" s="32">
        <f>IF($P63="","",INDEX(GL_Journal!$L:$L,$P63))</f>
        <v/>
      </c>
      <c r="L63" s="43">
        <f>IF($P63="","",INDEX(GL_Journal!$M:$M,$P63))</f>
        <v/>
      </c>
      <c r="M63" s="43">
        <f>IF($P63="","",INDEX(GL_Journal!$N:$N,$P63))</f>
        <v/>
      </c>
      <c r="N63" s="47">
        <f>IF($P63="","",IF($A63=1,LG_Open,$N62)+$L63-$M63)</f>
        <v/>
      </c>
      <c r="O63" s="32">
        <f>IF($A63&gt;COUNT(GL_Journal!$Y:$Y),"",SMALL(GL_Journal!$Y:$Y,$A63))</f>
        <v/>
      </c>
      <c r="P63" s="32">
        <f>IF($O63="","",MATCH($O63,GL_Journal!$Y:$Y,0))</f>
        <v/>
      </c>
      <c r="Q63" s="32" t="inlineStr"/>
    </row>
    <row r="64">
      <c r="A64" s="32">
        <f>ROW()-12</f>
        <v/>
      </c>
      <c r="B64" s="33">
        <f>IF($P64="","",INDEX(GL_Journal!$D:$D,$P64))</f>
        <v/>
      </c>
      <c r="C64" s="32">
        <f>IF($P64="","",INDEX(GL_Journal!$C:$C,$P64))</f>
        <v/>
      </c>
      <c r="D64" s="32">
        <f>IF($P64="","",INDEX(GL_Journal!$E:$E,$P64))</f>
        <v/>
      </c>
      <c r="E64" s="32">
        <f>IF($P64="","",INDEX(GL_Journal!$F:$F,$P64))</f>
        <v/>
      </c>
      <c r="F64" s="32">
        <f>IF($P64="","",INDEX(GL_Journal!$G:$G,$P64))</f>
        <v/>
      </c>
      <c r="G64" s="32">
        <f>IF($P64="","",INDEX(GL_Journal!$H:$H,$P64))</f>
        <v/>
      </c>
      <c r="H64" s="32">
        <f>IF($P64="","",INDEX(GL_Journal!$I:$I,$P64))</f>
        <v/>
      </c>
      <c r="I64" s="32">
        <f>IF($P64="","",INDEX(GL_Journal!$J:$J,$P64))</f>
        <v/>
      </c>
      <c r="J64" s="32">
        <f>IF($P64="","",INDEX(GL_Journal!$K:$K,$P64))</f>
        <v/>
      </c>
      <c r="K64" s="32">
        <f>IF($P64="","",INDEX(GL_Journal!$L:$L,$P64))</f>
        <v/>
      </c>
      <c r="L64" s="43">
        <f>IF($P64="","",INDEX(GL_Journal!$M:$M,$P64))</f>
        <v/>
      </c>
      <c r="M64" s="43">
        <f>IF($P64="","",INDEX(GL_Journal!$N:$N,$P64))</f>
        <v/>
      </c>
      <c r="N64" s="47">
        <f>IF($P64="","",IF($A64=1,LG_Open,$N63)+$L64-$M64)</f>
        <v/>
      </c>
      <c r="O64" s="32">
        <f>IF($A64&gt;COUNT(GL_Journal!$Y:$Y),"",SMALL(GL_Journal!$Y:$Y,$A64))</f>
        <v/>
      </c>
      <c r="P64" s="32">
        <f>IF($O64="","",MATCH($O64,GL_Journal!$Y:$Y,0))</f>
        <v/>
      </c>
      <c r="Q64" s="32" t="inlineStr"/>
    </row>
    <row r="65">
      <c r="A65" s="32">
        <f>ROW()-12</f>
        <v/>
      </c>
      <c r="B65" s="33">
        <f>IF($P65="","",INDEX(GL_Journal!$D:$D,$P65))</f>
        <v/>
      </c>
      <c r="C65" s="32">
        <f>IF($P65="","",INDEX(GL_Journal!$C:$C,$P65))</f>
        <v/>
      </c>
      <c r="D65" s="32">
        <f>IF($P65="","",INDEX(GL_Journal!$E:$E,$P65))</f>
        <v/>
      </c>
      <c r="E65" s="32">
        <f>IF($P65="","",INDEX(GL_Journal!$F:$F,$P65))</f>
        <v/>
      </c>
      <c r="F65" s="32">
        <f>IF($P65="","",INDEX(GL_Journal!$G:$G,$P65))</f>
        <v/>
      </c>
      <c r="G65" s="32">
        <f>IF($P65="","",INDEX(GL_Journal!$H:$H,$P65))</f>
        <v/>
      </c>
      <c r="H65" s="32">
        <f>IF($P65="","",INDEX(GL_Journal!$I:$I,$P65))</f>
        <v/>
      </c>
      <c r="I65" s="32">
        <f>IF($P65="","",INDEX(GL_Journal!$J:$J,$P65))</f>
        <v/>
      </c>
      <c r="J65" s="32">
        <f>IF($P65="","",INDEX(GL_Journal!$K:$K,$P65))</f>
        <v/>
      </c>
      <c r="K65" s="32">
        <f>IF($P65="","",INDEX(GL_Journal!$L:$L,$P65))</f>
        <v/>
      </c>
      <c r="L65" s="43">
        <f>IF($P65="","",INDEX(GL_Journal!$M:$M,$P65))</f>
        <v/>
      </c>
      <c r="M65" s="43">
        <f>IF($P65="","",INDEX(GL_Journal!$N:$N,$P65))</f>
        <v/>
      </c>
      <c r="N65" s="47">
        <f>IF($P65="","",IF($A65=1,LG_Open,$N64)+$L65-$M65)</f>
        <v/>
      </c>
      <c r="O65" s="32">
        <f>IF($A65&gt;COUNT(GL_Journal!$Y:$Y),"",SMALL(GL_Journal!$Y:$Y,$A65))</f>
        <v/>
      </c>
      <c r="P65" s="32">
        <f>IF($O65="","",MATCH($O65,GL_Journal!$Y:$Y,0))</f>
        <v/>
      </c>
      <c r="Q65" s="32" t="inlineStr"/>
    </row>
    <row r="66">
      <c r="A66" s="32">
        <f>ROW()-12</f>
        <v/>
      </c>
      <c r="B66" s="33">
        <f>IF($P66="","",INDEX(GL_Journal!$D:$D,$P66))</f>
        <v/>
      </c>
      <c r="C66" s="32">
        <f>IF($P66="","",INDEX(GL_Journal!$C:$C,$P66))</f>
        <v/>
      </c>
      <c r="D66" s="32">
        <f>IF($P66="","",INDEX(GL_Journal!$E:$E,$P66))</f>
        <v/>
      </c>
      <c r="E66" s="32">
        <f>IF($P66="","",INDEX(GL_Journal!$F:$F,$P66))</f>
        <v/>
      </c>
      <c r="F66" s="32">
        <f>IF($P66="","",INDEX(GL_Journal!$G:$G,$P66))</f>
        <v/>
      </c>
      <c r="G66" s="32">
        <f>IF($P66="","",INDEX(GL_Journal!$H:$H,$P66))</f>
        <v/>
      </c>
      <c r="H66" s="32">
        <f>IF($P66="","",INDEX(GL_Journal!$I:$I,$P66))</f>
        <v/>
      </c>
      <c r="I66" s="32">
        <f>IF($P66="","",INDEX(GL_Journal!$J:$J,$P66))</f>
        <v/>
      </c>
      <c r="J66" s="32">
        <f>IF($P66="","",INDEX(GL_Journal!$K:$K,$P66))</f>
        <v/>
      </c>
      <c r="K66" s="32">
        <f>IF($P66="","",INDEX(GL_Journal!$L:$L,$P66))</f>
        <v/>
      </c>
      <c r="L66" s="43">
        <f>IF($P66="","",INDEX(GL_Journal!$M:$M,$P66))</f>
        <v/>
      </c>
      <c r="M66" s="43">
        <f>IF($P66="","",INDEX(GL_Journal!$N:$N,$P66))</f>
        <v/>
      </c>
      <c r="N66" s="47">
        <f>IF($P66="","",IF($A66=1,LG_Open,$N65)+$L66-$M66)</f>
        <v/>
      </c>
      <c r="O66" s="32">
        <f>IF($A66&gt;COUNT(GL_Journal!$Y:$Y),"",SMALL(GL_Journal!$Y:$Y,$A66))</f>
        <v/>
      </c>
      <c r="P66" s="32">
        <f>IF($O66="","",MATCH($O66,GL_Journal!$Y:$Y,0))</f>
        <v/>
      </c>
      <c r="Q66" s="32" t="inlineStr"/>
    </row>
    <row r="67">
      <c r="A67" s="32">
        <f>ROW()-12</f>
        <v/>
      </c>
      <c r="B67" s="33">
        <f>IF($P67="","",INDEX(GL_Journal!$D:$D,$P67))</f>
        <v/>
      </c>
      <c r="C67" s="32">
        <f>IF($P67="","",INDEX(GL_Journal!$C:$C,$P67))</f>
        <v/>
      </c>
      <c r="D67" s="32">
        <f>IF($P67="","",INDEX(GL_Journal!$E:$E,$P67))</f>
        <v/>
      </c>
      <c r="E67" s="32">
        <f>IF($P67="","",INDEX(GL_Journal!$F:$F,$P67))</f>
        <v/>
      </c>
      <c r="F67" s="32">
        <f>IF($P67="","",INDEX(GL_Journal!$G:$G,$P67))</f>
        <v/>
      </c>
      <c r="G67" s="32">
        <f>IF($P67="","",INDEX(GL_Journal!$H:$H,$P67))</f>
        <v/>
      </c>
      <c r="H67" s="32">
        <f>IF($P67="","",INDEX(GL_Journal!$I:$I,$P67))</f>
        <v/>
      </c>
      <c r="I67" s="32">
        <f>IF($P67="","",INDEX(GL_Journal!$J:$J,$P67))</f>
        <v/>
      </c>
      <c r="J67" s="32">
        <f>IF($P67="","",INDEX(GL_Journal!$K:$K,$P67))</f>
        <v/>
      </c>
      <c r="K67" s="32">
        <f>IF($P67="","",INDEX(GL_Journal!$L:$L,$P67))</f>
        <v/>
      </c>
      <c r="L67" s="43">
        <f>IF($P67="","",INDEX(GL_Journal!$M:$M,$P67))</f>
        <v/>
      </c>
      <c r="M67" s="43">
        <f>IF($P67="","",INDEX(GL_Journal!$N:$N,$P67))</f>
        <v/>
      </c>
      <c r="N67" s="47">
        <f>IF($P67="","",IF($A67=1,LG_Open,$N66)+$L67-$M67)</f>
        <v/>
      </c>
      <c r="O67" s="32">
        <f>IF($A67&gt;COUNT(GL_Journal!$Y:$Y),"",SMALL(GL_Journal!$Y:$Y,$A67))</f>
        <v/>
      </c>
      <c r="P67" s="32">
        <f>IF($O67="","",MATCH($O67,GL_Journal!$Y:$Y,0))</f>
        <v/>
      </c>
      <c r="Q67" s="32" t="inlineStr"/>
    </row>
    <row r="68">
      <c r="A68" s="32">
        <f>ROW()-12</f>
        <v/>
      </c>
      <c r="B68" s="33">
        <f>IF($P68="","",INDEX(GL_Journal!$D:$D,$P68))</f>
        <v/>
      </c>
      <c r="C68" s="32">
        <f>IF($P68="","",INDEX(GL_Journal!$C:$C,$P68))</f>
        <v/>
      </c>
      <c r="D68" s="32">
        <f>IF($P68="","",INDEX(GL_Journal!$E:$E,$P68))</f>
        <v/>
      </c>
      <c r="E68" s="32">
        <f>IF($P68="","",INDEX(GL_Journal!$F:$F,$P68))</f>
        <v/>
      </c>
      <c r="F68" s="32">
        <f>IF($P68="","",INDEX(GL_Journal!$G:$G,$P68))</f>
        <v/>
      </c>
      <c r="G68" s="32">
        <f>IF($P68="","",INDEX(GL_Journal!$H:$H,$P68))</f>
        <v/>
      </c>
      <c r="H68" s="32">
        <f>IF($P68="","",INDEX(GL_Journal!$I:$I,$P68))</f>
        <v/>
      </c>
      <c r="I68" s="32">
        <f>IF($P68="","",INDEX(GL_Journal!$J:$J,$P68))</f>
        <v/>
      </c>
      <c r="J68" s="32">
        <f>IF($P68="","",INDEX(GL_Journal!$K:$K,$P68))</f>
        <v/>
      </c>
      <c r="K68" s="32">
        <f>IF($P68="","",INDEX(GL_Journal!$L:$L,$P68))</f>
        <v/>
      </c>
      <c r="L68" s="43">
        <f>IF($P68="","",INDEX(GL_Journal!$M:$M,$P68))</f>
        <v/>
      </c>
      <c r="M68" s="43">
        <f>IF($P68="","",INDEX(GL_Journal!$N:$N,$P68))</f>
        <v/>
      </c>
      <c r="N68" s="47">
        <f>IF($P68="","",IF($A68=1,LG_Open,$N67)+$L68-$M68)</f>
        <v/>
      </c>
      <c r="O68" s="32">
        <f>IF($A68&gt;COUNT(GL_Journal!$Y:$Y),"",SMALL(GL_Journal!$Y:$Y,$A68))</f>
        <v/>
      </c>
      <c r="P68" s="32">
        <f>IF($O68="","",MATCH($O68,GL_Journal!$Y:$Y,0))</f>
        <v/>
      </c>
      <c r="Q68" s="32" t="inlineStr"/>
    </row>
    <row r="69">
      <c r="A69" s="32">
        <f>ROW()-12</f>
        <v/>
      </c>
      <c r="B69" s="33">
        <f>IF($P69="","",INDEX(GL_Journal!$D:$D,$P69))</f>
        <v/>
      </c>
      <c r="C69" s="32">
        <f>IF($P69="","",INDEX(GL_Journal!$C:$C,$P69))</f>
        <v/>
      </c>
      <c r="D69" s="32">
        <f>IF($P69="","",INDEX(GL_Journal!$E:$E,$P69))</f>
        <v/>
      </c>
      <c r="E69" s="32">
        <f>IF($P69="","",INDEX(GL_Journal!$F:$F,$P69))</f>
        <v/>
      </c>
      <c r="F69" s="32">
        <f>IF($P69="","",INDEX(GL_Journal!$G:$G,$P69))</f>
        <v/>
      </c>
      <c r="G69" s="32">
        <f>IF($P69="","",INDEX(GL_Journal!$H:$H,$P69))</f>
        <v/>
      </c>
      <c r="H69" s="32">
        <f>IF($P69="","",INDEX(GL_Journal!$I:$I,$P69))</f>
        <v/>
      </c>
      <c r="I69" s="32">
        <f>IF($P69="","",INDEX(GL_Journal!$J:$J,$P69))</f>
        <v/>
      </c>
      <c r="J69" s="32">
        <f>IF($P69="","",INDEX(GL_Journal!$K:$K,$P69))</f>
        <v/>
      </c>
      <c r="K69" s="32">
        <f>IF($P69="","",INDEX(GL_Journal!$L:$L,$P69))</f>
        <v/>
      </c>
      <c r="L69" s="43">
        <f>IF($P69="","",INDEX(GL_Journal!$M:$M,$P69))</f>
        <v/>
      </c>
      <c r="M69" s="43">
        <f>IF($P69="","",INDEX(GL_Journal!$N:$N,$P69))</f>
        <v/>
      </c>
      <c r="N69" s="47">
        <f>IF($P69="","",IF($A69=1,LG_Open,$N68)+$L69-$M69)</f>
        <v/>
      </c>
      <c r="O69" s="32">
        <f>IF($A69&gt;COUNT(GL_Journal!$Y:$Y),"",SMALL(GL_Journal!$Y:$Y,$A69))</f>
        <v/>
      </c>
      <c r="P69" s="32">
        <f>IF($O69="","",MATCH($O69,GL_Journal!$Y:$Y,0))</f>
        <v/>
      </c>
      <c r="Q69" s="32" t="inlineStr"/>
    </row>
    <row r="70">
      <c r="A70" s="32">
        <f>ROW()-12</f>
        <v/>
      </c>
      <c r="B70" s="33">
        <f>IF($P70="","",INDEX(GL_Journal!$D:$D,$P70))</f>
        <v/>
      </c>
      <c r="C70" s="32">
        <f>IF($P70="","",INDEX(GL_Journal!$C:$C,$P70))</f>
        <v/>
      </c>
      <c r="D70" s="32">
        <f>IF($P70="","",INDEX(GL_Journal!$E:$E,$P70))</f>
        <v/>
      </c>
      <c r="E70" s="32">
        <f>IF($P70="","",INDEX(GL_Journal!$F:$F,$P70))</f>
        <v/>
      </c>
      <c r="F70" s="32">
        <f>IF($P70="","",INDEX(GL_Journal!$G:$G,$P70))</f>
        <v/>
      </c>
      <c r="G70" s="32">
        <f>IF($P70="","",INDEX(GL_Journal!$H:$H,$P70))</f>
        <v/>
      </c>
      <c r="H70" s="32">
        <f>IF($P70="","",INDEX(GL_Journal!$I:$I,$P70))</f>
        <v/>
      </c>
      <c r="I70" s="32">
        <f>IF($P70="","",INDEX(GL_Journal!$J:$J,$P70))</f>
        <v/>
      </c>
      <c r="J70" s="32">
        <f>IF($P70="","",INDEX(GL_Journal!$K:$K,$P70))</f>
        <v/>
      </c>
      <c r="K70" s="32">
        <f>IF($P70="","",INDEX(GL_Journal!$L:$L,$P70))</f>
        <v/>
      </c>
      <c r="L70" s="43">
        <f>IF($P70="","",INDEX(GL_Journal!$M:$M,$P70))</f>
        <v/>
      </c>
      <c r="M70" s="43">
        <f>IF($P70="","",INDEX(GL_Journal!$N:$N,$P70))</f>
        <v/>
      </c>
      <c r="N70" s="47">
        <f>IF($P70="","",IF($A70=1,LG_Open,$N69)+$L70-$M70)</f>
        <v/>
      </c>
      <c r="O70" s="32">
        <f>IF($A70&gt;COUNT(GL_Journal!$Y:$Y),"",SMALL(GL_Journal!$Y:$Y,$A70))</f>
        <v/>
      </c>
      <c r="P70" s="32">
        <f>IF($O70="","",MATCH($O70,GL_Journal!$Y:$Y,0))</f>
        <v/>
      </c>
      <c r="Q70" s="32" t="inlineStr"/>
    </row>
    <row r="71">
      <c r="A71" s="32">
        <f>ROW()-12</f>
        <v/>
      </c>
      <c r="B71" s="33">
        <f>IF($P71="","",INDEX(GL_Journal!$D:$D,$P71))</f>
        <v/>
      </c>
      <c r="C71" s="32">
        <f>IF($P71="","",INDEX(GL_Journal!$C:$C,$P71))</f>
        <v/>
      </c>
      <c r="D71" s="32">
        <f>IF($P71="","",INDEX(GL_Journal!$E:$E,$P71))</f>
        <v/>
      </c>
      <c r="E71" s="32">
        <f>IF($P71="","",INDEX(GL_Journal!$F:$F,$P71))</f>
        <v/>
      </c>
      <c r="F71" s="32">
        <f>IF($P71="","",INDEX(GL_Journal!$G:$G,$P71))</f>
        <v/>
      </c>
      <c r="G71" s="32">
        <f>IF($P71="","",INDEX(GL_Journal!$H:$H,$P71))</f>
        <v/>
      </c>
      <c r="H71" s="32">
        <f>IF($P71="","",INDEX(GL_Journal!$I:$I,$P71))</f>
        <v/>
      </c>
      <c r="I71" s="32">
        <f>IF($P71="","",INDEX(GL_Journal!$J:$J,$P71))</f>
        <v/>
      </c>
      <c r="J71" s="32">
        <f>IF($P71="","",INDEX(GL_Journal!$K:$K,$P71))</f>
        <v/>
      </c>
      <c r="K71" s="32">
        <f>IF($P71="","",INDEX(GL_Journal!$L:$L,$P71))</f>
        <v/>
      </c>
      <c r="L71" s="43">
        <f>IF($P71="","",INDEX(GL_Journal!$M:$M,$P71))</f>
        <v/>
      </c>
      <c r="M71" s="43">
        <f>IF($P71="","",INDEX(GL_Journal!$N:$N,$P71))</f>
        <v/>
      </c>
      <c r="N71" s="47">
        <f>IF($P71="","",IF($A71=1,LG_Open,$N70)+$L71-$M71)</f>
        <v/>
      </c>
      <c r="O71" s="32">
        <f>IF($A71&gt;COUNT(GL_Journal!$Y:$Y),"",SMALL(GL_Journal!$Y:$Y,$A71))</f>
        <v/>
      </c>
      <c r="P71" s="32">
        <f>IF($O71="","",MATCH($O71,GL_Journal!$Y:$Y,0))</f>
        <v/>
      </c>
      <c r="Q71" s="32" t="inlineStr"/>
    </row>
    <row r="72">
      <c r="A72" s="32">
        <f>ROW()-12</f>
        <v/>
      </c>
      <c r="B72" s="33">
        <f>IF($P72="","",INDEX(GL_Journal!$D:$D,$P72))</f>
        <v/>
      </c>
      <c r="C72" s="32">
        <f>IF($P72="","",INDEX(GL_Journal!$C:$C,$P72))</f>
        <v/>
      </c>
      <c r="D72" s="32">
        <f>IF($P72="","",INDEX(GL_Journal!$E:$E,$P72))</f>
        <v/>
      </c>
      <c r="E72" s="32">
        <f>IF($P72="","",INDEX(GL_Journal!$F:$F,$P72))</f>
        <v/>
      </c>
      <c r="F72" s="32">
        <f>IF($P72="","",INDEX(GL_Journal!$G:$G,$P72))</f>
        <v/>
      </c>
      <c r="G72" s="32">
        <f>IF($P72="","",INDEX(GL_Journal!$H:$H,$P72))</f>
        <v/>
      </c>
      <c r="H72" s="32">
        <f>IF($P72="","",INDEX(GL_Journal!$I:$I,$P72))</f>
        <v/>
      </c>
      <c r="I72" s="32">
        <f>IF($P72="","",INDEX(GL_Journal!$J:$J,$P72))</f>
        <v/>
      </c>
      <c r="J72" s="32">
        <f>IF($P72="","",INDEX(GL_Journal!$K:$K,$P72))</f>
        <v/>
      </c>
      <c r="K72" s="32">
        <f>IF($P72="","",INDEX(GL_Journal!$L:$L,$P72))</f>
        <v/>
      </c>
      <c r="L72" s="43">
        <f>IF($P72="","",INDEX(GL_Journal!$M:$M,$P72))</f>
        <v/>
      </c>
      <c r="M72" s="43">
        <f>IF($P72="","",INDEX(GL_Journal!$N:$N,$P72))</f>
        <v/>
      </c>
      <c r="N72" s="47">
        <f>IF($P72="","",IF($A72=1,LG_Open,$N71)+$L72-$M72)</f>
        <v/>
      </c>
      <c r="O72" s="32">
        <f>IF($A72&gt;COUNT(GL_Journal!$Y:$Y),"",SMALL(GL_Journal!$Y:$Y,$A72))</f>
        <v/>
      </c>
      <c r="P72" s="32">
        <f>IF($O72="","",MATCH($O72,GL_Journal!$Y:$Y,0))</f>
        <v/>
      </c>
      <c r="Q72" s="32" t="inlineStr"/>
    </row>
    <row r="73">
      <c r="A73" s="32">
        <f>ROW()-12</f>
        <v/>
      </c>
      <c r="B73" s="33">
        <f>IF($P73="","",INDEX(GL_Journal!$D:$D,$P73))</f>
        <v/>
      </c>
      <c r="C73" s="32">
        <f>IF($P73="","",INDEX(GL_Journal!$C:$C,$P73))</f>
        <v/>
      </c>
      <c r="D73" s="32">
        <f>IF($P73="","",INDEX(GL_Journal!$E:$E,$P73))</f>
        <v/>
      </c>
      <c r="E73" s="32">
        <f>IF($P73="","",INDEX(GL_Journal!$F:$F,$P73))</f>
        <v/>
      </c>
      <c r="F73" s="32">
        <f>IF($P73="","",INDEX(GL_Journal!$G:$G,$P73))</f>
        <v/>
      </c>
      <c r="G73" s="32">
        <f>IF($P73="","",INDEX(GL_Journal!$H:$H,$P73))</f>
        <v/>
      </c>
      <c r="H73" s="32">
        <f>IF($P73="","",INDEX(GL_Journal!$I:$I,$P73))</f>
        <v/>
      </c>
      <c r="I73" s="32">
        <f>IF($P73="","",INDEX(GL_Journal!$J:$J,$P73))</f>
        <v/>
      </c>
      <c r="J73" s="32">
        <f>IF($P73="","",INDEX(GL_Journal!$K:$K,$P73))</f>
        <v/>
      </c>
      <c r="K73" s="32">
        <f>IF($P73="","",INDEX(GL_Journal!$L:$L,$P73))</f>
        <v/>
      </c>
      <c r="L73" s="43">
        <f>IF($P73="","",INDEX(GL_Journal!$M:$M,$P73))</f>
        <v/>
      </c>
      <c r="M73" s="43">
        <f>IF($P73="","",INDEX(GL_Journal!$N:$N,$P73))</f>
        <v/>
      </c>
      <c r="N73" s="47">
        <f>IF($P73="","",IF($A73=1,LG_Open,$N72)+$L73-$M73)</f>
        <v/>
      </c>
      <c r="O73" s="32">
        <f>IF($A73&gt;COUNT(GL_Journal!$Y:$Y),"",SMALL(GL_Journal!$Y:$Y,$A73))</f>
        <v/>
      </c>
      <c r="P73" s="32">
        <f>IF($O73="","",MATCH($O73,GL_Journal!$Y:$Y,0))</f>
        <v/>
      </c>
      <c r="Q73" s="32" t="inlineStr"/>
    </row>
    <row r="74">
      <c r="A74" s="32">
        <f>ROW()-12</f>
        <v/>
      </c>
      <c r="B74" s="33">
        <f>IF($P74="","",INDEX(GL_Journal!$D:$D,$P74))</f>
        <v/>
      </c>
      <c r="C74" s="32">
        <f>IF($P74="","",INDEX(GL_Journal!$C:$C,$P74))</f>
        <v/>
      </c>
      <c r="D74" s="32">
        <f>IF($P74="","",INDEX(GL_Journal!$E:$E,$P74))</f>
        <v/>
      </c>
      <c r="E74" s="32">
        <f>IF($P74="","",INDEX(GL_Journal!$F:$F,$P74))</f>
        <v/>
      </c>
      <c r="F74" s="32">
        <f>IF($P74="","",INDEX(GL_Journal!$G:$G,$P74))</f>
        <v/>
      </c>
      <c r="G74" s="32">
        <f>IF($P74="","",INDEX(GL_Journal!$H:$H,$P74))</f>
        <v/>
      </c>
      <c r="H74" s="32">
        <f>IF($P74="","",INDEX(GL_Journal!$I:$I,$P74))</f>
        <v/>
      </c>
      <c r="I74" s="32">
        <f>IF($P74="","",INDEX(GL_Journal!$J:$J,$P74))</f>
        <v/>
      </c>
      <c r="J74" s="32">
        <f>IF($P74="","",INDEX(GL_Journal!$K:$K,$P74))</f>
        <v/>
      </c>
      <c r="K74" s="32">
        <f>IF($P74="","",INDEX(GL_Journal!$L:$L,$P74))</f>
        <v/>
      </c>
      <c r="L74" s="43">
        <f>IF($P74="","",INDEX(GL_Journal!$M:$M,$P74))</f>
        <v/>
      </c>
      <c r="M74" s="43">
        <f>IF($P74="","",INDEX(GL_Journal!$N:$N,$P74))</f>
        <v/>
      </c>
      <c r="N74" s="47">
        <f>IF($P74="","",IF($A74=1,LG_Open,$N73)+$L74-$M74)</f>
        <v/>
      </c>
      <c r="O74" s="32">
        <f>IF($A74&gt;COUNT(GL_Journal!$Y:$Y),"",SMALL(GL_Journal!$Y:$Y,$A74))</f>
        <v/>
      </c>
      <c r="P74" s="32">
        <f>IF($O74="","",MATCH($O74,GL_Journal!$Y:$Y,0))</f>
        <v/>
      </c>
      <c r="Q74" s="32" t="inlineStr"/>
    </row>
    <row r="75">
      <c r="A75" s="32">
        <f>ROW()-12</f>
        <v/>
      </c>
      <c r="B75" s="33">
        <f>IF($P75="","",INDEX(GL_Journal!$D:$D,$P75))</f>
        <v/>
      </c>
      <c r="C75" s="32">
        <f>IF($P75="","",INDEX(GL_Journal!$C:$C,$P75))</f>
        <v/>
      </c>
      <c r="D75" s="32">
        <f>IF($P75="","",INDEX(GL_Journal!$E:$E,$P75))</f>
        <v/>
      </c>
      <c r="E75" s="32">
        <f>IF($P75="","",INDEX(GL_Journal!$F:$F,$P75))</f>
        <v/>
      </c>
      <c r="F75" s="32">
        <f>IF($P75="","",INDEX(GL_Journal!$G:$G,$P75))</f>
        <v/>
      </c>
      <c r="G75" s="32">
        <f>IF($P75="","",INDEX(GL_Journal!$H:$H,$P75))</f>
        <v/>
      </c>
      <c r="H75" s="32">
        <f>IF($P75="","",INDEX(GL_Journal!$I:$I,$P75))</f>
        <v/>
      </c>
      <c r="I75" s="32">
        <f>IF($P75="","",INDEX(GL_Journal!$J:$J,$P75))</f>
        <v/>
      </c>
      <c r="J75" s="32">
        <f>IF($P75="","",INDEX(GL_Journal!$K:$K,$P75))</f>
        <v/>
      </c>
      <c r="K75" s="32">
        <f>IF($P75="","",INDEX(GL_Journal!$L:$L,$P75))</f>
        <v/>
      </c>
      <c r="L75" s="43">
        <f>IF($P75="","",INDEX(GL_Journal!$M:$M,$P75))</f>
        <v/>
      </c>
      <c r="M75" s="43">
        <f>IF($P75="","",INDEX(GL_Journal!$N:$N,$P75))</f>
        <v/>
      </c>
      <c r="N75" s="47">
        <f>IF($P75="","",IF($A75=1,LG_Open,$N74)+$L75-$M75)</f>
        <v/>
      </c>
      <c r="O75" s="32">
        <f>IF($A75&gt;COUNT(GL_Journal!$Y:$Y),"",SMALL(GL_Journal!$Y:$Y,$A75))</f>
        <v/>
      </c>
      <c r="P75" s="32">
        <f>IF($O75="","",MATCH($O75,GL_Journal!$Y:$Y,0))</f>
        <v/>
      </c>
      <c r="Q75" s="32" t="inlineStr"/>
    </row>
    <row r="76">
      <c r="A76" s="32">
        <f>ROW()-12</f>
        <v/>
      </c>
      <c r="B76" s="33">
        <f>IF($P76="","",INDEX(GL_Journal!$D:$D,$P76))</f>
        <v/>
      </c>
      <c r="C76" s="32">
        <f>IF($P76="","",INDEX(GL_Journal!$C:$C,$P76))</f>
        <v/>
      </c>
      <c r="D76" s="32">
        <f>IF($P76="","",INDEX(GL_Journal!$E:$E,$P76))</f>
        <v/>
      </c>
      <c r="E76" s="32">
        <f>IF($P76="","",INDEX(GL_Journal!$F:$F,$P76))</f>
        <v/>
      </c>
      <c r="F76" s="32">
        <f>IF($P76="","",INDEX(GL_Journal!$G:$G,$P76))</f>
        <v/>
      </c>
      <c r="G76" s="32">
        <f>IF($P76="","",INDEX(GL_Journal!$H:$H,$P76))</f>
        <v/>
      </c>
      <c r="H76" s="32">
        <f>IF($P76="","",INDEX(GL_Journal!$I:$I,$P76))</f>
        <v/>
      </c>
      <c r="I76" s="32">
        <f>IF($P76="","",INDEX(GL_Journal!$J:$J,$P76))</f>
        <v/>
      </c>
      <c r="J76" s="32">
        <f>IF($P76="","",INDEX(GL_Journal!$K:$K,$P76))</f>
        <v/>
      </c>
      <c r="K76" s="32">
        <f>IF($P76="","",INDEX(GL_Journal!$L:$L,$P76))</f>
        <v/>
      </c>
      <c r="L76" s="43">
        <f>IF($P76="","",INDEX(GL_Journal!$M:$M,$P76))</f>
        <v/>
      </c>
      <c r="M76" s="43">
        <f>IF($P76="","",INDEX(GL_Journal!$N:$N,$P76))</f>
        <v/>
      </c>
      <c r="N76" s="47">
        <f>IF($P76="","",IF($A76=1,LG_Open,$N75)+$L76-$M76)</f>
        <v/>
      </c>
      <c r="O76" s="32">
        <f>IF($A76&gt;COUNT(GL_Journal!$Y:$Y),"",SMALL(GL_Journal!$Y:$Y,$A76))</f>
        <v/>
      </c>
      <c r="P76" s="32">
        <f>IF($O76="","",MATCH($O76,GL_Journal!$Y:$Y,0))</f>
        <v/>
      </c>
      <c r="Q76" s="32" t="inlineStr"/>
    </row>
    <row r="77">
      <c r="A77" s="32">
        <f>ROW()-12</f>
        <v/>
      </c>
      <c r="B77" s="33">
        <f>IF($P77="","",INDEX(GL_Journal!$D:$D,$P77))</f>
        <v/>
      </c>
      <c r="C77" s="32">
        <f>IF($P77="","",INDEX(GL_Journal!$C:$C,$P77))</f>
        <v/>
      </c>
      <c r="D77" s="32">
        <f>IF($P77="","",INDEX(GL_Journal!$E:$E,$P77))</f>
        <v/>
      </c>
      <c r="E77" s="32">
        <f>IF($P77="","",INDEX(GL_Journal!$F:$F,$P77))</f>
        <v/>
      </c>
      <c r="F77" s="32">
        <f>IF($P77="","",INDEX(GL_Journal!$G:$G,$P77))</f>
        <v/>
      </c>
      <c r="G77" s="32">
        <f>IF($P77="","",INDEX(GL_Journal!$H:$H,$P77))</f>
        <v/>
      </c>
      <c r="H77" s="32">
        <f>IF($P77="","",INDEX(GL_Journal!$I:$I,$P77))</f>
        <v/>
      </c>
      <c r="I77" s="32">
        <f>IF($P77="","",INDEX(GL_Journal!$J:$J,$P77))</f>
        <v/>
      </c>
      <c r="J77" s="32">
        <f>IF($P77="","",INDEX(GL_Journal!$K:$K,$P77))</f>
        <v/>
      </c>
      <c r="K77" s="32">
        <f>IF($P77="","",INDEX(GL_Journal!$L:$L,$P77))</f>
        <v/>
      </c>
      <c r="L77" s="43">
        <f>IF($P77="","",INDEX(GL_Journal!$M:$M,$P77))</f>
        <v/>
      </c>
      <c r="M77" s="43">
        <f>IF($P77="","",INDEX(GL_Journal!$N:$N,$P77))</f>
        <v/>
      </c>
      <c r="N77" s="47">
        <f>IF($P77="","",IF($A77=1,LG_Open,$N76)+$L77-$M77)</f>
        <v/>
      </c>
      <c r="O77" s="32">
        <f>IF($A77&gt;COUNT(GL_Journal!$Y:$Y),"",SMALL(GL_Journal!$Y:$Y,$A77))</f>
        <v/>
      </c>
      <c r="P77" s="32">
        <f>IF($O77="","",MATCH($O77,GL_Journal!$Y:$Y,0))</f>
        <v/>
      </c>
      <c r="Q77" s="32" t="inlineStr"/>
    </row>
    <row r="78">
      <c r="A78" s="32">
        <f>ROW()-12</f>
        <v/>
      </c>
      <c r="B78" s="33">
        <f>IF($P78="","",INDEX(GL_Journal!$D:$D,$P78))</f>
        <v/>
      </c>
      <c r="C78" s="32">
        <f>IF($P78="","",INDEX(GL_Journal!$C:$C,$P78))</f>
        <v/>
      </c>
      <c r="D78" s="32">
        <f>IF($P78="","",INDEX(GL_Journal!$E:$E,$P78))</f>
        <v/>
      </c>
      <c r="E78" s="32">
        <f>IF($P78="","",INDEX(GL_Journal!$F:$F,$P78))</f>
        <v/>
      </c>
      <c r="F78" s="32">
        <f>IF($P78="","",INDEX(GL_Journal!$G:$G,$P78))</f>
        <v/>
      </c>
      <c r="G78" s="32">
        <f>IF($P78="","",INDEX(GL_Journal!$H:$H,$P78))</f>
        <v/>
      </c>
      <c r="H78" s="32">
        <f>IF($P78="","",INDEX(GL_Journal!$I:$I,$P78))</f>
        <v/>
      </c>
      <c r="I78" s="32">
        <f>IF($P78="","",INDEX(GL_Journal!$J:$J,$P78))</f>
        <v/>
      </c>
      <c r="J78" s="32">
        <f>IF($P78="","",INDEX(GL_Journal!$K:$K,$P78))</f>
        <v/>
      </c>
      <c r="K78" s="32">
        <f>IF($P78="","",INDEX(GL_Journal!$L:$L,$P78))</f>
        <v/>
      </c>
      <c r="L78" s="43">
        <f>IF($P78="","",INDEX(GL_Journal!$M:$M,$P78))</f>
        <v/>
      </c>
      <c r="M78" s="43">
        <f>IF($P78="","",INDEX(GL_Journal!$N:$N,$P78))</f>
        <v/>
      </c>
      <c r="N78" s="47">
        <f>IF($P78="","",IF($A78=1,LG_Open,$N77)+$L78-$M78)</f>
        <v/>
      </c>
      <c r="O78" s="32">
        <f>IF($A78&gt;COUNT(GL_Journal!$Y:$Y),"",SMALL(GL_Journal!$Y:$Y,$A78))</f>
        <v/>
      </c>
      <c r="P78" s="32">
        <f>IF($O78="","",MATCH($O78,GL_Journal!$Y:$Y,0))</f>
        <v/>
      </c>
      <c r="Q78" s="32" t="inlineStr"/>
    </row>
    <row r="79">
      <c r="A79" s="32">
        <f>ROW()-12</f>
        <v/>
      </c>
      <c r="B79" s="33">
        <f>IF($P79="","",INDEX(GL_Journal!$D:$D,$P79))</f>
        <v/>
      </c>
      <c r="C79" s="32">
        <f>IF($P79="","",INDEX(GL_Journal!$C:$C,$P79))</f>
        <v/>
      </c>
      <c r="D79" s="32">
        <f>IF($P79="","",INDEX(GL_Journal!$E:$E,$P79))</f>
        <v/>
      </c>
      <c r="E79" s="32">
        <f>IF($P79="","",INDEX(GL_Journal!$F:$F,$P79))</f>
        <v/>
      </c>
      <c r="F79" s="32">
        <f>IF($P79="","",INDEX(GL_Journal!$G:$G,$P79))</f>
        <v/>
      </c>
      <c r="G79" s="32">
        <f>IF($P79="","",INDEX(GL_Journal!$H:$H,$P79))</f>
        <v/>
      </c>
      <c r="H79" s="32">
        <f>IF($P79="","",INDEX(GL_Journal!$I:$I,$P79))</f>
        <v/>
      </c>
      <c r="I79" s="32">
        <f>IF($P79="","",INDEX(GL_Journal!$J:$J,$P79))</f>
        <v/>
      </c>
      <c r="J79" s="32">
        <f>IF($P79="","",INDEX(GL_Journal!$K:$K,$P79))</f>
        <v/>
      </c>
      <c r="K79" s="32">
        <f>IF($P79="","",INDEX(GL_Journal!$L:$L,$P79))</f>
        <v/>
      </c>
      <c r="L79" s="43">
        <f>IF($P79="","",INDEX(GL_Journal!$M:$M,$P79))</f>
        <v/>
      </c>
      <c r="M79" s="43">
        <f>IF($P79="","",INDEX(GL_Journal!$N:$N,$P79))</f>
        <v/>
      </c>
      <c r="N79" s="47">
        <f>IF($P79="","",IF($A79=1,LG_Open,$N78)+$L79-$M79)</f>
        <v/>
      </c>
      <c r="O79" s="32">
        <f>IF($A79&gt;COUNT(GL_Journal!$Y:$Y),"",SMALL(GL_Journal!$Y:$Y,$A79))</f>
        <v/>
      </c>
      <c r="P79" s="32">
        <f>IF($O79="","",MATCH($O79,GL_Journal!$Y:$Y,0))</f>
        <v/>
      </c>
      <c r="Q79" s="32" t="inlineStr"/>
    </row>
    <row r="80">
      <c r="A80" s="32">
        <f>ROW()-12</f>
        <v/>
      </c>
      <c r="B80" s="33">
        <f>IF($P80="","",INDEX(GL_Journal!$D:$D,$P80))</f>
        <v/>
      </c>
      <c r="C80" s="32">
        <f>IF($P80="","",INDEX(GL_Journal!$C:$C,$P80))</f>
        <v/>
      </c>
      <c r="D80" s="32">
        <f>IF($P80="","",INDEX(GL_Journal!$E:$E,$P80))</f>
        <v/>
      </c>
      <c r="E80" s="32">
        <f>IF($P80="","",INDEX(GL_Journal!$F:$F,$P80))</f>
        <v/>
      </c>
      <c r="F80" s="32">
        <f>IF($P80="","",INDEX(GL_Journal!$G:$G,$P80))</f>
        <v/>
      </c>
      <c r="G80" s="32">
        <f>IF($P80="","",INDEX(GL_Journal!$H:$H,$P80))</f>
        <v/>
      </c>
      <c r="H80" s="32">
        <f>IF($P80="","",INDEX(GL_Journal!$I:$I,$P80))</f>
        <v/>
      </c>
      <c r="I80" s="32">
        <f>IF($P80="","",INDEX(GL_Journal!$J:$J,$P80))</f>
        <v/>
      </c>
      <c r="J80" s="32">
        <f>IF($P80="","",INDEX(GL_Journal!$K:$K,$P80))</f>
        <v/>
      </c>
      <c r="K80" s="32">
        <f>IF($P80="","",INDEX(GL_Journal!$L:$L,$P80))</f>
        <v/>
      </c>
      <c r="L80" s="43">
        <f>IF($P80="","",INDEX(GL_Journal!$M:$M,$P80))</f>
        <v/>
      </c>
      <c r="M80" s="43">
        <f>IF($P80="","",INDEX(GL_Journal!$N:$N,$P80))</f>
        <v/>
      </c>
      <c r="N80" s="47">
        <f>IF($P80="","",IF($A80=1,LG_Open,$N79)+$L80-$M80)</f>
        <v/>
      </c>
      <c r="O80" s="32">
        <f>IF($A80&gt;COUNT(GL_Journal!$Y:$Y),"",SMALL(GL_Journal!$Y:$Y,$A80))</f>
        <v/>
      </c>
      <c r="P80" s="32">
        <f>IF($O80="","",MATCH($O80,GL_Journal!$Y:$Y,0))</f>
        <v/>
      </c>
      <c r="Q80" s="32" t="inlineStr"/>
    </row>
    <row r="81">
      <c r="A81" s="32">
        <f>ROW()-12</f>
        <v/>
      </c>
      <c r="B81" s="33">
        <f>IF($P81="","",INDEX(GL_Journal!$D:$D,$P81))</f>
        <v/>
      </c>
      <c r="C81" s="32">
        <f>IF($P81="","",INDEX(GL_Journal!$C:$C,$P81))</f>
        <v/>
      </c>
      <c r="D81" s="32">
        <f>IF($P81="","",INDEX(GL_Journal!$E:$E,$P81))</f>
        <v/>
      </c>
      <c r="E81" s="32">
        <f>IF($P81="","",INDEX(GL_Journal!$F:$F,$P81))</f>
        <v/>
      </c>
      <c r="F81" s="32">
        <f>IF($P81="","",INDEX(GL_Journal!$G:$G,$P81))</f>
        <v/>
      </c>
      <c r="G81" s="32">
        <f>IF($P81="","",INDEX(GL_Journal!$H:$H,$P81))</f>
        <v/>
      </c>
      <c r="H81" s="32">
        <f>IF($P81="","",INDEX(GL_Journal!$I:$I,$P81))</f>
        <v/>
      </c>
      <c r="I81" s="32">
        <f>IF($P81="","",INDEX(GL_Journal!$J:$J,$P81))</f>
        <v/>
      </c>
      <c r="J81" s="32">
        <f>IF($P81="","",INDEX(GL_Journal!$K:$K,$P81))</f>
        <v/>
      </c>
      <c r="K81" s="32">
        <f>IF($P81="","",INDEX(GL_Journal!$L:$L,$P81))</f>
        <v/>
      </c>
      <c r="L81" s="43">
        <f>IF($P81="","",INDEX(GL_Journal!$M:$M,$P81))</f>
        <v/>
      </c>
      <c r="M81" s="43">
        <f>IF($P81="","",INDEX(GL_Journal!$N:$N,$P81))</f>
        <v/>
      </c>
      <c r="N81" s="47">
        <f>IF($P81="","",IF($A81=1,LG_Open,$N80)+$L81-$M81)</f>
        <v/>
      </c>
      <c r="O81" s="32">
        <f>IF($A81&gt;COUNT(GL_Journal!$Y:$Y),"",SMALL(GL_Journal!$Y:$Y,$A81))</f>
        <v/>
      </c>
      <c r="P81" s="32">
        <f>IF($O81="","",MATCH($O81,GL_Journal!$Y:$Y,0))</f>
        <v/>
      </c>
      <c r="Q81" s="32" t="inlineStr"/>
    </row>
    <row r="82">
      <c r="A82" s="32">
        <f>ROW()-12</f>
        <v/>
      </c>
      <c r="B82" s="33">
        <f>IF($P82="","",INDEX(GL_Journal!$D:$D,$P82))</f>
        <v/>
      </c>
      <c r="C82" s="32">
        <f>IF($P82="","",INDEX(GL_Journal!$C:$C,$P82))</f>
        <v/>
      </c>
      <c r="D82" s="32">
        <f>IF($P82="","",INDEX(GL_Journal!$E:$E,$P82))</f>
        <v/>
      </c>
      <c r="E82" s="32">
        <f>IF($P82="","",INDEX(GL_Journal!$F:$F,$P82))</f>
        <v/>
      </c>
      <c r="F82" s="32">
        <f>IF($P82="","",INDEX(GL_Journal!$G:$G,$P82))</f>
        <v/>
      </c>
      <c r="G82" s="32">
        <f>IF($P82="","",INDEX(GL_Journal!$H:$H,$P82))</f>
        <v/>
      </c>
      <c r="H82" s="32">
        <f>IF($P82="","",INDEX(GL_Journal!$I:$I,$P82))</f>
        <v/>
      </c>
      <c r="I82" s="32">
        <f>IF($P82="","",INDEX(GL_Journal!$J:$J,$P82))</f>
        <v/>
      </c>
      <c r="J82" s="32">
        <f>IF($P82="","",INDEX(GL_Journal!$K:$K,$P82))</f>
        <v/>
      </c>
      <c r="K82" s="32">
        <f>IF($P82="","",INDEX(GL_Journal!$L:$L,$P82))</f>
        <v/>
      </c>
      <c r="L82" s="43">
        <f>IF($P82="","",INDEX(GL_Journal!$M:$M,$P82))</f>
        <v/>
      </c>
      <c r="M82" s="43">
        <f>IF($P82="","",INDEX(GL_Journal!$N:$N,$P82))</f>
        <v/>
      </c>
      <c r="N82" s="47">
        <f>IF($P82="","",IF($A82=1,LG_Open,$N81)+$L82-$M82)</f>
        <v/>
      </c>
      <c r="O82" s="32">
        <f>IF($A82&gt;COUNT(GL_Journal!$Y:$Y),"",SMALL(GL_Journal!$Y:$Y,$A82))</f>
        <v/>
      </c>
      <c r="P82" s="32">
        <f>IF($O82="","",MATCH($O82,GL_Journal!$Y:$Y,0))</f>
        <v/>
      </c>
      <c r="Q82" s="32" t="inlineStr"/>
    </row>
    <row r="83">
      <c r="A83" s="32">
        <f>ROW()-12</f>
        <v/>
      </c>
      <c r="B83" s="33">
        <f>IF($P83="","",INDEX(GL_Journal!$D:$D,$P83))</f>
        <v/>
      </c>
      <c r="C83" s="32">
        <f>IF($P83="","",INDEX(GL_Journal!$C:$C,$P83))</f>
        <v/>
      </c>
      <c r="D83" s="32">
        <f>IF($P83="","",INDEX(GL_Journal!$E:$E,$P83))</f>
        <v/>
      </c>
      <c r="E83" s="32">
        <f>IF($P83="","",INDEX(GL_Journal!$F:$F,$P83))</f>
        <v/>
      </c>
      <c r="F83" s="32">
        <f>IF($P83="","",INDEX(GL_Journal!$G:$G,$P83))</f>
        <v/>
      </c>
      <c r="G83" s="32">
        <f>IF($P83="","",INDEX(GL_Journal!$H:$H,$P83))</f>
        <v/>
      </c>
      <c r="H83" s="32">
        <f>IF($P83="","",INDEX(GL_Journal!$I:$I,$P83))</f>
        <v/>
      </c>
      <c r="I83" s="32">
        <f>IF($P83="","",INDEX(GL_Journal!$J:$J,$P83))</f>
        <v/>
      </c>
      <c r="J83" s="32">
        <f>IF($P83="","",INDEX(GL_Journal!$K:$K,$P83))</f>
        <v/>
      </c>
      <c r="K83" s="32">
        <f>IF($P83="","",INDEX(GL_Journal!$L:$L,$P83))</f>
        <v/>
      </c>
      <c r="L83" s="43">
        <f>IF($P83="","",INDEX(GL_Journal!$M:$M,$P83))</f>
        <v/>
      </c>
      <c r="M83" s="43">
        <f>IF($P83="","",INDEX(GL_Journal!$N:$N,$P83))</f>
        <v/>
      </c>
      <c r="N83" s="47">
        <f>IF($P83="","",IF($A83=1,LG_Open,$N82)+$L83-$M83)</f>
        <v/>
      </c>
      <c r="O83" s="32">
        <f>IF($A83&gt;COUNT(GL_Journal!$Y:$Y),"",SMALL(GL_Journal!$Y:$Y,$A83))</f>
        <v/>
      </c>
      <c r="P83" s="32">
        <f>IF($O83="","",MATCH($O83,GL_Journal!$Y:$Y,0))</f>
        <v/>
      </c>
      <c r="Q83" s="32" t="inlineStr"/>
    </row>
    <row r="84">
      <c r="A84" s="32">
        <f>ROW()-12</f>
        <v/>
      </c>
      <c r="B84" s="33">
        <f>IF($P84="","",INDEX(GL_Journal!$D:$D,$P84))</f>
        <v/>
      </c>
      <c r="C84" s="32">
        <f>IF($P84="","",INDEX(GL_Journal!$C:$C,$P84))</f>
        <v/>
      </c>
      <c r="D84" s="32">
        <f>IF($P84="","",INDEX(GL_Journal!$E:$E,$P84))</f>
        <v/>
      </c>
      <c r="E84" s="32">
        <f>IF($P84="","",INDEX(GL_Journal!$F:$F,$P84))</f>
        <v/>
      </c>
      <c r="F84" s="32">
        <f>IF($P84="","",INDEX(GL_Journal!$G:$G,$P84))</f>
        <v/>
      </c>
      <c r="G84" s="32">
        <f>IF($P84="","",INDEX(GL_Journal!$H:$H,$P84))</f>
        <v/>
      </c>
      <c r="H84" s="32">
        <f>IF($P84="","",INDEX(GL_Journal!$I:$I,$P84))</f>
        <v/>
      </c>
      <c r="I84" s="32">
        <f>IF($P84="","",INDEX(GL_Journal!$J:$J,$P84))</f>
        <v/>
      </c>
      <c r="J84" s="32">
        <f>IF($P84="","",INDEX(GL_Journal!$K:$K,$P84))</f>
        <v/>
      </c>
      <c r="K84" s="32">
        <f>IF($P84="","",INDEX(GL_Journal!$L:$L,$P84))</f>
        <v/>
      </c>
      <c r="L84" s="43">
        <f>IF($P84="","",INDEX(GL_Journal!$M:$M,$P84))</f>
        <v/>
      </c>
      <c r="M84" s="43">
        <f>IF($P84="","",INDEX(GL_Journal!$N:$N,$P84))</f>
        <v/>
      </c>
      <c r="N84" s="47">
        <f>IF($P84="","",IF($A84=1,LG_Open,$N83)+$L84-$M84)</f>
        <v/>
      </c>
      <c r="O84" s="32">
        <f>IF($A84&gt;COUNT(GL_Journal!$Y:$Y),"",SMALL(GL_Journal!$Y:$Y,$A84))</f>
        <v/>
      </c>
      <c r="P84" s="32">
        <f>IF($O84="","",MATCH($O84,GL_Journal!$Y:$Y,0))</f>
        <v/>
      </c>
      <c r="Q84" s="32" t="inlineStr"/>
    </row>
    <row r="85">
      <c r="A85" s="32">
        <f>ROW()-12</f>
        <v/>
      </c>
      <c r="B85" s="33">
        <f>IF($P85="","",INDEX(GL_Journal!$D:$D,$P85))</f>
        <v/>
      </c>
      <c r="C85" s="32">
        <f>IF($P85="","",INDEX(GL_Journal!$C:$C,$P85))</f>
        <v/>
      </c>
      <c r="D85" s="32">
        <f>IF($P85="","",INDEX(GL_Journal!$E:$E,$P85))</f>
        <v/>
      </c>
      <c r="E85" s="32">
        <f>IF($P85="","",INDEX(GL_Journal!$F:$F,$P85))</f>
        <v/>
      </c>
      <c r="F85" s="32">
        <f>IF($P85="","",INDEX(GL_Journal!$G:$G,$P85))</f>
        <v/>
      </c>
      <c r="G85" s="32">
        <f>IF($P85="","",INDEX(GL_Journal!$H:$H,$P85))</f>
        <v/>
      </c>
      <c r="H85" s="32">
        <f>IF($P85="","",INDEX(GL_Journal!$I:$I,$P85))</f>
        <v/>
      </c>
      <c r="I85" s="32">
        <f>IF($P85="","",INDEX(GL_Journal!$J:$J,$P85))</f>
        <v/>
      </c>
      <c r="J85" s="32">
        <f>IF($P85="","",INDEX(GL_Journal!$K:$K,$P85))</f>
        <v/>
      </c>
      <c r="K85" s="32">
        <f>IF($P85="","",INDEX(GL_Journal!$L:$L,$P85))</f>
        <v/>
      </c>
      <c r="L85" s="43">
        <f>IF($P85="","",INDEX(GL_Journal!$M:$M,$P85))</f>
        <v/>
      </c>
      <c r="M85" s="43">
        <f>IF($P85="","",INDEX(GL_Journal!$N:$N,$P85))</f>
        <v/>
      </c>
      <c r="N85" s="47">
        <f>IF($P85="","",IF($A85=1,LG_Open,$N84)+$L85-$M85)</f>
        <v/>
      </c>
      <c r="O85" s="32">
        <f>IF($A85&gt;COUNT(GL_Journal!$Y:$Y),"",SMALL(GL_Journal!$Y:$Y,$A85))</f>
        <v/>
      </c>
      <c r="P85" s="32">
        <f>IF($O85="","",MATCH($O85,GL_Journal!$Y:$Y,0))</f>
        <v/>
      </c>
      <c r="Q85" s="32" t="inlineStr"/>
    </row>
    <row r="86">
      <c r="A86" s="32">
        <f>ROW()-12</f>
        <v/>
      </c>
      <c r="B86" s="33">
        <f>IF($P86="","",INDEX(GL_Journal!$D:$D,$P86))</f>
        <v/>
      </c>
      <c r="C86" s="32">
        <f>IF($P86="","",INDEX(GL_Journal!$C:$C,$P86))</f>
        <v/>
      </c>
      <c r="D86" s="32">
        <f>IF($P86="","",INDEX(GL_Journal!$E:$E,$P86))</f>
        <v/>
      </c>
      <c r="E86" s="32">
        <f>IF($P86="","",INDEX(GL_Journal!$F:$F,$P86))</f>
        <v/>
      </c>
      <c r="F86" s="32">
        <f>IF($P86="","",INDEX(GL_Journal!$G:$G,$P86))</f>
        <v/>
      </c>
      <c r="G86" s="32">
        <f>IF($P86="","",INDEX(GL_Journal!$H:$H,$P86))</f>
        <v/>
      </c>
      <c r="H86" s="32">
        <f>IF($P86="","",INDEX(GL_Journal!$I:$I,$P86))</f>
        <v/>
      </c>
      <c r="I86" s="32">
        <f>IF($P86="","",INDEX(GL_Journal!$J:$J,$P86))</f>
        <v/>
      </c>
      <c r="J86" s="32">
        <f>IF($P86="","",INDEX(GL_Journal!$K:$K,$P86))</f>
        <v/>
      </c>
      <c r="K86" s="32">
        <f>IF($P86="","",INDEX(GL_Journal!$L:$L,$P86))</f>
        <v/>
      </c>
      <c r="L86" s="43">
        <f>IF($P86="","",INDEX(GL_Journal!$M:$M,$P86))</f>
        <v/>
      </c>
      <c r="M86" s="43">
        <f>IF($P86="","",INDEX(GL_Journal!$N:$N,$P86))</f>
        <v/>
      </c>
      <c r="N86" s="47">
        <f>IF($P86="","",IF($A86=1,LG_Open,$N85)+$L86-$M86)</f>
        <v/>
      </c>
      <c r="O86" s="32">
        <f>IF($A86&gt;COUNT(GL_Journal!$Y:$Y),"",SMALL(GL_Journal!$Y:$Y,$A86))</f>
        <v/>
      </c>
      <c r="P86" s="32">
        <f>IF($O86="","",MATCH($O86,GL_Journal!$Y:$Y,0))</f>
        <v/>
      </c>
      <c r="Q86" s="32" t="inlineStr"/>
    </row>
    <row r="87">
      <c r="A87" s="32">
        <f>ROW()-12</f>
        <v/>
      </c>
      <c r="B87" s="33">
        <f>IF($P87="","",INDEX(GL_Journal!$D:$D,$P87))</f>
        <v/>
      </c>
      <c r="C87" s="32">
        <f>IF($P87="","",INDEX(GL_Journal!$C:$C,$P87))</f>
        <v/>
      </c>
      <c r="D87" s="32">
        <f>IF($P87="","",INDEX(GL_Journal!$E:$E,$P87))</f>
        <v/>
      </c>
      <c r="E87" s="32">
        <f>IF($P87="","",INDEX(GL_Journal!$F:$F,$P87))</f>
        <v/>
      </c>
      <c r="F87" s="32">
        <f>IF($P87="","",INDEX(GL_Journal!$G:$G,$P87))</f>
        <v/>
      </c>
      <c r="G87" s="32">
        <f>IF($P87="","",INDEX(GL_Journal!$H:$H,$P87))</f>
        <v/>
      </c>
      <c r="H87" s="32">
        <f>IF($P87="","",INDEX(GL_Journal!$I:$I,$P87))</f>
        <v/>
      </c>
      <c r="I87" s="32">
        <f>IF($P87="","",INDEX(GL_Journal!$J:$J,$P87))</f>
        <v/>
      </c>
      <c r="J87" s="32">
        <f>IF($P87="","",INDEX(GL_Journal!$K:$K,$P87))</f>
        <v/>
      </c>
      <c r="K87" s="32">
        <f>IF($P87="","",INDEX(GL_Journal!$L:$L,$P87))</f>
        <v/>
      </c>
      <c r="L87" s="43">
        <f>IF($P87="","",INDEX(GL_Journal!$M:$M,$P87))</f>
        <v/>
      </c>
      <c r="M87" s="43">
        <f>IF($P87="","",INDEX(GL_Journal!$N:$N,$P87))</f>
        <v/>
      </c>
      <c r="N87" s="47">
        <f>IF($P87="","",IF($A87=1,LG_Open,$N86)+$L87-$M87)</f>
        <v/>
      </c>
      <c r="O87" s="32">
        <f>IF($A87&gt;COUNT(GL_Journal!$Y:$Y),"",SMALL(GL_Journal!$Y:$Y,$A87))</f>
        <v/>
      </c>
      <c r="P87" s="32">
        <f>IF($O87="","",MATCH($O87,GL_Journal!$Y:$Y,0))</f>
        <v/>
      </c>
      <c r="Q87" s="32" t="inlineStr"/>
    </row>
    <row r="88">
      <c r="A88" s="32">
        <f>ROW()-12</f>
        <v/>
      </c>
      <c r="B88" s="33">
        <f>IF($P88="","",INDEX(GL_Journal!$D:$D,$P88))</f>
        <v/>
      </c>
      <c r="C88" s="32">
        <f>IF($P88="","",INDEX(GL_Journal!$C:$C,$P88))</f>
        <v/>
      </c>
      <c r="D88" s="32">
        <f>IF($P88="","",INDEX(GL_Journal!$E:$E,$P88))</f>
        <v/>
      </c>
      <c r="E88" s="32">
        <f>IF($P88="","",INDEX(GL_Journal!$F:$F,$P88))</f>
        <v/>
      </c>
      <c r="F88" s="32">
        <f>IF($P88="","",INDEX(GL_Journal!$G:$G,$P88))</f>
        <v/>
      </c>
      <c r="G88" s="32">
        <f>IF($P88="","",INDEX(GL_Journal!$H:$H,$P88))</f>
        <v/>
      </c>
      <c r="H88" s="32">
        <f>IF($P88="","",INDEX(GL_Journal!$I:$I,$P88))</f>
        <v/>
      </c>
      <c r="I88" s="32">
        <f>IF($P88="","",INDEX(GL_Journal!$J:$J,$P88))</f>
        <v/>
      </c>
      <c r="J88" s="32">
        <f>IF($P88="","",INDEX(GL_Journal!$K:$K,$P88))</f>
        <v/>
      </c>
      <c r="K88" s="32">
        <f>IF($P88="","",INDEX(GL_Journal!$L:$L,$P88))</f>
        <v/>
      </c>
      <c r="L88" s="43">
        <f>IF($P88="","",INDEX(GL_Journal!$M:$M,$P88))</f>
        <v/>
      </c>
      <c r="M88" s="43">
        <f>IF($P88="","",INDEX(GL_Journal!$N:$N,$P88))</f>
        <v/>
      </c>
      <c r="N88" s="47">
        <f>IF($P88="","",IF($A88=1,LG_Open,$N87)+$L88-$M88)</f>
        <v/>
      </c>
      <c r="O88" s="32">
        <f>IF($A88&gt;COUNT(GL_Journal!$Y:$Y),"",SMALL(GL_Journal!$Y:$Y,$A88))</f>
        <v/>
      </c>
      <c r="P88" s="32">
        <f>IF($O88="","",MATCH($O88,GL_Journal!$Y:$Y,0))</f>
        <v/>
      </c>
      <c r="Q88" s="32" t="inlineStr"/>
    </row>
    <row r="89">
      <c r="A89" s="32">
        <f>ROW()-12</f>
        <v/>
      </c>
      <c r="B89" s="33">
        <f>IF($P89="","",INDEX(GL_Journal!$D:$D,$P89))</f>
        <v/>
      </c>
      <c r="C89" s="32">
        <f>IF($P89="","",INDEX(GL_Journal!$C:$C,$P89))</f>
        <v/>
      </c>
      <c r="D89" s="32">
        <f>IF($P89="","",INDEX(GL_Journal!$E:$E,$P89))</f>
        <v/>
      </c>
      <c r="E89" s="32">
        <f>IF($P89="","",INDEX(GL_Journal!$F:$F,$P89))</f>
        <v/>
      </c>
      <c r="F89" s="32">
        <f>IF($P89="","",INDEX(GL_Journal!$G:$G,$P89))</f>
        <v/>
      </c>
      <c r="G89" s="32">
        <f>IF($P89="","",INDEX(GL_Journal!$H:$H,$P89))</f>
        <v/>
      </c>
      <c r="H89" s="32">
        <f>IF($P89="","",INDEX(GL_Journal!$I:$I,$P89))</f>
        <v/>
      </c>
      <c r="I89" s="32">
        <f>IF($P89="","",INDEX(GL_Journal!$J:$J,$P89))</f>
        <v/>
      </c>
      <c r="J89" s="32">
        <f>IF($P89="","",INDEX(GL_Journal!$K:$K,$P89))</f>
        <v/>
      </c>
      <c r="K89" s="32">
        <f>IF($P89="","",INDEX(GL_Journal!$L:$L,$P89))</f>
        <v/>
      </c>
      <c r="L89" s="43">
        <f>IF($P89="","",INDEX(GL_Journal!$M:$M,$P89))</f>
        <v/>
      </c>
      <c r="M89" s="43">
        <f>IF($P89="","",INDEX(GL_Journal!$N:$N,$P89))</f>
        <v/>
      </c>
      <c r="N89" s="47">
        <f>IF($P89="","",IF($A89=1,LG_Open,$N88)+$L89-$M89)</f>
        <v/>
      </c>
      <c r="O89" s="32">
        <f>IF($A89&gt;COUNT(GL_Journal!$Y:$Y),"",SMALL(GL_Journal!$Y:$Y,$A89))</f>
        <v/>
      </c>
      <c r="P89" s="32">
        <f>IF($O89="","",MATCH($O89,GL_Journal!$Y:$Y,0))</f>
        <v/>
      </c>
      <c r="Q89" s="32" t="inlineStr"/>
    </row>
    <row r="90">
      <c r="A90" s="32">
        <f>ROW()-12</f>
        <v/>
      </c>
      <c r="B90" s="33">
        <f>IF($P90="","",INDEX(GL_Journal!$D:$D,$P90))</f>
        <v/>
      </c>
      <c r="C90" s="32">
        <f>IF($P90="","",INDEX(GL_Journal!$C:$C,$P90))</f>
        <v/>
      </c>
      <c r="D90" s="32">
        <f>IF($P90="","",INDEX(GL_Journal!$E:$E,$P90))</f>
        <v/>
      </c>
      <c r="E90" s="32">
        <f>IF($P90="","",INDEX(GL_Journal!$F:$F,$P90))</f>
        <v/>
      </c>
      <c r="F90" s="32">
        <f>IF($P90="","",INDEX(GL_Journal!$G:$G,$P90))</f>
        <v/>
      </c>
      <c r="G90" s="32">
        <f>IF($P90="","",INDEX(GL_Journal!$H:$H,$P90))</f>
        <v/>
      </c>
      <c r="H90" s="32">
        <f>IF($P90="","",INDEX(GL_Journal!$I:$I,$P90))</f>
        <v/>
      </c>
      <c r="I90" s="32">
        <f>IF($P90="","",INDEX(GL_Journal!$J:$J,$P90))</f>
        <v/>
      </c>
      <c r="J90" s="32">
        <f>IF($P90="","",INDEX(GL_Journal!$K:$K,$P90))</f>
        <v/>
      </c>
      <c r="K90" s="32">
        <f>IF($P90="","",INDEX(GL_Journal!$L:$L,$P90))</f>
        <v/>
      </c>
      <c r="L90" s="43">
        <f>IF($P90="","",INDEX(GL_Journal!$M:$M,$P90))</f>
        <v/>
      </c>
      <c r="M90" s="43">
        <f>IF($P90="","",INDEX(GL_Journal!$N:$N,$P90))</f>
        <v/>
      </c>
      <c r="N90" s="47">
        <f>IF($P90="","",IF($A90=1,LG_Open,$N89)+$L90-$M90)</f>
        <v/>
      </c>
      <c r="O90" s="32">
        <f>IF($A90&gt;COUNT(GL_Journal!$Y:$Y),"",SMALL(GL_Journal!$Y:$Y,$A90))</f>
        <v/>
      </c>
      <c r="P90" s="32">
        <f>IF($O90="","",MATCH($O90,GL_Journal!$Y:$Y,0))</f>
        <v/>
      </c>
      <c r="Q90" s="32" t="inlineStr"/>
    </row>
    <row r="91">
      <c r="A91" s="32">
        <f>ROW()-12</f>
        <v/>
      </c>
      <c r="B91" s="33">
        <f>IF($P91="","",INDEX(GL_Journal!$D:$D,$P91))</f>
        <v/>
      </c>
      <c r="C91" s="32">
        <f>IF($P91="","",INDEX(GL_Journal!$C:$C,$P91))</f>
        <v/>
      </c>
      <c r="D91" s="32">
        <f>IF($P91="","",INDEX(GL_Journal!$E:$E,$P91))</f>
        <v/>
      </c>
      <c r="E91" s="32">
        <f>IF($P91="","",INDEX(GL_Journal!$F:$F,$P91))</f>
        <v/>
      </c>
      <c r="F91" s="32">
        <f>IF($P91="","",INDEX(GL_Journal!$G:$G,$P91))</f>
        <v/>
      </c>
      <c r="G91" s="32">
        <f>IF($P91="","",INDEX(GL_Journal!$H:$H,$P91))</f>
        <v/>
      </c>
      <c r="H91" s="32">
        <f>IF($P91="","",INDEX(GL_Journal!$I:$I,$P91))</f>
        <v/>
      </c>
      <c r="I91" s="32">
        <f>IF($P91="","",INDEX(GL_Journal!$J:$J,$P91))</f>
        <v/>
      </c>
      <c r="J91" s="32">
        <f>IF($P91="","",INDEX(GL_Journal!$K:$K,$P91))</f>
        <v/>
      </c>
      <c r="K91" s="32">
        <f>IF($P91="","",INDEX(GL_Journal!$L:$L,$P91))</f>
        <v/>
      </c>
      <c r="L91" s="43">
        <f>IF($P91="","",INDEX(GL_Journal!$M:$M,$P91))</f>
        <v/>
      </c>
      <c r="M91" s="43">
        <f>IF($P91="","",INDEX(GL_Journal!$N:$N,$P91))</f>
        <v/>
      </c>
      <c r="N91" s="47">
        <f>IF($P91="","",IF($A91=1,LG_Open,$N90)+$L91-$M91)</f>
        <v/>
      </c>
      <c r="O91" s="32">
        <f>IF($A91&gt;COUNT(GL_Journal!$Y:$Y),"",SMALL(GL_Journal!$Y:$Y,$A91))</f>
        <v/>
      </c>
      <c r="P91" s="32">
        <f>IF($O91="","",MATCH($O91,GL_Journal!$Y:$Y,0))</f>
        <v/>
      </c>
      <c r="Q91" s="32" t="inlineStr"/>
    </row>
    <row r="92">
      <c r="A92" s="32">
        <f>ROW()-12</f>
        <v/>
      </c>
      <c r="B92" s="33">
        <f>IF($P92="","",INDEX(GL_Journal!$D:$D,$P92))</f>
        <v/>
      </c>
      <c r="C92" s="32">
        <f>IF($P92="","",INDEX(GL_Journal!$C:$C,$P92))</f>
        <v/>
      </c>
      <c r="D92" s="32">
        <f>IF($P92="","",INDEX(GL_Journal!$E:$E,$P92))</f>
        <v/>
      </c>
      <c r="E92" s="32">
        <f>IF($P92="","",INDEX(GL_Journal!$F:$F,$P92))</f>
        <v/>
      </c>
      <c r="F92" s="32">
        <f>IF($P92="","",INDEX(GL_Journal!$G:$G,$P92))</f>
        <v/>
      </c>
      <c r="G92" s="32">
        <f>IF($P92="","",INDEX(GL_Journal!$H:$H,$P92))</f>
        <v/>
      </c>
      <c r="H92" s="32">
        <f>IF($P92="","",INDEX(GL_Journal!$I:$I,$P92))</f>
        <v/>
      </c>
      <c r="I92" s="32">
        <f>IF($P92="","",INDEX(GL_Journal!$J:$J,$P92))</f>
        <v/>
      </c>
      <c r="J92" s="32">
        <f>IF($P92="","",INDEX(GL_Journal!$K:$K,$P92))</f>
        <v/>
      </c>
      <c r="K92" s="32">
        <f>IF($P92="","",INDEX(GL_Journal!$L:$L,$P92))</f>
        <v/>
      </c>
      <c r="L92" s="43">
        <f>IF($P92="","",INDEX(GL_Journal!$M:$M,$P92))</f>
        <v/>
      </c>
      <c r="M92" s="43">
        <f>IF($P92="","",INDEX(GL_Journal!$N:$N,$P92))</f>
        <v/>
      </c>
      <c r="N92" s="47">
        <f>IF($P92="","",IF($A92=1,LG_Open,$N91)+$L92-$M92)</f>
        <v/>
      </c>
      <c r="O92" s="32">
        <f>IF($A92&gt;COUNT(GL_Journal!$Y:$Y),"",SMALL(GL_Journal!$Y:$Y,$A92))</f>
        <v/>
      </c>
      <c r="P92" s="32">
        <f>IF($O92="","",MATCH($O92,GL_Journal!$Y:$Y,0))</f>
        <v/>
      </c>
      <c r="Q92" s="32" t="inlineStr"/>
    </row>
    <row r="93">
      <c r="A93" s="32">
        <f>ROW()-12</f>
        <v/>
      </c>
      <c r="B93" s="33">
        <f>IF($P93="","",INDEX(GL_Journal!$D:$D,$P93))</f>
        <v/>
      </c>
      <c r="C93" s="32">
        <f>IF($P93="","",INDEX(GL_Journal!$C:$C,$P93))</f>
        <v/>
      </c>
      <c r="D93" s="32">
        <f>IF($P93="","",INDEX(GL_Journal!$E:$E,$P93))</f>
        <v/>
      </c>
      <c r="E93" s="32">
        <f>IF($P93="","",INDEX(GL_Journal!$F:$F,$P93))</f>
        <v/>
      </c>
      <c r="F93" s="32">
        <f>IF($P93="","",INDEX(GL_Journal!$G:$G,$P93))</f>
        <v/>
      </c>
      <c r="G93" s="32">
        <f>IF($P93="","",INDEX(GL_Journal!$H:$H,$P93))</f>
        <v/>
      </c>
      <c r="H93" s="32">
        <f>IF($P93="","",INDEX(GL_Journal!$I:$I,$P93))</f>
        <v/>
      </c>
      <c r="I93" s="32">
        <f>IF($P93="","",INDEX(GL_Journal!$J:$J,$P93))</f>
        <v/>
      </c>
      <c r="J93" s="32">
        <f>IF($P93="","",INDEX(GL_Journal!$K:$K,$P93))</f>
        <v/>
      </c>
      <c r="K93" s="32">
        <f>IF($P93="","",INDEX(GL_Journal!$L:$L,$P93))</f>
        <v/>
      </c>
      <c r="L93" s="43">
        <f>IF($P93="","",INDEX(GL_Journal!$M:$M,$P93))</f>
        <v/>
      </c>
      <c r="M93" s="43">
        <f>IF($P93="","",INDEX(GL_Journal!$N:$N,$P93))</f>
        <v/>
      </c>
      <c r="N93" s="47">
        <f>IF($P93="","",IF($A93=1,LG_Open,$N92)+$L93-$M93)</f>
        <v/>
      </c>
      <c r="O93" s="32">
        <f>IF($A93&gt;COUNT(GL_Journal!$Y:$Y),"",SMALL(GL_Journal!$Y:$Y,$A93))</f>
        <v/>
      </c>
      <c r="P93" s="32">
        <f>IF($O93="","",MATCH($O93,GL_Journal!$Y:$Y,0))</f>
        <v/>
      </c>
      <c r="Q93" s="32" t="inlineStr"/>
    </row>
    <row r="94">
      <c r="A94" s="32">
        <f>ROW()-12</f>
        <v/>
      </c>
      <c r="B94" s="33">
        <f>IF($P94="","",INDEX(GL_Journal!$D:$D,$P94))</f>
        <v/>
      </c>
      <c r="C94" s="32">
        <f>IF($P94="","",INDEX(GL_Journal!$C:$C,$P94))</f>
        <v/>
      </c>
      <c r="D94" s="32">
        <f>IF($P94="","",INDEX(GL_Journal!$E:$E,$P94))</f>
        <v/>
      </c>
      <c r="E94" s="32">
        <f>IF($P94="","",INDEX(GL_Journal!$F:$F,$P94))</f>
        <v/>
      </c>
      <c r="F94" s="32">
        <f>IF($P94="","",INDEX(GL_Journal!$G:$G,$P94))</f>
        <v/>
      </c>
      <c r="G94" s="32">
        <f>IF($P94="","",INDEX(GL_Journal!$H:$H,$P94))</f>
        <v/>
      </c>
      <c r="H94" s="32">
        <f>IF($P94="","",INDEX(GL_Journal!$I:$I,$P94))</f>
        <v/>
      </c>
      <c r="I94" s="32">
        <f>IF($P94="","",INDEX(GL_Journal!$J:$J,$P94))</f>
        <v/>
      </c>
      <c r="J94" s="32">
        <f>IF($P94="","",INDEX(GL_Journal!$K:$K,$P94))</f>
        <v/>
      </c>
      <c r="K94" s="32">
        <f>IF($P94="","",INDEX(GL_Journal!$L:$L,$P94))</f>
        <v/>
      </c>
      <c r="L94" s="43">
        <f>IF($P94="","",INDEX(GL_Journal!$M:$M,$P94))</f>
        <v/>
      </c>
      <c r="M94" s="43">
        <f>IF($P94="","",INDEX(GL_Journal!$N:$N,$P94))</f>
        <v/>
      </c>
      <c r="N94" s="47">
        <f>IF($P94="","",IF($A94=1,LG_Open,$N93)+$L94-$M94)</f>
        <v/>
      </c>
      <c r="O94" s="32">
        <f>IF($A94&gt;COUNT(GL_Journal!$Y:$Y),"",SMALL(GL_Journal!$Y:$Y,$A94))</f>
        <v/>
      </c>
      <c r="P94" s="32">
        <f>IF($O94="","",MATCH($O94,GL_Journal!$Y:$Y,0))</f>
        <v/>
      </c>
      <c r="Q94" s="32" t="inlineStr"/>
    </row>
    <row r="95">
      <c r="A95" s="32">
        <f>ROW()-12</f>
        <v/>
      </c>
      <c r="B95" s="33">
        <f>IF($P95="","",INDEX(GL_Journal!$D:$D,$P95))</f>
        <v/>
      </c>
      <c r="C95" s="32">
        <f>IF($P95="","",INDEX(GL_Journal!$C:$C,$P95))</f>
        <v/>
      </c>
      <c r="D95" s="32">
        <f>IF($P95="","",INDEX(GL_Journal!$E:$E,$P95))</f>
        <v/>
      </c>
      <c r="E95" s="32">
        <f>IF($P95="","",INDEX(GL_Journal!$F:$F,$P95))</f>
        <v/>
      </c>
      <c r="F95" s="32">
        <f>IF($P95="","",INDEX(GL_Journal!$G:$G,$P95))</f>
        <v/>
      </c>
      <c r="G95" s="32">
        <f>IF($P95="","",INDEX(GL_Journal!$H:$H,$P95))</f>
        <v/>
      </c>
      <c r="H95" s="32">
        <f>IF($P95="","",INDEX(GL_Journal!$I:$I,$P95))</f>
        <v/>
      </c>
      <c r="I95" s="32">
        <f>IF($P95="","",INDEX(GL_Journal!$J:$J,$P95))</f>
        <v/>
      </c>
      <c r="J95" s="32">
        <f>IF($P95="","",INDEX(GL_Journal!$K:$K,$P95))</f>
        <v/>
      </c>
      <c r="K95" s="32">
        <f>IF($P95="","",INDEX(GL_Journal!$L:$L,$P95))</f>
        <v/>
      </c>
      <c r="L95" s="43">
        <f>IF($P95="","",INDEX(GL_Journal!$M:$M,$P95))</f>
        <v/>
      </c>
      <c r="M95" s="43">
        <f>IF($P95="","",INDEX(GL_Journal!$N:$N,$P95))</f>
        <v/>
      </c>
      <c r="N95" s="47">
        <f>IF($P95="","",IF($A95=1,LG_Open,$N94)+$L95-$M95)</f>
        <v/>
      </c>
      <c r="O95" s="32">
        <f>IF($A95&gt;COUNT(GL_Journal!$Y:$Y),"",SMALL(GL_Journal!$Y:$Y,$A95))</f>
        <v/>
      </c>
      <c r="P95" s="32">
        <f>IF($O95="","",MATCH($O95,GL_Journal!$Y:$Y,0))</f>
        <v/>
      </c>
      <c r="Q95" s="32" t="inlineStr"/>
    </row>
    <row r="96">
      <c r="A96" s="32">
        <f>ROW()-12</f>
        <v/>
      </c>
      <c r="B96" s="33">
        <f>IF($P96="","",INDEX(GL_Journal!$D:$D,$P96))</f>
        <v/>
      </c>
      <c r="C96" s="32">
        <f>IF($P96="","",INDEX(GL_Journal!$C:$C,$P96))</f>
        <v/>
      </c>
      <c r="D96" s="32">
        <f>IF($P96="","",INDEX(GL_Journal!$E:$E,$P96))</f>
        <v/>
      </c>
      <c r="E96" s="32">
        <f>IF($P96="","",INDEX(GL_Journal!$F:$F,$P96))</f>
        <v/>
      </c>
      <c r="F96" s="32">
        <f>IF($P96="","",INDEX(GL_Journal!$G:$G,$P96))</f>
        <v/>
      </c>
      <c r="G96" s="32">
        <f>IF($P96="","",INDEX(GL_Journal!$H:$H,$P96))</f>
        <v/>
      </c>
      <c r="H96" s="32">
        <f>IF($P96="","",INDEX(GL_Journal!$I:$I,$P96))</f>
        <v/>
      </c>
      <c r="I96" s="32">
        <f>IF($P96="","",INDEX(GL_Journal!$J:$J,$P96))</f>
        <v/>
      </c>
      <c r="J96" s="32">
        <f>IF($P96="","",INDEX(GL_Journal!$K:$K,$P96))</f>
        <v/>
      </c>
      <c r="K96" s="32">
        <f>IF($P96="","",INDEX(GL_Journal!$L:$L,$P96))</f>
        <v/>
      </c>
      <c r="L96" s="43">
        <f>IF($P96="","",INDEX(GL_Journal!$M:$M,$P96))</f>
        <v/>
      </c>
      <c r="M96" s="43">
        <f>IF($P96="","",INDEX(GL_Journal!$N:$N,$P96))</f>
        <v/>
      </c>
      <c r="N96" s="47">
        <f>IF($P96="","",IF($A96=1,LG_Open,$N95)+$L96-$M96)</f>
        <v/>
      </c>
      <c r="O96" s="32">
        <f>IF($A96&gt;COUNT(GL_Journal!$Y:$Y),"",SMALL(GL_Journal!$Y:$Y,$A96))</f>
        <v/>
      </c>
      <c r="P96" s="32">
        <f>IF($O96="","",MATCH($O96,GL_Journal!$Y:$Y,0))</f>
        <v/>
      </c>
      <c r="Q96" s="32" t="inlineStr"/>
    </row>
    <row r="97">
      <c r="A97" s="32">
        <f>ROW()-12</f>
        <v/>
      </c>
      <c r="B97" s="33">
        <f>IF($P97="","",INDEX(GL_Journal!$D:$D,$P97))</f>
        <v/>
      </c>
      <c r="C97" s="32">
        <f>IF($P97="","",INDEX(GL_Journal!$C:$C,$P97))</f>
        <v/>
      </c>
      <c r="D97" s="32">
        <f>IF($P97="","",INDEX(GL_Journal!$E:$E,$P97))</f>
        <v/>
      </c>
      <c r="E97" s="32">
        <f>IF($P97="","",INDEX(GL_Journal!$F:$F,$P97))</f>
        <v/>
      </c>
      <c r="F97" s="32">
        <f>IF($P97="","",INDEX(GL_Journal!$G:$G,$P97))</f>
        <v/>
      </c>
      <c r="G97" s="32">
        <f>IF($P97="","",INDEX(GL_Journal!$H:$H,$P97))</f>
        <v/>
      </c>
      <c r="H97" s="32">
        <f>IF($P97="","",INDEX(GL_Journal!$I:$I,$P97))</f>
        <v/>
      </c>
      <c r="I97" s="32">
        <f>IF($P97="","",INDEX(GL_Journal!$J:$J,$P97))</f>
        <v/>
      </c>
      <c r="J97" s="32">
        <f>IF($P97="","",INDEX(GL_Journal!$K:$K,$P97))</f>
        <v/>
      </c>
      <c r="K97" s="32">
        <f>IF($P97="","",INDEX(GL_Journal!$L:$L,$P97))</f>
        <v/>
      </c>
      <c r="L97" s="43">
        <f>IF($P97="","",INDEX(GL_Journal!$M:$M,$P97))</f>
        <v/>
      </c>
      <c r="M97" s="43">
        <f>IF($P97="","",INDEX(GL_Journal!$N:$N,$P97))</f>
        <v/>
      </c>
      <c r="N97" s="47">
        <f>IF($P97="","",IF($A97=1,LG_Open,$N96)+$L97-$M97)</f>
        <v/>
      </c>
      <c r="O97" s="32">
        <f>IF($A97&gt;COUNT(GL_Journal!$Y:$Y),"",SMALL(GL_Journal!$Y:$Y,$A97))</f>
        <v/>
      </c>
      <c r="P97" s="32">
        <f>IF($O97="","",MATCH($O97,GL_Journal!$Y:$Y,0))</f>
        <v/>
      </c>
      <c r="Q97" s="32" t="inlineStr"/>
    </row>
    <row r="98">
      <c r="A98" s="32">
        <f>ROW()-12</f>
        <v/>
      </c>
      <c r="B98" s="33">
        <f>IF($P98="","",INDEX(GL_Journal!$D:$D,$P98))</f>
        <v/>
      </c>
      <c r="C98" s="32">
        <f>IF($P98="","",INDEX(GL_Journal!$C:$C,$P98))</f>
        <v/>
      </c>
      <c r="D98" s="32">
        <f>IF($P98="","",INDEX(GL_Journal!$E:$E,$P98))</f>
        <v/>
      </c>
      <c r="E98" s="32">
        <f>IF($P98="","",INDEX(GL_Journal!$F:$F,$P98))</f>
        <v/>
      </c>
      <c r="F98" s="32">
        <f>IF($P98="","",INDEX(GL_Journal!$G:$G,$P98))</f>
        <v/>
      </c>
      <c r="G98" s="32">
        <f>IF($P98="","",INDEX(GL_Journal!$H:$H,$P98))</f>
        <v/>
      </c>
      <c r="H98" s="32">
        <f>IF($P98="","",INDEX(GL_Journal!$I:$I,$P98))</f>
        <v/>
      </c>
      <c r="I98" s="32">
        <f>IF($P98="","",INDEX(GL_Journal!$J:$J,$P98))</f>
        <v/>
      </c>
      <c r="J98" s="32">
        <f>IF($P98="","",INDEX(GL_Journal!$K:$K,$P98))</f>
        <v/>
      </c>
      <c r="K98" s="32">
        <f>IF($P98="","",INDEX(GL_Journal!$L:$L,$P98))</f>
        <v/>
      </c>
      <c r="L98" s="43">
        <f>IF($P98="","",INDEX(GL_Journal!$M:$M,$P98))</f>
        <v/>
      </c>
      <c r="M98" s="43">
        <f>IF($P98="","",INDEX(GL_Journal!$N:$N,$P98))</f>
        <v/>
      </c>
      <c r="N98" s="47">
        <f>IF($P98="","",IF($A98=1,LG_Open,$N97)+$L98-$M98)</f>
        <v/>
      </c>
      <c r="O98" s="32">
        <f>IF($A98&gt;COUNT(GL_Journal!$Y:$Y),"",SMALL(GL_Journal!$Y:$Y,$A98))</f>
        <v/>
      </c>
      <c r="P98" s="32">
        <f>IF($O98="","",MATCH($O98,GL_Journal!$Y:$Y,0))</f>
        <v/>
      </c>
      <c r="Q98" s="32" t="inlineStr"/>
    </row>
    <row r="99">
      <c r="A99" s="32">
        <f>ROW()-12</f>
        <v/>
      </c>
      <c r="B99" s="33">
        <f>IF($P99="","",INDEX(GL_Journal!$D:$D,$P99))</f>
        <v/>
      </c>
      <c r="C99" s="32">
        <f>IF($P99="","",INDEX(GL_Journal!$C:$C,$P99))</f>
        <v/>
      </c>
      <c r="D99" s="32">
        <f>IF($P99="","",INDEX(GL_Journal!$E:$E,$P99))</f>
        <v/>
      </c>
      <c r="E99" s="32">
        <f>IF($P99="","",INDEX(GL_Journal!$F:$F,$P99))</f>
        <v/>
      </c>
      <c r="F99" s="32">
        <f>IF($P99="","",INDEX(GL_Journal!$G:$G,$P99))</f>
        <v/>
      </c>
      <c r="G99" s="32">
        <f>IF($P99="","",INDEX(GL_Journal!$H:$H,$P99))</f>
        <v/>
      </c>
      <c r="H99" s="32">
        <f>IF($P99="","",INDEX(GL_Journal!$I:$I,$P99))</f>
        <v/>
      </c>
      <c r="I99" s="32">
        <f>IF($P99="","",INDEX(GL_Journal!$J:$J,$P99))</f>
        <v/>
      </c>
      <c r="J99" s="32">
        <f>IF($P99="","",INDEX(GL_Journal!$K:$K,$P99))</f>
        <v/>
      </c>
      <c r="K99" s="32">
        <f>IF($P99="","",INDEX(GL_Journal!$L:$L,$P99))</f>
        <v/>
      </c>
      <c r="L99" s="43">
        <f>IF($P99="","",INDEX(GL_Journal!$M:$M,$P99))</f>
        <v/>
      </c>
      <c r="M99" s="43">
        <f>IF($P99="","",INDEX(GL_Journal!$N:$N,$P99))</f>
        <v/>
      </c>
      <c r="N99" s="47">
        <f>IF($P99="","",IF($A99=1,LG_Open,$N98)+$L99-$M99)</f>
        <v/>
      </c>
      <c r="O99" s="32">
        <f>IF($A99&gt;COUNT(GL_Journal!$Y:$Y),"",SMALL(GL_Journal!$Y:$Y,$A99))</f>
        <v/>
      </c>
      <c r="P99" s="32">
        <f>IF($O99="","",MATCH($O99,GL_Journal!$Y:$Y,0))</f>
        <v/>
      </c>
      <c r="Q99" s="32" t="inlineStr"/>
    </row>
    <row r="100">
      <c r="A100" s="32">
        <f>ROW()-12</f>
        <v/>
      </c>
      <c r="B100" s="33">
        <f>IF($P100="","",INDEX(GL_Journal!$D:$D,$P100))</f>
        <v/>
      </c>
      <c r="C100" s="32">
        <f>IF($P100="","",INDEX(GL_Journal!$C:$C,$P100))</f>
        <v/>
      </c>
      <c r="D100" s="32">
        <f>IF($P100="","",INDEX(GL_Journal!$E:$E,$P100))</f>
        <v/>
      </c>
      <c r="E100" s="32">
        <f>IF($P100="","",INDEX(GL_Journal!$F:$F,$P100))</f>
        <v/>
      </c>
      <c r="F100" s="32">
        <f>IF($P100="","",INDEX(GL_Journal!$G:$G,$P100))</f>
        <v/>
      </c>
      <c r="G100" s="32">
        <f>IF($P100="","",INDEX(GL_Journal!$H:$H,$P100))</f>
        <v/>
      </c>
      <c r="H100" s="32">
        <f>IF($P100="","",INDEX(GL_Journal!$I:$I,$P100))</f>
        <v/>
      </c>
      <c r="I100" s="32">
        <f>IF($P100="","",INDEX(GL_Journal!$J:$J,$P100))</f>
        <v/>
      </c>
      <c r="J100" s="32">
        <f>IF($P100="","",INDEX(GL_Journal!$K:$K,$P100))</f>
        <v/>
      </c>
      <c r="K100" s="32">
        <f>IF($P100="","",INDEX(GL_Journal!$L:$L,$P100))</f>
        <v/>
      </c>
      <c r="L100" s="43">
        <f>IF($P100="","",INDEX(GL_Journal!$M:$M,$P100))</f>
        <v/>
      </c>
      <c r="M100" s="43">
        <f>IF($P100="","",INDEX(GL_Journal!$N:$N,$P100))</f>
        <v/>
      </c>
      <c r="N100" s="47">
        <f>IF($P100="","",IF($A100=1,LG_Open,$N99)+$L100-$M100)</f>
        <v/>
      </c>
      <c r="O100" s="32">
        <f>IF($A100&gt;COUNT(GL_Journal!$Y:$Y),"",SMALL(GL_Journal!$Y:$Y,$A100))</f>
        <v/>
      </c>
      <c r="P100" s="32">
        <f>IF($O100="","",MATCH($O100,GL_Journal!$Y:$Y,0))</f>
        <v/>
      </c>
      <c r="Q100" s="32" t="inlineStr"/>
    </row>
    <row r="101">
      <c r="A101" s="32">
        <f>ROW()-12</f>
        <v/>
      </c>
      <c r="B101" s="33">
        <f>IF($P101="","",INDEX(GL_Journal!$D:$D,$P101))</f>
        <v/>
      </c>
      <c r="C101" s="32">
        <f>IF($P101="","",INDEX(GL_Journal!$C:$C,$P101))</f>
        <v/>
      </c>
      <c r="D101" s="32">
        <f>IF($P101="","",INDEX(GL_Journal!$E:$E,$P101))</f>
        <v/>
      </c>
      <c r="E101" s="32">
        <f>IF($P101="","",INDEX(GL_Journal!$F:$F,$P101))</f>
        <v/>
      </c>
      <c r="F101" s="32">
        <f>IF($P101="","",INDEX(GL_Journal!$G:$G,$P101))</f>
        <v/>
      </c>
      <c r="G101" s="32">
        <f>IF($P101="","",INDEX(GL_Journal!$H:$H,$P101))</f>
        <v/>
      </c>
      <c r="H101" s="32">
        <f>IF($P101="","",INDEX(GL_Journal!$I:$I,$P101))</f>
        <v/>
      </c>
      <c r="I101" s="32">
        <f>IF($P101="","",INDEX(GL_Journal!$J:$J,$P101))</f>
        <v/>
      </c>
      <c r="J101" s="32">
        <f>IF($P101="","",INDEX(GL_Journal!$K:$K,$P101))</f>
        <v/>
      </c>
      <c r="K101" s="32">
        <f>IF($P101="","",INDEX(GL_Journal!$L:$L,$P101))</f>
        <v/>
      </c>
      <c r="L101" s="43">
        <f>IF($P101="","",INDEX(GL_Journal!$M:$M,$P101))</f>
        <v/>
      </c>
      <c r="M101" s="43">
        <f>IF($P101="","",INDEX(GL_Journal!$N:$N,$P101))</f>
        <v/>
      </c>
      <c r="N101" s="47">
        <f>IF($P101="","",IF($A101=1,LG_Open,$N100)+$L101-$M101)</f>
        <v/>
      </c>
      <c r="O101" s="32">
        <f>IF($A101&gt;COUNT(GL_Journal!$Y:$Y),"",SMALL(GL_Journal!$Y:$Y,$A101))</f>
        <v/>
      </c>
      <c r="P101" s="32">
        <f>IF($O101="","",MATCH($O101,GL_Journal!$Y:$Y,0))</f>
        <v/>
      </c>
      <c r="Q101" s="32" t="inlineStr"/>
    </row>
    <row r="102">
      <c r="A102" s="32">
        <f>ROW()-12</f>
        <v/>
      </c>
      <c r="B102" s="33">
        <f>IF($P102="","",INDEX(GL_Journal!$D:$D,$P102))</f>
        <v/>
      </c>
      <c r="C102" s="32">
        <f>IF($P102="","",INDEX(GL_Journal!$C:$C,$P102))</f>
        <v/>
      </c>
      <c r="D102" s="32">
        <f>IF($P102="","",INDEX(GL_Journal!$E:$E,$P102))</f>
        <v/>
      </c>
      <c r="E102" s="32">
        <f>IF($P102="","",INDEX(GL_Journal!$F:$F,$P102))</f>
        <v/>
      </c>
      <c r="F102" s="32">
        <f>IF($P102="","",INDEX(GL_Journal!$G:$G,$P102))</f>
        <v/>
      </c>
      <c r="G102" s="32">
        <f>IF($P102="","",INDEX(GL_Journal!$H:$H,$P102))</f>
        <v/>
      </c>
      <c r="H102" s="32">
        <f>IF($P102="","",INDEX(GL_Journal!$I:$I,$P102))</f>
        <v/>
      </c>
      <c r="I102" s="32">
        <f>IF($P102="","",INDEX(GL_Journal!$J:$J,$P102))</f>
        <v/>
      </c>
      <c r="J102" s="32">
        <f>IF($P102="","",INDEX(GL_Journal!$K:$K,$P102))</f>
        <v/>
      </c>
      <c r="K102" s="32">
        <f>IF($P102="","",INDEX(GL_Journal!$L:$L,$P102))</f>
        <v/>
      </c>
      <c r="L102" s="43">
        <f>IF($P102="","",INDEX(GL_Journal!$M:$M,$P102))</f>
        <v/>
      </c>
      <c r="M102" s="43">
        <f>IF($P102="","",INDEX(GL_Journal!$N:$N,$P102))</f>
        <v/>
      </c>
      <c r="N102" s="47">
        <f>IF($P102="","",IF($A102=1,LG_Open,$N101)+$L102-$M102)</f>
        <v/>
      </c>
      <c r="O102" s="32">
        <f>IF($A102&gt;COUNT(GL_Journal!$Y:$Y),"",SMALL(GL_Journal!$Y:$Y,$A102))</f>
        <v/>
      </c>
      <c r="P102" s="32">
        <f>IF($O102="","",MATCH($O102,GL_Journal!$Y:$Y,0))</f>
        <v/>
      </c>
      <c r="Q102" s="32" t="inlineStr"/>
    </row>
    <row r="103">
      <c r="A103" s="32">
        <f>ROW()-12</f>
        <v/>
      </c>
      <c r="B103" s="33">
        <f>IF($P103="","",INDEX(GL_Journal!$D:$D,$P103))</f>
        <v/>
      </c>
      <c r="C103" s="32">
        <f>IF($P103="","",INDEX(GL_Journal!$C:$C,$P103))</f>
        <v/>
      </c>
      <c r="D103" s="32">
        <f>IF($P103="","",INDEX(GL_Journal!$E:$E,$P103))</f>
        <v/>
      </c>
      <c r="E103" s="32">
        <f>IF($P103="","",INDEX(GL_Journal!$F:$F,$P103))</f>
        <v/>
      </c>
      <c r="F103" s="32">
        <f>IF($P103="","",INDEX(GL_Journal!$G:$G,$P103))</f>
        <v/>
      </c>
      <c r="G103" s="32">
        <f>IF($P103="","",INDEX(GL_Journal!$H:$H,$P103))</f>
        <v/>
      </c>
      <c r="H103" s="32">
        <f>IF($P103="","",INDEX(GL_Journal!$I:$I,$P103))</f>
        <v/>
      </c>
      <c r="I103" s="32">
        <f>IF($P103="","",INDEX(GL_Journal!$J:$J,$P103))</f>
        <v/>
      </c>
      <c r="J103" s="32">
        <f>IF($P103="","",INDEX(GL_Journal!$K:$K,$P103))</f>
        <v/>
      </c>
      <c r="K103" s="32">
        <f>IF($P103="","",INDEX(GL_Journal!$L:$L,$P103))</f>
        <v/>
      </c>
      <c r="L103" s="43">
        <f>IF($P103="","",INDEX(GL_Journal!$M:$M,$P103))</f>
        <v/>
      </c>
      <c r="M103" s="43">
        <f>IF($P103="","",INDEX(GL_Journal!$N:$N,$P103))</f>
        <v/>
      </c>
      <c r="N103" s="47">
        <f>IF($P103="","",IF($A103=1,LG_Open,$N102)+$L103-$M103)</f>
        <v/>
      </c>
      <c r="O103" s="32">
        <f>IF($A103&gt;COUNT(GL_Journal!$Y:$Y),"",SMALL(GL_Journal!$Y:$Y,$A103))</f>
        <v/>
      </c>
      <c r="P103" s="32">
        <f>IF($O103="","",MATCH($O103,GL_Journal!$Y:$Y,0))</f>
        <v/>
      </c>
      <c r="Q103" s="32" t="inlineStr"/>
    </row>
    <row r="104">
      <c r="A104" s="32">
        <f>ROW()-12</f>
        <v/>
      </c>
      <c r="B104" s="33">
        <f>IF($P104="","",INDEX(GL_Journal!$D:$D,$P104))</f>
        <v/>
      </c>
      <c r="C104" s="32">
        <f>IF($P104="","",INDEX(GL_Journal!$C:$C,$P104))</f>
        <v/>
      </c>
      <c r="D104" s="32">
        <f>IF($P104="","",INDEX(GL_Journal!$E:$E,$P104))</f>
        <v/>
      </c>
      <c r="E104" s="32">
        <f>IF($P104="","",INDEX(GL_Journal!$F:$F,$P104))</f>
        <v/>
      </c>
      <c r="F104" s="32">
        <f>IF($P104="","",INDEX(GL_Journal!$G:$G,$P104))</f>
        <v/>
      </c>
      <c r="G104" s="32">
        <f>IF($P104="","",INDEX(GL_Journal!$H:$H,$P104))</f>
        <v/>
      </c>
      <c r="H104" s="32">
        <f>IF($P104="","",INDEX(GL_Journal!$I:$I,$P104))</f>
        <v/>
      </c>
      <c r="I104" s="32">
        <f>IF($P104="","",INDEX(GL_Journal!$J:$J,$P104))</f>
        <v/>
      </c>
      <c r="J104" s="32">
        <f>IF($P104="","",INDEX(GL_Journal!$K:$K,$P104))</f>
        <v/>
      </c>
      <c r="K104" s="32">
        <f>IF($P104="","",INDEX(GL_Journal!$L:$L,$P104))</f>
        <v/>
      </c>
      <c r="L104" s="43">
        <f>IF($P104="","",INDEX(GL_Journal!$M:$M,$P104))</f>
        <v/>
      </c>
      <c r="M104" s="43">
        <f>IF($P104="","",INDEX(GL_Journal!$N:$N,$P104))</f>
        <v/>
      </c>
      <c r="N104" s="47">
        <f>IF($P104="","",IF($A104=1,LG_Open,$N103)+$L104-$M104)</f>
        <v/>
      </c>
      <c r="O104" s="32">
        <f>IF($A104&gt;COUNT(GL_Journal!$Y:$Y),"",SMALL(GL_Journal!$Y:$Y,$A104))</f>
        <v/>
      </c>
      <c r="P104" s="32">
        <f>IF($O104="","",MATCH($O104,GL_Journal!$Y:$Y,0))</f>
        <v/>
      </c>
      <c r="Q104" s="32" t="inlineStr"/>
    </row>
    <row r="105">
      <c r="A105" s="32">
        <f>ROW()-12</f>
        <v/>
      </c>
      <c r="B105" s="33">
        <f>IF($P105="","",INDEX(GL_Journal!$D:$D,$P105))</f>
        <v/>
      </c>
      <c r="C105" s="32">
        <f>IF($P105="","",INDEX(GL_Journal!$C:$C,$P105))</f>
        <v/>
      </c>
      <c r="D105" s="32">
        <f>IF($P105="","",INDEX(GL_Journal!$E:$E,$P105))</f>
        <v/>
      </c>
      <c r="E105" s="32">
        <f>IF($P105="","",INDEX(GL_Journal!$F:$F,$P105))</f>
        <v/>
      </c>
      <c r="F105" s="32">
        <f>IF($P105="","",INDEX(GL_Journal!$G:$G,$P105))</f>
        <v/>
      </c>
      <c r="G105" s="32">
        <f>IF($P105="","",INDEX(GL_Journal!$H:$H,$P105))</f>
        <v/>
      </c>
      <c r="H105" s="32">
        <f>IF($P105="","",INDEX(GL_Journal!$I:$I,$P105))</f>
        <v/>
      </c>
      <c r="I105" s="32">
        <f>IF($P105="","",INDEX(GL_Journal!$J:$J,$P105))</f>
        <v/>
      </c>
      <c r="J105" s="32">
        <f>IF($P105="","",INDEX(GL_Journal!$K:$K,$P105))</f>
        <v/>
      </c>
      <c r="K105" s="32">
        <f>IF($P105="","",INDEX(GL_Journal!$L:$L,$P105))</f>
        <v/>
      </c>
      <c r="L105" s="43">
        <f>IF($P105="","",INDEX(GL_Journal!$M:$M,$P105))</f>
        <v/>
      </c>
      <c r="M105" s="43">
        <f>IF($P105="","",INDEX(GL_Journal!$N:$N,$P105))</f>
        <v/>
      </c>
      <c r="N105" s="47">
        <f>IF($P105="","",IF($A105=1,LG_Open,$N104)+$L105-$M105)</f>
        <v/>
      </c>
      <c r="O105" s="32">
        <f>IF($A105&gt;COUNT(GL_Journal!$Y:$Y),"",SMALL(GL_Journal!$Y:$Y,$A105))</f>
        <v/>
      </c>
      <c r="P105" s="32">
        <f>IF($O105="","",MATCH($O105,GL_Journal!$Y:$Y,0))</f>
        <v/>
      </c>
      <c r="Q105" s="32" t="inlineStr"/>
    </row>
    <row r="106">
      <c r="A106" s="32">
        <f>ROW()-12</f>
        <v/>
      </c>
      <c r="B106" s="33">
        <f>IF($P106="","",INDEX(GL_Journal!$D:$D,$P106))</f>
        <v/>
      </c>
      <c r="C106" s="32">
        <f>IF($P106="","",INDEX(GL_Journal!$C:$C,$P106))</f>
        <v/>
      </c>
      <c r="D106" s="32">
        <f>IF($P106="","",INDEX(GL_Journal!$E:$E,$P106))</f>
        <v/>
      </c>
      <c r="E106" s="32">
        <f>IF($P106="","",INDEX(GL_Journal!$F:$F,$P106))</f>
        <v/>
      </c>
      <c r="F106" s="32">
        <f>IF($P106="","",INDEX(GL_Journal!$G:$G,$P106))</f>
        <v/>
      </c>
      <c r="G106" s="32">
        <f>IF($P106="","",INDEX(GL_Journal!$H:$H,$P106))</f>
        <v/>
      </c>
      <c r="H106" s="32">
        <f>IF($P106="","",INDEX(GL_Journal!$I:$I,$P106))</f>
        <v/>
      </c>
      <c r="I106" s="32">
        <f>IF($P106="","",INDEX(GL_Journal!$J:$J,$P106))</f>
        <v/>
      </c>
      <c r="J106" s="32">
        <f>IF($P106="","",INDEX(GL_Journal!$K:$K,$P106))</f>
        <v/>
      </c>
      <c r="K106" s="32">
        <f>IF($P106="","",INDEX(GL_Journal!$L:$L,$P106))</f>
        <v/>
      </c>
      <c r="L106" s="43">
        <f>IF($P106="","",INDEX(GL_Journal!$M:$M,$P106))</f>
        <v/>
      </c>
      <c r="M106" s="43">
        <f>IF($P106="","",INDEX(GL_Journal!$N:$N,$P106))</f>
        <v/>
      </c>
      <c r="N106" s="47">
        <f>IF($P106="","",IF($A106=1,LG_Open,$N105)+$L106-$M106)</f>
        <v/>
      </c>
      <c r="O106" s="32">
        <f>IF($A106&gt;COUNT(GL_Journal!$Y:$Y),"",SMALL(GL_Journal!$Y:$Y,$A106))</f>
        <v/>
      </c>
      <c r="P106" s="32">
        <f>IF($O106="","",MATCH($O106,GL_Journal!$Y:$Y,0))</f>
        <v/>
      </c>
      <c r="Q106" s="32" t="inlineStr"/>
    </row>
    <row r="107">
      <c r="A107" s="32">
        <f>ROW()-12</f>
        <v/>
      </c>
      <c r="B107" s="33">
        <f>IF($P107="","",INDEX(GL_Journal!$D:$D,$P107))</f>
        <v/>
      </c>
      <c r="C107" s="32">
        <f>IF($P107="","",INDEX(GL_Journal!$C:$C,$P107))</f>
        <v/>
      </c>
      <c r="D107" s="32">
        <f>IF($P107="","",INDEX(GL_Journal!$E:$E,$P107))</f>
        <v/>
      </c>
      <c r="E107" s="32">
        <f>IF($P107="","",INDEX(GL_Journal!$F:$F,$P107))</f>
        <v/>
      </c>
      <c r="F107" s="32">
        <f>IF($P107="","",INDEX(GL_Journal!$G:$G,$P107))</f>
        <v/>
      </c>
      <c r="G107" s="32">
        <f>IF($P107="","",INDEX(GL_Journal!$H:$H,$P107))</f>
        <v/>
      </c>
      <c r="H107" s="32">
        <f>IF($P107="","",INDEX(GL_Journal!$I:$I,$P107))</f>
        <v/>
      </c>
      <c r="I107" s="32">
        <f>IF($P107="","",INDEX(GL_Journal!$J:$J,$P107))</f>
        <v/>
      </c>
      <c r="J107" s="32">
        <f>IF($P107="","",INDEX(GL_Journal!$K:$K,$P107))</f>
        <v/>
      </c>
      <c r="K107" s="32">
        <f>IF($P107="","",INDEX(GL_Journal!$L:$L,$P107))</f>
        <v/>
      </c>
      <c r="L107" s="43">
        <f>IF($P107="","",INDEX(GL_Journal!$M:$M,$P107))</f>
        <v/>
      </c>
      <c r="M107" s="43">
        <f>IF($P107="","",INDEX(GL_Journal!$N:$N,$P107))</f>
        <v/>
      </c>
      <c r="N107" s="47">
        <f>IF($P107="","",IF($A107=1,LG_Open,$N106)+$L107-$M107)</f>
        <v/>
      </c>
      <c r="O107" s="32">
        <f>IF($A107&gt;COUNT(GL_Journal!$Y:$Y),"",SMALL(GL_Journal!$Y:$Y,$A107))</f>
        <v/>
      </c>
      <c r="P107" s="32">
        <f>IF($O107="","",MATCH($O107,GL_Journal!$Y:$Y,0))</f>
        <v/>
      </c>
      <c r="Q107" s="32" t="inlineStr"/>
    </row>
    <row r="108">
      <c r="A108" s="32">
        <f>ROW()-12</f>
        <v/>
      </c>
      <c r="B108" s="33">
        <f>IF($P108="","",INDEX(GL_Journal!$D:$D,$P108))</f>
        <v/>
      </c>
      <c r="C108" s="32">
        <f>IF($P108="","",INDEX(GL_Journal!$C:$C,$P108))</f>
        <v/>
      </c>
      <c r="D108" s="32">
        <f>IF($P108="","",INDEX(GL_Journal!$E:$E,$P108))</f>
        <v/>
      </c>
      <c r="E108" s="32">
        <f>IF($P108="","",INDEX(GL_Journal!$F:$F,$P108))</f>
        <v/>
      </c>
      <c r="F108" s="32">
        <f>IF($P108="","",INDEX(GL_Journal!$G:$G,$P108))</f>
        <v/>
      </c>
      <c r="G108" s="32">
        <f>IF($P108="","",INDEX(GL_Journal!$H:$H,$P108))</f>
        <v/>
      </c>
      <c r="H108" s="32">
        <f>IF($P108="","",INDEX(GL_Journal!$I:$I,$P108))</f>
        <v/>
      </c>
      <c r="I108" s="32">
        <f>IF($P108="","",INDEX(GL_Journal!$J:$J,$P108))</f>
        <v/>
      </c>
      <c r="J108" s="32">
        <f>IF($P108="","",INDEX(GL_Journal!$K:$K,$P108))</f>
        <v/>
      </c>
      <c r="K108" s="32">
        <f>IF($P108="","",INDEX(GL_Journal!$L:$L,$P108))</f>
        <v/>
      </c>
      <c r="L108" s="43">
        <f>IF($P108="","",INDEX(GL_Journal!$M:$M,$P108))</f>
        <v/>
      </c>
      <c r="M108" s="43">
        <f>IF($P108="","",INDEX(GL_Journal!$N:$N,$P108))</f>
        <v/>
      </c>
      <c r="N108" s="47">
        <f>IF($P108="","",IF($A108=1,LG_Open,$N107)+$L108-$M108)</f>
        <v/>
      </c>
      <c r="O108" s="32">
        <f>IF($A108&gt;COUNT(GL_Journal!$Y:$Y),"",SMALL(GL_Journal!$Y:$Y,$A108))</f>
        <v/>
      </c>
      <c r="P108" s="32">
        <f>IF($O108="","",MATCH($O108,GL_Journal!$Y:$Y,0))</f>
        <v/>
      </c>
      <c r="Q108" s="32" t="inlineStr"/>
    </row>
    <row r="109">
      <c r="A109" s="32">
        <f>ROW()-12</f>
        <v/>
      </c>
      <c r="B109" s="33">
        <f>IF($P109="","",INDEX(GL_Journal!$D:$D,$P109))</f>
        <v/>
      </c>
      <c r="C109" s="32">
        <f>IF($P109="","",INDEX(GL_Journal!$C:$C,$P109))</f>
        <v/>
      </c>
      <c r="D109" s="32">
        <f>IF($P109="","",INDEX(GL_Journal!$E:$E,$P109))</f>
        <v/>
      </c>
      <c r="E109" s="32">
        <f>IF($P109="","",INDEX(GL_Journal!$F:$F,$P109))</f>
        <v/>
      </c>
      <c r="F109" s="32">
        <f>IF($P109="","",INDEX(GL_Journal!$G:$G,$P109))</f>
        <v/>
      </c>
      <c r="G109" s="32">
        <f>IF($P109="","",INDEX(GL_Journal!$H:$H,$P109))</f>
        <v/>
      </c>
      <c r="H109" s="32">
        <f>IF($P109="","",INDEX(GL_Journal!$I:$I,$P109))</f>
        <v/>
      </c>
      <c r="I109" s="32">
        <f>IF($P109="","",INDEX(GL_Journal!$J:$J,$P109))</f>
        <v/>
      </c>
      <c r="J109" s="32">
        <f>IF($P109="","",INDEX(GL_Journal!$K:$K,$P109))</f>
        <v/>
      </c>
      <c r="K109" s="32">
        <f>IF($P109="","",INDEX(GL_Journal!$L:$L,$P109))</f>
        <v/>
      </c>
      <c r="L109" s="43">
        <f>IF($P109="","",INDEX(GL_Journal!$M:$M,$P109))</f>
        <v/>
      </c>
      <c r="M109" s="43">
        <f>IF($P109="","",INDEX(GL_Journal!$N:$N,$P109))</f>
        <v/>
      </c>
      <c r="N109" s="47">
        <f>IF($P109="","",IF($A109=1,LG_Open,$N108)+$L109-$M109)</f>
        <v/>
      </c>
      <c r="O109" s="32">
        <f>IF($A109&gt;COUNT(GL_Journal!$Y:$Y),"",SMALL(GL_Journal!$Y:$Y,$A109))</f>
        <v/>
      </c>
      <c r="P109" s="32">
        <f>IF($O109="","",MATCH($O109,GL_Journal!$Y:$Y,0))</f>
        <v/>
      </c>
      <c r="Q109" s="32" t="inlineStr"/>
    </row>
    <row r="110">
      <c r="A110" s="32">
        <f>ROW()-12</f>
        <v/>
      </c>
      <c r="B110" s="33">
        <f>IF($P110="","",INDEX(GL_Journal!$D:$D,$P110))</f>
        <v/>
      </c>
      <c r="C110" s="32">
        <f>IF($P110="","",INDEX(GL_Journal!$C:$C,$P110))</f>
        <v/>
      </c>
      <c r="D110" s="32">
        <f>IF($P110="","",INDEX(GL_Journal!$E:$E,$P110))</f>
        <v/>
      </c>
      <c r="E110" s="32">
        <f>IF($P110="","",INDEX(GL_Journal!$F:$F,$P110))</f>
        <v/>
      </c>
      <c r="F110" s="32">
        <f>IF($P110="","",INDEX(GL_Journal!$G:$G,$P110))</f>
        <v/>
      </c>
      <c r="G110" s="32">
        <f>IF($P110="","",INDEX(GL_Journal!$H:$H,$P110))</f>
        <v/>
      </c>
      <c r="H110" s="32">
        <f>IF($P110="","",INDEX(GL_Journal!$I:$I,$P110))</f>
        <v/>
      </c>
      <c r="I110" s="32">
        <f>IF($P110="","",INDEX(GL_Journal!$J:$J,$P110))</f>
        <v/>
      </c>
      <c r="J110" s="32">
        <f>IF($P110="","",INDEX(GL_Journal!$K:$K,$P110))</f>
        <v/>
      </c>
      <c r="K110" s="32">
        <f>IF($P110="","",INDEX(GL_Journal!$L:$L,$P110))</f>
        <v/>
      </c>
      <c r="L110" s="43">
        <f>IF($P110="","",INDEX(GL_Journal!$M:$M,$P110))</f>
        <v/>
      </c>
      <c r="M110" s="43">
        <f>IF($P110="","",INDEX(GL_Journal!$N:$N,$P110))</f>
        <v/>
      </c>
      <c r="N110" s="47">
        <f>IF($P110="","",IF($A110=1,LG_Open,$N109)+$L110-$M110)</f>
        <v/>
      </c>
      <c r="O110" s="32">
        <f>IF($A110&gt;COUNT(GL_Journal!$Y:$Y),"",SMALL(GL_Journal!$Y:$Y,$A110))</f>
        <v/>
      </c>
      <c r="P110" s="32">
        <f>IF($O110="","",MATCH($O110,GL_Journal!$Y:$Y,0))</f>
        <v/>
      </c>
      <c r="Q110" s="32" t="inlineStr"/>
    </row>
    <row r="111">
      <c r="A111" s="32">
        <f>ROW()-12</f>
        <v/>
      </c>
      <c r="B111" s="33">
        <f>IF($P111="","",INDEX(GL_Journal!$D:$D,$P111))</f>
        <v/>
      </c>
      <c r="C111" s="32">
        <f>IF($P111="","",INDEX(GL_Journal!$C:$C,$P111))</f>
        <v/>
      </c>
      <c r="D111" s="32">
        <f>IF($P111="","",INDEX(GL_Journal!$E:$E,$P111))</f>
        <v/>
      </c>
      <c r="E111" s="32">
        <f>IF($P111="","",INDEX(GL_Journal!$F:$F,$P111))</f>
        <v/>
      </c>
      <c r="F111" s="32">
        <f>IF($P111="","",INDEX(GL_Journal!$G:$G,$P111))</f>
        <v/>
      </c>
      <c r="G111" s="32">
        <f>IF($P111="","",INDEX(GL_Journal!$H:$H,$P111))</f>
        <v/>
      </c>
      <c r="H111" s="32">
        <f>IF($P111="","",INDEX(GL_Journal!$I:$I,$P111))</f>
        <v/>
      </c>
      <c r="I111" s="32">
        <f>IF($P111="","",INDEX(GL_Journal!$J:$J,$P111))</f>
        <v/>
      </c>
      <c r="J111" s="32">
        <f>IF($P111="","",INDEX(GL_Journal!$K:$K,$P111))</f>
        <v/>
      </c>
      <c r="K111" s="32">
        <f>IF($P111="","",INDEX(GL_Journal!$L:$L,$P111))</f>
        <v/>
      </c>
      <c r="L111" s="43">
        <f>IF($P111="","",INDEX(GL_Journal!$M:$M,$P111))</f>
        <v/>
      </c>
      <c r="M111" s="43">
        <f>IF($P111="","",INDEX(GL_Journal!$N:$N,$P111))</f>
        <v/>
      </c>
      <c r="N111" s="47">
        <f>IF($P111="","",IF($A111=1,LG_Open,$N110)+$L111-$M111)</f>
        <v/>
      </c>
      <c r="O111" s="32">
        <f>IF($A111&gt;COUNT(GL_Journal!$Y:$Y),"",SMALL(GL_Journal!$Y:$Y,$A111))</f>
        <v/>
      </c>
      <c r="P111" s="32">
        <f>IF($O111="","",MATCH($O111,GL_Journal!$Y:$Y,0))</f>
        <v/>
      </c>
      <c r="Q111" s="32" t="inlineStr"/>
    </row>
    <row r="112">
      <c r="A112" s="32">
        <f>ROW()-12</f>
        <v/>
      </c>
      <c r="B112" s="33">
        <f>IF($P112="","",INDEX(GL_Journal!$D:$D,$P112))</f>
        <v/>
      </c>
      <c r="C112" s="32">
        <f>IF($P112="","",INDEX(GL_Journal!$C:$C,$P112))</f>
        <v/>
      </c>
      <c r="D112" s="32">
        <f>IF($P112="","",INDEX(GL_Journal!$E:$E,$P112))</f>
        <v/>
      </c>
      <c r="E112" s="32">
        <f>IF($P112="","",INDEX(GL_Journal!$F:$F,$P112))</f>
        <v/>
      </c>
      <c r="F112" s="32">
        <f>IF($P112="","",INDEX(GL_Journal!$G:$G,$P112))</f>
        <v/>
      </c>
      <c r="G112" s="32">
        <f>IF($P112="","",INDEX(GL_Journal!$H:$H,$P112))</f>
        <v/>
      </c>
      <c r="H112" s="32">
        <f>IF($P112="","",INDEX(GL_Journal!$I:$I,$P112))</f>
        <v/>
      </c>
      <c r="I112" s="32">
        <f>IF($P112="","",INDEX(GL_Journal!$J:$J,$P112))</f>
        <v/>
      </c>
      <c r="J112" s="32">
        <f>IF($P112="","",INDEX(GL_Journal!$K:$K,$P112))</f>
        <v/>
      </c>
      <c r="K112" s="32">
        <f>IF($P112="","",INDEX(GL_Journal!$L:$L,$P112))</f>
        <v/>
      </c>
      <c r="L112" s="43">
        <f>IF($P112="","",INDEX(GL_Journal!$M:$M,$P112))</f>
        <v/>
      </c>
      <c r="M112" s="43">
        <f>IF($P112="","",INDEX(GL_Journal!$N:$N,$P112))</f>
        <v/>
      </c>
      <c r="N112" s="47">
        <f>IF($P112="","",IF($A112=1,LG_Open,$N111)+$L112-$M112)</f>
        <v/>
      </c>
      <c r="O112" s="32">
        <f>IF($A112&gt;COUNT(GL_Journal!$Y:$Y),"",SMALL(GL_Journal!$Y:$Y,$A112))</f>
        <v/>
      </c>
      <c r="P112" s="32">
        <f>IF($O112="","",MATCH($O112,GL_Journal!$Y:$Y,0))</f>
        <v/>
      </c>
      <c r="Q112" s="32" t="inlineStr"/>
    </row>
    <row r="113">
      <c r="A113" s="32">
        <f>ROW()-12</f>
        <v/>
      </c>
      <c r="B113" s="33">
        <f>IF($P113="","",INDEX(GL_Journal!$D:$D,$P113))</f>
        <v/>
      </c>
      <c r="C113" s="32">
        <f>IF($P113="","",INDEX(GL_Journal!$C:$C,$P113))</f>
        <v/>
      </c>
      <c r="D113" s="32">
        <f>IF($P113="","",INDEX(GL_Journal!$E:$E,$P113))</f>
        <v/>
      </c>
      <c r="E113" s="32">
        <f>IF($P113="","",INDEX(GL_Journal!$F:$F,$P113))</f>
        <v/>
      </c>
      <c r="F113" s="32">
        <f>IF($P113="","",INDEX(GL_Journal!$G:$G,$P113))</f>
        <v/>
      </c>
      <c r="G113" s="32">
        <f>IF($P113="","",INDEX(GL_Journal!$H:$H,$P113))</f>
        <v/>
      </c>
      <c r="H113" s="32">
        <f>IF($P113="","",INDEX(GL_Journal!$I:$I,$P113))</f>
        <v/>
      </c>
      <c r="I113" s="32">
        <f>IF($P113="","",INDEX(GL_Journal!$J:$J,$P113))</f>
        <v/>
      </c>
      <c r="J113" s="32">
        <f>IF($P113="","",INDEX(GL_Journal!$K:$K,$P113))</f>
        <v/>
      </c>
      <c r="K113" s="32">
        <f>IF($P113="","",INDEX(GL_Journal!$L:$L,$P113))</f>
        <v/>
      </c>
      <c r="L113" s="43">
        <f>IF($P113="","",INDEX(GL_Journal!$M:$M,$P113))</f>
        <v/>
      </c>
      <c r="M113" s="43">
        <f>IF($P113="","",INDEX(GL_Journal!$N:$N,$P113))</f>
        <v/>
      </c>
      <c r="N113" s="47">
        <f>IF($P113="","",IF($A113=1,LG_Open,$N112)+$L113-$M113)</f>
        <v/>
      </c>
      <c r="O113" s="32">
        <f>IF($A113&gt;COUNT(GL_Journal!$Y:$Y),"",SMALL(GL_Journal!$Y:$Y,$A113))</f>
        <v/>
      </c>
      <c r="P113" s="32">
        <f>IF($O113="","",MATCH($O113,GL_Journal!$Y:$Y,0))</f>
        <v/>
      </c>
      <c r="Q113" s="32" t="inlineStr"/>
    </row>
    <row r="114">
      <c r="A114" s="32">
        <f>ROW()-12</f>
        <v/>
      </c>
      <c r="B114" s="33">
        <f>IF($P114="","",INDEX(GL_Journal!$D:$D,$P114))</f>
        <v/>
      </c>
      <c r="C114" s="32">
        <f>IF($P114="","",INDEX(GL_Journal!$C:$C,$P114))</f>
        <v/>
      </c>
      <c r="D114" s="32">
        <f>IF($P114="","",INDEX(GL_Journal!$E:$E,$P114))</f>
        <v/>
      </c>
      <c r="E114" s="32">
        <f>IF($P114="","",INDEX(GL_Journal!$F:$F,$P114))</f>
        <v/>
      </c>
      <c r="F114" s="32">
        <f>IF($P114="","",INDEX(GL_Journal!$G:$G,$P114))</f>
        <v/>
      </c>
      <c r="G114" s="32">
        <f>IF($P114="","",INDEX(GL_Journal!$H:$H,$P114))</f>
        <v/>
      </c>
      <c r="H114" s="32">
        <f>IF($P114="","",INDEX(GL_Journal!$I:$I,$P114))</f>
        <v/>
      </c>
      <c r="I114" s="32">
        <f>IF($P114="","",INDEX(GL_Journal!$J:$J,$P114))</f>
        <v/>
      </c>
      <c r="J114" s="32">
        <f>IF($P114="","",INDEX(GL_Journal!$K:$K,$P114))</f>
        <v/>
      </c>
      <c r="K114" s="32">
        <f>IF($P114="","",INDEX(GL_Journal!$L:$L,$P114))</f>
        <v/>
      </c>
      <c r="L114" s="43">
        <f>IF($P114="","",INDEX(GL_Journal!$M:$M,$P114))</f>
        <v/>
      </c>
      <c r="M114" s="43">
        <f>IF($P114="","",INDEX(GL_Journal!$N:$N,$P114))</f>
        <v/>
      </c>
      <c r="N114" s="47">
        <f>IF($P114="","",IF($A114=1,LG_Open,$N113)+$L114-$M114)</f>
        <v/>
      </c>
      <c r="O114" s="32">
        <f>IF($A114&gt;COUNT(GL_Journal!$Y:$Y),"",SMALL(GL_Journal!$Y:$Y,$A114))</f>
        <v/>
      </c>
      <c r="P114" s="32">
        <f>IF($O114="","",MATCH($O114,GL_Journal!$Y:$Y,0))</f>
        <v/>
      </c>
      <c r="Q114" s="32" t="inlineStr"/>
    </row>
    <row r="115">
      <c r="A115" s="32">
        <f>ROW()-12</f>
        <v/>
      </c>
      <c r="B115" s="33">
        <f>IF($P115="","",INDEX(GL_Journal!$D:$D,$P115))</f>
        <v/>
      </c>
      <c r="C115" s="32">
        <f>IF($P115="","",INDEX(GL_Journal!$C:$C,$P115))</f>
        <v/>
      </c>
      <c r="D115" s="32">
        <f>IF($P115="","",INDEX(GL_Journal!$E:$E,$P115))</f>
        <v/>
      </c>
      <c r="E115" s="32">
        <f>IF($P115="","",INDEX(GL_Journal!$F:$F,$P115))</f>
        <v/>
      </c>
      <c r="F115" s="32">
        <f>IF($P115="","",INDEX(GL_Journal!$G:$G,$P115))</f>
        <v/>
      </c>
      <c r="G115" s="32">
        <f>IF($P115="","",INDEX(GL_Journal!$H:$H,$P115))</f>
        <v/>
      </c>
      <c r="H115" s="32">
        <f>IF($P115="","",INDEX(GL_Journal!$I:$I,$P115))</f>
        <v/>
      </c>
      <c r="I115" s="32">
        <f>IF($P115="","",INDEX(GL_Journal!$J:$J,$P115))</f>
        <v/>
      </c>
      <c r="J115" s="32">
        <f>IF($P115="","",INDEX(GL_Journal!$K:$K,$P115))</f>
        <v/>
      </c>
      <c r="K115" s="32">
        <f>IF($P115="","",INDEX(GL_Journal!$L:$L,$P115))</f>
        <v/>
      </c>
      <c r="L115" s="43">
        <f>IF($P115="","",INDEX(GL_Journal!$M:$M,$P115))</f>
        <v/>
      </c>
      <c r="M115" s="43">
        <f>IF($P115="","",INDEX(GL_Journal!$N:$N,$P115))</f>
        <v/>
      </c>
      <c r="N115" s="47">
        <f>IF($P115="","",IF($A115=1,LG_Open,$N114)+$L115-$M115)</f>
        <v/>
      </c>
      <c r="O115" s="32">
        <f>IF($A115&gt;COUNT(GL_Journal!$Y:$Y),"",SMALL(GL_Journal!$Y:$Y,$A115))</f>
        <v/>
      </c>
      <c r="P115" s="32">
        <f>IF($O115="","",MATCH($O115,GL_Journal!$Y:$Y,0))</f>
        <v/>
      </c>
      <c r="Q115" s="32" t="inlineStr"/>
    </row>
    <row r="116">
      <c r="A116" s="32">
        <f>ROW()-12</f>
        <v/>
      </c>
      <c r="B116" s="33">
        <f>IF($P116="","",INDEX(GL_Journal!$D:$D,$P116))</f>
        <v/>
      </c>
      <c r="C116" s="32">
        <f>IF($P116="","",INDEX(GL_Journal!$C:$C,$P116))</f>
        <v/>
      </c>
      <c r="D116" s="32">
        <f>IF($P116="","",INDEX(GL_Journal!$E:$E,$P116))</f>
        <v/>
      </c>
      <c r="E116" s="32">
        <f>IF($P116="","",INDEX(GL_Journal!$F:$F,$P116))</f>
        <v/>
      </c>
      <c r="F116" s="32">
        <f>IF($P116="","",INDEX(GL_Journal!$G:$G,$P116))</f>
        <v/>
      </c>
      <c r="G116" s="32">
        <f>IF($P116="","",INDEX(GL_Journal!$H:$H,$P116))</f>
        <v/>
      </c>
      <c r="H116" s="32">
        <f>IF($P116="","",INDEX(GL_Journal!$I:$I,$P116))</f>
        <v/>
      </c>
      <c r="I116" s="32">
        <f>IF($P116="","",INDEX(GL_Journal!$J:$J,$P116))</f>
        <v/>
      </c>
      <c r="J116" s="32">
        <f>IF($P116="","",INDEX(GL_Journal!$K:$K,$P116))</f>
        <v/>
      </c>
      <c r="K116" s="32">
        <f>IF($P116="","",INDEX(GL_Journal!$L:$L,$P116))</f>
        <v/>
      </c>
      <c r="L116" s="43">
        <f>IF($P116="","",INDEX(GL_Journal!$M:$M,$P116))</f>
        <v/>
      </c>
      <c r="M116" s="43">
        <f>IF($P116="","",INDEX(GL_Journal!$N:$N,$P116))</f>
        <v/>
      </c>
      <c r="N116" s="47">
        <f>IF($P116="","",IF($A116=1,LG_Open,$N115)+$L116-$M116)</f>
        <v/>
      </c>
      <c r="O116" s="32">
        <f>IF($A116&gt;COUNT(GL_Journal!$Y:$Y),"",SMALL(GL_Journal!$Y:$Y,$A116))</f>
        <v/>
      </c>
      <c r="P116" s="32">
        <f>IF($O116="","",MATCH($O116,GL_Journal!$Y:$Y,0))</f>
        <v/>
      </c>
      <c r="Q116" s="32" t="inlineStr"/>
    </row>
    <row r="117">
      <c r="A117" s="32">
        <f>ROW()-12</f>
        <v/>
      </c>
      <c r="B117" s="33">
        <f>IF($P117="","",INDEX(GL_Journal!$D:$D,$P117))</f>
        <v/>
      </c>
      <c r="C117" s="32">
        <f>IF($P117="","",INDEX(GL_Journal!$C:$C,$P117))</f>
        <v/>
      </c>
      <c r="D117" s="32">
        <f>IF($P117="","",INDEX(GL_Journal!$E:$E,$P117))</f>
        <v/>
      </c>
      <c r="E117" s="32">
        <f>IF($P117="","",INDEX(GL_Journal!$F:$F,$P117))</f>
        <v/>
      </c>
      <c r="F117" s="32">
        <f>IF($P117="","",INDEX(GL_Journal!$G:$G,$P117))</f>
        <v/>
      </c>
      <c r="G117" s="32">
        <f>IF($P117="","",INDEX(GL_Journal!$H:$H,$P117))</f>
        <v/>
      </c>
      <c r="H117" s="32">
        <f>IF($P117="","",INDEX(GL_Journal!$I:$I,$P117))</f>
        <v/>
      </c>
      <c r="I117" s="32">
        <f>IF($P117="","",INDEX(GL_Journal!$J:$J,$P117))</f>
        <v/>
      </c>
      <c r="J117" s="32">
        <f>IF($P117="","",INDEX(GL_Journal!$K:$K,$P117))</f>
        <v/>
      </c>
      <c r="K117" s="32">
        <f>IF($P117="","",INDEX(GL_Journal!$L:$L,$P117))</f>
        <v/>
      </c>
      <c r="L117" s="43">
        <f>IF($P117="","",INDEX(GL_Journal!$M:$M,$P117))</f>
        <v/>
      </c>
      <c r="M117" s="43">
        <f>IF($P117="","",INDEX(GL_Journal!$N:$N,$P117))</f>
        <v/>
      </c>
      <c r="N117" s="47">
        <f>IF($P117="","",IF($A117=1,LG_Open,$N116)+$L117-$M117)</f>
        <v/>
      </c>
      <c r="O117" s="32">
        <f>IF($A117&gt;COUNT(GL_Journal!$Y:$Y),"",SMALL(GL_Journal!$Y:$Y,$A117))</f>
        <v/>
      </c>
      <c r="P117" s="32">
        <f>IF($O117="","",MATCH($O117,GL_Journal!$Y:$Y,0))</f>
        <v/>
      </c>
      <c r="Q117" s="32" t="inlineStr"/>
    </row>
    <row r="118">
      <c r="A118" s="32">
        <f>ROW()-12</f>
        <v/>
      </c>
      <c r="B118" s="33">
        <f>IF($P118="","",INDEX(GL_Journal!$D:$D,$P118))</f>
        <v/>
      </c>
      <c r="C118" s="32">
        <f>IF($P118="","",INDEX(GL_Journal!$C:$C,$P118))</f>
        <v/>
      </c>
      <c r="D118" s="32">
        <f>IF($P118="","",INDEX(GL_Journal!$E:$E,$P118))</f>
        <v/>
      </c>
      <c r="E118" s="32">
        <f>IF($P118="","",INDEX(GL_Journal!$F:$F,$P118))</f>
        <v/>
      </c>
      <c r="F118" s="32">
        <f>IF($P118="","",INDEX(GL_Journal!$G:$G,$P118))</f>
        <v/>
      </c>
      <c r="G118" s="32">
        <f>IF($P118="","",INDEX(GL_Journal!$H:$H,$P118))</f>
        <v/>
      </c>
      <c r="H118" s="32">
        <f>IF($P118="","",INDEX(GL_Journal!$I:$I,$P118))</f>
        <v/>
      </c>
      <c r="I118" s="32">
        <f>IF($P118="","",INDEX(GL_Journal!$J:$J,$P118))</f>
        <v/>
      </c>
      <c r="J118" s="32">
        <f>IF($P118="","",INDEX(GL_Journal!$K:$K,$P118))</f>
        <v/>
      </c>
      <c r="K118" s="32">
        <f>IF($P118="","",INDEX(GL_Journal!$L:$L,$P118))</f>
        <v/>
      </c>
      <c r="L118" s="43">
        <f>IF($P118="","",INDEX(GL_Journal!$M:$M,$P118))</f>
        <v/>
      </c>
      <c r="M118" s="43">
        <f>IF($P118="","",INDEX(GL_Journal!$N:$N,$P118))</f>
        <v/>
      </c>
      <c r="N118" s="47">
        <f>IF($P118="","",IF($A118=1,LG_Open,$N117)+$L118-$M118)</f>
        <v/>
      </c>
      <c r="O118" s="32">
        <f>IF($A118&gt;COUNT(GL_Journal!$Y:$Y),"",SMALL(GL_Journal!$Y:$Y,$A118))</f>
        <v/>
      </c>
      <c r="P118" s="32">
        <f>IF($O118="","",MATCH($O118,GL_Journal!$Y:$Y,0))</f>
        <v/>
      </c>
      <c r="Q118" s="32" t="inlineStr"/>
    </row>
    <row r="119">
      <c r="A119" s="32">
        <f>ROW()-12</f>
        <v/>
      </c>
      <c r="B119" s="33">
        <f>IF($P119="","",INDEX(GL_Journal!$D:$D,$P119))</f>
        <v/>
      </c>
      <c r="C119" s="32">
        <f>IF($P119="","",INDEX(GL_Journal!$C:$C,$P119))</f>
        <v/>
      </c>
      <c r="D119" s="32">
        <f>IF($P119="","",INDEX(GL_Journal!$E:$E,$P119))</f>
        <v/>
      </c>
      <c r="E119" s="32">
        <f>IF($P119="","",INDEX(GL_Journal!$F:$F,$P119))</f>
        <v/>
      </c>
      <c r="F119" s="32">
        <f>IF($P119="","",INDEX(GL_Journal!$G:$G,$P119))</f>
        <v/>
      </c>
      <c r="G119" s="32">
        <f>IF($P119="","",INDEX(GL_Journal!$H:$H,$P119))</f>
        <v/>
      </c>
      <c r="H119" s="32">
        <f>IF($P119="","",INDEX(GL_Journal!$I:$I,$P119))</f>
        <v/>
      </c>
      <c r="I119" s="32">
        <f>IF($P119="","",INDEX(GL_Journal!$J:$J,$P119))</f>
        <v/>
      </c>
      <c r="J119" s="32">
        <f>IF($P119="","",INDEX(GL_Journal!$K:$K,$P119))</f>
        <v/>
      </c>
      <c r="K119" s="32">
        <f>IF($P119="","",INDEX(GL_Journal!$L:$L,$P119))</f>
        <v/>
      </c>
      <c r="L119" s="43">
        <f>IF($P119="","",INDEX(GL_Journal!$M:$M,$P119))</f>
        <v/>
      </c>
      <c r="M119" s="43">
        <f>IF($P119="","",INDEX(GL_Journal!$N:$N,$P119))</f>
        <v/>
      </c>
      <c r="N119" s="47">
        <f>IF($P119="","",IF($A119=1,LG_Open,$N118)+$L119-$M119)</f>
        <v/>
      </c>
      <c r="O119" s="32">
        <f>IF($A119&gt;COUNT(GL_Journal!$Y:$Y),"",SMALL(GL_Journal!$Y:$Y,$A119))</f>
        <v/>
      </c>
      <c r="P119" s="32">
        <f>IF($O119="","",MATCH($O119,GL_Journal!$Y:$Y,0))</f>
        <v/>
      </c>
      <c r="Q119" s="32" t="inlineStr"/>
    </row>
    <row r="120">
      <c r="A120" s="32">
        <f>ROW()-12</f>
        <v/>
      </c>
      <c r="B120" s="33">
        <f>IF($P120="","",INDEX(GL_Journal!$D:$D,$P120))</f>
        <v/>
      </c>
      <c r="C120" s="32">
        <f>IF($P120="","",INDEX(GL_Journal!$C:$C,$P120))</f>
        <v/>
      </c>
      <c r="D120" s="32">
        <f>IF($P120="","",INDEX(GL_Journal!$E:$E,$P120))</f>
        <v/>
      </c>
      <c r="E120" s="32">
        <f>IF($P120="","",INDEX(GL_Journal!$F:$F,$P120))</f>
        <v/>
      </c>
      <c r="F120" s="32">
        <f>IF($P120="","",INDEX(GL_Journal!$G:$G,$P120))</f>
        <v/>
      </c>
      <c r="G120" s="32">
        <f>IF($P120="","",INDEX(GL_Journal!$H:$H,$P120))</f>
        <v/>
      </c>
      <c r="H120" s="32">
        <f>IF($P120="","",INDEX(GL_Journal!$I:$I,$P120))</f>
        <v/>
      </c>
      <c r="I120" s="32">
        <f>IF($P120="","",INDEX(GL_Journal!$J:$J,$P120))</f>
        <v/>
      </c>
      <c r="J120" s="32">
        <f>IF($P120="","",INDEX(GL_Journal!$K:$K,$P120))</f>
        <v/>
      </c>
      <c r="K120" s="32">
        <f>IF($P120="","",INDEX(GL_Journal!$L:$L,$P120))</f>
        <v/>
      </c>
      <c r="L120" s="43">
        <f>IF($P120="","",INDEX(GL_Journal!$M:$M,$P120))</f>
        <v/>
      </c>
      <c r="M120" s="43">
        <f>IF($P120="","",INDEX(GL_Journal!$N:$N,$P120))</f>
        <v/>
      </c>
      <c r="N120" s="47">
        <f>IF($P120="","",IF($A120=1,LG_Open,$N119)+$L120-$M120)</f>
        <v/>
      </c>
      <c r="O120" s="32">
        <f>IF($A120&gt;COUNT(GL_Journal!$Y:$Y),"",SMALL(GL_Journal!$Y:$Y,$A120))</f>
        <v/>
      </c>
      <c r="P120" s="32">
        <f>IF($O120="","",MATCH($O120,GL_Journal!$Y:$Y,0))</f>
        <v/>
      </c>
      <c r="Q120" s="32" t="inlineStr"/>
    </row>
    <row r="121">
      <c r="A121" s="32">
        <f>ROW()-12</f>
        <v/>
      </c>
      <c r="B121" s="33">
        <f>IF($P121="","",INDEX(GL_Journal!$D:$D,$P121))</f>
        <v/>
      </c>
      <c r="C121" s="32">
        <f>IF($P121="","",INDEX(GL_Journal!$C:$C,$P121))</f>
        <v/>
      </c>
      <c r="D121" s="32">
        <f>IF($P121="","",INDEX(GL_Journal!$E:$E,$P121))</f>
        <v/>
      </c>
      <c r="E121" s="32">
        <f>IF($P121="","",INDEX(GL_Journal!$F:$F,$P121))</f>
        <v/>
      </c>
      <c r="F121" s="32">
        <f>IF($P121="","",INDEX(GL_Journal!$G:$G,$P121))</f>
        <v/>
      </c>
      <c r="G121" s="32">
        <f>IF($P121="","",INDEX(GL_Journal!$H:$H,$P121))</f>
        <v/>
      </c>
      <c r="H121" s="32">
        <f>IF($P121="","",INDEX(GL_Journal!$I:$I,$P121))</f>
        <v/>
      </c>
      <c r="I121" s="32">
        <f>IF($P121="","",INDEX(GL_Journal!$J:$J,$P121))</f>
        <v/>
      </c>
      <c r="J121" s="32">
        <f>IF($P121="","",INDEX(GL_Journal!$K:$K,$P121))</f>
        <v/>
      </c>
      <c r="K121" s="32">
        <f>IF($P121="","",INDEX(GL_Journal!$L:$L,$P121))</f>
        <v/>
      </c>
      <c r="L121" s="43">
        <f>IF($P121="","",INDEX(GL_Journal!$M:$M,$P121))</f>
        <v/>
      </c>
      <c r="M121" s="43">
        <f>IF($P121="","",INDEX(GL_Journal!$N:$N,$P121))</f>
        <v/>
      </c>
      <c r="N121" s="47">
        <f>IF($P121="","",IF($A121=1,LG_Open,$N120)+$L121-$M121)</f>
        <v/>
      </c>
      <c r="O121" s="32">
        <f>IF($A121&gt;COUNT(GL_Journal!$Y:$Y),"",SMALL(GL_Journal!$Y:$Y,$A121))</f>
        <v/>
      </c>
      <c r="P121" s="32">
        <f>IF($O121="","",MATCH($O121,GL_Journal!$Y:$Y,0))</f>
        <v/>
      </c>
      <c r="Q121" s="32" t="inlineStr"/>
    </row>
    <row r="122">
      <c r="A122" s="32">
        <f>ROW()-12</f>
        <v/>
      </c>
      <c r="B122" s="33">
        <f>IF($P122="","",INDEX(GL_Journal!$D:$D,$P122))</f>
        <v/>
      </c>
      <c r="C122" s="32">
        <f>IF($P122="","",INDEX(GL_Journal!$C:$C,$P122))</f>
        <v/>
      </c>
      <c r="D122" s="32">
        <f>IF($P122="","",INDEX(GL_Journal!$E:$E,$P122))</f>
        <v/>
      </c>
      <c r="E122" s="32">
        <f>IF($P122="","",INDEX(GL_Journal!$F:$F,$P122))</f>
        <v/>
      </c>
      <c r="F122" s="32">
        <f>IF($P122="","",INDEX(GL_Journal!$G:$G,$P122))</f>
        <v/>
      </c>
      <c r="G122" s="32">
        <f>IF($P122="","",INDEX(GL_Journal!$H:$H,$P122))</f>
        <v/>
      </c>
      <c r="H122" s="32">
        <f>IF($P122="","",INDEX(GL_Journal!$I:$I,$P122))</f>
        <v/>
      </c>
      <c r="I122" s="32">
        <f>IF($P122="","",INDEX(GL_Journal!$J:$J,$P122))</f>
        <v/>
      </c>
      <c r="J122" s="32">
        <f>IF($P122="","",INDEX(GL_Journal!$K:$K,$P122))</f>
        <v/>
      </c>
      <c r="K122" s="32">
        <f>IF($P122="","",INDEX(GL_Journal!$L:$L,$P122))</f>
        <v/>
      </c>
      <c r="L122" s="43">
        <f>IF($P122="","",INDEX(GL_Journal!$M:$M,$P122))</f>
        <v/>
      </c>
      <c r="M122" s="43">
        <f>IF($P122="","",INDEX(GL_Journal!$N:$N,$P122))</f>
        <v/>
      </c>
      <c r="N122" s="47">
        <f>IF($P122="","",IF($A122=1,LG_Open,$N121)+$L122-$M122)</f>
        <v/>
      </c>
      <c r="O122" s="32">
        <f>IF($A122&gt;COUNT(GL_Journal!$Y:$Y),"",SMALL(GL_Journal!$Y:$Y,$A122))</f>
        <v/>
      </c>
      <c r="P122" s="32">
        <f>IF($O122="","",MATCH($O122,GL_Journal!$Y:$Y,0))</f>
        <v/>
      </c>
      <c r="Q122" s="32" t="inlineStr"/>
    </row>
    <row r="123">
      <c r="A123" s="32">
        <f>ROW()-12</f>
        <v/>
      </c>
      <c r="B123" s="33">
        <f>IF($P123="","",INDEX(GL_Journal!$D:$D,$P123))</f>
        <v/>
      </c>
      <c r="C123" s="32">
        <f>IF($P123="","",INDEX(GL_Journal!$C:$C,$P123))</f>
        <v/>
      </c>
      <c r="D123" s="32">
        <f>IF($P123="","",INDEX(GL_Journal!$E:$E,$P123))</f>
        <v/>
      </c>
      <c r="E123" s="32">
        <f>IF($P123="","",INDEX(GL_Journal!$F:$F,$P123))</f>
        <v/>
      </c>
      <c r="F123" s="32">
        <f>IF($P123="","",INDEX(GL_Journal!$G:$G,$P123))</f>
        <v/>
      </c>
      <c r="G123" s="32">
        <f>IF($P123="","",INDEX(GL_Journal!$H:$H,$P123))</f>
        <v/>
      </c>
      <c r="H123" s="32">
        <f>IF($P123="","",INDEX(GL_Journal!$I:$I,$P123))</f>
        <v/>
      </c>
      <c r="I123" s="32">
        <f>IF($P123="","",INDEX(GL_Journal!$J:$J,$P123))</f>
        <v/>
      </c>
      <c r="J123" s="32">
        <f>IF($P123="","",INDEX(GL_Journal!$K:$K,$P123))</f>
        <v/>
      </c>
      <c r="K123" s="32">
        <f>IF($P123="","",INDEX(GL_Journal!$L:$L,$P123))</f>
        <v/>
      </c>
      <c r="L123" s="43">
        <f>IF($P123="","",INDEX(GL_Journal!$M:$M,$P123))</f>
        <v/>
      </c>
      <c r="M123" s="43">
        <f>IF($P123="","",INDEX(GL_Journal!$N:$N,$P123))</f>
        <v/>
      </c>
      <c r="N123" s="47">
        <f>IF($P123="","",IF($A123=1,LG_Open,$N122)+$L123-$M123)</f>
        <v/>
      </c>
      <c r="O123" s="32">
        <f>IF($A123&gt;COUNT(GL_Journal!$Y:$Y),"",SMALL(GL_Journal!$Y:$Y,$A123))</f>
        <v/>
      </c>
      <c r="P123" s="32">
        <f>IF($O123="","",MATCH($O123,GL_Journal!$Y:$Y,0))</f>
        <v/>
      </c>
      <c r="Q123" s="32" t="inlineStr"/>
    </row>
    <row r="124">
      <c r="A124" s="32">
        <f>ROW()-12</f>
        <v/>
      </c>
      <c r="B124" s="33">
        <f>IF($P124="","",INDEX(GL_Journal!$D:$D,$P124))</f>
        <v/>
      </c>
      <c r="C124" s="32">
        <f>IF($P124="","",INDEX(GL_Journal!$C:$C,$P124))</f>
        <v/>
      </c>
      <c r="D124" s="32">
        <f>IF($P124="","",INDEX(GL_Journal!$E:$E,$P124))</f>
        <v/>
      </c>
      <c r="E124" s="32">
        <f>IF($P124="","",INDEX(GL_Journal!$F:$F,$P124))</f>
        <v/>
      </c>
      <c r="F124" s="32">
        <f>IF($P124="","",INDEX(GL_Journal!$G:$G,$P124))</f>
        <v/>
      </c>
      <c r="G124" s="32">
        <f>IF($P124="","",INDEX(GL_Journal!$H:$H,$P124))</f>
        <v/>
      </c>
      <c r="H124" s="32">
        <f>IF($P124="","",INDEX(GL_Journal!$I:$I,$P124))</f>
        <v/>
      </c>
      <c r="I124" s="32">
        <f>IF($P124="","",INDEX(GL_Journal!$J:$J,$P124))</f>
        <v/>
      </c>
      <c r="J124" s="32">
        <f>IF($P124="","",INDEX(GL_Journal!$K:$K,$P124))</f>
        <v/>
      </c>
      <c r="K124" s="32">
        <f>IF($P124="","",INDEX(GL_Journal!$L:$L,$P124))</f>
        <v/>
      </c>
      <c r="L124" s="43">
        <f>IF($P124="","",INDEX(GL_Journal!$M:$M,$P124))</f>
        <v/>
      </c>
      <c r="M124" s="43">
        <f>IF($P124="","",INDEX(GL_Journal!$N:$N,$P124))</f>
        <v/>
      </c>
      <c r="N124" s="47">
        <f>IF($P124="","",IF($A124=1,LG_Open,$N123)+$L124-$M124)</f>
        <v/>
      </c>
      <c r="O124" s="32">
        <f>IF($A124&gt;COUNT(GL_Journal!$Y:$Y),"",SMALL(GL_Journal!$Y:$Y,$A124))</f>
        <v/>
      </c>
      <c r="P124" s="32">
        <f>IF($O124="","",MATCH($O124,GL_Journal!$Y:$Y,0))</f>
        <v/>
      </c>
      <c r="Q124" s="32" t="inlineStr"/>
    </row>
    <row r="125">
      <c r="A125" s="32">
        <f>ROW()-12</f>
        <v/>
      </c>
      <c r="B125" s="33">
        <f>IF($P125="","",INDEX(GL_Journal!$D:$D,$P125))</f>
        <v/>
      </c>
      <c r="C125" s="32">
        <f>IF($P125="","",INDEX(GL_Journal!$C:$C,$P125))</f>
        <v/>
      </c>
      <c r="D125" s="32">
        <f>IF($P125="","",INDEX(GL_Journal!$E:$E,$P125))</f>
        <v/>
      </c>
      <c r="E125" s="32">
        <f>IF($P125="","",INDEX(GL_Journal!$F:$F,$P125))</f>
        <v/>
      </c>
      <c r="F125" s="32">
        <f>IF($P125="","",INDEX(GL_Journal!$G:$G,$P125))</f>
        <v/>
      </c>
      <c r="G125" s="32">
        <f>IF($P125="","",INDEX(GL_Journal!$H:$H,$P125))</f>
        <v/>
      </c>
      <c r="H125" s="32">
        <f>IF($P125="","",INDEX(GL_Journal!$I:$I,$P125))</f>
        <v/>
      </c>
      <c r="I125" s="32">
        <f>IF($P125="","",INDEX(GL_Journal!$J:$J,$P125))</f>
        <v/>
      </c>
      <c r="J125" s="32">
        <f>IF($P125="","",INDEX(GL_Journal!$K:$K,$P125))</f>
        <v/>
      </c>
      <c r="K125" s="32">
        <f>IF($P125="","",INDEX(GL_Journal!$L:$L,$P125))</f>
        <v/>
      </c>
      <c r="L125" s="43">
        <f>IF($P125="","",INDEX(GL_Journal!$M:$M,$P125))</f>
        <v/>
      </c>
      <c r="M125" s="43">
        <f>IF($P125="","",INDEX(GL_Journal!$N:$N,$P125))</f>
        <v/>
      </c>
      <c r="N125" s="47">
        <f>IF($P125="","",IF($A125=1,LG_Open,$N124)+$L125-$M125)</f>
        <v/>
      </c>
      <c r="O125" s="32">
        <f>IF($A125&gt;COUNT(GL_Journal!$Y:$Y),"",SMALL(GL_Journal!$Y:$Y,$A125))</f>
        <v/>
      </c>
      <c r="P125" s="32">
        <f>IF($O125="","",MATCH($O125,GL_Journal!$Y:$Y,0))</f>
        <v/>
      </c>
      <c r="Q125" s="32" t="inlineStr"/>
    </row>
    <row r="126">
      <c r="A126" s="32">
        <f>ROW()-12</f>
        <v/>
      </c>
      <c r="B126" s="33">
        <f>IF($P126="","",INDEX(GL_Journal!$D:$D,$P126))</f>
        <v/>
      </c>
      <c r="C126" s="32">
        <f>IF($P126="","",INDEX(GL_Journal!$C:$C,$P126))</f>
        <v/>
      </c>
      <c r="D126" s="32">
        <f>IF($P126="","",INDEX(GL_Journal!$E:$E,$P126))</f>
        <v/>
      </c>
      <c r="E126" s="32">
        <f>IF($P126="","",INDEX(GL_Journal!$F:$F,$P126))</f>
        <v/>
      </c>
      <c r="F126" s="32">
        <f>IF($P126="","",INDEX(GL_Journal!$G:$G,$P126))</f>
        <v/>
      </c>
      <c r="G126" s="32">
        <f>IF($P126="","",INDEX(GL_Journal!$H:$H,$P126))</f>
        <v/>
      </c>
      <c r="H126" s="32">
        <f>IF($P126="","",INDEX(GL_Journal!$I:$I,$P126))</f>
        <v/>
      </c>
      <c r="I126" s="32">
        <f>IF($P126="","",INDEX(GL_Journal!$J:$J,$P126))</f>
        <v/>
      </c>
      <c r="J126" s="32">
        <f>IF($P126="","",INDEX(GL_Journal!$K:$K,$P126))</f>
        <v/>
      </c>
      <c r="K126" s="32">
        <f>IF($P126="","",INDEX(GL_Journal!$L:$L,$P126))</f>
        <v/>
      </c>
      <c r="L126" s="43">
        <f>IF($P126="","",INDEX(GL_Journal!$M:$M,$P126))</f>
        <v/>
      </c>
      <c r="M126" s="43">
        <f>IF($P126="","",INDEX(GL_Journal!$N:$N,$P126))</f>
        <v/>
      </c>
      <c r="N126" s="47">
        <f>IF($P126="","",IF($A126=1,LG_Open,$N125)+$L126-$M126)</f>
        <v/>
      </c>
      <c r="O126" s="32">
        <f>IF($A126&gt;COUNT(GL_Journal!$Y:$Y),"",SMALL(GL_Journal!$Y:$Y,$A126))</f>
        <v/>
      </c>
      <c r="P126" s="32">
        <f>IF($O126="","",MATCH($O126,GL_Journal!$Y:$Y,0))</f>
        <v/>
      </c>
      <c r="Q126" s="32" t="inlineStr"/>
    </row>
    <row r="127">
      <c r="A127" s="32">
        <f>ROW()-12</f>
        <v/>
      </c>
      <c r="B127" s="33">
        <f>IF($P127="","",INDEX(GL_Journal!$D:$D,$P127))</f>
        <v/>
      </c>
      <c r="C127" s="32">
        <f>IF($P127="","",INDEX(GL_Journal!$C:$C,$P127))</f>
        <v/>
      </c>
      <c r="D127" s="32">
        <f>IF($P127="","",INDEX(GL_Journal!$E:$E,$P127))</f>
        <v/>
      </c>
      <c r="E127" s="32">
        <f>IF($P127="","",INDEX(GL_Journal!$F:$F,$P127))</f>
        <v/>
      </c>
      <c r="F127" s="32">
        <f>IF($P127="","",INDEX(GL_Journal!$G:$G,$P127))</f>
        <v/>
      </c>
      <c r="G127" s="32">
        <f>IF($P127="","",INDEX(GL_Journal!$H:$H,$P127))</f>
        <v/>
      </c>
      <c r="H127" s="32">
        <f>IF($P127="","",INDEX(GL_Journal!$I:$I,$P127))</f>
        <v/>
      </c>
      <c r="I127" s="32">
        <f>IF($P127="","",INDEX(GL_Journal!$J:$J,$P127))</f>
        <v/>
      </c>
      <c r="J127" s="32">
        <f>IF($P127="","",INDEX(GL_Journal!$K:$K,$P127))</f>
        <v/>
      </c>
      <c r="K127" s="32">
        <f>IF($P127="","",INDEX(GL_Journal!$L:$L,$P127))</f>
        <v/>
      </c>
      <c r="L127" s="43">
        <f>IF($P127="","",INDEX(GL_Journal!$M:$M,$P127))</f>
        <v/>
      </c>
      <c r="M127" s="43">
        <f>IF($P127="","",INDEX(GL_Journal!$N:$N,$P127))</f>
        <v/>
      </c>
      <c r="N127" s="47">
        <f>IF($P127="","",IF($A127=1,LG_Open,$N126)+$L127-$M127)</f>
        <v/>
      </c>
      <c r="O127" s="32">
        <f>IF($A127&gt;COUNT(GL_Journal!$Y:$Y),"",SMALL(GL_Journal!$Y:$Y,$A127))</f>
        <v/>
      </c>
      <c r="P127" s="32">
        <f>IF($O127="","",MATCH($O127,GL_Journal!$Y:$Y,0))</f>
        <v/>
      </c>
      <c r="Q127" s="32" t="inlineStr"/>
    </row>
    <row r="128">
      <c r="A128" s="32">
        <f>ROW()-12</f>
        <v/>
      </c>
      <c r="B128" s="33">
        <f>IF($P128="","",INDEX(GL_Journal!$D:$D,$P128))</f>
        <v/>
      </c>
      <c r="C128" s="32">
        <f>IF($P128="","",INDEX(GL_Journal!$C:$C,$P128))</f>
        <v/>
      </c>
      <c r="D128" s="32">
        <f>IF($P128="","",INDEX(GL_Journal!$E:$E,$P128))</f>
        <v/>
      </c>
      <c r="E128" s="32">
        <f>IF($P128="","",INDEX(GL_Journal!$F:$F,$P128))</f>
        <v/>
      </c>
      <c r="F128" s="32">
        <f>IF($P128="","",INDEX(GL_Journal!$G:$G,$P128))</f>
        <v/>
      </c>
      <c r="G128" s="32">
        <f>IF($P128="","",INDEX(GL_Journal!$H:$H,$P128))</f>
        <v/>
      </c>
      <c r="H128" s="32">
        <f>IF($P128="","",INDEX(GL_Journal!$I:$I,$P128))</f>
        <v/>
      </c>
      <c r="I128" s="32">
        <f>IF($P128="","",INDEX(GL_Journal!$J:$J,$P128))</f>
        <v/>
      </c>
      <c r="J128" s="32">
        <f>IF($P128="","",INDEX(GL_Journal!$K:$K,$P128))</f>
        <v/>
      </c>
      <c r="K128" s="32">
        <f>IF($P128="","",INDEX(GL_Journal!$L:$L,$P128))</f>
        <v/>
      </c>
      <c r="L128" s="43">
        <f>IF($P128="","",INDEX(GL_Journal!$M:$M,$P128))</f>
        <v/>
      </c>
      <c r="M128" s="43">
        <f>IF($P128="","",INDEX(GL_Journal!$N:$N,$P128))</f>
        <v/>
      </c>
      <c r="N128" s="47">
        <f>IF($P128="","",IF($A128=1,LG_Open,$N127)+$L128-$M128)</f>
        <v/>
      </c>
      <c r="O128" s="32">
        <f>IF($A128&gt;COUNT(GL_Journal!$Y:$Y),"",SMALL(GL_Journal!$Y:$Y,$A128))</f>
        <v/>
      </c>
      <c r="P128" s="32">
        <f>IF($O128="","",MATCH($O128,GL_Journal!$Y:$Y,0))</f>
        <v/>
      </c>
      <c r="Q128" s="32" t="inlineStr"/>
    </row>
    <row r="129">
      <c r="A129" s="32">
        <f>ROW()-12</f>
        <v/>
      </c>
      <c r="B129" s="33">
        <f>IF($P129="","",INDEX(GL_Journal!$D:$D,$P129))</f>
        <v/>
      </c>
      <c r="C129" s="32">
        <f>IF($P129="","",INDEX(GL_Journal!$C:$C,$P129))</f>
        <v/>
      </c>
      <c r="D129" s="32">
        <f>IF($P129="","",INDEX(GL_Journal!$E:$E,$P129))</f>
        <v/>
      </c>
      <c r="E129" s="32">
        <f>IF($P129="","",INDEX(GL_Journal!$F:$F,$P129))</f>
        <v/>
      </c>
      <c r="F129" s="32">
        <f>IF($P129="","",INDEX(GL_Journal!$G:$G,$P129))</f>
        <v/>
      </c>
      <c r="G129" s="32">
        <f>IF($P129="","",INDEX(GL_Journal!$H:$H,$P129))</f>
        <v/>
      </c>
      <c r="H129" s="32">
        <f>IF($P129="","",INDEX(GL_Journal!$I:$I,$P129))</f>
        <v/>
      </c>
      <c r="I129" s="32">
        <f>IF($P129="","",INDEX(GL_Journal!$J:$J,$P129))</f>
        <v/>
      </c>
      <c r="J129" s="32">
        <f>IF($P129="","",INDEX(GL_Journal!$K:$K,$P129))</f>
        <v/>
      </c>
      <c r="K129" s="32">
        <f>IF($P129="","",INDEX(GL_Journal!$L:$L,$P129))</f>
        <v/>
      </c>
      <c r="L129" s="43">
        <f>IF($P129="","",INDEX(GL_Journal!$M:$M,$P129))</f>
        <v/>
      </c>
      <c r="M129" s="43">
        <f>IF($P129="","",INDEX(GL_Journal!$N:$N,$P129))</f>
        <v/>
      </c>
      <c r="N129" s="47">
        <f>IF($P129="","",IF($A129=1,LG_Open,$N128)+$L129-$M129)</f>
        <v/>
      </c>
      <c r="O129" s="32">
        <f>IF($A129&gt;COUNT(GL_Journal!$Y:$Y),"",SMALL(GL_Journal!$Y:$Y,$A129))</f>
        <v/>
      </c>
      <c r="P129" s="32">
        <f>IF($O129="","",MATCH($O129,GL_Journal!$Y:$Y,0))</f>
        <v/>
      </c>
      <c r="Q129" s="32" t="inlineStr"/>
    </row>
    <row r="130">
      <c r="A130" s="32">
        <f>ROW()-12</f>
        <v/>
      </c>
      <c r="B130" s="33">
        <f>IF($P130="","",INDEX(GL_Journal!$D:$D,$P130))</f>
        <v/>
      </c>
      <c r="C130" s="32">
        <f>IF($P130="","",INDEX(GL_Journal!$C:$C,$P130))</f>
        <v/>
      </c>
      <c r="D130" s="32">
        <f>IF($P130="","",INDEX(GL_Journal!$E:$E,$P130))</f>
        <v/>
      </c>
      <c r="E130" s="32">
        <f>IF($P130="","",INDEX(GL_Journal!$F:$F,$P130))</f>
        <v/>
      </c>
      <c r="F130" s="32">
        <f>IF($P130="","",INDEX(GL_Journal!$G:$G,$P130))</f>
        <v/>
      </c>
      <c r="G130" s="32">
        <f>IF($P130="","",INDEX(GL_Journal!$H:$H,$P130))</f>
        <v/>
      </c>
      <c r="H130" s="32">
        <f>IF($P130="","",INDEX(GL_Journal!$I:$I,$P130))</f>
        <v/>
      </c>
      <c r="I130" s="32">
        <f>IF($P130="","",INDEX(GL_Journal!$J:$J,$P130))</f>
        <v/>
      </c>
      <c r="J130" s="32">
        <f>IF($P130="","",INDEX(GL_Journal!$K:$K,$P130))</f>
        <v/>
      </c>
      <c r="K130" s="32">
        <f>IF($P130="","",INDEX(GL_Journal!$L:$L,$P130))</f>
        <v/>
      </c>
      <c r="L130" s="43">
        <f>IF($P130="","",INDEX(GL_Journal!$M:$M,$P130))</f>
        <v/>
      </c>
      <c r="M130" s="43">
        <f>IF($P130="","",INDEX(GL_Journal!$N:$N,$P130))</f>
        <v/>
      </c>
      <c r="N130" s="47">
        <f>IF($P130="","",IF($A130=1,LG_Open,$N129)+$L130-$M130)</f>
        <v/>
      </c>
      <c r="O130" s="32">
        <f>IF($A130&gt;COUNT(GL_Journal!$Y:$Y),"",SMALL(GL_Journal!$Y:$Y,$A130))</f>
        <v/>
      </c>
      <c r="P130" s="32">
        <f>IF($O130="","",MATCH($O130,GL_Journal!$Y:$Y,0))</f>
        <v/>
      </c>
      <c r="Q130" s="32" t="inlineStr"/>
    </row>
    <row r="131">
      <c r="A131" s="32">
        <f>ROW()-12</f>
        <v/>
      </c>
      <c r="B131" s="33">
        <f>IF($P131="","",INDEX(GL_Journal!$D:$D,$P131))</f>
        <v/>
      </c>
      <c r="C131" s="32">
        <f>IF($P131="","",INDEX(GL_Journal!$C:$C,$P131))</f>
        <v/>
      </c>
      <c r="D131" s="32">
        <f>IF($P131="","",INDEX(GL_Journal!$E:$E,$P131))</f>
        <v/>
      </c>
      <c r="E131" s="32">
        <f>IF($P131="","",INDEX(GL_Journal!$F:$F,$P131))</f>
        <v/>
      </c>
      <c r="F131" s="32">
        <f>IF($P131="","",INDEX(GL_Journal!$G:$G,$P131))</f>
        <v/>
      </c>
      <c r="G131" s="32">
        <f>IF($P131="","",INDEX(GL_Journal!$H:$H,$P131))</f>
        <v/>
      </c>
      <c r="H131" s="32">
        <f>IF($P131="","",INDEX(GL_Journal!$I:$I,$P131))</f>
        <v/>
      </c>
      <c r="I131" s="32">
        <f>IF($P131="","",INDEX(GL_Journal!$J:$J,$P131))</f>
        <v/>
      </c>
      <c r="J131" s="32">
        <f>IF($P131="","",INDEX(GL_Journal!$K:$K,$P131))</f>
        <v/>
      </c>
      <c r="K131" s="32">
        <f>IF($P131="","",INDEX(GL_Journal!$L:$L,$P131))</f>
        <v/>
      </c>
      <c r="L131" s="43">
        <f>IF($P131="","",INDEX(GL_Journal!$M:$M,$P131))</f>
        <v/>
      </c>
      <c r="M131" s="43">
        <f>IF($P131="","",INDEX(GL_Journal!$N:$N,$P131))</f>
        <v/>
      </c>
      <c r="N131" s="47">
        <f>IF($P131="","",IF($A131=1,LG_Open,$N130)+$L131-$M131)</f>
        <v/>
      </c>
      <c r="O131" s="32">
        <f>IF($A131&gt;COUNT(GL_Journal!$Y:$Y),"",SMALL(GL_Journal!$Y:$Y,$A131))</f>
        <v/>
      </c>
      <c r="P131" s="32">
        <f>IF($O131="","",MATCH($O131,GL_Journal!$Y:$Y,0))</f>
        <v/>
      </c>
      <c r="Q131" s="32" t="inlineStr"/>
    </row>
    <row r="132">
      <c r="A132" s="32">
        <f>ROW()-12</f>
        <v/>
      </c>
      <c r="B132" s="33">
        <f>IF($P132="","",INDEX(GL_Journal!$D:$D,$P132))</f>
        <v/>
      </c>
      <c r="C132" s="32">
        <f>IF($P132="","",INDEX(GL_Journal!$C:$C,$P132))</f>
        <v/>
      </c>
      <c r="D132" s="32">
        <f>IF($P132="","",INDEX(GL_Journal!$E:$E,$P132))</f>
        <v/>
      </c>
      <c r="E132" s="32">
        <f>IF($P132="","",INDEX(GL_Journal!$F:$F,$P132))</f>
        <v/>
      </c>
      <c r="F132" s="32">
        <f>IF($P132="","",INDEX(GL_Journal!$G:$G,$P132))</f>
        <v/>
      </c>
      <c r="G132" s="32">
        <f>IF($P132="","",INDEX(GL_Journal!$H:$H,$P132))</f>
        <v/>
      </c>
      <c r="H132" s="32">
        <f>IF($P132="","",INDEX(GL_Journal!$I:$I,$P132))</f>
        <v/>
      </c>
      <c r="I132" s="32">
        <f>IF($P132="","",INDEX(GL_Journal!$J:$J,$P132))</f>
        <v/>
      </c>
      <c r="J132" s="32">
        <f>IF($P132="","",INDEX(GL_Journal!$K:$K,$P132))</f>
        <v/>
      </c>
      <c r="K132" s="32">
        <f>IF($P132="","",INDEX(GL_Journal!$L:$L,$P132))</f>
        <v/>
      </c>
      <c r="L132" s="43">
        <f>IF($P132="","",INDEX(GL_Journal!$M:$M,$P132))</f>
        <v/>
      </c>
      <c r="M132" s="43">
        <f>IF($P132="","",INDEX(GL_Journal!$N:$N,$P132))</f>
        <v/>
      </c>
      <c r="N132" s="47">
        <f>IF($P132="","",IF($A132=1,LG_Open,$N131)+$L132-$M132)</f>
        <v/>
      </c>
      <c r="O132" s="32">
        <f>IF($A132&gt;COUNT(GL_Journal!$Y:$Y),"",SMALL(GL_Journal!$Y:$Y,$A132))</f>
        <v/>
      </c>
      <c r="P132" s="32">
        <f>IF($O132="","",MATCH($O132,GL_Journal!$Y:$Y,0))</f>
        <v/>
      </c>
      <c r="Q132" s="32" t="inlineStr"/>
    </row>
    <row r="133">
      <c r="A133" s="32">
        <f>ROW()-12</f>
        <v/>
      </c>
      <c r="B133" s="33">
        <f>IF($P133="","",INDEX(GL_Journal!$D:$D,$P133))</f>
        <v/>
      </c>
      <c r="C133" s="32">
        <f>IF($P133="","",INDEX(GL_Journal!$C:$C,$P133))</f>
        <v/>
      </c>
      <c r="D133" s="32">
        <f>IF($P133="","",INDEX(GL_Journal!$E:$E,$P133))</f>
        <v/>
      </c>
      <c r="E133" s="32">
        <f>IF($P133="","",INDEX(GL_Journal!$F:$F,$P133))</f>
        <v/>
      </c>
      <c r="F133" s="32">
        <f>IF($P133="","",INDEX(GL_Journal!$G:$G,$P133))</f>
        <v/>
      </c>
      <c r="G133" s="32">
        <f>IF($P133="","",INDEX(GL_Journal!$H:$H,$P133))</f>
        <v/>
      </c>
      <c r="H133" s="32">
        <f>IF($P133="","",INDEX(GL_Journal!$I:$I,$P133))</f>
        <v/>
      </c>
      <c r="I133" s="32">
        <f>IF($P133="","",INDEX(GL_Journal!$J:$J,$P133))</f>
        <v/>
      </c>
      <c r="J133" s="32">
        <f>IF($P133="","",INDEX(GL_Journal!$K:$K,$P133))</f>
        <v/>
      </c>
      <c r="K133" s="32">
        <f>IF($P133="","",INDEX(GL_Journal!$L:$L,$P133))</f>
        <v/>
      </c>
      <c r="L133" s="43">
        <f>IF($P133="","",INDEX(GL_Journal!$M:$M,$P133))</f>
        <v/>
      </c>
      <c r="M133" s="43">
        <f>IF($P133="","",INDEX(GL_Journal!$N:$N,$P133))</f>
        <v/>
      </c>
      <c r="N133" s="47">
        <f>IF($P133="","",IF($A133=1,LG_Open,$N132)+$L133-$M133)</f>
        <v/>
      </c>
      <c r="O133" s="32">
        <f>IF($A133&gt;COUNT(GL_Journal!$Y:$Y),"",SMALL(GL_Journal!$Y:$Y,$A133))</f>
        <v/>
      </c>
      <c r="P133" s="32">
        <f>IF($O133="","",MATCH($O133,GL_Journal!$Y:$Y,0))</f>
        <v/>
      </c>
      <c r="Q133" s="32" t="inlineStr"/>
    </row>
    <row r="134">
      <c r="A134" s="32">
        <f>ROW()-12</f>
        <v/>
      </c>
      <c r="B134" s="33">
        <f>IF($P134="","",INDEX(GL_Journal!$D:$D,$P134))</f>
        <v/>
      </c>
      <c r="C134" s="32">
        <f>IF($P134="","",INDEX(GL_Journal!$C:$C,$P134))</f>
        <v/>
      </c>
      <c r="D134" s="32">
        <f>IF($P134="","",INDEX(GL_Journal!$E:$E,$P134))</f>
        <v/>
      </c>
      <c r="E134" s="32">
        <f>IF($P134="","",INDEX(GL_Journal!$F:$F,$P134))</f>
        <v/>
      </c>
      <c r="F134" s="32">
        <f>IF($P134="","",INDEX(GL_Journal!$G:$G,$P134))</f>
        <v/>
      </c>
      <c r="G134" s="32">
        <f>IF($P134="","",INDEX(GL_Journal!$H:$H,$P134))</f>
        <v/>
      </c>
      <c r="H134" s="32">
        <f>IF($P134="","",INDEX(GL_Journal!$I:$I,$P134))</f>
        <v/>
      </c>
      <c r="I134" s="32">
        <f>IF($P134="","",INDEX(GL_Journal!$J:$J,$P134))</f>
        <v/>
      </c>
      <c r="J134" s="32">
        <f>IF($P134="","",INDEX(GL_Journal!$K:$K,$P134))</f>
        <v/>
      </c>
      <c r="K134" s="32">
        <f>IF($P134="","",INDEX(GL_Journal!$L:$L,$P134))</f>
        <v/>
      </c>
      <c r="L134" s="43">
        <f>IF($P134="","",INDEX(GL_Journal!$M:$M,$P134))</f>
        <v/>
      </c>
      <c r="M134" s="43">
        <f>IF($P134="","",INDEX(GL_Journal!$N:$N,$P134))</f>
        <v/>
      </c>
      <c r="N134" s="47">
        <f>IF($P134="","",IF($A134=1,LG_Open,$N133)+$L134-$M134)</f>
        <v/>
      </c>
      <c r="O134" s="32">
        <f>IF($A134&gt;COUNT(GL_Journal!$Y:$Y),"",SMALL(GL_Journal!$Y:$Y,$A134))</f>
        <v/>
      </c>
      <c r="P134" s="32">
        <f>IF($O134="","",MATCH($O134,GL_Journal!$Y:$Y,0))</f>
        <v/>
      </c>
      <c r="Q134" s="32" t="inlineStr"/>
    </row>
    <row r="135">
      <c r="A135" s="32">
        <f>ROW()-12</f>
        <v/>
      </c>
      <c r="B135" s="33">
        <f>IF($P135="","",INDEX(GL_Journal!$D:$D,$P135))</f>
        <v/>
      </c>
      <c r="C135" s="32">
        <f>IF($P135="","",INDEX(GL_Journal!$C:$C,$P135))</f>
        <v/>
      </c>
      <c r="D135" s="32">
        <f>IF($P135="","",INDEX(GL_Journal!$E:$E,$P135))</f>
        <v/>
      </c>
      <c r="E135" s="32">
        <f>IF($P135="","",INDEX(GL_Journal!$F:$F,$P135))</f>
        <v/>
      </c>
      <c r="F135" s="32">
        <f>IF($P135="","",INDEX(GL_Journal!$G:$G,$P135))</f>
        <v/>
      </c>
      <c r="G135" s="32">
        <f>IF($P135="","",INDEX(GL_Journal!$H:$H,$P135))</f>
        <v/>
      </c>
      <c r="H135" s="32">
        <f>IF($P135="","",INDEX(GL_Journal!$I:$I,$P135))</f>
        <v/>
      </c>
      <c r="I135" s="32">
        <f>IF($P135="","",INDEX(GL_Journal!$J:$J,$P135))</f>
        <v/>
      </c>
      <c r="J135" s="32">
        <f>IF($P135="","",INDEX(GL_Journal!$K:$K,$P135))</f>
        <v/>
      </c>
      <c r="K135" s="32">
        <f>IF($P135="","",INDEX(GL_Journal!$L:$L,$P135))</f>
        <v/>
      </c>
      <c r="L135" s="43">
        <f>IF($P135="","",INDEX(GL_Journal!$M:$M,$P135))</f>
        <v/>
      </c>
      <c r="M135" s="43">
        <f>IF($P135="","",INDEX(GL_Journal!$N:$N,$P135))</f>
        <v/>
      </c>
      <c r="N135" s="47">
        <f>IF($P135="","",IF($A135=1,LG_Open,$N134)+$L135-$M135)</f>
        <v/>
      </c>
      <c r="O135" s="32">
        <f>IF($A135&gt;COUNT(GL_Journal!$Y:$Y),"",SMALL(GL_Journal!$Y:$Y,$A135))</f>
        <v/>
      </c>
      <c r="P135" s="32">
        <f>IF($O135="","",MATCH($O135,GL_Journal!$Y:$Y,0))</f>
        <v/>
      </c>
      <c r="Q135" s="32" t="inlineStr"/>
    </row>
    <row r="136">
      <c r="A136" s="32">
        <f>ROW()-12</f>
        <v/>
      </c>
      <c r="B136" s="33">
        <f>IF($P136="","",INDEX(GL_Journal!$D:$D,$P136))</f>
        <v/>
      </c>
      <c r="C136" s="32">
        <f>IF($P136="","",INDEX(GL_Journal!$C:$C,$P136))</f>
        <v/>
      </c>
      <c r="D136" s="32">
        <f>IF($P136="","",INDEX(GL_Journal!$E:$E,$P136))</f>
        <v/>
      </c>
      <c r="E136" s="32">
        <f>IF($P136="","",INDEX(GL_Journal!$F:$F,$P136))</f>
        <v/>
      </c>
      <c r="F136" s="32">
        <f>IF($P136="","",INDEX(GL_Journal!$G:$G,$P136))</f>
        <v/>
      </c>
      <c r="G136" s="32">
        <f>IF($P136="","",INDEX(GL_Journal!$H:$H,$P136))</f>
        <v/>
      </c>
      <c r="H136" s="32">
        <f>IF($P136="","",INDEX(GL_Journal!$I:$I,$P136))</f>
        <v/>
      </c>
      <c r="I136" s="32">
        <f>IF($P136="","",INDEX(GL_Journal!$J:$J,$P136))</f>
        <v/>
      </c>
      <c r="J136" s="32">
        <f>IF($P136="","",INDEX(GL_Journal!$K:$K,$P136))</f>
        <v/>
      </c>
      <c r="K136" s="32">
        <f>IF($P136="","",INDEX(GL_Journal!$L:$L,$P136))</f>
        <v/>
      </c>
      <c r="L136" s="43">
        <f>IF($P136="","",INDEX(GL_Journal!$M:$M,$P136))</f>
        <v/>
      </c>
      <c r="M136" s="43">
        <f>IF($P136="","",INDEX(GL_Journal!$N:$N,$P136))</f>
        <v/>
      </c>
      <c r="N136" s="47">
        <f>IF($P136="","",IF($A136=1,LG_Open,$N135)+$L136-$M136)</f>
        <v/>
      </c>
      <c r="O136" s="32">
        <f>IF($A136&gt;COUNT(GL_Journal!$Y:$Y),"",SMALL(GL_Journal!$Y:$Y,$A136))</f>
        <v/>
      </c>
      <c r="P136" s="32">
        <f>IF($O136="","",MATCH($O136,GL_Journal!$Y:$Y,0))</f>
        <v/>
      </c>
      <c r="Q136" s="32" t="inlineStr"/>
    </row>
    <row r="137">
      <c r="A137" s="32">
        <f>ROW()-12</f>
        <v/>
      </c>
      <c r="B137" s="33">
        <f>IF($P137="","",INDEX(GL_Journal!$D:$D,$P137))</f>
        <v/>
      </c>
      <c r="C137" s="32">
        <f>IF($P137="","",INDEX(GL_Journal!$C:$C,$P137))</f>
        <v/>
      </c>
      <c r="D137" s="32">
        <f>IF($P137="","",INDEX(GL_Journal!$E:$E,$P137))</f>
        <v/>
      </c>
      <c r="E137" s="32">
        <f>IF($P137="","",INDEX(GL_Journal!$F:$F,$P137))</f>
        <v/>
      </c>
      <c r="F137" s="32">
        <f>IF($P137="","",INDEX(GL_Journal!$G:$G,$P137))</f>
        <v/>
      </c>
      <c r="G137" s="32">
        <f>IF($P137="","",INDEX(GL_Journal!$H:$H,$P137))</f>
        <v/>
      </c>
      <c r="H137" s="32">
        <f>IF($P137="","",INDEX(GL_Journal!$I:$I,$P137))</f>
        <v/>
      </c>
      <c r="I137" s="32">
        <f>IF($P137="","",INDEX(GL_Journal!$J:$J,$P137))</f>
        <v/>
      </c>
      <c r="J137" s="32">
        <f>IF($P137="","",INDEX(GL_Journal!$K:$K,$P137))</f>
        <v/>
      </c>
      <c r="K137" s="32">
        <f>IF($P137="","",INDEX(GL_Journal!$L:$L,$P137))</f>
        <v/>
      </c>
      <c r="L137" s="43">
        <f>IF($P137="","",INDEX(GL_Journal!$M:$M,$P137))</f>
        <v/>
      </c>
      <c r="M137" s="43">
        <f>IF($P137="","",INDEX(GL_Journal!$N:$N,$P137))</f>
        <v/>
      </c>
      <c r="N137" s="47">
        <f>IF($P137="","",IF($A137=1,LG_Open,$N136)+$L137-$M137)</f>
        <v/>
      </c>
      <c r="O137" s="32">
        <f>IF($A137&gt;COUNT(GL_Journal!$Y:$Y),"",SMALL(GL_Journal!$Y:$Y,$A137))</f>
        <v/>
      </c>
      <c r="P137" s="32">
        <f>IF($O137="","",MATCH($O137,GL_Journal!$Y:$Y,0))</f>
        <v/>
      </c>
      <c r="Q137" s="32" t="inlineStr"/>
    </row>
    <row r="138">
      <c r="A138" s="32">
        <f>ROW()-12</f>
        <v/>
      </c>
      <c r="B138" s="33">
        <f>IF($P138="","",INDEX(GL_Journal!$D:$D,$P138))</f>
        <v/>
      </c>
      <c r="C138" s="32">
        <f>IF($P138="","",INDEX(GL_Journal!$C:$C,$P138))</f>
        <v/>
      </c>
      <c r="D138" s="32">
        <f>IF($P138="","",INDEX(GL_Journal!$E:$E,$P138))</f>
        <v/>
      </c>
      <c r="E138" s="32">
        <f>IF($P138="","",INDEX(GL_Journal!$F:$F,$P138))</f>
        <v/>
      </c>
      <c r="F138" s="32">
        <f>IF($P138="","",INDEX(GL_Journal!$G:$G,$P138))</f>
        <v/>
      </c>
      <c r="G138" s="32">
        <f>IF($P138="","",INDEX(GL_Journal!$H:$H,$P138))</f>
        <v/>
      </c>
      <c r="H138" s="32">
        <f>IF($P138="","",INDEX(GL_Journal!$I:$I,$P138))</f>
        <v/>
      </c>
      <c r="I138" s="32">
        <f>IF($P138="","",INDEX(GL_Journal!$J:$J,$P138))</f>
        <v/>
      </c>
      <c r="J138" s="32">
        <f>IF($P138="","",INDEX(GL_Journal!$K:$K,$P138))</f>
        <v/>
      </c>
      <c r="K138" s="32">
        <f>IF($P138="","",INDEX(GL_Journal!$L:$L,$P138))</f>
        <v/>
      </c>
      <c r="L138" s="43">
        <f>IF($P138="","",INDEX(GL_Journal!$M:$M,$P138))</f>
        <v/>
      </c>
      <c r="M138" s="43">
        <f>IF($P138="","",INDEX(GL_Journal!$N:$N,$P138))</f>
        <v/>
      </c>
      <c r="N138" s="47">
        <f>IF($P138="","",IF($A138=1,LG_Open,$N137)+$L138-$M138)</f>
        <v/>
      </c>
      <c r="O138" s="32">
        <f>IF($A138&gt;COUNT(GL_Journal!$Y:$Y),"",SMALL(GL_Journal!$Y:$Y,$A138))</f>
        <v/>
      </c>
      <c r="P138" s="32">
        <f>IF($O138="","",MATCH($O138,GL_Journal!$Y:$Y,0))</f>
        <v/>
      </c>
      <c r="Q138" s="32" t="inlineStr"/>
    </row>
    <row r="139">
      <c r="A139" s="32">
        <f>ROW()-12</f>
        <v/>
      </c>
      <c r="B139" s="33">
        <f>IF($P139="","",INDEX(GL_Journal!$D:$D,$P139))</f>
        <v/>
      </c>
      <c r="C139" s="32">
        <f>IF($P139="","",INDEX(GL_Journal!$C:$C,$P139))</f>
        <v/>
      </c>
      <c r="D139" s="32">
        <f>IF($P139="","",INDEX(GL_Journal!$E:$E,$P139))</f>
        <v/>
      </c>
      <c r="E139" s="32">
        <f>IF($P139="","",INDEX(GL_Journal!$F:$F,$P139))</f>
        <v/>
      </c>
      <c r="F139" s="32">
        <f>IF($P139="","",INDEX(GL_Journal!$G:$G,$P139))</f>
        <v/>
      </c>
      <c r="G139" s="32">
        <f>IF($P139="","",INDEX(GL_Journal!$H:$H,$P139))</f>
        <v/>
      </c>
      <c r="H139" s="32">
        <f>IF($P139="","",INDEX(GL_Journal!$I:$I,$P139))</f>
        <v/>
      </c>
      <c r="I139" s="32">
        <f>IF($P139="","",INDEX(GL_Journal!$J:$J,$P139))</f>
        <v/>
      </c>
      <c r="J139" s="32">
        <f>IF($P139="","",INDEX(GL_Journal!$K:$K,$P139))</f>
        <v/>
      </c>
      <c r="K139" s="32">
        <f>IF($P139="","",INDEX(GL_Journal!$L:$L,$P139))</f>
        <v/>
      </c>
      <c r="L139" s="43">
        <f>IF($P139="","",INDEX(GL_Journal!$M:$M,$P139))</f>
        <v/>
      </c>
      <c r="M139" s="43">
        <f>IF($P139="","",INDEX(GL_Journal!$N:$N,$P139))</f>
        <v/>
      </c>
      <c r="N139" s="47">
        <f>IF($P139="","",IF($A139=1,LG_Open,$N138)+$L139-$M139)</f>
        <v/>
      </c>
      <c r="O139" s="32">
        <f>IF($A139&gt;COUNT(GL_Journal!$Y:$Y),"",SMALL(GL_Journal!$Y:$Y,$A139))</f>
        <v/>
      </c>
      <c r="P139" s="32">
        <f>IF($O139="","",MATCH($O139,GL_Journal!$Y:$Y,0))</f>
        <v/>
      </c>
      <c r="Q139" s="32" t="inlineStr"/>
    </row>
    <row r="140">
      <c r="A140" s="32">
        <f>ROW()-12</f>
        <v/>
      </c>
      <c r="B140" s="33">
        <f>IF($P140="","",INDEX(GL_Journal!$D:$D,$P140))</f>
        <v/>
      </c>
      <c r="C140" s="32">
        <f>IF($P140="","",INDEX(GL_Journal!$C:$C,$P140))</f>
        <v/>
      </c>
      <c r="D140" s="32">
        <f>IF($P140="","",INDEX(GL_Journal!$E:$E,$P140))</f>
        <v/>
      </c>
      <c r="E140" s="32">
        <f>IF($P140="","",INDEX(GL_Journal!$F:$F,$P140))</f>
        <v/>
      </c>
      <c r="F140" s="32">
        <f>IF($P140="","",INDEX(GL_Journal!$G:$G,$P140))</f>
        <v/>
      </c>
      <c r="G140" s="32">
        <f>IF($P140="","",INDEX(GL_Journal!$H:$H,$P140))</f>
        <v/>
      </c>
      <c r="H140" s="32">
        <f>IF($P140="","",INDEX(GL_Journal!$I:$I,$P140))</f>
        <v/>
      </c>
      <c r="I140" s="32">
        <f>IF($P140="","",INDEX(GL_Journal!$J:$J,$P140))</f>
        <v/>
      </c>
      <c r="J140" s="32">
        <f>IF($P140="","",INDEX(GL_Journal!$K:$K,$P140))</f>
        <v/>
      </c>
      <c r="K140" s="32">
        <f>IF($P140="","",INDEX(GL_Journal!$L:$L,$P140))</f>
        <v/>
      </c>
      <c r="L140" s="43">
        <f>IF($P140="","",INDEX(GL_Journal!$M:$M,$P140))</f>
        <v/>
      </c>
      <c r="M140" s="43">
        <f>IF($P140="","",INDEX(GL_Journal!$N:$N,$P140))</f>
        <v/>
      </c>
      <c r="N140" s="47">
        <f>IF($P140="","",IF($A140=1,LG_Open,$N139)+$L140-$M140)</f>
        <v/>
      </c>
      <c r="O140" s="32">
        <f>IF($A140&gt;COUNT(GL_Journal!$Y:$Y),"",SMALL(GL_Journal!$Y:$Y,$A140))</f>
        <v/>
      </c>
      <c r="P140" s="32">
        <f>IF($O140="","",MATCH($O140,GL_Journal!$Y:$Y,0))</f>
        <v/>
      </c>
      <c r="Q140" s="32" t="inlineStr"/>
    </row>
    <row r="141">
      <c r="A141" s="32">
        <f>ROW()-12</f>
        <v/>
      </c>
      <c r="B141" s="33">
        <f>IF($P141="","",INDEX(GL_Journal!$D:$D,$P141))</f>
        <v/>
      </c>
      <c r="C141" s="32">
        <f>IF($P141="","",INDEX(GL_Journal!$C:$C,$P141))</f>
        <v/>
      </c>
      <c r="D141" s="32">
        <f>IF($P141="","",INDEX(GL_Journal!$E:$E,$P141))</f>
        <v/>
      </c>
      <c r="E141" s="32">
        <f>IF($P141="","",INDEX(GL_Journal!$F:$F,$P141))</f>
        <v/>
      </c>
      <c r="F141" s="32">
        <f>IF($P141="","",INDEX(GL_Journal!$G:$G,$P141))</f>
        <v/>
      </c>
      <c r="G141" s="32">
        <f>IF($P141="","",INDEX(GL_Journal!$H:$H,$P141))</f>
        <v/>
      </c>
      <c r="H141" s="32">
        <f>IF($P141="","",INDEX(GL_Journal!$I:$I,$P141))</f>
        <v/>
      </c>
      <c r="I141" s="32">
        <f>IF($P141="","",INDEX(GL_Journal!$J:$J,$P141))</f>
        <v/>
      </c>
      <c r="J141" s="32">
        <f>IF($P141="","",INDEX(GL_Journal!$K:$K,$P141))</f>
        <v/>
      </c>
      <c r="K141" s="32">
        <f>IF($P141="","",INDEX(GL_Journal!$L:$L,$P141))</f>
        <v/>
      </c>
      <c r="L141" s="43">
        <f>IF($P141="","",INDEX(GL_Journal!$M:$M,$P141))</f>
        <v/>
      </c>
      <c r="M141" s="43">
        <f>IF($P141="","",INDEX(GL_Journal!$N:$N,$P141))</f>
        <v/>
      </c>
      <c r="N141" s="47">
        <f>IF($P141="","",IF($A141=1,LG_Open,$N140)+$L141-$M141)</f>
        <v/>
      </c>
      <c r="O141" s="32">
        <f>IF($A141&gt;COUNT(GL_Journal!$Y:$Y),"",SMALL(GL_Journal!$Y:$Y,$A141))</f>
        <v/>
      </c>
      <c r="P141" s="32">
        <f>IF($O141="","",MATCH($O141,GL_Journal!$Y:$Y,0))</f>
        <v/>
      </c>
      <c r="Q141" s="32" t="inlineStr"/>
    </row>
    <row r="142">
      <c r="A142" s="32">
        <f>ROW()-12</f>
        <v/>
      </c>
      <c r="B142" s="33">
        <f>IF($P142="","",INDEX(GL_Journal!$D:$D,$P142))</f>
        <v/>
      </c>
      <c r="C142" s="32">
        <f>IF($P142="","",INDEX(GL_Journal!$C:$C,$P142))</f>
        <v/>
      </c>
      <c r="D142" s="32">
        <f>IF($P142="","",INDEX(GL_Journal!$E:$E,$P142))</f>
        <v/>
      </c>
      <c r="E142" s="32">
        <f>IF($P142="","",INDEX(GL_Journal!$F:$F,$P142))</f>
        <v/>
      </c>
      <c r="F142" s="32">
        <f>IF($P142="","",INDEX(GL_Journal!$G:$G,$P142))</f>
        <v/>
      </c>
      <c r="G142" s="32">
        <f>IF($P142="","",INDEX(GL_Journal!$H:$H,$P142))</f>
        <v/>
      </c>
      <c r="H142" s="32">
        <f>IF($P142="","",INDEX(GL_Journal!$I:$I,$P142))</f>
        <v/>
      </c>
      <c r="I142" s="32">
        <f>IF($P142="","",INDEX(GL_Journal!$J:$J,$P142))</f>
        <v/>
      </c>
      <c r="J142" s="32">
        <f>IF($P142="","",INDEX(GL_Journal!$K:$K,$P142))</f>
        <v/>
      </c>
      <c r="K142" s="32">
        <f>IF($P142="","",INDEX(GL_Journal!$L:$L,$P142))</f>
        <v/>
      </c>
      <c r="L142" s="43">
        <f>IF($P142="","",INDEX(GL_Journal!$M:$M,$P142))</f>
        <v/>
      </c>
      <c r="M142" s="43">
        <f>IF($P142="","",INDEX(GL_Journal!$N:$N,$P142))</f>
        <v/>
      </c>
      <c r="N142" s="47">
        <f>IF($P142="","",IF($A142=1,LG_Open,$N141)+$L142-$M142)</f>
        <v/>
      </c>
      <c r="O142" s="32">
        <f>IF($A142&gt;COUNT(GL_Journal!$Y:$Y),"",SMALL(GL_Journal!$Y:$Y,$A142))</f>
        <v/>
      </c>
      <c r="P142" s="32">
        <f>IF($O142="","",MATCH($O142,GL_Journal!$Y:$Y,0))</f>
        <v/>
      </c>
      <c r="Q142" s="32" t="inlineStr"/>
    </row>
    <row r="143">
      <c r="A143" s="32">
        <f>ROW()-12</f>
        <v/>
      </c>
      <c r="B143" s="33">
        <f>IF($P143="","",INDEX(GL_Journal!$D:$D,$P143))</f>
        <v/>
      </c>
      <c r="C143" s="32">
        <f>IF($P143="","",INDEX(GL_Journal!$C:$C,$P143))</f>
        <v/>
      </c>
      <c r="D143" s="32">
        <f>IF($P143="","",INDEX(GL_Journal!$E:$E,$P143))</f>
        <v/>
      </c>
      <c r="E143" s="32">
        <f>IF($P143="","",INDEX(GL_Journal!$F:$F,$P143))</f>
        <v/>
      </c>
      <c r="F143" s="32">
        <f>IF($P143="","",INDEX(GL_Journal!$G:$G,$P143))</f>
        <v/>
      </c>
      <c r="G143" s="32">
        <f>IF($P143="","",INDEX(GL_Journal!$H:$H,$P143))</f>
        <v/>
      </c>
      <c r="H143" s="32">
        <f>IF($P143="","",INDEX(GL_Journal!$I:$I,$P143))</f>
        <v/>
      </c>
      <c r="I143" s="32">
        <f>IF($P143="","",INDEX(GL_Journal!$J:$J,$P143))</f>
        <v/>
      </c>
      <c r="J143" s="32">
        <f>IF($P143="","",INDEX(GL_Journal!$K:$K,$P143))</f>
        <v/>
      </c>
      <c r="K143" s="32">
        <f>IF($P143="","",INDEX(GL_Journal!$L:$L,$P143))</f>
        <v/>
      </c>
      <c r="L143" s="43">
        <f>IF($P143="","",INDEX(GL_Journal!$M:$M,$P143))</f>
        <v/>
      </c>
      <c r="M143" s="43">
        <f>IF($P143="","",INDEX(GL_Journal!$N:$N,$P143))</f>
        <v/>
      </c>
      <c r="N143" s="47">
        <f>IF($P143="","",IF($A143=1,LG_Open,$N142)+$L143-$M143)</f>
        <v/>
      </c>
      <c r="O143" s="32">
        <f>IF($A143&gt;COUNT(GL_Journal!$Y:$Y),"",SMALL(GL_Journal!$Y:$Y,$A143))</f>
        <v/>
      </c>
      <c r="P143" s="32">
        <f>IF($O143="","",MATCH($O143,GL_Journal!$Y:$Y,0))</f>
        <v/>
      </c>
      <c r="Q143" s="32" t="inlineStr"/>
    </row>
    <row r="144">
      <c r="A144" s="32">
        <f>ROW()-12</f>
        <v/>
      </c>
      <c r="B144" s="33">
        <f>IF($P144="","",INDEX(GL_Journal!$D:$D,$P144))</f>
        <v/>
      </c>
      <c r="C144" s="32">
        <f>IF($P144="","",INDEX(GL_Journal!$C:$C,$P144))</f>
        <v/>
      </c>
      <c r="D144" s="32">
        <f>IF($P144="","",INDEX(GL_Journal!$E:$E,$P144))</f>
        <v/>
      </c>
      <c r="E144" s="32">
        <f>IF($P144="","",INDEX(GL_Journal!$F:$F,$P144))</f>
        <v/>
      </c>
      <c r="F144" s="32">
        <f>IF($P144="","",INDEX(GL_Journal!$G:$G,$P144))</f>
        <v/>
      </c>
      <c r="G144" s="32">
        <f>IF($P144="","",INDEX(GL_Journal!$H:$H,$P144))</f>
        <v/>
      </c>
      <c r="H144" s="32">
        <f>IF($P144="","",INDEX(GL_Journal!$I:$I,$P144))</f>
        <v/>
      </c>
      <c r="I144" s="32">
        <f>IF($P144="","",INDEX(GL_Journal!$J:$J,$P144))</f>
        <v/>
      </c>
      <c r="J144" s="32">
        <f>IF($P144="","",INDEX(GL_Journal!$K:$K,$P144))</f>
        <v/>
      </c>
      <c r="K144" s="32">
        <f>IF($P144="","",INDEX(GL_Journal!$L:$L,$P144))</f>
        <v/>
      </c>
      <c r="L144" s="43">
        <f>IF($P144="","",INDEX(GL_Journal!$M:$M,$P144))</f>
        <v/>
      </c>
      <c r="M144" s="43">
        <f>IF($P144="","",INDEX(GL_Journal!$N:$N,$P144))</f>
        <v/>
      </c>
      <c r="N144" s="47">
        <f>IF($P144="","",IF($A144=1,LG_Open,$N143)+$L144-$M144)</f>
        <v/>
      </c>
      <c r="O144" s="32">
        <f>IF($A144&gt;COUNT(GL_Journal!$Y:$Y),"",SMALL(GL_Journal!$Y:$Y,$A144))</f>
        <v/>
      </c>
      <c r="P144" s="32">
        <f>IF($O144="","",MATCH($O144,GL_Journal!$Y:$Y,0))</f>
        <v/>
      </c>
      <c r="Q144" s="32" t="inlineStr"/>
    </row>
    <row r="145">
      <c r="A145" s="32">
        <f>ROW()-12</f>
        <v/>
      </c>
      <c r="B145" s="33">
        <f>IF($P145="","",INDEX(GL_Journal!$D:$D,$P145))</f>
        <v/>
      </c>
      <c r="C145" s="32">
        <f>IF($P145="","",INDEX(GL_Journal!$C:$C,$P145))</f>
        <v/>
      </c>
      <c r="D145" s="32">
        <f>IF($P145="","",INDEX(GL_Journal!$E:$E,$P145))</f>
        <v/>
      </c>
      <c r="E145" s="32">
        <f>IF($P145="","",INDEX(GL_Journal!$F:$F,$P145))</f>
        <v/>
      </c>
      <c r="F145" s="32">
        <f>IF($P145="","",INDEX(GL_Journal!$G:$G,$P145))</f>
        <v/>
      </c>
      <c r="G145" s="32">
        <f>IF($P145="","",INDEX(GL_Journal!$H:$H,$P145))</f>
        <v/>
      </c>
      <c r="H145" s="32">
        <f>IF($P145="","",INDEX(GL_Journal!$I:$I,$P145))</f>
        <v/>
      </c>
      <c r="I145" s="32">
        <f>IF($P145="","",INDEX(GL_Journal!$J:$J,$P145))</f>
        <v/>
      </c>
      <c r="J145" s="32">
        <f>IF($P145="","",INDEX(GL_Journal!$K:$K,$P145))</f>
        <v/>
      </c>
      <c r="K145" s="32">
        <f>IF($P145="","",INDEX(GL_Journal!$L:$L,$P145))</f>
        <v/>
      </c>
      <c r="L145" s="43">
        <f>IF($P145="","",INDEX(GL_Journal!$M:$M,$P145))</f>
        <v/>
      </c>
      <c r="M145" s="43">
        <f>IF($P145="","",INDEX(GL_Journal!$N:$N,$P145))</f>
        <v/>
      </c>
      <c r="N145" s="47">
        <f>IF($P145="","",IF($A145=1,LG_Open,$N144)+$L145-$M145)</f>
        <v/>
      </c>
      <c r="O145" s="32">
        <f>IF($A145&gt;COUNT(GL_Journal!$Y:$Y),"",SMALL(GL_Journal!$Y:$Y,$A145))</f>
        <v/>
      </c>
      <c r="P145" s="32">
        <f>IF($O145="","",MATCH($O145,GL_Journal!$Y:$Y,0))</f>
        <v/>
      </c>
      <c r="Q145" s="32" t="inlineStr"/>
    </row>
    <row r="146">
      <c r="A146" s="32">
        <f>ROW()-12</f>
        <v/>
      </c>
      <c r="B146" s="33">
        <f>IF($P146="","",INDEX(GL_Journal!$D:$D,$P146))</f>
        <v/>
      </c>
      <c r="C146" s="32">
        <f>IF($P146="","",INDEX(GL_Journal!$C:$C,$P146))</f>
        <v/>
      </c>
      <c r="D146" s="32">
        <f>IF($P146="","",INDEX(GL_Journal!$E:$E,$P146))</f>
        <v/>
      </c>
      <c r="E146" s="32">
        <f>IF($P146="","",INDEX(GL_Journal!$F:$F,$P146))</f>
        <v/>
      </c>
      <c r="F146" s="32">
        <f>IF($P146="","",INDEX(GL_Journal!$G:$G,$P146))</f>
        <v/>
      </c>
      <c r="G146" s="32">
        <f>IF($P146="","",INDEX(GL_Journal!$H:$H,$P146))</f>
        <v/>
      </c>
      <c r="H146" s="32">
        <f>IF($P146="","",INDEX(GL_Journal!$I:$I,$P146))</f>
        <v/>
      </c>
      <c r="I146" s="32">
        <f>IF($P146="","",INDEX(GL_Journal!$J:$J,$P146))</f>
        <v/>
      </c>
      <c r="J146" s="32">
        <f>IF($P146="","",INDEX(GL_Journal!$K:$K,$P146))</f>
        <v/>
      </c>
      <c r="K146" s="32">
        <f>IF($P146="","",INDEX(GL_Journal!$L:$L,$P146))</f>
        <v/>
      </c>
      <c r="L146" s="43">
        <f>IF($P146="","",INDEX(GL_Journal!$M:$M,$P146))</f>
        <v/>
      </c>
      <c r="M146" s="43">
        <f>IF($P146="","",INDEX(GL_Journal!$N:$N,$P146))</f>
        <v/>
      </c>
      <c r="N146" s="47">
        <f>IF($P146="","",IF($A146=1,LG_Open,$N145)+$L146-$M146)</f>
        <v/>
      </c>
      <c r="O146" s="32">
        <f>IF($A146&gt;COUNT(GL_Journal!$Y:$Y),"",SMALL(GL_Journal!$Y:$Y,$A146))</f>
        <v/>
      </c>
      <c r="P146" s="32">
        <f>IF($O146="","",MATCH($O146,GL_Journal!$Y:$Y,0))</f>
        <v/>
      </c>
      <c r="Q146" s="32" t="inlineStr"/>
    </row>
    <row r="147">
      <c r="A147" s="32">
        <f>ROW()-12</f>
        <v/>
      </c>
      <c r="B147" s="33">
        <f>IF($P147="","",INDEX(GL_Journal!$D:$D,$P147))</f>
        <v/>
      </c>
      <c r="C147" s="32">
        <f>IF($P147="","",INDEX(GL_Journal!$C:$C,$P147))</f>
        <v/>
      </c>
      <c r="D147" s="32">
        <f>IF($P147="","",INDEX(GL_Journal!$E:$E,$P147))</f>
        <v/>
      </c>
      <c r="E147" s="32">
        <f>IF($P147="","",INDEX(GL_Journal!$F:$F,$P147))</f>
        <v/>
      </c>
      <c r="F147" s="32">
        <f>IF($P147="","",INDEX(GL_Journal!$G:$G,$P147))</f>
        <v/>
      </c>
      <c r="G147" s="32">
        <f>IF($P147="","",INDEX(GL_Journal!$H:$H,$P147))</f>
        <v/>
      </c>
      <c r="H147" s="32">
        <f>IF($P147="","",INDEX(GL_Journal!$I:$I,$P147))</f>
        <v/>
      </c>
      <c r="I147" s="32">
        <f>IF($P147="","",INDEX(GL_Journal!$J:$J,$P147))</f>
        <v/>
      </c>
      <c r="J147" s="32">
        <f>IF($P147="","",INDEX(GL_Journal!$K:$K,$P147))</f>
        <v/>
      </c>
      <c r="K147" s="32">
        <f>IF($P147="","",INDEX(GL_Journal!$L:$L,$P147))</f>
        <v/>
      </c>
      <c r="L147" s="43">
        <f>IF($P147="","",INDEX(GL_Journal!$M:$M,$P147))</f>
        <v/>
      </c>
      <c r="M147" s="43">
        <f>IF($P147="","",INDEX(GL_Journal!$N:$N,$P147))</f>
        <v/>
      </c>
      <c r="N147" s="47">
        <f>IF($P147="","",IF($A147=1,LG_Open,$N146)+$L147-$M147)</f>
        <v/>
      </c>
      <c r="O147" s="32">
        <f>IF($A147&gt;COUNT(GL_Journal!$Y:$Y),"",SMALL(GL_Journal!$Y:$Y,$A147))</f>
        <v/>
      </c>
      <c r="P147" s="32">
        <f>IF($O147="","",MATCH($O147,GL_Journal!$Y:$Y,0))</f>
        <v/>
      </c>
      <c r="Q147" s="32" t="inlineStr"/>
    </row>
    <row r="148">
      <c r="A148" s="32">
        <f>ROW()-12</f>
        <v/>
      </c>
      <c r="B148" s="33">
        <f>IF($P148="","",INDEX(GL_Journal!$D:$D,$P148))</f>
        <v/>
      </c>
      <c r="C148" s="32">
        <f>IF($P148="","",INDEX(GL_Journal!$C:$C,$P148))</f>
        <v/>
      </c>
      <c r="D148" s="32">
        <f>IF($P148="","",INDEX(GL_Journal!$E:$E,$P148))</f>
        <v/>
      </c>
      <c r="E148" s="32">
        <f>IF($P148="","",INDEX(GL_Journal!$F:$F,$P148))</f>
        <v/>
      </c>
      <c r="F148" s="32">
        <f>IF($P148="","",INDEX(GL_Journal!$G:$G,$P148))</f>
        <v/>
      </c>
      <c r="G148" s="32">
        <f>IF($P148="","",INDEX(GL_Journal!$H:$H,$P148))</f>
        <v/>
      </c>
      <c r="H148" s="32">
        <f>IF($P148="","",INDEX(GL_Journal!$I:$I,$P148))</f>
        <v/>
      </c>
      <c r="I148" s="32">
        <f>IF($P148="","",INDEX(GL_Journal!$J:$J,$P148))</f>
        <v/>
      </c>
      <c r="J148" s="32">
        <f>IF($P148="","",INDEX(GL_Journal!$K:$K,$P148))</f>
        <v/>
      </c>
      <c r="K148" s="32">
        <f>IF($P148="","",INDEX(GL_Journal!$L:$L,$P148))</f>
        <v/>
      </c>
      <c r="L148" s="43">
        <f>IF($P148="","",INDEX(GL_Journal!$M:$M,$P148))</f>
        <v/>
      </c>
      <c r="M148" s="43">
        <f>IF($P148="","",INDEX(GL_Journal!$N:$N,$P148))</f>
        <v/>
      </c>
      <c r="N148" s="47">
        <f>IF($P148="","",IF($A148=1,LG_Open,$N147)+$L148-$M148)</f>
        <v/>
      </c>
      <c r="O148" s="32">
        <f>IF($A148&gt;COUNT(GL_Journal!$Y:$Y),"",SMALL(GL_Journal!$Y:$Y,$A148))</f>
        <v/>
      </c>
      <c r="P148" s="32">
        <f>IF($O148="","",MATCH($O148,GL_Journal!$Y:$Y,0))</f>
        <v/>
      </c>
      <c r="Q148" s="32" t="inlineStr"/>
    </row>
    <row r="149">
      <c r="A149" s="32">
        <f>ROW()-12</f>
        <v/>
      </c>
      <c r="B149" s="33">
        <f>IF($P149="","",INDEX(GL_Journal!$D:$D,$P149))</f>
        <v/>
      </c>
      <c r="C149" s="32">
        <f>IF($P149="","",INDEX(GL_Journal!$C:$C,$P149))</f>
        <v/>
      </c>
      <c r="D149" s="32">
        <f>IF($P149="","",INDEX(GL_Journal!$E:$E,$P149))</f>
        <v/>
      </c>
      <c r="E149" s="32">
        <f>IF($P149="","",INDEX(GL_Journal!$F:$F,$P149))</f>
        <v/>
      </c>
      <c r="F149" s="32">
        <f>IF($P149="","",INDEX(GL_Journal!$G:$G,$P149))</f>
        <v/>
      </c>
      <c r="G149" s="32">
        <f>IF($P149="","",INDEX(GL_Journal!$H:$H,$P149))</f>
        <v/>
      </c>
      <c r="H149" s="32">
        <f>IF($P149="","",INDEX(GL_Journal!$I:$I,$P149))</f>
        <v/>
      </c>
      <c r="I149" s="32">
        <f>IF($P149="","",INDEX(GL_Journal!$J:$J,$P149))</f>
        <v/>
      </c>
      <c r="J149" s="32">
        <f>IF($P149="","",INDEX(GL_Journal!$K:$K,$P149))</f>
        <v/>
      </c>
      <c r="K149" s="32">
        <f>IF($P149="","",INDEX(GL_Journal!$L:$L,$P149))</f>
        <v/>
      </c>
      <c r="L149" s="43">
        <f>IF($P149="","",INDEX(GL_Journal!$M:$M,$P149))</f>
        <v/>
      </c>
      <c r="M149" s="43">
        <f>IF($P149="","",INDEX(GL_Journal!$N:$N,$P149))</f>
        <v/>
      </c>
      <c r="N149" s="47">
        <f>IF($P149="","",IF($A149=1,LG_Open,$N148)+$L149-$M149)</f>
        <v/>
      </c>
      <c r="O149" s="32">
        <f>IF($A149&gt;COUNT(GL_Journal!$Y:$Y),"",SMALL(GL_Journal!$Y:$Y,$A149))</f>
        <v/>
      </c>
      <c r="P149" s="32">
        <f>IF($O149="","",MATCH($O149,GL_Journal!$Y:$Y,0))</f>
        <v/>
      </c>
      <c r="Q149" s="32" t="inlineStr"/>
    </row>
    <row r="150">
      <c r="A150" s="32">
        <f>ROW()-12</f>
        <v/>
      </c>
      <c r="B150" s="33">
        <f>IF($P150="","",INDEX(GL_Journal!$D:$D,$P150))</f>
        <v/>
      </c>
      <c r="C150" s="32">
        <f>IF($P150="","",INDEX(GL_Journal!$C:$C,$P150))</f>
        <v/>
      </c>
      <c r="D150" s="32">
        <f>IF($P150="","",INDEX(GL_Journal!$E:$E,$P150))</f>
        <v/>
      </c>
      <c r="E150" s="32">
        <f>IF($P150="","",INDEX(GL_Journal!$F:$F,$P150))</f>
        <v/>
      </c>
      <c r="F150" s="32">
        <f>IF($P150="","",INDEX(GL_Journal!$G:$G,$P150))</f>
        <v/>
      </c>
      <c r="G150" s="32">
        <f>IF($P150="","",INDEX(GL_Journal!$H:$H,$P150))</f>
        <v/>
      </c>
      <c r="H150" s="32">
        <f>IF($P150="","",INDEX(GL_Journal!$I:$I,$P150))</f>
        <v/>
      </c>
      <c r="I150" s="32">
        <f>IF($P150="","",INDEX(GL_Journal!$J:$J,$P150))</f>
        <v/>
      </c>
      <c r="J150" s="32">
        <f>IF($P150="","",INDEX(GL_Journal!$K:$K,$P150))</f>
        <v/>
      </c>
      <c r="K150" s="32">
        <f>IF($P150="","",INDEX(GL_Journal!$L:$L,$P150))</f>
        <v/>
      </c>
      <c r="L150" s="43">
        <f>IF($P150="","",INDEX(GL_Journal!$M:$M,$P150))</f>
        <v/>
      </c>
      <c r="M150" s="43">
        <f>IF($P150="","",INDEX(GL_Journal!$N:$N,$P150))</f>
        <v/>
      </c>
      <c r="N150" s="47">
        <f>IF($P150="","",IF($A150=1,LG_Open,$N149)+$L150-$M150)</f>
        <v/>
      </c>
      <c r="O150" s="32">
        <f>IF($A150&gt;COUNT(GL_Journal!$Y:$Y),"",SMALL(GL_Journal!$Y:$Y,$A150))</f>
        <v/>
      </c>
      <c r="P150" s="32">
        <f>IF($O150="","",MATCH($O150,GL_Journal!$Y:$Y,0))</f>
        <v/>
      </c>
      <c r="Q150" s="32" t="inlineStr"/>
    </row>
    <row r="151">
      <c r="A151" s="32">
        <f>ROW()-12</f>
        <v/>
      </c>
      <c r="B151" s="33">
        <f>IF($P151="","",INDEX(GL_Journal!$D:$D,$P151))</f>
        <v/>
      </c>
      <c r="C151" s="32">
        <f>IF($P151="","",INDEX(GL_Journal!$C:$C,$P151))</f>
        <v/>
      </c>
      <c r="D151" s="32">
        <f>IF($P151="","",INDEX(GL_Journal!$E:$E,$P151))</f>
        <v/>
      </c>
      <c r="E151" s="32">
        <f>IF($P151="","",INDEX(GL_Journal!$F:$F,$P151))</f>
        <v/>
      </c>
      <c r="F151" s="32">
        <f>IF($P151="","",INDEX(GL_Journal!$G:$G,$P151))</f>
        <v/>
      </c>
      <c r="G151" s="32">
        <f>IF($P151="","",INDEX(GL_Journal!$H:$H,$P151))</f>
        <v/>
      </c>
      <c r="H151" s="32">
        <f>IF($P151="","",INDEX(GL_Journal!$I:$I,$P151))</f>
        <v/>
      </c>
      <c r="I151" s="32">
        <f>IF($P151="","",INDEX(GL_Journal!$J:$J,$P151))</f>
        <v/>
      </c>
      <c r="J151" s="32">
        <f>IF($P151="","",INDEX(GL_Journal!$K:$K,$P151))</f>
        <v/>
      </c>
      <c r="K151" s="32">
        <f>IF($P151="","",INDEX(GL_Journal!$L:$L,$P151))</f>
        <v/>
      </c>
      <c r="L151" s="43">
        <f>IF($P151="","",INDEX(GL_Journal!$M:$M,$P151))</f>
        <v/>
      </c>
      <c r="M151" s="43">
        <f>IF($P151="","",INDEX(GL_Journal!$N:$N,$P151))</f>
        <v/>
      </c>
      <c r="N151" s="47">
        <f>IF($P151="","",IF($A151=1,LG_Open,$N150)+$L151-$M151)</f>
        <v/>
      </c>
      <c r="O151" s="32">
        <f>IF($A151&gt;COUNT(GL_Journal!$Y:$Y),"",SMALL(GL_Journal!$Y:$Y,$A151))</f>
        <v/>
      </c>
      <c r="P151" s="32">
        <f>IF($O151="","",MATCH($O151,GL_Journal!$Y:$Y,0))</f>
        <v/>
      </c>
      <c r="Q151" s="32" t="inlineStr"/>
    </row>
    <row r="152">
      <c r="A152" s="32">
        <f>ROW()-12</f>
        <v/>
      </c>
      <c r="B152" s="33">
        <f>IF($P152="","",INDEX(GL_Journal!$D:$D,$P152))</f>
        <v/>
      </c>
      <c r="C152" s="32">
        <f>IF($P152="","",INDEX(GL_Journal!$C:$C,$P152))</f>
        <v/>
      </c>
      <c r="D152" s="32">
        <f>IF($P152="","",INDEX(GL_Journal!$E:$E,$P152))</f>
        <v/>
      </c>
      <c r="E152" s="32">
        <f>IF($P152="","",INDEX(GL_Journal!$F:$F,$P152))</f>
        <v/>
      </c>
      <c r="F152" s="32">
        <f>IF($P152="","",INDEX(GL_Journal!$G:$G,$P152))</f>
        <v/>
      </c>
      <c r="G152" s="32">
        <f>IF($P152="","",INDEX(GL_Journal!$H:$H,$P152))</f>
        <v/>
      </c>
      <c r="H152" s="32">
        <f>IF($P152="","",INDEX(GL_Journal!$I:$I,$P152))</f>
        <v/>
      </c>
      <c r="I152" s="32">
        <f>IF($P152="","",INDEX(GL_Journal!$J:$J,$P152))</f>
        <v/>
      </c>
      <c r="J152" s="32">
        <f>IF($P152="","",INDEX(GL_Journal!$K:$K,$P152))</f>
        <v/>
      </c>
      <c r="K152" s="32">
        <f>IF($P152="","",INDEX(GL_Journal!$L:$L,$P152))</f>
        <v/>
      </c>
      <c r="L152" s="43">
        <f>IF($P152="","",INDEX(GL_Journal!$M:$M,$P152))</f>
        <v/>
      </c>
      <c r="M152" s="43">
        <f>IF($P152="","",INDEX(GL_Journal!$N:$N,$P152))</f>
        <v/>
      </c>
      <c r="N152" s="47">
        <f>IF($P152="","",IF($A152=1,LG_Open,$N151)+$L152-$M152)</f>
        <v/>
      </c>
      <c r="O152" s="32">
        <f>IF($A152&gt;COUNT(GL_Journal!$Y:$Y),"",SMALL(GL_Journal!$Y:$Y,$A152))</f>
        <v/>
      </c>
      <c r="P152" s="32">
        <f>IF($O152="","",MATCH($O152,GL_Journal!$Y:$Y,0))</f>
        <v/>
      </c>
      <c r="Q152" s="32" t="inlineStr"/>
    </row>
    <row r="153">
      <c r="A153" s="32">
        <f>ROW()-12</f>
        <v/>
      </c>
      <c r="B153" s="33">
        <f>IF($P153="","",INDEX(GL_Journal!$D:$D,$P153))</f>
        <v/>
      </c>
      <c r="C153" s="32">
        <f>IF($P153="","",INDEX(GL_Journal!$C:$C,$P153))</f>
        <v/>
      </c>
      <c r="D153" s="32">
        <f>IF($P153="","",INDEX(GL_Journal!$E:$E,$P153))</f>
        <v/>
      </c>
      <c r="E153" s="32">
        <f>IF($P153="","",INDEX(GL_Journal!$F:$F,$P153))</f>
        <v/>
      </c>
      <c r="F153" s="32">
        <f>IF($P153="","",INDEX(GL_Journal!$G:$G,$P153))</f>
        <v/>
      </c>
      <c r="G153" s="32">
        <f>IF($P153="","",INDEX(GL_Journal!$H:$H,$P153))</f>
        <v/>
      </c>
      <c r="H153" s="32">
        <f>IF($P153="","",INDEX(GL_Journal!$I:$I,$P153))</f>
        <v/>
      </c>
      <c r="I153" s="32">
        <f>IF($P153="","",INDEX(GL_Journal!$J:$J,$P153))</f>
        <v/>
      </c>
      <c r="J153" s="32">
        <f>IF($P153="","",INDEX(GL_Journal!$K:$K,$P153))</f>
        <v/>
      </c>
      <c r="K153" s="32">
        <f>IF($P153="","",INDEX(GL_Journal!$L:$L,$P153))</f>
        <v/>
      </c>
      <c r="L153" s="43">
        <f>IF($P153="","",INDEX(GL_Journal!$M:$M,$P153))</f>
        <v/>
      </c>
      <c r="M153" s="43">
        <f>IF($P153="","",INDEX(GL_Journal!$N:$N,$P153))</f>
        <v/>
      </c>
      <c r="N153" s="47">
        <f>IF($P153="","",IF($A153=1,LG_Open,$N152)+$L153-$M153)</f>
        <v/>
      </c>
      <c r="O153" s="32">
        <f>IF($A153&gt;COUNT(GL_Journal!$Y:$Y),"",SMALL(GL_Journal!$Y:$Y,$A153))</f>
        <v/>
      </c>
      <c r="P153" s="32">
        <f>IF($O153="","",MATCH($O153,GL_Journal!$Y:$Y,0))</f>
        <v/>
      </c>
      <c r="Q153" s="32" t="inlineStr"/>
    </row>
    <row r="154">
      <c r="A154" s="32">
        <f>ROW()-12</f>
        <v/>
      </c>
      <c r="B154" s="33">
        <f>IF($P154="","",INDEX(GL_Journal!$D:$D,$P154))</f>
        <v/>
      </c>
      <c r="C154" s="32">
        <f>IF($P154="","",INDEX(GL_Journal!$C:$C,$P154))</f>
        <v/>
      </c>
      <c r="D154" s="32">
        <f>IF($P154="","",INDEX(GL_Journal!$E:$E,$P154))</f>
        <v/>
      </c>
      <c r="E154" s="32">
        <f>IF($P154="","",INDEX(GL_Journal!$F:$F,$P154))</f>
        <v/>
      </c>
      <c r="F154" s="32">
        <f>IF($P154="","",INDEX(GL_Journal!$G:$G,$P154))</f>
        <v/>
      </c>
      <c r="G154" s="32">
        <f>IF($P154="","",INDEX(GL_Journal!$H:$H,$P154))</f>
        <v/>
      </c>
      <c r="H154" s="32">
        <f>IF($P154="","",INDEX(GL_Journal!$I:$I,$P154))</f>
        <v/>
      </c>
      <c r="I154" s="32">
        <f>IF($P154="","",INDEX(GL_Journal!$J:$J,$P154))</f>
        <v/>
      </c>
      <c r="J154" s="32">
        <f>IF($P154="","",INDEX(GL_Journal!$K:$K,$P154))</f>
        <v/>
      </c>
      <c r="K154" s="32">
        <f>IF($P154="","",INDEX(GL_Journal!$L:$L,$P154))</f>
        <v/>
      </c>
      <c r="L154" s="43">
        <f>IF($P154="","",INDEX(GL_Journal!$M:$M,$P154))</f>
        <v/>
      </c>
      <c r="M154" s="43">
        <f>IF($P154="","",INDEX(GL_Journal!$N:$N,$P154))</f>
        <v/>
      </c>
      <c r="N154" s="47">
        <f>IF($P154="","",IF($A154=1,LG_Open,$N153)+$L154-$M154)</f>
        <v/>
      </c>
      <c r="O154" s="32">
        <f>IF($A154&gt;COUNT(GL_Journal!$Y:$Y),"",SMALL(GL_Journal!$Y:$Y,$A154))</f>
        <v/>
      </c>
      <c r="P154" s="32">
        <f>IF($O154="","",MATCH($O154,GL_Journal!$Y:$Y,0))</f>
        <v/>
      </c>
      <c r="Q154" s="32" t="inlineStr"/>
    </row>
    <row r="155">
      <c r="A155" s="32">
        <f>ROW()-12</f>
        <v/>
      </c>
      <c r="B155" s="33">
        <f>IF($P155="","",INDEX(GL_Journal!$D:$D,$P155))</f>
        <v/>
      </c>
      <c r="C155" s="32">
        <f>IF($P155="","",INDEX(GL_Journal!$C:$C,$P155))</f>
        <v/>
      </c>
      <c r="D155" s="32">
        <f>IF($P155="","",INDEX(GL_Journal!$E:$E,$P155))</f>
        <v/>
      </c>
      <c r="E155" s="32">
        <f>IF($P155="","",INDEX(GL_Journal!$F:$F,$P155))</f>
        <v/>
      </c>
      <c r="F155" s="32">
        <f>IF($P155="","",INDEX(GL_Journal!$G:$G,$P155))</f>
        <v/>
      </c>
      <c r="G155" s="32">
        <f>IF($P155="","",INDEX(GL_Journal!$H:$H,$P155))</f>
        <v/>
      </c>
      <c r="H155" s="32">
        <f>IF($P155="","",INDEX(GL_Journal!$I:$I,$P155))</f>
        <v/>
      </c>
      <c r="I155" s="32">
        <f>IF($P155="","",INDEX(GL_Journal!$J:$J,$P155))</f>
        <v/>
      </c>
      <c r="J155" s="32">
        <f>IF($P155="","",INDEX(GL_Journal!$K:$K,$P155))</f>
        <v/>
      </c>
      <c r="K155" s="32">
        <f>IF($P155="","",INDEX(GL_Journal!$L:$L,$P155))</f>
        <v/>
      </c>
      <c r="L155" s="43">
        <f>IF($P155="","",INDEX(GL_Journal!$M:$M,$P155))</f>
        <v/>
      </c>
      <c r="M155" s="43">
        <f>IF($P155="","",INDEX(GL_Journal!$N:$N,$P155))</f>
        <v/>
      </c>
      <c r="N155" s="47">
        <f>IF($P155="","",IF($A155=1,LG_Open,$N154)+$L155-$M155)</f>
        <v/>
      </c>
      <c r="O155" s="32">
        <f>IF($A155&gt;COUNT(GL_Journal!$Y:$Y),"",SMALL(GL_Journal!$Y:$Y,$A155))</f>
        <v/>
      </c>
      <c r="P155" s="32">
        <f>IF($O155="","",MATCH($O155,GL_Journal!$Y:$Y,0))</f>
        <v/>
      </c>
      <c r="Q155" s="32" t="inlineStr"/>
    </row>
    <row r="156">
      <c r="A156" s="32">
        <f>ROW()-12</f>
        <v/>
      </c>
      <c r="B156" s="33">
        <f>IF($P156="","",INDEX(GL_Journal!$D:$D,$P156))</f>
        <v/>
      </c>
      <c r="C156" s="32">
        <f>IF($P156="","",INDEX(GL_Journal!$C:$C,$P156))</f>
        <v/>
      </c>
      <c r="D156" s="32">
        <f>IF($P156="","",INDEX(GL_Journal!$E:$E,$P156))</f>
        <v/>
      </c>
      <c r="E156" s="32">
        <f>IF($P156="","",INDEX(GL_Journal!$F:$F,$P156))</f>
        <v/>
      </c>
      <c r="F156" s="32">
        <f>IF($P156="","",INDEX(GL_Journal!$G:$G,$P156))</f>
        <v/>
      </c>
      <c r="G156" s="32">
        <f>IF($P156="","",INDEX(GL_Journal!$H:$H,$P156))</f>
        <v/>
      </c>
      <c r="H156" s="32">
        <f>IF($P156="","",INDEX(GL_Journal!$I:$I,$P156))</f>
        <v/>
      </c>
      <c r="I156" s="32">
        <f>IF($P156="","",INDEX(GL_Journal!$J:$J,$P156))</f>
        <v/>
      </c>
      <c r="J156" s="32">
        <f>IF($P156="","",INDEX(GL_Journal!$K:$K,$P156))</f>
        <v/>
      </c>
      <c r="K156" s="32">
        <f>IF($P156="","",INDEX(GL_Journal!$L:$L,$P156))</f>
        <v/>
      </c>
      <c r="L156" s="43">
        <f>IF($P156="","",INDEX(GL_Journal!$M:$M,$P156))</f>
        <v/>
      </c>
      <c r="M156" s="43">
        <f>IF($P156="","",INDEX(GL_Journal!$N:$N,$P156))</f>
        <v/>
      </c>
      <c r="N156" s="47">
        <f>IF($P156="","",IF($A156=1,LG_Open,$N155)+$L156-$M156)</f>
        <v/>
      </c>
      <c r="O156" s="32">
        <f>IF($A156&gt;COUNT(GL_Journal!$Y:$Y),"",SMALL(GL_Journal!$Y:$Y,$A156))</f>
        <v/>
      </c>
      <c r="P156" s="32">
        <f>IF($O156="","",MATCH($O156,GL_Journal!$Y:$Y,0))</f>
        <v/>
      </c>
      <c r="Q156" s="32" t="inlineStr"/>
    </row>
    <row r="157">
      <c r="A157" s="32">
        <f>ROW()-12</f>
        <v/>
      </c>
      <c r="B157" s="33">
        <f>IF($P157="","",INDEX(GL_Journal!$D:$D,$P157))</f>
        <v/>
      </c>
      <c r="C157" s="32">
        <f>IF($P157="","",INDEX(GL_Journal!$C:$C,$P157))</f>
        <v/>
      </c>
      <c r="D157" s="32">
        <f>IF($P157="","",INDEX(GL_Journal!$E:$E,$P157))</f>
        <v/>
      </c>
      <c r="E157" s="32">
        <f>IF($P157="","",INDEX(GL_Journal!$F:$F,$P157))</f>
        <v/>
      </c>
      <c r="F157" s="32">
        <f>IF($P157="","",INDEX(GL_Journal!$G:$G,$P157))</f>
        <v/>
      </c>
      <c r="G157" s="32">
        <f>IF($P157="","",INDEX(GL_Journal!$H:$H,$P157))</f>
        <v/>
      </c>
      <c r="H157" s="32">
        <f>IF($P157="","",INDEX(GL_Journal!$I:$I,$P157))</f>
        <v/>
      </c>
      <c r="I157" s="32">
        <f>IF($P157="","",INDEX(GL_Journal!$J:$J,$P157))</f>
        <v/>
      </c>
      <c r="J157" s="32">
        <f>IF($P157="","",INDEX(GL_Journal!$K:$K,$P157))</f>
        <v/>
      </c>
      <c r="K157" s="32">
        <f>IF($P157="","",INDEX(GL_Journal!$L:$L,$P157))</f>
        <v/>
      </c>
      <c r="L157" s="43">
        <f>IF($P157="","",INDEX(GL_Journal!$M:$M,$P157))</f>
        <v/>
      </c>
      <c r="M157" s="43">
        <f>IF($P157="","",INDEX(GL_Journal!$N:$N,$P157))</f>
        <v/>
      </c>
      <c r="N157" s="47">
        <f>IF($P157="","",IF($A157=1,LG_Open,$N156)+$L157-$M157)</f>
        <v/>
      </c>
      <c r="O157" s="32">
        <f>IF($A157&gt;COUNT(GL_Journal!$Y:$Y),"",SMALL(GL_Journal!$Y:$Y,$A157))</f>
        <v/>
      </c>
      <c r="P157" s="32">
        <f>IF($O157="","",MATCH($O157,GL_Journal!$Y:$Y,0))</f>
        <v/>
      </c>
      <c r="Q157" s="32" t="inlineStr"/>
    </row>
    <row r="158">
      <c r="A158" s="32">
        <f>ROW()-12</f>
        <v/>
      </c>
      <c r="B158" s="33">
        <f>IF($P158="","",INDEX(GL_Journal!$D:$D,$P158))</f>
        <v/>
      </c>
      <c r="C158" s="32">
        <f>IF($P158="","",INDEX(GL_Journal!$C:$C,$P158))</f>
        <v/>
      </c>
      <c r="D158" s="32">
        <f>IF($P158="","",INDEX(GL_Journal!$E:$E,$P158))</f>
        <v/>
      </c>
      <c r="E158" s="32">
        <f>IF($P158="","",INDEX(GL_Journal!$F:$F,$P158))</f>
        <v/>
      </c>
      <c r="F158" s="32">
        <f>IF($P158="","",INDEX(GL_Journal!$G:$G,$P158))</f>
        <v/>
      </c>
      <c r="G158" s="32">
        <f>IF($P158="","",INDEX(GL_Journal!$H:$H,$P158))</f>
        <v/>
      </c>
      <c r="H158" s="32">
        <f>IF($P158="","",INDEX(GL_Journal!$I:$I,$P158))</f>
        <v/>
      </c>
      <c r="I158" s="32">
        <f>IF($P158="","",INDEX(GL_Journal!$J:$J,$P158))</f>
        <v/>
      </c>
      <c r="J158" s="32">
        <f>IF($P158="","",INDEX(GL_Journal!$K:$K,$P158))</f>
        <v/>
      </c>
      <c r="K158" s="32">
        <f>IF($P158="","",INDEX(GL_Journal!$L:$L,$P158))</f>
        <v/>
      </c>
      <c r="L158" s="43">
        <f>IF($P158="","",INDEX(GL_Journal!$M:$M,$P158))</f>
        <v/>
      </c>
      <c r="M158" s="43">
        <f>IF($P158="","",INDEX(GL_Journal!$N:$N,$P158))</f>
        <v/>
      </c>
      <c r="N158" s="47">
        <f>IF($P158="","",IF($A158=1,LG_Open,$N157)+$L158-$M158)</f>
        <v/>
      </c>
      <c r="O158" s="32">
        <f>IF($A158&gt;COUNT(GL_Journal!$Y:$Y),"",SMALL(GL_Journal!$Y:$Y,$A158))</f>
        <v/>
      </c>
      <c r="P158" s="32">
        <f>IF($O158="","",MATCH($O158,GL_Journal!$Y:$Y,0))</f>
        <v/>
      </c>
      <c r="Q158" s="32" t="inlineStr"/>
    </row>
    <row r="159">
      <c r="A159" s="32">
        <f>ROW()-12</f>
        <v/>
      </c>
      <c r="B159" s="33">
        <f>IF($P159="","",INDEX(GL_Journal!$D:$D,$P159))</f>
        <v/>
      </c>
      <c r="C159" s="32">
        <f>IF($P159="","",INDEX(GL_Journal!$C:$C,$P159))</f>
        <v/>
      </c>
      <c r="D159" s="32">
        <f>IF($P159="","",INDEX(GL_Journal!$E:$E,$P159))</f>
        <v/>
      </c>
      <c r="E159" s="32">
        <f>IF($P159="","",INDEX(GL_Journal!$F:$F,$P159))</f>
        <v/>
      </c>
      <c r="F159" s="32">
        <f>IF($P159="","",INDEX(GL_Journal!$G:$G,$P159))</f>
        <v/>
      </c>
      <c r="G159" s="32">
        <f>IF($P159="","",INDEX(GL_Journal!$H:$H,$P159))</f>
        <v/>
      </c>
      <c r="H159" s="32">
        <f>IF($P159="","",INDEX(GL_Journal!$I:$I,$P159))</f>
        <v/>
      </c>
      <c r="I159" s="32">
        <f>IF($P159="","",INDEX(GL_Journal!$J:$J,$P159))</f>
        <v/>
      </c>
      <c r="J159" s="32">
        <f>IF($P159="","",INDEX(GL_Journal!$K:$K,$P159))</f>
        <v/>
      </c>
      <c r="K159" s="32">
        <f>IF($P159="","",INDEX(GL_Journal!$L:$L,$P159))</f>
        <v/>
      </c>
      <c r="L159" s="43">
        <f>IF($P159="","",INDEX(GL_Journal!$M:$M,$P159))</f>
        <v/>
      </c>
      <c r="M159" s="43">
        <f>IF($P159="","",INDEX(GL_Journal!$N:$N,$P159))</f>
        <v/>
      </c>
      <c r="N159" s="47">
        <f>IF($P159="","",IF($A159=1,LG_Open,$N158)+$L159-$M159)</f>
        <v/>
      </c>
      <c r="O159" s="32">
        <f>IF($A159&gt;COUNT(GL_Journal!$Y:$Y),"",SMALL(GL_Journal!$Y:$Y,$A159))</f>
        <v/>
      </c>
      <c r="P159" s="32">
        <f>IF($O159="","",MATCH($O159,GL_Journal!$Y:$Y,0))</f>
        <v/>
      </c>
      <c r="Q159" s="32" t="inlineStr"/>
    </row>
    <row r="160">
      <c r="A160" s="32">
        <f>ROW()-12</f>
        <v/>
      </c>
      <c r="B160" s="33">
        <f>IF($P160="","",INDEX(GL_Journal!$D:$D,$P160))</f>
        <v/>
      </c>
      <c r="C160" s="32">
        <f>IF($P160="","",INDEX(GL_Journal!$C:$C,$P160))</f>
        <v/>
      </c>
      <c r="D160" s="32">
        <f>IF($P160="","",INDEX(GL_Journal!$E:$E,$P160))</f>
        <v/>
      </c>
      <c r="E160" s="32">
        <f>IF($P160="","",INDEX(GL_Journal!$F:$F,$P160))</f>
        <v/>
      </c>
      <c r="F160" s="32">
        <f>IF($P160="","",INDEX(GL_Journal!$G:$G,$P160))</f>
        <v/>
      </c>
      <c r="G160" s="32">
        <f>IF($P160="","",INDEX(GL_Journal!$H:$H,$P160))</f>
        <v/>
      </c>
      <c r="H160" s="32">
        <f>IF($P160="","",INDEX(GL_Journal!$I:$I,$P160))</f>
        <v/>
      </c>
      <c r="I160" s="32">
        <f>IF($P160="","",INDEX(GL_Journal!$J:$J,$P160))</f>
        <v/>
      </c>
      <c r="J160" s="32">
        <f>IF($P160="","",INDEX(GL_Journal!$K:$K,$P160))</f>
        <v/>
      </c>
      <c r="K160" s="32">
        <f>IF($P160="","",INDEX(GL_Journal!$L:$L,$P160))</f>
        <v/>
      </c>
      <c r="L160" s="43">
        <f>IF($P160="","",INDEX(GL_Journal!$M:$M,$P160))</f>
        <v/>
      </c>
      <c r="M160" s="43">
        <f>IF($P160="","",INDEX(GL_Journal!$N:$N,$P160))</f>
        <v/>
      </c>
      <c r="N160" s="47">
        <f>IF($P160="","",IF($A160=1,LG_Open,$N159)+$L160-$M160)</f>
        <v/>
      </c>
      <c r="O160" s="32">
        <f>IF($A160&gt;COUNT(GL_Journal!$Y:$Y),"",SMALL(GL_Journal!$Y:$Y,$A160))</f>
        <v/>
      </c>
      <c r="P160" s="32">
        <f>IF($O160="","",MATCH($O160,GL_Journal!$Y:$Y,0))</f>
        <v/>
      </c>
      <c r="Q160" s="32" t="inlineStr"/>
    </row>
    <row r="161">
      <c r="A161" s="32">
        <f>ROW()-12</f>
        <v/>
      </c>
      <c r="B161" s="33">
        <f>IF($P161="","",INDEX(GL_Journal!$D:$D,$P161))</f>
        <v/>
      </c>
      <c r="C161" s="32">
        <f>IF($P161="","",INDEX(GL_Journal!$C:$C,$P161))</f>
        <v/>
      </c>
      <c r="D161" s="32">
        <f>IF($P161="","",INDEX(GL_Journal!$E:$E,$P161))</f>
        <v/>
      </c>
      <c r="E161" s="32">
        <f>IF($P161="","",INDEX(GL_Journal!$F:$F,$P161))</f>
        <v/>
      </c>
      <c r="F161" s="32">
        <f>IF($P161="","",INDEX(GL_Journal!$G:$G,$P161))</f>
        <v/>
      </c>
      <c r="G161" s="32">
        <f>IF($P161="","",INDEX(GL_Journal!$H:$H,$P161))</f>
        <v/>
      </c>
      <c r="H161" s="32">
        <f>IF($P161="","",INDEX(GL_Journal!$I:$I,$P161))</f>
        <v/>
      </c>
      <c r="I161" s="32">
        <f>IF($P161="","",INDEX(GL_Journal!$J:$J,$P161))</f>
        <v/>
      </c>
      <c r="J161" s="32">
        <f>IF($P161="","",INDEX(GL_Journal!$K:$K,$P161))</f>
        <v/>
      </c>
      <c r="K161" s="32">
        <f>IF($P161="","",INDEX(GL_Journal!$L:$L,$P161))</f>
        <v/>
      </c>
      <c r="L161" s="43">
        <f>IF($P161="","",INDEX(GL_Journal!$M:$M,$P161))</f>
        <v/>
      </c>
      <c r="M161" s="43">
        <f>IF($P161="","",INDEX(GL_Journal!$N:$N,$P161))</f>
        <v/>
      </c>
      <c r="N161" s="47">
        <f>IF($P161="","",IF($A161=1,LG_Open,$N160)+$L161-$M161)</f>
        <v/>
      </c>
      <c r="O161" s="32">
        <f>IF($A161&gt;COUNT(GL_Journal!$Y:$Y),"",SMALL(GL_Journal!$Y:$Y,$A161))</f>
        <v/>
      </c>
      <c r="P161" s="32">
        <f>IF($O161="","",MATCH($O161,GL_Journal!$Y:$Y,0))</f>
        <v/>
      </c>
      <c r="Q161" s="32" t="inlineStr"/>
    </row>
    <row r="162">
      <c r="A162" s="32">
        <f>ROW()-12</f>
        <v/>
      </c>
      <c r="B162" s="33">
        <f>IF($P162="","",INDEX(GL_Journal!$D:$D,$P162))</f>
        <v/>
      </c>
      <c r="C162" s="32">
        <f>IF($P162="","",INDEX(GL_Journal!$C:$C,$P162))</f>
        <v/>
      </c>
      <c r="D162" s="32">
        <f>IF($P162="","",INDEX(GL_Journal!$E:$E,$P162))</f>
        <v/>
      </c>
      <c r="E162" s="32">
        <f>IF($P162="","",INDEX(GL_Journal!$F:$F,$P162))</f>
        <v/>
      </c>
      <c r="F162" s="32">
        <f>IF($P162="","",INDEX(GL_Journal!$G:$G,$P162))</f>
        <v/>
      </c>
      <c r="G162" s="32">
        <f>IF($P162="","",INDEX(GL_Journal!$H:$H,$P162))</f>
        <v/>
      </c>
      <c r="H162" s="32">
        <f>IF($P162="","",INDEX(GL_Journal!$I:$I,$P162))</f>
        <v/>
      </c>
      <c r="I162" s="32">
        <f>IF($P162="","",INDEX(GL_Journal!$J:$J,$P162))</f>
        <v/>
      </c>
      <c r="J162" s="32">
        <f>IF($P162="","",INDEX(GL_Journal!$K:$K,$P162))</f>
        <v/>
      </c>
      <c r="K162" s="32">
        <f>IF($P162="","",INDEX(GL_Journal!$L:$L,$P162))</f>
        <v/>
      </c>
      <c r="L162" s="43">
        <f>IF($P162="","",INDEX(GL_Journal!$M:$M,$P162))</f>
        <v/>
      </c>
      <c r="M162" s="43">
        <f>IF($P162="","",INDEX(GL_Journal!$N:$N,$P162))</f>
        <v/>
      </c>
      <c r="N162" s="47">
        <f>IF($P162="","",IF($A162=1,LG_Open,$N161)+$L162-$M162)</f>
        <v/>
      </c>
      <c r="O162" s="32">
        <f>IF($A162&gt;COUNT(GL_Journal!$Y:$Y),"",SMALL(GL_Journal!$Y:$Y,$A162))</f>
        <v/>
      </c>
      <c r="P162" s="32">
        <f>IF($O162="","",MATCH($O162,GL_Journal!$Y:$Y,0))</f>
        <v/>
      </c>
      <c r="Q162" s="32" t="inlineStr"/>
    </row>
    <row r="163">
      <c r="A163" s="32">
        <f>ROW()-12</f>
        <v/>
      </c>
      <c r="B163" s="33">
        <f>IF($P163="","",INDEX(GL_Journal!$D:$D,$P163))</f>
        <v/>
      </c>
      <c r="C163" s="32">
        <f>IF($P163="","",INDEX(GL_Journal!$C:$C,$P163))</f>
        <v/>
      </c>
      <c r="D163" s="32">
        <f>IF($P163="","",INDEX(GL_Journal!$E:$E,$P163))</f>
        <v/>
      </c>
      <c r="E163" s="32">
        <f>IF($P163="","",INDEX(GL_Journal!$F:$F,$P163))</f>
        <v/>
      </c>
      <c r="F163" s="32">
        <f>IF($P163="","",INDEX(GL_Journal!$G:$G,$P163))</f>
        <v/>
      </c>
      <c r="G163" s="32">
        <f>IF($P163="","",INDEX(GL_Journal!$H:$H,$P163))</f>
        <v/>
      </c>
      <c r="H163" s="32">
        <f>IF($P163="","",INDEX(GL_Journal!$I:$I,$P163))</f>
        <v/>
      </c>
      <c r="I163" s="32">
        <f>IF($P163="","",INDEX(GL_Journal!$J:$J,$P163))</f>
        <v/>
      </c>
      <c r="J163" s="32">
        <f>IF($P163="","",INDEX(GL_Journal!$K:$K,$P163))</f>
        <v/>
      </c>
      <c r="K163" s="32">
        <f>IF($P163="","",INDEX(GL_Journal!$L:$L,$P163))</f>
        <v/>
      </c>
      <c r="L163" s="43">
        <f>IF($P163="","",INDEX(GL_Journal!$M:$M,$P163))</f>
        <v/>
      </c>
      <c r="M163" s="43">
        <f>IF($P163="","",INDEX(GL_Journal!$N:$N,$P163))</f>
        <v/>
      </c>
      <c r="N163" s="47">
        <f>IF($P163="","",IF($A163=1,LG_Open,$N162)+$L163-$M163)</f>
        <v/>
      </c>
      <c r="O163" s="32">
        <f>IF($A163&gt;COUNT(GL_Journal!$Y:$Y),"",SMALL(GL_Journal!$Y:$Y,$A163))</f>
        <v/>
      </c>
      <c r="P163" s="32">
        <f>IF($O163="","",MATCH($O163,GL_Journal!$Y:$Y,0))</f>
        <v/>
      </c>
      <c r="Q163" s="32" t="inlineStr"/>
    </row>
    <row r="164">
      <c r="A164" s="32">
        <f>ROW()-12</f>
        <v/>
      </c>
      <c r="B164" s="33">
        <f>IF($P164="","",INDEX(GL_Journal!$D:$D,$P164))</f>
        <v/>
      </c>
      <c r="C164" s="32">
        <f>IF($P164="","",INDEX(GL_Journal!$C:$C,$P164))</f>
        <v/>
      </c>
      <c r="D164" s="32">
        <f>IF($P164="","",INDEX(GL_Journal!$E:$E,$P164))</f>
        <v/>
      </c>
      <c r="E164" s="32">
        <f>IF($P164="","",INDEX(GL_Journal!$F:$F,$P164))</f>
        <v/>
      </c>
      <c r="F164" s="32">
        <f>IF($P164="","",INDEX(GL_Journal!$G:$G,$P164))</f>
        <v/>
      </c>
      <c r="G164" s="32">
        <f>IF($P164="","",INDEX(GL_Journal!$H:$H,$P164))</f>
        <v/>
      </c>
      <c r="H164" s="32">
        <f>IF($P164="","",INDEX(GL_Journal!$I:$I,$P164))</f>
        <v/>
      </c>
      <c r="I164" s="32">
        <f>IF($P164="","",INDEX(GL_Journal!$J:$J,$P164))</f>
        <v/>
      </c>
      <c r="J164" s="32">
        <f>IF($P164="","",INDEX(GL_Journal!$K:$K,$P164))</f>
        <v/>
      </c>
      <c r="K164" s="32">
        <f>IF($P164="","",INDEX(GL_Journal!$L:$L,$P164))</f>
        <v/>
      </c>
      <c r="L164" s="43">
        <f>IF($P164="","",INDEX(GL_Journal!$M:$M,$P164))</f>
        <v/>
      </c>
      <c r="M164" s="43">
        <f>IF($P164="","",INDEX(GL_Journal!$N:$N,$P164))</f>
        <v/>
      </c>
      <c r="N164" s="47">
        <f>IF($P164="","",IF($A164=1,LG_Open,$N163)+$L164-$M164)</f>
        <v/>
      </c>
      <c r="O164" s="32">
        <f>IF($A164&gt;COUNT(GL_Journal!$Y:$Y),"",SMALL(GL_Journal!$Y:$Y,$A164))</f>
        <v/>
      </c>
      <c r="P164" s="32">
        <f>IF($O164="","",MATCH($O164,GL_Journal!$Y:$Y,0))</f>
        <v/>
      </c>
      <c r="Q164" s="32" t="inlineStr"/>
    </row>
    <row r="165">
      <c r="A165" s="32">
        <f>ROW()-12</f>
        <v/>
      </c>
      <c r="B165" s="33">
        <f>IF($P165="","",INDEX(GL_Journal!$D:$D,$P165))</f>
        <v/>
      </c>
      <c r="C165" s="32">
        <f>IF($P165="","",INDEX(GL_Journal!$C:$C,$P165))</f>
        <v/>
      </c>
      <c r="D165" s="32">
        <f>IF($P165="","",INDEX(GL_Journal!$E:$E,$P165))</f>
        <v/>
      </c>
      <c r="E165" s="32">
        <f>IF($P165="","",INDEX(GL_Journal!$F:$F,$P165))</f>
        <v/>
      </c>
      <c r="F165" s="32">
        <f>IF($P165="","",INDEX(GL_Journal!$G:$G,$P165))</f>
        <v/>
      </c>
      <c r="G165" s="32">
        <f>IF($P165="","",INDEX(GL_Journal!$H:$H,$P165))</f>
        <v/>
      </c>
      <c r="H165" s="32">
        <f>IF($P165="","",INDEX(GL_Journal!$I:$I,$P165))</f>
        <v/>
      </c>
      <c r="I165" s="32">
        <f>IF($P165="","",INDEX(GL_Journal!$J:$J,$P165))</f>
        <v/>
      </c>
      <c r="J165" s="32">
        <f>IF($P165="","",INDEX(GL_Journal!$K:$K,$P165))</f>
        <v/>
      </c>
      <c r="K165" s="32">
        <f>IF($P165="","",INDEX(GL_Journal!$L:$L,$P165))</f>
        <v/>
      </c>
      <c r="L165" s="43">
        <f>IF($P165="","",INDEX(GL_Journal!$M:$M,$P165))</f>
        <v/>
      </c>
      <c r="M165" s="43">
        <f>IF($P165="","",INDEX(GL_Journal!$N:$N,$P165))</f>
        <v/>
      </c>
      <c r="N165" s="47">
        <f>IF($P165="","",IF($A165=1,LG_Open,$N164)+$L165-$M165)</f>
        <v/>
      </c>
      <c r="O165" s="32">
        <f>IF($A165&gt;COUNT(GL_Journal!$Y:$Y),"",SMALL(GL_Journal!$Y:$Y,$A165))</f>
        <v/>
      </c>
      <c r="P165" s="32">
        <f>IF($O165="","",MATCH($O165,GL_Journal!$Y:$Y,0))</f>
        <v/>
      </c>
      <c r="Q165" s="32" t="inlineStr"/>
    </row>
    <row r="166">
      <c r="A166" s="32">
        <f>ROW()-12</f>
        <v/>
      </c>
      <c r="B166" s="33">
        <f>IF($P166="","",INDEX(GL_Journal!$D:$D,$P166))</f>
        <v/>
      </c>
      <c r="C166" s="32">
        <f>IF($P166="","",INDEX(GL_Journal!$C:$C,$P166))</f>
        <v/>
      </c>
      <c r="D166" s="32">
        <f>IF($P166="","",INDEX(GL_Journal!$E:$E,$P166))</f>
        <v/>
      </c>
      <c r="E166" s="32">
        <f>IF($P166="","",INDEX(GL_Journal!$F:$F,$P166))</f>
        <v/>
      </c>
      <c r="F166" s="32">
        <f>IF($P166="","",INDEX(GL_Journal!$G:$G,$P166))</f>
        <v/>
      </c>
      <c r="G166" s="32">
        <f>IF($P166="","",INDEX(GL_Journal!$H:$H,$P166))</f>
        <v/>
      </c>
      <c r="H166" s="32">
        <f>IF($P166="","",INDEX(GL_Journal!$I:$I,$P166))</f>
        <v/>
      </c>
      <c r="I166" s="32">
        <f>IF($P166="","",INDEX(GL_Journal!$J:$J,$P166))</f>
        <v/>
      </c>
      <c r="J166" s="32">
        <f>IF($P166="","",INDEX(GL_Journal!$K:$K,$P166))</f>
        <v/>
      </c>
      <c r="K166" s="32">
        <f>IF($P166="","",INDEX(GL_Journal!$L:$L,$P166))</f>
        <v/>
      </c>
      <c r="L166" s="43">
        <f>IF($P166="","",INDEX(GL_Journal!$M:$M,$P166))</f>
        <v/>
      </c>
      <c r="M166" s="43">
        <f>IF($P166="","",INDEX(GL_Journal!$N:$N,$P166))</f>
        <v/>
      </c>
      <c r="N166" s="47">
        <f>IF($P166="","",IF($A166=1,LG_Open,$N165)+$L166-$M166)</f>
        <v/>
      </c>
      <c r="O166" s="32">
        <f>IF($A166&gt;COUNT(GL_Journal!$Y:$Y),"",SMALL(GL_Journal!$Y:$Y,$A166))</f>
        <v/>
      </c>
      <c r="P166" s="32">
        <f>IF($O166="","",MATCH($O166,GL_Journal!$Y:$Y,0))</f>
        <v/>
      </c>
      <c r="Q166" s="32" t="inlineStr"/>
    </row>
    <row r="167">
      <c r="A167" s="32">
        <f>ROW()-12</f>
        <v/>
      </c>
      <c r="B167" s="33">
        <f>IF($P167="","",INDEX(GL_Journal!$D:$D,$P167))</f>
        <v/>
      </c>
      <c r="C167" s="32">
        <f>IF($P167="","",INDEX(GL_Journal!$C:$C,$P167))</f>
        <v/>
      </c>
      <c r="D167" s="32">
        <f>IF($P167="","",INDEX(GL_Journal!$E:$E,$P167))</f>
        <v/>
      </c>
      <c r="E167" s="32">
        <f>IF($P167="","",INDEX(GL_Journal!$F:$F,$P167))</f>
        <v/>
      </c>
      <c r="F167" s="32">
        <f>IF($P167="","",INDEX(GL_Journal!$G:$G,$P167))</f>
        <v/>
      </c>
      <c r="G167" s="32">
        <f>IF($P167="","",INDEX(GL_Journal!$H:$H,$P167))</f>
        <v/>
      </c>
      <c r="H167" s="32">
        <f>IF($P167="","",INDEX(GL_Journal!$I:$I,$P167))</f>
        <v/>
      </c>
      <c r="I167" s="32">
        <f>IF($P167="","",INDEX(GL_Journal!$J:$J,$P167))</f>
        <v/>
      </c>
      <c r="J167" s="32">
        <f>IF($P167="","",INDEX(GL_Journal!$K:$K,$P167))</f>
        <v/>
      </c>
      <c r="K167" s="32">
        <f>IF($P167="","",INDEX(GL_Journal!$L:$L,$P167))</f>
        <v/>
      </c>
      <c r="L167" s="43">
        <f>IF($P167="","",INDEX(GL_Journal!$M:$M,$P167))</f>
        <v/>
      </c>
      <c r="M167" s="43">
        <f>IF($P167="","",INDEX(GL_Journal!$N:$N,$P167))</f>
        <v/>
      </c>
      <c r="N167" s="47">
        <f>IF($P167="","",IF($A167=1,LG_Open,$N166)+$L167-$M167)</f>
        <v/>
      </c>
      <c r="O167" s="32">
        <f>IF($A167&gt;COUNT(GL_Journal!$Y:$Y),"",SMALL(GL_Journal!$Y:$Y,$A167))</f>
        <v/>
      </c>
      <c r="P167" s="32">
        <f>IF($O167="","",MATCH($O167,GL_Journal!$Y:$Y,0))</f>
        <v/>
      </c>
      <c r="Q167" s="32" t="inlineStr"/>
    </row>
    <row r="168">
      <c r="A168" s="32">
        <f>ROW()-12</f>
        <v/>
      </c>
      <c r="B168" s="33">
        <f>IF($P168="","",INDEX(GL_Journal!$D:$D,$P168))</f>
        <v/>
      </c>
      <c r="C168" s="32">
        <f>IF($P168="","",INDEX(GL_Journal!$C:$C,$P168))</f>
        <v/>
      </c>
      <c r="D168" s="32">
        <f>IF($P168="","",INDEX(GL_Journal!$E:$E,$P168))</f>
        <v/>
      </c>
      <c r="E168" s="32">
        <f>IF($P168="","",INDEX(GL_Journal!$F:$F,$P168))</f>
        <v/>
      </c>
      <c r="F168" s="32">
        <f>IF($P168="","",INDEX(GL_Journal!$G:$G,$P168))</f>
        <v/>
      </c>
      <c r="G168" s="32">
        <f>IF($P168="","",INDEX(GL_Journal!$H:$H,$P168))</f>
        <v/>
      </c>
      <c r="H168" s="32">
        <f>IF($P168="","",INDEX(GL_Journal!$I:$I,$P168))</f>
        <v/>
      </c>
      <c r="I168" s="32">
        <f>IF($P168="","",INDEX(GL_Journal!$J:$J,$P168))</f>
        <v/>
      </c>
      <c r="J168" s="32">
        <f>IF($P168="","",INDEX(GL_Journal!$K:$K,$P168))</f>
        <v/>
      </c>
      <c r="K168" s="32">
        <f>IF($P168="","",INDEX(GL_Journal!$L:$L,$P168))</f>
        <v/>
      </c>
      <c r="L168" s="43">
        <f>IF($P168="","",INDEX(GL_Journal!$M:$M,$P168))</f>
        <v/>
      </c>
      <c r="M168" s="43">
        <f>IF($P168="","",INDEX(GL_Journal!$N:$N,$P168))</f>
        <v/>
      </c>
      <c r="N168" s="47">
        <f>IF($P168="","",IF($A168=1,LG_Open,$N167)+$L168-$M168)</f>
        <v/>
      </c>
      <c r="O168" s="32">
        <f>IF($A168&gt;COUNT(GL_Journal!$Y:$Y),"",SMALL(GL_Journal!$Y:$Y,$A168))</f>
        <v/>
      </c>
      <c r="P168" s="32">
        <f>IF($O168="","",MATCH($O168,GL_Journal!$Y:$Y,0))</f>
        <v/>
      </c>
      <c r="Q168" s="32" t="inlineStr"/>
    </row>
    <row r="169">
      <c r="A169" s="32">
        <f>ROW()-12</f>
        <v/>
      </c>
      <c r="B169" s="33">
        <f>IF($P169="","",INDEX(GL_Journal!$D:$D,$P169))</f>
        <v/>
      </c>
      <c r="C169" s="32">
        <f>IF($P169="","",INDEX(GL_Journal!$C:$C,$P169))</f>
        <v/>
      </c>
      <c r="D169" s="32">
        <f>IF($P169="","",INDEX(GL_Journal!$E:$E,$P169))</f>
        <v/>
      </c>
      <c r="E169" s="32">
        <f>IF($P169="","",INDEX(GL_Journal!$F:$F,$P169))</f>
        <v/>
      </c>
      <c r="F169" s="32">
        <f>IF($P169="","",INDEX(GL_Journal!$G:$G,$P169))</f>
        <v/>
      </c>
      <c r="G169" s="32">
        <f>IF($P169="","",INDEX(GL_Journal!$H:$H,$P169))</f>
        <v/>
      </c>
      <c r="H169" s="32">
        <f>IF($P169="","",INDEX(GL_Journal!$I:$I,$P169))</f>
        <v/>
      </c>
      <c r="I169" s="32">
        <f>IF($P169="","",INDEX(GL_Journal!$J:$J,$P169))</f>
        <v/>
      </c>
      <c r="J169" s="32">
        <f>IF($P169="","",INDEX(GL_Journal!$K:$K,$P169))</f>
        <v/>
      </c>
      <c r="K169" s="32">
        <f>IF($P169="","",INDEX(GL_Journal!$L:$L,$P169))</f>
        <v/>
      </c>
      <c r="L169" s="43">
        <f>IF($P169="","",INDEX(GL_Journal!$M:$M,$P169))</f>
        <v/>
      </c>
      <c r="M169" s="43">
        <f>IF($P169="","",INDEX(GL_Journal!$N:$N,$P169))</f>
        <v/>
      </c>
      <c r="N169" s="47">
        <f>IF($P169="","",IF($A169=1,LG_Open,$N168)+$L169-$M169)</f>
        <v/>
      </c>
      <c r="O169" s="32">
        <f>IF($A169&gt;COUNT(GL_Journal!$Y:$Y),"",SMALL(GL_Journal!$Y:$Y,$A169))</f>
        <v/>
      </c>
      <c r="P169" s="32">
        <f>IF($O169="","",MATCH($O169,GL_Journal!$Y:$Y,0))</f>
        <v/>
      </c>
      <c r="Q169" s="32" t="inlineStr"/>
    </row>
    <row r="170">
      <c r="A170" s="32">
        <f>ROW()-12</f>
        <v/>
      </c>
      <c r="B170" s="33">
        <f>IF($P170="","",INDEX(GL_Journal!$D:$D,$P170))</f>
        <v/>
      </c>
      <c r="C170" s="32">
        <f>IF($P170="","",INDEX(GL_Journal!$C:$C,$P170))</f>
        <v/>
      </c>
      <c r="D170" s="32">
        <f>IF($P170="","",INDEX(GL_Journal!$E:$E,$P170))</f>
        <v/>
      </c>
      <c r="E170" s="32">
        <f>IF($P170="","",INDEX(GL_Journal!$F:$F,$P170))</f>
        <v/>
      </c>
      <c r="F170" s="32">
        <f>IF($P170="","",INDEX(GL_Journal!$G:$G,$P170))</f>
        <v/>
      </c>
      <c r="G170" s="32">
        <f>IF($P170="","",INDEX(GL_Journal!$H:$H,$P170))</f>
        <v/>
      </c>
      <c r="H170" s="32">
        <f>IF($P170="","",INDEX(GL_Journal!$I:$I,$P170))</f>
        <v/>
      </c>
      <c r="I170" s="32">
        <f>IF($P170="","",INDEX(GL_Journal!$J:$J,$P170))</f>
        <v/>
      </c>
      <c r="J170" s="32">
        <f>IF($P170="","",INDEX(GL_Journal!$K:$K,$P170))</f>
        <v/>
      </c>
      <c r="K170" s="32">
        <f>IF($P170="","",INDEX(GL_Journal!$L:$L,$P170))</f>
        <v/>
      </c>
      <c r="L170" s="43">
        <f>IF($P170="","",INDEX(GL_Journal!$M:$M,$P170))</f>
        <v/>
      </c>
      <c r="M170" s="43">
        <f>IF($P170="","",INDEX(GL_Journal!$N:$N,$P170))</f>
        <v/>
      </c>
      <c r="N170" s="47">
        <f>IF($P170="","",IF($A170=1,LG_Open,$N169)+$L170-$M170)</f>
        <v/>
      </c>
      <c r="O170" s="32">
        <f>IF($A170&gt;COUNT(GL_Journal!$Y:$Y),"",SMALL(GL_Journal!$Y:$Y,$A170))</f>
        <v/>
      </c>
      <c r="P170" s="32">
        <f>IF($O170="","",MATCH($O170,GL_Journal!$Y:$Y,0))</f>
        <v/>
      </c>
      <c r="Q170" s="32" t="inlineStr"/>
    </row>
    <row r="171">
      <c r="A171" s="32">
        <f>ROW()-12</f>
        <v/>
      </c>
      <c r="B171" s="33">
        <f>IF($P171="","",INDEX(GL_Journal!$D:$D,$P171))</f>
        <v/>
      </c>
      <c r="C171" s="32">
        <f>IF($P171="","",INDEX(GL_Journal!$C:$C,$P171))</f>
        <v/>
      </c>
      <c r="D171" s="32">
        <f>IF($P171="","",INDEX(GL_Journal!$E:$E,$P171))</f>
        <v/>
      </c>
      <c r="E171" s="32">
        <f>IF($P171="","",INDEX(GL_Journal!$F:$F,$P171))</f>
        <v/>
      </c>
      <c r="F171" s="32">
        <f>IF($P171="","",INDEX(GL_Journal!$G:$G,$P171))</f>
        <v/>
      </c>
      <c r="G171" s="32">
        <f>IF($P171="","",INDEX(GL_Journal!$H:$H,$P171))</f>
        <v/>
      </c>
      <c r="H171" s="32">
        <f>IF($P171="","",INDEX(GL_Journal!$I:$I,$P171))</f>
        <v/>
      </c>
      <c r="I171" s="32">
        <f>IF($P171="","",INDEX(GL_Journal!$J:$J,$P171))</f>
        <v/>
      </c>
      <c r="J171" s="32">
        <f>IF($P171="","",INDEX(GL_Journal!$K:$K,$P171))</f>
        <v/>
      </c>
      <c r="K171" s="32">
        <f>IF($P171="","",INDEX(GL_Journal!$L:$L,$P171))</f>
        <v/>
      </c>
      <c r="L171" s="43">
        <f>IF($P171="","",INDEX(GL_Journal!$M:$M,$P171))</f>
        <v/>
      </c>
      <c r="M171" s="43">
        <f>IF($P171="","",INDEX(GL_Journal!$N:$N,$P171))</f>
        <v/>
      </c>
      <c r="N171" s="47">
        <f>IF($P171="","",IF($A171=1,LG_Open,$N170)+$L171-$M171)</f>
        <v/>
      </c>
      <c r="O171" s="32">
        <f>IF($A171&gt;COUNT(GL_Journal!$Y:$Y),"",SMALL(GL_Journal!$Y:$Y,$A171))</f>
        <v/>
      </c>
      <c r="P171" s="32">
        <f>IF($O171="","",MATCH($O171,GL_Journal!$Y:$Y,0))</f>
        <v/>
      </c>
      <c r="Q171" s="32" t="inlineStr"/>
    </row>
    <row r="172">
      <c r="A172" s="32">
        <f>ROW()-12</f>
        <v/>
      </c>
      <c r="B172" s="33">
        <f>IF($P172="","",INDEX(GL_Journal!$D:$D,$P172))</f>
        <v/>
      </c>
      <c r="C172" s="32">
        <f>IF($P172="","",INDEX(GL_Journal!$C:$C,$P172))</f>
        <v/>
      </c>
      <c r="D172" s="32">
        <f>IF($P172="","",INDEX(GL_Journal!$E:$E,$P172))</f>
        <v/>
      </c>
      <c r="E172" s="32">
        <f>IF($P172="","",INDEX(GL_Journal!$F:$F,$P172))</f>
        <v/>
      </c>
      <c r="F172" s="32">
        <f>IF($P172="","",INDEX(GL_Journal!$G:$G,$P172))</f>
        <v/>
      </c>
      <c r="G172" s="32">
        <f>IF($P172="","",INDEX(GL_Journal!$H:$H,$P172))</f>
        <v/>
      </c>
      <c r="H172" s="32">
        <f>IF($P172="","",INDEX(GL_Journal!$I:$I,$P172))</f>
        <v/>
      </c>
      <c r="I172" s="32">
        <f>IF($P172="","",INDEX(GL_Journal!$J:$J,$P172))</f>
        <v/>
      </c>
      <c r="J172" s="32">
        <f>IF($P172="","",INDEX(GL_Journal!$K:$K,$P172))</f>
        <v/>
      </c>
      <c r="K172" s="32">
        <f>IF($P172="","",INDEX(GL_Journal!$L:$L,$P172))</f>
        <v/>
      </c>
      <c r="L172" s="43">
        <f>IF($P172="","",INDEX(GL_Journal!$M:$M,$P172))</f>
        <v/>
      </c>
      <c r="M172" s="43">
        <f>IF($P172="","",INDEX(GL_Journal!$N:$N,$P172))</f>
        <v/>
      </c>
      <c r="N172" s="47">
        <f>IF($P172="","",IF($A172=1,LG_Open,$N171)+$L172-$M172)</f>
        <v/>
      </c>
      <c r="O172" s="32">
        <f>IF($A172&gt;COUNT(GL_Journal!$Y:$Y),"",SMALL(GL_Journal!$Y:$Y,$A172))</f>
        <v/>
      </c>
      <c r="P172" s="32">
        <f>IF($O172="","",MATCH($O172,GL_Journal!$Y:$Y,0))</f>
        <v/>
      </c>
      <c r="Q172" s="32" t="inlineStr"/>
    </row>
    <row r="173">
      <c r="A173" s="32">
        <f>ROW()-12</f>
        <v/>
      </c>
      <c r="B173" s="33">
        <f>IF($P173="","",INDEX(GL_Journal!$D:$D,$P173))</f>
        <v/>
      </c>
      <c r="C173" s="32">
        <f>IF($P173="","",INDEX(GL_Journal!$C:$C,$P173))</f>
        <v/>
      </c>
      <c r="D173" s="32">
        <f>IF($P173="","",INDEX(GL_Journal!$E:$E,$P173))</f>
        <v/>
      </c>
      <c r="E173" s="32">
        <f>IF($P173="","",INDEX(GL_Journal!$F:$F,$P173))</f>
        <v/>
      </c>
      <c r="F173" s="32">
        <f>IF($P173="","",INDEX(GL_Journal!$G:$G,$P173))</f>
        <v/>
      </c>
      <c r="G173" s="32">
        <f>IF($P173="","",INDEX(GL_Journal!$H:$H,$P173))</f>
        <v/>
      </c>
      <c r="H173" s="32">
        <f>IF($P173="","",INDEX(GL_Journal!$I:$I,$P173))</f>
        <v/>
      </c>
      <c r="I173" s="32">
        <f>IF($P173="","",INDEX(GL_Journal!$J:$J,$P173))</f>
        <v/>
      </c>
      <c r="J173" s="32">
        <f>IF($P173="","",INDEX(GL_Journal!$K:$K,$P173))</f>
        <v/>
      </c>
      <c r="K173" s="32">
        <f>IF($P173="","",INDEX(GL_Journal!$L:$L,$P173))</f>
        <v/>
      </c>
      <c r="L173" s="43">
        <f>IF($P173="","",INDEX(GL_Journal!$M:$M,$P173))</f>
        <v/>
      </c>
      <c r="M173" s="43">
        <f>IF($P173="","",INDEX(GL_Journal!$N:$N,$P173))</f>
        <v/>
      </c>
      <c r="N173" s="47">
        <f>IF($P173="","",IF($A173=1,LG_Open,$N172)+$L173-$M173)</f>
        <v/>
      </c>
      <c r="O173" s="32">
        <f>IF($A173&gt;COUNT(GL_Journal!$Y:$Y),"",SMALL(GL_Journal!$Y:$Y,$A173))</f>
        <v/>
      </c>
      <c r="P173" s="32">
        <f>IF($O173="","",MATCH($O173,GL_Journal!$Y:$Y,0))</f>
        <v/>
      </c>
      <c r="Q173" s="32" t="inlineStr"/>
    </row>
    <row r="174">
      <c r="A174" s="32">
        <f>ROW()-12</f>
        <v/>
      </c>
      <c r="B174" s="33">
        <f>IF($P174="","",INDEX(GL_Journal!$D:$D,$P174))</f>
        <v/>
      </c>
      <c r="C174" s="32">
        <f>IF($P174="","",INDEX(GL_Journal!$C:$C,$P174))</f>
        <v/>
      </c>
      <c r="D174" s="32">
        <f>IF($P174="","",INDEX(GL_Journal!$E:$E,$P174))</f>
        <v/>
      </c>
      <c r="E174" s="32">
        <f>IF($P174="","",INDEX(GL_Journal!$F:$F,$P174))</f>
        <v/>
      </c>
      <c r="F174" s="32">
        <f>IF($P174="","",INDEX(GL_Journal!$G:$G,$P174))</f>
        <v/>
      </c>
      <c r="G174" s="32">
        <f>IF($P174="","",INDEX(GL_Journal!$H:$H,$P174))</f>
        <v/>
      </c>
      <c r="H174" s="32">
        <f>IF($P174="","",INDEX(GL_Journal!$I:$I,$P174))</f>
        <v/>
      </c>
      <c r="I174" s="32">
        <f>IF($P174="","",INDEX(GL_Journal!$J:$J,$P174))</f>
        <v/>
      </c>
      <c r="J174" s="32">
        <f>IF($P174="","",INDEX(GL_Journal!$K:$K,$P174))</f>
        <v/>
      </c>
      <c r="K174" s="32">
        <f>IF($P174="","",INDEX(GL_Journal!$L:$L,$P174))</f>
        <v/>
      </c>
      <c r="L174" s="43">
        <f>IF($P174="","",INDEX(GL_Journal!$M:$M,$P174))</f>
        <v/>
      </c>
      <c r="M174" s="43">
        <f>IF($P174="","",INDEX(GL_Journal!$N:$N,$P174))</f>
        <v/>
      </c>
      <c r="N174" s="47">
        <f>IF($P174="","",IF($A174=1,LG_Open,$N173)+$L174-$M174)</f>
        <v/>
      </c>
      <c r="O174" s="32">
        <f>IF($A174&gt;COUNT(GL_Journal!$Y:$Y),"",SMALL(GL_Journal!$Y:$Y,$A174))</f>
        <v/>
      </c>
      <c r="P174" s="32">
        <f>IF($O174="","",MATCH($O174,GL_Journal!$Y:$Y,0))</f>
        <v/>
      </c>
      <c r="Q174" s="32" t="inlineStr"/>
    </row>
    <row r="175">
      <c r="A175" s="32">
        <f>ROW()-12</f>
        <v/>
      </c>
      <c r="B175" s="33">
        <f>IF($P175="","",INDEX(GL_Journal!$D:$D,$P175))</f>
        <v/>
      </c>
      <c r="C175" s="32">
        <f>IF($P175="","",INDEX(GL_Journal!$C:$C,$P175))</f>
        <v/>
      </c>
      <c r="D175" s="32">
        <f>IF($P175="","",INDEX(GL_Journal!$E:$E,$P175))</f>
        <v/>
      </c>
      <c r="E175" s="32">
        <f>IF($P175="","",INDEX(GL_Journal!$F:$F,$P175))</f>
        <v/>
      </c>
      <c r="F175" s="32">
        <f>IF($P175="","",INDEX(GL_Journal!$G:$G,$P175))</f>
        <v/>
      </c>
      <c r="G175" s="32">
        <f>IF($P175="","",INDEX(GL_Journal!$H:$H,$P175))</f>
        <v/>
      </c>
      <c r="H175" s="32">
        <f>IF($P175="","",INDEX(GL_Journal!$I:$I,$P175))</f>
        <v/>
      </c>
      <c r="I175" s="32">
        <f>IF($P175="","",INDEX(GL_Journal!$J:$J,$P175))</f>
        <v/>
      </c>
      <c r="J175" s="32">
        <f>IF($P175="","",INDEX(GL_Journal!$K:$K,$P175))</f>
        <v/>
      </c>
      <c r="K175" s="32">
        <f>IF($P175="","",INDEX(GL_Journal!$L:$L,$P175))</f>
        <v/>
      </c>
      <c r="L175" s="43">
        <f>IF($P175="","",INDEX(GL_Journal!$M:$M,$P175))</f>
        <v/>
      </c>
      <c r="M175" s="43">
        <f>IF($P175="","",INDEX(GL_Journal!$N:$N,$P175))</f>
        <v/>
      </c>
      <c r="N175" s="47">
        <f>IF($P175="","",IF($A175=1,LG_Open,$N174)+$L175-$M175)</f>
        <v/>
      </c>
      <c r="O175" s="32">
        <f>IF($A175&gt;COUNT(GL_Journal!$Y:$Y),"",SMALL(GL_Journal!$Y:$Y,$A175))</f>
        <v/>
      </c>
      <c r="P175" s="32">
        <f>IF($O175="","",MATCH($O175,GL_Journal!$Y:$Y,0))</f>
        <v/>
      </c>
      <c r="Q175" s="32" t="inlineStr"/>
    </row>
    <row r="176">
      <c r="A176" s="32">
        <f>ROW()-12</f>
        <v/>
      </c>
      <c r="B176" s="33">
        <f>IF($P176="","",INDEX(GL_Journal!$D:$D,$P176))</f>
        <v/>
      </c>
      <c r="C176" s="32">
        <f>IF($P176="","",INDEX(GL_Journal!$C:$C,$P176))</f>
        <v/>
      </c>
      <c r="D176" s="32">
        <f>IF($P176="","",INDEX(GL_Journal!$E:$E,$P176))</f>
        <v/>
      </c>
      <c r="E176" s="32">
        <f>IF($P176="","",INDEX(GL_Journal!$F:$F,$P176))</f>
        <v/>
      </c>
      <c r="F176" s="32">
        <f>IF($P176="","",INDEX(GL_Journal!$G:$G,$P176))</f>
        <v/>
      </c>
      <c r="G176" s="32">
        <f>IF($P176="","",INDEX(GL_Journal!$H:$H,$P176))</f>
        <v/>
      </c>
      <c r="H176" s="32">
        <f>IF($P176="","",INDEX(GL_Journal!$I:$I,$P176))</f>
        <v/>
      </c>
      <c r="I176" s="32">
        <f>IF($P176="","",INDEX(GL_Journal!$J:$J,$P176))</f>
        <v/>
      </c>
      <c r="J176" s="32">
        <f>IF($P176="","",INDEX(GL_Journal!$K:$K,$P176))</f>
        <v/>
      </c>
      <c r="K176" s="32">
        <f>IF($P176="","",INDEX(GL_Journal!$L:$L,$P176))</f>
        <v/>
      </c>
      <c r="L176" s="43">
        <f>IF($P176="","",INDEX(GL_Journal!$M:$M,$P176))</f>
        <v/>
      </c>
      <c r="M176" s="43">
        <f>IF($P176="","",INDEX(GL_Journal!$N:$N,$P176))</f>
        <v/>
      </c>
      <c r="N176" s="47">
        <f>IF($P176="","",IF($A176=1,LG_Open,$N175)+$L176-$M176)</f>
        <v/>
      </c>
      <c r="O176" s="32">
        <f>IF($A176&gt;COUNT(GL_Journal!$Y:$Y),"",SMALL(GL_Journal!$Y:$Y,$A176))</f>
        <v/>
      </c>
      <c r="P176" s="32">
        <f>IF($O176="","",MATCH($O176,GL_Journal!$Y:$Y,0))</f>
        <v/>
      </c>
      <c r="Q176" s="32" t="inlineStr"/>
    </row>
    <row r="177">
      <c r="A177" s="32">
        <f>ROW()-12</f>
        <v/>
      </c>
      <c r="B177" s="33">
        <f>IF($P177="","",INDEX(GL_Journal!$D:$D,$P177))</f>
        <v/>
      </c>
      <c r="C177" s="32">
        <f>IF($P177="","",INDEX(GL_Journal!$C:$C,$P177))</f>
        <v/>
      </c>
      <c r="D177" s="32">
        <f>IF($P177="","",INDEX(GL_Journal!$E:$E,$P177))</f>
        <v/>
      </c>
      <c r="E177" s="32">
        <f>IF($P177="","",INDEX(GL_Journal!$F:$F,$P177))</f>
        <v/>
      </c>
      <c r="F177" s="32">
        <f>IF($P177="","",INDEX(GL_Journal!$G:$G,$P177))</f>
        <v/>
      </c>
      <c r="G177" s="32">
        <f>IF($P177="","",INDEX(GL_Journal!$H:$H,$P177))</f>
        <v/>
      </c>
      <c r="H177" s="32">
        <f>IF($P177="","",INDEX(GL_Journal!$I:$I,$P177))</f>
        <v/>
      </c>
      <c r="I177" s="32">
        <f>IF($P177="","",INDEX(GL_Journal!$J:$J,$P177))</f>
        <v/>
      </c>
      <c r="J177" s="32">
        <f>IF($P177="","",INDEX(GL_Journal!$K:$K,$P177))</f>
        <v/>
      </c>
      <c r="K177" s="32">
        <f>IF($P177="","",INDEX(GL_Journal!$L:$L,$P177))</f>
        <v/>
      </c>
      <c r="L177" s="43">
        <f>IF($P177="","",INDEX(GL_Journal!$M:$M,$P177))</f>
        <v/>
      </c>
      <c r="M177" s="43">
        <f>IF($P177="","",INDEX(GL_Journal!$N:$N,$P177))</f>
        <v/>
      </c>
      <c r="N177" s="47">
        <f>IF($P177="","",IF($A177=1,LG_Open,$N176)+$L177-$M177)</f>
        <v/>
      </c>
      <c r="O177" s="32">
        <f>IF($A177&gt;COUNT(GL_Journal!$Y:$Y),"",SMALL(GL_Journal!$Y:$Y,$A177))</f>
        <v/>
      </c>
      <c r="P177" s="32">
        <f>IF($O177="","",MATCH($O177,GL_Journal!$Y:$Y,0))</f>
        <v/>
      </c>
      <c r="Q177" s="32" t="inlineStr"/>
    </row>
    <row r="178">
      <c r="A178" s="32">
        <f>ROW()-12</f>
        <v/>
      </c>
      <c r="B178" s="33">
        <f>IF($P178="","",INDEX(GL_Journal!$D:$D,$P178))</f>
        <v/>
      </c>
      <c r="C178" s="32">
        <f>IF($P178="","",INDEX(GL_Journal!$C:$C,$P178))</f>
        <v/>
      </c>
      <c r="D178" s="32">
        <f>IF($P178="","",INDEX(GL_Journal!$E:$E,$P178))</f>
        <v/>
      </c>
      <c r="E178" s="32">
        <f>IF($P178="","",INDEX(GL_Journal!$F:$F,$P178))</f>
        <v/>
      </c>
      <c r="F178" s="32">
        <f>IF($P178="","",INDEX(GL_Journal!$G:$G,$P178))</f>
        <v/>
      </c>
      <c r="G178" s="32">
        <f>IF($P178="","",INDEX(GL_Journal!$H:$H,$P178))</f>
        <v/>
      </c>
      <c r="H178" s="32">
        <f>IF($P178="","",INDEX(GL_Journal!$I:$I,$P178))</f>
        <v/>
      </c>
      <c r="I178" s="32">
        <f>IF($P178="","",INDEX(GL_Journal!$J:$J,$P178))</f>
        <v/>
      </c>
      <c r="J178" s="32">
        <f>IF($P178="","",INDEX(GL_Journal!$K:$K,$P178))</f>
        <v/>
      </c>
      <c r="K178" s="32">
        <f>IF($P178="","",INDEX(GL_Journal!$L:$L,$P178))</f>
        <v/>
      </c>
      <c r="L178" s="43">
        <f>IF($P178="","",INDEX(GL_Journal!$M:$M,$P178))</f>
        <v/>
      </c>
      <c r="M178" s="43">
        <f>IF($P178="","",INDEX(GL_Journal!$N:$N,$P178))</f>
        <v/>
      </c>
      <c r="N178" s="47">
        <f>IF($P178="","",IF($A178=1,LG_Open,$N177)+$L178-$M178)</f>
        <v/>
      </c>
      <c r="O178" s="32">
        <f>IF($A178&gt;COUNT(GL_Journal!$Y:$Y),"",SMALL(GL_Journal!$Y:$Y,$A178))</f>
        <v/>
      </c>
      <c r="P178" s="32">
        <f>IF($O178="","",MATCH($O178,GL_Journal!$Y:$Y,0))</f>
        <v/>
      </c>
      <c r="Q178" s="32" t="inlineStr"/>
    </row>
    <row r="179">
      <c r="A179" s="32">
        <f>ROW()-12</f>
        <v/>
      </c>
      <c r="B179" s="33">
        <f>IF($P179="","",INDEX(GL_Journal!$D:$D,$P179))</f>
        <v/>
      </c>
      <c r="C179" s="32">
        <f>IF($P179="","",INDEX(GL_Journal!$C:$C,$P179))</f>
        <v/>
      </c>
      <c r="D179" s="32">
        <f>IF($P179="","",INDEX(GL_Journal!$E:$E,$P179))</f>
        <v/>
      </c>
      <c r="E179" s="32">
        <f>IF($P179="","",INDEX(GL_Journal!$F:$F,$P179))</f>
        <v/>
      </c>
      <c r="F179" s="32">
        <f>IF($P179="","",INDEX(GL_Journal!$G:$G,$P179))</f>
        <v/>
      </c>
      <c r="G179" s="32">
        <f>IF($P179="","",INDEX(GL_Journal!$H:$H,$P179))</f>
        <v/>
      </c>
      <c r="H179" s="32">
        <f>IF($P179="","",INDEX(GL_Journal!$I:$I,$P179))</f>
        <v/>
      </c>
      <c r="I179" s="32">
        <f>IF($P179="","",INDEX(GL_Journal!$J:$J,$P179))</f>
        <v/>
      </c>
      <c r="J179" s="32">
        <f>IF($P179="","",INDEX(GL_Journal!$K:$K,$P179))</f>
        <v/>
      </c>
      <c r="K179" s="32">
        <f>IF($P179="","",INDEX(GL_Journal!$L:$L,$P179))</f>
        <v/>
      </c>
      <c r="L179" s="43">
        <f>IF($P179="","",INDEX(GL_Journal!$M:$M,$P179))</f>
        <v/>
      </c>
      <c r="M179" s="43">
        <f>IF($P179="","",INDEX(GL_Journal!$N:$N,$P179))</f>
        <v/>
      </c>
      <c r="N179" s="47">
        <f>IF($P179="","",IF($A179=1,LG_Open,$N178)+$L179-$M179)</f>
        <v/>
      </c>
      <c r="O179" s="32">
        <f>IF($A179&gt;COUNT(GL_Journal!$Y:$Y),"",SMALL(GL_Journal!$Y:$Y,$A179))</f>
        <v/>
      </c>
      <c r="P179" s="32">
        <f>IF($O179="","",MATCH($O179,GL_Journal!$Y:$Y,0))</f>
        <v/>
      </c>
      <c r="Q179" s="32" t="inlineStr"/>
    </row>
    <row r="180">
      <c r="A180" s="32">
        <f>ROW()-12</f>
        <v/>
      </c>
      <c r="B180" s="33">
        <f>IF($P180="","",INDEX(GL_Journal!$D:$D,$P180))</f>
        <v/>
      </c>
      <c r="C180" s="32">
        <f>IF($P180="","",INDEX(GL_Journal!$C:$C,$P180))</f>
        <v/>
      </c>
      <c r="D180" s="32">
        <f>IF($P180="","",INDEX(GL_Journal!$E:$E,$P180))</f>
        <v/>
      </c>
      <c r="E180" s="32">
        <f>IF($P180="","",INDEX(GL_Journal!$F:$F,$P180))</f>
        <v/>
      </c>
      <c r="F180" s="32">
        <f>IF($P180="","",INDEX(GL_Journal!$G:$G,$P180))</f>
        <v/>
      </c>
      <c r="G180" s="32">
        <f>IF($P180="","",INDEX(GL_Journal!$H:$H,$P180))</f>
        <v/>
      </c>
      <c r="H180" s="32">
        <f>IF($P180="","",INDEX(GL_Journal!$I:$I,$P180))</f>
        <v/>
      </c>
      <c r="I180" s="32">
        <f>IF($P180="","",INDEX(GL_Journal!$J:$J,$P180))</f>
        <v/>
      </c>
      <c r="J180" s="32">
        <f>IF($P180="","",INDEX(GL_Journal!$K:$K,$P180))</f>
        <v/>
      </c>
      <c r="K180" s="32">
        <f>IF($P180="","",INDEX(GL_Journal!$L:$L,$P180))</f>
        <v/>
      </c>
      <c r="L180" s="43">
        <f>IF($P180="","",INDEX(GL_Journal!$M:$M,$P180))</f>
        <v/>
      </c>
      <c r="M180" s="43">
        <f>IF($P180="","",INDEX(GL_Journal!$N:$N,$P180))</f>
        <v/>
      </c>
      <c r="N180" s="47">
        <f>IF($P180="","",IF($A180=1,LG_Open,$N179)+$L180-$M180)</f>
        <v/>
      </c>
      <c r="O180" s="32">
        <f>IF($A180&gt;COUNT(GL_Journal!$Y:$Y),"",SMALL(GL_Journal!$Y:$Y,$A180))</f>
        <v/>
      </c>
      <c r="P180" s="32">
        <f>IF($O180="","",MATCH($O180,GL_Journal!$Y:$Y,0))</f>
        <v/>
      </c>
      <c r="Q180" s="32" t="inlineStr"/>
    </row>
    <row r="181">
      <c r="A181" s="32">
        <f>ROW()-12</f>
        <v/>
      </c>
      <c r="B181" s="33">
        <f>IF($P181="","",INDEX(GL_Journal!$D:$D,$P181))</f>
        <v/>
      </c>
      <c r="C181" s="32">
        <f>IF($P181="","",INDEX(GL_Journal!$C:$C,$P181))</f>
        <v/>
      </c>
      <c r="D181" s="32">
        <f>IF($P181="","",INDEX(GL_Journal!$E:$E,$P181))</f>
        <v/>
      </c>
      <c r="E181" s="32">
        <f>IF($P181="","",INDEX(GL_Journal!$F:$F,$P181))</f>
        <v/>
      </c>
      <c r="F181" s="32">
        <f>IF($P181="","",INDEX(GL_Journal!$G:$G,$P181))</f>
        <v/>
      </c>
      <c r="G181" s="32">
        <f>IF($P181="","",INDEX(GL_Journal!$H:$H,$P181))</f>
        <v/>
      </c>
      <c r="H181" s="32">
        <f>IF($P181="","",INDEX(GL_Journal!$I:$I,$P181))</f>
        <v/>
      </c>
      <c r="I181" s="32">
        <f>IF($P181="","",INDEX(GL_Journal!$J:$J,$P181))</f>
        <v/>
      </c>
      <c r="J181" s="32">
        <f>IF($P181="","",INDEX(GL_Journal!$K:$K,$P181))</f>
        <v/>
      </c>
      <c r="K181" s="32">
        <f>IF($P181="","",INDEX(GL_Journal!$L:$L,$P181))</f>
        <v/>
      </c>
      <c r="L181" s="43">
        <f>IF($P181="","",INDEX(GL_Journal!$M:$M,$P181))</f>
        <v/>
      </c>
      <c r="M181" s="43">
        <f>IF($P181="","",INDEX(GL_Journal!$N:$N,$P181))</f>
        <v/>
      </c>
      <c r="N181" s="47">
        <f>IF($P181="","",IF($A181=1,LG_Open,$N180)+$L181-$M181)</f>
        <v/>
      </c>
      <c r="O181" s="32">
        <f>IF($A181&gt;COUNT(GL_Journal!$Y:$Y),"",SMALL(GL_Journal!$Y:$Y,$A181))</f>
        <v/>
      </c>
      <c r="P181" s="32">
        <f>IF($O181="","",MATCH($O181,GL_Journal!$Y:$Y,0))</f>
        <v/>
      </c>
      <c r="Q181" s="32" t="inlineStr"/>
    </row>
    <row r="182">
      <c r="A182" s="32">
        <f>ROW()-12</f>
        <v/>
      </c>
      <c r="B182" s="33">
        <f>IF($P182="","",INDEX(GL_Journal!$D:$D,$P182))</f>
        <v/>
      </c>
      <c r="C182" s="32">
        <f>IF($P182="","",INDEX(GL_Journal!$C:$C,$P182))</f>
        <v/>
      </c>
      <c r="D182" s="32">
        <f>IF($P182="","",INDEX(GL_Journal!$E:$E,$P182))</f>
        <v/>
      </c>
      <c r="E182" s="32">
        <f>IF($P182="","",INDEX(GL_Journal!$F:$F,$P182))</f>
        <v/>
      </c>
      <c r="F182" s="32">
        <f>IF($P182="","",INDEX(GL_Journal!$G:$G,$P182))</f>
        <v/>
      </c>
      <c r="G182" s="32">
        <f>IF($P182="","",INDEX(GL_Journal!$H:$H,$P182))</f>
        <v/>
      </c>
      <c r="H182" s="32">
        <f>IF($P182="","",INDEX(GL_Journal!$I:$I,$P182))</f>
        <v/>
      </c>
      <c r="I182" s="32">
        <f>IF($P182="","",INDEX(GL_Journal!$J:$J,$P182))</f>
        <v/>
      </c>
      <c r="J182" s="32">
        <f>IF($P182="","",INDEX(GL_Journal!$K:$K,$P182))</f>
        <v/>
      </c>
      <c r="K182" s="32">
        <f>IF($P182="","",INDEX(GL_Journal!$L:$L,$P182))</f>
        <v/>
      </c>
      <c r="L182" s="43">
        <f>IF($P182="","",INDEX(GL_Journal!$M:$M,$P182))</f>
        <v/>
      </c>
      <c r="M182" s="43">
        <f>IF($P182="","",INDEX(GL_Journal!$N:$N,$P182))</f>
        <v/>
      </c>
      <c r="N182" s="47">
        <f>IF($P182="","",IF($A182=1,LG_Open,$N181)+$L182-$M182)</f>
        <v/>
      </c>
      <c r="O182" s="32">
        <f>IF($A182&gt;COUNT(GL_Journal!$Y:$Y),"",SMALL(GL_Journal!$Y:$Y,$A182))</f>
        <v/>
      </c>
      <c r="P182" s="32">
        <f>IF($O182="","",MATCH($O182,GL_Journal!$Y:$Y,0))</f>
        <v/>
      </c>
      <c r="Q182" s="32" t="inlineStr"/>
    </row>
    <row r="183">
      <c r="A183" s="32">
        <f>ROW()-12</f>
        <v/>
      </c>
      <c r="B183" s="33">
        <f>IF($P183="","",INDEX(GL_Journal!$D:$D,$P183))</f>
        <v/>
      </c>
      <c r="C183" s="32">
        <f>IF($P183="","",INDEX(GL_Journal!$C:$C,$P183))</f>
        <v/>
      </c>
      <c r="D183" s="32">
        <f>IF($P183="","",INDEX(GL_Journal!$E:$E,$P183))</f>
        <v/>
      </c>
      <c r="E183" s="32">
        <f>IF($P183="","",INDEX(GL_Journal!$F:$F,$P183))</f>
        <v/>
      </c>
      <c r="F183" s="32">
        <f>IF($P183="","",INDEX(GL_Journal!$G:$G,$P183))</f>
        <v/>
      </c>
      <c r="G183" s="32">
        <f>IF($P183="","",INDEX(GL_Journal!$H:$H,$P183))</f>
        <v/>
      </c>
      <c r="H183" s="32">
        <f>IF($P183="","",INDEX(GL_Journal!$I:$I,$P183))</f>
        <v/>
      </c>
      <c r="I183" s="32">
        <f>IF($P183="","",INDEX(GL_Journal!$J:$J,$P183))</f>
        <v/>
      </c>
      <c r="J183" s="32">
        <f>IF($P183="","",INDEX(GL_Journal!$K:$K,$P183))</f>
        <v/>
      </c>
      <c r="K183" s="32">
        <f>IF($P183="","",INDEX(GL_Journal!$L:$L,$P183))</f>
        <v/>
      </c>
      <c r="L183" s="43">
        <f>IF($P183="","",INDEX(GL_Journal!$M:$M,$P183))</f>
        <v/>
      </c>
      <c r="M183" s="43">
        <f>IF($P183="","",INDEX(GL_Journal!$N:$N,$P183))</f>
        <v/>
      </c>
      <c r="N183" s="47">
        <f>IF($P183="","",IF($A183=1,LG_Open,$N182)+$L183-$M183)</f>
        <v/>
      </c>
      <c r="O183" s="32">
        <f>IF($A183&gt;COUNT(GL_Journal!$Y:$Y),"",SMALL(GL_Journal!$Y:$Y,$A183))</f>
        <v/>
      </c>
      <c r="P183" s="32">
        <f>IF($O183="","",MATCH($O183,GL_Journal!$Y:$Y,0))</f>
        <v/>
      </c>
      <c r="Q183" s="32" t="inlineStr"/>
    </row>
    <row r="184">
      <c r="A184" s="32">
        <f>ROW()-12</f>
        <v/>
      </c>
      <c r="B184" s="33">
        <f>IF($P184="","",INDEX(GL_Journal!$D:$D,$P184))</f>
        <v/>
      </c>
      <c r="C184" s="32">
        <f>IF($P184="","",INDEX(GL_Journal!$C:$C,$P184))</f>
        <v/>
      </c>
      <c r="D184" s="32">
        <f>IF($P184="","",INDEX(GL_Journal!$E:$E,$P184))</f>
        <v/>
      </c>
      <c r="E184" s="32">
        <f>IF($P184="","",INDEX(GL_Journal!$F:$F,$P184))</f>
        <v/>
      </c>
      <c r="F184" s="32">
        <f>IF($P184="","",INDEX(GL_Journal!$G:$G,$P184))</f>
        <v/>
      </c>
      <c r="G184" s="32">
        <f>IF($P184="","",INDEX(GL_Journal!$H:$H,$P184))</f>
        <v/>
      </c>
      <c r="H184" s="32">
        <f>IF($P184="","",INDEX(GL_Journal!$I:$I,$P184))</f>
        <v/>
      </c>
      <c r="I184" s="32">
        <f>IF($P184="","",INDEX(GL_Journal!$J:$J,$P184))</f>
        <v/>
      </c>
      <c r="J184" s="32">
        <f>IF($P184="","",INDEX(GL_Journal!$K:$K,$P184))</f>
        <v/>
      </c>
      <c r="K184" s="32">
        <f>IF($P184="","",INDEX(GL_Journal!$L:$L,$P184))</f>
        <v/>
      </c>
      <c r="L184" s="43">
        <f>IF($P184="","",INDEX(GL_Journal!$M:$M,$P184))</f>
        <v/>
      </c>
      <c r="M184" s="43">
        <f>IF($P184="","",INDEX(GL_Journal!$N:$N,$P184))</f>
        <v/>
      </c>
      <c r="N184" s="47">
        <f>IF($P184="","",IF($A184=1,LG_Open,$N183)+$L184-$M184)</f>
        <v/>
      </c>
      <c r="O184" s="32">
        <f>IF($A184&gt;COUNT(GL_Journal!$Y:$Y),"",SMALL(GL_Journal!$Y:$Y,$A184))</f>
        <v/>
      </c>
      <c r="P184" s="32">
        <f>IF($O184="","",MATCH($O184,GL_Journal!$Y:$Y,0))</f>
        <v/>
      </c>
      <c r="Q184" s="32" t="inlineStr"/>
    </row>
    <row r="185">
      <c r="A185" s="32">
        <f>ROW()-12</f>
        <v/>
      </c>
      <c r="B185" s="33">
        <f>IF($P185="","",INDEX(GL_Journal!$D:$D,$P185))</f>
        <v/>
      </c>
      <c r="C185" s="32">
        <f>IF($P185="","",INDEX(GL_Journal!$C:$C,$P185))</f>
        <v/>
      </c>
      <c r="D185" s="32">
        <f>IF($P185="","",INDEX(GL_Journal!$E:$E,$P185))</f>
        <v/>
      </c>
      <c r="E185" s="32">
        <f>IF($P185="","",INDEX(GL_Journal!$F:$F,$P185))</f>
        <v/>
      </c>
      <c r="F185" s="32">
        <f>IF($P185="","",INDEX(GL_Journal!$G:$G,$P185))</f>
        <v/>
      </c>
      <c r="G185" s="32">
        <f>IF($P185="","",INDEX(GL_Journal!$H:$H,$P185))</f>
        <v/>
      </c>
      <c r="H185" s="32">
        <f>IF($P185="","",INDEX(GL_Journal!$I:$I,$P185))</f>
        <v/>
      </c>
      <c r="I185" s="32">
        <f>IF($P185="","",INDEX(GL_Journal!$J:$J,$P185))</f>
        <v/>
      </c>
      <c r="J185" s="32">
        <f>IF($P185="","",INDEX(GL_Journal!$K:$K,$P185))</f>
        <v/>
      </c>
      <c r="K185" s="32">
        <f>IF($P185="","",INDEX(GL_Journal!$L:$L,$P185))</f>
        <v/>
      </c>
      <c r="L185" s="43">
        <f>IF($P185="","",INDEX(GL_Journal!$M:$M,$P185))</f>
        <v/>
      </c>
      <c r="M185" s="43">
        <f>IF($P185="","",INDEX(GL_Journal!$N:$N,$P185))</f>
        <v/>
      </c>
      <c r="N185" s="47">
        <f>IF($P185="","",IF($A185=1,LG_Open,$N184)+$L185-$M185)</f>
        <v/>
      </c>
      <c r="O185" s="32">
        <f>IF($A185&gt;COUNT(GL_Journal!$Y:$Y),"",SMALL(GL_Journal!$Y:$Y,$A185))</f>
        <v/>
      </c>
      <c r="P185" s="32">
        <f>IF($O185="","",MATCH($O185,GL_Journal!$Y:$Y,0))</f>
        <v/>
      </c>
      <c r="Q185" s="32" t="inlineStr"/>
    </row>
    <row r="186">
      <c r="A186" s="32">
        <f>ROW()-12</f>
        <v/>
      </c>
      <c r="B186" s="33">
        <f>IF($P186="","",INDEX(GL_Journal!$D:$D,$P186))</f>
        <v/>
      </c>
      <c r="C186" s="32">
        <f>IF($P186="","",INDEX(GL_Journal!$C:$C,$P186))</f>
        <v/>
      </c>
      <c r="D186" s="32">
        <f>IF($P186="","",INDEX(GL_Journal!$E:$E,$P186))</f>
        <v/>
      </c>
      <c r="E186" s="32">
        <f>IF($P186="","",INDEX(GL_Journal!$F:$F,$P186))</f>
        <v/>
      </c>
      <c r="F186" s="32">
        <f>IF($P186="","",INDEX(GL_Journal!$G:$G,$P186))</f>
        <v/>
      </c>
      <c r="G186" s="32">
        <f>IF($P186="","",INDEX(GL_Journal!$H:$H,$P186))</f>
        <v/>
      </c>
      <c r="H186" s="32">
        <f>IF($P186="","",INDEX(GL_Journal!$I:$I,$P186))</f>
        <v/>
      </c>
      <c r="I186" s="32">
        <f>IF($P186="","",INDEX(GL_Journal!$J:$J,$P186))</f>
        <v/>
      </c>
      <c r="J186" s="32">
        <f>IF($P186="","",INDEX(GL_Journal!$K:$K,$P186))</f>
        <v/>
      </c>
      <c r="K186" s="32">
        <f>IF($P186="","",INDEX(GL_Journal!$L:$L,$P186))</f>
        <v/>
      </c>
      <c r="L186" s="43">
        <f>IF($P186="","",INDEX(GL_Journal!$M:$M,$P186))</f>
        <v/>
      </c>
      <c r="M186" s="43">
        <f>IF($P186="","",INDEX(GL_Journal!$N:$N,$P186))</f>
        <v/>
      </c>
      <c r="N186" s="47">
        <f>IF($P186="","",IF($A186=1,LG_Open,$N185)+$L186-$M186)</f>
        <v/>
      </c>
      <c r="O186" s="32">
        <f>IF($A186&gt;COUNT(GL_Journal!$Y:$Y),"",SMALL(GL_Journal!$Y:$Y,$A186))</f>
        <v/>
      </c>
      <c r="P186" s="32">
        <f>IF($O186="","",MATCH($O186,GL_Journal!$Y:$Y,0))</f>
        <v/>
      </c>
      <c r="Q186" s="32" t="inlineStr"/>
    </row>
    <row r="187">
      <c r="A187" s="32">
        <f>ROW()-12</f>
        <v/>
      </c>
      <c r="B187" s="33">
        <f>IF($P187="","",INDEX(GL_Journal!$D:$D,$P187))</f>
        <v/>
      </c>
      <c r="C187" s="32">
        <f>IF($P187="","",INDEX(GL_Journal!$C:$C,$P187))</f>
        <v/>
      </c>
      <c r="D187" s="32">
        <f>IF($P187="","",INDEX(GL_Journal!$E:$E,$P187))</f>
        <v/>
      </c>
      <c r="E187" s="32">
        <f>IF($P187="","",INDEX(GL_Journal!$F:$F,$P187))</f>
        <v/>
      </c>
      <c r="F187" s="32">
        <f>IF($P187="","",INDEX(GL_Journal!$G:$G,$P187))</f>
        <v/>
      </c>
      <c r="G187" s="32">
        <f>IF($P187="","",INDEX(GL_Journal!$H:$H,$P187))</f>
        <v/>
      </c>
      <c r="H187" s="32">
        <f>IF($P187="","",INDEX(GL_Journal!$I:$I,$P187))</f>
        <v/>
      </c>
      <c r="I187" s="32">
        <f>IF($P187="","",INDEX(GL_Journal!$J:$J,$P187))</f>
        <v/>
      </c>
      <c r="J187" s="32">
        <f>IF($P187="","",INDEX(GL_Journal!$K:$K,$P187))</f>
        <v/>
      </c>
      <c r="K187" s="32">
        <f>IF($P187="","",INDEX(GL_Journal!$L:$L,$P187))</f>
        <v/>
      </c>
      <c r="L187" s="43">
        <f>IF($P187="","",INDEX(GL_Journal!$M:$M,$P187))</f>
        <v/>
      </c>
      <c r="M187" s="43">
        <f>IF($P187="","",INDEX(GL_Journal!$N:$N,$P187))</f>
        <v/>
      </c>
      <c r="N187" s="47">
        <f>IF($P187="","",IF($A187=1,LG_Open,$N186)+$L187-$M187)</f>
        <v/>
      </c>
      <c r="O187" s="32">
        <f>IF($A187&gt;COUNT(GL_Journal!$Y:$Y),"",SMALL(GL_Journal!$Y:$Y,$A187))</f>
        <v/>
      </c>
      <c r="P187" s="32">
        <f>IF($O187="","",MATCH($O187,GL_Journal!$Y:$Y,0))</f>
        <v/>
      </c>
      <c r="Q187" s="32" t="inlineStr"/>
    </row>
    <row r="188">
      <c r="A188" s="32">
        <f>ROW()-12</f>
        <v/>
      </c>
      <c r="B188" s="33">
        <f>IF($P188="","",INDEX(GL_Journal!$D:$D,$P188))</f>
        <v/>
      </c>
      <c r="C188" s="32">
        <f>IF($P188="","",INDEX(GL_Journal!$C:$C,$P188))</f>
        <v/>
      </c>
      <c r="D188" s="32">
        <f>IF($P188="","",INDEX(GL_Journal!$E:$E,$P188))</f>
        <v/>
      </c>
      <c r="E188" s="32">
        <f>IF($P188="","",INDEX(GL_Journal!$F:$F,$P188))</f>
        <v/>
      </c>
      <c r="F188" s="32">
        <f>IF($P188="","",INDEX(GL_Journal!$G:$G,$P188))</f>
        <v/>
      </c>
      <c r="G188" s="32">
        <f>IF($P188="","",INDEX(GL_Journal!$H:$H,$P188))</f>
        <v/>
      </c>
      <c r="H188" s="32">
        <f>IF($P188="","",INDEX(GL_Journal!$I:$I,$P188))</f>
        <v/>
      </c>
      <c r="I188" s="32">
        <f>IF($P188="","",INDEX(GL_Journal!$J:$J,$P188))</f>
        <v/>
      </c>
      <c r="J188" s="32">
        <f>IF($P188="","",INDEX(GL_Journal!$K:$K,$P188))</f>
        <v/>
      </c>
      <c r="K188" s="32">
        <f>IF($P188="","",INDEX(GL_Journal!$L:$L,$P188))</f>
        <v/>
      </c>
      <c r="L188" s="43">
        <f>IF($P188="","",INDEX(GL_Journal!$M:$M,$P188))</f>
        <v/>
      </c>
      <c r="M188" s="43">
        <f>IF($P188="","",INDEX(GL_Journal!$N:$N,$P188))</f>
        <v/>
      </c>
      <c r="N188" s="47">
        <f>IF($P188="","",IF($A188=1,LG_Open,$N187)+$L188-$M188)</f>
        <v/>
      </c>
      <c r="O188" s="32">
        <f>IF($A188&gt;COUNT(GL_Journal!$Y:$Y),"",SMALL(GL_Journal!$Y:$Y,$A188))</f>
        <v/>
      </c>
      <c r="P188" s="32">
        <f>IF($O188="","",MATCH($O188,GL_Journal!$Y:$Y,0))</f>
        <v/>
      </c>
      <c r="Q188" s="32" t="inlineStr"/>
    </row>
    <row r="189">
      <c r="A189" s="32">
        <f>ROW()-12</f>
        <v/>
      </c>
      <c r="B189" s="33">
        <f>IF($P189="","",INDEX(GL_Journal!$D:$D,$P189))</f>
        <v/>
      </c>
      <c r="C189" s="32">
        <f>IF($P189="","",INDEX(GL_Journal!$C:$C,$P189))</f>
        <v/>
      </c>
      <c r="D189" s="32">
        <f>IF($P189="","",INDEX(GL_Journal!$E:$E,$P189))</f>
        <v/>
      </c>
      <c r="E189" s="32">
        <f>IF($P189="","",INDEX(GL_Journal!$F:$F,$P189))</f>
        <v/>
      </c>
      <c r="F189" s="32">
        <f>IF($P189="","",INDEX(GL_Journal!$G:$G,$P189))</f>
        <v/>
      </c>
      <c r="G189" s="32">
        <f>IF($P189="","",INDEX(GL_Journal!$H:$H,$P189))</f>
        <v/>
      </c>
      <c r="H189" s="32">
        <f>IF($P189="","",INDEX(GL_Journal!$I:$I,$P189))</f>
        <v/>
      </c>
      <c r="I189" s="32">
        <f>IF($P189="","",INDEX(GL_Journal!$J:$J,$P189))</f>
        <v/>
      </c>
      <c r="J189" s="32">
        <f>IF($P189="","",INDEX(GL_Journal!$K:$K,$P189))</f>
        <v/>
      </c>
      <c r="K189" s="32">
        <f>IF($P189="","",INDEX(GL_Journal!$L:$L,$P189))</f>
        <v/>
      </c>
      <c r="L189" s="43">
        <f>IF($P189="","",INDEX(GL_Journal!$M:$M,$P189))</f>
        <v/>
      </c>
      <c r="M189" s="43">
        <f>IF($P189="","",INDEX(GL_Journal!$N:$N,$P189))</f>
        <v/>
      </c>
      <c r="N189" s="47">
        <f>IF($P189="","",IF($A189=1,LG_Open,$N188)+$L189-$M189)</f>
        <v/>
      </c>
      <c r="O189" s="32">
        <f>IF($A189&gt;COUNT(GL_Journal!$Y:$Y),"",SMALL(GL_Journal!$Y:$Y,$A189))</f>
        <v/>
      </c>
      <c r="P189" s="32">
        <f>IF($O189="","",MATCH($O189,GL_Journal!$Y:$Y,0))</f>
        <v/>
      </c>
      <c r="Q189" s="32" t="inlineStr"/>
    </row>
    <row r="190">
      <c r="A190" s="32">
        <f>ROW()-12</f>
        <v/>
      </c>
      <c r="B190" s="33">
        <f>IF($P190="","",INDEX(GL_Journal!$D:$D,$P190))</f>
        <v/>
      </c>
      <c r="C190" s="32">
        <f>IF($P190="","",INDEX(GL_Journal!$C:$C,$P190))</f>
        <v/>
      </c>
      <c r="D190" s="32">
        <f>IF($P190="","",INDEX(GL_Journal!$E:$E,$P190))</f>
        <v/>
      </c>
      <c r="E190" s="32">
        <f>IF($P190="","",INDEX(GL_Journal!$F:$F,$P190))</f>
        <v/>
      </c>
      <c r="F190" s="32">
        <f>IF($P190="","",INDEX(GL_Journal!$G:$G,$P190))</f>
        <v/>
      </c>
      <c r="G190" s="32">
        <f>IF($P190="","",INDEX(GL_Journal!$H:$H,$P190))</f>
        <v/>
      </c>
      <c r="H190" s="32">
        <f>IF($P190="","",INDEX(GL_Journal!$I:$I,$P190))</f>
        <v/>
      </c>
      <c r="I190" s="32">
        <f>IF($P190="","",INDEX(GL_Journal!$J:$J,$P190))</f>
        <v/>
      </c>
      <c r="J190" s="32">
        <f>IF($P190="","",INDEX(GL_Journal!$K:$K,$P190))</f>
        <v/>
      </c>
      <c r="K190" s="32">
        <f>IF($P190="","",INDEX(GL_Journal!$L:$L,$P190))</f>
        <v/>
      </c>
      <c r="L190" s="43">
        <f>IF($P190="","",INDEX(GL_Journal!$M:$M,$P190))</f>
        <v/>
      </c>
      <c r="M190" s="43">
        <f>IF($P190="","",INDEX(GL_Journal!$N:$N,$P190))</f>
        <v/>
      </c>
      <c r="N190" s="47">
        <f>IF($P190="","",IF($A190=1,LG_Open,$N189)+$L190-$M190)</f>
        <v/>
      </c>
      <c r="O190" s="32">
        <f>IF($A190&gt;COUNT(GL_Journal!$Y:$Y),"",SMALL(GL_Journal!$Y:$Y,$A190))</f>
        <v/>
      </c>
      <c r="P190" s="32">
        <f>IF($O190="","",MATCH($O190,GL_Journal!$Y:$Y,0))</f>
        <v/>
      </c>
      <c r="Q190" s="32" t="inlineStr"/>
    </row>
    <row r="191">
      <c r="A191" s="32">
        <f>ROW()-12</f>
        <v/>
      </c>
      <c r="B191" s="33">
        <f>IF($P191="","",INDEX(GL_Journal!$D:$D,$P191))</f>
        <v/>
      </c>
      <c r="C191" s="32">
        <f>IF($P191="","",INDEX(GL_Journal!$C:$C,$P191))</f>
        <v/>
      </c>
      <c r="D191" s="32">
        <f>IF($P191="","",INDEX(GL_Journal!$E:$E,$P191))</f>
        <v/>
      </c>
      <c r="E191" s="32">
        <f>IF($P191="","",INDEX(GL_Journal!$F:$F,$P191))</f>
        <v/>
      </c>
      <c r="F191" s="32">
        <f>IF($P191="","",INDEX(GL_Journal!$G:$G,$P191))</f>
        <v/>
      </c>
      <c r="G191" s="32">
        <f>IF($P191="","",INDEX(GL_Journal!$H:$H,$P191))</f>
        <v/>
      </c>
      <c r="H191" s="32">
        <f>IF($P191="","",INDEX(GL_Journal!$I:$I,$P191))</f>
        <v/>
      </c>
      <c r="I191" s="32">
        <f>IF($P191="","",INDEX(GL_Journal!$J:$J,$P191))</f>
        <v/>
      </c>
      <c r="J191" s="32">
        <f>IF($P191="","",INDEX(GL_Journal!$K:$K,$P191))</f>
        <v/>
      </c>
      <c r="K191" s="32">
        <f>IF($P191="","",INDEX(GL_Journal!$L:$L,$P191))</f>
        <v/>
      </c>
      <c r="L191" s="43">
        <f>IF($P191="","",INDEX(GL_Journal!$M:$M,$P191))</f>
        <v/>
      </c>
      <c r="M191" s="43">
        <f>IF($P191="","",INDEX(GL_Journal!$N:$N,$P191))</f>
        <v/>
      </c>
      <c r="N191" s="47">
        <f>IF($P191="","",IF($A191=1,LG_Open,$N190)+$L191-$M191)</f>
        <v/>
      </c>
      <c r="O191" s="32">
        <f>IF($A191&gt;COUNT(GL_Journal!$Y:$Y),"",SMALL(GL_Journal!$Y:$Y,$A191))</f>
        <v/>
      </c>
      <c r="P191" s="32">
        <f>IF($O191="","",MATCH($O191,GL_Journal!$Y:$Y,0))</f>
        <v/>
      </c>
      <c r="Q191" s="32" t="inlineStr"/>
    </row>
    <row r="192">
      <c r="A192" s="32">
        <f>ROW()-12</f>
        <v/>
      </c>
      <c r="B192" s="33">
        <f>IF($P192="","",INDEX(GL_Journal!$D:$D,$P192))</f>
        <v/>
      </c>
      <c r="C192" s="32">
        <f>IF($P192="","",INDEX(GL_Journal!$C:$C,$P192))</f>
        <v/>
      </c>
      <c r="D192" s="32">
        <f>IF($P192="","",INDEX(GL_Journal!$E:$E,$P192))</f>
        <v/>
      </c>
      <c r="E192" s="32">
        <f>IF($P192="","",INDEX(GL_Journal!$F:$F,$P192))</f>
        <v/>
      </c>
      <c r="F192" s="32">
        <f>IF($P192="","",INDEX(GL_Journal!$G:$G,$P192))</f>
        <v/>
      </c>
      <c r="G192" s="32">
        <f>IF($P192="","",INDEX(GL_Journal!$H:$H,$P192))</f>
        <v/>
      </c>
      <c r="H192" s="32">
        <f>IF($P192="","",INDEX(GL_Journal!$I:$I,$P192))</f>
        <v/>
      </c>
      <c r="I192" s="32">
        <f>IF($P192="","",INDEX(GL_Journal!$J:$J,$P192))</f>
        <v/>
      </c>
      <c r="J192" s="32">
        <f>IF($P192="","",INDEX(GL_Journal!$K:$K,$P192))</f>
        <v/>
      </c>
      <c r="K192" s="32">
        <f>IF($P192="","",INDEX(GL_Journal!$L:$L,$P192))</f>
        <v/>
      </c>
      <c r="L192" s="43">
        <f>IF($P192="","",INDEX(GL_Journal!$M:$M,$P192))</f>
        <v/>
      </c>
      <c r="M192" s="43">
        <f>IF($P192="","",INDEX(GL_Journal!$N:$N,$P192))</f>
        <v/>
      </c>
      <c r="N192" s="47">
        <f>IF($P192="","",IF($A192=1,LG_Open,$N191)+$L192-$M192)</f>
        <v/>
      </c>
      <c r="O192" s="32">
        <f>IF($A192&gt;COUNT(GL_Journal!$Y:$Y),"",SMALL(GL_Journal!$Y:$Y,$A192))</f>
        <v/>
      </c>
      <c r="P192" s="32">
        <f>IF($O192="","",MATCH($O192,GL_Journal!$Y:$Y,0))</f>
        <v/>
      </c>
      <c r="Q192" s="32" t="inlineStr"/>
    </row>
    <row r="193">
      <c r="A193" s="32">
        <f>ROW()-12</f>
        <v/>
      </c>
      <c r="B193" s="33">
        <f>IF($P193="","",INDEX(GL_Journal!$D:$D,$P193))</f>
        <v/>
      </c>
      <c r="C193" s="32">
        <f>IF($P193="","",INDEX(GL_Journal!$C:$C,$P193))</f>
        <v/>
      </c>
      <c r="D193" s="32">
        <f>IF($P193="","",INDEX(GL_Journal!$E:$E,$P193))</f>
        <v/>
      </c>
      <c r="E193" s="32">
        <f>IF($P193="","",INDEX(GL_Journal!$F:$F,$P193))</f>
        <v/>
      </c>
      <c r="F193" s="32">
        <f>IF($P193="","",INDEX(GL_Journal!$G:$G,$P193))</f>
        <v/>
      </c>
      <c r="G193" s="32">
        <f>IF($P193="","",INDEX(GL_Journal!$H:$H,$P193))</f>
        <v/>
      </c>
      <c r="H193" s="32">
        <f>IF($P193="","",INDEX(GL_Journal!$I:$I,$P193))</f>
        <v/>
      </c>
      <c r="I193" s="32">
        <f>IF($P193="","",INDEX(GL_Journal!$J:$J,$P193))</f>
        <v/>
      </c>
      <c r="J193" s="32">
        <f>IF($P193="","",INDEX(GL_Journal!$K:$K,$P193))</f>
        <v/>
      </c>
      <c r="K193" s="32">
        <f>IF($P193="","",INDEX(GL_Journal!$L:$L,$P193))</f>
        <v/>
      </c>
      <c r="L193" s="43">
        <f>IF($P193="","",INDEX(GL_Journal!$M:$M,$P193))</f>
        <v/>
      </c>
      <c r="M193" s="43">
        <f>IF($P193="","",INDEX(GL_Journal!$N:$N,$P193))</f>
        <v/>
      </c>
      <c r="N193" s="47">
        <f>IF($P193="","",IF($A193=1,LG_Open,$N192)+$L193-$M193)</f>
        <v/>
      </c>
      <c r="O193" s="32">
        <f>IF($A193&gt;COUNT(GL_Journal!$Y:$Y),"",SMALL(GL_Journal!$Y:$Y,$A193))</f>
        <v/>
      </c>
      <c r="P193" s="32">
        <f>IF($O193="","",MATCH($O193,GL_Journal!$Y:$Y,0))</f>
        <v/>
      </c>
      <c r="Q193" s="32" t="inlineStr"/>
    </row>
    <row r="194">
      <c r="A194" s="32">
        <f>ROW()-12</f>
        <v/>
      </c>
      <c r="B194" s="33">
        <f>IF($P194="","",INDEX(GL_Journal!$D:$D,$P194))</f>
        <v/>
      </c>
      <c r="C194" s="32">
        <f>IF($P194="","",INDEX(GL_Journal!$C:$C,$P194))</f>
        <v/>
      </c>
      <c r="D194" s="32">
        <f>IF($P194="","",INDEX(GL_Journal!$E:$E,$P194))</f>
        <v/>
      </c>
      <c r="E194" s="32">
        <f>IF($P194="","",INDEX(GL_Journal!$F:$F,$P194))</f>
        <v/>
      </c>
      <c r="F194" s="32">
        <f>IF($P194="","",INDEX(GL_Journal!$G:$G,$P194))</f>
        <v/>
      </c>
      <c r="G194" s="32">
        <f>IF($P194="","",INDEX(GL_Journal!$H:$H,$P194))</f>
        <v/>
      </c>
      <c r="H194" s="32">
        <f>IF($P194="","",INDEX(GL_Journal!$I:$I,$P194))</f>
        <v/>
      </c>
      <c r="I194" s="32">
        <f>IF($P194="","",INDEX(GL_Journal!$J:$J,$P194))</f>
        <v/>
      </c>
      <c r="J194" s="32">
        <f>IF($P194="","",INDEX(GL_Journal!$K:$K,$P194))</f>
        <v/>
      </c>
      <c r="K194" s="32">
        <f>IF($P194="","",INDEX(GL_Journal!$L:$L,$P194))</f>
        <v/>
      </c>
      <c r="L194" s="43">
        <f>IF($P194="","",INDEX(GL_Journal!$M:$M,$P194))</f>
        <v/>
      </c>
      <c r="M194" s="43">
        <f>IF($P194="","",INDEX(GL_Journal!$N:$N,$P194))</f>
        <v/>
      </c>
      <c r="N194" s="47">
        <f>IF($P194="","",IF($A194=1,LG_Open,$N193)+$L194-$M194)</f>
        <v/>
      </c>
      <c r="O194" s="32">
        <f>IF($A194&gt;COUNT(GL_Journal!$Y:$Y),"",SMALL(GL_Journal!$Y:$Y,$A194))</f>
        <v/>
      </c>
      <c r="P194" s="32">
        <f>IF($O194="","",MATCH($O194,GL_Journal!$Y:$Y,0))</f>
        <v/>
      </c>
      <c r="Q194" s="32" t="inlineStr"/>
    </row>
    <row r="195">
      <c r="A195" s="32">
        <f>ROW()-12</f>
        <v/>
      </c>
      <c r="B195" s="33">
        <f>IF($P195="","",INDEX(GL_Journal!$D:$D,$P195))</f>
        <v/>
      </c>
      <c r="C195" s="32">
        <f>IF($P195="","",INDEX(GL_Journal!$C:$C,$P195))</f>
        <v/>
      </c>
      <c r="D195" s="32">
        <f>IF($P195="","",INDEX(GL_Journal!$E:$E,$P195))</f>
        <v/>
      </c>
      <c r="E195" s="32">
        <f>IF($P195="","",INDEX(GL_Journal!$F:$F,$P195))</f>
        <v/>
      </c>
      <c r="F195" s="32">
        <f>IF($P195="","",INDEX(GL_Journal!$G:$G,$P195))</f>
        <v/>
      </c>
      <c r="G195" s="32">
        <f>IF($P195="","",INDEX(GL_Journal!$H:$H,$P195))</f>
        <v/>
      </c>
      <c r="H195" s="32">
        <f>IF($P195="","",INDEX(GL_Journal!$I:$I,$P195))</f>
        <v/>
      </c>
      <c r="I195" s="32">
        <f>IF($P195="","",INDEX(GL_Journal!$J:$J,$P195))</f>
        <v/>
      </c>
      <c r="J195" s="32">
        <f>IF($P195="","",INDEX(GL_Journal!$K:$K,$P195))</f>
        <v/>
      </c>
      <c r="K195" s="32">
        <f>IF($P195="","",INDEX(GL_Journal!$L:$L,$P195))</f>
        <v/>
      </c>
      <c r="L195" s="43">
        <f>IF($P195="","",INDEX(GL_Journal!$M:$M,$P195))</f>
        <v/>
      </c>
      <c r="M195" s="43">
        <f>IF($P195="","",INDEX(GL_Journal!$N:$N,$P195))</f>
        <v/>
      </c>
      <c r="N195" s="47">
        <f>IF($P195="","",IF($A195=1,LG_Open,$N194)+$L195-$M195)</f>
        <v/>
      </c>
      <c r="O195" s="32">
        <f>IF($A195&gt;COUNT(GL_Journal!$Y:$Y),"",SMALL(GL_Journal!$Y:$Y,$A195))</f>
        <v/>
      </c>
      <c r="P195" s="32">
        <f>IF($O195="","",MATCH($O195,GL_Journal!$Y:$Y,0))</f>
        <v/>
      </c>
      <c r="Q195" s="32" t="inlineStr"/>
    </row>
    <row r="196">
      <c r="A196" s="32">
        <f>ROW()-12</f>
        <v/>
      </c>
      <c r="B196" s="33">
        <f>IF($P196="","",INDEX(GL_Journal!$D:$D,$P196))</f>
        <v/>
      </c>
      <c r="C196" s="32">
        <f>IF($P196="","",INDEX(GL_Journal!$C:$C,$P196))</f>
        <v/>
      </c>
      <c r="D196" s="32">
        <f>IF($P196="","",INDEX(GL_Journal!$E:$E,$P196))</f>
        <v/>
      </c>
      <c r="E196" s="32">
        <f>IF($P196="","",INDEX(GL_Journal!$F:$F,$P196))</f>
        <v/>
      </c>
      <c r="F196" s="32">
        <f>IF($P196="","",INDEX(GL_Journal!$G:$G,$P196))</f>
        <v/>
      </c>
      <c r="G196" s="32">
        <f>IF($P196="","",INDEX(GL_Journal!$H:$H,$P196))</f>
        <v/>
      </c>
      <c r="H196" s="32">
        <f>IF($P196="","",INDEX(GL_Journal!$I:$I,$P196))</f>
        <v/>
      </c>
      <c r="I196" s="32">
        <f>IF($P196="","",INDEX(GL_Journal!$J:$J,$P196))</f>
        <v/>
      </c>
      <c r="J196" s="32">
        <f>IF($P196="","",INDEX(GL_Journal!$K:$K,$P196))</f>
        <v/>
      </c>
      <c r="K196" s="32">
        <f>IF($P196="","",INDEX(GL_Journal!$L:$L,$P196))</f>
        <v/>
      </c>
      <c r="L196" s="43">
        <f>IF($P196="","",INDEX(GL_Journal!$M:$M,$P196))</f>
        <v/>
      </c>
      <c r="M196" s="43">
        <f>IF($P196="","",INDEX(GL_Journal!$N:$N,$P196))</f>
        <v/>
      </c>
      <c r="N196" s="47">
        <f>IF($P196="","",IF($A196=1,LG_Open,$N195)+$L196-$M196)</f>
        <v/>
      </c>
      <c r="O196" s="32">
        <f>IF($A196&gt;COUNT(GL_Journal!$Y:$Y),"",SMALL(GL_Journal!$Y:$Y,$A196))</f>
        <v/>
      </c>
      <c r="P196" s="32">
        <f>IF($O196="","",MATCH($O196,GL_Journal!$Y:$Y,0))</f>
        <v/>
      </c>
      <c r="Q196" s="32" t="inlineStr"/>
    </row>
    <row r="197">
      <c r="A197" s="32">
        <f>ROW()-12</f>
        <v/>
      </c>
      <c r="B197" s="33">
        <f>IF($P197="","",INDEX(GL_Journal!$D:$D,$P197))</f>
        <v/>
      </c>
      <c r="C197" s="32">
        <f>IF($P197="","",INDEX(GL_Journal!$C:$C,$P197))</f>
        <v/>
      </c>
      <c r="D197" s="32">
        <f>IF($P197="","",INDEX(GL_Journal!$E:$E,$P197))</f>
        <v/>
      </c>
      <c r="E197" s="32">
        <f>IF($P197="","",INDEX(GL_Journal!$F:$F,$P197))</f>
        <v/>
      </c>
      <c r="F197" s="32">
        <f>IF($P197="","",INDEX(GL_Journal!$G:$G,$P197))</f>
        <v/>
      </c>
      <c r="G197" s="32">
        <f>IF($P197="","",INDEX(GL_Journal!$H:$H,$P197))</f>
        <v/>
      </c>
      <c r="H197" s="32">
        <f>IF($P197="","",INDEX(GL_Journal!$I:$I,$P197))</f>
        <v/>
      </c>
      <c r="I197" s="32">
        <f>IF($P197="","",INDEX(GL_Journal!$J:$J,$P197))</f>
        <v/>
      </c>
      <c r="J197" s="32">
        <f>IF($P197="","",INDEX(GL_Journal!$K:$K,$P197))</f>
        <v/>
      </c>
      <c r="K197" s="32">
        <f>IF($P197="","",INDEX(GL_Journal!$L:$L,$P197))</f>
        <v/>
      </c>
      <c r="L197" s="43">
        <f>IF($P197="","",INDEX(GL_Journal!$M:$M,$P197))</f>
        <v/>
      </c>
      <c r="M197" s="43">
        <f>IF($P197="","",INDEX(GL_Journal!$N:$N,$P197))</f>
        <v/>
      </c>
      <c r="N197" s="47">
        <f>IF($P197="","",IF($A197=1,LG_Open,$N196)+$L197-$M197)</f>
        <v/>
      </c>
      <c r="O197" s="32">
        <f>IF($A197&gt;COUNT(GL_Journal!$Y:$Y),"",SMALL(GL_Journal!$Y:$Y,$A197))</f>
        <v/>
      </c>
      <c r="P197" s="32">
        <f>IF($O197="","",MATCH($O197,GL_Journal!$Y:$Y,0))</f>
        <v/>
      </c>
      <c r="Q197" s="32" t="inlineStr"/>
    </row>
    <row r="198">
      <c r="A198" s="32">
        <f>ROW()-12</f>
        <v/>
      </c>
      <c r="B198" s="33">
        <f>IF($P198="","",INDEX(GL_Journal!$D:$D,$P198))</f>
        <v/>
      </c>
      <c r="C198" s="32">
        <f>IF($P198="","",INDEX(GL_Journal!$C:$C,$P198))</f>
        <v/>
      </c>
      <c r="D198" s="32">
        <f>IF($P198="","",INDEX(GL_Journal!$E:$E,$P198))</f>
        <v/>
      </c>
      <c r="E198" s="32">
        <f>IF($P198="","",INDEX(GL_Journal!$F:$F,$P198))</f>
        <v/>
      </c>
      <c r="F198" s="32">
        <f>IF($P198="","",INDEX(GL_Journal!$G:$G,$P198))</f>
        <v/>
      </c>
      <c r="G198" s="32">
        <f>IF($P198="","",INDEX(GL_Journal!$H:$H,$P198))</f>
        <v/>
      </c>
      <c r="H198" s="32">
        <f>IF($P198="","",INDEX(GL_Journal!$I:$I,$P198))</f>
        <v/>
      </c>
      <c r="I198" s="32">
        <f>IF($P198="","",INDEX(GL_Journal!$J:$J,$P198))</f>
        <v/>
      </c>
      <c r="J198" s="32">
        <f>IF($P198="","",INDEX(GL_Journal!$K:$K,$P198))</f>
        <v/>
      </c>
      <c r="K198" s="32">
        <f>IF($P198="","",INDEX(GL_Journal!$L:$L,$P198))</f>
        <v/>
      </c>
      <c r="L198" s="43">
        <f>IF($P198="","",INDEX(GL_Journal!$M:$M,$P198))</f>
        <v/>
      </c>
      <c r="M198" s="43">
        <f>IF($P198="","",INDEX(GL_Journal!$N:$N,$P198))</f>
        <v/>
      </c>
      <c r="N198" s="47">
        <f>IF($P198="","",IF($A198=1,LG_Open,$N197)+$L198-$M198)</f>
        <v/>
      </c>
      <c r="O198" s="32">
        <f>IF($A198&gt;COUNT(GL_Journal!$Y:$Y),"",SMALL(GL_Journal!$Y:$Y,$A198))</f>
        <v/>
      </c>
      <c r="P198" s="32">
        <f>IF($O198="","",MATCH($O198,GL_Journal!$Y:$Y,0))</f>
        <v/>
      </c>
      <c r="Q198" s="32" t="inlineStr"/>
    </row>
    <row r="199">
      <c r="A199" s="32">
        <f>ROW()-12</f>
        <v/>
      </c>
      <c r="B199" s="33">
        <f>IF($P199="","",INDEX(GL_Journal!$D:$D,$P199))</f>
        <v/>
      </c>
      <c r="C199" s="32">
        <f>IF($P199="","",INDEX(GL_Journal!$C:$C,$P199))</f>
        <v/>
      </c>
      <c r="D199" s="32">
        <f>IF($P199="","",INDEX(GL_Journal!$E:$E,$P199))</f>
        <v/>
      </c>
      <c r="E199" s="32">
        <f>IF($P199="","",INDEX(GL_Journal!$F:$F,$P199))</f>
        <v/>
      </c>
      <c r="F199" s="32">
        <f>IF($P199="","",INDEX(GL_Journal!$G:$G,$P199))</f>
        <v/>
      </c>
      <c r="G199" s="32">
        <f>IF($P199="","",INDEX(GL_Journal!$H:$H,$P199))</f>
        <v/>
      </c>
      <c r="H199" s="32">
        <f>IF($P199="","",INDEX(GL_Journal!$I:$I,$P199))</f>
        <v/>
      </c>
      <c r="I199" s="32">
        <f>IF($P199="","",INDEX(GL_Journal!$J:$J,$P199))</f>
        <v/>
      </c>
      <c r="J199" s="32">
        <f>IF($P199="","",INDEX(GL_Journal!$K:$K,$P199))</f>
        <v/>
      </c>
      <c r="K199" s="32">
        <f>IF($P199="","",INDEX(GL_Journal!$L:$L,$P199))</f>
        <v/>
      </c>
      <c r="L199" s="43">
        <f>IF($P199="","",INDEX(GL_Journal!$M:$M,$P199))</f>
        <v/>
      </c>
      <c r="M199" s="43">
        <f>IF($P199="","",INDEX(GL_Journal!$N:$N,$P199))</f>
        <v/>
      </c>
      <c r="N199" s="47">
        <f>IF($P199="","",IF($A199=1,LG_Open,$N198)+$L199-$M199)</f>
        <v/>
      </c>
      <c r="O199" s="32">
        <f>IF($A199&gt;COUNT(GL_Journal!$Y:$Y),"",SMALL(GL_Journal!$Y:$Y,$A199))</f>
        <v/>
      </c>
      <c r="P199" s="32">
        <f>IF($O199="","",MATCH($O199,GL_Journal!$Y:$Y,0))</f>
        <v/>
      </c>
      <c r="Q199" s="32" t="inlineStr"/>
    </row>
    <row r="200">
      <c r="A200" s="32">
        <f>ROW()-12</f>
        <v/>
      </c>
      <c r="B200" s="33">
        <f>IF($P200="","",INDEX(GL_Journal!$D:$D,$P200))</f>
        <v/>
      </c>
      <c r="C200" s="32">
        <f>IF($P200="","",INDEX(GL_Journal!$C:$C,$P200))</f>
        <v/>
      </c>
      <c r="D200" s="32">
        <f>IF($P200="","",INDEX(GL_Journal!$E:$E,$P200))</f>
        <v/>
      </c>
      <c r="E200" s="32">
        <f>IF($P200="","",INDEX(GL_Journal!$F:$F,$P200))</f>
        <v/>
      </c>
      <c r="F200" s="32">
        <f>IF($P200="","",INDEX(GL_Journal!$G:$G,$P200))</f>
        <v/>
      </c>
      <c r="G200" s="32">
        <f>IF($P200="","",INDEX(GL_Journal!$H:$H,$P200))</f>
        <v/>
      </c>
      <c r="H200" s="32">
        <f>IF($P200="","",INDEX(GL_Journal!$I:$I,$P200))</f>
        <v/>
      </c>
      <c r="I200" s="32">
        <f>IF($P200="","",INDEX(GL_Journal!$J:$J,$P200))</f>
        <v/>
      </c>
      <c r="J200" s="32">
        <f>IF($P200="","",INDEX(GL_Journal!$K:$K,$P200))</f>
        <v/>
      </c>
      <c r="K200" s="32">
        <f>IF($P200="","",INDEX(GL_Journal!$L:$L,$P200))</f>
        <v/>
      </c>
      <c r="L200" s="43">
        <f>IF($P200="","",INDEX(GL_Journal!$M:$M,$P200))</f>
        <v/>
      </c>
      <c r="M200" s="43">
        <f>IF($P200="","",INDEX(GL_Journal!$N:$N,$P200))</f>
        <v/>
      </c>
      <c r="N200" s="47">
        <f>IF($P200="","",IF($A200=1,LG_Open,$N199)+$L200-$M200)</f>
        <v/>
      </c>
      <c r="O200" s="32">
        <f>IF($A200&gt;COUNT(GL_Journal!$Y:$Y),"",SMALL(GL_Journal!$Y:$Y,$A200))</f>
        <v/>
      </c>
      <c r="P200" s="32">
        <f>IF($O200="","",MATCH($O200,GL_Journal!$Y:$Y,0))</f>
        <v/>
      </c>
      <c r="Q200" s="32" t="inlineStr"/>
    </row>
    <row r="201">
      <c r="A201" s="32">
        <f>ROW()-12</f>
        <v/>
      </c>
      <c r="B201" s="33">
        <f>IF($P201="","",INDEX(GL_Journal!$D:$D,$P201))</f>
        <v/>
      </c>
      <c r="C201" s="32">
        <f>IF($P201="","",INDEX(GL_Journal!$C:$C,$P201))</f>
        <v/>
      </c>
      <c r="D201" s="32">
        <f>IF($P201="","",INDEX(GL_Journal!$E:$E,$P201))</f>
        <v/>
      </c>
      <c r="E201" s="32">
        <f>IF($P201="","",INDEX(GL_Journal!$F:$F,$P201))</f>
        <v/>
      </c>
      <c r="F201" s="32">
        <f>IF($P201="","",INDEX(GL_Journal!$G:$G,$P201))</f>
        <v/>
      </c>
      <c r="G201" s="32">
        <f>IF($P201="","",INDEX(GL_Journal!$H:$H,$P201))</f>
        <v/>
      </c>
      <c r="H201" s="32">
        <f>IF($P201="","",INDEX(GL_Journal!$I:$I,$P201))</f>
        <v/>
      </c>
      <c r="I201" s="32">
        <f>IF($P201="","",INDEX(GL_Journal!$J:$J,$P201))</f>
        <v/>
      </c>
      <c r="J201" s="32">
        <f>IF($P201="","",INDEX(GL_Journal!$K:$K,$P201))</f>
        <v/>
      </c>
      <c r="K201" s="32">
        <f>IF($P201="","",INDEX(GL_Journal!$L:$L,$P201))</f>
        <v/>
      </c>
      <c r="L201" s="43">
        <f>IF($P201="","",INDEX(GL_Journal!$M:$M,$P201))</f>
        <v/>
      </c>
      <c r="M201" s="43">
        <f>IF($P201="","",INDEX(GL_Journal!$N:$N,$P201))</f>
        <v/>
      </c>
      <c r="N201" s="47">
        <f>IF($P201="","",IF($A201=1,LG_Open,$N200)+$L201-$M201)</f>
        <v/>
      </c>
      <c r="O201" s="32">
        <f>IF($A201&gt;COUNT(GL_Journal!$Y:$Y),"",SMALL(GL_Journal!$Y:$Y,$A201))</f>
        <v/>
      </c>
      <c r="P201" s="32">
        <f>IF($O201="","",MATCH($O201,GL_Journal!$Y:$Y,0))</f>
        <v/>
      </c>
      <c r="Q201" s="32" t="inlineStr"/>
    </row>
    <row r="202">
      <c r="A202" s="32">
        <f>ROW()-12</f>
        <v/>
      </c>
      <c r="B202" s="33">
        <f>IF($P202="","",INDEX(GL_Journal!$D:$D,$P202))</f>
        <v/>
      </c>
      <c r="C202" s="32">
        <f>IF($P202="","",INDEX(GL_Journal!$C:$C,$P202))</f>
        <v/>
      </c>
      <c r="D202" s="32">
        <f>IF($P202="","",INDEX(GL_Journal!$E:$E,$P202))</f>
        <v/>
      </c>
      <c r="E202" s="32">
        <f>IF($P202="","",INDEX(GL_Journal!$F:$F,$P202))</f>
        <v/>
      </c>
      <c r="F202" s="32">
        <f>IF($P202="","",INDEX(GL_Journal!$G:$G,$P202))</f>
        <v/>
      </c>
      <c r="G202" s="32">
        <f>IF($P202="","",INDEX(GL_Journal!$H:$H,$P202))</f>
        <v/>
      </c>
      <c r="H202" s="32">
        <f>IF($P202="","",INDEX(GL_Journal!$I:$I,$P202))</f>
        <v/>
      </c>
      <c r="I202" s="32">
        <f>IF($P202="","",INDEX(GL_Journal!$J:$J,$P202))</f>
        <v/>
      </c>
      <c r="J202" s="32">
        <f>IF($P202="","",INDEX(GL_Journal!$K:$K,$P202))</f>
        <v/>
      </c>
      <c r="K202" s="32">
        <f>IF($P202="","",INDEX(GL_Journal!$L:$L,$P202))</f>
        <v/>
      </c>
      <c r="L202" s="43">
        <f>IF($P202="","",INDEX(GL_Journal!$M:$M,$P202))</f>
        <v/>
      </c>
      <c r="M202" s="43">
        <f>IF($P202="","",INDEX(GL_Journal!$N:$N,$P202))</f>
        <v/>
      </c>
      <c r="N202" s="47">
        <f>IF($P202="","",IF($A202=1,LG_Open,$N201)+$L202-$M202)</f>
        <v/>
      </c>
      <c r="O202" s="32">
        <f>IF($A202&gt;COUNT(GL_Journal!$Y:$Y),"",SMALL(GL_Journal!$Y:$Y,$A202))</f>
        <v/>
      </c>
      <c r="P202" s="32">
        <f>IF($O202="","",MATCH($O202,GL_Journal!$Y:$Y,0))</f>
        <v/>
      </c>
      <c r="Q202" s="32" t="inlineStr"/>
    </row>
    <row r="203">
      <c r="A203" s="32">
        <f>ROW()-12</f>
        <v/>
      </c>
      <c r="B203" s="33">
        <f>IF($P203="","",INDEX(GL_Journal!$D:$D,$P203))</f>
        <v/>
      </c>
      <c r="C203" s="32">
        <f>IF($P203="","",INDEX(GL_Journal!$C:$C,$P203))</f>
        <v/>
      </c>
      <c r="D203" s="32">
        <f>IF($P203="","",INDEX(GL_Journal!$E:$E,$P203))</f>
        <v/>
      </c>
      <c r="E203" s="32">
        <f>IF($P203="","",INDEX(GL_Journal!$F:$F,$P203))</f>
        <v/>
      </c>
      <c r="F203" s="32">
        <f>IF($P203="","",INDEX(GL_Journal!$G:$G,$P203))</f>
        <v/>
      </c>
      <c r="G203" s="32">
        <f>IF($P203="","",INDEX(GL_Journal!$H:$H,$P203))</f>
        <v/>
      </c>
      <c r="H203" s="32">
        <f>IF($P203="","",INDEX(GL_Journal!$I:$I,$P203))</f>
        <v/>
      </c>
      <c r="I203" s="32">
        <f>IF($P203="","",INDEX(GL_Journal!$J:$J,$P203))</f>
        <v/>
      </c>
      <c r="J203" s="32">
        <f>IF($P203="","",INDEX(GL_Journal!$K:$K,$P203))</f>
        <v/>
      </c>
      <c r="K203" s="32">
        <f>IF($P203="","",INDEX(GL_Journal!$L:$L,$P203))</f>
        <v/>
      </c>
      <c r="L203" s="43">
        <f>IF($P203="","",INDEX(GL_Journal!$M:$M,$P203))</f>
        <v/>
      </c>
      <c r="M203" s="43">
        <f>IF($P203="","",INDEX(GL_Journal!$N:$N,$P203))</f>
        <v/>
      </c>
      <c r="N203" s="47">
        <f>IF($P203="","",IF($A203=1,LG_Open,$N202)+$L203-$M203)</f>
        <v/>
      </c>
      <c r="O203" s="32">
        <f>IF($A203&gt;COUNT(GL_Journal!$Y:$Y),"",SMALL(GL_Journal!$Y:$Y,$A203))</f>
        <v/>
      </c>
      <c r="P203" s="32">
        <f>IF($O203="","",MATCH($O203,GL_Journal!$Y:$Y,0))</f>
        <v/>
      </c>
      <c r="Q203" s="32" t="inlineStr"/>
    </row>
    <row r="204">
      <c r="A204" s="32">
        <f>ROW()-12</f>
        <v/>
      </c>
      <c r="B204" s="33">
        <f>IF($P204="","",INDEX(GL_Journal!$D:$D,$P204))</f>
        <v/>
      </c>
      <c r="C204" s="32">
        <f>IF($P204="","",INDEX(GL_Journal!$C:$C,$P204))</f>
        <v/>
      </c>
      <c r="D204" s="32">
        <f>IF($P204="","",INDEX(GL_Journal!$E:$E,$P204))</f>
        <v/>
      </c>
      <c r="E204" s="32">
        <f>IF($P204="","",INDEX(GL_Journal!$F:$F,$P204))</f>
        <v/>
      </c>
      <c r="F204" s="32">
        <f>IF($P204="","",INDEX(GL_Journal!$G:$G,$P204))</f>
        <v/>
      </c>
      <c r="G204" s="32">
        <f>IF($P204="","",INDEX(GL_Journal!$H:$H,$P204))</f>
        <v/>
      </c>
      <c r="H204" s="32">
        <f>IF($P204="","",INDEX(GL_Journal!$I:$I,$P204))</f>
        <v/>
      </c>
      <c r="I204" s="32">
        <f>IF($P204="","",INDEX(GL_Journal!$J:$J,$P204))</f>
        <v/>
      </c>
      <c r="J204" s="32">
        <f>IF($P204="","",INDEX(GL_Journal!$K:$K,$P204))</f>
        <v/>
      </c>
      <c r="K204" s="32">
        <f>IF($P204="","",INDEX(GL_Journal!$L:$L,$P204))</f>
        <v/>
      </c>
      <c r="L204" s="43">
        <f>IF($P204="","",INDEX(GL_Journal!$M:$M,$P204))</f>
        <v/>
      </c>
      <c r="M204" s="43">
        <f>IF($P204="","",INDEX(GL_Journal!$N:$N,$P204))</f>
        <v/>
      </c>
      <c r="N204" s="47">
        <f>IF($P204="","",IF($A204=1,LG_Open,$N203)+$L204-$M204)</f>
        <v/>
      </c>
      <c r="O204" s="32">
        <f>IF($A204&gt;COUNT(GL_Journal!$Y:$Y),"",SMALL(GL_Journal!$Y:$Y,$A204))</f>
        <v/>
      </c>
      <c r="P204" s="32">
        <f>IF($O204="","",MATCH($O204,GL_Journal!$Y:$Y,0))</f>
        <v/>
      </c>
      <c r="Q204" s="32" t="inlineStr"/>
    </row>
    <row r="205">
      <c r="A205" s="32">
        <f>ROW()-12</f>
        <v/>
      </c>
      <c r="B205" s="33">
        <f>IF($P205="","",INDEX(GL_Journal!$D:$D,$P205))</f>
        <v/>
      </c>
      <c r="C205" s="32">
        <f>IF($P205="","",INDEX(GL_Journal!$C:$C,$P205))</f>
        <v/>
      </c>
      <c r="D205" s="32">
        <f>IF($P205="","",INDEX(GL_Journal!$E:$E,$P205))</f>
        <v/>
      </c>
      <c r="E205" s="32">
        <f>IF($P205="","",INDEX(GL_Journal!$F:$F,$P205))</f>
        <v/>
      </c>
      <c r="F205" s="32">
        <f>IF($P205="","",INDEX(GL_Journal!$G:$G,$P205))</f>
        <v/>
      </c>
      <c r="G205" s="32">
        <f>IF($P205="","",INDEX(GL_Journal!$H:$H,$P205))</f>
        <v/>
      </c>
      <c r="H205" s="32">
        <f>IF($P205="","",INDEX(GL_Journal!$I:$I,$P205))</f>
        <v/>
      </c>
      <c r="I205" s="32">
        <f>IF($P205="","",INDEX(GL_Journal!$J:$J,$P205))</f>
        <v/>
      </c>
      <c r="J205" s="32">
        <f>IF($P205="","",INDEX(GL_Journal!$K:$K,$P205))</f>
        <v/>
      </c>
      <c r="K205" s="32">
        <f>IF($P205="","",INDEX(GL_Journal!$L:$L,$P205))</f>
        <v/>
      </c>
      <c r="L205" s="43">
        <f>IF($P205="","",INDEX(GL_Journal!$M:$M,$P205))</f>
        <v/>
      </c>
      <c r="M205" s="43">
        <f>IF($P205="","",INDEX(GL_Journal!$N:$N,$P205))</f>
        <v/>
      </c>
      <c r="N205" s="47">
        <f>IF($P205="","",IF($A205=1,LG_Open,$N204)+$L205-$M205)</f>
        <v/>
      </c>
      <c r="O205" s="32">
        <f>IF($A205&gt;COUNT(GL_Journal!$Y:$Y),"",SMALL(GL_Journal!$Y:$Y,$A205))</f>
        <v/>
      </c>
      <c r="P205" s="32">
        <f>IF($O205="","",MATCH($O205,GL_Journal!$Y:$Y,0))</f>
        <v/>
      </c>
      <c r="Q205" s="32" t="inlineStr"/>
    </row>
    <row r="206">
      <c r="A206" s="32">
        <f>ROW()-12</f>
        <v/>
      </c>
      <c r="B206" s="33">
        <f>IF($P206="","",INDEX(GL_Journal!$D:$D,$P206))</f>
        <v/>
      </c>
      <c r="C206" s="32">
        <f>IF($P206="","",INDEX(GL_Journal!$C:$C,$P206))</f>
        <v/>
      </c>
      <c r="D206" s="32">
        <f>IF($P206="","",INDEX(GL_Journal!$E:$E,$P206))</f>
        <v/>
      </c>
      <c r="E206" s="32">
        <f>IF($P206="","",INDEX(GL_Journal!$F:$F,$P206))</f>
        <v/>
      </c>
      <c r="F206" s="32">
        <f>IF($P206="","",INDEX(GL_Journal!$G:$G,$P206))</f>
        <v/>
      </c>
      <c r="G206" s="32">
        <f>IF($P206="","",INDEX(GL_Journal!$H:$H,$P206))</f>
        <v/>
      </c>
      <c r="H206" s="32">
        <f>IF($P206="","",INDEX(GL_Journal!$I:$I,$P206))</f>
        <v/>
      </c>
      <c r="I206" s="32">
        <f>IF($P206="","",INDEX(GL_Journal!$J:$J,$P206))</f>
        <v/>
      </c>
      <c r="J206" s="32">
        <f>IF($P206="","",INDEX(GL_Journal!$K:$K,$P206))</f>
        <v/>
      </c>
      <c r="K206" s="32">
        <f>IF($P206="","",INDEX(GL_Journal!$L:$L,$P206))</f>
        <v/>
      </c>
      <c r="L206" s="43">
        <f>IF($P206="","",INDEX(GL_Journal!$M:$M,$P206))</f>
        <v/>
      </c>
      <c r="M206" s="43">
        <f>IF($P206="","",INDEX(GL_Journal!$N:$N,$P206))</f>
        <v/>
      </c>
      <c r="N206" s="47">
        <f>IF($P206="","",IF($A206=1,LG_Open,$N205)+$L206-$M206)</f>
        <v/>
      </c>
      <c r="O206" s="32">
        <f>IF($A206&gt;COUNT(GL_Journal!$Y:$Y),"",SMALL(GL_Journal!$Y:$Y,$A206))</f>
        <v/>
      </c>
      <c r="P206" s="32">
        <f>IF($O206="","",MATCH($O206,GL_Journal!$Y:$Y,0))</f>
        <v/>
      </c>
      <c r="Q206" s="32" t="inlineStr"/>
    </row>
    <row r="207">
      <c r="A207" s="32">
        <f>ROW()-12</f>
        <v/>
      </c>
      <c r="B207" s="33">
        <f>IF($P207="","",INDEX(GL_Journal!$D:$D,$P207))</f>
        <v/>
      </c>
      <c r="C207" s="32">
        <f>IF($P207="","",INDEX(GL_Journal!$C:$C,$P207))</f>
        <v/>
      </c>
      <c r="D207" s="32">
        <f>IF($P207="","",INDEX(GL_Journal!$E:$E,$P207))</f>
        <v/>
      </c>
      <c r="E207" s="32">
        <f>IF($P207="","",INDEX(GL_Journal!$F:$F,$P207))</f>
        <v/>
      </c>
      <c r="F207" s="32">
        <f>IF($P207="","",INDEX(GL_Journal!$G:$G,$P207))</f>
        <v/>
      </c>
      <c r="G207" s="32">
        <f>IF($P207="","",INDEX(GL_Journal!$H:$H,$P207))</f>
        <v/>
      </c>
      <c r="H207" s="32">
        <f>IF($P207="","",INDEX(GL_Journal!$I:$I,$P207))</f>
        <v/>
      </c>
      <c r="I207" s="32">
        <f>IF($P207="","",INDEX(GL_Journal!$J:$J,$P207))</f>
        <v/>
      </c>
      <c r="J207" s="32">
        <f>IF($P207="","",INDEX(GL_Journal!$K:$K,$P207))</f>
        <v/>
      </c>
      <c r="K207" s="32">
        <f>IF($P207="","",INDEX(GL_Journal!$L:$L,$P207))</f>
        <v/>
      </c>
      <c r="L207" s="43">
        <f>IF($P207="","",INDEX(GL_Journal!$M:$M,$P207))</f>
        <v/>
      </c>
      <c r="M207" s="43">
        <f>IF($P207="","",INDEX(GL_Journal!$N:$N,$P207))</f>
        <v/>
      </c>
      <c r="N207" s="47">
        <f>IF($P207="","",IF($A207=1,LG_Open,$N206)+$L207-$M207)</f>
        <v/>
      </c>
      <c r="O207" s="32">
        <f>IF($A207&gt;COUNT(GL_Journal!$Y:$Y),"",SMALL(GL_Journal!$Y:$Y,$A207))</f>
        <v/>
      </c>
      <c r="P207" s="32">
        <f>IF($O207="","",MATCH($O207,GL_Journal!$Y:$Y,0))</f>
        <v/>
      </c>
      <c r="Q207" s="32" t="inlineStr"/>
    </row>
    <row r="208">
      <c r="A208" s="32">
        <f>ROW()-12</f>
        <v/>
      </c>
      <c r="B208" s="33">
        <f>IF($P208="","",INDEX(GL_Journal!$D:$D,$P208))</f>
        <v/>
      </c>
      <c r="C208" s="32">
        <f>IF($P208="","",INDEX(GL_Journal!$C:$C,$P208))</f>
        <v/>
      </c>
      <c r="D208" s="32">
        <f>IF($P208="","",INDEX(GL_Journal!$E:$E,$P208))</f>
        <v/>
      </c>
      <c r="E208" s="32">
        <f>IF($P208="","",INDEX(GL_Journal!$F:$F,$P208))</f>
        <v/>
      </c>
      <c r="F208" s="32">
        <f>IF($P208="","",INDEX(GL_Journal!$G:$G,$P208))</f>
        <v/>
      </c>
      <c r="G208" s="32">
        <f>IF($P208="","",INDEX(GL_Journal!$H:$H,$P208))</f>
        <v/>
      </c>
      <c r="H208" s="32">
        <f>IF($P208="","",INDEX(GL_Journal!$I:$I,$P208))</f>
        <v/>
      </c>
      <c r="I208" s="32">
        <f>IF($P208="","",INDEX(GL_Journal!$J:$J,$P208))</f>
        <v/>
      </c>
      <c r="J208" s="32">
        <f>IF($P208="","",INDEX(GL_Journal!$K:$K,$P208))</f>
        <v/>
      </c>
      <c r="K208" s="32">
        <f>IF($P208="","",INDEX(GL_Journal!$L:$L,$P208))</f>
        <v/>
      </c>
      <c r="L208" s="43">
        <f>IF($P208="","",INDEX(GL_Journal!$M:$M,$P208))</f>
        <v/>
      </c>
      <c r="M208" s="43">
        <f>IF($P208="","",INDEX(GL_Journal!$N:$N,$P208))</f>
        <v/>
      </c>
      <c r="N208" s="47">
        <f>IF($P208="","",IF($A208=1,LG_Open,$N207)+$L208-$M208)</f>
        <v/>
      </c>
      <c r="O208" s="32">
        <f>IF($A208&gt;COUNT(GL_Journal!$Y:$Y),"",SMALL(GL_Journal!$Y:$Y,$A208))</f>
        <v/>
      </c>
      <c r="P208" s="32">
        <f>IF($O208="","",MATCH($O208,GL_Journal!$Y:$Y,0))</f>
        <v/>
      </c>
      <c r="Q208" s="32" t="inlineStr"/>
    </row>
    <row r="209">
      <c r="A209" s="32">
        <f>ROW()-12</f>
        <v/>
      </c>
      <c r="B209" s="33">
        <f>IF($P209="","",INDEX(GL_Journal!$D:$D,$P209))</f>
        <v/>
      </c>
      <c r="C209" s="32">
        <f>IF($P209="","",INDEX(GL_Journal!$C:$C,$P209))</f>
        <v/>
      </c>
      <c r="D209" s="32">
        <f>IF($P209="","",INDEX(GL_Journal!$E:$E,$P209))</f>
        <v/>
      </c>
      <c r="E209" s="32">
        <f>IF($P209="","",INDEX(GL_Journal!$F:$F,$P209))</f>
        <v/>
      </c>
      <c r="F209" s="32">
        <f>IF($P209="","",INDEX(GL_Journal!$G:$G,$P209))</f>
        <v/>
      </c>
      <c r="G209" s="32">
        <f>IF($P209="","",INDEX(GL_Journal!$H:$H,$P209))</f>
        <v/>
      </c>
      <c r="H209" s="32">
        <f>IF($P209="","",INDEX(GL_Journal!$I:$I,$P209))</f>
        <v/>
      </c>
      <c r="I209" s="32">
        <f>IF($P209="","",INDEX(GL_Journal!$J:$J,$P209))</f>
        <v/>
      </c>
      <c r="J209" s="32">
        <f>IF($P209="","",INDEX(GL_Journal!$K:$K,$P209))</f>
        <v/>
      </c>
      <c r="K209" s="32">
        <f>IF($P209="","",INDEX(GL_Journal!$L:$L,$P209))</f>
        <v/>
      </c>
      <c r="L209" s="43">
        <f>IF($P209="","",INDEX(GL_Journal!$M:$M,$P209))</f>
        <v/>
      </c>
      <c r="M209" s="43">
        <f>IF($P209="","",INDEX(GL_Journal!$N:$N,$P209))</f>
        <v/>
      </c>
      <c r="N209" s="47">
        <f>IF($P209="","",IF($A209=1,LG_Open,$N208)+$L209-$M209)</f>
        <v/>
      </c>
      <c r="O209" s="32">
        <f>IF($A209&gt;COUNT(GL_Journal!$Y:$Y),"",SMALL(GL_Journal!$Y:$Y,$A209))</f>
        <v/>
      </c>
      <c r="P209" s="32">
        <f>IF($O209="","",MATCH($O209,GL_Journal!$Y:$Y,0))</f>
        <v/>
      </c>
      <c r="Q209" s="32" t="inlineStr"/>
    </row>
    <row r="210">
      <c r="A210" s="32">
        <f>ROW()-12</f>
        <v/>
      </c>
      <c r="B210" s="33">
        <f>IF($P210="","",INDEX(GL_Journal!$D:$D,$P210))</f>
        <v/>
      </c>
      <c r="C210" s="32">
        <f>IF($P210="","",INDEX(GL_Journal!$C:$C,$P210))</f>
        <v/>
      </c>
      <c r="D210" s="32">
        <f>IF($P210="","",INDEX(GL_Journal!$E:$E,$P210))</f>
        <v/>
      </c>
      <c r="E210" s="32">
        <f>IF($P210="","",INDEX(GL_Journal!$F:$F,$P210))</f>
        <v/>
      </c>
      <c r="F210" s="32">
        <f>IF($P210="","",INDEX(GL_Journal!$G:$G,$P210))</f>
        <v/>
      </c>
      <c r="G210" s="32">
        <f>IF($P210="","",INDEX(GL_Journal!$H:$H,$P210))</f>
        <v/>
      </c>
      <c r="H210" s="32">
        <f>IF($P210="","",INDEX(GL_Journal!$I:$I,$P210))</f>
        <v/>
      </c>
      <c r="I210" s="32">
        <f>IF($P210="","",INDEX(GL_Journal!$J:$J,$P210))</f>
        <v/>
      </c>
      <c r="J210" s="32">
        <f>IF($P210="","",INDEX(GL_Journal!$K:$K,$P210))</f>
        <v/>
      </c>
      <c r="K210" s="32">
        <f>IF($P210="","",INDEX(GL_Journal!$L:$L,$P210))</f>
        <v/>
      </c>
      <c r="L210" s="43">
        <f>IF($P210="","",INDEX(GL_Journal!$M:$M,$P210))</f>
        <v/>
      </c>
      <c r="M210" s="43">
        <f>IF($P210="","",INDEX(GL_Journal!$N:$N,$P210))</f>
        <v/>
      </c>
      <c r="N210" s="47">
        <f>IF($P210="","",IF($A210=1,LG_Open,$N209)+$L210-$M210)</f>
        <v/>
      </c>
      <c r="O210" s="32">
        <f>IF($A210&gt;COUNT(GL_Journal!$Y:$Y),"",SMALL(GL_Journal!$Y:$Y,$A210))</f>
        <v/>
      </c>
      <c r="P210" s="32">
        <f>IF($O210="","",MATCH($O210,GL_Journal!$Y:$Y,0))</f>
        <v/>
      </c>
      <c r="Q210" s="32" t="inlineStr"/>
    </row>
    <row r="211">
      <c r="A211" s="32">
        <f>ROW()-12</f>
        <v/>
      </c>
      <c r="B211" s="33">
        <f>IF($P211="","",INDEX(GL_Journal!$D:$D,$P211))</f>
        <v/>
      </c>
      <c r="C211" s="32">
        <f>IF($P211="","",INDEX(GL_Journal!$C:$C,$P211))</f>
        <v/>
      </c>
      <c r="D211" s="32">
        <f>IF($P211="","",INDEX(GL_Journal!$E:$E,$P211))</f>
        <v/>
      </c>
      <c r="E211" s="32">
        <f>IF($P211="","",INDEX(GL_Journal!$F:$F,$P211))</f>
        <v/>
      </c>
      <c r="F211" s="32">
        <f>IF($P211="","",INDEX(GL_Journal!$G:$G,$P211))</f>
        <v/>
      </c>
      <c r="G211" s="32">
        <f>IF($P211="","",INDEX(GL_Journal!$H:$H,$P211))</f>
        <v/>
      </c>
      <c r="H211" s="32">
        <f>IF($P211="","",INDEX(GL_Journal!$I:$I,$P211))</f>
        <v/>
      </c>
      <c r="I211" s="32">
        <f>IF($P211="","",INDEX(GL_Journal!$J:$J,$P211))</f>
        <v/>
      </c>
      <c r="J211" s="32">
        <f>IF($P211="","",INDEX(GL_Journal!$K:$K,$P211))</f>
        <v/>
      </c>
      <c r="K211" s="32">
        <f>IF($P211="","",INDEX(GL_Journal!$L:$L,$P211))</f>
        <v/>
      </c>
      <c r="L211" s="43">
        <f>IF($P211="","",INDEX(GL_Journal!$M:$M,$P211))</f>
        <v/>
      </c>
      <c r="M211" s="43">
        <f>IF($P211="","",INDEX(GL_Journal!$N:$N,$P211))</f>
        <v/>
      </c>
      <c r="N211" s="47">
        <f>IF($P211="","",IF($A211=1,LG_Open,$N210)+$L211-$M211)</f>
        <v/>
      </c>
      <c r="O211" s="32">
        <f>IF($A211&gt;COUNT(GL_Journal!$Y:$Y),"",SMALL(GL_Journal!$Y:$Y,$A211))</f>
        <v/>
      </c>
      <c r="P211" s="32">
        <f>IF($O211="","",MATCH($O211,GL_Journal!$Y:$Y,0))</f>
        <v/>
      </c>
      <c r="Q211" s="32" t="inlineStr"/>
    </row>
    <row r="212">
      <c r="A212" s="32">
        <f>ROW()-12</f>
        <v/>
      </c>
      <c r="B212" s="33">
        <f>IF($P212="","",INDEX(GL_Journal!$D:$D,$P212))</f>
        <v/>
      </c>
      <c r="C212" s="32">
        <f>IF($P212="","",INDEX(GL_Journal!$C:$C,$P212))</f>
        <v/>
      </c>
      <c r="D212" s="32">
        <f>IF($P212="","",INDEX(GL_Journal!$E:$E,$P212))</f>
        <v/>
      </c>
      <c r="E212" s="32">
        <f>IF($P212="","",INDEX(GL_Journal!$F:$F,$P212))</f>
        <v/>
      </c>
      <c r="F212" s="32">
        <f>IF($P212="","",INDEX(GL_Journal!$G:$G,$P212))</f>
        <v/>
      </c>
      <c r="G212" s="32">
        <f>IF($P212="","",INDEX(GL_Journal!$H:$H,$P212))</f>
        <v/>
      </c>
      <c r="H212" s="32">
        <f>IF($P212="","",INDEX(GL_Journal!$I:$I,$P212))</f>
        <v/>
      </c>
      <c r="I212" s="32">
        <f>IF($P212="","",INDEX(GL_Journal!$J:$J,$P212))</f>
        <v/>
      </c>
      <c r="J212" s="32">
        <f>IF($P212="","",INDEX(GL_Journal!$K:$K,$P212))</f>
        <v/>
      </c>
      <c r="K212" s="32">
        <f>IF($P212="","",INDEX(GL_Journal!$L:$L,$P212))</f>
        <v/>
      </c>
      <c r="L212" s="43">
        <f>IF($P212="","",INDEX(GL_Journal!$M:$M,$P212))</f>
        <v/>
      </c>
      <c r="M212" s="43">
        <f>IF($P212="","",INDEX(GL_Journal!$N:$N,$P212))</f>
        <v/>
      </c>
      <c r="N212" s="47">
        <f>IF($P212="","",IF($A212=1,LG_Open,$N211)+$L212-$M212)</f>
        <v/>
      </c>
      <c r="O212" s="32">
        <f>IF($A212&gt;COUNT(GL_Journal!$Y:$Y),"",SMALL(GL_Journal!$Y:$Y,$A212))</f>
        <v/>
      </c>
      <c r="P212" s="32">
        <f>IF($O212="","",MATCH($O212,GL_Journal!$Y:$Y,0))</f>
        <v/>
      </c>
      <c r="Q212" s="32" t="inlineStr"/>
    </row>
    <row r="213">
      <c r="A213" s="32">
        <f>ROW()-12</f>
        <v/>
      </c>
      <c r="B213" s="33">
        <f>IF($P213="","",INDEX(GL_Journal!$D:$D,$P213))</f>
        <v/>
      </c>
      <c r="C213" s="32">
        <f>IF($P213="","",INDEX(GL_Journal!$C:$C,$P213))</f>
        <v/>
      </c>
      <c r="D213" s="32">
        <f>IF($P213="","",INDEX(GL_Journal!$E:$E,$P213))</f>
        <v/>
      </c>
      <c r="E213" s="32">
        <f>IF($P213="","",INDEX(GL_Journal!$F:$F,$P213))</f>
        <v/>
      </c>
      <c r="F213" s="32">
        <f>IF($P213="","",INDEX(GL_Journal!$G:$G,$P213))</f>
        <v/>
      </c>
      <c r="G213" s="32">
        <f>IF($P213="","",INDEX(GL_Journal!$H:$H,$P213))</f>
        <v/>
      </c>
      <c r="H213" s="32">
        <f>IF($P213="","",INDEX(GL_Journal!$I:$I,$P213))</f>
        <v/>
      </c>
      <c r="I213" s="32">
        <f>IF($P213="","",INDEX(GL_Journal!$J:$J,$P213))</f>
        <v/>
      </c>
      <c r="J213" s="32">
        <f>IF($P213="","",INDEX(GL_Journal!$K:$K,$P213))</f>
        <v/>
      </c>
      <c r="K213" s="32">
        <f>IF($P213="","",INDEX(GL_Journal!$L:$L,$P213))</f>
        <v/>
      </c>
      <c r="L213" s="43">
        <f>IF($P213="","",INDEX(GL_Journal!$M:$M,$P213))</f>
        <v/>
      </c>
      <c r="M213" s="43">
        <f>IF($P213="","",INDEX(GL_Journal!$N:$N,$P213))</f>
        <v/>
      </c>
      <c r="N213" s="47">
        <f>IF($P213="","",IF($A213=1,LG_Open,$N212)+$L213-$M213)</f>
        <v/>
      </c>
      <c r="O213" s="32">
        <f>IF($A213&gt;COUNT(GL_Journal!$Y:$Y),"",SMALL(GL_Journal!$Y:$Y,$A213))</f>
        <v/>
      </c>
      <c r="P213" s="32">
        <f>IF($O213="","",MATCH($O213,GL_Journal!$Y:$Y,0))</f>
        <v/>
      </c>
      <c r="Q213" s="32" t="inlineStr"/>
    </row>
    <row r="214">
      <c r="A214" s="32">
        <f>ROW()-12</f>
        <v/>
      </c>
      <c r="B214" s="33">
        <f>IF($P214="","",INDEX(GL_Journal!$D:$D,$P214))</f>
        <v/>
      </c>
      <c r="C214" s="32">
        <f>IF($P214="","",INDEX(GL_Journal!$C:$C,$P214))</f>
        <v/>
      </c>
      <c r="D214" s="32">
        <f>IF($P214="","",INDEX(GL_Journal!$E:$E,$P214))</f>
        <v/>
      </c>
      <c r="E214" s="32">
        <f>IF($P214="","",INDEX(GL_Journal!$F:$F,$P214))</f>
        <v/>
      </c>
      <c r="F214" s="32">
        <f>IF($P214="","",INDEX(GL_Journal!$G:$G,$P214))</f>
        <v/>
      </c>
      <c r="G214" s="32">
        <f>IF($P214="","",INDEX(GL_Journal!$H:$H,$P214))</f>
        <v/>
      </c>
      <c r="H214" s="32">
        <f>IF($P214="","",INDEX(GL_Journal!$I:$I,$P214))</f>
        <v/>
      </c>
      <c r="I214" s="32">
        <f>IF($P214="","",INDEX(GL_Journal!$J:$J,$P214))</f>
        <v/>
      </c>
      <c r="J214" s="32">
        <f>IF($P214="","",INDEX(GL_Journal!$K:$K,$P214))</f>
        <v/>
      </c>
      <c r="K214" s="32">
        <f>IF($P214="","",INDEX(GL_Journal!$L:$L,$P214))</f>
        <v/>
      </c>
      <c r="L214" s="43">
        <f>IF($P214="","",INDEX(GL_Journal!$M:$M,$P214))</f>
        <v/>
      </c>
      <c r="M214" s="43">
        <f>IF($P214="","",INDEX(GL_Journal!$N:$N,$P214))</f>
        <v/>
      </c>
      <c r="N214" s="47">
        <f>IF($P214="","",IF($A214=1,LG_Open,$N213)+$L214-$M214)</f>
        <v/>
      </c>
      <c r="O214" s="32">
        <f>IF($A214&gt;COUNT(GL_Journal!$Y:$Y),"",SMALL(GL_Journal!$Y:$Y,$A214))</f>
        <v/>
      </c>
      <c r="P214" s="32">
        <f>IF($O214="","",MATCH($O214,GL_Journal!$Y:$Y,0))</f>
        <v/>
      </c>
      <c r="Q214" s="32" t="inlineStr"/>
    </row>
    <row r="215">
      <c r="A215" s="32">
        <f>ROW()-12</f>
        <v/>
      </c>
      <c r="B215" s="33">
        <f>IF($P215="","",INDEX(GL_Journal!$D:$D,$P215))</f>
        <v/>
      </c>
      <c r="C215" s="32">
        <f>IF($P215="","",INDEX(GL_Journal!$C:$C,$P215))</f>
        <v/>
      </c>
      <c r="D215" s="32">
        <f>IF($P215="","",INDEX(GL_Journal!$E:$E,$P215))</f>
        <v/>
      </c>
      <c r="E215" s="32">
        <f>IF($P215="","",INDEX(GL_Journal!$F:$F,$P215))</f>
        <v/>
      </c>
      <c r="F215" s="32">
        <f>IF($P215="","",INDEX(GL_Journal!$G:$G,$P215))</f>
        <v/>
      </c>
      <c r="G215" s="32">
        <f>IF($P215="","",INDEX(GL_Journal!$H:$H,$P215))</f>
        <v/>
      </c>
      <c r="H215" s="32">
        <f>IF($P215="","",INDEX(GL_Journal!$I:$I,$P215))</f>
        <v/>
      </c>
      <c r="I215" s="32">
        <f>IF($P215="","",INDEX(GL_Journal!$J:$J,$P215))</f>
        <v/>
      </c>
      <c r="J215" s="32">
        <f>IF($P215="","",INDEX(GL_Journal!$K:$K,$P215))</f>
        <v/>
      </c>
      <c r="K215" s="32">
        <f>IF($P215="","",INDEX(GL_Journal!$L:$L,$P215))</f>
        <v/>
      </c>
      <c r="L215" s="43">
        <f>IF($P215="","",INDEX(GL_Journal!$M:$M,$P215))</f>
        <v/>
      </c>
      <c r="M215" s="43">
        <f>IF($P215="","",INDEX(GL_Journal!$N:$N,$P215))</f>
        <v/>
      </c>
      <c r="N215" s="47">
        <f>IF($P215="","",IF($A215=1,LG_Open,$N214)+$L215-$M215)</f>
        <v/>
      </c>
      <c r="O215" s="32">
        <f>IF($A215&gt;COUNT(GL_Journal!$Y:$Y),"",SMALL(GL_Journal!$Y:$Y,$A215))</f>
        <v/>
      </c>
      <c r="P215" s="32">
        <f>IF($O215="","",MATCH($O215,GL_Journal!$Y:$Y,0))</f>
        <v/>
      </c>
      <c r="Q215" s="32" t="inlineStr"/>
    </row>
    <row r="216">
      <c r="A216" s="32">
        <f>ROW()-12</f>
        <v/>
      </c>
      <c r="B216" s="33">
        <f>IF($P216="","",INDEX(GL_Journal!$D:$D,$P216))</f>
        <v/>
      </c>
      <c r="C216" s="32">
        <f>IF($P216="","",INDEX(GL_Journal!$C:$C,$P216))</f>
        <v/>
      </c>
      <c r="D216" s="32">
        <f>IF($P216="","",INDEX(GL_Journal!$E:$E,$P216))</f>
        <v/>
      </c>
      <c r="E216" s="32">
        <f>IF($P216="","",INDEX(GL_Journal!$F:$F,$P216))</f>
        <v/>
      </c>
      <c r="F216" s="32">
        <f>IF($P216="","",INDEX(GL_Journal!$G:$G,$P216))</f>
        <v/>
      </c>
      <c r="G216" s="32">
        <f>IF($P216="","",INDEX(GL_Journal!$H:$H,$P216))</f>
        <v/>
      </c>
      <c r="H216" s="32">
        <f>IF($P216="","",INDEX(GL_Journal!$I:$I,$P216))</f>
        <v/>
      </c>
      <c r="I216" s="32">
        <f>IF($P216="","",INDEX(GL_Journal!$J:$J,$P216))</f>
        <v/>
      </c>
      <c r="J216" s="32">
        <f>IF($P216="","",INDEX(GL_Journal!$K:$K,$P216))</f>
        <v/>
      </c>
      <c r="K216" s="32">
        <f>IF($P216="","",INDEX(GL_Journal!$L:$L,$P216))</f>
        <v/>
      </c>
      <c r="L216" s="43">
        <f>IF($P216="","",INDEX(GL_Journal!$M:$M,$P216))</f>
        <v/>
      </c>
      <c r="M216" s="43">
        <f>IF($P216="","",INDEX(GL_Journal!$N:$N,$P216))</f>
        <v/>
      </c>
      <c r="N216" s="47">
        <f>IF($P216="","",IF($A216=1,LG_Open,$N215)+$L216-$M216)</f>
        <v/>
      </c>
      <c r="O216" s="32">
        <f>IF($A216&gt;COUNT(GL_Journal!$Y:$Y),"",SMALL(GL_Journal!$Y:$Y,$A216))</f>
        <v/>
      </c>
      <c r="P216" s="32">
        <f>IF($O216="","",MATCH($O216,GL_Journal!$Y:$Y,0))</f>
        <v/>
      </c>
      <c r="Q216" s="32" t="inlineStr"/>
    </row>
    <row r="217">
      <c r="A217" s="32">
        <f>ROW()-12</f>
        <v/>
      </c>
      <c r="B217" s="33">
        <f>IF($P217="","",INDEX(GL_Journal!$D:$D,$P217))</f>
        <v/>
      </c>
      <c r="C217" s="32">
        <f>IF($P217="","",INDEX(GL_Journal!$C:$C,$P217))</f>
        <v/>
      </c>
      <c r="D217" s="32">
        <f>IF($P217="","",INDEX(GL_Journal!$E:$E,$P217))</f>
        <v/>
      </c>
      <c r="E217" s="32">
        <f>IF($P217="","",INDEX(GL_Journal!$F:$F,$P217))</f>
        <v/>
      </c>
      <c r="F217" s="32">
        <f>IF($P217="","",INDEX(GL_Journal!$G:$G,$P217))</f>
        <v/>
      </c>
      <c r="G217" s="32">
        <f>IF($P217="","",INDEX(GL_Journal!$H:$H,$P217))</f>
        <v/>
      </c>
      <c r="H217" s="32">
        <f>IF($P217="","",INDEX(GL_Journal!$I:$I,$P217))</f>
        <v/>
      </c>
      <c r="I217" s="32">
        <f>IF($P217="","",INDEX(GL_Journal!$J:$J,$P217))</f>
        <v/>
      </c>
      <c r="J217" s="32">
        <f>IF($P217="","",INDEX(GL_Journal!$K:$K,$P217))</f>
        <v/>
      </c>
      <c r="K217" s="32">
        <f>IF($P217="","",INDEX(GL_Journal!$L:$L,$P217))</f>
        <v/>
      </c>
      <c r="L217" s="43">
        <f>IF($P217="","",INDEX(GL_Journal!$M:$M,$P217))</f>
        <v/>
      </c>
      <c r="M217" s="43">
        <f>IF($P217="","",INDEX(GL_Journal!$N:$N,$P217))</f>
        <v/>
      </c>
      <c r="N217" s="47">
        <f>IF($P217="","",IF($A217=1,LG_Open,$N216)+$L217-$M217)</f>
        <v/>
      </c>
      <c r="O217" s="32">
        <f>IF($A217&gt;COUNT(GL_Journal!$Y:$Y),"",SMALL(GL_Journal!$Y:$Y,$A217))</f>
        <v/>
      </c>
      <c r="P217" s="32">
        <f>IF($O217="","",MATCH($O217,GL_Journal!$Y:$Y,0))</f>
        <v/>
      </c>
      <c r="Q217" s="32" t="inlineStr"/>
    </row>
    <row r="218">
      <c r="A218" s="32">
        <f>ROW()-12</f>
        <v/>
      </c>
      <c r="B218" s="33">
        <f>IF($P218="","",INDEX(GL_Journal!$D:$D,$P218))</f>
        <v/>
      </c>
      <c r="C218" s="32">
        <f>IF($P218="","",INDEX(GL_Journal!$C:$C,$P218))</f>
        <v/>
      </c>
      <c r="D218" s="32">
        <f>IF($P218="","",INDEX(GL_Journal!$E:$E,$P218))</f>
        <v/>
      </c>
      <c r="E218" s="32">
        <f>IF($P218="","",INDEX(GL_Journal!$F:$F,$P218))</f>
        <v/>
      </c>
      <c r="F218" s="32">
        <f>IF($P218="","",INDEX(GL_Journal!$G:$G,$P218))</f>
        <v/>
      </c>
      <c r="G218" s="32">
        <f>IF($P218="","",INDEX(GL_Journal!$H:$H,$P218))</f>
        <v/>
      </c>
      <c r="H218" s="32">
        <f>IF($P218="","",INDEX(GL_Journal!$I:$I,$P218))</f>
        <v/>
      </c>
      <c r="I218" s="32">
        <f>IF($P218="","",INDEX(GL_Journal!$J:$J,$P218))</f>
        <v/>
      </c>
      <c r="J218" s="32">
        <f>IF($P218="","",INDEX(GL_Journal!$K:$K,$P218))</f>
        <v/>
      </c>
      <c r="K218" s="32">
        <f>IF($P218="","",INDEX(GL_Journal!$L:$L,$P218))</f>
        <v/>
      </c>
      <c r="L218" s="43">
        <f>IF($P218="","",INDEX(GL_Journal!$M:$M,$P218))</f>
        <v/>
      </c>
      <c r="M218" s="43">
        <f>IF($P218="","",INDEX(GL_Journal!$N:$N,$P218))</f>
        <v/>
      </c>
      <c r="N218" s="47">
        <f>IF($P218="","",IF($A218=1,LG_Open,$N217)+$L218-$M218)</f>
        <v/>
      </c>
      <c r="O218" s="32">
        <f>IF($A218&gt;COUNT(GL_Journal!$Y:$Y),"",SMALL(GL_Journal!$Y:$Y,$A218))</f>
        <v/>
      </c>
      <c r="P218" s="32">
        <f>IF($O218="","",MATCH($O218,GL_Journal!$Y:$Y,0))</f>
        <v/>
      </c>
      <c r="Q218" s="32" t="inlineStr"/>
    </row>
    <row r="219">
      <c r="A219" s="32">
        <f>ROW()-12</f>
        <v/>
      </c>
      <c r="B219" s="33">
        <f>IF($P219="","",INDEX(GL_Journal!$D:$D,$P219))</f>
        <v/>
      </c>
      <c r="C219" s="32">
        <f>IF($P219="","",INDEX(GL_Journal!$C:$C,$P219))</f>
        <v/>
      </c>
      <c r="D219" s="32">
        <f>IF($P219="","",INDEX(GL_Journal!$E:$E,$P219))</f>
        <v/>
      </c>
      <c r="E219" s="32">
        <f>IF($P219="","",INDEX(GL_Journal!$F:$F,$P219))</f>
        <v/>
      </c>
      <c r="F219" s="32">
        <f>IF($P219="","",INDEX(GL_Journal!$G:$G,$P219))</f>
        <v/>
      </c>
      <c r="G219" s="32">
        <f>IF($P219="","",INDEX(GL_Journal!$H:$H,$P219))</f>
        <v/>
      </c>
      <c r="H219" s="32">
        <f>IF($P219="","",INDEX(GL_Journal!$I:$I,$P219))</f>
        <v/>
      </c>
      <c r="I219" s="32">
        <f>IF($P219="","",INDEX(GL_Journal!$J:$J,$P219))</f>
        <v/>
      </c>
      <c r="J219" s="32">
        <f>IF($P219="","",INDEX(GL_Journal!$K:$K,$P219))</f>
        <v/>
      </c>
      <c r="K219" s="32">
        <f>IF($P219="","",INDEX(GL_Journal!$L:$L,$P219))</f>
        <v/>
      </c>
      <c r="L219" s="43">
        <f>IF($P219="","",INDEX(GL_Journal!$M:$M,$P219))</f>
        <v/>
      </c>
      <c r="M219" s="43">
        <f>IF($P219="","",INDEX(GL_Journal!$N:$N,$P219))</f>
        <v/>
      </c>
      <c r="N219" s="47">
        <f>IF($P219="","",IF($A219=1,LG_Open,$N218)+$L219-$M219)</f>
        <v/>
      </c>
      <c r="O219" s="32">
        <f>IF($A219&gt;COUNT(GL_Journal!$Y:$Y),"",SMALL(GL_Journal!$Y:$Y,$A219))</f>
        <v/>
      </c>
      <c r="P219" s="32">
        <f>IF($O219="","",MATCH($O219,GL_Journal!$Y:$Y,0))</f>
        <v/>
      </c>
      <c r="Q219" s="32" t="inlineStr"/>
    </row>
    <row r="220">
      <c r="A220" s="32">
        <f>ROW()-12</f>
        <v/>
      </c>
      <c r="B220" s="33">
        <f>IF($P220="","",INDEX(GL_Journal!$D:$D,$P220))</f>
        <v/>
      </c>
      <c r="C220" s="32">
        <f>IF($P220="","",INDEX(GL_Journal!$C:$C,$P220))</f>
        <v/>
      </c>
      <c r="D220" s="32">
        <f>IF($P220="","",INDEX(GL_Journal!$E:$E,$P220))</f>
        <v/>
      </c>
      <c r="E220" s="32">
        <f>IF($P220="","",INDEX(GL_Journal!$F:$F,$P220))</f>
        <v/>
      </c>
      <c r="F220" s="32">
        <f>IF($P220="","",INDEX(GL_Journal!$G:$G,$P220))</f>
        <v/>
      </c>
      <c r="G220" s="32">
        <f>IF($P220="","",INDEX(GL_Journal!$H:$H,$P220))</f>
        <v/>
      </c>
      <c r="H220" s="32">
        <f>IF($P220="","",INDEX(GL_Journal!$I:$I,$P220))</f>
        <v/>
      </c>
      <c r="I220" s="32">
        <f>IF($P220="","",INDEX(GL_Journal!$J:$J,$P220))</f>
        <v/>
      </c>
      <c r="J220" s="32">
        <f>IF($P220="","",INDEX(GL_Journal!$K:$K,$P220))</f>
        <v/>
      </c>
      <c r="K220" s="32">
        <f>IF($P220="","",INDEX(GL_Journal!$L:$L,$P220))</f>
        <v/>
      </c>
      <c r="L220" s="43">
        <f>IF($P220="","",INDEX(GL_Journal!$M:$M,$P220))</f>
        <v/>
      </c>
      <c r="M220" s="43">
        <f>IF($P220="","",INDEX(GL_Journal!$N:$N,$P220))</f>
        <v/>
      </c>
      <c r="N220" s="47">
        <f>IF($P220="","",IF($A220=1,LG_Open,$N219)+$L220-$M220)</f>
        <v/>
      </c>
      <c r="O220" s="32">
        <f>IF($A220&gt;COUNT(GL_Journal!$Y:$Y),"",SMALL(GL_Journal!$Y:$Y,$A220))</f>
        <v/>
      </c>
      <c r="P220" s="32">
        <f>IF($O220="","",MATCH($O220,GL_Journal!$Y:$Y,0))</f>
        <v/>
      </c>
      <c r="Q220" s="32" t="inlineStr"/>
    </row>
    <row r="221">
      <c r="A221" s="32">
        <f>ROW()-12</f>
        <v/>
      </c>
      <c r="B221" s="33">
        <f>IF($P221="","",INDEX(GL_Journal!$D:$D,$P221))</f>
        <v/>
      </c>
      <c r="C221" s="32">
        <f>IF($P221="","",INDEX(GL_Journal!$C:$C,$P221))</f>
        <v/>
      </c>
      <c r="D221" s="32">
        <f>IF($P221="","",INDEX(GL_Journal!$E:$E,$P221))</f>
        <v/>
      </c>
      <c r="E221" s="32">
        <f>IF($P221="","",INDEX(GL_Journal!$F:$F,$P221))</f>
        <v/>
      </c>
      <c r="F221" s="32">
        <f>IF($P221="","",INDEX(GL_Journal!$G:$G,$P221))</f>
        <v/>
      </c>
      <c r="G221" s="32">
        <f>IF($P221="","",INDEX(GL_Journal!$H:$H,$P221))</f>
        <v/>
      </c>
      <c r="H221" s="32">
        <f>IF($P221="","",INDEX(GL_Journal!$I:$I,$P221))</f>
        <v/>
      </c>
      <c r="I221" s="32">
        <f>IF($P221="","",INDEX(GL_Journal!$J:$J,$P221))</f>
        <v/>
      </c>
      <c r="J221" s="32">
        <f>IF($P221="","",INDEX(GL_Journal!$K:$K,$P221))</f>
        <v/>
      </c>
      <c r="K221" s="32">
        <f>IF($P221="","",INDEX(GL_Journal!$L:$L,$P221))</f>
        <v/>
      </c>
      <c r="L221" s="43">
        <f>IF($P221="","",INDEX(GL_Journal!$M:$M,$P221))</f>
        <v/>
      </c>
      <c r="M221" s="43">
        <f>IF($P221="","",INDEX(GL_Journal!$N:$N,$P221))</f>
        <v/>
      </c>
      <c r="N221" s="47">
        <f>IF($P221="","",IF($A221=1,LG_Open,$N220)+$L221-$M221)</f>
        <v/>
      </c>
      <c r="O221" s="32">
        <f>IF($A221&gt;COUNT(GL_Journal!$Y:$Y),"",SMALL(GL_Journal!$Y:$Y,$A221))</f>
        <v/>
      </c>
      <c r="P221" s="32">
        <f>IF($O221="","",MATCH($O221,GL_Journal!$Y:$Y,0))</f>
        <v/>
      </c>
      <c r="Q221" s="32" t="inlineStr"/>
    </row>
    <row r="222">
      <c r="A222" s="32">
        <f>ROW()-12</f>
        <v/>
      </c>
      <c r="B222" s="33">
        <f>IF($P222="","",INDEX(GL_Journal!$D:$D,$P222))</f>
        <v/>
      </c>
      <c r="C222" s="32">
        <f>IF($P222="","",INDEX(GL_Journal!$C:$C,$P222))</f>
        <v/>
      </c>
      <c r="D222" s="32">
        <f>IF($P222="","",INDEX(GL_Journal!$E:$E,$P222))</f>
        <v/>
      </c>
      <c r="E222" s="32">
        <f>IF($P222="","",INDEX(GL_Journal!$F:$F,$P222))</f>
        <v/>
      </c>
      <c r="F222" s="32">
        <f>IF($P222="","",INDEX(GL_Journal!$G:$G,$P222))</f>
        <v/>
      </c>
      <c r="G222" s="32">
        <f>IF($P222="","",INDEX(GL_Journal!$H:$H,$P222))</f>
        <v/>
      </c>
      <c r="H222" s="32">
        <f>IF($P222="","",INDEX(GL_Journal!$I:$I,$P222))</f>
        <v/>
      </c>
      <c r="I222" s="32">
        <f>IF($P222="","",INDEX(GL_Journal!$J:$J,$P222))</f>
        <v/>
      </c>
      <c r="J222" s="32">
        <f>IF($P222="","",INDEX(GL_Journal!$K:$K,$P222))</f>
        <v/>
      </c>
      <c r="K222" s="32">
        <f>IF($P222="","",INDEX(GL_Journal!$L:$L,$P222))</f>
        <v/>
      </c>
      <c r="L222" s="43">
        <f>IF($P222="","",INDEX(GL_Journal!$M:$M,$P222))</f>
        <v/>
      </c>
      <c r="M222" s="43">
        <f>IF($P222="","",INDEX(GL_Journal!$N:$N,$P222))</f>
        <v/>
      </c>
      <c r="N222" s="47">
        <f>IF($P222="","",IF($A222=1,LG_Open,$N221)+$L222-$M222)</f>
        <v/>
      </c>
      <c r="O222" s="32">
        <f>IF($A222&gt;COUNT(GL_Journal!$Y:$Y),"",SMALL(GL_Journal!$Y:$Y,$A222))</f>
        <v/>
      </c>
      <c r="P222" s="32">
        <f>IF($O222="","",MATCH($O222,GL_Journal!$Y:$Y,0))</f>
        <v/>
      </c>
      <c r="Q222" s="32" t="inlineStr"/>
    </row>
    <row r="223">
      <c r="A223" s="32">
        <f>ROW()-12</f>
        <v/>
      </c>
      <c r="B223" s="33">
        <f>IF($P223="","",INDEX(GL_Journal!$D:$D,$P223))</f>
        <v/>
      </c>
      <c r="C223" s="32">
        <f>IF($P223="","",INDEX(GL_Journal!$C:$C,$P223))</f>
        <v/>
      </c>
      <c r="D223" s="32">
        <f>IF($P223="","",INDEX(GL_Journal!$E:$E,$P223))</f>
        <v/>
      </c>
      <c r="E223" s="32">
        <f>IF($P223="","",INDEX(GL_Journal!$F:$F,$P223))</f>
        <v/>
      </c>
      <c r="F223" s="32">
        <f>IF($P223="","",INDEX(GL_Journal!$G:$G,$P223))</f>
        <v/>
      </c>
      <c r="G223" s="32">
        <f>IF($P223="","",INDEX(GL_Journal!$H:$H,$P223))</f>
        <v/>
      </c>
      <c r="H223" s="32">
        <f>IF($P223="","",INDEX(GL_Journal!$I:$I,$P223))</f>
        <v/>
      </c>
      <c r="I223" s="32">
        <f>IF($P223="","",INDEX(GL_Journal!$J:$J,$P223))</f>
        <v/>
      </c>
      <c r="J223" s="32">
        <f>IF($P223="","",INDEX(GL_Journal!$K:$K,$P223))</f>
        <v/>
      </c>
      <c r="K223" s="32">
        <f>IF($P223="","",INDEX(GL_Journal!$L:$L,$P223))</f>
        <v/>
      </c>
      <c r="L223" s="43">
        <f>IF($P223="","",INDEX(GL_Journal!$M:$M,$P223))</f>
        <v/>
      </c>
      <c r="M223" s="43">
        <f>IF($P223="","",INDEX(GL_Journal!$N:$N,$P223))</f>
        <v/>
      </c>
      <c r="N223" s="47">
        <f>IF($P223="","",IF($A223=1,LG_Open,$N222)+$L223-$M223)</f>
        <v/>
      </c>
      <c r="O223" s="32">
        <f>IF($A223&gt;COUNT(GL_Journal!$Y:$Y),"",SMALL(GL_Journal!$Y:$Y,$A223))</f>
        <v/>
      </c>
      <c r="P223" s="32">
        <f>IF($O223="","",MATCH($O223,GL_Journal!$Y:$Y,0))</f>
        <v/>
      </c>
      <c r="Q223" s="32" t="inlineStr"/>
    </row>
    <row r="224">
      <c r="A224" s="32">
        <f>ROW()-12</f>
        <v/>
      </c>
      <c r="B224" s="33">
        <f>IF($P224="","",INDEX(GL_Journal!$D:$D,$P224))</f>
        <v/>
      </c>
      <c r="C224" s="32">
        <f>IF($P224="","",INDEX(GL_Journal!$C:$C,$P224))</f>
        <v/>
      </c>
      <c r="D224" s="32">
        <f>IF($P224="","",INDEX(GL_Journal!$E:$E,$P224))</f>
        <v/>
      </c>
      <c r="E224" s="32">
        <f>IF($P224="","",INDEX(GL_Journal!$F:$F,$P224))</f>
        <v/>
      </c>
      <c r="F224" s="32">
        <f>IF($P224="","",INDEX(GL_Journal!$G:$G,$P224))</f>
        <v/>
      </c>
      <c r="G224" s="32">
        <f>IF($P224="","",INDEX(GL_Journal!$H:$H,$P224))</f>
        <v/>
      </c>
      <c r="H224" s="32">
        <f>IF($P224="","",INDEX(GL_Journal!$I:$I,$P224))</f>
        <v/>
      </c>
      <c r="I224" s="32">
        <f>IF($P224="","",INDEX(GL_Journal!$J:$J,$P224))</f>
        <v/>
      </c>
      <c r="J224" s="32">
        <f>IF($P224="","",INDEX(GL_Journal!$K:$K,$P224))</f>
        <v/>
      </c>
      <c r="K224" s="32">
        <f>IF($P224="","",INDEX(GL_Journal!$L:$L,$P224))</f>
        <v/>
      </c>
      <c r="L224" s="43">
        <f>IF($P224="","",INDEX(GL_Journal!$M:$M,$P224))</f>
        <v/>
      </c>
      <c r="M224" s="43">
        <f>IF($P224="","",INDEX(GL_Journal!$N:$N,$P224))</f>
        <v/>
      </c>
      <c r="N224" s="47">
        <f>IF($P224="","",IF($A224=1,LG_Open,$N223)+$L224-$M224)</f>
        <v/>
      </c>
      <c r="O224" s="32">
        <f>IF($A224&gt;COUNT(GL_Journal!$Y:$Y),"",SMALL(GL_Journal!$Y:$Y,$A224))</f>
        <v/>
      </c>
      <c r="P224" s="32">
        <f>IF($O224="","",MATCH($O224,GL_Journal!$Y:$Y,0))</f>
        <v/>
      </c>
      <c r="Q224" s="32" t="inlineStr"/>
    </row>
    <row r="225">
      <c r="A225" s="32">
        <f>ROW()-12</f>
        <v/>
      </c>
      <c r="B225" s="33">
        <f>IF($P225="","",INDEX(GL_Journal!$D:$D,$P225))</f>
        <v/>
      </c>
      <c r="C225" s="32">
        <f>IF($P225="","",INDEX(GL_Journal!$C:$C,$P225))</f>
        <v/>
      </c>
      <c r="D225" s="32">
        <f>IF($P225="","",INDEX(GL_Journal!$E:$E,$P225))</f>
        <v/>
      </c>
      <c r="E225" s="32">
        <f>IF($P225="","",INDEX(GL_Journal!$F:$F,$P225))</f>
        <v/>
      </c>
      <c r="F225" s="32">
        <f>IF($P225="","",INDEX(GL_Journal!$G:$G,$P225))</f>
        <v/>
      </c>
      <c r="G225" s="32">
        <f>IF($P225="","",INDEX(GL_Journal!$H:$H,$P225))</f>
        <v/>
      </c>
      <c r="H225" s="32">
        <f>IF($P225="","",INDEX(GL_Journal!$I:$I,$P225))</f>
        <v/>
      </c>
      <c r="I225" s="32">
        <f>IF($P225="","",INDEX(GL_Journal!$J:$J,$P225))</f>
        <v/>
      </c>
      <c r="J225" s="32">
        <f>IF($P225="","",INDEX(GL_Journal!$K:$K,$P225))</f>
        <v/>
      </c>
      <c r="K225" s="32">
        <f>IF($P225="","",INDEX(GL_Journal!$L:$L,$P225))</f>
        <v/>
      </c>
      <c r="L225" s="43">
        <f>IF($P225="","",INDEX(GL_Journal!$M:$M,$P225))</f>
        <v/>
      </c>
      <c r="M225" s="43">
        <f>IF($P225="","",INDEX(GL_Journal!$N:$N,$P225))</f>
        <v/>
      </c>
      <c r="N225" s="47">
        <f>IF($P225="","",IF($A225=1,LG_Open,$N224)+$L225-$M225)</f>
        <v/>
      </c>
      <c r="O225" s="32">
        <f>IF($A225&gt;COUNT(GL_Journal!$Y:$Y),"",SMALL(GL_Journal!$Y:$Y,$A225))</f>
        <v/>
      </c>
      <c r="P225" s="32">
        <f>IF($O225="","",MATCH($O225,GL_Journal!$Y:$Y,0))</f>
        <v/>
      </c>
      <c r="Q225" s="32" t="inlineStr"/>
    </row>
    <row r="226">
      <c r="A226" s="32">
        <f>ROW()-12</f>
        <v/>
      </c>
      <c r="B226" s="33">
        <f>IF($P226="","",INDEX(GL_Journal!$D:$D,$P226))</f>
        <v/>
      </c>
      <c r="C226" s="32">
        <f>IF($P226="","",INDEX(GL_Journal!$C:$C,$P226))</f>
        <v/>
      </c>
      <c r="D226" s="32">
        <f>IF($P226="","",INDEX(GL_Journal!$E:$E,$P226))</f>
        <v/>
      </c>
      <c r="E226" s="32">
        <f>IF($P226="","",INDEX(GL_Journal!$F:$F,$P226))</f>
        <v/>
      </c>
      <c r="F226" s="32">
        <f>IF($P226="","",INDEX(GL_Journal!$G:$G,$P226))</f>
        <v/>
      </c>
      <c r="G226" s="32">
        <f>IF($P226="","",INDEX(GL_Journal!$H:$H,$P226))</f>
        <v/>
      </c>
      <c r="H226" s="32">
        <f>IF($P226="","",INDEX(GL_Journal!$I:$I,$P226))</f>
        <v/>
      </c>
      <c r="I226" s="32">
        <f>IF($P226="","",INDEX(GL_Journal!$J:$J,$P226))</f>
        <v/>
      </c>
      <c r="J226" s="32">
        <f>IF($P226="","",INDEX(GL_Journal!$K:$K,$P226))</f>
        <v/>
      </c>
      <c r="K226" s="32">
        <f>IF($P226="","",INDEX(GL_Journal!$L:$L,$P226))</f>
        <v/>
      </c>
      <c r="L226" s="43">
        <f>IF($P226="","",INDEX(GL_Journal!$M:$M,$P226))</f>
        <v/>
      </c>
      <c r="M226" s="43">
        <f>IF($P226="","",INDEX(GL_Journal!$N:$N,$P226))</f>
        <v/>
      </c>
      <c r="N226" s="47">
        <f>IF($P226="","",IF($A226=1,LG_Open,$N225)+$L226-$M226)</f>
        <v/>
      </c>
      <c r="O226" s="32">
        <f>IF($A226&gt;COUNT(GL_Journal!$Y:$Y),"",SMALL(GL_Journal!$Y:$Y,$A226))</f>
        <v/>
      </c>
      <c r="P226" s="32">
        <f>IF($O226="","",MATCH($O226,GL_Journal!$Y:$Y,0))</f>
        <v/>
      </c>
      <c r="Q226" s="32" t="inlineStr"/>
    </row>
    <row r="227">
      <c r="A227" s="32">
        <f>ROW()-12</f>
        <v/>
      </c>
      <c r="B227" s="33">
        <f>IF($P227="","",INDEX(GL_Journal!$D:$D,$P227))</f>
        <v/>
      </c>
      <c r="C227" s="32">
        <f>IF($P227="","",INDEX(GL_Journal!$C:$C,$P227))</f>
        <v/>
      </c>
      <c r="D227" s="32">
        <f>IF($P227="","",INDEX(GL_Journal!$E:$E,$P227))</f>
        <v/>
      </c>
      <c r="E227" s="32">
        <f>IF($P227="","",INDEX(GL_Journal!$F:$F,$P227))</f>
        <v/>
      </c>
      <c r="F227" s="32">
        <f>IF($P227="","",INDEX(GL_Journal!$G:$G,$P227))</f>
        <v/>
      </c>
      <c r="G227" s="32">
        <f>IF($P227="","",INDEX(GL_Journal!$H:$H,$P227))</f>
        <v/>
      </c>
      <c r="H227" s="32">
        <f>IF($P227="","",INDEX(GL_Journal!$I:$I,$P227))</f>
        <v/>
      </c>
      <c r="I227" s="32">
        <f>IF($P227="","",INDEX(GL_Journal!$J:$J,$P227))</f>
        <v/>
      </c>
      <c r="J227" s="32">
        <f>IF($P227="","",INDEX(GL_Journal!$K:$K,$P227))</f>
        <v/>
      </c>
      <c r="K227" s="32">
        <f>IF($P227="","",INDEX(GL_Journal!$L:$L,$P227))</f>
        <v/>
      </c>
      <c r="L227" s="43">
        <f>IF($P227="","",INDEX(GL_Journal!$M:$M,$P227))</f>
        <v/>
      </c>
      <c r="M227" s="43">
        <f>IF($P227="","",INDEX(GL_Journal!$N:$N,$P227))</f>
        <v/>
      </c>
      <c r="N227" s="47">
        <f>IF($P227="","",IF($A227=1,LG_Open,$N226)+$L227-$M227)</f>
        <v/>
      </c>
      <c r="O227" s="32">
        <f>IF($A227&gt;COUNT(GL_Journal!$Y:$Y),"",SMALL(GL_Journal!$Y:$Y,$A227))</f>
        <v/>
      </c>
      <c r="P227" s="32">
        <f>IF($O227="","",MATCH($O227,GL_Journal!$Y:$Y,0))</f>
        <v/>
      </c>
      <c r="Q227" s="32" t="inlineStr"/>
    </row>
    <row r="228">
      <c r="A228" s="32">
        <f>ROW()-12</f>
        <v/>
      </c>
      <c r="B228" s="33">
        <f>IF($P228="","",INDEX(GL_Journal!$D:$D,$P228))</f>
        <v/>
      </c>
      <c r="C228" s="32">
        <f>IF($P228="","",INDEX(GL_Journal!$C:$C,$P228))</f>
        <v/>
      </c>
      <c r="D228" s="32">
        <f>IF($P228="","",INDEX(GL_Journal!$E:$E,$P228))</f>
        <v/>
      </c>
      <c r="E228" s="32">
        <f>IF($P228="","",INDEX(GL_Journal!$F:$F,$P228))</f>
        <v/>
      </c>
      <c r="F228" s="32">
        <f>IF($P228="","",INDEX(GL_Journal!$G:$G,$P228))</f>
        <v/>
      </c>
      <c r="G228" s="32">
        <f>IF($P228="","",INDEX(GL_Journal!$H:$H,$P228))</f>
        <v/>
      </c>
      <c r="H228" s="32">
        <f>IF($P228="","",INDEX(GL_Journal!$I:$I,$P228))</f>
        <v/>
      </c>
      <c r="I228" s="32">
        <f>IF($P228="","",INDEX(GL_Journal!$J:$J,$P228))</f>
        <v/>
      </c>
      <c r="J228" s="32">
        <f>IF($P228="","",INDEX(GL_Journal!$K:$K,$P228))</f>
        <v/>
      </c>
      <c r="K228" s="32">
        <f>IF($P228="","",INDEX(GL_Journal!$L:$L,$P228))</f>
        <v/>
      </c>
      <c r="L228" s="43">
        <f>IF($P228="","",INDEX(GL_Journal!$M:$M,$P228))</f>
        <v/>
      </c>
      <c r="M228" s="43">
        <f>IF($P228="","",INDEX(GL_Journal!$N:$N,$P228))</f>
        <v/>
      </c>
      <c r="N228" s="47">
        <f>IF($P228="","",IF($A228=1,LG_Open,$N227)+$L228-$M228)</f>
        <v/>
      </c>
      <c r="O228" s="32">
        <f>IF($A228&gt;COUNT(GL_Journal!$Y:$Y),"",SMALL(GL_Journal!$Y:$Y,$A228))</f>
        <v/>
      </c>
      <c r="P228" s="32">
        <f>IF($O228="","",MATCH($O228,GL_Journal!$Y:$Y,0))</f>
        <v/>
      </c>
      <c r="Q228" s="32" t="inlineStr"/>
    </row>
    <row r="229">
      <c r="A229" s="32">
        <f>ROW()-12</f>
        <v/>
      </c>
      <c r="B229" s="33">
        <f>IF($P229="","",INDEX(GL_Journal!$D:$D,$P229))</f>
        <v/>
      </c>
      <c r="C229" s="32">
        <f>IF($P229="","",INDEX(GL_Journal!$C:$C,$P229))</f>
        <v/>
      </c>
      <c r="D229" s="32">
        <f>IF($P229="","",INDEX(GL_Journal!$E:$E,$P229))</f>
        <v/>
      </c>
      <c r="E229" s="32">
        <f>IF($P229="","",INDEX(GL_Journal!$F:$F,$P229))</f>
        <v/>
      </c>
      <c r="F229" s="32">
        <f>IF($P229="","",INDEX(GL_Journal!$G:$G,$P229))</f>
        <v/>
      </c>
      <c r="G229" s="32">
        <f>IF($P229="","",INDEX(GL_Journal!$H:$H,$P229))</f>
        <v/>
      </c>
      <c r="H229" s="32">
        <f>IF($P229="","",INDEX(GL_Journal!$I:$I,$P229))</f>
        <v/>
      </c>
      <c r="I229" s="32">
        <f>IF($P229="","",INDEX(GL_Journal!$J:$J,$P229))</f>
        <v/>
      </c>
      <c r="J229" s="32">
        <f>IF($P229="","",INDEX(GL_Journal!$K:$K,$P229))</f>
        <v/>
      </c>
      <c r="K229" s="32">
        <f>IF($P229="","",INDEX(GL_Journal!$L:$L,$P229))</f>
        <v/>
      </c>
      <c r="L229" s="43">
        <f>IF($P229="","",INDEX(GL_Journal!$M:$M,$P229))</f>
        <v/>
      </c>
      <c r="M229" s="43">
        <f>IF($P229="","",INDEX(GL_Journal!$N:$N,$P229))</f>
        <v/>
      </c>
      <c r="N229" s="47">
        <f>IF($P229="","",IF($A229=1,LG_Open,$N228)+$L229-$M229)</f>
        <v/>
      </c>
      <c r="O229" s="32">
        <f>IF($A229&gt;COUNT(GL_Journal!$Y:$Y),"",SMALL(GL_Journal!$Y:$Y,$A229))</f>
        <v/>
      </c>
      <c r="P229" s="32">
        <f>IF($O229="","",MATCH($O229,GL_Journal!$Y:$Y,0))</f>
        <v/>
      </c>
      <c r="Q229" s="32" t="inlineStr"/>
    </row>
    <row r="230">
      <c r="A230" s="32">
        <f>ROW()-12</f>
        <v/>
      </c>
      <c r="B230" s="33">
        <f>IF($P230="","",INDEX(GL_Journal!$D:$D,$P230))</f>
        <v/>
      </c>
      <c r="C230" s="32">
        <f>IF($P230="","",INDEX(GL_Journal!$C:$C,$P230))</f>
        <v/>
      </c>
      <c r="D230" s="32">
        <f>IF($P230="","",INDEX(GL_Journal!$E:$E,$P230))</f>
        <v/>
      </c>
      <c r="E230" s="32">
        <f>IF($P230="","",INDEX(GL_Journal!$F:$F,$P230))</f>
        <v/>
      </c>
      <c r="F230" s="32">
        <f>IF($P230="","",INDEX(GL_Journal!$G:$G,$P230))</f>
        <v/>
      </c>
      <c r="G230" s="32">
        <f>IF($P230="","",INDEX(GL_Journal!$H:$H,$P230))</f>
        <v/>
      </c>
      <c r="H230" s="32">
        <f>IF($P230="","",INDEX(GL_Journal!$I:$I,$P230))</f>
        <v/>
      </c>
      <c r="I230" s="32">
        <f>IF($P230="","",INDEX(GL_Journal!$J:$J,$P230))</f>
        <v/>
      </c>
      <c r="J230" s="32">
        <f>IF($P230="","",INDEX(GL_Journal!$K:$K,$P230))</f>
        <v/>
      </c>
      <c r="K230" s="32">
        <f>IF($P230="","",INDEX(GL_Journal!$L:$L,$P230))</f>
        <v/>
      </c>
      <c r="L230" s="43">
        <f>IF($P230="","",INDEX(GL_Journal!$M:$M,$P230))</f>
        <v/>
      </c>
      <c r="M230" s="43">
        <f>IF($P230="","",INDEX(GL_Journal!$N:$N,$P230))</f>
        <v/>
      </c>
      <c r="N230" s="47">
        <f>IF($P230="","",IF($A230=1,LG_Open,$N229)+$L230-$M230)</f>
        <v/>
      </c>
      <c r="O230" s="32">
        <f>IF($A230&gt;COUNT(GL_Journal!$Y:$Y),"",SMALL(GL_Journal!$Y:$Y,$A230))</f>
        <v/>
      </c>
      <c r="P230" s="32">
        <f>IF($O230="","",MATCH($O230,GL_Journal!$Y:$Y,0))</f>
        <v/>
      </c>
      <c r="Q230" s="32" t="inlineStr"/>
    </row>
    <row r="231">
      <c r="A231" s="32">
        <f>ROW()-12</f>
        <v/>
      </c>
      <c r="B231" s="33">
        <f>IF($P231="","",INDEX(GL_Journal!$D:$D,$P231))</f>
        <v/>
      </c>
      <c r="C231" s="32">
        <f>IF($P231="","",INDEX(GL_Journal!$C:$C,$P231))</f>
        <v/>
      </c>
      <c r="D231" s="32">
        <f>IF($P231="","",INDEX(GL_Journal!$E:$E,$P231))</f>
        <v/>
      </c>
      <c r="E231" s="32">
        <f>IF($P231="","",INDEX(GL_Journal!$F:$F,$P231))</f>
        <v/>
      </c>
      <c r="F231" s="32">
        <f>IF($P231="","",INDEX(GL_Journal!$G:$G,$P231))</f>
        <v/>
      </c>
      <c r="G231" s="32">
        <f>IF($P231="","",INDEX(GL_Journal!$H:$H,$P231))</f>
        <v/>
      </c>
      <c r="H231" s="32">
        <f>IF($P231="","",INDEX(GL_Journal!$I:$I,$P231))</f>
        <v/>
      </c>
      <c r="I231" s="32">
        <f>IF($P231="","",INDEX(GL_Journal!$J:$J,$P231))</f>
        <v/>
      </c>
      <c r="J231" s="32">
        <f>IF($P231="","",INDEX(GL_Journal!$K:$K,$P231))</f>
        <v/>
      </c>
      <c r="K231" s="32">
        <f>IF($P231="","",INDEX(GL_Journal!$L:$L,$P231))</f>
        <v/>
      </c>
      <c r="L231" s="43">
        <f>IF($P231="","",INDEX(GL_Journal!$M:$M,$P231))</f>
        <v/>
      </c>
      <c r="M231" s="43">
        <f>IF($P231="","",INDEX(GL_Journal!$N:$N,$P231))</f>
        <v/>
      </c>
      <c r="N231" s="47">
        <f>IF($P231="","",IF($A231=1,LG_Open,$N230)+$L231-$M231)</f>
        <v/>
      </c>
      <c r="O231" s="32">
        <f>IF($A231&gt;COUNT(GL_Journal!$Y:$Y),"",SMALL(GL_Journal!$Y:$Y,$A231))</f>
        <v/>
      </c>
      <c r="P231" s="32">
        <f>IF($O231="","",MATCH($O231,GL_Journal!$Y:$Y,0))</f>
        <v/>
      </c>
      <c r="Q231" s="32" t="inlineStr"/>
    </row>
    <row r="232">
      <c r="A232" s="32">
        <f>ROW()-12</f>
        <v/>
      </c>
      <c r="B232" s="33">
        <f>IF($P232="","",INDEX(GL_Journal!$D:$D,$P232))</f>
        <v/>
      </c>
      <c r="C232" s="32">
        <f>IF($P232="","",INDEX(GL_Journal!$C:$C,$P232))</f>
        <v/>
      </c>
      <c r="D232" s="32">
        <f>IF($P232="","",INDEX(GL_Journal!$E:$E,$P232))</f>
        <v/>
      </c>
      <c r="E232" s="32">
        <f>IF($P232="","",INDEX(GL_Journal!$F:$F,$P232))</f>
        <v/>
      </c>
      <c r="F232" s="32">
        <f>IF($P232="","",INDEX(GL_Journal!$G:$G,$P232))</f>
        <v/>
      </c>
      <c r="G232" s="32">
        <f>IF($P232="","",INDEX(GL_Journal!$H:$H,$P232))</f>
        <v/>
      </c>
      <c r="H232" s="32">
        <f>IF($P232="","",INDEX(GL_Journal!$I:$I,$P232))</f>
        <v/>
      </c>
      <c r="I232" s="32">
        <f>IF($P232="","",INDEX(GL_Journal!$J:$J,$P232))</f>
        <v/>
      </c>
      <c r="J232" s="32">
        <f>IF($P232="","",INDEX(GL_Journal!$K:$K,$P232))</f>
        <v/>
      </c>
      <c r="K232" s="32">
        <f>IF($P232="","",INDEX(GL_Journal!$L:$L,$P232))</f>
        <v/>
      </c>
      <c r="L232" s="43">
        <f>IF($P232="","",INDEX(GL_Journal!$M:$M,$P232))</f>
        <v/>
      </c>
      <c r="M232" s="43">
        <f>IF($P232="","",INDEX(GL_Journal!$N:$N,$P232))</f>
        <v/>
      </c>
      <c r="N232" s="47">
        <f>IF($P232="","",IF($A232=1,LG_Open,$N231)+$L232-$M232)</f>
        <v/>
      </c>
      <c r="O232" s="32">
        <f>IF($A232&gt;COUNT(GL_Journal!$Y:$Y),"",SMALL(GL_Journal!$Y:$Y,$A232))</f>
        <v/>
      </c>
      <c r="P232" s="32">
        <f>IF($O232="","",MATCH($O232,GL_Journal!$Y:$Y,0))</f>
        <v/>
      </c>
      <c r="Q232" s="32" t="inlineStr"/>
    </row>
    <row r="233">
      <c r="A233" s="32">
        <f>ROW()-12</f>
        <v/>
      </c>
      <c r="B233" s="33">
        <f>IF($P233="","",INDEX(GL_Journal!$D:$D,$P233))</f>
        <v/>
      </c>
      <c r="C233" s="32">
        <f>IF($P233="","",INDEX(GL_Journal!$C:$C,$P233))</f>
        <v/>
      </c>
      <c r="D233" s="32">
        <f>IF($P233="","",INDEX(GL_Journal!$E:$E,$P233))</f>
        <v/>
      </c>
      <c r="E233" s="32">
        <f>IF($P233="","",INDEX(GL_Journal!$F:$F,$P233))</f>
        <v/>
      </c>
      <c r="F233" s="32">
        <f>IF($P233="","",INDEX(GL_Journal!$G:$G,$P233))</f>
        <v/>
      </c>
      <c r="G233" s="32">
        <f>IF($P233="","",INDEX(GL_Journal!$H:$H,$P233))</f>
        <v/>
      </c>
      <c r="H233" s="32">
        <f>IF($P233="","",INDEX(GL_Journal!$I:$I,$P233))</f>
        <v/>
      </c>
      <c r="I233" s="32">
        <f>IF($P233="","",INDEX(GL_Journal!$J:$J,$P233))</f>
        <v/>
      </c>
      <c r="J233" s="32">
        <f>IF($P233="","",INDEX(GL_Journal!$K:$K,$P233))</f>
        <v/>
      </c>
      <c r="K233" s="32">
        <f>IF($P233="","",INDEX(GL_Journal!$L:$L,$P233))</f>
        <v/>
      </c>
      <c r="L233" s="43">
        <f>IF($P233="","",INDEX(GL_Journal!$M:$M,$P233))</f>
        <v/>
      </c>
      <c r="M233" s="43">
        <f>IF($P233="","",INDEX(GL_Journal!$N:$N,$P233))</f>
        <v/>
      </c>
      <c r="N233" s="47">
        <f>IF($P233="","",IF($A233=1,LG_Open,$N232)+$L233-$M233)</f>
        <v/>
      </c>
      <c r="O233" s="32">
        <f>IF($A233&gt;COUNT(GL_Journal!$Y:$Y),"",SMALL(GL_Journal!$Y:$Y,$A233))</f>
        <v/>
      </c>
      <c r="P233" s="32">
        <f>IF($O233="","",MATCH($O233,GL_Journal!$Y:$Y,0))</f>
        <v/>
      </c>
      <c r="Q233" s="32" t="inlineStr"/>
    </row>
    <row r="234">
      <c r="A234" s="32">
        <f>ROW()-12</f>
        <v/>
      </c>
      <c r="B234" s="33">
        <f>IF($P234="","",INDEX(GL_Journal!$D:$D,$P234))</f>
        <v/>
      </c>
      <c r="C234" s="32">
        <f>IF($P234="","",INDEX(GL_Journal!$C:$C,$P234))</f>
        <v/>
      </c>
      <c r="D234" s="32">
        <f>IF($P234="","",INDEX(GL_Journal!$E:$E,$P234))</f>
        <v/>
      </c>
      <c r="E234" s="32">
        <f>IF($P234="","",INDEX(GL_Journal!$F:$F,$P234))</f>
        <v/>
      </c>
      <c r="F234" s="32">
        <f>IF($P234="","",INDEX(GL_Journal!$G:$G,$P234))</f>
        <v/>
      </c>
      <c r="G234" s="32">
        <f>IF($P234="","",INDEX(GL_Journal!$H:$H,$P234))</f>
        <v/>
      </c>
      <c r="H234" s="32">
        <f>IF($P234="","",INDEX(GL_Journal!$I:$I,$P234))</f>
        <v/>
      </c>
      <c r="I234" s="32">
        <f>IF($P234="","",INDEX(GL_Journal!$J:$J,$P234))</f>
        <v/>
      </c>
      <c r="J234" s="32">
        <f>IF($P234="","",INDEX(GL_Journal!$K:$K,$P234))</f>
        <v/>
      </c>
      <c r="K234" s="32">
        <f>IF($P234="","",INDEX(GL_Journal!$L:$L,$P234))</f>
        <v/>
      </c>
      <c r="L234" s="43">
        <f>IF($P234="","",INDEX(GL_Journal!$M:$M,$P234))</f>
        <v/>
      </c>
      <c r="M234" s="43">
        <f>IF($P234="","",INDEX(GL_Journal!$N:$N,$P234))</f>
        <v/>
      </c>
      <c r="N234" s="47">
        <f>IF($P234="","",IF($A234=1,LG_Open,$N233)+$L234-$M234)</f>
        <v/>
      </c>
      <c r="O234" s="32">
        <f>IF($A234&gt;COUNT(GL_Journal!$Y:$Y),"",SMALL(GL_Journal!$Y:$Y,$A234))</f>
        <v/>
      </c>
      <c r="P234" s="32">
        <f>IF($O234="","",MATCH($O234,GL_Journal!$Y:$Y,0))</f>
        <v/>
      </c>
      <c r="Q234" s="32" t="inlineStr"/>
    </row>
    <row r="235">
      <c r="A235" s="32">
        <f>ROW()-12</f>
        <v/>
      </c>
      <c r="B235" s="33">
        <f>IF($P235="","",INDEX(GL_Journal!$D:$D,$P235))</f>
        <v/>
      </c>
      <c r="C235" s="32">
        <f>IF($P235="","",INDEX(GL_Journal!$C:$C,$P235))</f>
        <v/>
      </c>
      <c r="D235" s="32">
        <f>IF($P235="","",INDEX(GL_Journal!$E:$E,$P235))</f>
        <v/>
      </c>
      <c r="E235" s="32">
        <f>IF($P235="","",INDEX(GL_Journal!$F:$F,$P235))</f>
        <v/>
      </c>
      <c r="F235" s="32">
        <f>IF($P235="","",INDEX(GL_Journal!$G:$G,$P235))</f>
        <v/>
      </c>
      <c r="G235" s="32">
        <f>IF($P235="","",INDEX(GL_Journal!$H:$H,$P235))</f>
        <v/>
      </c>
      <c r="H235" s="32">
        <f>IF($P235="","",INDEX(GL_Journal!$I:$I,$P235))</f>
        <v/>
      </c>
      <c r="I235" s="32">
        <f>IF($P235="","",INDEX(GL_Journal!$J:$J,$P235))</f>
        <v/>
      </c>
      <c r="J235" s="32">
        <f>IF($P235="","",INDEX(GL_Journal!$K:$K,$P235))</f>
        <v/>
      </c>
      <c r="K235" s="32">
        <f>IF($P235="","",INDEX(GL_Journal!$L:$L,$P235))</f>
        <v/>
      </c>
      <c r="L235" s="43">
        <f>IF($P235="","",INDEX(GL_Journal!$M:$M,$P235))</f>
        <v/>
      </c>
      <c r="M235" s="43">
        <f>IF($P235="","",INDEX(GL_Journal!$N:$N,$P235))</f>
        <v/>
      </c>
      <c r="N235" s="47">
        <f>IF($P235="","",IF($A235=1,LG_Open,$N234)+$L235-$M235)</f>
        <v/>
      </c>
      <c r="O235" s="32">
        <f>IF($A235&gt;COUNT(GL_Journal!$Y:$Y),"",SMALL(GL_Journal!$Y:$Y,$A235))</f>
        <v/>
      </c>
      <c r="P235" s="32">
        <f>IF($O235="","",MATCH($O235,GL_Journal!$Y:$Y,0))</f>
        <v/>
      </c>
      <c r="Q235" s="32" t="inlineStr"/>
    </row>
    <row r="236">
      <c r="A236" s="32">
        <f>ROW()-12</f>
        <v/>
      </c>
      <c r="B236" s="33">
        <f>IF($P236="","",INDEX(GL_Journal!$D:$D,$P236))</f>
        <v/>
      </c>
      <c r="C236" s="32">
        <f>IF($P236="","",INDEX(GL_Journal!$C:$C,$P236))</f>
        <v/>
      </c>
      <c r="D236" s="32">
        <f>IF($P236="","",INDEX(GL_Journal!$E:$E,$P236))</f>
        <v/>
      </c>
      <c r="E236" s="32">
        <f>IF($P236="","",INDEX(GL_Journal!$F:$F,$P236))</f>
        <v/>
      </c>
      <c r="F236" s="32">
        <f>IF($P236="","",INDEX(GL_Journal!$G:$G,$P236))</f>
        <v/>
      </c>
      <c r="G236" s="32">
        <f>IF($P236="","",INDEX(GL_Journal!$H:$H,$P236))</f>
        <v/>
      </c>
      <c r="H236" s="32">
        <f>IF($P236="","",INDEX(GL_Journal!$I:$I,$P236))</f>
        <v/>
      </c>
      <c r="I236" s="32">
        <f>IF($P236="","",INDEX(GL_Journal!$J:$J,$P236))</f>
        <v/>
      </c>
      <c r="J236" s="32">
        <f>IF($P236="","",INDEX(GL_Journal!$K:$K,$P236))</f>
        <v/>
      </c>
      <c r="K236" s="32">
        <f>IF($P236="","",INDEX(GL_Journal!$L:$L,$P236))</f>
        <v/>
      </c>
      <c r="L236" s="43">
        <f>IF($P236="","",INDEX(GL_Journal!$M:$M,$P236))</f>
        <v/>
      </c>
      <c r="M236" s="43">
        <f>IF($P236="","",INDEX(GL_Journal!$N:$N,$P236))</f>
        <v/>
      </c>
      <c r="N236" s="47">
        <f>IF($P236="","",IF($A236=1,LG_Open,$N235)+$L236-$M236)</f>
        <v/>
      </c>
      <c r="O236" s="32">
        <f>IF($A236&gt;COUNT(GL_Journal!$Y:$Y),"",SMALL(GL_Journal!$Y:$Y,$A236))</f>
        <v/>
      </c>
      <c r="P236" s="32">
        <f>IF($O236="","",MATCH($O236,GL_Journal!$Y:$Y,0))</f>
        <v/>
      </c>
      <c r="Q236" s="32" t="inlineStr"/>
    </row>
    <row r="237">
      <c r="A237" s="32">
        <f>ROW()-12</f>
        <v/>
      </c>
      <c r="B237" s="33">
        <f>IF($P237="","",INDEX(GL_Journal!$D:$D,$P237))</f>
        <v/>
      </c>
      <c r="C237" s="32">
        <f>IF($P237="","",INDEX(GL_Journal!$C:$C,$P237))</f>
        <v/>
      </c>
      <c r="D237" s="32">
        <f>IF($P237="","",INDEX(GL_Journal!$E:$E,$P237))</f>
        <v/>
      </c>
      <c r="E237" s="32">
        <f>IF($P237="","",INDEX(GL_Journal!$F:$F,$P237))</f>
        <v/>
      </c>
      <c r="F237" s="32">
        <f>IF($P237="","",INDEX(GL_Journal!$G:$G,$P237))</f>
        <v/>
      </c>
      <c r="G237" s="32">
        <f>IF($P237="","",INDEX(GL_Journal!$H:$H,$P237))</f>
        <v/>
      </c>
      <c r="H237" s="32">
        <f>IF($P237="","",INDEX(GL_Journal!$I:$I,$P237))</f>
        <v/>
      </c>
      <c r="I237" s="32">
        <f>IF($P237="","",INDEX(GL_Journal!$J:$J,$P237))</f>
        <v/>
      </c>
      <c r="J237" s="32">
        <f>IF($P237="","",INDEX(GL_Journal!$K:$K,$P237))</f>
        <v/>
      </c>
      <c r="K237" s="32">
        <f>IF($P237="","",INDEX(GL_Journal!$L:$L,$P237))</f>
        <v/>
      </c>
      <c r="L237" s="43">
        <f>IF($P237="","",INDEX(GL_Journal!$M:$M,$P237))</f>
        <v/>
      </c>
      <c r="M237" s="43">
        <f>IF($P237="","",INDEX(GL_Journal!$N:$N,$P237))</f>
        <v/>
      </c>
      <c r="N237" s="47">
        <f>IF($P237="","",IF($A237=1,LG_Open,$N236)+$L237-$M237)</f>
        <v/>
      </c>
      <c r="O237" s="32">
        <f>IF($A237&gt;COUNT(GL_Journal!$Y:$Y),"",SMALL(GL_Journal!$Y:$Y,$A237))</f>
        <v/>
      </c>
      <c r="P237" s="32">
        <f>IF($O237="","",MATCH($O237,GL_Journal!$Y:$Y,0))</f>
        <v/>
      </c>
      <c r="Q237" s="32" t="inlineStr"/>
    </row>
    <row r="238">
      <c r="A238" s="32">
        <f>ROW()-12</f>
        <v/>
      </c>
      <c r="B238" s="33">
        <f>IF($P238="","",INDEX(GL_Journal!$D:$D,$P238))</f>
        <v/>
      </c>
      <c r="C238" s="32">
        <f>IF($P238="","",INDEX(GL_Journal!$C:$C,$P238))</f>
        <v/>
      </c>
      <c r="D238" s="32">
        <f>IF($P238="","",INDEX(GL_Journal!$E:$E,$P238))</f>
        <v/>
      </c>
      <c r="E238" s="32">
        <f>IF($P238="","",INDEX(GL_Journal!$F:$F,$P238))</f>
        <v/>
      </c>
      <c r="F238" s="32">
        <f>IF($P238="","",INDEX(GL_Journal!$G:$G,$P238))</f>
        <v/>
      </c>
      <c r="G238" s="32">
        <f>IF($P238="","",INDEX(GL_Journal!$H:$H,$P238))</f>
        <v/>
      </c>
      <c r="H238" s="32">
        <f>IF($P238="","",INDEX(GL_Journal!$I:$I,$P238))</f>
        <v/>
      </c>
      <c r="I238" s="32">
        <f>IF($P238="","",INDEX(GL_Journal!$J:$J,$P238))</f>
        <v/>
      </c>
      <c r="J238" s="32">
        <f>IF($P238="","",INDEX(GL_Journal!$K:$K,$P238))</f>
        <v/>
      </c>
      <c r="K238" s="32">
        <f>IF($P238="","",INDEX(GL_Journal!$L:$L,$P238))</f>
        <v/>
      </c>
      <c r="L238" s="43">
        <f>IF($P238="","",INDEX(GL_Journal!$M:$M,$P238))</f>
        <v/>
      </c>
      <c r="M238" s="43">
        <f>IF($P238="","",INDEX(GL_Journal!$N:$N,$P238))</f>
        <v/>
      </c>
      <c r="N238" s="47">
        <f>IF($P238="","",IF($A238=1,LG_Open,$N237)+$L238-$M238)</f>
        <v/>
      </c>
      <c r="O238" s="32">
        <f>IF($A238&gt;COUNT(GL_Journal!$Y:$Y),"",SMALL(GL_Journal!$Y:$Y,$A238))</f>
        <v/>
      </c>
      <c r="P238" s="32">
        <f>IF($O238="","",MATCH($O238,GL_Journal!$Y:$Y,0))</f>
        <v/>
      </c>
      <c r="Q238" s="32" t="inlineStr"/>
    </row>
    <row r="239">
      <c r="A239" s="32">
        <f>ROW()-12</f>
        <v/>
      </c>
      <c r="B239" s="33">
        <f>IF($P239="","",INDEX(GL_Journal!$D:$D,$P239))</f>
        <v/>
      </c>
      <c r="C239" s="32">
        <f>IF($P239="","",INDEX(GL_Journal!$C:$C,$P239))</f>
        <v/>
      </c>
      <c r="D239" s="32">
        <f>IF($P239="","",INDEX(GL_Journal!$E:$E,$P239))</f>
        <v/>
      </c>
      <c r="E239" s="32">
        <f>IF($P239="","",INDEX(GL_Journal!$F:$F,$P239))</f>
        <v/>
      </c>
      <c r="F239" s="32">
        <f>IF($P239="","",INDEX(GL_Journal!$G:$G,$P239))</f>
        <v/>
      </c>
      <c r="G239" s="32">
        <f>IF($P239="","",INDEX(GL_Journal!$H:$H,$P239))</f>
        <v/>
      </c>
      <c r="H239" s="32">
        <f>IF($P239="","",INDEX(GL_Journal!$I:$I,$P239))</f>
        <v/>
      </c>
      <c r="I239" s="32">
        <f>IF($P239="","",INDEX(GL_Journal!$J:$J,$P239))</f>
        <v/>
      </c>
      <c r="J239" s="32">
        <f>IF($P239="","",INDEX(GL_Journal!$K:$K,$P239))</f>
        <v/>
      </c>
      <c r="K239" s="32">
        <f>IF($P239="","",INDEX(GL_Journal!$L:$L,$P239))</f>
        <v/>
      </c>
      <c r="L239" s="43">
        <f>IF($P239="","",INDEX(GL_Journal!$M:$M,$P239))</f>
        <v/>
      </c>
      <c r="M239" s="43">
        <f>IF($P239="","",INDEX(GL_Journal!$N:$N,$P239))</f>
        <v/>
      </c>
      <c r="N239" s="47">
        <f>IF($P239="","",IF($A239=1,LG_Open,$N238)+$L239-$M239)</f>
        <v/>
      </c>
      <c r="O239" s="32">
        <f>IF($A239&gt;COUNT(GL_Journal!$Y:$Y),"",SMALL(GL_Journal!$Y:$Y,$A239))</f>
        <v/>
      </c>
      <c r="P239" s="32">
        <f>IF($O239="","",MATCH($O239,GL_Journal!$Y:$Y,0))</f>
        <v/>
      </c>
      <c r="Q239" s="32" t="inlineStr"/>
    </row>
    <row r="240">
      <c r="A240" s="32">
        <f>ROW()-12</f>
        <v/>
      </c>
      <c r="B240" s="33">
        <f>IF($P240="","",INDEX(GL_Journal!$D:$D,$P240))</f>
        <v/>
      </c>
      <c r="C240" s="32">
        <f>IF($P240="","",INDEX(GL_Journal!$C:$C,$P240))</f>
        <v/>
      </c>
      <c r="D240" s="32">
        <f>IF($P240="","",INDEX(GL_Journal!$E:$E,$P240))</f>
        <v/>
      </c>
      <c r="E240" s="32">
        <f>IF($P240="","",INDEX(GL_Journal!$F:$F,$P240))</f>
        <v/>
      </c>
      <c r="F240" s="32">
        <f>IF($P240="","",INDEX(GL_Journal!$G:$G,$P240))</f>
        <v/>
      </c>
      <c r="G240" s="32">
        <f>IF($P240="","",INDEX(GL_Journal!$H:$H,$P240))</f>
        <v/>
      </c>
      <c r="H240" s="32">
        <f>IF($P240="","",INDEX(GL_Journal!$I:$I,$P240))</f>
        <v/>
      </c>
      <c r="I240" s="32">
        <f>IF($P240="","",INDEX(GL_Journal!$J:$J,$P240))</f>
        <v/>
      </c>
      <c r="J240" s="32">
        <f>IF($P240="","",INDEX(GL_Journal!$K:$K,$P240))</f>
        <v/>
      </c>
      <c r="K240" s="32">
        <f>IF($P240="","",INDEX(GL_Journal!$L:$L,$P240))</f>
        <v/>
      </c>
      <c r="L240" s="43">
        <f>IF($P240="","",INDEX(GL_Journal!$M:$M,$P240))</f>
        <v/>
      </c>
      <c r="M240" s="43">
        <f>IF($P240="","",INDEX(GL_Journal!$N:$N,$P240))</f>
        <v/>
      </c>
      <c r="N240" s="47">
        <f>IF($P240="","",IF($A240=1,LG_Open,$N239)+$L240-$M240)</f>
        <v/>
      </c>
      <c r="O240" s="32">
        <f>IF($A240&gt;COUNT(GL_Journal!$Y:$Y),"",SMALL(GL_Journal!$Y:$Y,$A240))</f>
        <v/>
      </c>
      <c r="P240" s="32">
        <f>IF($O240="","",MATCH($O240,GL_Journal!$Y:$Y,0))</f>
        <v/>
      </c>
      <c r="Q240" s="32" t="inlineStr"/>
    </row>
    <row r="241">
      <c r="A241" s="32">
        <f>ROW()-12</f>
        <v/>
      </c>
      <c r="B241" s="33">
        <f>IF($P241="","",INDEX(GL_Journal!$D:$D,$P241))</f>
        <v/>
      </c>
      <c r="C241" s="32">
        <f>IF($P241="","",INDEX(GL_Journal!$C:$C,$P241))</f>
        <v/>
      </c>
      <c r="D241" s="32">
        <f>IF($P241="","",INDEX(GL_Journal!$E:$E,$P241))</f>
        <v/>
      </c>
      <c r="E241" s="32">
        <f>IF($P241="","",INDEX(GL_Journal!$F:$F,$P241))</f>
        <v/>
      </c>
      <c r="F241" s="32">
        <f>IF($P241="","",INDEX(GL_Journal!$G:$G,$P241))</f>
        <v/>
      </c>
      <c r="G241" s="32">
        <f>IF($P241="","",INDEX(GL_Journal!$H:$H,$P241))</f>
        <v/>
      </c>
      <c r="H241" s="32">
        <f>IF($P241="","",INDEX(GL_Journal!$I:$I,$P241))</f>
        <v/>
      </c>
      <c r="I241" s="32">
        <f>IF($P241="","",INDEX(GL_Journal!$J:$J,$P241))</f>
        <v/>
      </c>
      <c r="J241" s="32">
        <f>IF($P241="","",INDEX(GL_Journal!$K:$K,$P241))</f>
        <v/>
      </c>
      <c r="K241" s="32">
        <f>IF($P241="","",INDEX(GL_Journal!$L:$L,$P241))</f>
        <v/>
      </c>
      <c r="L241" s="43">
        <f>IF($P241="","",INDEX(GL_Journal!$M:$M,$P241))</f>
        <v/>
      </c>
      <c r="M241" s="43">
        <f>IF($P241="","",INDEX(GL_Journal!$N:$N,$P241))</f>
        <v/>
      </c>
      <c r="N241" s="47">
        <f>IF($P241="","",IF($A241=1,LG_Open,$N240)+$L241-$M241)</f>
        <v/>
      </c>
      <c r="O241" s="32">
        <f>IF($A241&gt;COUNT(GL_Journal!$Y:$Y),"",SMALL(GL_Journal!$Y:$Y,$A241))</f>
        <v/>
      </c>
      <c r="P241" s="32">
        <f>IF($O241="","",MATCH($O241,GL_Journal!$Y:$Y,0))</f>
        <v/>
      </c>
      <c r="Q241" s="32" t="inlineStr"/>
    </row>
    <row r="242">
      <c r="A242" s="32">
        <f>ROW()-12</f>
        <v/>
      </c>
      <c r="B242" s="33">
        <f>IF($P242="","",INDEX(GL_Journal!$D:$D,$P242))</f>
        <v/>
      </c>
      <c r="C242" s="32">
        <f>IF($P242="","",INDEX(GL_Journal!$C:$C,$P242))</f>
        <v/>
      </c>
      <c r="D242" s="32">
        <f>IF($P242="","",INDEX(GL_Journal!$E:$E,$P242))</f>
        <v/>
      </c>
      <c r="E242" s="32">
        <f>IF($P242="","",INDEX(GL_Journal!$F:$F,$P242))</f>
        <v/>
      </c>
      <c r="F242" s="32">
        <f>IF($P242="","",INDEX(GL_Journal!$G:$G,$P242))</f>
        <v/>
      </c>
      <c r="G242" s="32">
        <f>IF($P242="","",INDEX(GL_Journal!$H:$H,$P242))</f>
        <v/>
      </c>
      <c r="H242" s="32">
        <f>IF($P242="","",INDEX(GL_Journal!$I:$I,$P242))</f>
        <v/>
      </c>
      <c r="I242" s="32">
        <f>IF($P242="","",INDEX(GL_Journal!$J:$J,$P242))</f>
        <v/>
      </c>
      <c r="J242" s="32">
        <f>IF($P242="","",INDEX(GL_Journal!$K:$K,$P242))</f>
        <v/>
      </c>
      <c r="K242" s="32">
        <f>IF($P242="","",INDEX(GL_Journal!$L:$L,$P242))</f>
        <v/>
      </c>
      <c r="L242" s="43">
        <f>IF($P242="","",INDEX(GL_Journal!$M:$M,$P242))</f>
        <v/>
      </c>
      <c r="M242" s="43">
        <f>IF($P242="","",INDEX(GL_Journal!$N:$N,$P242))</f>
        <v/>
      </c>
      <c r="N242" s="47">
        <f>IF($P242="","",IF($A242=1,LG_Open,$N241)+$L242-$M242)</f>
        <v/>
      </c>
      <c r="O242" s="32">
        <f>IF($A242&gt;COUNT(GL_Journal!$Y:$Y),"",SMALL(GL_Journal!$Y:$Y,$A242))</f>
        <v/>
      </c>
      <c r="P242" s="32">
        <f>IF($O242="","",MATCH($O242,GL_Journal!$Y:$Y,0))</f>
        <v/>
      </c>
      <c r="Q242" s="32" t="inlineStr"/>
    </row>
    <row r="243">
      <c r="A243" s="32">
        <f>ROW()-12</f>
        <v/>
      </c>
      <c r="B243" s="33">
        <f>IF($P243="","",INDEX(GL_Journal!$D:$D,$P243))</f>
        <v/>
      </c>
      <c r="C243" s="32">
        <f>IF($P243="","",INDEX(GL_Journal!$C:$C,$P243))</f>
        <v/>
      </c>
      <c r="D243" s="32">
        <f>IF($P243="","",INDEX(GL_Journal!$E:$E,$P243))</f>
        <v/>
      </c>
      <c r="E243" s="32">
        <f>IF($P243="","",INDEX(GL_Journal!$F:$F,$P243))</f>
        <v/>
      </c>
      <c r="F243" s="32">
        <f>IF($P243="","",INDEX(GL_Journal!$G:$G,$P243))</f>
        <v/>
      </c>
      <c r="G243" s="32">
        <f>IF($P243="","",INDEX(GL_Journal!$H:$H,$P243))</f>
        <v/>
      </c>
      <c r="H243" s="32">
        <f>IF($P243="","",INDEX(GL_Journal!$I:$I,$P243))</f>
        <v/>
      </c>
      <c r="I243" s="32">
        <f>IF($P243="","",INDEX(GL_Journal!$J:$J,$P243))</f>
        <v/>
      </c>
      <c r="J243" s="32">
        <f>IF($P243="","",INDEX(GL_Journal!$K:$K,$P243))</f>
        <v/>
      </c>
      <c r="K243" s="32">
        <f>IF($P243="","",INDEX(GL_Journal!$L:$L,$P243))</f>
        <v/>
      </c>
      <c r="L243" s="43">
        <f>IF($P243="","",INDEX(GL_Journal!$M:$M,$P243))</f>
        <v/>
      </c>
      <c r="M243" s="43">
        <f>IF($P243="","",INDEX(GL_Journal!$N:$N,$P243))</f>
        <v/>
      </c>
      <c r="N243" s="47">
        <f>IF($P243="","",IF($A243=1,LG_Open,$N242)+$L243-$M243)</f>
        <v/>
      </c>
      <c r="O243" s="32">
        <f>IF($A243&gt;COUNT(GL_Journal!$Y:$Y),"",SMALL(GL_Journal!$Y:$Y,$A243))</f>
        <v/>
      </c>
      <c r="P243" s="32">
        <f>IF($O243="","",MATCH($O243,GL_Journal!$Y:$Y,0))</f>
        <v/>
      </c>
      <c r="Q243" s="32" t="inlineStr"/>
    </row>
    <row r="244">
      <c r="A244" s="32">
        <f>ROW()-12</f>
        <v/>
      </c>
      <c r="B244" s="33">
        <f>IF($P244="","",INDEX(GL_Journal!$D:$D,$P244))</f>
        <v/>
      </c>
      <c r="C244" s="32">
        <f>IF($P244="","",INDEX(GL_Journal!$C:$C,$P244))</f>
        <v/>
      </c>
      <c r="D244" s="32">
        <f>IF($P244="","",INDEX(GL_Journal!$E:$E,$P244))</f>
        <v/>
      </c>
      <c r="E244" s="32">
        <f>IF($P244="","",INDEX(GL_Journal!$F:$F,$P244))</f>
        <v/>
      </c>
      <c r="F244" s="32">
        <f>IF($P244="","",INDEX(GL_Journal!$G:$G,$P244))</f>
        <v/>
      </c>
      <c r="G244" s="32">
        <f>IF($P244="","",INDEX(GL_Journal!$H:$H,$P244))</f>
        <v/>
      </c>
      <c r="H244" s="32">
        <f>IF($P244="","",INDEX(GL_Journal!$I:$I,$P244))</f>
        <v/>
      </c>
      <c r="I244" s="32">
        <f>IF($P244="","",INDEX(GL_Journal!$J:$J,$P244))</f>
        <v/>
      </c>
      <c r="J244" s="32">
        <f>IF($P244="","",INDEX(GL_Journal!$K:$K,$P244))</f>
        <v/>
      </c>
      <c r="K244" s="32">
        <f>IF($P244="","",INDEX(GL_Journal!$L:$L,$P244))</f>
        <v/>
      </c>
      <c r="L244" s="43">
        <f>IF($P244="","",INDEX(GL_Journal!$M:$M,$P244))</f>
        <v/>
      </c>
      <c r="M244" s="43">
        <f>IF($P244="","",INDEX(GL_Journal!$N:$N,$P244))</f>
        <v/>
      </c>
      <c r="N244" s="47">
        <f>IF($P244="","",IF($A244=1,LG_Open,$N243)+$L244-$M244)</f>
        <v/>
      </c>
      <c r="O244" s="32">
        <f>IF($A244&gt;COUNT(GL_Journal!$Y:$Y),"",SMALL(GL_Journal!$Y:$Y,$A244))</f>
        <v/>
      </c>
      <c r="P244" s="32">
        <f>IF($O244="","",MATCH($O244,GL_Journal!$Y:$Y,0))</f>
        <v/>
      </c>
      <c r="Q244" s="32" t="inlineStr"/>
    </row>
    <row r="245">
      <c r="A245" s="32">
        <f>ROW()-12</f>
        <v/>
      </c>
      <c r="B245" s="33">
        <f>IF($P245="","",INDEX(GL_Journal!$D:$D,$P245))</f>
        <v/>
      </c>
      <c r="C245" s="32">
        <f>IF($P245="","",INDEX(GL_Journal!$C:$C,$P245))</f>
        <v/>
      </c>
      <c r="D245" s="32">
        <f>IF($P245="","",INDEX(GL_Journal!$E:$E,$P245))</f>
        <v/>
      </c>
      <c r="E245" s="32">
        <f>IF($P245="","",INDEX(GL_Journal!$F:$F,$P245))</f>
        <v/>
      </c>
      <c r="F245" s="32">
        <f>IF($P245="","",INDEX(GL_Journal!$G:$G,$P245))</f>
        <v/>
      </c>
      <c r="G245" s="32">
        <f>IF($P245="","",INDEX(GL_Journal!$H:$H,$P245))</f>
        <v/>
      </c>
      <c r="H245" s="32">
        <f>IF($P245="","",INDEX(GL_Journal!$I:$I,$P245))</f>
        <v/>
      </c>
      <c r="I245" s="32">
        <f>IF($P245="","",INDEX(GL_Journal!$J:$J,$P245))</f>
        <v/>
      </c>
      <c r="J245" s="32">
        <f>IF($P245="","",INDEX(GL_Journal!$K:$K,$P245))</f>
        <v/>
      </c>
      <c r="K245" s="32">
        <f>IF($P245="","",INDEX(GL_Journal!$L:$L,$P245))</f>
        <v/>
      </c>
      <c r="L245" s="43">
        <f>IF($P245="","",INDEX(GL_Journal!$M:$M,$P245))</f>
        <v/>
      </c>
      <c r="M245" s="43">
        <f>IF($P245="","",INDEX(GL_Journal!$N:$N,$P245))</f>
        <v/>
      </c>
      <c r="N245" s="47">
        <f>IF($P245="","",IF($A245=1,LG_Open,$N244)+$L245-$M245)</f>
        <v/>
      </c>
      <c r="O245" s="32">
        <f>IF($A245&gt;COUNT(GL_Journal!$Y:$Y),"",SMALL(GL_Journal!$Y:$Y,$A245))</f>
        <v/>
      </c>
      <c r="P245" s="32">
        <f>IF($O245="","",MATCH($O245,GL_Journal!$Y:$Y,0))</f>
        <v/>
      </c>
      <c r="Q245" s="32" t="inlineStr"/>
    </row>
    <row r="246">
      <c r="A246" s="32">
        <f>ROW()-12</f>
        <v/>
      </c>
      <c r="B246" s="33">
        <f>IF($P246="","",INDEX(GL_Journal!$D:$D,$P246))</f>
        <v/>
      </c>
      <c r="C246" s="32">
        <f>IF($P246="","",INDEX(GL_Journal!$C:$C,$P246))</f>
        <v/>
      </c>
      <c r="D246" s="32">
        <f>IF($P246="","",INDEX(GL_Journal!$E:$E,$P246))</f>
        <v/>
      </c>
      <c r="E246" s="32">
        <f>IF($P246="","",INDEX(GL_Journal!$F:$F,$P246))</f>
        <v/>
      </c>
      <c r="F246" s="32">
        <f>IF($P246="","",INDEX(GL_Journal!$G:$G,$P246))</f>
        <v/>
      </c>
      <c r="G246" s="32">
        <f>IF($P246="","",INDEX(GL_Journal!$H:$H,$P246))</f>
        <v/>
      </c>
      <c r="H246" s="32">
        <f>IF($P246="","",INDEX(GL_Journal!$I:$I,$P246))</f>
        <v/>
      </c>
      <c r="I246" s="32">
        <f>IF($P246="","",INDEX(GL_Journal!$J:$J,$P246))</f>
        <v/>
      </c>
      <c r="J246" s="32">
        <f>IF($P246="","",INDEX(GL_Journal!$K:$K,$P246))</f>
        <v/>
      </c>
      <c r="K246" s="32">
        <f>IF($P246="","",INDEX(GL_Journal!$L:$L,$P246))</f>
        <v/>
      </c>
      <c r="L246" s="43">
        <f>IF($P246="","",INDEX(GL_Journal!$M:$M,$P246))</f>
        <v/>
      </c>
      <c r="M246" s="43">
        <f>IF($P246="","",INDEX(GL_Journal!$N:$N,$P246))</f>
        <v/>
      </c>
      <c r="N246" s="47">
        <f>IF($P246="","",IF($A246=1,LG_Open,$N245)+$L246-$M246)</f>
        <v/>
      </c>
      <c r="O246" s="32">
        <f>IF($A246&gt;COUNT(GL_Journal!$Y:$Y),"",SMALL(GL_Journal!$Y:$Y,$A246))</f>
        <v/>
      </c>
      <c r="P246" s="32">
        <f>IF($O246="","",MATCH($O246,GL_Journal!$Y:$Y,0))</f>
        <v/>
      </c>
      <c r="Q246" s="32" t="inlineStr"/>
    </row>
    <row r="247">
      <c r="A247" s="32">
        <f>ROW()-12</f>
        <v/>
      </c>
      <c r="B247" s="33">
        <f>IF($P247="","",INDEX(GL_Journal!$D:$D,$P247))</f>
        <v/>
      </c>
      <c r="C247" s="32">
        <f>IF($P247="","",INDEX(GL_Journal!$C:$C,$P247))</f>
        <v/>
      </c>
      <c r="D247" s="32">
        <f>IF($P247="","",INDEX(GL_Journal!$E:$E,$P247))</f>
        <v/>
      </c>
      <c r="E247" s="32">
        <f>IF($P247="","",INDEX(GL_Journal!$F:$F,$P247))</f>
        <v/>
      </c>
      <c r="F247" s="32">
        <f>IF($P247="","",INDEX(GL_Journal!$G:$G,$P247))</f>
        <v/>
      </c>
      <c r="G247" s="32">
        <f>IF($P247="","",INDEX(GL_Journal!$H:$H,$P247))</f>
        <v/>
      </c>
      <c r="H247" s="32">
        <f>IF($P247="","",INDEX(GL_Journal!$I:$I,$P247))</f>
        <v/>
      </c>
      <c r="I247" s="32">
        <f>IF($P247="","",INDEX(GL_Journal!$J:$J,$P247))</f>
        <v/>
      </c>
      <c r="J247" s="32">
        <f>IF($P247="","",INDEX(GL_Journal!$K:$K,$P247))</f>
        <v/>
      </c>
      <c r="K247" s="32">
        <f>IF($P247="","",INDEX(GL_Journal!$L:$L,$P247))</f>
        <v/>
      </c>
      <c r="L247" s="43">
        <f>IF($P247="","",INDEX(GL_Journal!$M:$M,$P247))</f>
        <v/>
      </c>
      <c r="M247" s="43">
        <f>IF($P247="","",INDEX(GL_Journal!$N:$N,$P247))</f>
        <v/>
      </c>
      <c r="N247" s="47">
        <f>IF($P247="","",IF($A247=1,LG_Open,$N246)+$L247-$M247)</f>
        <v/>
      </c>
      <c r="O247" s="32">
        <f>IF($A247&gt;COUNT(GL_Journal!$Y:$Y),"",SMALL(GL_Journal!$Y:$Y,$A247))</f>
        <v/>
      </c>
      <c r="P247" s="32">
        <f>IF($O247="","",MATCH($O247,GL_Journal!$Y:$Y,0))</f>
        <v/>
      </c>
      <c r="Q247" s="32" t="inlineStr"/>
    </row>
    <row r="248">
      <c r="A248" s="32">
        <f>ROW()-12</f>
        <v/>
      </c>
      <c r="B248" s="33">
        <f>IF($P248="","",INDEX(GL_Journal!$D:$D,$P248))</f>
        <v/>
      </c>
      <c r="C248" s="32">
        <f>IF($P248="","",INDEX(GL_Journal!$C:$C,$P248))</f>
        <v/>
      </c>
      <c r="D248" s="32">
        <f>IF($P248="","",INDEX(GL_Journal!$E:$E,$P248))</f>
        <v/>
      </c>
      <c r="E248" s="32">
        <f>IF($P248="","",INDEX(GL_Journal!$F:$F,$P248))</f>
        <v/>
      </c>
      <c r="F248" s="32">
        <f>IF($P248="","",INDEX(GL_Journal!$G:$G,$P248))</f>
        <v/>
      </c>
      <c r="G248" s="32">
        <f>IF($P248="","",INDEX(GL_Journal!$H:$H,$P248))</f>
        <v/>
      </c>
      <c r="H248" s="32">
        <f>IF($P248="","",INDEX(GL_Journal!$I:$I,$P248))</f>
        <v/>
      </c>
      <c r="I248" s="32">
        <f>IF($P248="","",INDEX(GL_Journal!$J:$J,$P248))</f>
        <v/>
      </c>
      <c r="J248" s="32">
        <f>IF($P248="","",INDEX(GL_Journal!$K:$K,$P248))</f>
        <v/>
      </c>
      <c r="K248" s="32">
        <f>IF($P248="","",INDEX(GL_Journal!$L:$L,$P248))</f>
        <v/>
      </c>
      <c r="L248" s="43">
        <f>IF($P248="","",INDEX(GL_Journal!$M:$M,$P248))</f>
        <v/>
      </c>
      <c r="M248" s="43">
        <f>IF($P248="","",INDEX(GL_Journal!$N:$N,$P248))</f>
        <v/>
      </c>
      <c r="N248" s="47">
        <f>IF($P248="","",IF($A248=1,LG_Open,$N247)+$L248-$M248)</f>
        <v/>
      </c>
      <c r="O248" s="32">
        <f>IF($A248&gt;COUNT(GL_Journal!$Y:$Y),"",SMALL(GL_Journal!$Y:$Y,$A248))</f>
        <v/>
      </c>
      <c r="P248" s="32">
        <f>IF($O248="","",MATCH($O248,GL_Journal!$Y:$Y,0))</f>
        <v/>
      </c>
      <c r="Q248" s="32" t="inlineStr"/>
    </row>
    <row r="249">
      <c r="A249" s="32">
        <f>ROW()-12</f>
        <v/>
      </c>
      <c r="B249" s="33">
        <f>IF($P249="","",INDEX(GL_Journal!$D:$D,$P249))</f>
        <v/>
      </c>
      <c r="C249" s="32">
        <f>IF($P249="","",INDEX(GL_Journal!$C:$C,$P249))</f>
        <v/>
      </c>
      <c r="D249" s="32">
        <f>IF($P249="","",INDEX(GL_Journal!$E:$E,$P249))</f>
        <v/>
      </c>
      <c r="E249" s="32">
        <f>IF($P249="","",INDEX(GL_Journal!$F:$F,$P249))</f>
        <v/>
      </c>
      <c r="F249" s="32">
        <f>IF($P249="","",INDEX(GL_Journal!$G:$G,$P249))</f>
        <v/>
      </c>
      <c r="G249" s="32">
        <f>IF($P249="","",INDEX(GL_Journal!$H:$H,$P249))</f>
        <v/>
      </c>
      <c r="H249" s="32">
        <f>IF($P249="","",INDEX(GL_Journal!$I:$I,$P249))</f>
        <v/>
      </c>
      <c r="I249" s="32">
        <f>IF($P249="","",INDEX(GL_Journal!$J:$J,$P249))</f>
        <v/>
      </c>
      <c r="J249" s="32">
        <f>IF($P249="","",INDEX(GL_Journal!$K:$K,$P249))</f>
        <v/>
      </c>
      <c r="K249" s="32">
        <f>IF($P249="","",INDEX(GL_Journal!$L:$L,$P249))</f>
        <v/>
      </c>
      <c r="L249" s="43">
        <f>IF($P249="","",INDEX(GL_Journal!$M:$M,$P249))</f>
        <v/>
      </c>
      <c r="M249" s="43">
        <f>IF($P249="","",INDEX(GL_Journal!$N:$N,$P249))</f>
        <v/>
      </c>
      <c r="N249" s="47">
        <f>IF($P249="","",IF($A249=1,LG_Open,$N248)+$L249-$M249)</f>
        <v/>
      </c>
      <c r="O249" s="32">
        <f>IF($A249&gt;COUNT(GL_Journal!$Y:$Y),"",SMALL(GL_Journal!$Y:$Y,$A249))</f>
        <v/>
      </c>
      <c r="P249" s="32">
        <f>IF($O249="","",MATCH($O249,GL_Journal!$Y:$Y,0))</f>
        <v/>
      </c>
      <c r="Q249" s="32" t="inlineStr"/>
    </row>
    <row r="250">
      <c r="A250" s="32">
        <f>ROW()-12</f>
        <v/>
      </c>
      <c r="B250" s="33">
        <f>IF($P250="","",INDEX(GL_Journal!$D:$D,$P250))</f>
        <v/>
      </c>
      <c r="C250" s="32">
        <f>IF($P250="","",INDEX(GL_Journal!$C:$C,$P250))</f>
        <v/>
      </c>
      <c r="D250" s="32">
        <f>IF($P250="","",INDEX(GL_Journal!$E:$E,$P250))</f>
        <v/>
      </c>
      <c r="E250" s="32">
        <f>IF($P250="","",INDEX(GL_Journal!$F:$F,$P250))</f>
        <v/>
      </c>
      <c r="F250" s="32">
        <f>IF($P250="","",INDEX(GL_Journal!$G:$G,$P250))</f>
        <v/>
      </c>
      <c r="G250" s="32">
        <f>IF($P250="","",INDEX(GL_Journal!$H:$H,$P250))</f>
        <v/>
      </c>
      <c r="H250" s="32">
        <f>IF($P250="","",INDEX(GL_Journal!$I:$I,$P250))</f>
        <v/>
      </c>
      <c r="I250" s="32">
        <f>IF($P250="","",INDEX(GL_Journal!$J:$J,$P250))</f>
        <v/>
      </c>
      <c r="J250" s="32">
        <f>IF($P250="","",INDEX(GL_Journal!$K:$K,$P250))</f>
        <v/>
      </c>
      <c r="K250" s="32">
        <f>IF($P250="","",INDEX(GL_Journal!$L:$L,$P250))</f>
        <v/>
      </c>
      <c r="L250" s="43">
        <f>IF($P250="","",INDEX(GL_Journal!$M:$M,$P250))</f>
        <v/>
      </c>
      <c r="M250" s="43">
        <f>IF($P250="","",INDEX(GL_Journal!$N:$N,$P250))</f>
        <v/>
      </c>
      <c r="N250" s="47">
        <f>IF($P250="","",IF($A250=1,LG_Open,$N249)+$L250-$M250)</f>
        <v/>
      </c>
      <c r="O250" s="32">
        <f>IF($A250&gt;COUNT(GL_Journal!$Y:$Y),"",SMALL(GL_Journal!$Y:$Y,$A250))</f>
        <v/>
      </c>
      <c r="P250" s="32">
        <f>IF($O250="","",MATCH($O250,GL_Journal!$Y:$Y,0))</f>
        <v/>
      </c>
      <c r="Q250" s="32" t="inlineStr"/>
    </row>
    <row r="251">
      <c r="A251" s="32">
        <f>ROW()-12</f>
        <v/>
      </c>
      <c r="B251" s="33">
        <f>IF($P251="","",INDEX(GL_Journal!$D:$D,$P251))</f>
        <v/>
      </c>
      <c r="C251" s="32">
        <f>IF($P251="","",INDEX(GL_Journal!$C:$C,$P251))</f>
        <v/>
      </c>
      <c r="D251" s="32">
        <f>IF($P251="","",INDEX(GL_Journal!$E:$E,$P251))</f>
        <v/>
      </c>
      <c r="E251" s="32">
        <f>IF($P251="","",INDEX(GL_Journal!$F:$F,$P251))</f>
        <v/>
      </c>
      <c r="F251" s="32">
        <f>IF($P251="","",INDEX(GL_Journal!$G:$G,$P251))</f>
        <v/>
      </c>
      <c r="G251" s="32">
        <f>IF($P251="","",INDEX(GL_Journal!$H:$H,$P251))</f>
        <v/>
      </c>
      <c r="H251" s="32">
        <f>IF($P251="","",INDEX(GL_Journal!$I:$I,$P251))</f>
        <v/>
      </c>
      <c r="I251" s="32">
        <f>IF($P251="","",INDEX(GL_Journal!$J:$J,$P251))</f>
        <v/>
      </c>
      <c r="J251" s="32">
        <f>IF($P251="","",INDEX(GL_Journal!$K:$K,$P251))</f>
        <v/>
      </c>
      <c r="K251" s="32">
        <f>IF($P251="","",INDEX(GL_Journal!$L:$L,$P251))</f>
        <v/>
      </c>
      <c r="L251" s="43">
        <f>IF($P251="","",INDEX(GL_Journal!$M:$M,$P251))</f>
        <v/>
      </c>
      <c r="M251" s="43">
        <f>IF($P251="","",INDEX(GL_Journal!$N:$N,$P251))</f>
        <v/>
      </c>
      <c r="N251" s="47">
        <f>IF($P251="","",IF($A251=1,LG_Open,$N250)+$L251-$M251)</f>
        <v/>
      </c>
      <c r="O251" s="32">
        <f>IF($A251&gt;COUNT(GL_Journal!$Y:$Y),"",SMALL(GL_Journal!$Y:$Y,$A251))</f>
        <v/>
      </c>
      <c r="P251" s="32">
        <f>IF($O251="","",MATCH($O251,GL_Journal!$Y:$Y,0))</f>
        <v/>
      </c>
      <c r="Q251" s="32" t="inlineStr"/>
    </row>
    <row r="252">
      <c r="A252" s="32">
        <f>ROW()-12</f>
        <v/>
      </c>
      <c r="B252" s="33">
        <f>IF($P252="","",INDEX(GL_Journal!$D:$D,$P252))</f>
        <v/>
      </c>
      <c r="C252" s="32">
        <f>IF($P252="","",INDEX(GL_Journal!$C:$C,$P252))</f>
        <v/>
      </c>
      <c r="D252" s="32">
        <f>IF($P252="","",INDEX(GL_Journal!$E:$E,$P252))</f>
        <v/>
      </c>
      <c r="E252" s="32">
        <f>IF($P252="","",INDEX(GL_Journal!$F:$F,$P252))</f>
        <v/>
      </c>
      <c r="F252" s="32">
        <f>IF($P252="","",INDEX(GL_Journal!$G:$G,$P252))</f>
        <v/>
      </c>
      <c r="G252" s="32">
        <f>IF($P252="","",INDEX(GL_Journal!$H:$H,$P252))</f>
        <v/>
      </c>
      <c r="H252" s="32">
        <f>IF($P252="","",INDEX(GL_Journal!$I:$I,$P252))</f>
        <v/>
      </c>
      <c r="I252" s="32">
        <f>IF($P252="","",INDEX(GL_Journal!$J:$J,$P252))</f>
        <v/>
      </c>
      <c r="J252" s="32">
        <f>IF($P252="","",INDEX(GL_Journal!$K:$K,$P252))</f>
        <v/>
      </c>
      <c r="K252" s="32">
        <f>IF($P252="","",INDEX(GL_Journal!$L:$L,$P252))</f>
        <v/>
      </c>
      <c r="L252" s="43">
        <f>IF($P252="","",INDEX(GL_Journal!$M:$M,$P252))</f>
        <v/>
      </c>
      <c r="M252" s="43">
        <f>IF($P252="","",INDEX(GL_Journal!$N:$N,$P252))</f>
        <v/>
      </c>
      <c r="N252" s="47">
        <f>IF($P252="","",IF($A252=1,LG_Open,$N251)+$L252-$M252)</f>
        <v/>
      </c>
      <c r="O252" s="32">
        <f>IF($A252&gt;COUNT(GL_Journal!$Y:$Y),"",SMALL(GL_Journal!$Y:$Y,$A252))</f>
        <v/>
      </c>
      <c r="P252" s="32">
        <f>IF($O252="","",MATCH($O252,GL_Journal!$Y:$Y,0))</f>
        <v/>
      </c>
      <c r="Q252" s="32" t="inlineStr"/>
    </row>
    <row r="253">
      <c r="A253" s="32">
        <f>ROW()-12</f>
        <v/>
      </c>
      <c r="B253" s="33">
        <f>IF($P253="","",INDEX(GL_Journal!$D:$D,$P253))</f>
        <v/>
      </c>
      <c r="C253" s="32">
        <f>IF($P253="","",INDEX(GL_Journal!$C:$C,$P253))</f>
        <v/>
      </c>
      <c r="D253" s="32">
        <f>IF($P253="","",INDEX(GL_Journal!$E:$E,$P253))</f>
        <v/>
      </c>
      <c r="E253" s="32">
        <f>IF($P253="","",INDEX(GL_Journal!$F:$F,$P253))</f>
        <v/>
      </c>
      <c r="F253" s="32">
        <f>IF($P253="","",INDEX(GL_Journal!$G:$G,$P253))</f>
        <v/>
      </c>
      <c r="G253" s="32">
        <f>IF($P253="","",INDEX(GL_Journal!$H:$H,$P253))</f>
        <v/>
      </c>
      <c r="H253" s="32">
        <f>IF($P253="","",INDEX(GL_Journal!$I:$I,$P253))</f>
        <v/>
      </c>
      <c r="I253" s="32">
        <f>IF($P253="","",INDEX(GL_Journal!$J:$J,$P253))</f>
        <v/>
      </c>
      <c r="J253" s="32">
        <f>IF($P253="","",INDEX(GL_Journal!$K:$K,$P253))</f>
        <v/>
      </c>
      <c r="K253" s="32">
        <f>IF($P253="","",INDEX(GL_Journal!$L:$L,$P253))</f>
        <v/>
      </c>
      <c r="L253" s="43">
        <f>IF($P253="","",INDEX(GL_Journal!$M:$M,$P253))</f>
        <v/>
      </c>
      <c r="M253" s="43">
        <f>IF($P253="","",INDEX(GL_Journal!$N:$N,$P253))</f>
        <v/>
      </c>
      <c r="N253" s="47">
        <f>IF($P253="","",IF($A253=1,LG_Open,$N252)+$L253-$M253)</f>
        <v/>
      </c>
      <c r="O253" s="32">
        <f>IF($A253&gt;COUNT(GL_Journal!$Y:$Y),"",SMALL(GL_Journal!$Y:$Y,$A253))</f>
        <v/>
      </c>
      <c r="P253" s="32">
        <f>IF($O253="","",MATCH($O253,GL_Journal!$Y:$Y,0))</f>
        <v/>
      </c>
      <c r="Q253" s="32" t="inlineStr"/>
    </row>
    <row r="254">
      <c r="A254" s="32">
        <f>ROW()-12</f>
        <v/>
      </c>
      <c r="B254" s="33">
        <f>IF($P254="","",INDEX(GL_Journal!$D:$D,$P254))</f>
        <v/>
      </c>
      <c r="C254" s="32">
        <f>IF($P254="","",INDEX(GL_Journal!$C:$C,$P254))</f>
        <v/>
      </c>
      <c r="D254" s="32">
        <f>IF($P254="","",INDEX(GL_Journal!$E:$E,$P254))</f>
        <v/>
      </c>
      <c r="E254" s="32">
        <f>IF($P254="","",INDEX(GL_Journal!$F:$F,$P254))</f>
        <v/>
      </c>
      <c r="F254" s="32">
        <f>IF($P254="","",INDEX(GL_Journal!$G:$G,$P254))</f>
        <v/>
      </c>
      <c r="G254" s="32">
        <f>IF($P254="","",INDEX(GL_Journal!$H:$H,$P254))</f>
        <v/>
      </c>
      <c r="H254" s="32">
        <f>IF($P254="","",INDEX(GL_Journal!$I:$I,$P254))</f>
        <v/>
      </c>
      <c r="I254" s="32">
        <f>IF($P254="","",INDEX(GL_Journal!$J:$J,$P254))</f>
        <v/>
      </c>
      <c r="J254" s="32">
        <f>IF($P254="","",INDEX(GL_Journal!$K:$K,$P254))</f>
        <v/>
      </c>
      <c r="K254" s="32">
        <f>IF($P254="","",INDEX(GL_Journal!$L:$L,$P254))</f>
        <v/>
      </c>
      <c r="L254" s="43">
        <f>IF($P254="","",INDEX(GL_Journal!$M:$M,$P254))</f>
        <v/>
      </c>
      <c r="M254" s="43">
        <f>IF($P254="","",INDEX(GL_Journal!$N:$N,$P254))</f>
        <v/>
      </c>
      <c r="N254" s="47">
        <f>IF($P254="","",IF($A254=1,LG_Open,$N253)+$L254-$M254)</f>
        <v/>
      </c>
      <c r="O254" s="32">
        <f>IF($A254&gt;COUNT(GL_Journal!$Y:$Y),"",SMALL(GL_Journal!$Y:$Y,$A254))</f>
        <v/>
      </c>
      <c r="P254" s="32">
        <f>IF($O254="","",MATCH($O254,GL_Journal!$Y:$Y,0))</f>
        <v/>
      </c>
      <c r="Q254" s="32" t="inlineStr"/>
    </row>
    <row r="255">
      <c r="A255" s="32">
        <f>ROW()-12</f>
        <v/>
      </c>
      <c r="B255" s="33">
        <f>IF($P255="","",INDEX(GL_Journal!$D:$D,$P255))</f>
        <v/>
      </c>
      <c r="C255" s="32">
        <f>IF($P255="","",INDEX(GL_Journal!$C:$C,$P255))</f>
        <v/>
      </c>
      <c r="D255" s="32">
        <f>IF($P255="","",INDEX(GL_Journal!$E:$E,$P255))</f>
        <v/>
      </c>
      <c r="E255" s="32">
        <f>IF($P255="","",INDEX(GL_Journal!$F:$F,$P255))</f>
        <v/>
      </c>
      <c r="F255" s="32">
        <f>IF($P255="","",INDEX(GL_Journal!$G:$G,$P255))</f>
        <v/>
      </c>
      <c r="G255" s="32">
        <f>IF($P255="","",INDEX(GL_Journal!$H:$H,$P255))</f>
        <v/>
      </c>
      <c r="H255" s="32">
        <f>IF($P255="","",INDEX(GL_Journal!$I:$I,$P255))</f>
        <v/>
      </c>
      <c r="I255" s="32">
        <f>IF($P255="","",INDEX(GL_Journal!$J:$J,$P255))</f>
        <v/>
      </c>
      <c r="J255" s="32">
        <f>IF($P255="","",INDEX(GL_Journal!$K:$K,$P255))</f>
        <v/>
      </c>
      <c r="K255" s="32">
        <f>IF($P255="","",INDEX(GL_Journal!$L:$L,$P255))</f>
        <v/>
      </c>
      <c r="L255" s="43">
        <f>IF($P255="","",INDEX(GL_Journal!$M:$M,$P255))</f>
        <v/>
      </c>
      <c r="M255" s="43">
        <f>IF($P255="","",INDEX(GL_Journal!$N:$N,$P255))</f>
        <v/>
      </c>
      <c r="N255" s="47">
        <f>IF($P255="","",IF($A255=1,LG_Open,$N254)+$L255-$M255)</f>
        <v/>
      </c>
      <c r="O255" s="32">
        <f>IF($A255&gt;COUNT(GL_Journal!$Y:$Y),"",SMALL(GL_Journal!$Y:$Y,$A255))</f>
        <v/>
      </c>
      <c r="P255" s="32">
        <f>IF($O255="","",MATCH($O255,GL_Journal!$Y:$Y,0))</f>
        <v/>
      </c>
      <c r="Q255" s="32" t="inlineStr"/>
    </row>
    <row r="256">
      <c r="A256" s="32">
        <f>ROW()-12</f>
        <v/>
      </c>
      <c r="B256" s="33">
        <f>IF($P256="","",INDEX(GL_Journal!$D:$D,$P256))</f>
        <v/>
      </c>
      <c r="C256" s="32">
        <f>IF($P256="","",INDEX(GL_Journal!$C:$C,$P256))</f>
        <v/>
      </c>
      <c r="D256" s="32">
        <f>IF($P256="","",INDEX(GL_Journal!$E:$E,$P256))</f>
        <v/>
      </c>
      <c r="E256" s="32">
        <f>IF($P256="","",INDEX(GL_Journal!$F:$F,$P256))</f>
        <v/>
      </c>
      <c r="F256" s="32">
        <f>IF($P256="","",INDEX(GL_Journal!$G:$G,$P256))</f>
        <v/>
      </c>
      <c r="G256" s="32">
        <f>IF($P256="","",INDEX(GL_Journal!$H:$H,$P256))</f>
        <v/>
      </c>
      <c r="H256" s="32">
        <f>IF($P256="","",INDEX(GL_Journal!$I:$I,$P256))</f>
        <v/>
      </c>
      <c r="I256" s="32">
        <f>IF($P256="","",INDEX(GL_Journal!$J:$J,$P256))</f>
        <v/>
      </c>
      <c r="J256" s="32">
        <f>IF($P256="","",INDEX(GL_Journal!$K:$K,$P256))</f>
        <v/>
      </c>
      <c r="K256" s="32">
        <f>IF($P256="","",INDEX(GL_Journal!$L:$L,$P256))</f>
        <v/>
      </c>
      <c r="L256" s="43">
        <f>IF($P256="","",INDEX(GL_Journal!$M:$M,$P256))</f>
        <v/>
      </c>
      <c r="M256" s="43">
        <f>IF($P256="","",INDEX(GL_Journal!$N:$N,$P256))</f>
        <v/>
      </c>
      <c r="N256" s="47">
        <f>IF($P256="","",IF($A256=1,LG_Open,$N255)+$L256-$M256)</f>
        <v/>
      </c>
      <c r="O256" s="32">
        <f>IF($A256&gt;COUNT(GL_Journal!$Y:$Y),"",SMALL(GL_Journal!$Y:$Y,$A256))</f>
        <v/>
      </c>
      <c r="P256" s="32">
        <f>IF($O256="","",MATCH($O256,GL_Journal!$Y:$Y,0))</f>
        <v/>
      </c>
      <c r="Q256" s="32" t="inlineStr"/>
    </row>
    <row r="257">
      <c r="A257" s="32">
        <f>ROW()-12</f>
        <v/>
      </c>
      <c r="B257" s="33">
        <f>IF($P257="","",INDEX(GL_Journal!$D:$D,$P257))</f>
        <v/>
      </c>
      <c r="C257" s="32">
        <f>IF($P257="","",INDEX(GL_Journal!$C:$C,$P257))</f>
        <v/>
      </c>
      <c r="D257" s="32">
        <f>IF($P257="","",INDEX(GL_Journal!$E:$E,$P257))</f>
        <v/>
      </c>
      <c r="E257" s="32">
        <f>IF($P257="","",INDEX(GL_Journal!$F:$F,$P257))</f>
        <v/>
      </c>
      <c r="F257" s="32">
        <f>IF($P257="","",INDEX(GL_Journal!$G:$G,$P257))</f>
        <v/>
      </c>
      <c r="G257" s="32">
        <f>IF($P257="","",INDEX(GL_Journal!$H:$H,$P257))</f>
        <v/>
      </c>
      <c r="H257" s="32">
        <f>IF($P257="","",INDEX(GL_Journal!$I:$I,$P257))</f>
        <v/>
      </c>
      <c r="I257" s="32">
        <f>IF($P257="","",INDEX(GL_Journal!$J:$J,$P257))</f>
        <v/>
      </c>
      <c r="J257" s="32">
        <f>IF($P257="","",INDEX(GL_Journal!$K:$K,$P257))</f>
        <v/>
      </c>
      <c r="K257" s="32">
        <f>IF($P257="","",INDEX(GL_Journal!$L:$L,$P257))</f>
        <v/>
      </c>
      <c r="L257" s="43">
        <f>IF($P257="","",INDEX(GL_Journal!$M:$M,$P257))</f>
        <v/>
      </c>
      <c r="M257" s="43">
        <f>IF($P257="","",INDEX(GL_Journal!$N:$N,$P257))</f>
        <v/>
      </c>
      <c r="N257" s="47">
        <f>IF($P257="","",IF($A257=1,LG_Open,$N256)+$L257-$M257)</f>
        <v/>
      </c>
      <c r="O257" s="32">
        <f>IF($A257&gt;COUNT(GL_Journal!$Y:$Y),"",SMALL(GL_Journal!$Y:$Y,$A257))</f>
        <v/>
      </c>
      <c r="P257" s="32">
        <f>IF($O257="","",MATCH($O257,GL_Journal!$Y:$Y,0))</f>
        <v/>
      </c>
      <c r="Q257" s="32" t="inlineStr"/>
    </row>
    <row r="258">
      <c r="A258" s="32">
        <f>ROW()-12</f>
        <v/>
      </c>
      <c r="B258" s="33">
        <f>IF($P258="","",INDEX(GL_Journal!$D:$D,$P258))</f>
        <v/>
      </c>
      <c r="C258" s="32">
        <f>IF($P258="","",INDEX(GL_Journal!$C:$C,$P258))</f>
        <v/>
      </c>
      <c r="D258" s="32">
        <f>IF($P258="","",INDEX(GL_Journal!$E:$E,$P258))</f>
        <v/>
      </c>
      <c r="E258" s="32">
        <f>IF($P258="","",INDEX(GL_Journal!$F:$F,$P258))</f>
        <v/>
      </c>
      <c r="F258" s="32">
        <f>IF($P258="","",INDEX(GL_Journal!$G:$G,$P258))</f>
        <v/>
      </c>
      <c r="G258" s="32">
        <f>IF($P258="","",INDEX(GL_Journal!$H:$H,$P258))</f>
        <v/>
      </c>
      <c r="H258" s="32">
        <f>IF($P258="","",INDEX(GL_Journal!$I:$I,$P258))</f>
        <v/>
      </c>
      <c r="I258" s="32">
        <f>IF($P258="","",INDEX(GL_Journal!$J:$J,$P258))</f>
        <v/>
      </c>
      <c r="J258" s="32">
        <f>IF($P258="","",INDEX(GL_Journal!$K:$K,$P258))</f>
        <v/>
      </c>
      <c r="K258" s="32">
        <f>IF($P258="","",INDEX(GL_Journal!$L:$L,$P258))</f>
        <v/>
      </c>
      <c r="L258" s="43">
        <f>IF($P258="","",INDEX(GL_Journal!$M:$M,$P258))</f>
        <v/>
      </c>
      <c r="M258" s="43">
        <f>IF($P258="","",INDEX(GL_Journal!$N:$N,$P258))</f>
        <v/>
      </c>
      <c r="N258" s="47">
        <f>IF($P258="","",IF($A258=1,LG_Open,$N257)+$L258-$M258)</f>
        <v/>
      </c>
      <c r="O258" s="32">
        <f>IF($A258&gt;COUNT(GL_Journal!$Y:$Y),"",SMALL(GL_Journal!$Y:$Y,$A258))</f>
        <v/>
      </c>
      <c r="P258" s="32">
        <f>IF($O258="","",MATCH($O258,GL_Journal!$Y:$Y,0))</f>
        <v/>
      </c>
      <c r="Q258" s="32" t="inlineStr"/>
    </row>
    <row r="259">
      <c r="A259" s="32">
        <f>ROW()-12</f>
        <v/>
      </c>
      <c r="B259" s="33">
        <f>IF($P259="","",INDEX(GL_Journal!$D:$D,$P259))</f>
        <v/>
      </c>
      <c r="C259" s="32">
        <f>IF($P259="","",INDEX(GL_Journal!$C:$C,$P259))</f>
        <v/>
      </c>
      <c r="D259" s="32">
        <f>IF($P259="","",INDEX(GL_Journal!$E:$E,$P259))</f>
        <v/>
      </c>
      <c r="E259" s="32">
        <f>IF($P259="","",INDEX(GL_Journal!$F:$F,$P259))</f>
        <v/>
      </c>
      <c r="F259" s="32">
        <f>IF($P259="","",INDEX(GL_Journal!$G:$G,$P259))</f>
        <v/>
      </c>
      <c r="G259" s="32">
        <f>IF($P259="","",INDEX(GL_Journal!$H:$H,$P259))</f>
        <v/>
      </c>
      <c r="H259" s="32">
        <f>IF($P259="","",INDEX(GL_Journal!$I:$I,$P259))</f>
        <v/>
      </c>
      <c r="I259" s="32">
        <f>IF($P259="","",INDEX(GL_Journal!$J:$J,$P259))</f>
        <v/>
      </c>
      <c r="J259" s="32">
        <f>IF($P259="","",INDEX(GL_Journal!$K:$K,$P259))</f>
        <v/>
      </c>
      <c r="K259" s="32">
        <f>IF($P259="","",INDEX(GL_Journal!$L:$L,$P259))</f>
        <v/>
      </c>
      <c r="L259" s="43">
        <f>IF($P259="","",INDEX(GL_Journal!$M:$M,$P259))</f>
        <v/>
      </c>
      <c r="M259" s="43">
        <f>IF($P259="","",INDEX(GL_Journal!$N:$N,$P259))</f>
        <v/>
      </c>
      <c r="N259" s="47">
        <f>IF($P259="","",IF($A259=1,LG_Open,$N258)+$L259-$M259)</f>
        <v/>
      </c>
      <c r="O259" s="32">
        <f>IF($A259&gt;COUNT(GL_Journal!$Y:$Y),"",SMALL(GL_Journal!$Y:$Y,$A259))</f>
        <v/>
      </c>
      <c r="P259" s="32">
        <f>IF($O259="","",MATCH($O259,GL_Journal!$Y:$Y,0))</f>
        <v/>
      </c>
      <c r="Q259" s="32" t="inlineStr"/>
    </row>
    <row r="260">
      <c r="A260" s="32">
        <f>ROW()-12</f>
        <v/>
      </c>
      <c r="B260" s="33">
        <f>IF($P260="","",INDEX(GL_Journal!$D:$D,$P260))</f>
        <v/>
      </c>
      <c r="C260" s="32">
        <f>IF($P260="","",INDEX(GL_Journal!$C:$C,$P260))</f>
        <v/>
      </c>
      <c r="D260" s="32">
        <f>IF($P260="","",INDEX(GL_Journal!$E:$E,$P260))</f>
        <v/>
      </c>
      <c r="E260" s="32">
        <f>IF($P260="","",INDEX(GL_Journal!$F:$F,$P260))</f>
        <v/>
      </c>
      <c r="F260" s="32">
        <f>IF($P260="","",INDEX(GL_Journal!$G:$G,$P260))</f>
        <v/>
      </c>
      <c r="G260" s="32">
        <f>IF($P260="","",INDEX(GL_Journal!$H:$H,$P260))</f>
        <v/>
      </c>
      <c r="H260" s="32">
        <f>IF($P260="","",INDEX(GL_Journal!$I:$I,$P260))</f>
        <v/>
      </c>
      <c r="I260" s="32">
        <f>IF($P260="","",INDEX(GL_Journal!$J:$J,$P260))</f>
        <v/>
      </c>
      <c r="J260" s="32">
        <f>IF($P260="","",INDEX(GL_Journal!$K:$K,$P260))</f>
        <v/>
      </c>
      <c r="K260" s="32">
        <f>IF($P260="","",INDEX(GL_Journal!$L:$L,$P260))</f>
        <v/>
      </c>
      <c r="L260" s="43">
        <f>IF($P260="","",INDEX(GL_Journal!$M:$M,$P260))</f>
        <v/>
      </c>
      <c r="M260" s="43">
        <f>IF($P260="","",INDEX(GL_Journal!$N:$N,$P260))</f>
        <v/>
      </c>
      <c r="N260" s="47">
        <f>IF($P260="","",IF($A260=1,LG_Open,$N259)+$L260-$M260)</f>
        <v/>
      </c>
      <c r="O260" s="32">
        <f>IF($A260&gt;COUNT(GL_Journal!$Y:$Y),"",SMALL(GL_Journal!$Y:$Y,$A260))</f>
        <v/>
      </c>
      <c r="P260" s="32">
        <f>IF($O260="","",MATCH($O260,GL_Journal!$Y:$Y,0))</f>
        <v/>
      </c>
      <c r="Q260" s="32" t="inlineStr"/>
    </row>
    <row r="261">
      <c r="A261" s="32">
        <f>ROW()-12</f>
        <v/>
      </c>
      <c r="B261" s="33">
        <f>IF($P261="","",INDEX(GL_Journal!$D:$D,$P261))</f>
        <v/>
      </c>
      <c r="C261" s="32">
        <f>IF($P261="","",INDEX(GL_Journal!$C:$C,$P261))</f>
        <v/>
      </c>
      <c r="D261" s="32">
        <f>IF($P261="","",INDEX(GL_Journal!$E:$E,$P261))</f>
        <v/>
      </c>
      <c r="E261" s="32">
        <f>IF($P261="","",INDEX(GL_Journal!$F:$F,$P261))</f>
        <v/>
      </c>
      <c r="F261" s="32">
        <f>IF($P261="","",INDEX(GL_Journal!$G:$G,$P261))</f>
        <v/>
      </c>
      <c r="G261" s="32">
        <f>IF($P261="","",INDEX(GL_Journal!$H:$H,$P261))</f>
        <v/>
      </c>
      <c r="H261" s="32">
        <f>IF($P261="","",INDEX(GL_Journal!$I:$I,$P261))</f>
        <v/>
      </c>
      <c r="I261" s="32">
        <f>IF($P261="","",INDEX(GL_Journal!$J:$J,$P261))</f>
        <v/>
      </c>
      <c r="J261" s="32">
        <f>IF($P261="","",INDEX(GL_Journal!$K:$K,$P261))</f>
        <v/>
      </c>
      <c r="K261" s="32">
        <f>IF($P261="","",INDEX(GL_Journal!$L:$L,$P261))</f>
        <v/>
      </c>
      <c r="L261" s="43">
        <f>IF($P261="","",INDEX(GL_Journal!$M:$M,$P261))</f>
        <v/>
      </c>
      <c r="M261" s="43">
        <f>IF($P261="","",INDEX(GL_Journal!$N:$N,$P261))</f>
        <v/>
      </c>
      <c r="N261" s="47">
        <f>IF($P261="","",IF($A261=1,LG_Open,$N260)+$L261-$M261)</f>
        <v/>
      </c>
      <c r="O261" s="32">
        <f>IF($A261&gt;COUNT(GL_Journal!$Y:$Y),"",SMALL(GL_Journal!$Y:$Y,$A261))</f>
        <v/>
      </c>
      <c r="P261" s="32">
        <f>IF($O261="","",MATCH($O261,GL_Journal!$Y:$Y,0))</f>
        <v/>
      </c>
      <c r="Q261" s="32" t="inlineStr"/>
    </row>
    <row r="262">
      <c r="A262" s="32">
        <f>ROW()-12</f>
        <v/>
      </c>
      <c r="B262" s="33">
        <f>IF($P262="","",INDEX(GL_Journal!$D:$D,$P262))</f>
        <v/>
      </c>
      <c r="C262" s="32">
        <f>IF($P262="","",INDEX(GL_Journal!$C:$C,$P262))</f>
        <v/>
      </c>
      <c r="D262" s="32">
        <f>IF($P262="","",INDEX(GL_Journal!$E:$E,$P262))</f>
        <v/>
      </c>
      <c r="E262" s="32">
        <f>IF($P262="","",INDEX(GL_Journal!$F:$F,$P262))</f>
        <v/>
      </c>
      <c r="F262" s="32">
        <f>IF($P262="","",INDEX(GL_Journal!$G:$G,$P262))</f>
        <v/>
      </c>
      <c r="G262" s="32">
        <f>IF($P262="","",INDEX(GL_Journal!$H:$H,$P262))</f>
        <v/>
      </c>
      <c r="H262" s="32">
        <f>IF($P262="","",INDEX(GL_Journal!$I:$I,$P262))</f>
        <v/>
      </c>
      <c r="I262" s="32">
        <f>IF($P262="","",INDEX(GL_Journal!$J:$J,$P262))</f>
        <v/>
      </c>
      <c r="J262" s="32">
        <f>IF($P262="","",INDEX(GL_Journal!$K:$K,$P262))</f>
        <v/>
      </c>
      <c r="K262" s="32">
        <f>IF($P262="","",INDEX(GL_Journal!$L:$L,$P262))</f>
        <v/>
      </c>
      <c r="L262" s="43">
        <f>IF($P262="","",INDEX(GL_Journal!$M:$M,$P262))</f>
        <v/>
      </c>
      <c r="M262" s="43">
        <f>IF($P262="","",INDEX(GL_Journal!$N:$N,$P262))</f>
        <v/>
      </c>
      <c r="N262" s="47">
        <f>IF($P262="","",IF($A262=1,LG_Open,$N261)+$L262-$M262)</f>
        <v/>
      </c>
      <c r="O262" s="32">
        <f>IF($A262&gt;COUNT(GL_Journal!$Y:$Y),"",SMALL(GL_Journal!$Y:$Y,$A262))</f>
        <v/>
      </c>
      <c r="P262" s="32">
        <f>IF($O262="","",MATCH($O262,GL_Journal!$Y:$Y,0))</f>
        <v/>
      </c>
      <c r="Q262" s="32" t="inlineStr"/>
    </row>
    <row r="263">
      <c r="A263" s="32">
        <f>ROW()-12</f>
        <v/>
      </c>
      <c r="B263" s="33">
        <f>IF($P263="","",INDEX(GL_Journal!$D:$D,$P263))</f>
        <v/>
      </c>
      <c r="C263" s="32">
        <f>IF($P263="","",INDEX(GL_Journal!$C:$C,$P263))</f>
        <v/>
      </c>
      <c r="D263" s="32">
        <f>IF($P263="","",INDEX(GL_Journal!$E:$E,$P263))</f>
        <v/>
      </c>
      <c r="E263" s="32">
        <f>IF($P263="","",INDEX(GL_Journal!$F:$F,$P263))</f>
        <v/>
      </c>
      <c r="F263" s="32">
        <f>IF($P263="","",INDEX(GL_Journal!$G:$G,$P263))</f>
        <v/>
      </c>
      <c r="G263" s="32">
        <f>IF($P263="","",INDEX(GL_Journal!$H:$H,$P263))</f>
        <v/>
      </c>
      <c r="H263" s="32">
        <f>IF($P263="","",INDEX(GL_Journal!$I:$I,$P263))</f>
        <v/>
      </c>
      <c r="I263" s="32">
        <f>IF($P263="","",INDEX(GL_Journal!$J:$J,$P263))</f>
        <v/>
      </c>
      <c r="J263" s="32">
        <f>IF($P263="","",INDEX(GL_Journal!$K:$K,$P263))</f>
        <v/>
      </c>
      <c r="K263" s="32">
        <f>IF($P263="","",INDEX(GL_Journal!$L:$L,$P263))</f>
        <v/>
      </c>
      <c r="L263" s="43">
        <f>IF($P263="","",INDEX(GL_Journal!$M:$M,$P263))</f>
        <v/>
      </c>
      <c r="M263" s="43">
        <f>IF($P263="","",INDEX(GL_Journal!$N:$N,$P263))</f>
        <v/>
      </c>
      <c r="N263" s="47">
        <f>IF($P263="","",IF($A263=1,LG_Open,$N262)+$L263-$M263)</f>
        <v/>
      </c>
      <c r="O263" s="32">
        <f>IF($A263&gt;COUNT(GL_Journal!$Y:$Y),"",SMALL(GL_Journal!$Y:$Y,$A263))</f>
        <v/>
      </c>
      <c r="P263" s="32">
        <f>IF($O263="","",MATCH($O263,GL_Journal!$Y:$Y,0))</f>
        <v/>
      </c>
      <c r="Q263" s="32" t="inlineStr"/>
    </row>
    <row r="264">
      <c r="A264" s="32">
        <f>ROW()-12</f>
        <v/>
      </c>
      <c r="B264" s="33">
        <f>IF($P264="","",INDEX(GL_Journal!$D:$D,$P264))</f>
        <v/>
      </c>
      <c r="C264" s="32">
        <f>IF($P264="","",INDEX(GL_Journal!$C:$C,$P264))</f>
        <v/>
      </c>
      <c r="D264" s="32">
        <f>IF($P264="","",INDEX(GL_Journal!$E:$E,$P264))</f>
        <v/>
      </c>
      <c r="E264" s="32">
        <f>IF($P264="","",INDEX(GL_Journal!$F:$F,$P264))</f>
        <v/>
      </c>
      <c r="F264" s="32">
        <f>IF($P264="","",INDEX(GL_Journal!$G:$G,$P264))</f>
        <v/>
      </c>
      <c r="G264" s="32">
        <f>IF($P264="","",INDEX(GL_Journal!$H:$H,$P264))</f>
        <v/>
      </c>
      <c r="H264" s="32">
        <f>IF($P264="","",INDEX(GL_Journal!$I:$I,$P264))</f>
        <v/>
      </c>
      <c r="I264" s="32">
        <f>IF($P264="","",INDEX(GL_Journal!$J:$J,$P264))</f>
        <v/>
      </c>
      <c r="J264" s="32">
        <f>IF($P264="","",INDEX(GL_Journal!$K:$K,$P264))</f>
        <v/>
      </c>
      <c r="K264" s="32">
        <f>IF($P264="","",INDEX(GL_Journal!$L:$L,$P264))</f>
        <v/>
      </c>
      <c r="L264" s="43">
        <f>IF($P264="","",INDEX(GL_Journal!$M:$M,$P264))</f>
        <v/>
      </c>
      <c r="M264" s="43">
        <f>IF($P264="","",INDEX(GL_Journal!$N:$N,$P264))</f>
        <v/>
      </c>
      <c r="N264" s="47">
        <f>IF($P264="","",IF($A264=1,LG_Open,$N263)+$L264-$M264)</f>
        <v/>
      </c>
      <c r="O264" s="32">
        <f>IF($A264&gt;COUNT(GL_Journal!$Y:$Y),"",SMALL(GL_Journal!$Y:$Y,$A264))</f>
        <v/>
      </c>
      <c r="P264" s="32">
        <f>IF($O264="","",MATCH($O264,GL_Journal!$Y:$Y,0))</f>
        <v/>
      </c>
      <c r="Q264" s="32" t="inlineStr"/>
    </row>
    <row r="265">
      <c r="A265" s="32">
        <f>ROW()-12</f>
        <v/>
      </c>
      <c r="B265" s="33">
        <f>IF($P265="","",INDEX(GL_Journal!$D:$D,$P265))</f>
        <v/>
      </c>
      <c r="C265" s="32">
        <f>IF($P265="","",INDEX(GL_Journal!$C:$C,$P265))</f>
        <v/>
      </c>
      <c r="D265" s="32">
        <f>IF($P265="","",INDEX(GL_Journal!$E:$E,$P265))</f>
        <v/>
      </c>
      <c r="E265" s="32">
        <f>IF($P265="","",INDEX(GL_Journal!$F:$F,$P265))</f>
        <v/>
      </c>
      <c r="F265" s="32">
        <f>IF($P265="","",INDEX(GL_Journal!$G:$G,$P265))</f>
        <v/>
      </c>
      <c r="G265" s="32">
        <f>IF($P265="","",INDEX(GL_Journal!$H:$H,$P265))</f>
        <v/>
      </c>
      <c r="H265" s="32">
        <f>IF($P265="","",INDEX(GL_Journal!$I:$I,$P265))</f>
        <v/>
      </c>
      <c r="I265" s="32">
        <f>IF($P265="","",INDEX(GL_Journal!$J:$J,$P265))</f>
        <v/>
      </c>
      <c r="J265" s="32">
        <f>IF($P265="","",INDEX(GL_Journal!$K:$K,$P265))</f>
        <v/>
      </c>
      <c r="K265" s="32">
        <f>IF($P265="","",INDEX(GL_Journal!$L:$L,$P265))</f>
        <v/>
      </c>
      <c r="L265" s="43">
        <f>IF($P265="","",INDEX(GL_Journal!$M:$M,$P265))</f>
        <v/>
      </c>
      <c r="M265" s="43">
        <f>IF($P265="","",INDEX(GL_Journal!$N:$N,$P265))</f>
        <v/>
      </c>
      <c r="N265" s="47">
        <f>IF($P265="","",IF($A265=1,LG_Open,$N264)+$L265-$M265)</f>
        <v/>
      </c>
      <c r="O265" s="32">
        <f>IF($A265&gt;COUNT(GL_Journal!$Y:$Y),"",SMALL(GL_Journal!$Y:$Y,$A265))</f>
        <v/>
      </c>
      <c r="P265" s="32">
        <f>IF($O265="","",MATCH($O265,GL_Journal!$Y:$Y,0))</f>
        <v/>
      </c>
      <c r="Q265" s="32" t="inlineStr"/>
    </row>
    <row r="266">
      <c r="A266" s="32">
        <f>ROW()-12</f>
        <v/>
      </c>
      <c r="B266" s="33">
        <f>IF($P266="","",INDEX(GL_Journal!$D:$D,$P266))</f>
        <v/>
      </c>
      <c r="C266" s="32">
        <f>IF($P266="","",INDEX(GL_Journal!$C:$C,$P266))</f>
        <v/>
      </c>
      <c r="D266" s="32">
        <f>IF($P266="","",INDEX(GL_Journal!$E:$E,$P266))</f>
        <v/>
      </c>
      <c r="E266" s="32">
        <f>IF($P266="","",INDEX(GL_Journal!$F:$F,$P266))</f>
        <v/>
      </c>
      <c r="F266" s="32">
        <f>IF($P266="","",INDEX(GL_Journal!$G:$G,$P266))</f>
        <v/>
      </c>
      <c r="G266" s="32">
        <f>IF($P266="","",INDEX(GL_Journal!$H:$H,$P266))</f>
        <v/>
      </c>
      <c r="H266" s="32">
        <f>IF($P266="","",INDEX(GL_Journal!$I:$I,$P266))</f>
        <v/>
      </c>
      <c r="I266" s="32">
        <f>IF($P266="","",INDEX(GL_Journal!$J:$J,$P266))</f>
        <v/>
      </c>
      <c r="J266" s="32">
        <f>IF($P266="","",INDEX(GL_Journal!$K:$K,$P266))</f>
        <v/>
      </c>
      <c r="K266" s="32">
        <f>IF($P266="","",INDEX(GL_Journal!$L:$L,$P266))</f>
        <v/>
      </c>
      <c r="L266" s="43">
        <f>IF($P266="","",INDEX(GL_Journal!$M:$M,$P266))</f>
        <v/>
      </c>
      <c r="M266" s="43">
        <f>IF($P266="","",INDEX(GL_Journal!$N:$N,$P266))</f>
        <v/>
      </c>
      <c r="N266" s="47">
        <f>IF($P266="","",IF($A266=1,LG_Open,$N265)+$L266-$M266)</f>
        <v/>
      </c>
      <c r="O266" s="32">
        <f>IF($A266&gt;COUNT(GL_Journal!$Y:$Y),"",SMALL(GL_Journal!$Y:$Y,$A266))</f>
        <v/>
      </c>
      <c r="P266" s="32">
        <f>IF($O266="","",MATCH($O266,GL_Journal!$Y:$Y,0))</f>
        <v/>
      </c>
      <c r="Q266" s="32" t="inlineStr"/>
    </row>
    <row r="267">
      <c r="A267" s="32">
        <f>ROW()-12</f>
        <v/>
      </c>
      <c r="B267" s="33">
        <f>IF($P267="","",INDEX(GL_Journal!$D:$D,$P267))</f>
        <v/>
      </c>
      <c r="C267" s="32">
        <f>IF($P267="","",INDEX(GL_Journal!$C:$C,$P267))</f>
        <v/>
      </c>
      <c r="D267" s="32">
        <f>IF($P267="","",INDEX(GL_Journal!$E:$E,$P267))</f>
        <v/>
      </c>
      <c r="E267" s="32">
        <f>IF($P267="","",INDEX(GL_Journal!$F:$F,$P267))</f>
        <v/>
      </c>
      <c r="F267" s="32">
        <f>IF($P267="","",INDEX(GL_Journal!$G:$G,$P267))</f>
        <v/>
      </c>
      <c r="G267" s="32">
        <f>IF($P267="","",INDEX(GL_Journal!$H:$H,$P267))</f>
        <v/>
      </c>
      <c r="H267" s="32">
        <f>IF($P267="","",INDEX(GL_Journal!$I:$I,$P267))</f>
        <v/>
      </c>
      <c r="I267" s="32">
        <f>IF($P267="","",INDEX(GL_Journal!$J:$J,$P267))</f>
        <v/>
      </c>
      <c r="J267" s="32">
        <f>IF($P267="","",INDEX(GL_Journal!$K:$K,$P267))</f>
        <v/>
      </c>
      <c r="K267" s="32">
        <f>IF($P267="","",INDEX(GL_Journal!$L:$L,$P267))</f>
        <v/>
      </c>
      <c r="L267" s="43">
        <f>IF($P267="","",INDEX(GL_Journal!$M:$M,$P267))</f>
        <v/>
      </c>
      <c r="M267" s="43">
        <f>IF($P267="","",INDEX(GL_Journal!$N:$N,$P267))</f>
        <v/>
      </c>
      <c r="N267" s="47">
        <f>IF($P267="","",IF($A267=1,LG_Open,$N266)+$L267-$M267)</f>
        <v/>
      </c>
      <c r="O267" s="32">
        <f>IF($A267&gt;COUNT(GL_Journal!$Y:$Y),"",SMALL(GL_Journal!$Y:$Y,$A267))</f>
        <v/>
      </c>
      <c r="P267" s="32">
        <f>IF($O267="","",MATCH($O267,GL_Journal!$Y:$Y,0))</f>
        <v/>
      </c>
      <c r="Q267" s="32" t="inlineStr"/>
    </row>
    <row r="268">
      <c r="A268" s="32">
        <f>ROW()-12</f>
        <v/>
      </c>
      <c r="B268" s="33">
        <f>IF($P268="","",INDEX(GL_Journal!$D:$D,$P268))</f>
        <v/>
      </c>
      <c r="C268" s="32">
        <f>IF($P268="","",INDEX(GL_Journal!$C:$C,$P268))</f>
        <v/>
      </c>
      <c r="D268" s="32">
        <f>IF($P268="","",INDEX(GL_Journal!$E:$E,$P268))</f>
        <v/>
      </c>
      <c r="E268" s="32">
        <f>IF($P268="","",INDEX(GL_Journal!$F:$F,$P268))</f>
        <v/>
      </c>
      <c r="F268" s="32">
        <f>IF($P268="","",INDEX(GL_Journal!$G:$G,$P268))</f>
        <v/>
      </c>
      <c r="G268" s="32">
        <f>IF($P268="","",INDEX(GL_Journal!$H:$H,$P268))</f>
        <v/>
      </c>
      <c r="H268" s="32">
        <f>IF($P268="","",INDEX(GL_Journal!$I:$I,$P268))</f>
        <v/>
      </c>
      <c r="I268" s="32">
        <f>IF($P268="","",INDEX(GL_Journal!$J:$J,$P268))</f>
        <v/>
      </c>
      <c r="J268" s="32">
        <f>IF($P268="","",INDEX(GL_Journal!$K:$K,$P268))</f>
        <v/>
      </c>
      <c r="K268" s="32">
        <f>IF($P268="","",INDEX(GL_Journal!$L:$L,$P268))</f>
        <v/>
      </c>
      <c r="L268" s="43">
        <f>IF($P268="","",INDEX(GL_Journal!$M:$M,$P268))</f>
        <v/>
      </c>
      <c r="M268" s="43">
        <f>IF($P268="","",INDEX(GL_Journal!$N:$N,$P268))</f>
        <v/>
      </c>
      <c r="N268" s="47">
        <f>IF($P268="","",IF($A268=1,LG_Open,$N267)+$L268-$M268)</f>
        <v/>
      </c>
      <c r="O268" s="32">
        <f>IF($A268&gt;COUNT(GL_Journal!$Y:$Y),"",SMALL(GL_Journal!$Y:$Y,$A268))</f>
        <v/>
      </c>
      <c r="P268" s="32">
        <f>IF($O268="","",MATCH($O268,GL_Journal!$Y:$Y,0))</f>
        <v/>
      </c>
      <c r="Q268" s="32" t="inlineStr"/>
    </row>
    <row r="269">
      <c r="A269" s="32">
        <f>ROW()-12</f>
        <v/>
      </c>
      <c r="B269" s="33">
        <f>IF($P269="","",INDEX(GL_Journal!$D:$D,$P269))</f>
        <v/>
      </c>
      <c r="C269" s="32">
        <f>IF($P269="","",INDEX(GL_Journal!$C:$C,$P269))</f>
        <v/>
      </c>
      <c r="D269" s="32">
        <f>IF($P269="","",INDEX(GL_Journal!$E:$E,$P269))</f>
        <v/>
      </c>
      <c r="E269" s="32">
        <f>IF($P269="","",INDEX(GL_Journal!$F:$F,$P269))</f>
        <v/>
      </c>
      <c r="F269" s="32">
        <f>IF($P269="","",INDEX(GL_Journal!$G:$G,$P269))</f>
        <v/>
      </c>
      <c r="G269" s="32">
        <f>IF($P269="","",INDEX(GL_Journal!$H:$H,$P269))</f>
        <v/>
      </c>
      <c r="H269" s="32">
        <f>IF($P269="","",INDEX(GL_Journal!$I:$I,$P269))</f>
        <v/>
      </c>
      <c r="I269" s="32">
        <f>IF($P269="","",INDEX(GL_Journal!$J:$J,$P269))</f>
        <v/>
      </c>
      <c r="J269" s="32">
        <f>IF($P269="","",INDEX(GL_Journal!$K:$K,$P269))</f>
        <v/>
      </c>
      <c r="K269" s="32">
        <f>IF($P269="","",INDEX(GL_Journal!$L:$L,$P269))</f>
        <v/>
      </c>
      <c r="L269" s="43">
        <f>IF($P269="","",INDEX(GL_Journal!$M:$M,$P269))</f>
        <v/>
      </c>
      <c r="M269" s="43">
        <f>IF($P269="","",INDEX(GL_Journal!$N:$N,$P269))</f>
        <v/>
      </c>
      <c r="N269" s="47">
        <f>IF($P269="","",IF($A269=1,LG_Open,$N268)+$L269-$M269)</f>
        <v/>
      </c>
      <c r="O269" s="32">
        <f>IF($A269&gt;COUNT(GL_Journal!$Y:$Y),"",SMALL(GL_Journal!$Y:$Y,$A269))</f>
        <v/>
      </c>
      <c r="P269" s="32">
        <f>IF($O269="","",MATCH($O269,GL_Journal!$Y:$Y,0))</f>
        <v/>
      </c>
      <c r="Q269" s="32" t="inlineStr"/>
    </row>
    <row r="270">
      <c r="A270" s="32">
        <f>ROW()-12</f>
        <v/>
      </c>
      <c r="B270" s="33">
        <f>IF($P270="","",INDEX(GL_Journal!$D:$D,$P270))</f>
        <v/>
      </c>
      <c r="C270" s="32">
        <f>IF($P270="","",INDEX(GL_Journal!$C:$C,$P270))</f>
        <v/>
      </c>
      <c r="D270" s="32">
        <f>IF($P270="","",INDEX(GL_Journal!$E:$E,$P270))</f>
        <v/>
      </c>
      <c r="E270" s="32">
        <f>IF($P270="","",INDEX(GL_Journal!$F:$F,$P270))</f>
        <v/>
      </c>
      <c r="F270" s="32">
        <f>IF($P270="","",INDEX(GL_Journal!$G:$G,$P270))</f>
        <v/>
      </c>
      <c r="G270" s="32">
        <f>IF($P270="","",INDEX(GL_Journal!$H:$H,$P270))</f>
        <v/>
      </c>
      <c r="H270" s="32">
        <f>IF($P270="","",INDEX(GL_Journal!$I:$I,$P270))</f>
        <v/>
      </c>
      <c r="I270" s="32">
        <f>IF($P270="","",INDEX(GL_Journal!$J:$J,$P270))</f>
        <v/>
      </c>
      <c r="J270" s="32">
        <f>IF($P270="","",INDEX(GL_Journal!$K:$K,$P270))</f>
        <v/>
      </c>
      <c r="K270" s="32">
        <f>IF($P270="","",INDEX(GL_Journal!$L:$L,$P270))</f>
        <v/>
      </c>
      <c r="L270" s="43">
        <f>IF($P270="","",INDEX(GL_Journal!$M:$M,$P270))</f>
        <v/>
      </c>
      <c r="M270" s="43">
        <f>IF($P270="","",INDEX(GL_Journal!$N:$N,$P270))</f>
        <v/>
      </c>
      <c r="N270" s="47">
        <f>IF($P270="","",IF($A270=1,LG_Open,$N269)+$L270-$M270)</f>
        <v/>
      </c>
      <c r="O270" s="32">
        <f>IF($A270&gt;COUNT(GL_Journal!$Y:$Y),"",SMALL(GL_Journal!$Y:$Y,$A270))</f>
        <v/>
      </c>
      <c r="P270" s="32">
        <f>IF($O270="","",MATCH($O270,GL_Journal!$Y:$Y,0))</f>
        <v/>
      </c>
      <c r="Q270" s="32" t="inlineStr"/>
    </row>
    <row r="271">
      <c r="A271" s="32">
        <f>ROW()-12</f>
        <v/>
      </c>
      <c r="B271" s="33">
        <f>IF($P271="","",INDEX(GL_Journal!$D:$D,$P271))</f>
        <v/>
      </c>
      <c r="C271" s="32">
        <f>IF($P271="","",INDEX(GL_Journal!$C:$C,$P271))</f>
        <v/>
      </c>
      <c r="D271" s="32">
        <f>IF($P271="","",INDEX(GL_Journal!$E:$E,$P271))</f>
        <v/>
      </c>
      <c r="E271" s="32">
        <f>IF($P271="","",INDEX(GL_Journal!$F:$F,$P271))</f>
        <v/>
      </c>
      <c r="F271" s="32">
        <f>IF($P271="","",INDEX(GL_Journal!$G:$G,$P271))</f>
        <v/>
      </c>
      <c r="G271" s="32">
        <f>IF($P271="","",INDEX(GL_Journal!$H:$H,$P271))</f>
        <v/>
      </c>
      <c r="H271" s="32">
        <f>IF($P271="","",INDEX(GL_Journal!$I:$I,$P271))</f>
        <v/>
      </c>
      <c r="I271" s="32">
        <f>IF($P271="","",INDEX(GL_Journal!$J:$J,$P271))</f>
        <v/>
      </c>
      <c r="J271" s="32">
        <f>IF($P271="","",INDEX(GL_Journal!$K:$K,$P271))</f>
        <v/>
      </c>
      <c r="K271" s="32">
        <f>IF($P271="","",INDEX(GL_Journal!$L:$L,$P271))</f>
        <v/>
      </c>
      <c r="L271" s="43">
        <f>IF($P271="","",INDEX(GL_Journal!$M:$M,$P271))</f>
        <v/>
      </c>
      <c r="M271" s="43">
        <f>IF($P271="","",INDEX(GL_Journal!$N:$N,$P271))</f>
        <v/>
      </c>
      <c r="N271" s="47">
        <f>IF($P271="","",IF($A271=1,LG_Open,$N270)+$L271-$M271)</f>
        <v/>
      </c>
      <c r="O271" s="32">
        <f>IF($A271&gt;COUNT(GL_Journal!$Y:$Y),"",SMALL(GL_Journal!$Y:$Y,$A271))</f>
        <v/>
      </c>
      <c r="P271" s="32">
        <f>IF($O271="","",MATCH($O271,GL_Journal!$Y:$Y,0))</f>
        <v/>
      </c>
      <c r="Q271" s="32" t="inlineStr"/>
    </row>
    <row r="272">
      <c r="A272" s="32">
        <f>ROW()-12</f>
        <v/>
      </c>
      <c r="B272" s="33">
        <f>IF($P272="","",INDEX(GL_Journal!$D:$D,$P272))</f>
        <v/>
      </c>
      <c r="C272" s="32">
        <f>IF($P272="","",INDEX(GL_Journal!$C:$C,$P272))</f>
        <v/>
      </c>
      <c r="D272" s="32">
        <f>IF($P272="","",INDEX(GL_Journal!$E:$E,$P272))</f>
        <v/>
      </c>
      <c r="E272" s="32">
        <f>IF($P272="","",INDEX(GL_Journal!$F:$F,$P272))</f>
        <v/>
      </c>
      <c r="F272" s="32">
        <f>IF($P272="","",INDEX(GL_Journal!$G:$G,$P272))</f>
        <v/>
      </c>
      <c r="G272" s="32">
        <f>IF($P272="","",INDEX(GL_Journal!$H:$H,$P272))</f>
        <v/>
      </c>
      <c r="H272" s="32">
        <f>IF($P272="","",INDEX(GL_Journal!$I:$I,$P272))</f>
        <v/>
      </c>
      <c r="I272" s="32">
        <f>IF($P272="","",INDEX(GL_Journal!$J:$J,$P272))</f>
        <v/>
      </c>
      <c r="J272" s="32">
        <f>IF($P272="","",INDEX(GL_Journal!$K:$K,$P272))</f>
        <v/>
      </c>
      <c r="K272" s="32">
        <f>IF($P272="","",INDEX(GL_Journal!$L:$L,$P272))</f>
        <v/>
      </c>
      <c r="L272" s="43">
        <f>IF($P272="","",INDEX(GL_Journal!$M:$M,$P272))</f>
        <v/>
      </c>
      <c r="M272" s="43">
        <f>IF($P272="","",INDEX(GL_Journal!$N:$N,$P272))</f>
        <v/>
      </c>
      <c r="N272" s="47">
        <f>IF($P272="","",IF($A272=1,LG_Open,$N271)+$L272-$M272)</f>
        <v/>
      </c>
      <c r="O272" s="32">
        <f>IF($A272&gt;COUNT(GL_Journal!$Y:$Y),"",SMALL(GL_Journal!$Y:$Y,$A272))</f>
        <v/>
      </c>
      <c r="P272" s="32">
        <f>IF($O272="","",MATCH($O272,GL_Journal!$Y:$Y,0))</f>
        <v/>
      </c>
      <c r="Q272" s="32" t="inlineStr"/>
    </row>
    <row r="273">
      <c r="A273" s="32">
        <f>ROW()-12</f>
        <v/>
      </c>
      <c r="B273" s="33">
        <f>IF($P273="","",INDEX(GL_Journal!$D:$D,$P273))</f>
        <v/>
      </c>
      <c r="C273" s="32">
        <f>IF($P273="","",INDEX(GL_Journal!$C:$C,$P273))</f>
        <v/>
      </c>
      <c r="D273" s="32">
        <f>IF($P273="","",INDEX(GL_Journal!$E:$E,$P273))</f>
        <v/>
      </c>
      <c r="E273" s="32">
        <f>IF($P273="","",INDEX(GL_Journal!$F:$F,$P273))</f>
        <v/>
      </c>
      <c r="F273" s="32">
        <f>IF($P273="","",INDEX(GL_Journal!$G:$G,$P273))</f>
        <v/>
      </c>
      <c r="G273" s="32">
        <f>IF($P273="","",INDEX(GL_Journal!$H:$H,$P273))</f>
        <v/>
      </c>
      <c r="H273" s="32">
        <f>IF($P273="","",INDEX(GL_Journal!$I:$I,$P273))</f>
        <v/>
      </c>
      <c r="I273" s="32">
        <f>IF($P273="","",INDEX(GL_Journal!$J:$J,$P273))</f>
        <v/>
      </c>
      <c r="J273" s="32">
        <f>IF($P273="","",INDEX(GL_Journal!$K:$K,$P273))</f>
        <v/>
      </c>
      <c r="K273" s="32">
        <f>IF($P273="","",INDEX(GL_Journal!$L:$L,$P273))</f>
        <v/>
      </c>
      <c r="L273" s="43">
        <f>IF($P273="","",INDEX(GL_Journal!$M:$M,$P273))</f>
        <v/>
      </c>
      <c r="M273" s="43">
        <f>IF($P273="","",INDEX(GL_Journal!$N:$N,$P273))</f>
        <v/>
      </c>
      <c r="N273" s="47">
        <f>IF($P273="","",IF($A273=1,LG_Open,$N272)+$L273-$M273)</f>
        <v/>
      </c>
      <c r="O273" s="32">
        <f>IF($A273&gt;COUNT(GL_Journal!$Y:$Y),"",SMALL(GL_Journal!$Y:$Y,$A273))</f>
        <v/>
      </c>
      <c r="P273" s="32">
        <f>IF($O273="","",MATCH($O273,GL_Journal!$Y:$Y,0))</f>
        <v/>
      </c>
      <c r="Q273" s="32" t="inlineStr"/>
    </row>
    <row r="274">
      <c r="A274" s="32">
        <f>ROW()-12</f>
        <v/>
      </c>
      <c r="B274" s="33">
        <f>IF($P274="","",INDEX(GL_Journal!$D:$D,$P274))</f>
        <v/>
      </c>
      <c r="C274" s="32">
        <f>IF($P274="","",INDEX(GL_Journal!$C:$C,$P274))</f>
        <v/>
      </c>
      <c r="D274" s="32">
        <f>IF($P274="","",INDEX(GL_Journal!$E:$E,$P274))</f>
        <v/>
      </c>
      <c r="E274" s="32">
        <f>IF($P274="","",INDEX(GL_Journal!$F:$F,$P274))</f>
        <v/>
      </c>
      <c r="F274" s="32">
        <f>IF($P274="","",INDEX(GL_Journal!$G:$G,$P274))</f>
        <v/>
      </c>
      <c r="G274" s="32">
        <f>IF($P274="","",INDEX(GL_Journal!$H:$H,$P274))</f>
        <v/>
      </c>
      <c r="H274" s="32">
        <f>IF($P274="","",INDEX(GL_Journal!$I:$I,$P274))</f>
        <v/>
      </c>
      <c r="I274" s="32">
        <f>IF($P274="","",INDEX(GL_Journal!$J:$J,$P274))</f>
        <v/>
      </c>
      <c r="J274" s="32">
        <f>IF($P274="","",INDEX(GL_Journal!$K:$K,$P274))</f>
        <v/>
      </c>
      <c r="K274" s="32">
        <f>IF($P274="","",INDEX(GL_Journal!$L:$L,$P274))</f>
        <v/>
      </c>
      <c r="L274" s="43">
        <f>IF($P274="","",INDEX(GL_Journal!$M:$M,$P274))</f>
        <v/>
      </c>
      <c r="M274" s="43">
        <f>IF($P274="","",INDEX(GL_Journal!$N:$N,$P274))</f>
        <v/>
      </c>
      <c r="N274" s="47">
        <f>IF($P274="","",IF($A274=1,LG_Open,$N273)+$L274-$M274)</f>
        <v/>
      </c>
      <c r="O274" s="32">
        <f>IF($A274&gt;COUNT(GL_Journal!$Y:$Y),"",SMALL(GL_Journal!$Y:$Y,$A274))</f>
        <v/>
      </c>
      <c r="P274" s="32">
        <f>IF($O274="","",MATCH($O274,GL_Journal!$Y:$Y,0))</f>
        <v/>
      </c>
      <c r="Q274" s="32" t="inlineStr"/>
    </row>
    <row r="275">
      <c r="A275" s="32">
        <f>ROW()-12</f>
        <v/>
      </c>
      <c r="B275" s="33">
        <f>IF($P275="","",INDEX(GL_Journal!$D:$D,$P275))</f>
        <v/>
      </c>
      <c r="C275" s="32">
        <f>IF($P275="","",INDEX(GL_Journal!$C:$C,$P275))</f>
        <v/>
      </c>
      <c r="D275" s="32">
        <f>IF($P275="","",INDEX(GL_Journal!$E:$E,$P275))</f>
        <v/>
      </c>
      <c r="E275" s="32">
        <f>IF($P275="","",INDEX(GL_Journal!$F:$F,$P275))</f>
        <v/>
      </c>
      <c r="F275" s="32">
        <f>IF($P275="","",INDEX(GL_Journal!$G:$G,$P275))</f>
        <v/>
      </c>
      <c r="G275" s="32">
        <f>IF($P275="","",INDEX(GL_Journal!$H:$H,$P275))</f>
        <v/>
      </c>
      <c r="H275" s="32">
        <f>IF($P275="","",INDEX(GL_Journal!$I:$I,$P275))</f>
        <v/>
      </c>
      <c r="I275" s="32">
        <f>IF($P275="","",INDEX(GL_Journal!$J:$J,$P275))</f>
        <v/>
      </c>
      <c r="J275" s="32">
        <f>IF($P275="","",INDEX(GL_Journal!$K:$K,$P275))</f>
        <v/>
      </c>
      <c r="K275" s="32">
        <f>IF($P275="","",INDEX(GL_Journal!$L:$L,$P275))</f>
        <v/>
      </c>
      <c r="L275" s="43">
        <f>IF($P275="","",INDEX(GL_Journal!$M:$M,$P275))</f>
        <v/>
      </c>
      <c r="M275" s="43">
        <f>IF($P275="","",INDEX(GL_Journal!$N:$N,$P275))</f>
        <v/>
      </c>
      <c r="N275" s="47">
        <f>IF($P275="","",IF($A275=1,LG_Open,$N274)+$L275-$M275)</f>
        <v/>
      </c>
      <c r="O275" s="32">
        <f>IF($A275&gt;COUNT(GL_Journal!$Y:$Y),"",SMALL(GL_Journal!$Y:$Y,$A275))</f>
        <v/>
      </c>
      <c r="P275" s="32">
        <f>IF($O275="","",MATCH($O275,GL_Journal!$Y:$Y,0))</f>
        <v/>
      </c>
      <c r="Q275" s="32" t="inlineStr"/>
    </row>
    <row r="276">
      <c r="A276" s="32">
        <f>ROW()-12</f>
        <v/>
      </c>
      <c r="B276" s="33">
        <f>IF($P276="","",INDEX(GL_Journal!$D:$D,$P276))</f>
        <v/>
      </c>
      <c r="C276" s="32">
        <f>IF($P276="","",INDEX(GL_Journal!$C:$C,$P276))</f>
        <v/>
      </c>
      <c r="D276" s="32">
        <f>IF($P276="","",INDEX(GL_Journal!$E:$E,$P276))</f>
        <v/>
      </c>
      <c r="E276" s="32">
        <f>IF($P276="","",INDEX(GL_Journal!$F:$F,$P276))</f>
        <v/>
      </c>
      <c r="F276" s="32">
        <f>IF($P276="","",INDEX(GL_Journal!$G:$G,$P276))</f>
        <v/>
      </c>
      <c r="G276" s="32">
        <f>IF($P276="","",INDEX(GL_Journal!$H:$H,$P276))</f>
        <v/>
      </c>
      <c r="H276" s="32">
        <f>IF($P276="","",INDEX(GL_Journal!$I:$I,$P276))</f>
        <v/>
      </c>
      <c r="I276" s="32">
        <f>IF($P276="","",INDEX(GL_Journal!$J:$J,$P276))</f>
        <v/>
      </c>
      <c r="J276" s="32">
        <f>IF($P276="","",INDEX(GL_Journal!$K:$K,$P276))</f>
        <v/>
      </c>
      <c r="K276" s="32">
        <f>IF($P276="","",INDEX(GL_Journal!$L:$L,$P276))</f>
        <v/>
      </c>
      <c r="L276" s="43">
        <f>IF($P276="","",INDEX(GL_Journal!$M:$M,$P276))</f>
        <v/>
      </c>
      <c r="M276" s="43">
        <f>IF($P276="","",INDEX(GL_Journal!$N:$N,$P276))</f>
        <v/>
      </c>
      <c r="N276" s="47">
        <f>IF($P276="","",IF($A276=1,LG_Open,$N275)+$L276-$M276)</f>
        <v/>
      </c>
      <c r="O276" s="32">
        <f>IF($A276&gt;COUNT(GL_Journal!$Y:$Y),"",SMALL(GL_Journal!$Y:$Y,$A276))</f>
        <v/>
      </c>
      <c r="P276" s="32">
        <f>IF($O276="","",MATCH($O276,GL_Journal!$Y:$Y,0))</f>
        <v/>
      </c>
      <c r="Q276" s="32" t="inlineStr"/>
    </row>
    <row r="277">
      <c r="A277" s="32">
        <f>ROW()-12</f>
        <v/>
      </c>
      <c r="B277" s="33">
        <f>IF($P277="","",INDEX(GL_Journal!$D:$D,$P277))</f>
        <v/>
      </c>
      <c r="C277" s="32">
        <f>IF($P277="","",INDEX(GL_Journal!$C:$C,$P277))</f>
        <v/>
      </c>
      <c r="D277" s="32">
        <f>IF($P277="","",INDEX(GL_Journal!$E:$E,$P277))</f>
        <v/>
      </c>
      <c r="E277" s="32">
        <f>IF($P277="","",INDEX(GL_Journal!$F:$F,$P277))</f>
        <v/>
      </c>
      <c r="F277" s="32">
        <f>IF($P277="","",INDEX(GL_Journal!$G:$G,$P277))</f>
        <v/>
      </c>
      <c r="G277" s="32">
        <f>IF($P277="","",INDEX(GL_Journal!$H:$H,$P277))</f>
        <v/>
      </c>
      <c r="H277" s="32">
        <f>IF($P277="","",INDEX(GL_Journal!$I:$I,$P277))</f>
        <v/>
      </c>
      <c r="I277" s="32">
        <f>IF($P277="","",INDEX(GL_Journal!$J:$J,$P277))</f>
        <v/>
      </c>
      <c r="J277" s="32">
        <f>IF($P277="","",INDEX(GL_Journal!$K:$K,$P277))</f>
        <v/>
      </c>
      <c r="K277" s="32">
        <f>IF($P277="","",INDEX(GL_Journal!$L:$L,$P277))</f>
        <v/>
      </c>
      <c r="L277" s="43">
        <f>IF($P277="","",INDEX(GL_Journal!$M:$M,$P277))</f>
        <v/>
      </c>
      <c r="M277" s="43">
        <f>IF($P277="","",INDEX(GL_Journal!$N:$N,$P277))</f>
        <v/>
      </c>
      <c r="N277" s="47">
        <f>IF($P277="","",IF($A277=1,LG_Open,$N276)+$L277-$M277)</f>
        <v/>
      </c>
      <c r="O277" s="32">
        <f>IF($A277&gt;COUNT(GL_Journal!$Y:$Y),"",SMALL(GL_Journal!$Y:$Y,$A277))</f>
        <v/>
      </c>
      <c r="P277" s="32">
        <f>IF($O277="","",MATCH($O277,GL_Journal!$Y:$Y,0))</f>
        <v/>
      </c>
      <c r="Q277" s="32" t="inlineStr"/>
    </row>
    <row r="278">
      <c r="A278" s="32">
        <f>ROW()-12</f>
        <v/>
      </c>
      <c r="B278" s="33">
        <f>IF($P278="","",INDEX(GL_Journal!$D:$D,$P278))</f>
        <v/>
      </c>
      <c r="C278" s="32">
        <f>IF($P278="","",INDEX(GL_Journal!$C:$C,$P278))</f>
        <v/>
      </c>
      <c r="D278" s="32">
        <f>IF($P278="","",INDEX(GL_Journal!$E:$E,$P278))</f>
        <v/>
      </c>
      <c r="E278" s="32">
        <f>IF($P278="","",INDEX(GL_Journal!$F:$F,$P278))</f>
        <v/>
      </c>
      <c r="F278" s="32">
        <f>IF($P278="","",INDEX(GL_Journal!$G:$G,$P278))</f>
        <v/>
      </c>
      <c r="G278" s="32">
        <f>IF($P278="","",INDEX(GL_Journal!$H:$H,$P278))</f>
        <v/>
      </c>
      <c r="H278" s="32">
        <f>IF($P278="","",INDEX(GL_Journal!$I:$I,$P278))</f>
        <v/>
      </c>
      <c r="I278" s="32">
        <f>IF($P278="","",INDEX(GL_Journal!$J:$J,$P278))</f>
        <v/>
      </c>
      <c r="J278" s="32">
        <f>IF($P278="","",INDEX(GL_Journal!$K:$K,$P278))</f>
        <v/>
      </c>
      <c r="K278" s="32">
        <f>IF($P278="","",INDEX(GL_Journal!$L:$L,$P278))</f>
        <v/>
      </c>
      <c r="L278" s="43">
        <f>IF($P278="","",INDEX(GL_Journal!$M:$M,$P278))</f>
        <v/>
      </c>
      <c r="M278" s="43">
        <f>IF($P278="","",INDEX(GL_Journal!$N:$N,$P278))</f>
        <v/>
      </c>
      <c r="N278" s="47">
        <f>IF($P278="","",IF($A278=1,LG_Open,$N277)+$L278-$M278)</f>
        <v/>
      </c>
      <c r="O278" s="32">
        <f>IF($A278&gt;COUNT(GL_Journal!$Y:$Y),"",SMALL(GL_Journal!$Y:$Y,$A278))</f>
        <v/>
      </c>
      <c r="P278" s="32">
        <f>IF($O278="","",MATCH($O278,GL_Journal!$Y:$Y,0))</f>
        <v/>
      </c>
      <c r="Q278" s="32" t="inlineStr"/>
    </row>
    <row r="279">
      <c r="A279" s="32">
        <f>ROW()-12</f>
        <v/>
      </c>
      <c r="B279" s="33">
        <f>IF($P279="","",INDEX(GL_Journal!$D:$D,$P279))</f>
        <v/>
      </c>
      <c r="C279" s="32">
        <f>IF($P279="","",INDEX(GL_Journal!$C:$C,$P279))</f>
        <v/>
      </c>
      <c r="D279" s="32">
        <f>IF($P279="","",INDEX(GL_Journal!$E:$E,$P279))</f>
        <v/>
      </c>
      <c r="E279" s="32">
        <f>IF($P279="","",INDEX(GL_Journal!$F:$F,$P279))</f>
        <v/>
      </c>
      <c r="F279" s="32">
        <f>IF($P279="","",INDEX(GL_Journal!$G:$G,$P279))</f>
        <v/>
      </c>
      <c r="G279" s="32">
        <f>IF($P279="","",INDEX(GL_Journal!$H:$H,$P279))</f>
        <v/>
      </c>
      <c r="H279" s="32">
        <f>IF($P279="","",INDEX(GL_Journal!$I:$I,$P279))</f>
        <v/>
      </c>
      <c r="I279" s="32">
        <f>IF($P279="","",INDEX(GL_Journal!$J:$J,$P279))</f>
        <v/>
      </c>
      <c r="J279" s="32">
        <f>IF($P279="","",INDEX(GL_Journal!$K:$K,$P279))</f>
        <v/>
      </c>
      <c r="K279" s="32">
        <f>IF($P279="","",INDEX(GL_Journal!$L:$L,$P279))</f>
        <v/>
      </c>
      <c r="L279" s="43">
        <f>IF($P279="","",INDEX(GL_Journal!$M:$M,$P279))</f>
        <v/>
      </c>
      <c r="M279" s="43">
        <f>IF($P279="","",INDEX(GL_Journal!$N:$N,$P279))</f>
        <v/>
      </c>
      <c r="N279" s="47">
        <f>IF($P279="","",IF($A279=1,LG_Open,$N278)+$L279-$M279)</f>
        <v/>
      </c>
      <c r="O279" s="32">
        <f>IF($A279&gt;COUNT(GL_Journal!$Y:$Y),"",SMALL(GL_Journal!$Y:$Y,$A279))</f>
        <v/>
      </c>
      <c r="P279" s="32">
        <f>IF($O279="","",MATCH($O279,GL_Journal!$Y:$Y,0))</f>
        <v/>
      </c>
      <c r="Q279" s="32" t="inlineStr"/>
    </row>
    <row r="280">
      <c r="A280" s="32">
        <f>ROW()-12</f>
        <v/>
      </c>
      <c r="B280" s="33">
        <f>IF($P280="","",INDEX(GL_Journal!$D:$D,$P280))</f>
        <v/>
      </c>
      <c r="C280" s="32">
        <f>IF($P280="","",INDEX(GL_Journal!$C:$C,$P280))</f>
        <v/>
      </c>
      <c r="D280" s="32">
        <f>IF($P280="","",INDEX(GL_Journal!$E:$E,$P280))</f>
        <v/>
      </c>
      <c r="E280" s="32">
        <f>IF($P280="","",INDEX(GL_Journal!$F:$F,$P280))</f>
        <v/>
      </c>
      <c r="F280" s="32">
        <f>IF($P280="","",INDEX(GL_Journal!$G:$G,$P280))</f>
        <v/>
      </c>
      <c r="G280" s="32">
        <f>IF($P280="","",INDEX(GL_Journal!$H:$H,$P280))</f>
        <v/>
      </c>
      <c r="H280" s="32">
        <f>IF($P280="","",INDEX(GL_Journal!$I:$I,$P280))</f>
        <v/>
      </c>
      <c r="I280" s="32">
        <f>IF($P280="","",INDEX(GL_Journal!$J:$J,$P280))</f>
        <v/>
      </c>
      <c r="J280" s="32">
        <f>IF($P280="","",INDEX(GL_Journal!$K:$K,$P280))</f>
        <v/>
      </c>
      <c r="K280" s="32">
        <f>IF($P280="","",INDEX(GL_Journal!$L:$L,$P280))</f>
        <v/>
      </c>
      <c r="L280" s="43">
        <f>IF($P280="","",INDEX(GL_Journal!$M:$M,$P280))</f>
        <v/>
      </c>
      <c r="M280" s="43">
        <f>IF($P280="","",INDEX(GL_Journal!$N:$N,$P280))</f>
        <v/>
      </c>
      <c r="N280" s="47">
        <f>IF($P280="","",IF($A280=1,LG_Open,$N279)+$L280-$M280)</f>
        <v/>
      </c>
      <c r="O280" s="32">
        <f>IF($A280&gt;COUNT(GL_Journal!$Y:$Y),"",SMALL(GL_Journal!$Y:$Y,$A280))</f>
        <v/>
      </c>
      <c r="P280" s="32">
        <f>IF($O280="","",MATCH($O280,GL_Journal!$Y:$Y,0))</f>
        <v/>
      </c>
      <c r="Q280" s="32" t="inlineStr"/>
    </row>
    <row r="281">
      <c r="A281" s="32">
        <f>ROW()-12</f>
        <v/>
      </c>
      <c r="B281" s="33">
        <f>IF($P281="","",INDEX(GL_Journal!$D:$D,$P281))</f>
        <v/>
      </c>
      <c r="C281" s="32">
        <f>IF($P281="","",INDEX(GL_Journal!$C:$C,$P281))</f>
        <v/>
      </c>
      <c r="D281" s="32">
        <f>IF($P281="","",INDEX(GL_Journal!$E:$E,$P281))</f>
        <v/>
      </c>
      <c r="E281" s="32">
        <f>IF($P281="","",INDEX(GL_Journal!$F:$F,$P281))</f>
        <v/>
      </c>
      <c r="F281" s="32">
        <f>IF($P281="","",INDEX(GL_Journal!$G:$G,$P281))</f>
        <v/>
      </c>
      <c r="G281" s="32">
        <f>IF($P281="","",INDEX(GL_Journal!$H:$H,$P281))</f>
        <v/>
      </c>
      <c r="H281" s="32">
        <f>IF($P281="","",INDEX(GL_Journal!$I:$I,$P281))</f>
        <v/>
      </c>
      <c r="I281" s="32">
        <f>IF($P281="","",INDEX(GL_Journal!$J:$J,$P281))</f>
        <v/>
      </c>
      <c r="J281" s="32">
        <f>IF($P281="","",INDEX(GL_Journal!$K:$K,$P281))</f>
        <v/>
      </c>
      <c r="K281" s="32">
        <f>IF($P281="","",INDEX(GL_Journal!$L:$L,$P281))</f>
        <v/>
      </c>
      <c r="L281" s="43">
        <f>IF($P281="","",INDEX(GL_Journal!$M:$M,$P281))</f>
        <v/>
      </c>
      <c r="M281" s="43">
        <f>IF($P281="","",INDEX(GL_Journal!$N:$N,$P281))</f>
        <v/>
      </c>
      <c r="N281" s="47">
        <f>IF($P281="","",IF($A281=1,LG_Open,$N280)+$L281-$M281)</f>
        <v/>
      </c>
      <c r="O281" s="32">
        <f>IF($A281&gt;COUNT(GL_Journal!$Y:$Y),"",SMALL(GL_Journal!$Y:$Y,$A281))</f>
        <v/>
      </c>
      <c r="P281" s="32">
        <f>IF($O281="","",MATCH($O281,GL_Journal!$Y:$Y,0))</f>
        <v/>
      </c>
      <c r="Q281" s="32" t="inlineStr"/>
    </row>
    <row r="282">
      <c r="A282" s="32">
        <f>ROW()-12</f>
        <v/>
      </c>
      <c r="B282" s="33">
        <f>IF($P282="","",INDEX(GL_Journal!$D:$D,$P282))</f>
        <v/>
      </c>
      <c r="C282" s="32">
        <f>IF($P282="","",INDEX(GL_Journal!$C:$C,$P282))</f>
        <v/>
      </c>
      <c r="D282" s="32">
        <f>IF($P282="","",INDEX(GL_Journal!$E:$E,$P282))</f>
        <v/>
      </c>
      <c r="E282" s="32">
        <f>IF($P282="","",INDEX(GL_Journal!$F:$F,$P282))</f>
        <v/>
      </c>
      <c r="F282" s="32">
        <f>IF($P282="","",INDEX(GL_Journal!$G:$G,$P282))</f>
        <v/>
      </c>
      <c r="G282" s="32">
        <f>IF($P282="","",INDEX(GL_Journal!$H:$H,$P282))</f>
        <v/>
      </c>
      <c r="H282" s="32">
        <f>IF($P282="","",INDEX(GL_Journal!$I:$I,$P282))</f>
        <v/>
      </c>
      <c r="I282" s="32">
        <f>IF($P282="","",INDEX(GL_Journal!$J:$J,$P282))</f>
        <v/>
      </c>
      <c r="J282" s="32">
        <f>IF($P282="","",INDEX(GL_Journal!$K:$K,$P282))</f>
        <v/>
      </c>
      <c r="K282" s="32">
        <f>IF($P282="","",INDEX(GL_Journal!$L:$L,$P282))</f>
        <v/>
      </c>
      <c r="L282" s="43">
        <f>IF($P282="","",INDEX(GL_Journal!$M:$M,$P282))</f>
        <v/>
      </c>
      <c r="M282" s="43">
        <f>IF($P282="","",INDEX(GL_Journal!$N:$N,$P282))</f>
        <v/>
      </c>
      <c r="N282" s="47">
        <f>IF($P282="","",IF($A282=1,LG_Open,$N281)+$L282-$M282)</f>
        <v/>
      </c>
      <c r="O282" s="32">
        <f>IF($A282&gt;COUNT(GL_Journal!$Y:$Y),"",SMALL(GL_Journal!$Y:$Y,$A282))</f>
        <v/>
      </c>
      <c r="P282" s="32">
        <f>IF($O282="","",MATCH($O282,GL_Journal!$Y:$Y,0))</f>
        <v/>
      </c>
      <c r="Q282" s="32" t="inlineStr"/>
    </row>
    <row r="283">
      <c r="A283" s="32">
        <f>ROW()-12</f>
        <v/>
      </c>
      <c r="B283" s="33">
        <f>IF($P283="","",INDEX(GL_Journal!$D:$D,$P283))</f>
        <v/>
      </c>
      <c r="C283" s="32">
        <f>IF($P283="","",INDEX(GL_Journal!$C:$C,$P283))</f>
        <v/>
      </c>
      <c r="D283" s="32">
        <f>IF($P283="","",INDEX(GL_Journal!$E:$E,$P283))</f>
        <v/>
      </c>
      <c r="E283" s="32">
        <f>IF($P283="","",INDEX(GL_Journal!$F:$F,$P283))</f>
        <v/>
      </c>
      <c r="F283" s="32">
        <f>IF($P283="","",INDEX(GL_Journal!$G:$G,$P283))</f>
        <v/>
      </c>
      <c r="G283" s="32">
        <f>IF($P283="","",INDEX(GL_Journal!$H:$H,$P283))</f>
        <v/>
      </c>
      <c r="H283" s="32">
        <f>IF($P283="","",INDEX(GL_Journal!$I:$I,$P283))</f>
        <v/>
      </c>
      <c r="I283" s="32">
        <f>IF($P283="","",INDEX(GL_Journal!$J:$J,$P283))</f>
        <v/>
      </c>
      <c r="J283" s="32">
        <f>IF($P283="","",INDEX(GL_Journal!$K:$K,$P283))</f>
        <v/>
      </c>
      <c r="K283" s="32">
        <f>IF($P283="","",INDEX(GL_Journal!$L:$L,$P283))</f>
        <v/>
      </c>
      <c r="L283" s="43">
        <f>IF($P283="","",INDEX(GL_Journal!$M:$M,$P283))</f>
        <v/>
      </c>
      <c r="M283" s="43">
        <f>IF($P283="","",INDEX(GL_Journal!$N:$N,$P283))</f>
        <v/>
      </c>
      <c r="N283" s="47">
        <f>IF($P283="","",IF($A283=1,LG_Open,$N282)+$L283-$M283)</f>
        <v/>
      </c>
      <c r="O283" s="32">
        <f>IF($A283&gt;COUNT(GL_Journal!$Y:$Y),"",SMALL(GL_Journal!$Y:$Y,$A283))</f>
        <v/>
      </c>
      <c r="P283" s="32">
        <f>IF($O283="","",MATCH($O283,GL_Journal!$Y:$Y,0))</f>
        <v/>
      </c>
      <c r="Q283" s="32" t="inlineStr"/>
    </row>
    <row r="284">
      <c r="A284" s="32">
        <f>ROW()-12</f>
        <v/>
      </c>
      <c r="B284" s="33">
        <f>IF($P284="","",INDEX(GL_Journal!$D:$D,$P284))</f>
        <v/>
      </c>
      <c r="C284" s="32">
        <f>IF($P284="","",INDEX(GL_Journal!$C:$C,$P284))</f>
        <v/>
      </c>
      <c r="D284" s="32">
        <f>IF($P284="","",INDEX(GL_Journal!$E:$E,$P284))</f>
        <v/>
      </c>
      <c r="E284" s="32">
        <f>IF($P284="","",INDEX(GL_Journal!$F:$F,$P284))</f>
        <v/>
      </c>
      <c r="F284" s="32">
        <f>IF($P284="","",INDEX(GL_Journal!$G:$G,$P284))</f>
        <v/>
      </c>
      <c r="G284" s="32">
        <f>IF($P284="","",INDEX(GL_Journal!$H:$H,$P284))</f>
        <v/>
      </c>
      <c r="H284" s="32">
        <f>IF($P284="","",INDEX(GL_Journal!$I:$I,$P284))</f>
        <v/>
      </c>
      <c r="I284" s="32">
        <f>IF($P284="","",INDEX(GL_Journal!$J:$J,$P284))</f>
        <v/>
      </c>
      <c r="J284" s="32">
        <f>IF($P284="","",INDEX(GL_Journal!$K:$K,$P284))</f>
        <v/>
      </c>
      <c r="K284" s="32">
        <f>IF($P284="","",INDEX(GL_Journal!$L:$L,$P284))</f>
        <v/>
      </c>
      <c r="L284" s="43">
        <f>IF($P284="","",INDEX(GL_Journal!$M:$M,$P284))</f>
        <v/>
      </c>
      <c r="M284" s="43">
        <f>IF($P284="","",INDEX(GL_Journal!$N:$N,$P284))</f>
        <v/>
      </c>
      <c r="N284" s="47">
        <f>IF($P284="","",IF($A284=1,LG_Open,$N283)+$L284-$M284)</f>
        <v/>
      </c>
      <c r="O284" s="32">
        <f>IF($A284&gt;COUNT(GL_Journal!$Y:$Y),"",SMALL(GL_Journal!$Y:$Y,$A284))</f>
        <v/>
      </c>
      <c r="P284" s="32">
        <f>IF($O284="","",MATCH($O284,GL_Journal!$Y:$Y,0))</f>
        <v/>
      </c>
      <c r="Q284" s="32" t="inlineStr"/>
    </row>
    <row r="285">
      <c r="A285" s="32">
        <f>ROW()-12</f>
        <v/>
      </c>
      <c r="B285" s="33">
        <f>IF($P285="","",INDEX(GL_Journal!$D:$D,$P285))</f>
        <v/>
      </c>
      <c r="C285" s="32">
        <f>IF($P285="","",INDEX(GL_Journal!$C:$C,$P285))</f>
        <v/>
      </c>
      <c r="D285" s="32">
        <f>IF($P285="","",INDEX(GL_Journal!$E:$E,$P285))</f>
        <v/>
      </c>
      <c r="E285" s="32">
        <f>IF($P285="","",INDEX(GL_Journal!$F:$F,$P285))</f>
        <v/>
      </c>
      <c r="F285" s="32">
        <f>IF($P285="","",INDEX(GL_Journal!$G:$G,$P285))</f>
        <v/>
      </c>
      <c r="G285" s="32">
        <f>IF($P285="","",INDEX(GL_Journal!$H:$H,$P285))</f>
        <v/>
      </c>
      <c r="H285" s="32">
        <f>IF($P285="","",INDEX(GL_Journal!$I:$I,$P285))</f>
        <v/>
      </c>
      <c r="I285" s="32">
        <f>IF($P285="","",INDEX(GL_Journal!$J:$J,$P285))</f>
        <v/>
      </c>
      <c r="J285" s="32">
        <f>IF($P285="","",INDEX(GL_Journal!$K:$K,$P285))</f>
        <v/>
      </c>
      <c r="K285" s="32">
        <f>IF($P285="","",INDEX(GL_Journal!$L:$L,$P285))</f>
        <v/>
      </c>
      <c r="L285" s="43">
        <f>IF($P285="","",INDEX(GL_Journal!$M:$M,$P285))</f>
        <v/>
      </c>
      <c r="M285" s="43">
        <f>IF($P285="","",INDEX(GL_Journal!$N:$N,$P285))</f>
        <v/>
      </c>
      <c r="N285" s="47">
        <f>IF($P285="","",IF($A285=1,LG_Open,$N284)+$L285-$M285)</f>
        <v/>
      </c>
      <c r="O285" s="32">
        <f>IF($A285&gt;COUNT(GL_Journal!$Y:$Y),"",SMALL(GL_Journal!$Y:$Y,$A285))</f>
        <v/>
      </c>
      <c r="P285" s="32">
        <f>IF($O285="","",MATCH($O285,GL_Journal!$Y:$Y,0))</f>
        <v/>
      </c>
      <c r="Q285" s="32" t="inlineStr"/>
    </row>
    <row r="286">
      <c r="A286" s="32">
        <f>ROW()-12</f>
        <v/>
      </c>
      <c r="B286" s="33">
        <f>IF($P286="","",INDEX(GL_Journal!$D:$D,$P286))</f>
        <v/>
      </c>
      <c r="C286" s="32">
        <f>IF($P286="","",INDEX(GL_Journal!$C:$C,$P286))</f>
        <v/>
      </c>
      <c r="D286" s="32">
        <f>IF($P286="","",INDEX(GL_Journal!$E:$E,$P286))</f>
        <v/>
      </c>
      <c r="E286" s="32">
        <f>IF($P286="","",INDEX(GL_Journal!$F:$F,$P286))</f>
        <v/>
      </c>
      <c r="F286" s="32">
        <f>IF($P286="","",INDEX(GL_Journal!$G:$G,$P286))</f>
        <v/>
      </c>
      <c r="G286" s="32">
        <f>IF($P286="","",INDEX(GL_Journal!$H:$H,$P286))</f>
        <v/>
      </c>
      <c r="H286" s="32">
        <f>IF($P286="","",INDEX(GL_Journal!$I:$I,$P286))</f>
        <v/>
      </c>
      <c r="I286" s="32">
        <f>IF($P286="","",INDEX(GL_Journal!$J:$J,$P286))</f>
        <v/>
      </c>
      <c r="J286" s="32">
        <f>IF($P286="","",INDEX(GL_Journal!$K:$K,$P286))</f>
        <v/>
      </c>
      <c r="K286" s="32">
        <f>IF($P286="","",INDEX(GL_Journal!$L:$L,$P286))</f>
        <v/>
      </c>
      <c r="L286" s="43">
        <f>IF($P286="","",INDEX(GL_Journal!$M:$M,$P286))</f>
        <v/>
      </c>
      <c r="M286" s="43">
        <f>IF($P286="","",INDEX(GL_Journal!$N:$N,$P286))</f>
        <v/>
      </c>
      <c r="N286" s="47">
        <f>IF($P286="","",IF($A286=1,LG_Open,$N285)+$L286-$M286)</f>
        <v/>
      </c>
      <c r="O286" s="32">
        <f>IF($A286&gt;COUNT(GL_Journal!$Y:$Y),"",SMALL(GL_Journal!$Y:$Y,$A286))</f>
        <v/>
      </c>
      <c r="P286" s="32">
        <f>IF($O286="","",MATCH($O286,GL_Journal!$Y:$Y,0))</f>
        <v/>
      </c>
      <c r="Q286" s="32" t="inlineStr"/>
    </row>
    <row r="287">
      <c r="A287" s="32">
        <f>ROW()-12</f>
        <v/>
      </c>
      <c r="B287" s="33">
        <f>IF($P287="","",INDEX(GL_Journal!$D:$D,$P287))</f>
        <v/>
      </c>
      <c r="C287" s="32">
        <f>IF($P287="","",INDEX(GL_Journal!$C:$C,$P287))</f>
        <v/>
      </c>
      <c r="D287" s="32">
        <f>IF($P287="","",INDEX(GL_Journal!$E:$E,$P287))</f>
        <v/>
      </c>
      <c r="E287" s="32">
        <f>IF($P287="","",INDEX(GL_Journal!$F:$F,$P287))</f>
        <v/>
      </c>
      <c r="F287" s="32">
        <f>IF($P287="","",INDEX(GL_Journal!$G:$G,$P287))</f>
        <v/>
      </c>
      <c r="G287" s="32">
        <f>IF($P287="","",INDEX(GL_Journal!$H:$H,$P287))</f>
        <v/>
      </c>
      <c r="H287" s="32">
        <f>IF($P287="","",INDEX(GL_Journal!$I:$I,$P287))</f>
        <v/>
      </c>
      <c r="I287" s="32">
        <f>IF($P287="","",INDEX(GL_Journal!$J:$J,$P287))</f>
        <v/>
      </c>
      <c r="J287" s="32">
        <f>IF($P287="","",INDEX(GL_Journal!$K:$K,$P287))</f>
        <v/>
      </c>
      <c r="K287" s="32">
        <f>IF($P287="","",INDEX(GL_Journal!$L:$L,$P287))</f>
        <v/>
      </c>
      <c r="L287" s="43">
        <f>IF($P287="","",INDEX(GL_Journal!$M:$M,$P287))</f>
        <v/>
      </c>
      <c r="M287" s="43">
        <f>IF($P287="","",INDEX(GL_Journal!$N:$N,$P287))</f>
        <v/>
      </c>
      <c r="N287" s="47">
        <f>IF($P287="","",IF($A287=1,LG_Open,$N286)+$L287-$M287)</f>
        <v/>
      </c>
      <c r="O287" s="32">
        <f>IF($A287&gt;COUNT(GL_Journal!$Y:$Y),"",SMALL(GL_Journal!$Y:$Y,$A287))</f>
        <v/>
      </c>
      <c r="P287" s="32">
        <f>IF($O287="","",MATCH($O287,GL_Journal!$Y:$Y,0))</f>
        <v/>
      </c>
      <c r="Q287" s="32" t="inlineStr"/>
    </row>
    <row r="288">
      <c r="A288" s="32">
        <f>ROW()-12</f>
        <v/>
      </c>
      <c r="B288" s="33">
        <f>IF($P288="","",INDEX(GL_Journal!$D:$D,$P288))</f>
        <v/>
      </c>
      <c r="C288" s="32">
        <f>IF($P288="","",INDEX(GL_Journal!$C:$C,$P288))</f>
        <v/>
      </c>
      <c r="D288" s="32">
        <f>IF($P288="","",INDEX(GL_Journal!$E:$E,$P288))</f>
        <v/>
      </c>
      <c r="E288" s="32">
        <f>IF($P288="","",INDEX(GL_Journal!$F:$F,$P288))</f>
        <v/>
      </c>
      <c r="F288" s="32">
        <f>IF($P288="","",INDEX(GL_Journal!$G:$G,$P288))</f>
        <v/>
      </c>
      <c r="G288" s="32">
        <f>IF($P288="","",INDEX(GL_Journal!$H:$H,$P288))</f>
        <v/>
      </c>
      <c r="H288" s="32">
        <f>IF($P288="","",INDEX(GL_Journal!$I:$I,$P288))</f>
        <v/>
      </c>
      <c r="I288" s="32">
        <f>IF($P288="","",INDEX(GL_Journal!$J:$J,$P288))</f>
        <v/>
      </c>
      <c r="J288" s="32">
        <f>IF($P288="","",INDEX(GL_Journal!$K:$K,$P288))</f>
        <v/>
      </c>
      <c r="K288" s="32">
        <f>IF($P288="","",INDEX(GL_Journal!$L:$L,$P288))</f>
        <v/>
      </c>
      <c r="L288" s="43">
        <f>IF($P288="","",INDEX(GL_Journal!$M:$M,$P288))</f>
        <v/>
      </c>
      <c r="M288" s="43">
        <f>IF($P288="","",INDEX(GL_Journal!$N:$N,$P288))</f>
        <v/>
      </c>
      <c r="N288" s="47">
        <f>IF($P288="","",IF($A288=1,LG_Open,$N287)+$L288-$M288)</f>
        <v/>
      </c>
      <c r="O288" s="32">
        <f>IF($A288&gt;COUNT(GL_Journal!$Y:$Y),"",SMALL(GL_Journal!$Y:$Y,$A288))</f>
        <v/>
      </c>
      <c r="P288" s="32">
        <f>IF($O288="","",MATCH($O288,GL_Journal!$Y:$Y,0))</f>
        <v/>
      </c>
      <c r="Q288" s="32" t="inlineStr"/>
    </row>
    <row r="289">
      <c r="A289" s="32">
        <f>ROW()-12</f>
        <v/>
      </c>
      <c r="B289" s="33">
        <f>IF($P289="","",INDEX(GL_Journal!$D:$D,$P289))</f>
        <v/>
      </c>
      <c r="C289" s="32">
        <f>IF($P289="","",INDEX(GL_Journal!$C:$C,$P289))</f>
        <v/>
      </c>
      <c r="D289" s="32">
        <f>IF($P289="","",INDEX(GL_Journal!$E:$E,$P289))</f>
        <v/>
      </c>
      <c r="E289" s="32">
        <f>IF($P289="","",INDEX(GL_Journal!$F:$F,$P289))</f>
        <v/>
      </c>
      <c r="F289" s="32">
        <f>IF($P289="","",INDEX(GL_Journal!$G:$G,$P289))</f>
        <v/>
      </c>
      <c r="G289" s="32">
        <f>IF($P289="","",INDEX(GL_Journal!$H:$H,$P289))</f>
        <v/>
      </c>
      <c r="H289" s="32">
        <f>IF($P289="","",INDEX(GL_Journal!$I:$I,$P289))</f>
        <v/>
      </c>
      <c r="I289" s="32">
        <f>IF($P289="","",INDEX(GL_Journal!$J:$J,$P289))</f>
        <v/>
      </c>
      <c r="J289" s="32">
        <f>IF($P289="","",INDEX(GL_Journal!$K:$K,$P289))</f>
        <v/>
      </c>
      <c r="K289" s="32">
        <f>IF($P289="","",INDEX(GL_Journal!$L:$L,$P289))</f>
        <v/>
      </c>
      <c r="L289" s="43">
        <f>IF($P289="","",INDEX(GL_Journal!$M:$M,$P289))</f>
        <v/>
      </c>
      <c r="M289" s="43">
        <f>IF($P289="","",INDEX(GL_Journal!$N:$N,$P289))</f>
        <v/>
      </c>
      <c r="N289" s="47">
        <f>IF($P289="","",IF($A289=1,LG_Open,$N288)+$L289-$M289)</f>
        <v/>
      </c>
      <c r="O289" s="32">
        <f>IF($A289&gt;COUNT(GL_Journal!$Y:$Y),"",SMALL(GL_Journal!$Y:$Y,$A289))</f>
        <v/>
      </c>
      <c r="P289" s="32">
        <f>IF($O289="","",MATCH($O289,GL_Journal!$Y:$Y,0))</f>
        <v/>
      </c>
      <c r="Q289" s="32" t="inlineStr"/>
    </row>
    <row r="290">
      <c r="A290" s="32">
        <f>ROW()-12</f>
        <v/>
      </c>
      <c r="B290" s="33">
        <f>IF($P290="","",INDEX(GL_Journal!$D:$D,$P290))</f>
        <v/>
      </c>
      <c r="C290" s="32">
        <f>IF($P290="","",INDEX(GL_Journal!$C:$C,$P290))</f>
        <v/>
      </c>
      <c r="D290" s="32">
        <f>IF($P290="","",INDEX(GL_Journal!$E:$E,$P290))</f>
        <v/>
      </c>
      <c r="E290" s="32">
        <f>IF($P290="","",INDEX(GL_Journal!$F:$F,$P290))</f>
        <v/>
      </c>
      <c r="F290" s="32">
        <f>IF($P290="","",INDEX(GL_Journal!$G:$G,$P290))</f>
        <v/>
      </c>
      <c r="G290" s="32">
        <f>IF($P290="","",INDEX(GL_Journal!$H:$H,$P290))</f>
        <v/>
      </c>
      <c r="H290" s="32">
        <f>IF($P290="","",INDEX(GL_Journal!$I:$I,$P290))</f>
        <v/>
      </c>
      <c r="I290" s="32">
        <f>IF($P290="","",INDEX(GL_Journal!$J:$J,$P290))</f>
        <v/>
      </c>
      <c r="J290" s="32">
        <f>IF($P290="","",INDEX(GL_Journal!$K:$K,$P290))</f>
        <v/>
      </c>
      <c r="K290" s="32">
        <f>IF($P290="","",INDEX(GL_Journal!$L:$L,$P290))</f>
        <v/>
      </c>
      <c r="L290" s="43">
        <f>IF($P290="","",INDEX(GL_Journal!$M:$M,$P290))</f>
        <v/>
      </c>
      <c r="M290" s="43">
        <f>IF($P290="","",INDEX(GL_Journal!$N:$N,$P290))</f>
        <v/>
      </c>
      <c r="N290" s="47">
        <f>IF($P290="","",IF($A290=1,LG_Open,$N289)+$L290-$M290)</f>
        <v/>
      </c>
      <c r="O290" s="32">
        <f>IF($A290&gt;COUNT(GL_Journal!$Y:$Y),"",SMALL(GL_Journal!$Y:$Y,$A290))</f>
        <v/>
      </c>
      <c r="P290" s="32">
        <f>IF($O290="","",MATCH($O290,GL_Journal!$Y:$Y,0))</f>
        <v/>
      </c>
      <c r="Q290" s="32" t="inlineStr"/>
    </row>
    <row r="291">
      <c r="A291" s="32">
        <f>ROW()-12</f>
        <v/>
      </c>
      <c r="B291" s="33">
        <f>IF($P291="","",INDEX(GL_Journal!$D:$D,$P291))</f>
        <v/>
      </c>
      <c r="C291" s="32">
        <f>IF($P291="","",INDEX(GL_Journal!$C:$C,$P291))</f>
        <v/>
      </c>
      <c r="D291" s="32">
        <f>IF($P291="","",INDEX(GL_Journal!$E:$E,$P291))</f>
        <v/>
      </c>
      <c r="E291" s="32">
        <f>IF($P291="","",INDEX(GL_Journal!$F:$F,$P291))</f>
        <v/>
      </c>
      <c r="F291" s="32">
        <f>IF($P291="","",INDEX(GL_Journal!$G:$G,$P291))</f>
        <v/>
      </c>
      <c r="G291" s="32">
        <f>IF($P291="","",INDEX(GL_Journal!$H:$H,$P291))</f>
        <v/>
      </c>
      <c r="H291" s="32">
        <f>IF($P291="","",INDEX(GL_Journal!$I:$I,$P291))</f>
        <v/>
      </c>
      <c r="I291" s="32">
        <f>IF($P291="","",INDEX(GL_Journal!$J:$J,$P291))</f>
        <v/>
      </c>
      <c r="J291" s="32">
        <f>IF($P291="","",INDEX(GL_Journal!$K:$K,$P291))</f>
        <v/>
      </c>
      <c r="K291" s="32">
        <f>IF($P291="","",INDEX(GL_Journal!$L:$L,$P291))</f>
        <v/>
      </c>
      <c r="L291" s="43">
        <f>IF($P291="","",INDEX(GL_Journal!$M:$M,$P291))</f>
        <v/>
      </c>
      <c r="M291" s="43">
        <f>IF($P291="","",INDEX(GL_Journal!$N:$N,$P291))</f>
        <v/>
      </c>
      <c r="N291" s="47">
        <f>IF($P291="","",IF($A291=1,LG_Open,$N290)+$L291-$M291)</f>
        <v/>
      </c>
      <c r="O291" s="32">
        <f>IF($A291&gt;COUNT(GL_Journal!$Y:$Y),"",SMALL(GL_Journal!$Y:$Y,$A291))</f>
        <v/>
      </c>
      <c r="P291" s="32">
        <f>IF($O291="","",MATCH($O291,GL_Journal!$Y:$Y,0))</f>
        <v/>
      </c>
      <c r="Q291" s="32" t="inlineStr"/>
    </row>
    <row r="292">
      <c r="A292" s="32">
        <f>ROW()-12</f>
        <v/>
      </c>
      <c r="B292" s="33">
        <f>IF($P292="","",INDEX(GL_Journal!$D:$D,$P292))</f>
        <v/>
      </c>
      <c r="C292" s="32">
        <f>IF($P292="","",INDEX(GL_Journal!$C:$C,$P292))</f>
        <v/>
      </c>
      <c r="D292" s="32">
        <f>IF($P292="","",INDEX(GL_Journal!$E:$E,$P292))</f>
        <v/>
      </c>
      <c r="E292" s="32">
        <f>IF($P292="","",INDEX(GL_Journal!$F:$F,$P292))</f>
        <v/>
      </c>
      <c r="F292" s="32">
        <f>IF($P292="","",INDEX(GL_Journal!$G:$G,$P292))</f>
        <v/>
      </c>
      <c r="G292" s="32">
        <f>IF($P292="","",INDEX(GL_Journal!$H:$H,$P292))</f>
        <v/>
      </c>
      <c r="H292" s="32">
        <f>IF($P292="","",INDEX(GL_Journal!$I:$I,$P292))</f>
        <v/>
      </c>
      <c r="I292" s="32">
        <f>IF($P292="","",INDEX(GL_Journal!$J:$J,$P292))</f>
        <v/>
      </c>
      <c r="J292" s="32">
        <f>IF($P292="","",INDEX(GL_Journal!$K:$K,$P292))</f>
        <v/>
      </c>
      <c r="K292" s="32">
        <f>IF($P292="","",INDEX(GL_Journal!$L:$L,$P292))</f>
        <v/>
      </c>
      <c r="L292" s="43">
        <f>IF($P292="","",INDEX(GL_Journal!$M:$M,$P292))</f>
        <v/>
      </c>
      <c r="M292" s="43">
        <f>IF($P292="","",INDEX(GL_Journal!$N:$N,$P292))</f>
        <v/>
      </c>
      <c r="N292" s="47">
        <f>IF($P292="","",IF($A292=1,LG_Open,$N291)+$L292-$M292)</f>
        <v/>
      </c>
      <c r="O292" s="32">
        <f>IF($A292&gt;COUNT(GL_Journal!$Y:$Y),"",SMALL(GL_Journal!$Y:$Y,$A292))</f>
        <v/>
      </c>
      <c r="P292" s="32">
        <f>IF($O292="","",MATCH($O292,GL_Journal!$Y:$Y,0))</f>
        <v/>
      </c>
      <c r="Q292" s="32" t="inlineStr"/>
    </row>
    <row r="293">
      <c r="A293" s="32">
        <f>ROW()-12</f>
        <v/>
      </c>
      <c r="B293" s="33">
        <f>IF($P293="","",INDEX(GL_Journal!$D:$D,$P293))</f>
        <v/>
      </c>
      <c r="C293" s="32">
        <f>IF($P293="","",INDEX(GL_Journal!$C:$C,$P293))</f>
        <v/>
      </c>
      <c r="D293" s="32">
        <f>IF($P293="","",INDEX(GL_Journal!$E:$E,$P293))</f>
        <v/>
      </c>
      <c r="E293" s="32">
        <f>IF($P293="","",INDEX(GL_Journal!$F:$F,$P293))</f>
        <v/>
      </c>
      <c r="F293" s="32">
        <f>IF($P293="","",INDEX(GL_Journal!$G:$G,$P293))</f>
        <v/>
      </c>
      <c r="G293" s="32">
        <f>IF($P293="","",INDEX(GL_Journal!$H:$H,$P293))</f>
        <v/>
      </c>
      <c r="H293" s="32">
        <f>IF($P293="","",INDEX(GL_Journal!$I:$I,$P293))</f>
        <v/>
      </c>
      <c r="I293" s="32">
        <f>IF($P293="","",INDEX(GL_Journal!$J:$J,$P293))</f>
        <v/>
      </c>
      <c r="J293" s="32">
        <f>IF($P293="","",INDEX(GL_Journal!$K:$K,$P293))</f>
        <v/>
      </c>
      <c r="K293" s="32">
        <f>IF($P293="","",INDEX(GL_Journal!$L:$L,$P293))</f>
        <v/>
      </c>
      <c r="L293" s="43">
        <f>IF($P293="","",INDEX(GL_Journal!$M:$M,$P293))</f>
        <v/>
      </c>
      <c r="M293" s="43">
        <f>IF($P293="","",INDEX(GL_Journal!$N:$N,$P293))</f>
        <v/>
      </c>
      <c r="N293" s="47">
        <f>IF($P293="","",IF($A293=1,LG_Open,$N292)+$L293-$M293)</f>
        <v/>
      </c>
      <c r="O293" s="32">
        <f>IF($A293&gt;COUNT(GL_Journal!$Y:$Y),"",SMALL(GL_Journal!$Y:$Y,$A293))</f>
        <v/>
      </c>
      <c r="P293" s="32">
        <f>IF($O293="","",MATCH($O293,GL_Journal!$Y:$Y,0))</f>
        <v/>
      </c>
      <c r="Q293" s="32" t="inlineStr"/>
    </row>
    <row r="294">
      <c r="A294" s="32">
        <f>ROW()-12</f>
        <v/>
      </c>
      <c r="B294" s="33">
        <f>IF($P294="","",INDEX(GL_Journal!$D:$D,$P294))</f>
        <v/>
      </c>
      <c r="C294" s="32">
        <f>IF($P294="","",INDEX(GL_Journal!$C:$C,$P294))</f>
        <v/>
      </c>
      <c r="D294" s="32">
        <f>IF($P294="","",INDEX(GL_Journal!$E:$E,$P294))</f>
        <v/>
      </c>
      <c r="E294" s="32">
        <f>IF($P294="","",INDEX(GL_Journal!$F:$F,$P294))</f>
        <v/>
      </c>
      <c r="F294" s="32">
        <f>IF($P294="","",INDEX(GL_Journal!$G:$G,$P294))</f>
        <v/>
      </c>
      <c r="G294" s="32">
        <f>IF($P294="","",INDEX(GL_Journal!$H:$H,$P294))</f>
        <v/>
      </c>
      <c r="H294" s="32">
        <f>IF($P294="","",INDEX(GL_Journal!$I:$I,$P294))</f>
        <v/>
      </c>
      <c r="I294" s="32">
        <f>IF($P294="","",INDEX(GL_Journal!$J:$J,$P294))</f>
        <v/>
      </c>
      <c r="J294" s="32">
        <f>IF($P294="","",INDEX(GL_Journal!$K:$K,$P294))</f>
        <v/>
      </c>
      <c r="K294" s="32">
        <f>IF($P294="","",INDEX(GL_Journal!$L:$L,$P294))</f>
        <v/>
      </c>
      <c r="L294" s="43">
        <f>IF($P294="","",INDEX(GL_Journal!$M:$M,$P294))</f>
        <v/>
      </c>
      <c r="M294" s="43">
        <f>IF($P294="","",INDEX(GL_Journal!$N:$N,$P294))</f>
        <v/>
      </c>
      <c r="N294" s="47">
        <f>IF($P294="","",IF($A294=1,LG_Open,$N293)+$L294-$M294)</f>
        <v/>
      </c>
      <c r="O294" s="32">
        <f>IF($A294&gt;COUNT(GL_Journal!$Y:$Y),"",SMALL(GL_Journal!$Y:$Y,$A294))</f>
        <v/>
      </c>
      <c r="P294" s="32">
        <f>IF($O294="","",MATCH($O294,GL_Journal!$Y:$Y,0))</f>
        <v/>
      </c>
      <c r="Q294" s="32" t="inlineStr"/>
    </row>
    <row r="295">
      <c r="A295" s="32">
        <f>ROW()-12</f>
        <v/>
      </c>
      <c r="B295" s="33">
        <f>IF($P295="","",INDEX(GL_Journal!$D:$D,$P295))</f>
        <v/>
      </c>
      <c r="C295" s="32">
        <f>IF($P295="","",INDEX(GL_Journal!$C:$C,$P295))</f>
        <v/>
      </c>
      <c r="D295" s="32">
        <f>IF($P295="","",INDEX(GL_Journal!$E:$E,$P295))</f>
        <v/>
      </c>
      <c r="E295" s="32">
        <f>IF($P295="","",INDEX(GL_Journal!$F:$F,$P295))</f>
        <v/>
      </c>
      <c r="F295" s="32">
        <f>IF($P295="","",INDEX(GL_Journal!$G:$G,$P295))</f>
        <v/>
      </c>
      <c r="G295" s="32">
        <f>IF($P295="","",INDEX(GL_Journal!$H:$H,$P295))</f>
        <v/>
      </c>
      <c r="H295" s="32">
        <f>IF($P295="","",INDEX(GL_Journal!$I:$I,$P295))</f>
        <v/>
      </c>
      <c r="I295" s="32">
        <f>IF($P295="","",INDEX(GL_Journal!$J:$J,$P295))</f>
        <v/>
      </c>
      <c r="J295" s="32">
        <f>IF($P295="","",INDEX(GL_Journal!$K:$K,$P295))</f>
        <v/>
      </c>
      <c r="K295" s="32">
        <f>IF($P295="","",INDEX(GL_Journal!$L:$L,$P295))</f>
        <v/>
      </c>
      <c r="L295" s="43">
        <f>IF($P295="","",INDEX(GL_Journal!$M:$M,$P295))</f>
        <v/>
      </c>
      <c r="M295" s="43">
        <f>IF($P295="","",INDEX(GL_Journal!$N:$N,$P295))</f>
        <v/>
      </c>
      <c r="N295" s="47">
        <f>IF($P295="","",IF($A295=1,LG_Open,$N294)+$L295-$M295)</f>
        <v/>
      </c>
      <c r="O295" s="32">
        <f>IF($A295&gt;COUNT(GL_Journal!$Y:$Y),"",SMALL(GL_Journal!$Y:$Y,$A295))</f>
        <v/>
      </c>
      <c r="P295" s="32">
        <f>IF($O295="","",MATCH($O295,GL_Journal!$Y:$Y,0))</f>
        <v/>
      </c>
      <c r="Q295" s="32" t="inlineStr"/>
    </row>
    <row r="296">
      <c r="A296" s="32">
        <f>ROW()-12</f>
        <v/>
      </c>
      <c r="B296" s="33">
        <f>IF($P296="","",INDEX(GL_Journal!$D:$D,$P296))</f>
        <v/>
      </c>
      <c r="C296" s="32">
        <f>IF($P296="","",INDEX(GL_Journal!$C:$C,$P296))</f>
        <v/>
      </c>
      <c r="D296" s="32">
        <f>IF($P296="","",INDEX(GL_Journal!$E:$E,$P296))</f>
        <v/>
      </c>
      <c r="E296" s="32">
        <f>IF($P296="","",INDEX(GL_Journal!$F:$F,$P296))</f>
        <v/>
      </c>
      <c r="F296" s="32">
        <f>IF($P296="","",INDEX(GL_Journal!$G:$G,$P296))</f>
        <v/>
      </c>
      <c r="G296" s="32">
        <f>IF($P296="","",INDEX(GL_Journal!$H:$H,$P296))</f>
        <v/>
      </c>
      <c r="H296" s="32">
        <f>IF($P296="","",INDEX(GL_Journal!$I:$I,$P296))</f>
        <v/>
      </c>
      <c r="I296" s="32">
        <f>IF($P296="","",INDEX(GL_Journal!$J:$J,$P296))</f>
        <v/>
      </c>
      <c r="J296" s="32">
        <f>IF($P296="","",INDEX(GL_Journal!$K:$K,$P296))</f>
        <v/>
      </c>
      <c r="K296" s="32">
        <f>IF($P296="","",INDEX(GL_Journal!$L:$L,$P296))</f>
        <v/>
      </c>
      <c r="L296" s="43">
        <f>IF($P296="","",INDEX(GL_Journal!$M:$M,$P296))</f>
        <v/>
      </c>
      <c r="M296" s="43">
        <f>IF($P296="","",INDEX(GL_Journal!$N:$N,$P296))</f>
        <v/>
      </c>
      <c r="N296" s="47">
        <f>IF($P296="","",IF($A296=1,LG_Open,$N295)+$L296-$M296)</f>
        <v/>
      </c>
      <c r="O296" s="32">
        <f>IF($A296&gt;COUNT(GL_Journal!$Y:$Y),"",SMALL(GL_Journal!$Y:$Y,$A296))</f>
        <v/>
      </c>
      <c r="P296" s="32">
        <f>IF($O296="","",MATCH($O296,GL_Journal!$Y:$Y,0))</f>
        <v/>
      </c>
      <c r="Q296" s="32" t="inlineStr"/>
    </row>
    <row r="297">
      <c r="A297" s="32">
        <f>ROW()-12</f>
        <v/>
      </c>
      <c r="B297" s="33">
        <f>IF($P297="","",INDEX(GL_Journal!$D:$D,$P297))</f>
        <v/>
      </c>
      <c r="C297" s="32">
        <f>IF($P297="","",INDEX(GL_Journal!$C:$C,$P297))</f>
        <v/>
      </c>
      <c r="D297" s="32">
        <f>IF($P297="","",INDEX(GL_Journal!$E:$E,$P297))</f>
        <v/>
      </c>
      <c r="E297" s="32">
        <f>IF($P297="","",INDEX(GL_Journal!$F:$F,$P297))</f>
        <v/>
      </c>
      <c r="F297" s="32">
        <f>IF($P297="","",INDEX(GL_Journal!$G:$G,$P297))</f>
        <v/>
      </c>
      <c r="G297" s="32">
        <f>IF($P297="","",INDEX(GL_Journal!$H:$H,$P297))</f>
        <v/>
      </c>
      <c r="H297" s="32">
        <f>IF($P297="","",INDEX(GL_Journal!$I:$I,$P297))</f>
        <v/>
      </c>
      <c r="I297" s="32">
        <f>IF($P297="","",INDEX(GL_Journal!$J:$J,$P297))</f>
        <v/>
      </c>
      <c r="J297" s="32">
        <f>IF($P297="","",INDEX(GL_Journal!$K:$K,$P297))</f>
        <v/>
      </c>
      <c r="K297" s="32">
        <f>IF($P297="","",INDEX(GL_Journal!$L:$L,$P297))</f>
        <v/>
      </c>
      <c r="L297" s="43">
        <f>IF($P297="","",INDEX(GL_Journal!$M:$M,$P297))</f>
        <v/>
      </c>
      <c r="M297" s="43">
        <f>IF($P297="","",INDEX(GL_Journal!$N:$N,$P297))</f>
        <v/>
      </c>
      <c r="N297" s="47">
        <f>IF($P297="","",IF($A297=1,LG_Open,$N296)+$L297-$M297)</f>
        <v/>
      </c>
      <c r="O297" s="32">
        <f>IF($A297&gt;COUNT(GL_Journal!$Y:$Y),"",SMALL(GL_Journal!$Y:$Y,$A297))</f>
        <v/>
      </c>
      <c r="P297" s="32">
        <f>IF($O297="","",MATCH($O297,GL_Journal!$Y:$Y,0))</f>
        <v/>
      </c>
      <c r="Q297" s="32" t="inlineStr"/>
    </row>
    <row r="298">
      <c r="A298" s="32">
        <f>ROW()-12</f>
        <v/>
      </c>
      <c r="B298" s="33">
        <f>IF($P298="","",INDEX(GL_Journal!$D:$D,$P298))</f>
        <v/>
      </c>
      <c r="C298" s="32">
        <f>IF($P298="","",INDEX(GL_Journal!$C:$C,$P298))</f>
        <v/>
      </c>
      <c r="D298" s="32">
        <f>IF($P298="","",INDEX(GL_Journal!$E:$E,$P298))</f>
        <v/>
      </c>
      <c r="E298" s="32">
        <f>IF($P298="","",INDEX(GL_Journal!$F:$F,$P298))</f>
        <v/>
      </c>
      <c r="F298" s="32">
        <f>IF($P298="","",INDEX(GL_Journal!$G:$G,$P298))</f>
        <v/>
      </c>
      <c r="G298" s="32">
        <f>IF($P298="","",INDEX(GL_Journal!$H:$H,$P298))</f>
        <v/>
      </c>
      <c r="H298" s="32">
        <f>IF($P298="","",INDEX(GL_Journal!$I:$I,$P298))</f>
        <v/>
      </c>
      <c r="I298" s="32">
        <f>IF($P298="","",INDEX(GL_Journal!$J:$J,$P298))</f>
        <v/>
      </c>
      <c r="J298" s="32">
        <f>IF($P298="","",INDEX(GL_Journal!$K:$K,$P298))</f>
        <v/>
      </c>
      <c r="K298" s="32">
        <f>IF($P298="","",INDEX(GL_Journal!$L:$L,$P298))</f>
        <v/>
      </c>
      <c r="L298" s="43">
        <f>IF($P298="","",INDEX(GL_Journal!$M:$M,$P298))</f>
        <v/>
      </c>
      <c r="M298" s="43">
        <f>IF($P298="","",INDEX(GL_Journal!$N:$N,$P298))</f>
        <v/>
      </c>
      <c r="N298" s="47">
        <f>IF($P298="","",IF($A298=1,LG_Open,$N297)+$L298-$M298)</f>
        <v/>
      </c>
      <c r="O298" s="32">
        <f>IF($A298&gt;COUNT(GL_Journal!$Y:$Y),"",SMALL(GL_Journal!$Y:$Y,$A298))</f>
        <v/>
      </c>
      <c r="P298" s="32">
        <f>IF($O298="","",MATCH($O298,GL_Journal!$Y:$Y,0))</f>
        <v/>
      </c>
      <c r="Q298" s="32" t="inlineStr"/>
    </row>
    <row r="299">
      <c r="A299" s="32">
        <f>ROW()-12</f>
        <v/>
      </c>
      <c r="B299" s="33">
        <f>IF($P299="","",INDEX(GL_Journal!$D:$D,$P299))</f>
        <v/>
      </c>
      <c r="C299" s="32">
        <f>IF($P299="","",INDEX(GL_Journal!$C:$C,$P299))</f>
        <v/>
      </c>
      <c r="D299" s="32">
        <f>IF($P299="","",INDEX(GL_Journal!$E:$E,$P299))</f>
        <v/>
      </c>
      <c r="E299" s="32">
        <f>IF($P299="","",INDEX(GL_Journal!$F:$F,$P299))</f>
        <v/>
      </c>
      <c r="F299" s="32">
        <f>IF($P299="","",INDEX(GL_Journal!$G:$G,$P299))</f>
        <v/>
      </c>
      <c r="G299" s="32">
        <f>IF($P299="","",INDEX(GL_Journal!$H:$H,$P299))</f>
        <v/>
      </c>
      <c r="H299" s="32">
        <f>IF($P299="","",INDEX(GL_Journal!$I:$I,$P299))</f>
        <v/>
      </c>
      <c r="I299" s="32">
        <f>IF($P299="","",INDEX(GL_Journal!$J:$J,$P299))</f>
        <v/>
      </c>
      <c r="J299" s="32">
        <f>IF($P299="","",INDEX(GL_Journal!$K:$K,$P299))</f>
        <v/>
      </c>
      <c r="K299" s="32">
        <f>IF($P299="","",INDEX(GL_Journal!$L:$L,$P299))</f>
        <v/>
      </c>
      <c r="L299" s="43">
        <f>IF($P299="","",INDEX(GL_Journal!$M:$M,$P299))</f>
        <v/>
      </c>
      <c r="M299" s="43">
        <f>IF($P299="","",INDEX(GL_Journal!$N:$N,$P299))</f>
        <v/>
      </c>
      <c r="N299" s="47">
        <f>IF($P299="","",IF($A299=1,LG_Open,$N298)+$L299-$M299)</f>
        <v/>
      </c>
      <c r="O299" s="32">
        <f>IF($A299&gt;COUNT(GL_Journal!$Y:$Y),"",SMALL(GL_Journal!$Y:$Y,$A299))</f>
        <v/>
      </c>
      <c r="P299" s="32">
        <f>IF($O299="","",MATCH($O299,GL_Journal!$Y:$Y,0))</f>
        <v/>
      </c>
      <c r="Q299" s="32" t="inlineStr"/>
    </row>
    <row r="300">
      <c r="A300" s="32">
        <f>ROW()-12</f>
        <v/>
      </c>
      <c r="B300" s="33">
        <f>IF($P300="","",INDEX(GL_Journal!$D:$D,$P300))</f>
        <v/>
      </c>
      <c r="C300" s="32">
        <f>IF($P300="","",INDEX(GL_Journal!$C:$C,$P300))</f>
        <v/>
      </c>
      <c r="D300" s="32">
        <f>IF($P300="","",INDEX(GL_Journal!$E:$E,$P300))</f>
        <v/>
      </c>
      <c r="E300" s="32">
        <f>IF($P300="","",INDEX(GL_Journal!$F:$F,$P300))</f>
        <v/>
      </c>
      <c r="F300" s="32">
        <f>IF($P300="","",INDEX(GL_Journal!$G:$G,$P300))</f>
        <v/>
      </c>
      <c r="G300" s="32">
        <f>IF($P300="","",INDEX(GL_Journal!$H:$H,$P300))</f>
        <v/>
      </c>
      <c r="H300" s="32">
        <f>IF($P300="","",INDEX(GL_Journal!$I:$I,$P300))</f>
        <v/>
      </c>
      <c r="I300" s="32">
        <f>IF($P300="","",INDEX(GL_Journal!$J:$J,$P300))</f>
        <v/>
      </c>
      <c r="J300" s="32">
        <f>IF($P300="","",INDEX(GL_Journal!$K:$K,$P300))</f>
        <v/>
      </c>
      <c r="K300" s="32">
        <f>IF($P300="","",INDEX(GL_Journal!$L:$L,$P300))</f>
        <v/>
      </c>
      <c r="L300" s="43">
        <f>IF($P300="","",INDEX(GL_Journal!$M:$M,$P300))</f>
        <v/>
      </c>
      <c r="M300" s="43">
        <f>IF($P300="","",INDEX(GL_Journal!$N:$N,$P300))</f>
        <v/>
      </c>
      <c r="N300" s="47">
        <f>IF($P300="","",IF($A300=1,LG_Open,$N299)+$L300-$M300)</f>
        <v/>
      </c>
      <c r="O300" s="32">
        <f>IF($A300&gt;COUNT(GL_Journal!$Y:$Y),"",SMALL(GL_Journal!$Y:$Y,$A300))</f>
        <v/>
      </c>
      <c r="P300" s="32">
        <f>IF($O300="","",MATCH($O300,GL_Journal!$Y:$Y,0))</f>
        <v/>
      </c>
      <c r="Q300" s="32" t="inlineStr"/>
    </row>
    <row r="301">
      <c r="A301" s="32">
        <f>ROW()-12</f>
        <v/>
      </c>
      <c r="B301" s="33">
        <f>IF($P301="","",INDEX(GL_Journal!$D:$D,$P301))</f>
        <v/>
      </c>
      <c r="C301" s="32">
        <f>IF($P301="","",INDEX(GL_Journal!$C:$C,$P301))</f>
        <v/>
      </c>
      <c r="D301" s="32">
        <f>IF($P301="","",INDEX(GL_Journal!$E:$E,$P301))</f>
        <v/>
      </c>
      <c r="E301" s="32">
        <f>IF($P301="","",INDEX(GL_Journal!$F:$F,$P301))</f>
        <v/>
      </c>
      <c r="F301" s="32">
        <f>IF($P301="","",INDEX(GL_Journal!$G:$G,$P301))</f>
        <v/>
      </c>
      <c r="G301" s="32">
        <f>IF($P301="","",INDEX(GL_Journal!$H:$H,$P301))</f>
        <v/>
      </c>
      <c r="H301" s="32">
        <f>IF($P301="","",INDEX(GL_Journal!$I:$I,$P301))</f>
        <v/>
      </c>
      <c r="I301" s="32">
        <f>IF($P301="","",INDEX(GL_Journal!$J:$J,$P301))</f>
        <v/>
      </c>
      <c r="J301" s="32">
        <f>IF($P301="","",INDEX(GL_Journal!$K:$K,$P301))</f>
        <v/>
      </c>
      <c r="K301" s="32">
        <f>IF($P301="","",INDEX(GL_Journal!$L:$L,$P301))</f>
        <v/>
      </c>
      <c r="L301" s="43">
        <f>IF($P301="","",INDEX(GL_Journal!$M:$M,$P301))</f>
        <v/>
      </c>
      <c r="M301" s="43">
        <f>IF($P301="","",INDEX(GL_Journal!$N:$N,$P301))</f>
        <v/>
      </c>
      <c r="N301" s="47">
        <f>IF($P301="","",IF($A301=1,LG_Open,$N300)+$L301-$M301)</f>
        <v/>
      </c>
      <c r="O301" s="32">
        <f>IF($A301&gt;COUNT(GL_Journal!$Y:$Y),"",SMALL(GL_Journal!$Y:$Y,$A301))</f>
        <v/>
      </c>
      <c r="P301" s="32">
        <f>IF($O301="","",MATCH($O301,GL_Journal!$Y:$Y,0))</f>
        <v/>
      </c>
      <c r="Q301" s="32" t="inlineStr"/>
    </row>
    <row r="302">
      <c r="A302" s="32">
        <f>ROW()-12</f>
        <v/>
      </c>
      <c r="B302" s="33">
        <f>IF($P302="","",INDEX(GL_Journal!$D:$D,$P302))</f>
        <v/>
      </c>
      <c r="C302" s="32">
        <f>IF($P302="","",INDEX(GL_Journal!$C:$C,$P302))</f>
        <v/>
      </c>
      <c r="D302" s="32">
        <f>IF($P302="","",INDEX(GL_Journal!$E:$E,$P302))</f>
        <v/>
      </c>
      <c r="E302" s="32">
        <f>IF($P302="","",INDEX(GL_Journal!$F:$F,$P302))</f>
        <v/>
      </c>
      <c r="F302" s="32">
        <f>IF($P302="","",INDEX(GL_Journal!$G:$G,$P302))</f>
        <v/>
      </c>
      <c r="G302" s="32">
        <f>IF($P302="","",INDEX(GL_Journal!$H:$H,$P302))</f>
        <v/>
      </c>
      <c r="H302" s="32">
        <f>IF($P302="","",INDEX(GL_Journal!$I:$I,$P302))</f>
        <v/>
      </c>
      <c r="I302" s="32">
        <f>IF($P302="","",INDEX(GL_Journal!$J:$J,$P302))</f>
        <v/>
      </c>
      <c r="J302" s="32">
        <f>IF($P302="","",INDEX(GL_Journal!$K:$K,$P302))</f>
        <v/>
      </c>
      <c r="K302" s="32">
        <f>IF($P302="","",INDEX(GL_Journal!$L:$L,$P302))</f>
        <v/>
      </c>
      <c r="L302" s="43">
        <f>IF($P302="","",INDEX(GL_Journal!$M:$M,$P302))</f>
        <v/>
      </c>
      <c r="M302" s="43">
        <f>IF($P302="","",INDEX(GL_Journal!$N:$N,$P302))</f>
        <v/>
      </c>
      <c r="N302" s="47">
        <f>IF($P302="","",IF($A302=1,LG_Open,$N301)+$L302-$M302)</f>
        <v/>
      </c>
      <c r="O302" s="32">
        <f>IF($A302&gt;COUNT(GL_Journal!$Y:$Y),"",SMALL(GL_Journal!$Y:$Y,$A302))</f>
        <v/>
      </c>
      <c r="P302" s="32">
        <f>IF($O302="","",MATCH($O302,GL_Journal!$Y:$Y,0))</f>
        <v/>
      </c>
      <c r="Q302" s="32" t="inlineStr"/>
    </row>
    <row r="303">
      <c r="A303" s="32">
        <f>ROW()-12</f>
        <v/>
      </c>
      <c r="B303" s="33">
        <f>IF($P303="","",INDEX(GL_Journal!$D:$D,$P303))</f>
        <v/>
      </c>
      <c r="C303" s="32">
        <f>IF($P303="","",INDEX(GL_Journal!$C:$C,$P303))</f>
        <v/>
      </c>
      <c r="D303" s="32">
        <f>IF($P303="","",INDEX(GL_Journal!$E:$E,$P303))</f>
        <v/>
      </c>
      <c r="E303" s="32">
        <f>IF($P303="","",INDEX(GL_Journal!$F:$F,$P303))</f>
        <v/>
      </c>
      <c r="F303" s="32">
        <f>IF($P303="","",INDEX(GL_Journal!$G:$G,$P303))</f>
        <v/>
      </c>
      <c r="G303" s="32">
        <f>IF($P303="","",INDEX(GL_Journal!$H:$H,$P303))</f>
        <v/>
      </c>
      <c r="H303" s="32">
        <f>IF($P303="","",INDEX(GL_Journal!$I:$I,$P303))</f>
        <v/>
      </c>
      <c r="I303" s="32">
        <f>IF($P303="","",INDEX(GL_Journal!$J:$J,$P303))</f>
        <v/>
      </c>
      <c r="J303" s="32">
        <f>IF($P303="","",INDEX(GL_Journal!$K:$K,$P303))</f>
        <v/>
      </c>
      <c r="K303" s="32">
        <f>IF($P303="","",INDEX(GL_Journal!$L:$L,$P303))</f>
        <v/>
      </c>
      <c r="L303" s="43">
        <f>IF($P303="","",INDEX(GL_Journal!$M:$M,$P303))</f>
        <v/>
      </c>
      <c r="M303" s="43">
        <f>IF($P303="","",INDEX(GL_Journal!$N:$N,$P303))</f>
        <v/>
      </c>
      <c r="N303" s="47">
        <f>IF($P303="","",IF($A303=1,LG_Open,$N302)+$L303-$M303)</f>
        <v/>
      </c>
      <c r="O303" s="32">
        <f>IF($A303&gt;COUNT(GL_Journal!$Y:$Y),"",SMALL(GL_Journal!$Y:$Y,$A303))</f>
        <v/>
      </c>
      <c r="P303" s="32">
        <f>IF($O303="","",MATCH($O303,GL_Journal!$Y:$Y,0))</f>
        <v/>
      </c>
      <c r="Q303" s="32" t="inlineStr"/>
    </row>
    <row r="304">
      <c r="A304" s="32">
        <f>ROW()-12</f>
        <v/>
      </c>
      <c r="B304" s="33">
        <f>IF($P304="","",INDEX(GL_Journal!$D:$D,$P304))</f>
        <v/>
      </c>
      <c r="C304" s="32">
        <f>IF($P304="","",INDEX(GL_Journal!$C:$C,$P304))</f>
        <v/>
      </c>
      <c r="D304" s="32">
        <f>IF($P304="","",INDEX(GL_Journal!$E:$E,$P304))</f>
        <v/>
      </c>
      <c r="E304" s="32">
        <f>IF($P304="","",INDEX(GL_Journal!$F:$F,$P304))</f>
        <v/>
      </c>
      <c r="F304" s="32">
        <f>IF($P304="","",INDEX(GL_Journal!$G:$G,$P304))</f>
        <v/>
      </c>
      <c r="G304" s="32">
        <f>IF($P304="","",INDEX(GL_Journal!$H:$H,$P304))</f>
        <v/>
      </c>
      <c r="H304" s="32">
        <f>IF($P304="","",INDEX(GL_Journal!$I:$I,$P304))</f>
        <v/>
      </c>
      <c r="I304" s="32">
        <f>IF($P304="","",INDEX(GL_Journal!$J:$J,$P304))</f>
        <v/>
      </c>
      <c r="J304" s="32">
        <f>IF($P304="","",INDEX(GL_Journal!$K:$K,$P304))</f>
        <v/>
      </c>
      <c r="K304" s="32">
        <f>IF($P304="","",INDEX(GL_Journal!$L:$L,$P304))</f>
        <v/>
      </c>
      <c r="L304" s="43">
        <f>IF($P304="","",INDEX(GL_Journal!$M:$M,$P304))</f>
        <v/>
      </c>
      <c r="M304" s="43">
        <f>IF($P304="","",INDEX(GL_Journal!$N:$N,$P304))</f>
        <v/>
      </c>
      <c r="N304" s="47">
        <f>IF($P304="","",IF($A304=1,LG_Open,$N303)+$L304-$M304)</f>
        <v/>
      </c>
      <c r="O304" s="32">
        <f>IF($A304&gt;COUNT(GL_Journal!$Y:$Y),"",SMALL(GL_Journal!$Y:$Y,$A304))</f>
        <v/>
      </c>
      <c r="P304" s="32">
        <f>IF($O304="","",MATCH($O304,GL_Journal!$Y:$Y,0))</f>
        <v/>
      </c>
      <c r="Q304" s="32" t="inlineStr"/>
    </row>
    <row r="305">
      <c r="A305" s="32">
        <f>ROW()-12</f>
        <v/>
      </c>
      <c r="B305" s="33">
        <f>IF($P305="","",INDEX(GL_Journal!$D:$D,$P305))</f>
        <v/>
      </c>
      <c r="C305" s="32">
        <f>IF($P305="","",INDEX(GL_Journal!$C:$C,$P305))</f>
        <v/>
      </c>
      <c r="D305" s="32">
        <f>IF($P305="","",INDEX(GL_Journal!$E:$E,$P305))</f>
        <v/>
      </c>
      <c r="E305" s="32">
        <f>IF($P305="","",INDEX(GL_Journal!$F:$F,$P305))</f>
        <v/>
      </c>
      <c r="F305" s="32">
        <f>IF($P305="","",INDEX(GL_Journal!$G:$G,$P305))</f>
        <v/>
      </c>
      <c r="G305" s="32">
        <f>IF($P305="","",INDEX(GL_Journal!$H:$H,$P305))</f>
        <v/>
      </c>
      <c r="H305" s="32">
        <f>IF($P305="","",INDEX(GL_Journal!$I:$I,$P305))</f>
        <v/>
      </c>
      <c r="I305" s="32">
        <f>IF($P305="","",INDEX(GL_Journal!$J:$J,$P305))</f>
        <v/>
      </c>
      <c r="J305" s="32">
        <f>IF($P305="","",INDEX(GL_Journal!$K:$K,$P305))</f>
        <v/>
      </c>
      <c r="K305" s="32">
        <f>IF($P305="","",INDEX(GL_Journal!$L:$L,$P305))</f>
        <v/>
      </c>
      <c r="L305" s="43">
        <f>IF($P305="","",INDEX(GL_Journal!$M:$M,$P305))</f>
        <v/>
      </c>
      <c r="M305" s="43">
        <f>IF($P305="","",INDEX(GL_Journal!$N:$N,$P305))</f>
        <v/>
      </c>
      <c r="N305" s="47">
        <f>IF($P305="","",IF($A305=1,LG_Open,$N304)+$L305-$M305)</f>
        <v/>
      </c>
      <c r="O305" s="32">
        <f>IF($A305&gt;COUNT(GL_Journal!$Y:$Y),"",SMALL(GL_Journal!$Y:$Y,$A305))</f>
        <v/>
      </c>
      <c r="P305" s="32">
        <f>IF($O305="","",MATCH($O305,GL_Journal!$Y:$Y,0))</f>
        <v/>
      </c>
      <c r="Q305" s="32" t="inlineStr"/>
    </row>
    <row r="306">
      <c r="A306" s="32">
        <f>ROW()-12</f>
        <v/>
      </c>
      <c r="B306" s="33">
        <f>IF($P306="","",INDEX(GL_Journal!$D:$D,$P306))</f>
        <v/>
      </c>
      <c r="C306" s="32">
        <f>IF($P306="","",INDEX(GL_Journal!$C:$C,$P306))</f>
        <v/>
      </c>
      <c r="D306" s="32">
        <f>IF($P306="","",INDEX(GL_Journal!$E:$E,$P306))</f>
        <v/>
      </c>
      <c r="E306" s="32">
        <f>IF($P306="","",INDEX(GL_Journal!$F:$F,$P306))</f>
        <v/>
      </c>
      <c r="F306" s="32">
        <f>IF($P306="","",INDEX(GL_Journal!$G:$G,$P306))</f>
        <v/>
      </c>
      <c r="G306" s="32">
        <f>IF($P306="","",INDEX(GL_Journal!$H:$H,$P306))</f>
        <v/>
      </c>
      <c r="H306" s="32">
        <f>IF($P306="","",INDEX(GL_Journal!$I:$I,$P306))</f>
        <v/>
      </c>
      <c r="I306" s="32">
        <f>IF($P306="","",INDEX(GL_Journal!$J:$J,$P306))</f>
        <v/>
      </c>
      <c r="J306" s="32">
        <f>IF($P306="","",INDEX(GL_Journal!$K:$K,$P306))</f>
        <v/>
      </c>
      <c r="K306" s="32">
        <f>IF($P306="","",INDEX(GL_Journal!$L:$L,$P306))</f>
        <v/>
      </c>
      <c r="L306" s="43">
        <f>IF($P306="","",INDEX(GL_Journal!$M:$M,$P306))</f>
        <v/>
      </c>
      <c r="M306" s="43">
        <f>IF($P306="","",INDEX(GL_Journal!$N:$N,$P306))</f>
        <v/>
      </c>
      <c r="N306" s="47">
        <f>IF($P306="","",IF($A306=1,LG_Open,$N305)+$L306-$M306)</f>
        <v/>
      </c>
      <c r="O306" s="32">
        <f>IF($A306&gt;COUNT(GL_Journal!$Y:$Y),"",SMALL(GL_Journal!$Y:$Y,$A306))</f>
        <v/>
      </c>
      <c r="P306" s="32">
        <f>IF($O306="","",MATCH($O306,GL_Journal!$Y:$Y,0))</f>
        <v/>
      </c>
      <c r="Q306" s="32" t="inlineStr"/>
    </row>
    <row r="307">
      <c r="A307" s="32">
        <f>ROW()-12</f>
        <v/>
      </c>
      <c r="B307" s="33">
        <f>IF($P307="","",INDEX(GL_Journal!$D:$D,$P307))</f>
        <v/>
      </c>
      <c r="C307" s="32">
        <f>IF($P307="","",INDEX(GL_Journal!$C:$C,$P307))</f>
        <v/>
      </c>
      <c r="D307" s="32">
        <f>IF($P307="","",INDEX(GL_Journal!$E:$E,$P307))</f>
        <v/>
      </c>
      <c r="E307" s="32">
        <f>IF($P307="","",INDEX(GL_Journal!$F:$F,$P307))</f>
        <v/>
      </c>
      <c r="F307" s="32">
        <f>IF($P307="","",INDEX(GL_Journal!$G:$G,$P307))</f>
        <v/>
      </c>
      <c r="G307" s="32">
        <f>IF($P307="","",INDEX(GL_Journal!$H:$H,$P307))</f>
        <v/>
      </c>
      <c r="H307" s="32">
        <f>IF($P307="","",INDEX(GL_Journal!$I:$I,$P307))</f>
        <v/>
      </c>
      <c r="I307" s="32">
        <f>IF($P307="","",INDEX(GL_Journal!$J:$J,$P307))</f>
        <v/>
      </c>
      <c r="J307" s="32">
        <f>IF($P307="","",INDEX(GL_Journal!$K:$K,$P307))</f>
        <v/>
      </c>
      <c r="K307" s="32">
        <f>IF($P307="","",INDEX(GL_Journal!$L:$L,$P307))</f>
        <v/>
      </c>
      <c r="L307" s="43">
        <f>IF($P307="","",INDEX(GL_Journal!$M:$M,$P307))</f>
        <v/>
      </c>
      <c r="M307" s="43">
        <f>IF($P307="","",INDEX(GL_Journal!$N:$N,$P307))</f>
        <v/>
      </c>
      <c r="N307" s="47">
        <f>IF($P307="","",IF($A307=1,LG_Open,$N306)+$L307-$M307)</f>
        <v/>
      </c>
      <c r="O307" s="32">
        <f>IF($A307&gt;COUNT(GL_Journal!$Y:$Y),"",SMALL(GL_Journal!$Y:$Y,$A307))</f>
        <v/>
      </c>
      <c r="P307" s="32">
        <f>IF($O307="","",MATCH($O307,GL_Journal!$Y:$Y,0))</f>
        <v/>
      </c>
      <c r="Q307" s="32" t="inlineStr"/>
    </row>
    <row r="308">
      <c r="A308" s="32">
        <f>ROW()-12</f>
        <v/>
      </c>
      <c r="B308" s="33">
        <f>IF($P308="","",INDEX(GL_Journal!$D:$D,$P308))</f>
        <v/>
      </c>
      <c r="C308" s="32">
        <f>IF($P308="","",INDEX(GL_Journal!$C:$C,$P308))</f>
        <v/>
      </c>
      <c r="D308" s="32">
        <f>IF($P308="","",INDEX(GL_Journal!$E:$E,$P308))</f>
        <v/>
      </c>
      <c r="E308" s="32">
        <f>IF($P308="","",INDEX(GL_Journal!$F:$F,$P308))</f>
        <v/>
      </c>
      <c r="F308" s="32">
        <f>IF($P308="","",INDEX(GL_Journal!$G:$G,$P308))</f>
        <v/>
      </c>
      <c r="G308" s="32">
        <f>IF($P308="","",INDEX(GL_Journal!$H:$H,$P308))</f>
        <v/>
      </c>
      <c r="H308" s="32">
        <f>IF($P308="","",INDEX(GL_Journal!$I:$I,$P308))</f>
        <v/>
      </c>
      <c r="I308" s="32">
        <f>IF($P308="","",INDEX(GL_Journal!$J:$J,$P308))</f>
        <v/>
      </c>
      <c r="J308" s="32">
        <f>IF($P308="","",INDEX(GL_Journal!$K:$K,$P308))</f>
        <v/>
      </c>
      <c r="K308" s="32">
        <f>IF($P308="","",INDEX(GL_Journal!$L:$L,$P308))</f>
        <v/>
      </c>
      <c r="L308" s="43">
        <f>IF($P308="","",INDEX(GL_Journal!$M:$M,$P308))</f>
        <v/>
      </c>
      <c r="M308" s="43">
        <f>IF($P308="","",INDEX(GL_Journal!$N:$N,$P308))</f>
        <v/>
      </c>
      <c r="N308" s="47">
        <f>IF($P308="","",IF($A308=1,LG_Open,$N307)+$L308-$M308)</f>
        <v/>
      </c>
      <c r="O308" s="32">
        <f>IF($A308&gt;COUNT(GL_Journal!$Y:$Y),"",SMALL(GL_Journal!$Y:$Y,$A308))</f>
        <v/>
      </c>
      <c r="P308" s="32">
        <f>IF($O308="","",MATCH($O308,GL_Journal!$Y:$Y,0))</f>
        <v/>
      </c>
      <c r="Q308" s="32" t="inlineStr"/>
    </row>
    <row r="309">
      <c r="A309" s="32">
        <f>ROW()-12</f>
        <v/>
      </c>
      <c r="B309" s="33">
        <f>IF($P309="","",INDEX(GL_Journal!$D:$D,$P309))</f>
        <v/>
      </c>
      <c r="C309" s="32">
        <f>IF($P309="","",INDEX(GL_Journal!$C:$C,$P309))</f>
        <v/>
      </c>
      <c r="D309" s="32">
        <f>IF($P309="","",INDEX(GL_Journal!$E:$E,$P309))</f>
        <v/>
      </c>
      <c r="E309" s="32">
        <f>IF($P309="","",INDEX(GL_Journal!$F:$F,$P309))</f>
        <v/>
      </c>
      <c r="F309" s="32">
        <f>IF($P309="","",INDEX(GL_Journal!$G:$G,$P309))</f>
        <v/>
      </c>
      <c r="G309" s="32">
        <f>IF($P309="","",INDEX(GL_Journal!$H:$H,$P309))</f>
        <v/>
      </c>
      <c r="H309" s="32">
        <f>IF($P309="","",INDEX(GL_Journal!$I:$I,$P309))</f>
        <v/>
      </c>
      <c r="I309" s="32">
        <f>IF($P309="","",INDEX(GL_Journal!$J:$J,$P309))</f>
        <v/>
      </c>
      <c r="J309" s="32">
        <f>IF($P309="","",INDEX(GL_Journal!$K:$K,$P309))</f>
        <v/>
      </c>
      <c r="K309" s="32">
        <f>IF($P309="","",INDEX(GL_Journal!$L:$L,$P309))</f>
        <v/>
      </c>
      <c r="L309" s="43">
        <f>IF($P309="","",INDEX(GL_Journal!$M:$M,$P309))</f>
        <v/>
      </c>
      <c r="M309" s="43">
        <f>IF($P309="","",INDEX(GL_Journal!$N:$N,$P309))</f>
        <v/>
      </c>
      <c r="N309" s="47">
        <f>IF($P309="","",IF($A309=1,LG_Open,$N308)+$L309-$M309)</f>
        <v/>
      </c>
      <c r="O309" s="32">
        <f>IF($A309&gt;COUNT(GL_Journal!$Y:$Y),"",SMALL(GL_Journal!$Y:$Y,$A309))</f>
        <v/>
      </c>
      <c r="P309" s="32">
        <f>IF($O309="","",MATCH($O309,GL_Journal!$Y:$Y,0))</f>
        <v/>
      </c>
      <c r="Q309" s="32" t="inlineStr"/>
    </row>
    <row r="310">
      <c r="A310" s="32">
        <f>ROW()-12</f>
        <v/>
      </c>
      <c r="B310" s="33">
        <f>IF($P310="","",INDEX(GL_Journal!$D:$D,$P310))</f>
        <v/>
      </c>
      <c r="C310" s="32">
        <f>IF($P310="","",INDEX(GL_Journal!$C:$C,$P310))</f>
        <v/>
      </c>
      <c r="D310" s="32">
        <f>IF($P310="","",INDEX(GL_Journal!$E:$E,$P310))</f>
        <v/>
      </c>
      <c r="E310" s="32">
        <f>IF($P310="","",INDEX(GL_Journal!$F:$F,$P310))</f>
        <v/>
      </c>
      <c r="F310" s="32">
        <f>IF($P310="","",INDEX(GL_Journal!$G:$G,$P310))</f>
        <v/>
      </c>
      <c r="G310" s="32">
        <f>IF($P310="","",INDEX(GL_Journal!$H:$H,$P310))</f>
        <v/>
      </c>
      <c r="H310" s="32">
        <f>IF($P310="","",INDEX(GL_Journal!$I:$I,$P310))</f>
        <v/>
      </c>
      <c r="I310" s="32">
        <f>IF($P310="","",INDEX(GL_Journal!$J:$J,$P310))</f>
        <v/>
      </c>
      <c r="J310" s="32">
        <f>IF($P310="","",INDEX(GL_Journal!$K:$K,$P310))</f>
        <v/>
      </c>
      <c r="K310" s="32">
        <f>IF($P310="","",INDEX(GL_Journal!$L:$L,$P310))</f>
        <v/>
      </c>
      <c r="L310" s="43">
        <f>IF($P310="","",INDEX(GL_Journal!$M:$M,$P310))</f>
        <v/>
      </c>
      <c r="M310" s="43">
        <f>IF($P310="","",INDEX(GL_Journal!$N:$N,$P310))</f>
        <v/>
      </c>
      <c r="N310" s="47">
        <f>IF($P310="","",IF($A310=1,LG_Open,$N309)+$L310-$M310)</f>
        <v/>
      </c>
      <c r="O310" s="32">
        <f>IF($A310&gt;COUNT(GL_Journal!$Y:$Y),"",SMALL(GL_Journal!$Y:$Y,$A310))</f>
        <v/>
      </c>
      <c r="P310" s="32">
        <f>IF($O310="","",MATCH($O310,GL_Journal!$Y:$Y,0))</f>
        <v/>
      </c>
      <c r="Q310" s="32" t="inlineStr"/>
    </row>
    <row r="311">
      <c r="A311" s="32">
        <f>ROW()-12</f>
        <v/>
      </c>
      <c r="B311" s="33">
        <f>IF($P311="","",INDEX(GL_Journal!$D:$D,$P311))</f>
        <v/>
      </c>
      <c r="C311" s="32">
        <f>IF($P311="","",INDEX(GL_Journal!$C:$C,$P311))</f>
        <v/>
      </c>
      <c r="D311" s="32">
        <f>IF($P311="","",INDEX(GL_Journal!$E:$E,$P311))</f>
        <v/>
      </c>
      <c r="E311" s="32">
        <f>IF($P311="","",INDEX(GL_Journal!$F:$F,$P311))</f>
        <v/>
      </c>
      <c r="F311" s="32">
        <f>IF($P311="","",INDEX(GL_Journal!$G:$G,$P311))</f>
        <v/>
      </c>
      <c r="G311" s="32">
        <f>IF($P311="","",INDEX(GL_Journal!$H:$H,$P311))</f>
        <v/>
      </c>
      <c r="H311" s="32">
        <f>IF($P311="","",INDEX(GL_Journal!$I:$I,$P311))</f>
        <v/>
      </c>
      <c r="I311" s="32">
        <f>IF($P311="","",INDEX(GL_Journal!$J:$J,$P311))</f>
        <v/>
      </c>
      <c r="J311" s="32">
        <f>IF($P311="","",INDEX(GL_Journal!$K:$K,$P311))</f>
        <v/>
      </c>
      <c r="K311" s="32">
        <f>IF($P311="","",INDEX(GL_Journal!$L:$L,$P311))</f>
        <v/>
      </c>
      <c r="L311" s="43">
        <f>IF($P311="","",INDEX(GL_Journal!$M:$M,$P311))</f>
        <v/>
      </c>
      <c r="M311" s="43">
        <f>IF($P311="","",INDEX(GL_Journal!$N:$N,$P311))</f>
        <v/>
      </c>
      <c r="N311" s="47">
        <f>IF($P311="","",IF($A311=1,LG_Open,$N310)+$L311-$M311)</f>
        <v/>
      </c>
      <c r="O311" s="32">
        <f>IF($A311&gt;COUNT(GL_Journal!$Y:$Y),"",SMALL(GL_Journal!$Y:$Y,$A311))</f>
        <v/>
      </c>
      <c r="P311" s="32">
        <f>IF($O311="","",MATCH($O311,GL_Journal!$Y:$Y,0))</f>
        <v/>
      </c>
      <c r="Q311" s="32" t="inlineStr"/>
    </row>
    <row r="312">
      <c r="A312" s="32">
        <f>ROW()-12</f>
        <v/>
      </c>
      <c r="B312" s="33">
        <f>IF($P312="","",INDEX(GL_Journal!$D:$D,$P312))</f>
        <v/>
      </c>
      <c r="C312" s="32">
        <f>IF($P312="","",INDEX(GL_Journal!$C:$C,$P312))</f>
        <v/>
      </c>
      <c r="D312" s="32">
        <f>IF($P312="","",INDEX(GL_Journal!$E:$E,$P312))</f>
        <v/>
      </c>
      <c r="E312" s="32">
        <f>IF($P312="","",INDEX(GL_Journal!$F:$F,$P312))</f>
        <v/>
      </c>
      <c r="F312" s="32">
        <f>IF($P312="","",INDEX(GL_Journal!$G:$G,$P312))</f>
        <v/>
      </c>
      <c r="G312" s="32">
        <f>IF($P312="","",INDEX(GL_Journal!$H:$H,$P312))</f>
        <v/>
      </c>
      <c r="H312" s="32">
        <f>IF($P312="","",INDEX(GL_Journal!$I:$I,$P312))</f>
        <v/>
      </c>
      <c r="I312" s="32">
        <f>IF($P312="","",INDEX(GL_Journal!$J:$J,$P312))</f>
        <v/>
      </c>
      <c r="J312" s="32">
        <f>IF($P312="","",INDEX(GL_Journal!$K:$K,$P312))</f>
        <v/>
      </c>
      <c r="K312" s="32">
        <f>IF($P312="","",INDEX(GL_Journal!$L:$L,$P312))</f>
        <v/>
      </c>
      <c r="L312" s="43">
        <f>IF($P312="","",INDEX(GL_Journal!$M:$M,$P312))</f>
        <v/>
      </c>
      <c r="M312" s="43">
        <f>IF($P312="","",INDEX(GL_Journal!$N:$N,$P312))</f>
        <v/>
      </c>
      <c r="N312" s="47">
        <f>IF($P312="","",IF($A312=1,LG_Open,$N311)+$L312-$M312)</f>
        <v/>
      </c>
      <c r="O312" s="32">
        <f>IF($A312&gt;COUNT(GL_Journal!$Y:$Y),"",SMALL(GL_Journal!$Y:$Y,$A312))</f>
        <v/>
      </c>
      <c r="P312" s="32">
        <f>IF($O312="","",MATCH($O312,GL_Journal!$Y:$Y,0))</f>
        <v/>
      </c>
      <c r="Q312" s="32" t="inlineStr"/>
    </row>
    <row r="313">
      <c r="A313" s="32">
        <f>ROW()-12</f>
        <v/>
      </c>
      <c r="B313" s="33">
        <f>IF($P313="","",INDEX(GL_Journal!$D:$D,$P313))</f>
        <v/>
      </c>
      <c r="C313" s="32">
        <f>IF($P313="","",INDEX(GL_Journal!$C:$C,$P313))</f>
        <v/>
      </c>
      <c r="D313" s="32">
        <f>IF($P313="","",INDEX(GL_Journal!$E:$E,$P313))</f>
        <v/>
      </c>
      <c r="E313" s="32">
        <f>IF($P313="","",INDEX(GL_Journal!$F:$F,$P313))</f>
        <v/>
      </c>
      <c r="F313" s="32">
        <f>IF($P313="","",INDEX(GL_Journal!$G:$G,$P313))</f>
        <v/>
      </c>
      <c r="G313" s="32">
        <f>IF($P313="","",INDEX(GL_Journal!$H:$H,$P313))</f>
        <v/>
      </c>
      <c r="H313" s="32">
        <f>IF($P313="","",INDEX(GL_Journal!$I:$I,$P313))</f>
        <v/>
      </c>
      <c r="I313" s="32">
        <f>IF($P313="","",INDEX(GL_Journal!$J:$J,$P313))</f>
        <v/>
      </c>
      <c r="J313" s="32">
        <f>IF($P313="","",INDEX(GL_Journal!$K:$K,$P313))</f>
        <v/>
      </c>
      <c r="K313" s="32">
        <f>IF($P313="","",INDEX(GL_Journal!$L:$L,$P313))</f>
        <v/>
      </c>
      <c r="L313" s="43">
        <f>IF($P313="","",INDEX(GL_Journal!$M:$M,$P313))</f>
        <v/>
      </c>
      <c r="M313" s="43">
        <f>IF($P313="","",INDEX(GL_Journal!$N:$N,$P313))</f>
        <v/>
      </c>
      <c r="N313" s="47">
        <f>IF($P313="","",IF($A313=1,LG_Open,$N312)+$L313-$M313)</f>
        <v/>
      </c>
      <c r="O313" s="32">
        <f>IF($A313&gt;COUNT(GL_Journal!$Y:$Y),"",SMALL(GL_Journal!$Y:$Y,$A313))</f>
        <v/>
      </c>
      <c r="P313" s="32">
        <f>IF($O313="","",MATCH($O313,GL_Journal!$Y:$Y,0))</f>
        <v/>
      </c>
      <c r="Q313" s="32" t="inlineStr"/>
    </row>
    <row r="314">
      <c r="A314" s="32">
        <f>ROW()-12</f>
        <v/>
      </c>
      <c r="B314" s="33">
        <f>IF($P314="","",INDEX(GL_Journal!$D:$D,$P314))</f>
        <v/>
      </c>
      <c r="C314" s="32">
        <f>IF($P314="","",INDEX(GL_Journal!$C:$C,$P314))</f>
        <v/>
      </c>
      <c r="D314" s="32">
        <f>IF($P314="","",INDEX(GL_Journal!$E:$E,$P314))</f>
        <v/>
      </c>
      <c r="E314" s="32">
        <f>IF($P314="","",INDEX(GL_Journal!$F:$F,$P314))</f>
        <v/>
      </c>
      <c r="F314" s="32">
        <f>IF($P314="","",INDEX(GL_Journal!$G:$G,$P314))</f>
        <v/>
      </c>
      <c r="G314" s="32">
        <f>IF($P314="","",INDEX(GL_Journal!$H:$H,$P314))</f>
        <v/>
      </c>
      <c r="H314" s="32">
        <f>IF($P314="","",INDEX(GL_Journal!$I:$I,$P314))</f>
        <v/>
      </c>
      <c r="I314" s="32">
        <f>IF($P314="","",INDEX(GL_Journal!$J:$J,$P314))</f>
        <v/>
      </c>
      <c r="J314" s="32">
        <f>IF($P314="","",INDEX(GL_Journal!$K:$K,$P314))</f>
        <v/>
      </c>
      <c r="K314" s="32">
        <f>IF($P314="","",INDEX(GL_Journal!$L:$L,$P314))</f>
        <v/>
      </c>
      <c r="L314" s="43">
        <f>IF($P314="","",INDEX(GL_Journal!$M:$M,$P314))</f>
        <v/>
      </c>
      <c r="M314" s="43">
        <f>IF($P314="","",INDEX(GL_Journal!$N:$N,$P314))</f>
        <v/>
      </c>
      <c r="N314" s="47">
        <f>IF($P314="","",IF($A314=1,LG_Open,$N313)+$L314-$M314)</f>
        <v/>
      </c>
      <c r="O314" s="32">
        <f>IF($A314&gt;COUNT(GL_Journal!$Y:$Y),"",SMALL(GL_Journal!$Y:$Y,$A314))</f>
        <v/>
      </c>
      <c r="P314" s="32">
        <f>IF($O314="","",MATCH($O314,GL_Journal!$Y:$Y,0))</f>
        <v/>
      </c>
      <c r="Q314" s="32" t="inlineStr"/>
    </row>
    <row r="315">
      <c r="A315" s="32">
        <f>ROW()-12</f>
        <v/>
      </c>
      <c r="B315" s="33">
        <f>IF($P315="","",INDEX(GL_Journal!$D:$D,$P315))</f>
        <v/>
      </c>
      <c r="C315" s="32">
        <f>IF($P315="","",INDEX(GL_Journal!$C:$C,$P315))</f>
        <v/>
      </c>
      <c r="D315" s="32">
        <f>IF($P315="","",INDEX(GL_Journal!$E:$E,$P315))</f>
        <v/>
      </c>
      <c r="E315" s="32">
        <f>IF($P315="","",INDEX(GL_Journal!$F:$F,$P315))</f>
        <v/>
      </c>
      <c r="F315" s="32">
        <f>IF($P315="","",INDEX(GL_Journal!$G:$G,$P315))</f>
        <v/>
      </c>
      <c r="G315" s="32">
        <f>IF($P315="","",INDEX(GL_Journal!$H:$H,$P315))</f>
        <v/>
      </c>
      <c r="H315" s="32">
        <f>IF($P315="","",INDEX(GL_Journal!$I:$I,$P315))</f>
        <v/>
      </c>
      <c r="I315" s="32">
        <f>IF($P315="","",INDEX(GL_Journal!$J:$J,$P315))</f>
        <v/>
      </c>
      <c r="J315" s="32">
        <f>IF($P315="","",INDEX(GL_Journal!$K:$K,$P315))</f>
        <v/>
      </c>
      <c r="K315" s="32">
        <f>IF($P315="","",INDEX(GL_Journal!$L:$L,$P315))</f>
        <v/>
      </c>
      <c r="L315" s="43">
        <f>IF($P315="","",INDEX(GL_Journal!$M:$M,$P315))</f>
        <v/>
      </c>
      <c r="M315" s="43">
        <f>IF($P315="","",INDEX(GL_Journal!$N:$N,$P315))</f>
        <v/>
      </c>
      <c r="N315" s="47">
        <f>IF($P315="","",IF($A315=1,LG_Open,$N314)+$L315-$M315)</f>
        <v/>
      </c>
      <c r="O315" s="32">
        <f>IF($A315&gt;COUNT(GL_Journal!$Y:$Y),"",SMALL(GL_Journal!$Y:$Y,$A315))</f>
        <v/>
      </c>
      <c r="P315" s="32">
        <f>IF($O315="","",MATCH($O315,GL_Journal!$Y:$Y,0))</f>
        <v/>
      </c>
      <c r="Q315" s="32" t="inlineStr"/>
    </row>
    <row r="316">
      <c r="A316" s="32">
        <f>ROW()-12</f>
        <v/>
      </c>
      <c r="B316" s="33">
        <f>IF($P316="","",INDEX(GL_Journal!$D:$D,$P316))</f>
        <v/>
      </c>
      <c r="C316" s="32">
        <f>IF($P316="","",INDEX(GL_Journal!$C:$C,$P316))</f>
        <v/>
      </c>
      <c r="D316" s="32">
        <f>IF($P316="","",INDEX(GL_Journal!$E:$E,$P316))</f>
        <v/>
      </c>
      <c r="E316" s="32">
        <f>IF($P316="","",INDEX(GL_Journal!$F:$F,$P316))</f>
        <v/>
      </c>
      <c r="F316" s="32">
        <f>IF($P316="","",INDEX(GL_Journal!$G:$G,$P316))</f>
        <v/>
      </c>
      <c r="G316" s="32">
        <f>IF($P316="","",INDEX(GL_Journal!$H:$H,$P316))</f>
        <v/>
      </c>
      <c r="H316" s="32">
        <f>IF($P316="","",INDEX(GL_Journal!$I:$I,$P316))</f>
        <v/>
      </c>
      <c r="I316" s="32">
        <f>IF($P316="","",INDEX(GL_Journal!$J:$J,$P316))</f>
        <v/>
      </c>
      <c r="J316" s="32">
        <f>IF($P316="","",INDEX(GL_Journal!$K:$K,$P316))</f>
        <v/>
      </c>
      <c r="K316" s="32">
        <f>IF($P316="","",INDEX(GL_Journal!$L:$L,$P316))</f>
        <v/>
      </c>
      <c r="L316" s="43">
        <f>IF($P316="","",INDEX(GL_Journal!$M:$M,$P316))</f>
        <v/>
      </c>
      <c r="M316" s="43">
        <f>IF($P316="","",INDEX(GL_Journal!$N:$N,$P316))</f>
        <v/>
      </c>
      <c r="N316" s="47">
        <f>IF($P316="","",IF($A316=1,LG_Open,$N315)+$L316-$M316)</f>
        <v/>
      </c>
      <c r="O316" s="32">
        <f>IF($A316&gt;COUNT(GL_Journal!$Y:$Y),"",SMALL(GL_Journal!$Y:$Y,$A316))</f>
        <v/>
      </c>
      <c r="P316" s="32">
        <f>IF($O316="","",MATCH($O316,GL_Journal!$Y:$Y,0))</f>
        <v/>
      </c>
      <c r="Q316" s="32" t="inlineStr"/>
    </row>
    <row r="317">
      <c r="A317" s="32">
        <f>ROW()-12</f>
        <v/>
      </c>
      <c r="B317" s="33">
        <f>IF($P317="","",INDEX(GL_Journal!$D:$D,$P317))</f>
        <v/>
      </c>
      <c r="C317" s="32">
        <f>IF($P317="","",INDEX(GL_Journal!$C:$C,$P317))</f>
        <v/>
      </c>
      <c r="D317" s="32">
        <f>IF($P317="","",INDEX(GL_Journal!$E:$E,$P317))</f>
        <v/>
      </c>
      <c r="E317" s="32">
        <f>IF($P317="","",INDEX(GL_Journal!$F:$F,$P317))</f>
        <v/>
      </c>
      <c r="F317" s="32">
        <f>IF($P317="","",INDEX(GL_Journal!$G:$G,$P317))</f>
        <v/>
      </c>
      <c r="G317" s="32">
        <f>IF($P317="","",INDEX(GL_Journal!$H:$H,$P317))</f>
        <v/>
      </c>
      <c r="H317" s="32">
        <f>IF($P317="","",INDEX(GL_Journal!$I:$I,$P317))</f>
        <v/>
      </c>
      <c r="I317" s="32">
        <f>IF($P317="","",INDEX(GL_Journal!$J:$J,$P317))</f>
        <v/>
      </c>
      <c r="J317" s="32">
        <f>IF($P317="","",INDEX(GL_Journal!$K:$K,$P317))</f>
        <v/>
      </c>
      <c r="K317" s="32">
        <f>IF($P317="","",INDEX(GL_Journal!$L:$L,$P317))</f>
        <v/>
      </c>
      <c r="L317" s="43">
        <f>IF($P317="","",INDEX(GL_Journal!$M:$M,$P317))</f>
        <v/>
      </c>
      <c r="M317" s="43">
        <f>IF($P317="","",INDEX(GL_Journal!$N:$N,$P317))</f>
        <v/>
      </c>
      <c r="N317" s="47">
        <f>IF($P317="","",IF($A317=1,LG_Open,$N316)+$L317-$M317)</f>
        <v/>
      </c>
      <c r="O317" s="32">
        <f>IF($A317&gt;COUNT(GL_Journal!$Y:$Y),"",SMALL(GL_Journal!$Y:$Y,$A317))</f>
        <v/>
      </c>
      <c r="P317" s="32">
        <f>IF($O317="","",MATCH($O317,GL_Journal!$Y:$Y,0))</f>
        <v/>
      </c>
      <c r="Q317" s="32" t="inlineStr"/>
    </row>
    <row r="318">
      <c r="A318" s="32">
        <f>ROW()-12</f>
        <v/>
      </c>
      <c r="B318" s="33">
        <f>IF($P318="","",INDEX(GL_Journal!$D:$D,$P318))</f>
        <v/>
      </c>
      <c r="C318" s="32">
        <f>IF($P318="","",INDEX(GL_Journal!$C:$C,$P318))</f>
        <v/>
      </c>
      <c r="D318" s="32">
        <f>IF($P318="","",INDEX(GL_Journal!$E:$E,$P318))</f>
        <v/>
      </c>
      <c r="E318" s="32">
        <f>IF($P318="","",INDEX(GL_Journal!$F:$F,$P318))</f>
        <v/>
      </c>
      <c r="F318" s="32">
        <f>IF($P318="","",INDEX(GL_Journal!$G:$G,$P318))</f>
        <v/>
      </c>
      <c r="G318" s="32">
        <f>IF($P318="","",INDEX(GL_Journal!$H:$H,$P318))</f>
        <v/>
      </c>
      <c r="H318" s="32">
        <f>IF($P318="","",INDEX(GL_Journal!$I:$I,$P318))</f>
        <v/>
      </c>
      <c r="I318" s="32">
        <f>IF($P318="","",INDEX(GL_Journal!$J:$J,$P318))</f>
        <v/>
      </c>
      <c r="J318" s="32">
        <f>IF($P318="","",INDEX(GL_Journal!$K:$K,$P318))</f>
        <v/>
      </c>
      <c r="K318" s="32">
        <f>IF($P318="","",INDEX(GL_Journal!$L:$L,$P318))</f>
        <v/>
      </c>
      <c r="L318" s="43">
        <f>IF($P318="","",INDEX(GL_Journal!$M:$M,$P318))</f>
        <v/>
      </c>
      <c r="M318" s="43">
        <f>IF($P318="","",INDEX(GL_Journal!$N:$N,$P318))</f>
        <v/>
      </c>
      <c r="N318" s="47">
        <f>IF($P318="","",IF($A318=1,LG_Open,$N317)+$L318-$M318)</f>
        <v/>
      </c>
      <c r="O318" s="32">
        <f>IF($A318&gt;COUNT(GL_Journal!$Y:$Y),"",SMALL(GL_Journal!$Y:$Y,$A318))</f>
        <v/>
      </c>
      <c r="P318" s="32">
        <f>IF($O318="","",MATCH($O318,GL_Journal!$Y:$Y,0))</f>
        <v/>
      </c>
      <c r="Q318" s="32" t="inlineStr"/>
    </row>
    <row r="319">
      <c r="A319" s="32">
        <f>ROW()-12</f>
        <v/>
      </c>
      <c r="B319" s="33">
        <f>IF($P319="","",INDEX(GL_Journal!$D:$D,$P319))</f>
        <v/>
      </c>
      <c r="C319" s="32">
        <f>IF($P319="","",INDEX(GL_Journal!$C:$C,$P319))</f>
        <v/>
      </c>
      <c r="D319" s="32">
        <f>IF($P319="","",INDEX(GL_Journal!$E:$E,$P319))</f>
        <v/>
      </c>
      <c r="E319" s="32">
        <f>IF($P319="","",INDEX(GL_Journal!$F:$F,$P319))</f>
        <v/>
      </c>
      <c r="F319" s="32">
        <f>IF($P319="","",INDEX(GL_Journal!$G:$G,$P319))</f>
        <v/>
      </c>
      <c r="G319" s="32">
        <f>IF($P319="","",INDEX(GL_Journal!$H:$H,$P319))</f>
        <v/>
      </c>
      <c r="H319" s="32">
        <f>IF($P319="","",INDEX(GL_Journal!$I:$I,$P319))</f>
        <v/>
      </c>
      <c r="I319" s="32">
        <f>IF($P319="","",INDEX(GL_Journal!$J:$J,$P319))</f>
        <v/>
      </c>
      <c r="J319" s="32">
        <f>IF($P319="","",INDEX(GL_Journal!$K:$K,$P319))</f>
        <v/>
      </c>
      <c r="K319" s="32">
        <f>IF($P319="","",INDEX(GL_Journal!$L:$L,$P319))</f>
        <v/>
      </c>
      <c r="L319" s="43">
        <f>IF($P319="","",INDEX(GL_Journal!$M:$M,$P319))</f>
        <v/>
      </c>
      <c r="M319" s="43">
        <f>IF($P319="","",INDEX(GL_Journal!$N:$N,$P319))</f>
        <v/>
      </c>
      <c r="N319" s="47">
        <f>IF($P319="","",IF($A319=1,LG_Open,$N318)+$L319-$M319)</f>
        <v/>
      </c>
      <c r="O319" s="32">
        <f>IF($A319&gt;COUNT(GL_Journal!$Y:$Y),"",SMALL(GL_Journal!$Y:$Y,$A319))</f>
        <v/>
      </c>
      <c r="P319" s="32">
        <f>IF($O319="","",MATCH($O319,GL_Journal!$Y:$Y,0))</f>
        <v/>
      </c>
      <c r="Q319" s="32" t="inlineStr"/>
    </row>
    <row r="320">
      <c r="A320" s="32">
        <f>ROW()-12</f>
        <v/>
      </c>
      <c r="B320" s="33">
        <f>IF($P320="","",INDEX(GL_Journal!$D:$D,$P320))</f>
        <v/>
      </c>
      <c r="C320" s="32">
        <f>IF($P320="","",INDEX(GL_Journal!$C:$C,$P320))</f>
        <v/>
      </c>
      <c r="D320" s="32">
        <f>IF($P320="","",INDEX(GL_Journal!$E:$E,$P320))</f>
        <v/>
      </c>
      <c r="E320" s="32">
        <f>IF($P320="","",INDEX(GL_Journal!$F:$F,$P320))</f>
        <v/>
      </c>
      <c r="F320" s="32">
        <f>IF($P320="","",INDEX(GL_Journal!$G:$G,$P320))</f>
        <v/>
      </c>
      <c r="G320" s="32">
        <f>IF($P320="","",INDEX(GL_Journal!$H:$H,$P320))</f>
        <v/>
      </c>
      <c r="H320" s="32">
        <f>IF($P320="","",INDEX(GL_Journal!$I:$I,$P320))</f>
        <v/>
      </c>
      <c r="I320" s="32">
        <f>IF($P320="","",INDEX(GL_Journal!$J:$J,$P320))</f>
        <v/>
      </c>
      <c r="J320" s="32">
        <f>IF($P320="","",INDEX(GL_Journal!$K:$K,$P320))</f>
        <v/>
      </c>
      <c r="K320" s="32">
        <f>IF($P320="","",INDEX(GL_Journal!$L:$L,$P320))</f>
        <v/>
      </c>
      <c r="L320" s="43">
        <f>IF($P320="","",INDEX(GL_Journal!$M:$M,$P320))</f>
        <v/>
      </c>
      <c r="M320" s="43">
        <f>IF($P320="","",INDEX(GL_Journal!$N:$N,$P320))</f>
        <v/>
      </c>
      <c r="N320" s="47">
        <f>IF($P320="","",IF($A320=1,LG_Open,$N319)+$L320-$M320)</f>
        <v/>
      </c>
      <c r="O320" s="32">
        <f>IF($A320&gt;COUNT(GL_Journal!$Y:$Y),"",SMALL(GL_Journal!$Y:$Y,$A320))</f>
        <v/>
      </c>
      <c r="P320" s="32">
        <f>IF($O320="","",MATCH($O320,GL_Journal!$Y:$Y,0))</f>
        <v/>
      </c>
      <c r="Q320" s="32" t="inlineStr"/>
    </row>
    <row r="321">
      <c r="A321" s="32">
        <f>ROW()-12</f>
        <v/>
      </c>
      <c r="B321" s="33">
        <f>IF($P321="","",INDEX(GL_Journal!$D:$D,$P321))</f>
        <v/>
      </c>
      <c r="C321" s="32">
        <f>IF($P321="","",INDEX(GL_Journal!$C:$C,$P321))</f>
        <v/>
      </c>
      <c r="D321" s="32">
        <f>IF($P321="","",INDEX(GL_Journal!$E:$E,$P321))</f>
        <v/>
      </c>
      <c r="E321" s="32">
        <f>IF($P321="","",INDEX(GL_Journal!$F:$F,$P321))</f>
        <v/>
      </c>
      <c r="F321" s="32">
        <f>IF($P321="","",INDEX(GL_Journal!$G:$G,$P321))</f>
        <v/>
      </c>
      <c r="G321" s="32">
        <f>IF($P321="","",INDEX(GL_Journal!$H:$H,$P321))</f>
        <v/>
      </c>
      <c r="H321" s="32">
        <f>IF($P321="","",INDEX(GL_Journal!$I:$I,$P321))</f>
        <v/>
      </c>
      <c r="I321" s="32">
        <f>IF($P321="","",INDEX(GL_Journal!$J:$J,$P321))</f>
        <v/>
      </c>
      <c r="J321" s="32">
        <f>IF($P321="","",INDEX(GL_Journal!$K:$K,$P321))</f>
        <v/>
      </c>
      <c r="K321" s="32">
        <f>IF($P321="","",INDEX(GL_Journal!$L:$L,$P321))</f>
        <v/>
      </c>
      <c r="L321" s="43">
        <f>IF($P321="","",INDEX(GL_Journal!$M:$M,$P321))</f>
        <v/>
      </c>
      <c r="M321" s="43">
        <f>IF($P321="","",INDEX(GL_Journal!$N:$N,$P321))</f>
        <v/>
      </c>
      <c r="N321" s="47">
        <f>IF($P321="","",IF($A321=1,LG_Open,$N320)+$L321-$M321)</f>
        <v/>
      </c>
      <c r="O321" s="32">
        <f>IF($A321&gt;COUNT(GL_Journal!$Y:$Y),"",SMALL(GL_Journal!$Y:$Y,$A321))</f>
        <v/>
      </c>
      <c r="P321" s="32">
        <f>IF($O321="","",MATCH($O321,GL_Journal!$Y:$Y,0))</f>
        <v/>
      </c>
      <c r="Q321" s="32" t="inlineStr"/>
    </row>
    <row r="322">
      <c r="A322" s="32">
        <f>ROW()-12</f>
        <v/>
      </c>
      <c r="B322" s="33">
        <f>IF($P322="","",INDEX(GL_Journal!$D:$D,$P322))</f>
        <v/>
      </c>
      <c r="C322" s="32">
        <f>IF($P322="","",INDEX(GL_Journal!$C:$C,$P322))</f>
        <v/>
      </c>
      <c r="D322" s="32">
        <f>IF($P322="","",INDEX(GL_Journal!$E:$E,$P322))</f>
        <v/>
      </c>
      <c r="E322" s="32">
        <f>IF($P322="","",INDEX(GL_Journal!$F:$F,$P322))</f>
        <v/>
      </c>
      <c r="F322" s="32">
        <f>IF($P322="","",INDEX(GL_Journal!$G:$G,$P322))</f>
        <v/>
      </c>
      <c r="G322" s="32">
        <f>IF($P322="","",INDEX(GL_Journal!$H:$H,$P322))</f>
        <v/>
      </c>
      <c r="H322" s="32">
        <f>IF($P322="","",INDEX(GL_Journal!$I:$I,$P322))</f>
        <v/>
      </c>
      <c r="I322" s="32">
        <f>IF($P322="","",INDEX(GL_Journal!$J:$J,$P322))</f>
        <v/>
      </c>
      <c r="J322" s="32">
        <f>IF($P322="","",INDEX(GL_Journal!$K:$K,$P322))</f>
        <v/>
      </c>
      <c r="K322" s="32">
        <f>IF($P322="","",INDEX(GL_Journal!$L:$L,$P322))</f>
        <v/>
      </c>
      <c r="L322" s="43">
        <f>IF($P322="","",INDEX(GL_Journal!$M:$M,$P322))</f>
        <v/>
      </c>
      <c r="M322" s="43">
        <f>IF($P322="","",INDEX(GL_Journal!$N:$N,$P322))</f>
        <v/>
      </c>
      <c r="N322" s="47">
        <f>IF($P322="","",IF($A322=1,LG_Open,$N321)+$L322-$M322)</f>
        <v/>
      </c>
      <c r="O322" s="32">
        <f>IF($A322&gt;COUNT(GL_Journal!$Y:$Y),"",SMALL(GL_Journal!$Y:$Y,$A322))</f>
        <v/>
      </c>
      <c r="P322" s="32">
        <f>IF($O322="","",MATCH($O322,GL_Journal!$Y:$Y,0))</f>
        <v/>
      </c>
      <c r="Q322" s="32" t="inlineStr"/>
    </row>
    <row r="323">
      <c r="A323" s="32">
        <f>ROW()-12</f>
        <v/>
      </c>
      <c r="B323" s="33">
        <f>IF($P323="","",INDEX(GL_Journal!$D:$D,$P323))</f>
        <v/>
      </c>
      <c r="C323" s="32">
        <f>IF($P323="","",INDEX(GL_Journal!$C:$C,$P323))</f>
        <v/>
      </c>
      <c r="D323" s="32">
        <f>IF($P323="","",INDEX(GL_Journal!$E:$E,$P323))</f>
        <v/>
      </c>
      <c r="E323" s="32">
        <f>IF($P323="","",INDEX(GL_Journal!$F:$F,$P323))</f>
        <v/>
      </c>
      <c r="F323" s="32">
        <f>IF($P323="","",INDEX(GL_Journal!$G:$G,$P323))</f>
        <v/>
      </c>
      <c r="G323" s="32">
        <f>IF($P323="","",INDEX(GL_Journal!$H:$H,$P323))</f>
        <v/>
      </c>
      <c r="H323" s="32">
        <f>IF($P323="","",INDEX(GL_Journal!$I:$I,$P323))</f>
        <v/>
      </c>
      <c r="I323" s="32">
        <f>IF($P323="","",INDEX(GL_Journal!$J:$J,$P323))</f>
        <v/>
      </c>
      <c r="J323" s="32">
        <f>IF($P323="","",INDEX(GL_Journal!$K:$K,$P323))</f>
        <v/>
      </c>
      <c r="K323" s="32">
        <f>IF($P323="","",INDEX(GL_Journal!$L:$L,$P323))</f>
        <v/>
      </c>
      <c r="L323" s="43">
        <f>IF($P323="","",INDEX(GL_Journal!$M:$M,$P323))</f>
        <v/>
      </c>
      <c r="M323" s="43">
        <f>IF($P323="","",INDEX(GL_Journal!$N:$N,$P323))</f>
        <v/>
      </c>
      <c r="N323" s="47">
        <f>IF($P323="","",IF($A323=1,LG_Open,$N322)+$L323-$M323)</f>
        <v/>
      </c>
      <c r="O323" s="32">
        <f>IF($A323&gt;COUNT(GL_Journal!$Y:$Y),"",SMALL(GL_Journal!$Y:$Y,$A323))</f>
        <v/>
      </c>
      <c r="P323" s="32">
        <f>IF($O323="","",MATCH($O323,GL_Journal!$Y:$Y,0))</f>
        <v/>
      </c>
      <c r="Q323" s="32" t="inlineStr"/>
    </row>
    <row r="324">
      <c r="A324" s="32">
        <f>ROW()-12</f>
        <v/>
      </c>
      <c r="B324" s="33">
        <f>IF($P324="","",INDEX(GL_Journal!$D:$D,$P324))</f>
        <v/>
      </c>
      <c r="C324" s="32">
        <f>IF($P324="","",INDEX(GL_Journal!$C:$C,$P324))</f>
        <v/>
      </c>
      <c r="D324" s="32">
        <f>IF($P324="","",INDEX(GL_Journal!$E:$E,$P324))</f>
        <v/>
      </c>
      <c r="E324" s="32">
        <f>IF($P324="","",INDEX(GL_Journal!$F:$F,$P324))</f>
        <v/>
      </c>
      <c r="F324" s="32">
        <f>IF($P324="","",INDEX(GL_Journal!$G:$G,$P324))</f>
        <v/>
      </c>
      <c r="G324" s="32">
        <f>IF($P324="","",INDEX(GL_Journal!$H:$H,$P324))</f>
        <v/>
      </c>
      <c r="H324" s="32">
        <f>IF($P324="","",INDEX(GL_Journal!$I:$I,$P324))</f>
        <v/>
      </c>
      <c r="I324" s="32">
        <f>IF($P324="","",INDEX(GL_Journal!$J:$J,$P324))</f>
        <v/>
      </c>
      <c r="J324" s="32">
        <f>IF($P324="","",INDEX(GL_Journal!$K:$K,$P324))</f>
        <v/>
      </c>
      <c r="K324" s="32">
        <f>IF($P324="","",INDEX(GL_Journal!$L:$L,$P324))</f>
        <v/>
      </c>
      <c r="L324" s="43">
        <f>IF($P324="","",INDEX(GL_Journal!$M:$M,$P324))</f>
        <v/>
      </c>
      <c r="M324" s="43">
        <f>IF($P324="","",INDEX(GL_Journal!$N:$N,$P324))</f>
        <v/>
      </c>
      <c r="N324" s="47">
        <f>IF($P324="","",IF($A324=1,LG_Open,$N323)+$L324-$M324)</f>
        <v/>
      </c>
      <c r="O324" s="32">
        <f>IF($A324&gt;COUNT(GL_Journal!$Y:$Y),"",SMALL(GL_Journal!$Y:$Y,$A324))</f>
        <v/>
      </c>
      <c r="P324" s="32">
        <f>IF($O324="","",MATCH($O324,GL_Journal!$Y:$Y,0))</f>
        <v/>
      </c>
      <c r="Q324" s="32" t="inlineStr"/>
    </row>
    <row r="325">
      <c r="A325" s="32">
        <f>ROW()-12</f>
        <v/>
      </c>
      <c r="B325" s="33">
        <f>IF($P325="","",INDEX(GL_Journal!$D:$D,$P325))</f>
        <v/>
      </c>
      <c r="C325" s="32">
        <f>IF($P325="","",INDEX(GL_Journal!$C:$C,$P325))</f>
        <v/>
      </c>
      <c r="D325" s="32">
        <f>IF($P325="","",INDEX(GL_Journal!$E:$E,$P325))</f>
        <v/>
      </c>
      <c r="E325" s="32">
        <f>IF($P325="","",INDEX(GL_Journal!$F:$F,$P325))</f>
        <v/>
      </c>
      <c r="F325" s="32">
        <f>IF($P325="","",INDEX(GL_Journal!$G:$G,$P325))</f>
        <v/>
      </c>
      <c r="G325" s="32">
        <f>IF($P325="","",INDEX(GL_Journal!$H:$H,$P325))</f>
        <v/>
      </c>
      <c r="H325" s="32">
        <f>IF($P325="","",INDEX(GL_Journal!$I:$I,$P325))</f>
        <v/>
      </c>
      <c r="I325" s="32">
        <f>IF($P325="","",INDEX(GL_Journal!$J:$J,$P325))</f>
        <v/>
      </c>
      <c r="J325" s="32">
        <f>IF($P325="","",INDEX(GL_Journal!$K:$K,$P325))</f>
        <v/>
      </c>
      <c r="K325" s="32">
        <f>IF($P325="","",INDEX(GL_Journal!$L:$L,$P325))</f>
        <v/>
      </c>
      <c r="L325" s="43">
        <f>IF($P325="","",INDEX(GL_Journal!$M:$M,$P325))</f>
        <v/>
      </c>
      <c r="M325" s="43">
        <f>IF($P325="","",INDEX(GL_Journal!$N:$N,$P325))</f>
        <v/>
      </c>
      <c r="N325" s="47">
        <f>IF($P325="","",IF($A325=1,LG_Open,$N324)+$L325-$M325)</f>
        <v/>
      </c>
      <c r="O325" s="32">
        <f>IF($A325&gt;COUNT(GL_Journal!$Y:$Y),"",SMALL(GL_Journal!$Y:$Y,$A325))</f>
        <v/>
      </c>
      <c r="P325" s="32">
        <f>IF($O325="","",MATCH($O325,GL_Journal!$Y:$Y,0))</f>
        <v/>
      </c>
      <c r="Q325" s="32" t="inlineStr"/>
    </row>
    <row r="326">
      <c r="A326" s="32">
        <f>ROW()-12</f>
        <v/>
      </c>
      <c r="B326" s="33">
        <f>IF($P326="","",INDEX(GL_Journal!$D:$D,$P326))</f>
        <v/>
      </c>
      <c r="C326" s="32">
        <f>IF($P326="","",INDEX(GL_Journal!$C:$C,$P326))</f>
        <v/>
      </c>
      <c r="D326" s="32">
        <f>IF($P326="","",INDEX(GL_Journal!$E:$E,$P326))</f>
        <v/>
      </c>
      <c r="E326" s="32">
        <f>IF($P326="","",INDEX(GL_Journal!$F:$F,$P326))</f>
        <v/>
      </c>
      <c r="F326" s="32">
        <f>IF($P326="","",INDEX(GL_Journal!$G:$G,$P326))</f>
        <v/>
      </c>
      <c r="G326" s="32">
        <f>IF($P326="","",INDEX(GL_Journal!$H:$H,$P326))</f>
        <v/>
      </c>
      <c r="H326" s="32">
        <f>IF($P326="","",INDEX(GL_Journal!$I:$I,$P326))</f>
        <v/>
      </c>
      <c r="I326" s="32">
        <f>IF($P326="","",INDEX(GL_Journal!$J:$J,$P326))</f>
        <v/>
      </c>
      <c r="J326" s="32">
        <f>IF($P326="","",INDEX(GL_Journal!$K:$K,$P326))</f>
        <v/>
      </c>
      <c r="K326" s="32">
        <f>IF($P326="","",INDEX(GL_Journal!$L:$L,$P326))</f>
        <v/>
      </c>
      <c r="L326" s="43">
        <f>IF($P326="","",INDEX(GL_Journal!$M:$M,$P326))</f>
        <v/>
      </c>
      <c r="M326" s="43">
        <f>IF($P326="","",INDEX(GL_Journal!$N:$N,$P326))</f>
        <v/>
      </c>
      <c r="N326" s="47">
        <f>IF($P326="","",IF($A326=1,LG_Open,$N325)+$L326-$M326)</f>
        <v/>
      </c>
      <c r="O326" s="32">
        <f>IF($A326&gt;COUNT(GL_Journal!$Y:$Y),"",SMALL(GL_Journal!$Y:$Y,$A326))</f>
        <v/>
      </c>
      <c r="P326" s="32">
        <f>IF($O326="","",MATCH($O326,GL_Journal!$Y:$Y,0))</f>
        <v/>
      </c>
      <c r="Q326" s="32" t="inlineStr"/>
    </row>
    <row r="327">
      <c r="A327" s="32">
        <f>ROW()-12</f>
        <v/>
      </c>
      <c r="B327" s="33">
        <f>IF($P327="","",INDEX(GL_Journal!$D:$D,$P327))</f>
        <v/>
      </c>
      <c r="C327" s="32">
        <f>IF($P327="","",INDEX(GL_Journal!$C:$C,$P327))</f>
        <v/>
      </c>
      <c r="D327" s="32">
        <f>IF($P327="","",INDEX(GL_Journal!$E:$E,$P327))</f>
        <v/>
      </c>
      <c r="E327" s="32">
        <f>IF($P327="","",INDEX(GL_Journal!$F:$F,$P327))</f>
        <v/>
      </c>
      <c r="F327" s="32">
        <f>IF($P327="","",INDEX(GL_Journal!$G:$G,$P327))</f>
        <v/>
      </c>
      <c r="G327" s="32">
        <f>IF($P327="","",INDEX(GL_Journal!$H:$H,$P327))</f>
        <v/>
      </c>
      <c r="H327" s="32">
        <f>IF($P327="","",INDEX(GL_Journal!$I:$I,$P327))</f>
        <v/>
      </c>
      <c r="I327" s="32">
        <f>IF($P327="","",INDEX(GL_Journal!$J:$J,$P327))</f>
        <v/>
      </c>
      <c r="J327" s="32">
        <f>IF($P327="","",INDEX(GL_Journal!$K:$K,$P327))</f>
        <v/>
      </c>
      <c r="K327" s="32">
        <f>IF($P327="","",INDEX(GL_Journal!$L:$L,$P327))</f>
        <v/>
      </c>
      <c r="L327" s="43">
        <f>IF($P327="","",INDEX(GL_Journal!$M:$M,$P327))</f>
        <v/>
      </c>
      <c r="M327" s="43">
        <f>IF($P327="","",INDEX(GL_Journal!$N:$N,$P327))</f>
        <v/>
      </c>
      <c r="N327" s="47">
        <f>IF($P327="","",IF($A327=1,LG_Open,$N326)+$L327-$M327)</f>
        <v/>
      </c>
      <c r="O327" s="32">
        <f>IF($A327&gt;COUNT(GL_Journal!$Y:$Y),"",SMALL(GL_Journal!$Y:$Y,$A327))</f>
        <v/>
      </c>
      <c r="P327" s="32">
        <f>IF($O327="","",MATCH($O327,GL_Journal!$Y:$Y,0))</f>
        <v/>
      </c>
      <c r="Q327" s="32" t="inlineStr"/>
    </row>
    <row r="328">
      <c r="A328" s="32">
        <f>ROW()-12</f>
        <v/>
      </c>
      <c r="B328" s="33">
        <f>IF($P328="","",INDEX(GL_Journal!$D:$D,$P328))</f>
        <v/>
      </c>
      <c r="C328" s="32">
        <f>IF($P328="","",INDEX(GL_Journal!$C:$C,$P328))</f>
        <v/>
      </c>
      <c r="D328" s="32">
        <f>IF($P328="","",INDEX(GL_Journal!$E:$E,$P328))</f>
        <v/>
      </c>
      <c r="E328" s="32">
        <f>IF($P328="","",INDEX(GL_Journal!$F:$F,$P328))</f>
        <v/>
      </c>
      <c r="F328" s="32">
        <f>IF($P328="","",INDEX(GL_Journal!$G:$G,$P328))</f>
        <v/>
      </c>
      <c r="G328" s="32">
        <f>IF($P328="","",INDEX(GL_Journal!$H:$H,$P328))</f>
        <v/>
      </c>
      <c r="H328" s="32">
        <f>IF($P328="","",INDEX(GL_Journal!$I:$I,$P328))</f>
        <v/>
      </c>
      <c r="I328" s="32">
        <f>IF($P328="","",INDEX(GL_Journal!$J:$J,$P328))</f>
        <v/>
      </c>
      <c r="J328" s="32">
        <f>IF($P328="","",INDEX(GL_Journal!$K:$K,$P328))</f>
        <v/>
      </c>
      <c r="K328" s="32">
        <f>IF($P328="","",INDEX(GL_Journal!$L:$L,$P328))</f>
        <v/>
      </c>
      <c r="L328" s="43">
        <f>IF($P328="","",INDEX(GL_Journal!$M:$M,$P328))</f>
        <v/>
      </c>
      <c r="M328" s="43">
        <f>IF($P328="","",INDEX(GL_Journal!$N:$N,$P328))</f>
        <v/>
      </c>
      <c r="N328" s="47">
        <f>IF($P328="","",IF($A328=1,LG_Open,$N327)+$L328-$M328)</f>
        <v/>
      </c>
      <c r="O328" s="32">
        <f>IF($A328&gt;COUNT(GL_Journal!$Y:$Y),"",SMALL(GL_Journal!$Y:$Y,$A328))</f>
        <v/>
      </c>
      <c r="P328" s="32">
        <f>IF($O328="","",MATCH($O328,GL_Journal!$Y:$Y,0))</f>
        <v/>
      </c>
      <c r="Q328" s="32" t="inlineStr"/>
    </row>
    <row r="329">
      <c r="A329" s="32">
        <f>ROW()-12</f>
        <v/>
      </c>
      <c r="B329" s="33">
        <f>IF($P329="","",INDEX(GL_Journal!$D:$D,$P329))</f>
        <v/>
      </c>
      <c r="C329" s="32">
        <f>IF($P329="","",INDEX(GL_Journal!$C:$C,$P329))</f>
        <v/>
      </c>
      <c r="D329" s="32">
        <f>IF($P329="","",INDEX(GL_Journal!$E:$E,$P329))</f>
        <v/>
      </c>
      <c r="E329" s="32">
        <f>IF($P329="","",INDEX(GL_Journal!$F:$F,$P329))</f>
        <v/>
      </c>
      <c r="F329" s="32">
        <f>IF($P329="","",INDEX(GL_Journal!$G:$G,$P329))</f>
        <v/>
      </c>
      <c r="G329" s="32">
        <f>IF($P329="","",INDEX(GL_Journal!$H:$H,$P329))</f>
        <v/>
      </c>
      <c r="H329" s="32">
        <f>IF($P329="","",INDEX(GL_Journal!$I:$I,$P329))</f>
        <v/>
      </c>
      <c r="I329" s="32">
        <f>IF($P329="","",INDEX(GL_Journal!$J:$J,$P329))</f>
        <v/>
      </c>
      <c r="J329" s="32">
        <f>IF($P329="","",INDEX(GL_Journal!$K:$K,$P329))</f>
        <v/>
      </c>
      <c r="K329" s="32">
        <f>IF($P329="","",INDEX(GL_Journal!$L:$L,$P329))</f>
        <v/>
      </c>
      <c r="L329" s="43">
        <f>IF($P329="","",INDEX(GL_Journal!$M:$M,$P329))</f>
        <v/>
      </c>
      <c r="M329" s="43">
        <f>IF($P329="","",INDEX(GL_Journal!$N:$N,$P329))</f>
        <v/>
      </c>
      <c r="N329" s="47">
        <f>IF($P329="","",IF($A329=1,LG_Open,$N328)+$L329-$M329)</f>
        <v/>
      </c>
      <c r="O329" s="32">
        <f>IF($A329&gt;COUNT(GL_Journal!$Y:$Y),"",SMALL(GL_Journal!$Y:$Y,$A329))</f>
        <v/>
      </c>
      <c r="P329" s="32">
        <f>IF($O329="","",MATCH($O329,GL_Journal!$Y:$Y,0))</f>
        <v/>
      </c>
      <c r="Q329" s="32" t="inlineStr"/>
    </row>
    <row r="330">
      <c r="A330" s="32">
        <f>ROW()-12</f>
        <v/>
      </c>
      <c r="B330" s="33">
        <f>IF($P330="","",INDEX(GL_Journal!$D:$D,$P330))</f>
        <v/>
      </c>
      <c r="C330" s="32">
        <f>IF($P330="","",INDEX(GL_Journal!$C:$C,$P330))</f>
        <v/>
      </c>
      <c r="D330" s="32">
        <f>IF($P330="","",INDEX(GL_Journal!$E:$E,$P330))</f>
        <v/>
      </c>
      <c r="E330" s="32">
        <f>IF($P330="","",INDEX(GL_Journal!$F:$F,$P330))</f>
        <v/>
      </c>
      <c r="F330" s="32">
        <f>IF($P330="","",INDEX(GL_Journal!$G:$G,$P330))</f>
        <v/>
      </c>
      <c r="G330" s="32">
        <f>IF($P330="","",INDEX(GL_Journal!$H:$H,$P330))</f>
        <v/>
      </c>
      <c r="H330" s="32">
        <f>IF($P330="","",INDEX(GL_Journal!$I:$I,$P330))</f>
        <v/>
      </c>
      <c r="I330" s="32">
        <f>IF($P330="","",INDEX(GL_Journal!$J:$J,$P330))</f>
        <v/>
      </c>
      <c r="J330" s="32">
        <f>IF($P330="","",INDEX(GL_Journal!$K:$K,$P330))</f>
        <v/>
      </c>
      <c r="K330" s="32">
        <f>IF($P330="","",INDEX(GL_Journal!$L:$L,$P330))</f>
        <v/>
      </c>
      <c r="L330" s="43">
        <f>IF($P330="","",INDEX(GL_Journal!$M:$M,$P330))</f>
        <v/>
      </c>
      <c r="M330" s="43">
        <f>IF($P330="","",INDEX(GL_Journal!$N:$N,$P330))</f>
        <v/>
      </c>
      <c r="N330" s="47">
        <f>IF($P330="","",IF($A330=1,LG_Open,$N329)+$L330-$M330)</f>
        <v/>
      </c>
      <c r="O330" s="32">
        <f>IF($A330&gt;COUNT(GL_Journal!$Y:$Y),"",SMALL(GL_Journal!$Y:$Y,$A330))</f>
        <v/>
      </c>
      <c r="P330" s="32">
        <f>IF($O330="","",MATCH($O330,GL_Journal!$Y:$Y,0))</f>
        <v/>
      </c>
      <c r="Q330" s="32" t="inlineStr"/>
    </row>
    <row r="331">
      <c r="A331" s="32">
        <f>ROW()-12</f>
        <v/>
      </c>
      <c r="B331" s="33">
        <f>IF($P331="","",INDEX(GL_Journal!$D:$D,$P331))</f>
        <v/>
      </c>
      <c r="C331" s="32">
        <f>IF($P331="","",INDEX(GL_Journal!$C:$C,$P331))</f>
        <v/>
      </c>
      <c r="D331" s="32">
        <f>IF($P331="","",INDEX(GL_Journal!$E:$E,$P331))</f>
        <v/>
      </c>
      <c r="E331" s="32">
        <f>IF($P331="","",INDEX(GL_Journal!$F:$F,$P331))</f>
        <v/>
      </c>
      <c r="F331" s="32">
        <f>IF($P331="","",INDEX(GL_Journal!$G:$G,$P331))</f>
        <v/>
      </c>
      <c r="G331" s="32">
        <f>IF($P331="","",INDEX(GL_Journal!$H:$H,$P331))</f>
        <v/>
      </c>
      <c r="H331" s="32">
        <f>IF($P331="","",INDEX(GL_Journal!$I:$I,$P331))</f>
        <v/>
      </c>
      <c r="I331" s="32">
        <f>IF($P331="","",INDEX(GL_Journal!$J:$J,$P331))</f>
        <v/>
      </c>
      <c r="J331" s="32">
        <f>IF($P331="","",INDEX(GL_Journal!$K:$K,$P331))</f>
        <v/>
      </c>
      <c r="K331" s="32">
        <f>IF($P331="","",INDEX(GL_Journal!$L:$L,$P331))</f>
        <v/>
      </c>
      <c r="L331" s="43">
        <f>IF($P331="","",INDEX(GL_Journal!$M:$M,$P331))</f>
        <v/>
      </c>
      <c r="M331" s="43">
        <f>IF($P331="","",INDEX(GL_Journal!$N:$N,$P331))</f>
        <v/>
      </c>
      <c r="N331" s="47">
        <f>IF($P331="","",IF($A331=1,LG_Open,$N330)+$L331-$M331)</f>
        <v/>
      </c>
      <c r="O331" s="32">
        <f>IF($A331&gt;COUNT(GL_Journal!$Y:$Y),"",SMALL(GL_Journal!$Y:$Y,$A331))</f>
        <v/>
      </c>
      <c r="P331" s="32">
        <f>IF($O331="","",MATCH($O331,GL_Journal!$Y:$Y,0))</f>
        <v/>
      </c>
      <c r="Q331" s="32" t="inlineStr"/>
    </row>
    <row r="332">
      <c r="A332" s="32">
        <f>ROW()-12</f>
        <v/>
      </c>
      <c r="B332" s="33">
        <f>IF($P332="","",INDEX(GL_Journal!$D:$D,$P332))</f>
        <v/>
      </c>
      <c r="C332" s="32">
        <f>IF($P332="","",INDEX(GL_Journal!$C:$C,$P332))</f>
        <v/>
      </c>
      <c r="D332" s="32">
        <f>IF($P332="","",INDEX(GL_Journal!$E:$E,$P332))</f>
        <v/>
      </c>
      <c r="E332" s="32">
        <f>IF($P332="","",INDEX(GL_Journal!$F:$F,$P332))</f>
        <v/>
      </c>
      <c r="F332" s="32">
        <f>IF($P332="","",INDEX(GL_Journal!$G:$G,$P332))</f>
        <v/>
      </c>
      <c r="G332" s="32">
        <f>IF($P332="","",INDEX(GL_Journal!$H:$H,$P332))</f>
        <v/>
      </c>
      <c r="H332" s="32">
        <f>IF($P332="","",INDEX(GL_Journal!$I:$I,$P332))</f>
        <v/>
      </c>
      <c r="I332" s="32">
        <f>IF($P332="","",INDEX(GL_Journal!$J:$J,$P332))</f>
        <v/>
      </c>
      <c r="J332" s="32">
        <f>IF($P332="","",INDEX(GL_Journal!$K:$K,$P332))</f>
        <v/>
      </c>
      <c r="K332" s="32">
        <f>IF($P332="","",INDEX(GL_Journal!$L:$L,$P332))</f>
        <v/>
      </c>
      <c r="L332" s="43">
        <f>IF($P332="","",INDEX(GL_Journal!$M:$M,$P332))</f>
        <v/>
      </c>
      <c r="M332" s="43">
        <f>IF($P332="","",INDEX(GL_Journal!$N:$N,$P332))</f>
        <v/>
      </c>
      <c r="N332" s="47">
        <f>IF($P332="","",IF($A332=1,LG_Open,$N331)+$L332-$M332)</f>
        <v/>
      </c>
      <c r="O332" s="32">
        <f>IF($A332&gt;COUNT(GL_Journal!$Y:$Y),"",SMALL(GL_Journal!$Y:$Y,$A332))</f>
        <v/>
      </c>
      <c r="P332" s="32">
        <f>IF($O332="","",MATCH($O332,GL_Journal!$Y:$Y,0))</f>
        <v/>
      </c>
      <c r="Q332" s="32" t="inlineStr"/>
    </row>
    <row r="333">
      <c r="A333" s="32">
        <f>ROW()-12</f>
        <v/>
      </c>
      <c r="B333" s="33">
        <f>IF($P333="","",INDEX(GL_Journal!$D:$D,$P333))</f>
        <v/>
      </c>
      <c r="C333" s="32">
        <f>IF($P333="","",INDEX(GL_Journal!$C:$C,$P333))</f>
        <v/>
      </c>
      <c r="D333" s="32">
        <f>IF($P333="","",INDEX(GL_Journal!$E:$E,$P333))</f>
        <v/>
      </c>
      <c r="E333" s="32">
        <f>IF($P333="","",INDEX(GL_Journal!$F:$F,$P333))</f>
        <v/>
      </c>
      <c r="F333" s="32">
        <f>IF($P333="","",INDEX(GL_Journal!$G:$G,$P333))</f>
        <v/>
      </c>
      <c r="G333" s="32">
        <f>IF($P333="","",INDEX(GL_Journal!$H:$H,$P333))</f>
        <v/>
      </c>
      <c r="H333" s="32">
        <f>IF($P333="","",INDEX(GL_Journal!$I:$I,$P333))</f>
        <v/>
      </c>
      <c r="I333" s="32">
        <f>IF($P333="","",INDEX(GL_Journal!$J:$J,$P333))</f>
        <v/>
      </c>
      <c r="J333" s="32">
        <f>IF($P333="","",INDEX(GL_Journal!$K:$K,$P333))</f>
        <v/>
      </c>
      <c r="K333" s="32">
        <f>IF($P333="","",INDEX(GL_Journal!$L:$L,$P333))</f>
        <v/>
      </c>
      <c r="L333" s="43">
        <f>IF($P333="","",INDEX(GL_Journal!$M:$M,$P333))</f>
        <v/>
      </c>
      <c r="M333" s="43">
        <f>IF($P333="","",INDEX(GL_Journal!$N:$N,$P333))</f>
        <v/>
      </c>
      <c r="N333" s="47">
        <f>IF($P333="","",IF($A333=1,LG_Open,$N332)+$L333-$M333)</f>
        <v/>
      </c>
      <c r="O333" s="32">
        <f>IF($A333&gt;COUNT(GL_Journal!$Y:$Y),"",SMALL(GL_Journal!$Y:$Y,$A333))</f>
        <v/>
      </c>
      <c r="P333" s="32">
        <f>IF($O333="","",MATCH($O333,GL_Journal!$Y:$Y,0))</f>
        <v/>
      </c>
      <c r="Q333" s="32" t="inlineStr"/>
    </row>
    <row r="334">
      <c r="A334" s="32">
        <f>ROW()-12</f>
        <v/>
      </c>
      <c r="B334" s="33">
        <f>IF($P334="","",INDEX(GL_Journal!$D:$D,$P334))</f>
        <v/>
      </c>
      <c r="C334" s="32">
        <f>IF($P334="","",INDEX(GL_Journal!$C:$C,$P334))</f>
        <v/>
      </c>
      <c r="D334" s="32">
        <f>IF($P334="","",INDEX(GL_Journal!$E:$E,$P334))</f>
        <v/>
      </c>
      <c r="E334" s="32">
        <f>IF($P334="","",INDEX(GL_Journal!$F:$F,$P334))</f>
        <v/>
      </c>
      <c r="F334" s="32">
        <f>IF($P334="","",INDEX(GL_Journal!$G:$G,$P334))</f>
        <v/>
      </c>
      <c r="G334" s="32">
        <f>IF($P334="","",INDEX(GL_Journal!$H:$H,$P334))</f>
        <v/>
      </c>
      <c r="H334" s="32">
        <f>IF($P334="","",INDEX(GL_Journal!$I:$I,$P334))</f>
        <v/>
      </c>
      <c r="I334" s="32">
        <f>IF($P334="","",INDEX(GL_Journal!$J:$J,$P334))</f>
        <v/>
      </c>
      <c r="J334" s="32">
        <f>IF($P334="","",INDEX(GL_Journal!$K:$K,$P334))</f>
        <v/>
      </c>
      <c r="K334" s="32">
        <f>IF($P334="","",INDEX(GL_Journal!$L:$L,$P334))</f>
        <v/>
      </c>
      <c r="L334" s="43">
        <f>IF($P334="","",INDEX(GL_Journal!$M:$M,$P334))</f>
        <v/>
      </c>
      <c r="M334" s="43">
        <f>IF($P334="","",INDEX(GL_Journal!$N:$N,$P334))</f>
        <v/>
      </c>
      <c r="N334" s="47">
        <f>IF($P334="","",IF($A334=1,LG_Open,$N333)+$L334-$M334)</f>
        <v/>
      </c>
      <c r="O334" s="32">
        <f>IF($A334&gt;COUNT(GL_Journal!$Y:$Y),"",SMALL(GL_Journal!$Y:$Y,$A334))</f>
        <v/>
      </c>
      <c r="P334" s="32">
        <f>IF($O334="","",MATCH($O334,GL_Journal!$Y:$Y,0))</f>
        <v/>
      </c>
      <c r="Q334" s="32" t="inlineStr"/>
    </row>
    <row r="335">
      <c r="A335" s="32">
        <f>ROW()-12</f>
        <v/>
      </c>
      <c r="B335" s="33">
        <f>IF($P335="","",INDEX(GL_Journal!$D:$D,$P335))</f>
        <v/>
      </c>
      <c r="C335" s="32">
        <f>IF($P335="","",INDEX(GL_Journal!$C:$C,$P335))</f>
        <v/>
      </c>
      <c r="D335" s="32">
        <f>IF($P335="","",INDEX(GL_Journal!$E:$E,$P335))</f>
        <v/>
      </c>
      <c r="E335" s="32">
        <f>IF($P335="","",INDEX(GL_Journal!$F:$F,$P335))</f>
        <v/>
      </c>
      <c r="F335" s="32">
        <f>IF($P335="","",INDEX(GL_Journal!$G:$G,$P335))</f>
        <v/>
      </c>
      <c r="G335" s="32">
        <f>IF($P335="","",INDEX(GL_Journal!$H:$H,$P335))</f>
        <v/>
      </c>
      <c r="H335" s="32">
        <f>IF($P335="","",INDEX(GL_Journal!$I:$I,$P335))</f>
        <v/>
      </c>
      <c r="I335" s="32">
        <f>IF($P335="","",INDEX(GL_Journal!$J:$J,$P335))</f>
        <v/>
      </c>
      <c r="J335" s="32">
        <f>IF($P335="","",INDEX(GL_Journal!$K:$K,$P335))</f>
        <v/>
      </c>
      <c r="K335" s="32">
        <f>IF($P335="","",INDEX(GL_Journal!$L:$L,$P335))</f>
        <v/>
      </c>
      <c r="L335" s="43">
        <f>IF($P335="","",INDEX(GL_Journal!$M:$M,$P335))</f>
        <v/>
      </c>
      <c r="M335" s="43">
        <f>IF($P335="","",INDEX(GL_Journal!$N:$N,$P335))</f>
        <v/>
      </c>
      <c r="N335" s="47">
        <f>IF($P335="","",IF($A335=1,LG_Open,$N334)+$L335-$M335)</f>
        <v/>
      </c>
      <c r="O335" s="32">
        <f>IF($A335&gt;COUNT(GL_Journal!$Y:$Y),"",SMALL(GL_Journal!$Y:$Y,$A335))</f>
        <v/>
      </c>
      <c r="P335" s="32">
        <f>IF($O335="","",MATCH($O335,GL_Journal!$Y:$Y,0))</f>
        <v/>
      </c>
      <c r="Q335" s="32" t="inlineStr"/>
    </row>
    <row r="336">
      <c r="A336" s="32">
        <f>ROW()-12</f>
        <v/>
      </c>
      <c r="B336" s="33">
        <f>IF($P336="","",INDEX(GL_Journal!$D:$D,$P336))</f>
        <v/>
      </c>
      <c r="C336" s="32">
        <f>IF($P336="","",INDEX(GL_Journal!$C:$C,$P336))</f>
        <v/>
      </c>
      <c r="D336" s="32">
        <f>IF($P336="","",INDEX(GL_Journal!$E:$E,$P336))</f>
        <v/>
      </c>
      <c r="E336" s="32">
        <f>IF($P336="","",INDEX(GL_Journal!$F:$F,$P336))</f>
        <v/>
      </c>
      <c r="F336" s="32">
        <f>IF($P336="","",INDEX(GL_Journal!$G:$G,$P336))</f>
        <v/>
      </c>
      <c r="G336" s="32">
        <f>IF($P336="","",INDEX(GL_Journal!$H:$H,$P336))</f>
        <v/>
      </c>
      <c r="H336" s="32">
        <f>IF($P336="","",INDEX(GL_Journal!$I:$I,$P336))</f>
        <v/>
      </c>
      <c r="I336" s="32">
        <f>IF($P336="","",INDEX(GL_Journal!$J:$J,$P336))</f>
        <v/>
      </c>
      <c r="J336" s="32">
        <f>IF($P336="","",INDEX(GL_Journal!$K:$K,$P336))</f>
        <v/>
      </c>
      <c r="K336" s="32">
        <f>IF($P336="","",INDEX(GL_Journal!$L:$L,$P336))</f>
        <v/>
      </c>
      <c r="L336" s="43">
        <f>IF($P336="","",INDEX(GL_Journal!$M:$M,$P336))</f>
        <v/>
      </c>
      <c r="M336" s="43">
        <f>IF($P336="","",INDEX(GL_Journal!$N:$N,$P336))</f>
        <v/>
      </c>
      <c r="N336" s="47">
        <f>IF($P336="","",IF($A336=1,LG_Open,$N335)+$L336-$M336)</f>
        <v/>
      </c>
      <c r="O336" s="32">
        <f>IF($A336&gt;COUNT(GL_Journal!$Y:$Y),"",SMALL(GL_Journal!$Y:$Y,$A336))</f>
        <v/>
      </c>
      <c r="P336" s="32">
        <f>IF($O336="","",MATCH($O336,GL_Journal!$Y:$Y,0))</f>
        <v/>
      </c>
      <c r="Q336" s="32" t="inlineStr"/>
    </row>
    <row r="337">
      <c r="A337" s="32">
        <f>ROW()-12</f>
        <v/>
      </c>
      <c r="B337" s="33">
        <f>IF($P337="","",INDEX(GL_Journal!$D:$D,$P337))</f>
        <v/>
      </c>
      <c r="C337" s="32">
        <f>IF($P337="","",INDEX(GL_Journal!$C:$C,$P337))</f>
        <v/>
      </c>
      <c r="D337" s="32">
        <f>IF($P337="","",INDEX(GL_Journal!$E:$E,$P337))</f>
        <v/>
      </c>
      <c r="E337" s="32">
        <f>IF($P337="","",INDEX(GL_Journal!$F:$F,$P337))</f>
        <v/>
      </c>
      <c r="F337" s="32">
        <f>IF($P337="","",INDEX(GL_Journal!$G:$G,$P337))</f>
        <v/>
      </c>
      <c r="G337" s="32">
        <f>IF($P337="","",INDEX(GL_Journal!$H:$H,$P337))</f>
        <v/>
      </c>
      <c r="H337" s="32">
        <f>IF($P337="","",INDEX(GL_Journal!$I:$I,$P337))</f>
        <v/>
      </c>
      <c r="I337" s="32">
        <f>IF($P337="","",INDEX(GL_Journal!$J:$J,$P337))</f>
        <v/>
      </c>
      <c r="J337" s="32">
        <f>IF($P337="","",INDEX(GL_Journal!$K:$K,$P337))</f>
        <v/>
      </c>
      <c r="K337" s="32">
        <f>IF($P337="","",INDEX(GL_Journal!$L:$L,$P337))</f>
        <v/>
      </c>
      <c r="L337" s="43">
        <f>IF($P337="","",INDEX(GL_Journal!$M:$M,$P337))</f>
        <v/>
      </c>
      <c r="M337" s="43">
        <f>IF($P337="","",INDEX(GL_Journal!$N:$N,$P337))</f>
        <v/>
      </c>
      <c r="N337" s="47">
        <f>IF($P337="","",IF($A337=1,LG_Open,$N336)+$L337-$M337)</f>
        <v/>
      </c>
      <c r="O337" s="32">
        <f>IF($A337&gt;COUNT(GL_Journal!$Y:$Y),"",SMALL(GL_Journal!$Y:$Y,$A337))</f>
        <v/>
      </c>
      <c r="P337" s="32">
        <f>IF($O337="","",MATCH($O337,GL_Journal!$Y:$Y,0))</f>
        <v/>
      </c>
      <c r="Q337" s="32" t="inlineStr"/>
    </row>
    <row r="338">
      <c r="A338" s="32">
        <f>ROW()-12</f>
        <v/>
      </c>
      <c r="B338" s="33">
        <f>IF($P338="","",INDEX(GL_Journal!$D:$D,$P338))</f>
        <v/>
      </c>
      <c r="C338" s="32">
        <f>IF($P338="","",INDEX(GL_Journal!$C:$C,$P338))</f>
        <v/>
      </c>
      <c r="D338" s="32">
        <f>IF($P338="","",INDEX(GL_Journal!$E:$E,$P338))</f>
        <v/>
      </c>
      <c r="E338" s="32">
        <f>IF($P338="","",INDEX(GL_Journal!$F:$F,$P338))</f>
        <v/>
      </c>
      <c r="F338" s="32">
        <f>IF($P338="","",INDEX(GL_Journal!$G:$G,$P338))</f>
        <v/>
      </c>
      <c r="G338" s="32">
        <f>IF($P338="","",INDEX(GL_Journal!$H:$H,$P338))</f>
        <v/>
      </c>
      <c r="H338" s="32">
        <f>IF($P338="","",INDEX(GL_Journal!$I:$I,$P338))</f>
        <v/>
      </c>
      <c r="I338" s="32">
        <f>IF($P338="","",INDEX(GL_Journal!$J:$J,$P338))</f>
        <v/>
      </c>
      <c r="J338" s="32">
        <f>IF($P338="","",INDEX(GL_Journal!$K:$K,$P338))</f>
        <v/>
      </c>
      <c r="K338" s="32">
        <f>IF($P338="","",INDEX(GL_Journal!$L:$L,$P338))</f>
        <v/>
      </c>
      <c r="L338" s="43">
        <f>IF($P338="","",INDEX(GL_Journal!$M:$M,$P338))</f>
        <v/>
      </c>
      <c r="M338" s="43">
        <f>IF($P338="","",INDEX(GL_Journal!$N:$N,$P338))</f>
        <v/>
      </c>
      <c r="N338" s="47">
        <f>IF($P338="","",IF($A338=1,LG_Open,$N337)+$L338-$M338)</f>
        <v/>
      </c>
      <c r="O338" s="32">
        <f>IF($A338&gt;COUNT(GL_Journal!$Y:$Y),"",SMALL(GL_Journal!$Y:$Y,$A338))</f>
        <v/>
      </c>
      <c r="P338" s="32">
        <f>IF($O338="","",MATCH($O338,GL_Journal!$Y:$Y,0))</f>
        <v/>
      </c>
      <c r="Q338" s="32" t="inlineStr"/>
    </row>
    <row r="339">
      <c r="A339" s="32">
        <f>ROW()-12</f>
        <v/>
      </c>
      <c r="B339" s="33">
        <f>IF($P339="","",INDEX(GL_Journal!$D:$D,$P339))</f>
        <v/>
      </c>
      <c r="C339" s="32">
        <f>IF($P339="","",INDEX(GL_Journal!$C:$C,$P339))</f>
        <v/>
      </c>
      <c r="D339" s="32">
        <f>IF($P339="","",INDEX(GL_Journal!$E:$E,$P339))</f>
        <v/>
      </c>
      <c r="E339" s="32">
        <f>IF($P339="","",INDEX(GL_Journal!$F:$F,$P339))</f>
        <v/>
      </c>
      <c r="F339" s="32">
        <f>IF($P339="","",INDEX(GL_Journal!$G:$G,$P339))</f>
        <v/>
      </c>
      <c r="G339" s="32">
        <f>IF($P339="","",INDEX(GL_Journal!$H:$H,$P339))</f>
        <v/>
      </c>
      <c r="H339" s="32">
        <f>IF($P339="","",INDEX(GL_Journal!$I:$I,$P339))</f>
        <v/>
      </c>
      <c r="I339" s="32">
        <f>IF($P339="","",INDEX(GL_Journal!$J:$J,$P339))</f>
        <v/>
      </c>
      <c r="J339" s="32">
        <f>IF($P339="","",INDEX(GL_Journal!$K:$K,$P339))</f>
        <v/>
      </c>
      <c r="K339" s="32">
        <f>IF($P339="","",INDEX(GL_Journal!$L:$L,$P339))</f>
        <v/>
      </c>
      <c r="L339" s="43">
        <f>IF($P339="","",INDEX(GL_Journal!$M:$M,$P339))</f>
        <v/>
      </c>
      <c r="M339" s="43">
        <f>IF($P339="","",INDEX(GL_Journal!$N:$N,$P339))</f>
        <v/>
      </c>
      <c r="N339" s="47">
        <f>IF($P339="","",IF($A339=1,LG_Open,$N338)+$L339-$M339)</f>
        <v/>
      </c>
      <c r="O339" s="32">
        <f>IF($A339&gt;COUNT(GL_Journal!$Y:$Y),"",SMALL(GL_Journal!$Y:$Y,$A339))</f>
        <v/>
      </c>
      <c r="P339" s="32">
        <f>IF($O339="","",MATCH($O339,GL_Journal!$Y:$Y,0))</f>
        <v/>
      </c>
      <c r="Q339" s="32" t="inlineStr"/>
    </row>
    <row r="340">
      <c r="A340" s="32">
        <f>ROW()-12</f>
        <v/>
      </c>
      <c r="B340" s="33">
        <f>IF($P340="","",INDEX(GL_Journal!$D:$D,$P340))</f>
        <v/>
      </c>
      <c r="C340" s="32">
        <f>IF($P340="","",INDEX(GL_Journal!$C:$C,$P340))</f>
        <v/>
      </c>
      <c r="D340" s="32">
        <f>IF($P340="","",INDEX(GL_Journal!$E:$E,$P340))</f>
        <v/>
      </c>
      <c r="E340" s="32">
        <f>IF($P340="","",INDEX(GL_Journal!$F:$F,$P340))</f>
        <v/>
      </c>
      <c r="F340" s="32">
        <f>IF($P340="","",INDEX(GL_Journal!$G:$G,$P340))</f>
        <v/>
      </c>
      <c r="G340" s="32">
        <f>IF($P340="","",INDEX(GL_Journal!$H:$H,$P340))</f>
        <v/>
      </c>
      <c r="H340" s="32">
        <f>IF($P340="","",INDEX(GL_Journal!$I:$I,$P340))</f>
        <v/>
      </c>
      <c r="I340" s="32">
        <f>IF($P340="","",INDEX(GL_Journal!$J:$J,$P340))</f>
        <v/>
      </c>
      <c r="J340" s="32">
        <f>IF($P340="","",INDEX(GL_Journal!$K:$K,$P340))</f>
        <v/>
      </c>
      <c r="K340" s="32">
        <f>IF($P340="","",INDEX(GL_Journal!$L:$L,$P340))</f>
        <v/>
      </c>
      <c r="L340" s="43">
        <f>IF($P340="","",INDEX(GL_Journal!$M:$M,$P340))</f>
        <v/>
      </c>
      <c r="M340" s="43">
        <f>IF($P340="","",INDEX(GL_Journal!$N:$N,$P340))</f>
        <v/>
      </c>
      <c r="N340" s="47">
        <f>IF($P340="","",IF($A340=1,LG_Open,$N339)+$L340-$M340)</f>
        <v/>
      </c>
      <c r="O340" s="32">
        <f>IF($A340&gt;COUNT(GL_Journal!$Y:$Y),"",SMALL(GL_Journal!$Y:$Y,$A340))</f>
        <v/>
      </c>
      <c r="P340" s="32">
        <f>IF($O340="","",MATCH($O340,GL_Journal!$Y:$Y,0))</f>
        <v/>
      </c>
      <c r="Q340" s="32" t="inlineStr"/>
    </row>
    <row r="341">
      <c r="A341" s="32">
        <f>ROW()-12</f>
        <v/>
      </c>
      <c r="B341" s="33">
        <f>IF($P341="","",INDEX(GL_Journal!$D:$D,$P341))</f>
        <v/>
      </c>
      <c r="C341" s="32">
        <f>IF($P341="","",INDEX(GL_Journal!$C:$C,$P341))</f>
        <v/>
      </c>
      <c r="D341" s="32">
        <f>IF($P341="","",INDEX(GL_Journal!$E:$E,$P341))</f>
        <v/>
      </c>
      <c r="E341" s="32">
        <f>IF($P341="","",INDEX(GL_Journal!$F:$F,$P341))</f>
        <v/>
      </c>
      <c r="F341" s="32">
        <f>IF($P341="","",INDEX(GL_Journal!$G:$G,$P341))</f>
        <v/>
      </c>
      <c r="G341" s="32">
        <f>IF($P341="","",INDEX(GL_Journal!$H:$H,$P341))</f>
        <v/>
      </c>
      <c r="H341" s="32">
        <f>IF($P341="","",INDEX(GL_Journal!$I:$I,$P341))</f>
        <v/>
      </c>
      <c r="I341" s="32">
        <f>IF($P341="","",INDEX(GL_Journal!$J:$J,$P341))</f>
        <v/>
      </c>
      <c r="J341" s="32">
        <f>IF($P341="","",INDEX(GL_Journal!$K:$K,$P341))</f>
        <v/>
      </c>
      <c r="K341" s="32">
        <f>IF($P341="","",INDEX(GL_Journal!$L:$L,$P341))</f>
        <v/>
      </c>
      <c r="L341" s="43">
        <f>IF($P341="","",INDEX(GL_Journal!$M:$M,$P341))</f>
        <v/>
      </c>
      <c r="M341" s="43">
        <f>IF($P341="","",INDEX(GL_Journal!$N:$N,$P341))</f>
        <v/>
      </c>
      <c r="N341" s="47">
        <f>IF($P341="","",IF($A341=1,LG_Open,$N340)+$L341-$M341)</f>
        <v/>
      </c>
      <c r="O341" s="32">
        <f>IF($A341&gt;COUNT(GL_Journal!$Y:$Y),"",SMALL(GL_Journal!$Y:$Y,$A341))</f>
        <v/>
      </c>
      <c r="P341" s="32">
        <f>IF($O341="","",MATCH($O341,GL_Journal!$Y:$Y,0))</f>
        <v/>
      </c>
      <c r="Q341" s="32" t="inlineStr"/>
    </row>
    <row r="342">
      <c r="A342" s="32">
        <f>ROW()-12</f>
        <v/>
      </c>
      <c r="B342" s="33">
        <f>IF($P342="","",INDEX(GL_Journal!$D:$D,$P342))</f>
        <v/>
      </c>
      <c r="C342" s="32">
        <f>IF($P342="","",INDEX(GL_Journal!$C:$C,$P342))</f>
        <v/>
      </c>
      <c r="D342" s="32">
        <f>IF($P342="","",INDEX(GL_Journal!$E:$E,$P342))</f>
        <v/>
      </c>
      <c r="E342" s="32">
        <f>IF($P342="","",INDEX(GL_Journal!$F:$F,$P342))</f>
        <v/>
      </c>
      <c r="F342" s="32">
        <f>IF($P342="","",INDEX(GL_Journal!$G:$G,$P342))</f>
        <v/>
      </c>
      <c r="G342" s="32">
        <f>IF($P342="","",INDEX(GL_Journal!$H:$H,$P342))</f>
        <v/>
      </c>
      <c r="H342" s="32">
        <f>IF($P342="","",INDEX(GL_Journal!$I:$I,$P342))</f>
        <v/>
      </c>
      <c r="I342" s="32">
        <f>IF($P342="","",INDEX(GL_Journal!$J:$J,$P342))</f>
        <v/>
      </c>
      <c r="J342" s="32">
        <f>IF($P342="","",INDEX(GL_Journal!$K:$K,$P342))</f>
        <v/>
      </c>
      <c r="K342" s="32">
        <f>IF($P342="","",INDEX(GL_Journal!$L:$L,$P342))</f>
        <v/>
      </c>
      <c r="L342" s="43">
        <f>IF($P342="","",INDEX(GL_Journal!$M:$M,$P342))</f>
        <v/>
      </c>
      <c r="M342" s="43">
        <f>IF($P342="","",INDEX(GL_Journal!$N:$N,$P342))</f>
        <v/>
      </c>
      <c r="N342" s="47">
        <f>IF($P342="","",IF($A342=1,LG_Open,$N341)+$L342-$M342)</f>
        <v/>
      </c>
      <c r="O342" s="32">
        <f>IF($A342&gt;COUNT(GL_Journal!$Y:$Y),"",SMALL(GL_Journal!$Y:$Y,$A342))</f>
        <v/>
      </c>
      <c r="P342" s="32">
        <f>IF($O342="","",MATCH($O342,GL_Journal!$Y:$Y,0))</f>
        <v/>
      </c>
      <c r="Q342" s="32" t="inlineStr"/>
    </row>
    <row r="343">
      <c r="A343" s="32">
        <f>ROW()-12</f>
        <v/>
      </c>
      <c r="B343" s="33">
        <f>IF($P343="","",INDEX(GL_Journal!$D:$D,$P343))</f>
        <v/>
      </c>
      <c r="C343" s="32">
        <f>IF($P343="","",INDEX(GL_Journal!$C:$C,$P343))</f>
        <v/>
      </c>
      <c r="D343" s="32">
        <f>IF($P343="","",INDEX(GL_Journal!$E:$E,$P343))</f>
        <v/>
      </c>
      <c r="E343" s="32">
        <f>IF($P343="","",INDEX(GL_Journal!$F:$F,$P343))</f>
        <v/>
      </c>
      <c r="F343" s="32">
        <f>IF($P343="","",INDEX(GL_Journal!$G:$G,$P343))</f>
        <v/>
      </c>
      <c r="G343" s="32">
        <f>IF($P343="","",INDEX(GL_Journal!$H:$H,$P343))</f>
        <v/>
      </c>
      <c r="H343" s="32">
        <f>IF($P343="","",INDEX(GL_Journal!$I:$I,$P343))</f>
        <v/>
      </c>
      <c r="I343" s="32">
        <f>IF($P343="","",INDEX(GL_Journal!$J:$J,$P343))</f>
        <v/>
      </c>
      <c r="J343" s="32">
        <f>IF($P343="","",INDEX(GL_Journal!$K:$K,$P343))</f>
        <v/>
      </c>
      <c r="K343" s="32">
        <f>IF($P343="","",INDEX(GL_Journal!$L:$L,$P343))</f>
        <v/>
      </c>
      <c r="L343" s="43">
        <f>IF($P343="","",INDEX(GL_Journal!$M:$M,$P343))</f>
        <v/>
      </c>
      <c r="M343" s="43">
        <f>IF($P343="","",INDEX(GL_Journal!$N:$N,$P343))</f>
        <v/>
      </c>
      <c r="N343" s="47">
        <f>IF($P343="","",IF($A343=1,LG_Open,$N342)+$L343-$M343)</f>
        <v/>
      </c>
      <c r="O343" s="32">
        <f>IF($A343&gt;COUNT(GL_Journal!$Y:$Y),"",SMALL(GL_Journal!$Y:$Y,$A343))</f>
        <v/>
      </c>
      <c r="P343" s="32">
        <f>IF($O343="","",MATCH($O343,GL_Journal!$Y:$Y,0))</f>
        <v/>
      </c>
      <c r="Q343" s="32" t="inlineStr"/>
    </row>
    <row r="344">
      <c r="A344" s="32">
        <f>ROW()-12</f>
        <v/>
      </c>
      <c r="B344" s="33">
        <f>IF($P344="","",INDEX(GL_Journal!$D:$D,$P344))</f>
        <v/>
      </c>
      <c r="C344" s="32">
        <f>IF($P344="","",INDEX(GL_Journal!$C:$C,$P344))</f>
        <v/>
      </c>
      <c r="D344" s="32">
        <f>IF($P344="","",INDEX(GL_Journal!$E:$E,$P344))</f>
        <v/>
      </c>
      <c r="E344" s="32">
        <f>IF($P344="","",INDEX(GL_Journal!$F:$F,$P344))</f>
        <v/>
      </c>
      <c r="F344" s="32">
        <f>IF($P344="","",INDEX(GL_Journal!$G:$G,$P344))</f>
        <v/>
      </c>
      <c r="G344" s="32">
        <f>IF($P344="","",INDEX(GL_Journal!$H:$H,$P344))</f>
        <v/>
      </c>
      <c r="H344" s="32">
        <f>IF($P344="","",INDEX(GL_Journal!$I:$I,$P344))</f>
        <v/>
      </c>
      <c r="I344" s="32">
        <f>IF($P344="","",INDEX(GL_Journal!$J:$J,$P344))</f>
        <v/>
      </c>
      <c r="J344" s="32">
        <f>IF($P344="","",INDEX(GL_Journal!$K:$K,$P344))</f>
        <v/>
      </c>
      <c r="K344" s="32">
        <f>IF($P344="","",INDEX(GL_Journal!$L:$L,$P344))</f>
        <v/>
      </c>
      <c r="L344" s="43">
        <f>IF($P344="","",INDEX(GL_Journal!$M:$M,$P344))</f>
        <v/>
      </c>
      <c r="M344" s="43">
        <f>IF($P344="","",INDEX(GL_Journal!$N:$N,$P344))</f>
        <v/>
      </c>
      <c r="N344" s="47">
        <f>IF($P344="","",IF($A344=1,LG_Open,$N343)+$L344-$M344)</f>
        <v/>
      </c>
      <c r="O344" s="32">
        <f>IF($A344&gt;COUNT(GL_Journal!$Y:$Y),"",SMALL(GL_Journal!$Y:$Y,$A344))</f>
        <v/>
      </c>
      <c r="P344" s="32">
        <f>IF($O344="","",MATCH($O344,GL_Journal!$Y:$Y,0))</f>
        <v/>
      </c>
      <c r="Q344" s="32" t="inlineStr"/>
    </row>
    <row r="345">
      <c r="A345" s="32">
        <f>ROW()-12</f>
        <v/>
      </c>
      <c r="B345" s="33">
        <f>IF($P345="","",INDEX(GL_Journal!$D:$D,$P345))</f>
        <v/>
      </c>
      <c r="C345" s="32">
        <f>IF($P345="","",INDEX(GL_Journal!$C:$C,$P345))</f>
        <v/>
      </c>
      <c r="D345" s="32">
        <f>IF($P345="","",INDEX(GL_Journal!$E:$E,$P345))</f>
        <v/>
      </c>
      <c r="E345" s="32">
        <f>IF($P345="","",INDEX(GL_Journal!$F:$F,$P345))</f>
        <v/>
      </c>
      <c r="F345" s="32">
        <f>IF($P345="","",INDEX(GL_Journal!$G:$G,$P345))</f>
        <v/>
      </c>
      <c r="G345" s="32">
        <f>IF($P345="","",INDEX(GL_Journal!$H:$H,$P345))</f>
        <v/>
      </c>
      <c r="H345" s="32">
        <f>IF($P345="","",INDEX(GL_Journal!$I:$I,$P345))</f>
        <v/>
      </c>
      <c r="I345" s="32">
        <f>IF($P345="","",INDEX(GL_Journal!$J:$J,$P345))</f>
        <v/>
      </c>
      <c r="J345" s="32">
        <f>IF($P345="","",INDEX(GL_Journal!$K:$K,$P345))</f>
        <v/>
      </c>
      <c r="K345" s="32">
        <f>IF($P345="","",INDEX(GL_Journal!$L:$L,$P345))</f>
        <v/>
      </c>
      <c r="L345" s="43">
        <f>IF($P345="","",INDEX(GL_Journal!$M:$M,$P345))</f>
        <v/>
      </c>
      <c r="M345" s="43">
        <f>IF($P345="","",INDEX(GL_Journal!$N:$N,$P345))</f>
        <v/>
      </c>
      <c r="N345" s="47">
        <f>IF($P345="","",IF($A345=1,LG_Open,$N344)+$L345-$M345)</f>
        <v/>
      </c>
      <c r="O345" s="32">
        <f>IF($A345&gt;COUNT(GL_Journal!$Y:$Y),"",SMALL(GL_Journal!$Y:$Y,$A345))</f>
        <v/>
      </c>
      <c r="P345" s="32">
        <f>IF($O345="","",MATCH($O345,GL_Journal!$Y:$Y,0))</f>
        <v/>
      </c>
      <c r="Q345" s="32" t="inlineStr"/>
    </row>
    <row r="346">
      <c r="A346" s="32">
        <f>ROW()-12</f>
        <v/>
      </c>
      <c r="B346" s="33">
        <f>IF($P346="","",INDEX(GL_Journal!$D:$D,$P346))</f>
        <v/>
      </c>
      <c r="C346" s="32">
        <f>IF($P346="","",INDEX(GL_Journal!$C:$C,$P346))</f>
        <v/>
      </c>
      <c r="D346" s="32">
        <f>IF($P346="","",INDEX(GL_Journal!$E:$E,$P346))</f>
        <v/>
      </c>
      <c r="E346" s="32">
        <f>IF($P346="","",INDEX(GL_Journal!$F:$F,$P346))</f>
        <v/>
      </c>
      <c r="F346" s="32">
        <f>IF($P346="","",INDEX(GL_Journal!$G:$G,$P346))</f>
        <v/>
      </c>
      <c r="G346" s="32">
        <f>IF($P346="","",INDEX(GL_Journal!$H:$H,$P346))</f>
        <v/>
      </c>
      <c r="H346" s="32">
        <f>IF($P346="","",INDEX(GL_Journal!$I:$I,$P346))</f>
        <v/>
      </c>
      <c r="I346" s="32">
        <f>IF($P346="","",INDEX(GL_Journal!$J:$J,$P346))</f>
        <v/>
      </c>
      <c r="J346" s="32">
        <f>IF($P346="","",INDEX(GL_Journal!$K:$K,$P346))</f>
        <v/>
      </c>
      <c r="K346" s="32">
        <f>IF($P346="","",INDEX(GL_Journal!$L:$L,$P346))</f>
        <v/>
      </c>
      <c r="L346" s="43">
        <f>IF($P346="","",INDEX(GL_Journal!$M:$M,$P346))</f>
        <v/>
      </c>
      <c r="M346" s="43">
        <f>IF($P346="","",INDEX(GL_Journal!$N:$N,$P346))</f>
        <v/>
      </c>
      <c r="N346" s="47">
        <f>IF($P346="","",IF($A346=1,LG_Open,$N345)+$L346-$M346)</f>
        <v/>
      </c>
      <c r="O346" s="32">
        <f>IF($A346&gt;COUNT(GL_Journal!$Y:$Y),"",SMALL(GL_Journal!$Y:$Y,$A346))</f>
        <v/>
      </c>
      <c r="P346" s="32">
        <f>IF($O346="","",MATCH($O346,GL_Journal!$Y:$Y,0))</f>
        <v/>
      </c>
      <c r="Q346" s="32" t="inlineStr"/>
    </row>
    <row r="347">
      <c r="A347" s="32">
        <f>ROW()-12</f>
        <v/>
      </c>
      <c r="B347" s="33">
        <f>IF($P347="","",INDEX(GL_Journal!$D:$D,$P347))</f>
        <v/>
      </c>
      <c r="C347" s="32">
        <f>IF($P347="","",INDEX(GL_Journal!$C:$C,$P347))</f>
        <v/>
      </c>
      <c r="D347" s="32">
        <f>IF($P347="","",INDEX(GL_Journal!$E:$E,$P347))</f>
        <v/>
      </c>
      <c r="E347" s="32">
        <f>IF($P347="","",INDEX(GL_Journal!$F:$F,$P347))</f>
        <v/>
      </c>
      <c r="F347" s="32">
        <f>IF($P347="","",INDEX(GL_Journal!$G:$G,$P347))</f>
        <v/>
      </c>
      <c r="G347" s="32">
        <f>IF($P347="","",INDEX(GL_Journal!$H:$H,$P347))</f>
        <v/>
      </c>
      <c r="H347" s="32">
        <f>IF($P347="","",INDEX(GL_Journal!$I:$I,$P347))</f>
        <v/>
      </c>
      <c r="I347" s="32">
        <f>IF($P347="","",INDEX(GL_Journal!$J:$J,$P347))</f>
        <v/>
      </c>
      <c r="J347" s="32">
        <f>IF($P347="","",INDEX(GL_Journal!$K:$K,$P347))</f>
        <v/>
      </c>
      <c r="K347" s="32">
        <f>IF($P347="","",INDEX(GL_Journal!$L:$L,$P347))</f>
        <v/>
      </c>
      <c r="L347" s="43">
        <f>IF($P347="","",INDEX(GL_Journal!$M:$M,$P347))</f>
        <v/>
      </c>
      <c r="M347" s="43">
        <f>IF($P347="","",INDEX(GL_Journal!$N:$N,$P347))</f>
        <v/>
      </c>
      <c r="N347" s="47">
        <f>IF($P347="","",IF($A347=1,LG_Open,$N346)+$L347-$M347)</f>
        <v/>
      </c>
      <c r="O347" s="32">
        <f>IF($A347&gt;COUNT(GL_Journal!$Y:$Y),"",SMALL(GL_Journal!$Y:$Y,$A347))</f>
        <v/>
      </c>
      <c r="P347" s="32">
        <f>IF($O347="","",MATCH($O347,GL_Journal!$Y:$Y,0))</f>
        <v/>
      </c>
      <c r="Q347" s="32" t="inlineStr"/>
    </row>
    <row r="348">
      <c r="A348" s="32">
        <f>ROW()-12</f>
        <v/>
      </c>
      <c r="B348" s="33">
        <f>IF($P348="","",INDEX(GL_Journal!$D:$D,$P348))</f>
        <v/>
      </c>
      <c r="C348" s="32">
        <f>IF($P348="","",INDEX(GL_Journal!$C:$C,$P348))</f>
        <v/>
      </c>
      <c r="D348" s="32">
        <f>IF($P348="","",INDEX(GL_Journal!$E:$E,$P348))</f>
        <v/>
      </c>
      <c r="E348" s="32">
        <f>IF($P348="","",INDEX(GL_Journal!$F:$F,$P348))</f>
        <v/>
      </c>
      <c r="F348" s="32">
        <f>IF($P348="","",INDEX(GL_Journal!$G:$G,$P348))</f>
        <v/>
      </c>
      <c r="G348" s="32">
        <f>IF($P348="","",INDEX(GL_Journal!$H:$H,$P348))</f>
        <v/>
      </c>
      <c r="H348" s="32">
        <f>IF($P348="","",INDEX(GL_Journal!$I:$I,$P348))</f>
        <v/>
      </c>
      <c r="I348" s="32">
        <f>IF($P348="","",INDEX(GL_Journal!$J:$J,$P348))</f>
        <v/>
      </c>
      <c r="J348" s="32">
        <f>IF($P348="","",INDEX(GL_Journal!$K:$K,$P348))</f>
        <v/>
      </c>
      <c r="K348" s="32">
        <f>IF($P348="","",INDEX(GL_Journal!$L:$L,$P348))</f>
        <v/>
      </c>
      <c r="L348" s="43">
        <f>IF($P348="","",INDEX(GL_Journal!$M:$M,$P348))</f>
        <v/>
      </c>
      <c r="M348" s="43">
        <f>IF($P348="","",INDEX(GL_Journal!$N:$N,$P348))</f>
        <v/>
      </c>
      <c r="N348" s="47">
        <f>IF($P348="","",IF($A348=1,LG_Open,$N347)+$L348-$M348)</f>
        <v/>
      </c>
      <c r="O348" s="32">
        <f>IF($A348&gt;COUNT(GL_Journal!$Y:$Y),"",SMALL(GL_Journal!$Y:$Y,$A348))</f>
        <v/>
      </c>
      <c r="P348" s="32">
        <f>IF($O348="","",MATCH($O348,GL_Journal!$Y:$Y,0))</f>
        <v/>
      </c>
      <c r="Q348" s="32" t="inlineStr"/>
    </row>
    <row r="349">
      <c r="A349" s="32">
        <f>ROW()-12</f>
        <v/>
      </c>
      <c r="B349" s="33">
        <f>IF($P349="","",INDEX(GL_Journal!$D:$D,$P349))</f>
        <v/>
      </c>
      <c r="C349" s="32">
        <f>IF($P349="","",INDEX(GL_Journal!$C:$C,$P349))</f>
        <v/>
      </c>
      <c r="D349" s="32">
        <f>IF($P349="","",INDEX(GL_Journal!$E:$E,$P349))</f>
        <v/>
      </c>
      <c r="E349" s="32">
        <f>IF($P349="","",INDEX(GL_Journal!$F:$F,$P349))</f>
        <v/>
      </c>
      <c r="F349" s="32">
        <f>IF($P349="","",INDEX(GL_Journal!$G:$G,$P349))</f>
        <v/>
      </c>
      <c r="G349" s="32">
        <f>IF($P349="","",INDEX(GL_Journal!$H:$H,$P349))</f>
        <v/>
      </c>
      <c r="H349" s="32">
        <f>IF($P349="","",INDEX(GL_Journal!$I:$I,$P349))</f>
        <v/>
      </c>
      <c r="I349" s="32">
        <f>IF($P349="","",INDEX(GL_Journal!$J:$J,$P349))</f>
        <v/>
      </c>
      <c r="J349" s="32">
        <f>IF($P349="","",INDEX(GL_Journal!$K:$K,$P349))</f>
        <v/>
      </c>
      <c r="K349" s="32">
        <f>IF($P349="","",INDEX(GL_Journal!$L:$L,$P349))</f>
        <v/>
      </c>
      <c r="L349" s="43">
        <f>IF($P349="","",INDEX(GL_Journal!$M:$M,$P349))</f>
        <v/>
      </c>
      <c r="M349" s="43">
        <f>IF($P349="","",INDEX(GL_Journal!$N:$N,$P349))</f>
        <v/>
      </c>
      <c r="N349" s="47">
        <f>IF($P349="","",IF($A349=1,LG_Open,$N348)+$L349-$M349)</f>
        <v/>
      </c>
      <c r="O349" s="32">
        <f>IF($A349&gt;COUNT(GL_Journal!$Y:$Y),"",SMALL(GL_Journal!$Y:$Y,$A349))</f>
        <v/>
      </c>
      <c r="P349" s="32">
        <f>IF($O349="","",MATCH($O349,GL_Journal!$Y:$Y,0))</f>
        <v/>
      </c>
      <c r="Q349" s="32" t="inlineStr"/>
    </row>
    <row r="350">
      <c r="A350" s="32">
        <f>ROW()-12</f>
        <v/>
      </c>
      <c r="B350" s="33">
        <f>IF($P350="","",INDEX(GL_Journal!$D:$D,$P350))</f>
        <v/>
      </c>
      <c r="C350" s="32">
        <f>IF($P350="","",INDEX(GL_Journal!$C:$C,$P350))</f>
        <v/>
      </c>
      <c r="D350" s="32">
        <f>IF($P350="","",INDEX(GL_Journal!$E:$E,$P350))</f>
        <v/>
      </c>
      <c r="E350" s="32">
        <f>IF($P350="","",INDEX(GL_Journal!$F:$F,$P350))</f>
        <v/>
      </c>
      <c r="F350" s="32">
        <f>IF($P350="","",INDEX(GL_Journal!$G:$G,$P350))</f>
        <v/>
      </c>
      <c r="G350" s="32">
        <f>IF($P350="","",INDEX(GL_Journal!$H:$H,$P350))</f>
        <v/>
      </c>
      <c r="H350" s="32">
        <f>IF($P350="","",INDEX(GL_Journal!$I:$I,$P350))</f>
        <v/>
      </c>
      <c r="I350" s="32">
        <f>IF($P350="","",INDEX(GL_Journal!$J:$J,$P350))</f>
        <v/>
      </c>
      <c r="J350" s="32">
        <f>IF($P350="","",INDEX(GL_Journal!$K:$K,$P350))</f>
        <v/>
      </c>
      <c r="K350" s="32">
        <f>IF($P350="","",INDEX(GL_Journal!$L:$L,$P350))</f>
        <v/>
      </c>
      <c r="L350" s="43">
        <f>IF($P350="","",INDEX(GL_Journal!$M:$M,$P350))</f>
        <v/>
      </c>
      <c r="M350" s="43">
        <f>IF($P350="","",INDEX(GL_Journal!$N:$N,$P350))</f>
        <v/>
      </c>
      <c r="N350" s="47">
        <f>IF($P350="","",IF($A350=1,LG_Open,$N349)+$L350-$M350)</f>
        <v/>
      </c>
      <c r="O350" s="32">
        <f>IF($A350&gt;COUNT(GL_Journal!$Y:$Y),"",SMALL(GL_Journal!$Y:$Y,$A350))</f>
        <v/>
      </c>
      <c r="P350" s="32">
        <f>IF($O350="","",MATCH($O350,GL_Journal!$Y:$Y,0))</f>
        <v/>
      </c>
      <c r="Q350" s="32" t="inlineStr"/>
    </row>
    <row r="351">
      <c r="A351" s="32">
        <f>ROW()-12</f>
        <v/>
      </c>
      <c r="B351" s="33">
        <f>IF($P351="","",INDEX(GL_Journal!$D:$D,$P351))</f>
        <v/>
      </c>
      <c r="C351" s="32">
        <f>IF($P351="","",INDEX(GL_Journal!$C:$C,$P351))</f>
        <v/>
      </c>
      <c r="D351" s="32">
        <f>IF($P351="","",INDEX(GL_Journal!$E:$E,$P351))</f>
        <v/>
      </c>
      <c r="E351" s="32">
        <f>IF($P351="","",INDEX(GL_Journal!$F:$F,$P351))</f>
        <v/>
      </c>
      <c r="F351" s="32">
        <f>IF($P351="","",INDEX(GL_Journal!$G:$G,$P351))</f>
        <v/>
      </c>
      <c r="G351" s="32">
        <f>IF($P351="","",INDEX(GL_Journal!$H:$H,$P351))</f>
        <v/>
      </c>
      <c r="H351" s="32">
        <f>IF($P351="","",INDEX(GL_Journal!$I:$I,$P351))</f>
        <v/>
      </c>
      <c r="I351" s="32">
        <f>IF($P351="","",INDEX(GL_Journal!$J:$J,$P351))</f>
        <v/>
      </c>
      <c r="J351" s="32">
        <f>IF($P351="","",INDEX(GL_Journal!$K:$K,$P351))</f>
        <v/>
      </c>
      <c r="K351" s="32">
        <f>IF($P351="","",INDEX(GL_Journal!$L:$L,$P351))</f>
        <v/>
      </c>
      <c r="L351" s="43">
        <f>IF($P351="","",INDEX(GL_Journal!$M:$M,$P351))</f>
        <v/>
      </c>
      <c r="M351" s="43">
        <f>IF($P351="","",INDEX(GL_Journal!$N:$N,$P351))</f>
        <v/>
      </c>
      <c r="N351" s="47">
        <f>IF($P351="","",IF($A351=1,LG_Open,$N350)+$L351-$M351)</f>
        <v/>
      </c>
      <c r="O351" s="32">
        <f>IF($A351&gt;COUNT(GL_Journal!$Y:$Y),"",SMALL(GL_Journal!$Y:$Y,$A351))</f>
        <v/>
      </c>
      <c r="P351" s="32">
        <f>IF($O351="","",MATCH($O351,GL_Journal!$Y:$Y,0))</f>
        <v/>
      </c>
      <c r="Q351" s="32" t="inlineStr"/>
    </row>
    <row r="352">
      <c r="A352" s="32">
        <f>ROW()-12</f>
        <v/>
      </c>
      <c r="B352" s="33">
        <f>IF($P352="","",INDEX(GL_Journal!$D:$D,$P352))</f>
        <v/>
      </c>
      <c r="C352" s="32">
        <f>IF($P352="","",INDEX(GL_Journal!$C:$C,$P352))</f>
        <v/>
      </c>
      <c r="D352" s="32">
        <f>IF($P352="","",INDEX(GL_Journal!$E:$E,$P352))</f>
        <v/>
      </c>
      <c r="E352" s="32">
        <f>IF($P352="","",INDEX(GL_Journal!$F:$F,$P352))</f>
        <v/>
      </c>
      <c r="F352" s="32">
        <f>IF($P352="","",INDEX(GL_Journal!$G:$G,$P352))</f>
        <v/>
      </c>
      <c r="G352" s="32">
        <f>IF($P352="","",INDEX(GL_Journal!$H:$H,$P352))</f>
        <v/>
      </c>
      <c r="H352" s="32">
        <f>IF($P352="","",INDEX(GL_Journal!$I:$I,$P352))</f>
        <v/>
      </c>
      <c r="I352" s="32">
        <f>IF($P352="","",INDEX(GL_Journal!$J:$J,$P352))</f>
        <v/>
      </c>
      <c r="J352" s="32">
        <f>IF($P352="","",INDEX(GL_Journal!$K:$K,$P352))</f>
        <v/>
      </c>
      <c r="K352" s="32">
        <f>IF($P352="","",INDEX(GL_Journal!$L:$L,$P352))</f>
        <v/>
      </c>
      <c r="L352" s="43">
        <f>IF($P352="","",INDEX(GL_Journal!$M:$M,$P352))</f>
        <v/>
      </c>
      <c r="M352" s="43">
        <f>IF($P352="","",INDEX(GL_Journal!$N:$N,$P352))</f>
        <v/>
      </c>
      <c r="N352" s="47">
        <f>IF($P352="","",IF($A352=1,LG_Open,$N351)+$L352-$M352)</f>
        <v/>
      </c>
      <c r="O352" s="32">
        <f>IF($A352&gt;COUNT(GL_Journal!$Y:$Y),"",SMALL(GL_Journal!$Y:$Y,$A352))</f>
        <v/>
      </c>
      <c r="P352" s="32">
        <f>IF($O352="","",MATCH($O352,GL_Journal!$Y:$Y,0))</f>
        <v/>
      </c>
      <c r="Q352" s="32" t="inlineStr"/>
    </row>
    <row r="353">
      <c r="A353" s="32">
        <f>ROW()-12</f>
        <v/>
      </c>
      <c r="B353" s="33">
        <f>IF($P353="","",INDEX(GL_Journal!$D:$D,$P353))</f>
        <v/>
      </c>
      <c r="C353" s="32">
        <f>IF($P353="","",INDEX(GL_Journal!$C:$C,$P353))</f>
        <v/>
      </c>
      <c r="D353" s="32">
        <f>IF($P353="","",INDEX(GL_Journal!$E:$E,$P353))</f>
        <v/>
      </c>
      <c r="E353" s="32">
        <f>IF($P353="","",INDEX(GL_Journal!$F:$F,$P353))</f>
        <v/>
      </c>
      <c r="F353" s="32">
        <f>IF($P353="","",INDEX(GL_Journal!$G:$G,$P353))</f>
        <v/>
      </c>
      <c r="G353" s="32">
        <f>IF($P353="","",INDEX(GL_Journal!$H:$H,$P353))</f>
        <v/>
      </c>
      <c r="H353" s="32">
        <f>IF($P353="","",INDEX(GL_Journal!$I:$I,$P353))</f>
        <v/>
      </c>
      <c r="I353" s="32">
        <f>IF($P353="","",INDEX(GL_Journal!$J:$J,$P353))</f>
        <v/>
      </c>
      <c r="J353" s="32">
        <f>IF($P353="","",INDEX(GL_Journal!$K:$K,$P353))</f>
        <v/>
      </c>
      <c r="K353" s="32">
        <f>IF($P353="","",INDEX(GL_Journal!$L:$L,$P353))</f>
        <v/>
      </c>
      <c r="L353" s="43">
        <f>IF($P353="","",INDEX(GL_Journal!$M:$M,$P353))</f>
        <v/>
      </c>
      <c r="M353" s="43">
        <f>IF($P353="","",INDEX(GL_Journal!$N:$N,$P353))</f>
        <v/>
      </c>
      <c r="N353" s="47">
        <f>IF($P353="","",IF($A353=1,LG_Open,$N352)+$L353-$M353)</f>
        <v/>
      </c>
      <c r="O353" s="32">
        <f>IF($A353&gt;COUNT(GL_Journal!$Y:$Y),"",SMALL(GL_Journal!$Y:$Y,$A353))</f>
        <v/>
      </c>
      <c r="P353" s="32">
        <f>IF($O353="","",MATCH($O353,GL_Journal!$Y:$Y,0))</f>
        <v/>
      </c>
      <c r="Q353" s="32" t="inlineStr"/>
    </row>
    <row r="354">
      <c r="A354" s="32">
        <f>ROW()-12</f>
        <v/>
      </c>
      <c r="B354" s="33">
        <f>IF($P354="","",INDEX(GL_Journal!$D:$D,$P354))</f>
        <v/>
      </c>
      <c r="C354" s="32">
        <f>IF($P354="","",INDEX(GL_Journal!$C:$C,$P354))</f>
        <v/>
      </c>
      <c r="D354" s="32">
        <f>IF($P354="","",INDEX(GL_Journal!$E:$E,$P354))</f>
        <v/>
      </c>
      <c r="E354" s="32">
        <f>IF($P354="","",INDEX(GL_Journal!$F:$F,$P354))</f>
        <v/>
      </c>
      <c r="F354" s="32">
        <f>IF($P354="","",INDEX(GL_Journal!$G:$G,$P354))</f>
        <v/>
      </c>
      <c r="G354" s="32">
        <f>IF($P354="","",INDEX(GL_Journal!$H:$H,$P354))</f>
        <v/>
      </c>
      <c r="H354" s="32">
        <f>IF($P354="","",INDEX(GL_Journal!$I:$I,$P354))</f>
        <v/>
      </c>
      <c r="I354" s="32">
        <f>IF($P354="","",INDEX(GL_Journal!$J:$J,$P354))</f>
        <v/>
      </c>
      <c r="J354" s="32">
        <f>IF($P354="","",INDEX(GL_Journal!$K:$K,$P354))</f>
        <v/>
      </c>
      <c r="K354" s="32">
        <f>IF($P354="","",INDEX(GL_Journal!$L:$L,$P354))</f>
        <v/>
      </c>
      <c r="L354" s="43">
        <f>IF($P354="","",INDEX(GL_Journal!$M:$M,$P354))</f>
        <v/>
      </c>
      <c r="M354" s="43">
        <f>IF($P354="","",INDEX(GL_Journal!$N:$N,$P354))</f>
        <v/>
      </c>
      <c r="N354" s="47">
        <f>IF($P354="","",IF($A354=1,LG_Open,$N353)+$L354-$M354)</f>
        <v/>
      </c>
      <c r="O354" s="32">
        <f>IF($A354&gt;COUNT(GL_Journal!$Y:$Y),"",SMALL(GL_Journal!$Y:$Y,$A354))</f>
        <v/>
      </c>
      <c r="P354" s="32">
        <f>IF($O354="","",MATCH($O354,GL_Journal!$Y:$Y,0))</f>
        <v/>
      </c>
      <c r="Q354" s="32" t="inlineStr"/>
    </row>
    <row r="355">
      <c r="A355" s="32">
        <f>ROW()-12</f>
        <v/>
      </c>
      <c r="B355" s="33">
        <f>IF($P355="","",INDEX(GL_Journal!$D:$D,$P355))</f>
        <v/>
      </c>
      <c r="C355" s="32">
        <f>IF($P355="","",INDEX(GL_Journal!$C:$C,$P355))</f>
        <v/>
      </c>
      <c r="D355" s="32">
        <f>IF($P355="","",INDEX(GL_Journal!$E:$E,$P355))</f>
        <v/>
      </c>
      <c r="E355" s="32">
        <f>IF($P355="","",INDEX(GL_Journal!$F:$F,$P355))</f>
        <v/>
      </c>
      <c r="F355" s="32">
        <f>IF($P355="","",INDEX(GL_Journal!$G:$G,$P355))</f>
        <v/>
      </c>
      <c r="G355" s="32">
        <f>IF($P355="","",INDEX(GL_Journal!$H:$H,$P355))</f>
        <v/>
      </c>
      <c r="H355" s="32">
        <f>IF($P355="","",INDEX(GL_Journal!$I:$I,$P355))</f>
        <v/>
      </c>
      <c r="I355" s="32">
        <f>IF($P355="","",INDEX(GL_Journal!$J:$J,$P355))</f>
        <v/>
      </c>
      <c r="J355" s="32">
        <f>IF($P355="","",INDEX(GL_Journal!$K:$K,$P355))</f>
        <v/>
      </c>
      <c r="K355" s="32">
        <f>IF($P355="","",INDEX(GL_Journal!$L:$L,$P355))</f>
        <v/>
      </c>
      <c r="L355" s="43">
        <f>IF($P355="","",INDEX(GL_Journal!$M:$M,$P355))</f>
        <v/>
      </c>
      <c r="M355" s="43">
        <f>IF($P355="","",INDEX(GL_Journal!$N:$N,$P355))</f>
        <v/>
      </c>
      <c r="N355" s="47">
        <f>IF($P355="","",IF($A355=1,LG_Open,$N354)+$L355-$M355)</f>
        <v/>
      </c>
      <c r="O355" s="32">
        <f>IF($A355&gt;COUNT(GL_Journal!$Y:$Y),"",SMALL(GL_Journal!$Y:$Y,$A355))</f>
        <v/>
      </c>
      <c r="P355" s="32">
        <f>IF($O355="","",MATCH($O355,GL_Journal!$Y:$Y,0))</f>
        <v/>
      </c>
      <c r="Q355" s="32" t="inlineStr"/>
    </row>
    <row r="356">
      <c r="A356" s="32">
        <f>ROW()-12</f>
        <v/>
      </c>
      <c r="B356" s="33">
        <f>IF($P356="","",INDEX(GL_Journal!$D:$D,$P356))</f>
        <v/>
      </c>
      <c r="C356" s="32">
        <f>IF($P356="","",INDEX(GL_Journal!$C:$C,$P356))</f>
        <v/>
      </c>
      <c r="D356" s="32">
        <f>IF($P356="","",INDEX(GL_Journal!$E:$E,$P356))</f>
        <v/>
      </c>
      <c r="E356" s="32">
        <f>IF($P356="","",INDEX(GL_Journal!$F:$F,$P356))</f>
        <v/>
      </c>
      <c r="F356" s="32">
        <f>IF($P356="","",INDEX(GL_Journal!$G:$G,$P356))</f>
        <v/>
      </c>
      <c r="G356" s="32">
        <f>IF($P356="","",INDEX(GL_Journal!$H:$H,$P356))</f>
        <v/>
      </c>
      <c r="H356" s="32">
        <f>IF($P356="","",INDEX(GL_Journal!$I:$I,$P356))</f>
        <v/>
      </c>
      <c r="I356" s="32">
        <f>IF($P356="","",INDEX(GL_Journal!$J:$J,$P356))</f>
        <v/>
      </c>
      <c r="J356" s="32">
        <f>IF($P356="","",INDEX(GL_Journal!$K:$K,$P356))</f>
        <v/>
      </c>
      <c r="K356" s="32">
        <f>IF($P356="","",INDEX(GL_Journal!$L:$L,$P356))</f>
        <v/>
      </c>
      <c r="L356" s="43">
        <f>IF($P356="","",INDEX(GL_Journal!$M:$M,$P356))</f>
        <v/>
      </c>
      <c r="M356" s="43">
        <f>IF($P356="","",INDEX(GL_Journal!$N:$N,$P356))</f>
        <v/>
      </c>
      <c r="N356" s="47">
        <f>IF($P356="","",IF($A356=1,LG_Open,$N355)+$L356-$M356)</f>
        <v/>
      </c>
      <c r="O356" s="32">
        <f>IF($A356&gt;COUNT(GL_Journal!$Y:$Y),"",SMALL(GL_Journal!$Y:$Y,$A356))</f>
        <v/>
      </c>
      <c r="P356" s="32">
        <f>IF($O356="","",MATCH($O356,GL_Journal!$Y:$Y,0))</f>
        <v/>
      </c>
      <c r="Q356" s="32" t="inlineStr"/>
    </row>
    <row r="357">
      <c r="A357" s="32">
        <f>ROW()-12</f>
        <v/>
      </c>
      <c r="B357" s="33">
        <f>IF($P357="","",INDEX(GL_Journal!$D:$D,$P357))</f>
        <v/>
      </c>
      <c r="C357" s="32">
        <f>IF($P357="","",INDEX(GL_Journal!$C:$C,$P357))</f>
        <v/>
      </c>
      <c r="D357" s="32">
        <f>IF($P357="","",INDEX(GL_Journal!$E:$E,$P357))</f>
        <v/>
      </c>
      <c r="E357" s="32">
        <f>IF($P357="","",INDEX(GL_Journal!$F:$F,$P357))</f>
        <v/>
      </c>
      <c r="F357" s="32">
        <f>IF($P357="","",INDEX(GL_Journal!$G:$G,$P357))</f>
        <v/>
      </c>
      <c r="G357" s="32">
        <f>IF($P357="","",INDEX(GL_Journal!$H:$H,$P357))</f>
        <v/>
      </c>
      <c r="H357" s="32">
        <f>IF($P357="","",INDEX(GL_Journal!$I:$I,$P357))</f>
        <v/>
      </c>
      <c r="I357" s="32">
        <f>IF($P357="","",INDEX(GL_Journal!$J:$J,$P357))</f>
        <v/>
      </c>
      <c r="J357" s="32">
        <f>IF($P357="","",INDEX(GL_Journal!$K:$K,$P357))</f>
        <v/>
      </c>
      <c r="K357" s="32">
        <f>IF($P357="","",INDEX(GL_Journal!$L:$L,$P357))</f>
        <v/>
      </c>
      <c r="L357" s="43">
        <f>IF($P357="","",INDEX(GL_Journal!$M:$M,$P357))</f>
        <v/>
      </c>
      <c r="M357" s="43">
        <f>IF($P357="","",INDEX(GL_Journal!$N:$N,$P357))</f>
        <v/>
      </c>
      <c r="N357" s="47">
        <f>IF($P357="","",IF($A357=1,LG_Open,$N356)+$L357-$M357)</f>
        <v/>
      </c>
      <c r="O357" s="32">
        <f>IF($A357&gt;COUNT(GL_Journal!$Y:$Y),"",SMALL(GL_Journal!$Y:$Y,$A357))</f>
        <v/>
      </c>
      <c r="P357" s="32">
        <f>IF($O357="","",MATCH($O357,GL_Journal!$Y:$Y,0))</f>
        <v/>
      </c>
      <c r="Q357" s="32" t="inlineStr"/>
    </row>
    <row r="358">
      <c r="A358" s="32">
        <f>ROW()-12</f>
        <v/>
      </c>
      <c r="B358" s="33">
        <f>IF($P358="","",INDEX(GL_Journal!$D:$D,$P358))</f>
        <v/>
      </c>
      <c r="C358" s="32">
        <f>IF($P358="","",INDEX(GL_Journal!$C:$C,$P358))</f>
        <v/>
      </c>
      <c r="D358" s="32">
        <f>IF($P358="","",INDEX(GL_Journal!$E:$E,$P358))</f>
        <v/>
      </c>
      <c r="E358" s="32">
        <f>IF($P358="","",INDEX(GL_Journal!$F:$F,$P358))</f>
        <v/>
      </c>
      <c r="F358" s="32">
        <f>IF($P358="","",INDEX(GL_Journal!$G:$G,$P358))</f>
        <v/>
      </c>
      <c r="G358" s="32">
        <f>IF($P358="","",INDEX(GL_Journal!$H:$H,$P358))</f>
        <v/>
      </c>
      <c r="H358" s="32">
        <f>IF($P358="","",INDEX(GL_Journal!$I:$I,$P358))</f>
        <v/>
      </c>
      <c r="I358" s="32">
        <f>IF($P358="","",INDEX(GL_Journal!$J:$J,$P358))</f>
        <v/>
      </c>
      <c r="J358" s="32">
        <f>IF($P358="","",INDEX(GL_Journal!$K:$K,$P358))</f>
        <v/>
      </c>
      <c r="K358" s="32">
        <f>IF($P358="","",INDEX(GL_Journal!$L:$L,$P358))</f>
        <v/>
      </c>
      <c r="L358" s="43">
        <f>IF($P358="","",INDEX(GL_Journal!$M:$M,$P358))</f>
        <v/>
      </c>
      <c r="M358" s="43">
        <f>IF($P358="","",INDEX(GL_Journal!$N:$N,$P358))</f>
        <v/>
      </c>
      <c r="N358" s="47">
        <f>IF($P358="","",IF($A358=1,LG_Open,$N357)+$L358-$M358)</f>
        <v/>
      </c>
      <c r="O358" s="32">
        <f>IF($A358&gt;COUNT(GL_Journal!$Y:$Y),"",SMALL(GL_Journal!$Y:$Y,$A358))</f>
        <v/>
      </c>
      <c r="P358" s="32">
        <f>IF($O358="","",MATCH($O358,GL_Journal!$Y:$Y,0))</f>
        <v/>
      </c>
      <c r="Q358" s="32" t="inlineStr"/>
    </row>
    <row r="359">
      <c r="A359" s="32">
        <f>ROW()-12</f>
        <v/>
      </c>
      <c r="B359" s="33">
        <f>IF($P359="","",INDEX(GL_Journal!$D:$D,$P359))</f>
        <v/>
      </c>
      <c r="C359" s="32">
        <f>IF($P359="","",INDEX(GL_Journal!$C:$C,$P359))</f>
        <v/>
      </c>
      <c r="D359" s="32">
        <f>IF($P359="","",INDEX(GL_Journal!$E:$E,$P359))</f>
        <v/>
      </c>
      <c r="E359" s="32">
        <f>IF($P359="","",INDEX(GL_Journal!$F:$F,$P359))</f>
        <v/>
      </c>
      <c r="F359" s="32">
        <f>IF($P359="","",INDEX(GL_Journal!$G:$G,$P359))</f>
        <v/>
      </c>
      <c r="G359" s="32">
        <f>IF($P359="","",INDEX(GL_Journal!$H:$H,$P359))</f>
        <v/>
      </c>
      <c r="H359" s="32">
        <f>IF($P359="","",INDEX(GL_Journal!$I:$I,$P359))</f>
        <v/>
      </c>
      <c r="I359" s="32">
        <f>IF($P359="","",INDEX(GL_Journal!$J:$J,$P359))</f>
        <v/>
      </c>
      <c r="J359" s="32">
        <f>IF($P359="","",INDEX(GL_Journal!$K:$K,$P359))</f>
        <v/>
      </c>
      <c r="K359" s="32">
        <f>IF($P359="","",INDEX(GL_Journal!$L:$L,$P359))</f>
        <v/>
      </c>
      <c r="L359" s="43">
        <f>IF($P359="","",INDEX(GL_Journal!$M:$M,$P359))</f>
        <v/>
      </c>
      <c r="M359" s="43">
        <f>IF($P359="","",INDEX(GL_Journal!$N:$N,$P359))</f>
        <v/>
      </c>
      <c r="N359" s="47">
        <f>IF($P359="","",IF($A359=1,LG_Open,$N358)+$L359-$M359)</f>
        <v/>
      </c>
      <c r="O359" s="32">
        <f>IF($A359&gt;COUNT(GL_Journal!$Y:$Y),"",SMALL(GL_Journal!$Y:$Y,$A359))</f>
        <v/>
      </c>
      <c r="P359" s="32">
        <f>IF($O359="","",MATCH($O359,GL_Journal!$Y:$Y,0))</f>
        <v/>
      </c>
      <c r="Q359" s="32" t="inlineStr"/>
    </row>
    <row r="360">
      <c r="A360" s="32">
        <f>ROW()-12</f>
        <v/>
      </c>
      <c r="B360" s="33">
        <f>IF($P360="","",INDEX(GL_Journal!$D:$D,$P360))</f>
        <v/>
      </c>
      <c r="C360" s="32">
        <f>IF($P360="","",INDEX(GL_Journal!$C:$C,$P360))</f>
        <v/>
      </c>
      <c r="D360" s="32">
        <f>IF($P360="","",INDEX(GL_Journal!$E:$E,$P360))</f>
        <v/>
      </c>
      <c r="E360" s="32">
        <f>IF($P360="","",INDEX(GL_Journal!$F:$F,$P360))</f>
        <v/>
      </c>
      <c r="F360" s="32">
        <f>IF($P360="","",INDEX(GL_Journal!$G:$G,$P360))</f>
        <v/>
      </c>
      <c r="G360" s="32">
        <f>IF($P360="","",INDEX(GL_Journal!$H:$H,$P360))</f>
        <v/>
      </c>
      <c r="H360" s="32">
        <f>IF($P360="","",INDEX(GL_Journal!$I:$I,$P360))</f>
        <v/>
      </c>
      <c r="I360" s="32">
        <f>IF($P360="","",INDEX(GL_Journal!$J:$J,$P360))</f>
        <v/>
      </c>
      <c r="J360" s="32">
        <f>IF($P360="","",INDEX(GL_Journal!$K:$K,$P360))</f>
        <v/>
      </c>
      <c r="K360" s="32">
        <f>IF($P360="","",INDEX(GL_Journal!$L:$L,$P360))</f>
        <v/>
      </c>
      <c r="L360" s="43">
        <f>IF($P360="","",INDEX(GL_Journal!$M:$M,$P360))</f>
        <v/>
      </c>
      <c r="M360" s="43">
        <f>IF($P360="","",INDEX(GL_Journal!$N:$N,$P360))</f>
        <v/>
      </c>
      <c r="N360" s="47">
        <f>IF($P360="","",IF($A360=1,LG_Open,$N359)+$L360-$M360)</f>
        <v/>
      </c>
      <c r="O360" s="32">
        <f>IF($A360&gt;COUNT(GL_Journal!$Y:$Y),"",SMALL(GL_Journal!$Y:$Y,$A360))</f>
        <v/>
      </c>
      <c r="P360" s="32">
        <f>IF($O360="","",MATCH($O360,GL_Journal!$Y:$Y,0))</f>
        <v/>
      </c>
      <c r="Q360" s="32" t="inlineStr"/>
    </row>
    <row r="361">
      <c r="A361" s="32">
        <f>ROW()-12</f>
        <v/>
      </c>
      <c r="B361" s="33">
        <f>IF($P361="","",INDEX(GL_Journal!$D:$D,$P361))</f>
        <v/>
      </c>
      <c r="C361" s="32">
        <f>IF($P361="","",INDEX(GL_Journal!$C:$C,$P361))</f>
        <v/>
      </c>
      <c r="D361" s="32">
        <f>IF($P361="","",INDEX(GL_Journal!$E:$E,$P361))</f>
        <v/>
      </c>
      <c r="E361" s="32">
        <f>IF($P361="","",INDEX(GL_Journal!$F:$F,$P361))</f>
        <v/>
      </c>
      <c r="F361" s="32">
        <f>IF($P361="","",INDEX(GL_Journal!$G:$G,$P361))</f>
        <v/>
      </c>
      <c r="G361" s="32">
        <f>IF($P361="","",INDEX(GL_Journal!$H:$H,$P361))</f>
        <v/>
      </c>
      <c r="H361" s="32">
        <f>IF($P361="","",INDEX(GL_Journal!$I:$I,$P361))</f>
        <v/>
      </c>
      <c r="I361" s="32">
        <f>IF($P361="","",INDEX(GL_Journal!$J:$J,$P361))</f>
        <v/>
      </c>
      <c r="J361" s="32">
        <f>IF($P361="","",INDEX(GL_Journal!$K:$K,$P361))</f>
        <v/>
      </c>
      <c r="K361" s="32">
        <f>IF($P361="","",INDEX(GL_Journal!$L:$L,$P361))</f>
        <v/>
      </c>
      <c r="L361" s="43">
        <f>IF($P361="","",INDEX(GL_Journal!$M:$M,$P361))</f>
        <v/>
      </c>
      <c r="M361" s="43">
        <f>IF($P361="","",INDEX(GL_Journal!$N:$N,$P361))</f>
        <v/>
      </c>
      <c r="N361" s="47">
        <f>IF($P361="","",IF($A361=1,LG_Open,$N360)+$L361-$M361)</f>
        <v/>
      </c>
      <c r="O361" s="32">
        <f>IF($A361&gt;COUNT(GL_Journal!$Y:$Y),"",SMALL(GL_Journal!$Y:$Y,$A361))</f>
        <v/>
      </c>
      <c r="P361" s="32">
        <f>IF($O361="","",MATCH($O361,GL_Journal!$Y:$Y,0))</f>
        <v/>
      </c>
      <c r="Q361" s="32" t="inlineStr"/>
    </row>
    <row r="362">
      <c r="A362" s="32">
        <f>ROW()-12</f>
        <v/>
      </c>
      <c r="B362" s="33">
        <f>IF($P362="","",INDEX(GL_Journal!$D:$D,$P362))</f>
        <v/>
      </c>
      <c r="C362" s="32">
        <f>IF($P362="","",INDEX(GL_Journal!$C:$C,$P362))</f>
        <v/>
      </c>
      <c r="D362" s="32">
        <f>IF($P362="","",INDEX(GL_Journal!$E:$E,$P362))</f>
        <v/>
      </c>
      <c r="E362" s="32">
        <f>IF($P362="","",INDEX(GL_Journal!$F:$F,$P362))</f>
        <v/>
      </c>
      <c r="F362" s="32">
        <f>IF($P362="","",INDEX(GL_Journal!$G:$G,$P362))</f>
        <v/>
      </c>
      <c r="G362" s="32">
        <f>IF($P362="","",INDEX(GL_Journal!$H:$H,$P362))</f>
        <v/>
      </c>
      <c r="H362" s="32">
        <f>IF($P362="","",INDEX(GL_Journal!$I:$I,$P362))</f>
        <v/>
      </c>
      <c r="I362" s="32">
        <f>IF($P362="","",INDEX(GL_Journal!$J:$J,$P362))</f>
        <v/>
      </c>
      <c r="J362" s="32">
        <f>IF($P362="","",INDEX(GL_Journal!$K:$K,$P362))</f>
        <v/>
      </c>
      <c r="K362" s="32">
        <f>IF($P362="","",INDEX(GL_Journal!$L:$L,$P362))</f>
        <v/>
      </c>
      <c r="L362" s="43">
        <f>IF($P362="","",INDEX(GL_Journal!$M:$M,$P362))</f>
        <v/>
      </c>
      <c r="M362" s="43">
        <f>IF($P362="","",INDEX(GL_Journal!$N:$N,$P362))</f>
        <v/>
      </c>
      <c r="N362" s="47">
        <f>IF($P362="","",IF($A362=1,LG_Open,$N361)+$L362-$M362)</f>
        <v/>
      </c>
      <c r="O362" s="32">
        <f>IF($A362&gt;COUNT(GL_Journal!$Y:$Y),"",SMALL(GL_Journal!$Y:$Y,$A362))</f>
        <v/>
      </c>
      <c r="P362" s="32">
        <f>IF($O362="","",MATCH($O362,GL_Journal!$Y:$Y,0))</f>
        <v/>
      </c>
      <c r="Q362" s="32" t="inlineStr"/>
    </row>
    <row r="363">
      <c r="A363" s="32">
        <f>ROW()-12</f>
        <v/>
      </c>
      <c r="B363" s="33">
        <f>IF($P363="","",INDEX(GL_Journal!$D:$D,$P363))</f>
        <v/>
      </c>
      <c r="C363" s="32">
        <f>IF($P363="","",INDEX(GL_Journal!$C:$C,$P363))</f>
        <v/>
      </c>
      <c r="D363" s="32">
        <f>IF($P363="","",INDEX(GL_Journal!$E:$E,$P363))</f>
        <v/>
      </c>
      <c r="E363" s="32">
        <f>IF($P363="","",INDEX(GL_Journal!$F:$F,$P363))</f>
        <v/>
      </c>
      <c r="F363" s="32">
        <f>IF($P363="","",INDEX(GL_Journal!$G:$G,$P363))</f>
        <v/>
      </c>
      <c r="G363" s="32">
        <f>IF($P363="","",INDEX(GL_Journal!$H:$H,$P363))</f>
        <v/>
      </c>
      <c r="H363" s="32">
        <f>IF($P363="","",INDEX(GL_Journal!$I:$I,$P363))</f>
        <v/>
      </c>
      <c r="I363" s="32">
        <f>IF($P363="","",INDEX(GL_Journal!$J:$J,$P363))</f>
        <v/>
      </c>
      <c r="J363" s="32">
        <f>IF($P363="","",INDEX(GL_Journal!$K:$K,$P363))</f>
        <v/>
      </c>
      <c r="K363" s="32">
        <f>IF($P363="","",INDEX(GL_Journal!$L:$L,$P363))</f>
        <v/>
      </c>
      <c r="L363" s="43">
        <f>IF($P363="","",INDEX(GL_Journal!$M:$M,$P363))</f>
        <v/>
      </c>
      <c r="M363" s="43">
        <f>IF($P363="","",INDEX(GL_Journal!$N:$N,$P363))</f>
        <v/>
      </c>
      <c r="N363" s="47">
        <f>IF($P363="","",IF($A363=1,LG_Open,$N362)+$L363-$M363)</f>
        <v/>
      </c>
      <c r="O363" s="32">
        <f>IF($A363&gt;COUNT(GL_Journal!$Y:$Y),"",SMALL(GL_Journal!$Y:$Y,$A363))</f>
        <v/>
      </c>
      <c r="P363" s="32">
        <f>IF($O363="","",MATCH($O363,GL_Journal!$Y:$Y,0))</f>
        <v/>
      </c>
      <c r="Q363" s="32" t="inlineStr"/>
    </row>
    <row r="364">
      <c r="A364" s="32">
        <f>ROW()-12</f>
        <v/>
      </c>
      <c r="B364" s="33">
        <f>IF($P364="","",INDEX(GL_Journal!$D:$D,$P364))</f>
        <v/>
      </c>
      <c r="C364" s="32">
        <f>IF($P364="","",INDEX(GL_Journal!$C:$C,$P364))</f>
        <v/>
      </c>
      <c r="D364" s="32">
        <f>IF($P364="","",INDEX(GL_Journal!$E:$E,$P364))</f>
        <v/>
      </c>
      <c r="E364" s="32">
        <f>IF($P364="","",INDEX(GL_Journal!$F:$F,$P364))</f>
        <v/>
      </c>
      <c r="F364" s="32">
        <f>IF($P364="","",INDEX(GL_Journal!$G:$G,$P364))</f>
        <v/>
      </c>
      <c r="G364" s="32">
        <f>IF($P364="","",INDEX(GL_Journal!$H:$H,$P364))</f>
        <v/>
      </c>
      <c r="H364" s="32">
        <f>IF($P364="","",INDEX(GL_Journal!$I:$I,$P364))</f>
        <v/>
      </c>
      <c r="I364" s="32">
        <f>IF($P364="","",INDEX(GL_Journal!$J:$J,$P364))</f>
        <v/>
      </c>
      <c r="J364" s="32">
        <f>IF($P364="","",INDEX(GL_Journal!$K:$K,$P364))</f>
        <v/>
      </c>
      <c r="K364" s="32">
        <f>IF($P364="","",INDEX(GL_Journal!$L:$L,$P364))</f>
        <v/>
      </c>
      <c r="L364" s="43">
        <f>IF($P364="","",INDEX(GL_Journal!$M:$M,$P364))</f>
        <v/>
      </c>
      <c r="M364" s="43">
        <f>IF($P364="","",INDEX(GL_Journal!$N:$N,$P364))</f>
        <v/>
      </c>
      <c r="N364" s="47">
        <f>IF($P364="","",IF($A364=1,LG_Open,$N363)+$L364-$M364)</f>
        <v/>
      </c>
      <c r="O364" s="32">
        <f>IF($A364&gt;COUNT(GL_Journal!$Y:$Y),"",SMALL(GL_Journal!$Y:$Y,$A364))</f>
        <v/>
      </c>
      <c r="P364" s="32">
        <f>IF($O364="","",MATCH($O364,GL_Journal!$Y:$Y,0))</f>
        <v/>
      </c>
      <c r="Q364" s="32" t="inlineStr"/>
    </row>
    <row r="365">
      <c r="A365" s="32">
        <f>ROW()-12</f>
        <v/>
      </c>
      <c r="B365" s="33">
        <f>IF($P365="","",INDEX(GL_Journal!$D:$D,$P365))</f>
        <v/>
      </c>
      <c r="C365" s="32">
        <f>IF($P365="","",INDEX(GL_Journal!$C:$C,$P365))</f>
        <v/>
      </c>
      <c r="D365" s="32">
        <f>IF($P365="","",INDEX(GL_Journal!$E:$E,$P365))</f>
        <v/>
      </c>
      <c r="E365" s="32">
        <f>IF($P365="","",INDEX(GL_Journal!$F:$F,$P365))</f>
        <v/>
      </c>
      <c r="F365" s="32">
        <f>IF($P365="","",INDEX(GL_Journal!$G:$G,$P365))</f>
        <v/>
      </c>
      <c r="G365" s="32">
        <f>IF($P365="","",INDEX(GL_Journal!$H:$H,$P365))</f>
        <v/>
      </c>
      <c r="H365" s="32">
        <f>IF($P365="","",INDEX(GL_Journal!$I:$I,$P365))</f>
        <v/>
      </c>
      <c r="I365" s="32">
        <f>IF($P365="","",INDEX(GL_Journal!$J:$J,$P365))</f>
        <v/>
      </c>
      <c r="J365" s="32">
        <f>IF($P365="","",INDEX(GL_Journal!$K:$K,$P365))</f>
        <v/>
      </c>
      <c r="K365" s="32">
        <f>IF($P365="","",INDEX(GL_Journal!$L:$L,$P365))</f>
        <v/>
      </c>
      <c r="L365" s="43">
        <f>IF($P365="","",INDEX(GL_Journal!$M:$M,$P365))</f>
        <v/>
      </c>
      <c r="M365" s="43">
        <f>IF($P365="","",INDEX(GL_Journal!$N:$N,$P365))</f>
        <v/>
      </c>
      <c r="N365" s="47">
        <f>IF($P365="","",IF($A365=1,LG_Open,$N364)+$L365-$M365)</f>
        <v/>
      </c>
      <c r="O365" s="32">
        <f>IF($A365&gt;COUNT(GL_Journal!$Y:$Y),"",SMALL(GL_Journal!$Y:$Y,$A365))</f>
        <v/>
      </c>
      <c r="P365" s="32">
        <f>IF($O365="","",MATCH($O365,GL_Journal!$Y:$Y,0))</f>
        <v/>
      </c>
      <c r="Q365" s="32" t="inlineStr"/>
    </row>
    <row r="366">
      <c r="A366" s="32">
        <f>ROW()-12</f>
        <v/>
      </c>
      <c r="B366" s="33">
        <f>IF($P366="","",INDEX(GL_Journal!$D:$D,$P366))</f>
        <v/>
      </c>
      <c r="C366" s="32">
        <f>IF($P366="","",INDEX(GL_Journal!$C:$C,$P366))</f>
        <v/>
      </c>
      <c r="D366" s="32">
        <f>IF($P366="","",INDEX(GL_Journal!$E:$E,$P366))</f>
        <v/>
      </c>
      <c r="E366" s="32">
        <f>IF($P366="","",INDEX(GL_Journal!$F:$F,$P366))</f>
        <v/>
      </c>
      <c r="F366" s="32">
        <f>IF($P366="","",INDEX(GL_Journal!$G:$G,$P366))</f>
        <v/>
      </c>
      <c r="G366" s="32">
        <f>IF($P366="","",INDEX(GL_Journal!$H:$H,$P366))</f>
        <v/>
      </c>
      <c r="H366" s="32">
        <f>IF($P366="","",INDEX(GL_Journal!$I:$I,$P366))</f>
        <v/>
      </c>
      <c r="I366" s="32">
        <f>IF($P366="","",INDEX(GL_Journal!$J:$J,$P366))</f>
        <v/>
      </c>
      <c r="J366" s="32">
        <f>IF($P366="","",INDEX(GL_Journal!$K:$K,$P366))</f>
        <v/>
      </c>
      <c r="K366" s="32">
        <f>IF($P366="","",INDEX(GL_Journal!$L:$L,$P366))</f>
        <v/>
      </c>
      <c r="L366" s="43">
        <f>IF($P366="","",INDEX(GL_Journal!$M:$M,$P366))</f>
        <v/>
      </c>
      <c r="M366" s="43">
        <f>IF($P366="","",INDEX(GL_Journal!$N:$N,$P366))</f>
        <v/>
      </c>
      <c r="N366" s="47">
        <f>IF($P366="","",IF($A366=1,LG_Open,$N365)+$L366-$M366)</f>
        <v/>
      </c>
      <c r="O366" s="32">
        <f>IF($A366&gt;COUNT(GL_Journal!$Y:$Y),"",SMALL(GL_Journal!$Y:$Y,$A366))</f>
        <v/>
      </c>
      <c r="P366" s="32">
        <f>IF($O366="","",MATCH($O366,GL_Journal!$Y:$Y,0))</f>
        <v/>
      </c>
      <c r="Q366" s="32" t="inlineStr"/>
    </row>
    <row r="367">
      <c r="A367" s="32">
        <f>ROW()-12</f>
        <v/>
      </c>
      <c r="B367" s="33">
        <f>IF($P367="","",INDEX(GL_Journal!$D:$D,$P367))</f>
        <v/>
      </c>
      <c r="C367" s="32">
        <f>IF($P367="","",INDEX(GL_Journal!$C:$C,$P367))</f>
        <v/>
      </c>
      <c r="D367" s="32">
        <f>IF($P367="","",INDEX(GL_Journal!$E:$E,$P367))</f>
        <v/>
      </c>
      <c r="E367" s="32">
        <f>IF($P367="","",INDEX(GL_Journal!$F:$F,$P367))</f>
        <v/>
      </c>
      <c r="F367" s="32">
        <f>IF($P367="","",INDEX(GL_Journal!$G:$G,$P367))</f>
        <v/>
      </c>
      <c r="G367" s="32">
        <f>IF($P367="","",INDEX(GL_Journal!$H:$H,$P367))</f>
        <v/>
      </c>
      <c r="H367" s="32">
        <f>IF($P367="","",INDEX(GL_Journal!$I:$I,$P367))</f>
        <v/>
      </c>
      <c r="I367" s="32">
        <f>IF($P367="","",INDEX(GL_Journal!$J:$J,$P367))</f>
        <v/>
      </c>
      <c r="J367" s="32">
        <f>IF($P367="","",INDEX(GL_Journal!$K:$K,$P367))</f>
        <v/>
      </c>
      <c r="K367" s="32">
        <f>IF($P367="","",INDEX(GL_Journal!$L:$L,$P367))</f>
        <v/>
      </c>
      <c r="L367" s="43">
        <f>IF($P367="","",INDEX(GL_Journal!$M:$M,$P367))</f>
        <v/>
      </c>
      <c r="M367" s="43">
        <f>IF($P367="","",INDEX(GL_Journal!$N:$N,$P367))</f>
        <v/>
      </c>
      <c r="N367" s="47">
        <f>IF($P367="","",IF($A367=1,LG_Open,$N366)+$L367-$M367)</f>
        <v/>
      </c>
      <c r="O367" s="32">
        <f>IF($A367&gt;COUNT(GL_Journal!$Y:$Y),"",SMALL(GL_Journal!$Y:$Y,$A367))</f>
        <v/>
      </c>
      <c r="P367" s="32">
        <f>IF($O367="","",MATCH($O367,GL_Journal!$Y:$Y,0))</f>
        <v/>
      </c>
      <c r="Q367" s="32" t="inlineStr"/>
    </row>
    <row r="368">
      <c r="A368" s="32">
        <f>ROW()-12</f>
        <v/>
      </c>
      <c r="B368" s="33">
        <f>IF($P368="","",INDEX(GL_Journal!$D:$D,$P368))</f>
        <v/>
      </c>
      <c r="C368" s="32">
        <f>IF($P368="","",INDEX(GL_Journal!$C:$C,$P368))</f>
        <v/>
      </c>
      <c r="D368" s="32">
        <f>IF($P368="","",INDEX(GL_Journal!$E:$E,$P368))</f>
        <v/>
      </c>
      <c r="E368" s="32">
        <f>IF($P368="","",INDEX(GL_Journal!$F:$F,$P368))</f>
        <v/>
      </c>
      <c r="F368" s="32">
        <f>IF($P368="","",INDEX(GL_Journal!$G:$G,$P368))</f>
        <v/>
      </c>
      <c r="G368" s="32">
        <f>IF($P368="","",INDEX(GL_Journal!$H:$H,$P368))</f>
        <v/>
      </c>
      <c r="H368" s="32">
        <f>IF($P368="","",INDEX(GL_Journal!$I:$I,$P368))</f>
        <v/>
      </c>
      <c r="I368" s="32">
        <f>IF($P368="","",INDEX(GL_Journal!$J:$J,$P368))</f>
        <v/>
      </c>
      <c r="J368" s="32">
        <f>IF($P368="","",INDEX(GL_Journal!$K:$K,$P368))</f>
        <v/>
      </c>
      <c r="K368" s="32">
        <f>IF($P368="","",INDEX(GL_Journal!$L:$L,$P368))</f>
        <v/>
      </c>
      <c r="L368" s="43">
        <f>IF($P368="","",INDEX(GL_Journal!$M:$M,$P368))</f>
        <v/>
      </c>
      <c r="M368" s="43">
        <f>IF($P368="","",INDEX(GL_Journal!$N:$N,$P368))</f>
        <v/>
      </c>
      <c r="N368" s="47">
        <f>IF($P368="","",IF($A368=1,LG_Open,$N367)+$L368-$M368)</f>
        <v/>
      </c>
      <c r="O368" s="32">
        <f>IF($A368&gt;COUNT(GL_Journal!$Y:$Y),"",SMALL(GL_Journal!$Y:$Y,$A368))</f>
        <v/>
      </c>
      <c r="P368" s="32">
        <f>IF($O368="","",MATCH($O368,GL_Journal!$Y:$Y,0))</f>
        <v/>
      </c>
      <c r="Q368" s="32" t="inlineStr"/>
    </row>
    <row r="369">
      <c r="A369" s="32">
        <f>ROW()-12</f>
        <v/>
      </c>
      <c r="B369" s="33">
        <f>IF($P369="","",INDEX(GL_Journal!$D:$D,$P369))</f>
        <v/>
      </c>
      <c r="C369" s="32">
        <f>IF($P369="","",INDEX(GL_Journal!$C:$C,$P369))</f>
        <v/>
      </c>
      <c r="D369" s="32">
        <f>IF($P369="","",INDEX(GL_Journal!$E:$E,$P369))</f>
        <v/>
      </c>
      <c r="E369" s="32">
        <f>IF($P369="","",INDEX(GL_Journal!$F:$F,$P369))</f>
        <v/>
      </c>
      <c r="F369" s="32">
        <f>IF($P369="","",INDEX(GL_Journal!$G:$G,$P369))</f>
        <v/>
      </c>
      <c r="G369" s="32">
        <f>IF($P369="","",INDEX(GL_Journal!$H:$H,$P369))</f>
        <v/>
      </c>
      <c r="H369" s="32">
        <f>IF($P369="","",INDEX(GL_Journal!$I:$I,$P369))</f>
        <v/>
      </c>
      <c r="I369" s="32">
        <f>IF($P369="","",INDEX(GL_Journal!$J:$J,$P369))</f>
        <v/>
      </c>
      <c r="J369" s="32">
        <f>IF($P369="","",INDEX(GL_Journal!$K:$K,$P369))</f>
        <v/>
      </c>
      <c r="K369" s="32">
        <f>IF($P369="","",INDEX(GL_Journal!$L:$L,$P369))</f>
        <v/>
      </c>
      <c r="L369" s="43">
        <f>IF($P369="","",INDEX(GL_Journal!$M:$M,$P369))</f>
        <v/>
      </c>
      <c r="M369" s="43">
        <f>IF($P369="","",INDEX(GL_Journal!$N:$N,$P369))</f>
        <v/>
      </c>
      <c r="N369" s="47">
        <f>IF($P369="","",IF($A369=1,LG_Open,$N368)+$L369-$M369)</f>
        <v/>
      </c>
      <c r="O369" s="32">
        <f>IF($A369&gt;COUNT(GL_Journal!$Y:$Y),"",SMALL(GL_Journal!$Y:$Y,$A369))</f>
        <v/>
      </c>
      <c r="P369" s="32">
        <f>IF($O369="","",MATCH($O369,GL_Journal!$Y:$Y,0))</f>
        <v/>
      </c>
      <c r="Q369" s="32" t="inlineStr"/>
    </row>
    <row r="370">
      <c r="A370" s="32">
        <f>ROW()-12</f>
        <v/>
      </c>
      <c r="B370" s="33">
        <f>IF($P370="","",INDEX(GL_Journal!$D:$D,$P370))</f>
        <v/>
      </c>
      <c r="C370" s="32">
        <f>IF($P370="","",INDEX(GL_Journal!$C:$C,$P370))</f>
        <v/>
      </c>
      <c r="D370" s="32">
        <f>IF($P370="","",INDEX(GL_Journal!$E:$E,$P370))</f>
        <v/>
      </c>
      <c r="E370" s="32">
        <f>IF($P370="","",INDEX(GL_Journal!$F:$F,$P370))</f>
        <v/>
      </c>
      <c r="F370" s="32">
        <f>IF($P370="","",INDEX(GL_Journal!$G:$G,$P370))</f>
        <v/>
      </c>
      <c r="G370" s="32">
        <f>IF($P370="","",INDEX(GL_Journal!$H:$H,$P370))</f>
        <v/>
      </c>
      <c r="H370" s="32">
        <f>IF($P370="","",INDEX(GL_Journal!$I:$I,$P370))</f>
        <v/>
      </c>
      <c r="I370" s="32">
        <f>IF($P370="","",INDEX(GL_Journal!$J:$J,$P370))</f>
        <v/>
      </c>
      <c r="J370" s="32">
        <f>IF($P370="","",INDEX(GL_Journal!$K:$K,$P370))</f>
        <v/>
      </c>
      <c r="K370" s="32">
        <f>IF($P370="","",INDEX(GL_Journal!$L:$L,$P370))</f>
        <v/>
      </c>
      <c r="L370" s="43">
        <f>IF($P370="","",INDEX(GL_Journal!$M:$M,$P370))</f>
        <v/>
      </c>
      <c r="M370" s="43">
        <f>IF($P370="","",INDEX(GL_Journal!$N:$N,$P370))</f>
        <v/>
      </c>
      <c r="N370" s="47">
        <f>IF($P370="","",IF($A370=1,LG_Open,$N369)+$L370-$M370)</f>
        <v/>
      </c>
      <c r="O370" s="32">
        <f>IF($A370&gt;COUNT(GL_Journal!$Y:$Y),"",SMALL(GL_Journal!$Y:$Y,$A370))</f>
        <v/>
      </c>
      <c r="P370" s="32">
        <f>IF($O370="","",MATCH($O370,GL_Journal!$Y:$Y,0))</f>
        <v/>
      </c>
      <c r="Q370" s="32" t="inlineStr"/>
    </row>
    <row r="371">
      <c r="A371" s="32">
        <f>ROW()-12</f>
        <v/>
      </c>
      <c r="B371" s="33">
        <f>IF($P371="","",INDEX(GL_Journal!$D:$D,$P371))</f>
        <v/>
      </c>
      <c r="C371" s="32">
        <f>IF($P371="","",INDEX(GL_Journal!$C:$C,$P371))</f>
        <v/>
      </c>
      <c r="D371" s="32">
        <f>IF($P371="","",INDEX(GL_Journal!$E:$E,$P371))</f>
        <v/>
      </c>
      <c r="E371" s="32">
        <f>IF($P371="","",INDEX(GL_Journal!$F:$F,$P371))</f>
        <v/>
      </c>
      <c r="F371" s="32">
        <f>IF($P371="","",INDEX(GL_Journal!$G:$G,$P371))</f>
        <v/>
      </c>
      <c r="G371" s="32">
        <f>IF($P371="","",INDEX(GL_Journal!$H:$H,$P371))</f>
        <v/>
      </c>
      <c r="H371" s="32">
        <f>IF($P371="","",INDEX(GL_Journal!$I:$I,$P371))</f>
        <v/>
      </c>
      <c r="I371" s="32">
        <f>IF($P371="","",INDEX(GL_Journal!$J:$J,$P371))</f>
        <v/>
      </c>
      <c r="J371" s="32">
        <f>IF($P371="","",INDEX(GL_Journal!$K:$K,$P371))</f>
        <v/>
      </c>
      <c r="K371" s="32">
        <f>IF($P371="","",INDEX(GL_Journal!$L:$L,$P371))</f>
        <v/>
      </c>
      <c r="L371" s="43">
        <f>IF($P371="","",INDEX(GL_Journal!$M:$M,$P371))</f>
        <v/>
      </c>
      <c r="M371" s="43">
        <f>IF($P371="","",INDEX(GL_Journal!$N:$N,$P371))</f>
        <v/>
      </c>
      <c r="N371" s="47">
        <f>IF($P371="","",IF($A371=1,LG_Open,$N370)+$L371-$M371)</f>
        <v/>
      </c>
      <c r="O371" s="32">
        <f>IF($A371&gt;COUNT(GL_Journal!$Y:$Y),"",SMALL(GL_Journal!$Y:$Y,$A371))</f>
        <v/>
      </c>
      <c r="P371" s="32">
        <f>IF($O371="","",MATCH($O371,GL_Journal!$Y:$Y,0))</f>
        <v/>
      </c>
      <c r="Q371" s="32" t="inlineStr"/>
    </row>
    <row r="372">
      <c r="A372" s="32">
        <f>ROW()-12</f>
        <v/>
      </c>
      <c r="B372" s="33">
        <f>IF($P372="","",INDEX(GL_Journal!$D:$D,$P372))</f>
        <v/>
      </c>
      <c r="C372" s="32">
        <f>IF($P372="","",INDEX(GL_Journal!$C:$C,$P372))</f>
        <v/>
      </c>
      <c r="D372" s="32">
        <f>IF($P372="","",INDEX(GL_Journal!$E:$E,$P372))</f>
        <v/>
      </c>
      <c r="E372" s="32">
        <f>IF($P372="","",INDEX(GL_Journal!$F:$F,$P372))</f>
        <v/>
      </c>
      <c r="F372" s="32">
        <f>IF($P372="","",INDEX(GL_Journal!$G:$G,$P372))</f>
        <v/>
      </c>
      <c r="G372" s="32">
        <f>IF($P372="","",INDEX(GL_Journal!$H:$H,$P372))</f>
        <v/>
      </c>
      <c r="H372" s="32">
        <f>IF($P372="","",INDEX(GL_Journal!$I:$I,$P372))</f>
        <v/>
      </c>
      <c r="I372" s="32">
        <f>IF($P372="","",INDEX(GL_Journal!$J:$J,$P372))</f>
        <v/>
      </c>
      <c r="J372" s="32">
        <f>IF($P372="","",INDEX(GL_Journal!$K:$K,$P372))</f>
        <v/>
      </c>
      <c r="K372" s="32">
        <f>IF($P372="","",INDEX(GL_Journal!$L:$L,$P372))</f>
        <v/>
      </c>
      <c r="L372" s="43">
        <f>IF($P372="","",INDEX(GL_Journal!$M:$M,$P372))</f>
        <v/>
      </c>
      <c r="M372" s="43">
        <f>IF($P372="","",INDEX(GL_Journal!$N:$N,$P372))</f>
        <v/>
      </c>
      <c r="N372" s="47">
        <f>IF($P372="","",IF($A372=1,LG_Open,$N371)+$L372-$M372)</f>
        <v/>
      </c>
      <c r="O372" s="32">
        <f>IF($A372&gt;COUNT(GL_Journal!$Y:$Y),"",SMALL(GL_Journal!$Y:$Y,$A372))</f>
        <v/>
      </c>
      <c r="P372" s="32">
        <f>IF($O372="","",MATCH($O372,GL_Journal!$Y:$Y,0))</f>
        <v/>
      </c>
      <c r="Q372" s="32" t="inlineStr"/>
    </row>
    <row r="373">
      <c r="A373" s="32">
        <f>ROW()-12</f>
        <v/>
      </c>
      <c r="B373" s="33">
        <f>IF($P373="","",INDEX(GL_Journal!$D:$D,$P373))</f>
        <v/>
      </c>
      <c r="C373" s="32">
        <f>IF($P373="","",INDEX(GL_Journal!$C:$C,$P373))</f>
        <v/>
      </c>
      <c r="D373" s="32">
        <f>IF($P373="","",INDEX(GL_Journal!$E:$E,$P373))</f>
        <v/>
      </c>
      <c r="E373" s="32">
        <f>IF($P373="","",INDEX(GL_Journal!$F:$F,$P373))</f>
        <v/>
      </c>
      <c r="F373" s="32">
        <f>IF($P373="","",INDEX(GL_Journal!$G:$G,$P373))</f>
        <v/>
      </c>
      <c r="G373" s="32">
        <f>IF($P373="","",INDEX(GL_Journal!$H:$H,$P373))</f>
        <v/>
      </c>
      <c r="H373" s="32">
        <f>IF($P373="","",INDEX(GL_Journal!$I:$I,$P373))</f>
        <v/>
      </c>
      <c r="I373" s="32">
        <f>IF($P373="","",INDEX(GL_Journal!$J:$J,$P373))</f>
        <v/>
      </c>
      <c r="J373" s="32">
        <f>IF($P373="","",INDEX(GL_Journal!$K:$K,$P373))</f>
        <v/>
      </c>
      <c r="K373" s="32">
        <f>IF($P373="","",INDEX(GL_Journal!$L:$L,$P373))</f>
        <v/>
      </c>
      <c r="L373" s="43">
        <f>IF($P373="","",INDEX(GL_Journal!$M:$M,$P373))</f>
        <v/>
      </c>
      <c r="M373" s="43">
        <f>IF($P373="","",INDEX(GL_Journal!$N:$N,$P373))</f>
        <v/>
      </c>
      <c r="N373" s="47">
        <f>IF($P373="","",IF($A373=1,LG_Open,$N372)+$L373-$M373)</f>
        <v/>
      </c>
      <c r="O373" s="32">
        <f>IF($A373&gt;COUNT(GL_Journal!$Y:$Y),"",SMALL(GL_Journal!$Y:$Y,$A373))</f>
        <v/>
      </c>
      <c r="P373" s="32">
        <f>IF($O373="","",MATCH($O373,GL_Journal!$Y:$Y,0))</f>
        <v/>
      </c>
      <c r="Q373" s="32" t="inlineStr"/>
    </row>
    <row r="374">
      <c r="A374" s="32">
        <f>ROW()-12</f>
        <v/>
      </c>
      <c r="B374" s="33">
        <f>IF($P374="","",INDEX(GL_Journal!$D:$D,$P374))</f>
        <v/>
      </c>
      <c r="C374" s="32">
        <f>IF($P374="","",INDEX(GL_Journal!$C:$C,$P374))</f>
        <v/>
      </c>
      <c r="D374" s="32">
        <f>IF($P374="","",INDEX(GL_Journal!$E:$E,$P374))</f>
        <v/>
      </c>
      <c r="E374" s="32">
        <f>IF($P374="","",INDEX(GL_Journal!$F:$F,$P374))</f>
        <v/>
      </c>
      <c r="F374" s="32">
        <f>IF($P374="","",INDEX(GL_Journal!$G:$G,$P374))</f>
        <v/>
      </c>
      <c r="G374" s="32">
        <f>IF($P374="","",INDEX(GL_Journal!$H:$H,$P374))</f>
        <v/>
      </c>
      <c r="H374" s="32">
        <f>IF($P374="","",INDEX(GL_Journal!$I:$I,$P374))</f>
        <v/>
      </c>
      <c r="I374" s="32">
        <f>IF($P374="","",INDEX(GL_Journal!$J:$J,$P374))</f>
        <v/>
      </c>
      <c r="J374" s="32">
        <f>IF($P374="","",INDEX(GL_Journal!$K:$K,$P374))</f>
        <v/>
      </c>
      <c r="K374" s="32">
        <f>IF($P374="","",INDEX(GL_Journal!$L:$L,$P374))</f>
        <v/>
      </c>
      <c r="L374" s="43">
        <f>IF($P374="","",INDEX(GL_Journal!$M:$M,$P374))</f>
        <v/>
      </c>
      <c r="M374" s="43">
        <f>IF($P374="","",INDEX(GL_Journal!$N:$N,$P374))</f>
        <v/>
      </c>
      <c r="N374" s="47">
        <f>IF($P374="","",IF($A374=1,LG_Open,$N373)+$L374-$M374)</f>
        <v/>
      </c>
      <c r="O374" s="32">
        <f>IF($A374&gt;COUNT(GL_Journal!$Y:$Y),"",SMALL(GL_Journal!$Y:$Y,$A374))</f>
        <v/>
      </c>
      <c r="P374" s="32">
        <f>IF($O374="","",MATCH($O374,GL_Journal!$Y:$Y,0))</f>
        <v/>
      </c>
      <c r="Q374" s="32" t="inlineStr"/>
    </row>
    <row r="375">
      <c r="A375" s="32">
        <f>ROW()-12</f>
        <v/>
      </c>
      <c r="B375" s="33">
        <f>IF($P375="","",INDEX(GL_Journal!$D:$D,$P375))</f>
        <v/>
      </c>
      <c r="C375" s="32">
        <f>IF($P375="","",INDEX(GL_Journal!$C:$C,$P375))</f>
        <v/>
      </c>
      <c r="D375" s="32">
        <f>IF($P375="","",INDEX(GL_Journal!$E:$E,$P375))</f>
        <v/>
      </c>
      <c r="E375" s="32">
        <f>IF($P375="","",INDEX(GL_Journal!$F:$F,$P375))</f>
        <v/>
      </c>
      <c r="F375" s="32">
        <f>IF($P375="","",INDEX(GL_Journal!$G:$G,$P375))</f>
        <v/>
      </c>
      <c r="G375" s="32">
        <f>IF($P375="","",INDEX(GL_Journal!$H:$H,$P375))</f>
        <v/>
      </c>
      <c r="H375" s="32">
        <f>IF($P375="","",INDEX(GL_Journal!$I:$I,$P375))</f>
        <v/>
      </c>
      <c r="I375" s="32">
        <f>IF($P375="","",INDEX(GL_Journal!$J:$J,$P375))</f>
        <v/>
      </c>
      <c r="J375" s="32">
        <f>IF($P375="","",INDEX(GL_Journal!$K:$K,$P375))</f>
        <v/>
      </c>
      <c r="K375" s="32">
        <f>IF($P375="","",INDEX(GL_Journal!$L:$L,$P375))</f>
        <v/>
      </c>
      <c r="L375" s="43">
        <f>IF($P375="","",INDEX(GL_Journal!$M:$M,$P375))</f>
        <v/>
      </c>
      <c r="M375" s="43">
        <f>IF($P375="","",INDEX(GL_Journal!$N:$N,$P375))</f>
        <v/>
      </c>
      <c r="N375" s="47">
        <f>IF($P375="","",IF($A375=1,LG_Open,$N374)+$L375-$M375)</f>
        <v/>
      </c>
      <c r="O375" s="32">
        <f>IF($A375&gt;COUNT(GL_Journal!$Y:$Y),"",SMALL(GL_Journal!$Y:$Y,$A375))</f>
        <v/>
      </c>
      <c r="P375" s="32">
        <f>IF($O375="","",MATCH($O375,GL_Journal!$Y:$Y,0))</f>
        <v/>
      </c>
      <c r="Q375" s="32" t="inlineStr"/>
    </row>
    <row r="376">
      <c r="A376" s="32">
        <f>ROW()-12</f>
        <v/>
      </c>
      <c r="B376" s="33">
        <f>IF($P376="","",INDEX(GL_Journal!$D:$D,$P376))</f>
        <v/>
      </c>
      <c r="C376" s="32">
        <f>IF($P376="","",INDEX(GL_Journal!$C:$C,$P376))</f>
        <v/>
      </c>
      <c r="D376" s="32">
        <f>IF($P376="","",INDEX(GL_Journal!$E:$E,$P376))</f>
        <v/>
      </c>
      <c r="E376" s="32">
        <f>IF($P376="","",INDEX(GL_Journal!$F:$F,$P376))</f>
        <v/>
      </c>
      <c r="F376" s="32">
        <f>IF($P376="","",INDEX(GL_Journal!$G:$G,$P376))</f>
        <v/>
      </c>
      <c r="G376" s="32">
        <f>IF($P376="","",INDEX(GL_Journal!$H:$H,$P376))</f>
        <v/>
      </c>
      <c r="H376" s="32">
        <f>IF($P376="","",INDEX(GL_Journal!$I:$I,$P376))</f>
        <v/>
      </c>
      <c r="I376" s="32">
        <f>IF($P376="","",INDEX(GL_Journal!$J:$J,$P376))</f>
        <v/>
      </c>
      <c r="J376" s="32">
        <f>IF($P376="","",INDEX(GL_Journal!$K:$K,$P376))</f>
        <v/>
      </c>
      <c r="K376" s="32">
        <f>IF($P376="","",INDEX(GL_Journal!$L:$L,$P376))</f>
        <v/>
      </c>
      <c r="L376" s="43">
        <f>IF($P376="","",INDEX(GL_Journal!$M:$M,$P376))</f>
        <v/>
      </c>
      <c r="M376" s="43">
        <f>IF($P376="","",INDEX(GL_Journal!$N:$N,$P376))</f>
        <v/>
      </c>
      <c r="N376" s="47">
        <f>IF($P376="","",IF($A376=1,LG_Open,$N375)+$L376-$M376)</f>
        <v/>
      </c>
      <c r="O376" s="32">
        <f>IF($A376&gt;COUNT(GL_Journal!$Y:$Y),"",SMALL(GL_Journal!$Y:$Y,$A376))</f>
        <v/>
      </c>
      <c r="P376" s="32">
        <f>IF($O376="","",MATCH($O376,GL_Journal!$Y:$Y,0))</f>
        <v/>
      </c>
      <c r="Q376" s="32" t="inlineStr"/>
    </row>
    <row r="377">
      <c r="A377" s="32">
        <f>ROW()-12</f>
        <v/>
      </c>
      <c r="B377" s="33">
        <f>IF($P377="","",INDEX(GL_Journal!$D:$D,$P377))</f>
        <v/>
      </c>
      <c r="C377" s="32">
        <f>IF($P377="","",INDEX(GL_Journal!$C:$C,$P377))</f>
        <v/>
      </c>
      <c r="D377" s="32">
        <f>IF($P377="","",INDEX(GL_Journal!$E:$E,$P377))</f>
        <v/>
      </c>
      <c r="E377" s="32">
        <f>IF($P377="","",INDEX(GL_Journal!$F:$F,$P377))</f>
        <v/>
      </c>
      <c r="F377" s="32">
        <f>IF($P377="","",INDEX(GL_Journal!$G:$G,$P377))</f>
        <v/>
      </c>
      <c r="G377" s="32">
        <f>IF($P377="","",INDEX(GL_Journal!$H:$H,$P377))</f>
        <v/>
      </c>
      <c r="H377" s="32">
        <f>IF($P377="","",INDEX(GL_Journal!$I:$I,$P377))</f>
        <v/>
      </c>
      <c r="I377" s="32">
        <f>IF($P377="","",INDEX(GL_Journal!$J:$J,$P377))</f>
        <v/>
      </c>
      <c r="J377" s="32">
        <f>IF($P377="","",INDEX(GL_Journal!$K:$K,$P377))</f>
        <v/>
      </c>
      <c r="K377" s="32">
        <f>IF($P377="","",INDEX(GL_Journal!$L:$L,$P377))</f>
        <v/>
      </c>
      <c r="L377" s="43">
        <f>IF($P377="","",INDEX(GL_Journal!$M:$M,$P377))</f>
        <v/>
      </c>
      <c r="M377" s="43">
        <f>IF($P377="","",INDEX(GL_Journal!$N:$N,$P377))</f>
        <v/>
      </c>
      <c r="N377" s="47">
        <f>IF($P377="","",IF($A377=1,LG_Open,$N376)+$L377-$M377)</f>
        <v/>
      </c>
      <c r="O377" s="32">
        <f>IF($A377&gt;COUNT(GL_Journal!$Y:$Y),"",SMALL(GL_Journal!$Y:$Y,$A377))</f>
        <v/>
      </c>
      <c r="P377" s="32">
        <f>IF($O377="","",MATCH($O377,GL_Journal!$Y:$Y,0))</f>
        <v/>
      </c>
      <c r="Q377" s="32" t="inlineStr"/>
    </row>
    <row r="378">
      <c r="A378" s="32">
        <f>ROW()-12</f>
        <v/>
      </c>
      <c r="B378" s="33">
        <f>IF($P378="","",INDEX(GL_Journal!$D:$D,$P378))</f>
        <v/>
      </c>
      <c r="C378" s="32">
        <f>IF($P378="","",INDEX(GL_Journal!$C:$C,$P378))</f>
        <v/>
      </c>
      <c r="D378" s="32">
        <f>IF($P378="","",INDEX(GL_Journal!$E:$E,$P378))</f>
        <v/>
      </c>
      <c r="E378" s="32">
        <f>IF($P378="","",INDEX(GL_Journal!$F:$F,$P378))</f>
        <v/>
      </c>
      <c r="F378" s="32">
        <f>IF($P378="","",INDEX(GL_Journal!$G:$G,$P378))</f>
        <v/>
      </c>
      <c r="G378" s="32">
        <f>IF($P378="","",INDEX(GL_Journal!$H:$H,$P378))</f>
        <v/>
      </c>
      <c r="H378" s="32">
        <f>IF($P378="","",INDEX(GL_Journal!$I:$I,$P378))</f>
        <v/>
      </c>
      <c r="I378" s="32">
        <f>IF($P378="","",INDEX(GL_Journal!$J:$J,$P378))</f>
        <v/>
      </c>
      <c r="J378" s="32">
        <f>IF($P378="","",INDEX(GL_Journal!$K:$K,$P378))</f>
        <v/>
      </c>
      <c r="K378" s="32">
        <f>IF($P378="","",INDEX(GL_Journal!$L:$L,$P378))</f>
        <v/>
      </c>
      <c r="L378" s="43">
        <f>IF($P378="","",INDEX(GL_Journal!$M:$M,$P378))</f>
        <v/>
      </c>
      <c r="M378" s="43">
        <f>IF($P378="","",INDEX(GL_Journal!$N:$N,$P378))</f>
        <v/>
      </c>
      <c r="N378" s="47">
        <f>IF($P378="","",IF($A378=1,LG_Open,$N377)+$L378-$M378)</f>
        <v/>
      </c>
      <c r="O378" s="32">
        <f>IF($A378&gt;COUNT(GL_Journal!$Y:$Y),"",SMALL(GL_Journal!$Y:$Y,$A378))</f>
        <v/>
      </c>
      <c r="P378" s="32">
        <f>IF($O378="","",MATCH($O378,GL_Journal!$Y:$Y,0))</f>
        <v/>
      </c>
      <c r="Q378" s="32" t="inlineStr"/>
    </row>
    <row r="379">
      <c r="A379" s="32">
        <f>ROW()-12</f>
        <v/>
      </c>
      <c r="B379" s="33">
        <f>IF($P379="","",INDEX(GL_Journal!$D:$D,$P379))</f>
        <v/>
      </c>
      <c r="C379" s="32">
        <f>IF($P379="","",INDEX(GL_Journal!$C:$C,$P379))</f>
        <v/>
      </c>
      <c r="D379" s="32">
        <f>IF($P379="","",INDEX(GL_Journal!$E:$E,$P379))</f>
        <v/>
      </c>
      <c r="E379" s="32">
        <f>IF($P379="","",INDEX(GL_Journal!$F:$F,$P379))</f>
        <v/>
      </c>
      <c r="F379" s="32">
        <f>IF($P379="","",INDEX(GL_Journal!$G:$G,$P379))</f>
        <v/>
      </c>
      <c r="G379" s="32">
        <f>IF($P379="","",INDEX(GL_Journal!$H:$H,$P379))</f>
        <v/>
      </c>
      <c r="H379" s="32">
        <f>IF($P379="","",INDEX(GL_Journal!$I:$I,$P379))</f>
        <v/>
      </c>
      <c r="I379" s="32">
        <f>IF($P379="","",INDEX(GL_Journal!$J:$J,$P379))</f>
        <v/>
      </c>
      <c r="J379" s="32">
        <f>IF($P379="","",INDEX(GL_Journal!$K:$K,$P379))</f>
        <v/>
      </c>
      <c r="K379" s="32">
        <f>IF($P379="","",INDEX(GL_Journal!$L:$L,$P379))</f>
        <v/>
      </c>
      <c r="L379" s="43">
        <f>IF($P379="","",INDEX(GL_Journal!$M:$M,$P379))</f>
        <v/>
      </c>
      <c r="M379" s="43">
        <f>IF($P379="","",INDEX(GL_Journal!$N:$N,$P379))</f>
        <v/>
      </c>
      <c r="N379" s="47">
        <f>IF($P379="","",IF($A379=1,LG_Open,$N378)+$L379-$M379)</f>
        <v/>
      </c>
      <c r="O379" s="32">
        <f>IF($A379&gt;COUNT(GL_Journal!$Y:$Y),"",SMALL(GL_Journal!$Y:$Y,$A379))</f>
        <v/>
      </c>
      <c r="P379" s="32">
        <f>IF($O379="","",MATCH($O379,GL_Journal!$Y:$Y,0))</f>
        <v/>
      </c>
      <c r="Q379" s="32" t="inlineStr"/>
    </row>
    <row r="380">
      <c r="A380" s="32">
        <f>ROW()-12</f>
        <v/>
      </c>
      <c r="B380" s="33">
        <f>IF($P380="","",INDEX(GL_Journal!$D:$D,$P380))</f>
        <v/>
      </c>
      <c r="C380" s="32">
        <f>IF($P380="","",INDEX(GL_Journal!$C:$C,$P380))</f>
        <v/>
      </c>
      <c r="D380" s="32">
        <f>IF($P380="","",INDEX(GL_Journal!$E:$E,$P380))</f>
        <v/>
      </c>
      <c r="E380" s="32">
        <f>IF($P380="","",INDEX(GL_Journal!$F:$F,$P380))</f>
        <v/>
      </c>
      <c r="F380" s="32">
        <f>IF($P380="","",INDEX(GL_Journal!$G:$G,$P380))</f>
        <v/>
      </c>
      <c r="G380" s="32">
        <f>IF($P380="","",INDEX(GL_Journal!$H:$H,$P380))</f>
        <v/>
      </c>
      <c r="H380" s="32">
        <f>IF($P380="","",INDEX(GL_Journal!$I:$I,$P380))</f>
        <v/>
      </c>
      <c r="I380" s="32">
        <f>IF($P380="","",INDEX(GL_Journal!$J:$J,$P380))</f>
        <v/>
      </c>
      <c r="J380" s="32">
        <f>IF($P380="","",INDEX(GL_Journal!$K:$K,$P380))</f>
        <v/>
      </c>
      <c r="K380" s="32">
        <f>IF($P380="","",INDEX(GL_Journal!$L:$L,$P380))</f>
        <v/>
      </c>
      <c r="L380" s="43">
        <f>IF($P380="","",INDEX(GL_Journal!$M:$M,$P380))</f>
        <v/>
      </c>
      <c r="M380" s="43">
        <f>IF($P380="","",INDEX(GL_Journal!$N:$N,$P380))</f>
        <v/>
      </c>
      <c r="N380" s="47">
        <f>IF($P380="","",IF($A380=1,LG_Open,$N379)+$L380-$M380)</f>
        <v/>
      </c>
      <c r="O380" s="32">
        <f>IF($A380&gt;COUNT(GL_Journal!$Y:$Y),"",SMALL(GL_Journal!$Y:$Y,$A380))</f>
        <v/>
      </c>
      <c r="P380" s="32">
        <f>IF($O380="","",MATCH($O380,GL_Journal!$Y:$Y,0))</f>
        <v/>
      </c>
      <c r="Q380" s="32" t="inlineStr"/>
    </row>
    <row r="381">
      <c r="A381" s="32">
        <f>ROW()-12</f>
        <v/>
      </c>
      <c r="B381" s="33">
        <f>IF($P381="","",INDEX(GL_Journal!$D:$D,$P381))</f>
        <v/>
      </c>
      <c r="C381" s="32">
        <f>IF($P381="","",INDEX(GL_Journal!$C:$C,$P381))</f>
        <v/>
      </c>
      <c r="D381" s="32">
        <f>IF($P381="","",INDEX(GL_Journal!$E:$E,$P381))</f>
        <v/>
      </c>
      <c r="E381" s="32">
        <f>IF($P381="","",INDEX(GL_Journal!$F:$F,$P381))</f>
        <v/>
      </c>
      <c r="F381" s="32">
        <f>IF($P381="","",INDEX(GL_Journal!$G:$G,$P381))</f>
        <v/>
      </c>
      <c r="G381" s="32">
        <f>IF($P381="","",INDEX(GL_Journal!$H:$H,$P381))</f>
        <v/>
      </c>
      <c r="H381" s="32">
        <f>IF($P381="","",INDEX(GL_Journal!$I:$I,$P381))</f>
        <v/>
      </c>
      <c r="I381" s="32">
        <f>IF($P381="","",INDEX(GL_Journal!$J:$J,$P381))</f>
        <v/>
      </c>
      <c r="J381" s="32">
        <f>IF($P381="","",INDEX(GL_Journal!$K:$K,$P381))</f>
        <v/>
      </c>
      <c r="K381" s="32">
        <f>IF($P381="","",INDEX(GL_Journal!$L:$L,$P381))</f>
        <v/>
      </c>
      <c r="L381" s="43">
        <f>IF($P381="","",INDEX(GL_Journal!$M:$M,$P381))</f>
        <v/>
      </c>
      <c r="M381" s="43">
        <f>IF($P381="","",INDEX(GL_Journal!$N:$N,$P381))</f>
        <v/>
      </c>
      <c r="N381" s="47">
        <f>IF($P381="","",IF($A381=1,LG_Open,$N380)+$L381-$M381)</f>
        <v/>
      </c>
      <c r="O381" s="32">
        <f>IF($A381&gt;COUNT(GL_Journal!$Y:$Y),"",SMALL(GL_Journal!$Y:$Y,$A381))</f>
        <v/>
      </c>
      <c r="P381" s="32">
        <f>IF($O381="","",MATCH($O381,GL_Journal!$Y:$Y,0))</f>
        <v/>
      </c>
      <c r="Q381" s="32" t="inlineStr"/>
    </row>
    <row r="382">
      <c r="A382" s="32">
        <f>ROW()-12</f>
        <v/>
      </c>
      <c r="B382" s="33">
        <f>IF($P382="","",INDEX(GL_Journal!$D:$D,$P382))</f>
        <v/>
      </c>
      <c r="C382" s="32">
        <f>IF($P382="","",INDEX(GL_Journal!$C:$C,$P382))</f>
        <v/>
      </c>
      <c r="D382" s="32">
        <f>IF($P382="","",INDEX(GL_Journal!$E:$E,$P382))</f>
        <v/>
      </c>
      <c r="E382" s="32">
        <f>IF($P382="","",INDEX(GL_Journal!$F:$F,$P382))</f>
        <v/>
      </c>
      <c r="F382" s="32">
        <f>IF($P382="","",INDEX(GL_Journal!$G:$G,$P382))</f>
        <v/>
      </c>
      <c r="G382" s="32">
        <f>IF($P382="","",INDEX(GL_Journal!$H:$H,$P382))</f>
        <v/>
      </c>
      <c r="H382" s="32">
        <f>IF($P382="","",INDEX(GL_Journal!$I:$I,$P382))</f>
        <v/>
      </c>
      <c r="I382" s="32">
        <f>IF($P382="","",INDEX(GL_Journal!$J:$J,$P382))</f>
        <v/>
      </c>
      <c r="J382" s="32">
        <f>IF($P382="","",INDEX(GL_Journal!$K:$K,$P382))</f>
        <v/>
      </c>
      <c r="K382" s="32">
        <f>IF($P382="","",INDEX(GL_Journal!$L:$L,$P382))</f>
        <v/>
      </c>
      <c r="L382" s="43">
        <f>IF($P382="","",INDEX(GL_Journal!$M:$M,$P382))</f>
        <v/>
      </c>
      <c r="M382" s="43">
        <f>IF($P382="","",INDEX(GL_Journal!$N:$N,$P382))</f>
        <v/>
      </c>
      <c r="N382" s="47">
        <f>IF($P382="","",IF($A382=1,LG_Open,$N381)+$L382-$M382)</f>
        <v/>
      </c>
      <c r="O382" s="32">
        <f>IF($A382&gt;COUNT(GL_Journal!$Y:$Y),"",SMALL(GL_Journal!$Y:$Y,$A382))</f>
        <v/>
      </c>
      <c r="P382" s="32">
        <f>IF($O382="","",MATCH($O382,GL_Journal!$Y:$Y,0))</f>
        <v/>
      </c>
      <c r="Q382" s="32" t="inlineStr"/>
    </row>
    <row r="383">
      <c r="A383" s="32">
        <f>ROW()-12</f>
        <v/>
      </c>
      <c r="B383" s="33">
        <f>IF($P383="","",INDEX(GL_Journal!$D:$D,$P383))</f>
        <v/>
      </c>
      <c r="C383" s="32">
        <f>IF($P383="","",INDEX(GL_Journal!$C:$C,$P383))</f>
        <v/>
      </c>
      <c r="D383" s="32">
        <f>IF($P383="","",INDEX(GL_Journal!$E:$E,$P383))</f>
        <v/>
      </c>
      <c r="E383" s="32">
        <f>IF($P383="","",INDEX(GL_Journal!$F:$F,$P383))</f>
        <v/>
      </c>
      <c r="F383" s="32">
        <f>IF($P383="","",INDEX(GL_Journal!$G:$G,$P383))</f>
        <v/>
      </c>
      <c r="G383" s="32">
        <f>IF($P383="","",INDEX(GL_Journal!$H:$H,$P383))</f>
        <v/>
      </c>
      <c r="H383" s="32">
        <f>IF($P383="","",INDEX(GL_Journal!$I:$I,$P383))</f>
        <v/>
      </c>
      <c r="I383" s="32">
        <f>IF($P383="","",INDEX(GL_Journal!$J:$J,$P383))</f>
        <v/>
      </c>
      <c r="J383" s="32">
        <f>IF($P383="","",INDEX(GL_Journal!$K:$K,$P383))</f>
        <v/>
      </c>
      <c r="K383" s="32">
        <f>IF($P383="","",INDEX(GL_Journal!$L:$L,$P383))</f>
        <v/>
      </c>
      <c r="L383" s="43">
        <f>IF($P383="","",INDEX(GL_Journal!$M:$M,$P383))</f>
        <v/>
      </c>
      <c r="M383" s="43">
        <f>IF($P383="","",INDEX(GL_Journal!$N:$N,$P383))</f>
        <v/>
      </c>
      <c r="N383" s="47">
        <f>IF($P383="","",IF($A383=1,LG_Open,$N382)+$L383-$M383)</f>
        <v/>
      </c>
      <c r="O383" s="32">
        <f>IF($A383&gt;COUNT(GL_Journal!$Y:$Y),"",SMALL(GL_Journal!$Y:$Y,$A383))</f>
        <v/>
      </c>
      <c r="P383" s="32">
        <f>IF($O383="","",MATCH($O383,GL_Journal!$Y:$Y,0))</f>
        <v/>
      </c>
      <c r="Q383" s="32" t="inlineStr"/>
    </row>
    <row r="384">
      <c r="A384" s="32">
        <f>ROW()-12</f>
        <v/>
      </c>
      <c r="B384" s="33">
        <f>IF($P384="","",INDEX(GL_Journal!$D:$D,$P384))</f>
        <v/>
      </c>
      <c r="C384" s="32">
        <f>IF($P384="","",INDEX(GL_Journal!$C:$C,$P384))</f>
        <v/>
      </c>
      <c r="D384" s="32">
        <f>IF($P384="","",INDEX(GL_Journal!$E:$E,$P384))</f>
        <v/>
      </c>
      <c r="E384" s="32">
        <f>IF($P384="","",INDEX(GL_Journal!$F:$F,$P384))</f>
        <v/>
      </c>
      <c r="F384" s="32">
        <f>IF($P384="","",INDEX(GL_Journal!$G:$G,$P384))</f>
        <v/>
      </c>
      <c r="G384" s="32">
        <f>IF($P384="","",INDEX(GL_Journal!$H:$H,$P384))</f>
        <v/>
      </c>
      <c r="H384" s="32">
        <f>IF($P384="","",INDEX(GL_Journal!$I:$I,$P384))</f>
        <v/>
      </c>
      <c r="I384" s="32">
        <f>IF($P384="","",INDEX(GL_Journal!$J:$J,$P384))</f>
        <v/>
      </c>
      <c r="J384" s="32">
        <f>IF($P384="","",INDEX(GL_Journal!$K:$K,$P384))</f>
        <v/>
      </c>
      <c r="K384" s="32">
        <f>IF($P384="","",INDEX(GL_Journal!$L:$L,$P384))</f>
        <v/>
      </c>
      <c r="L384" s="43">
        <f>IF($P384="","",INDEX(GL_Journal!$M:$M,$P384))</f>
        <v/>
      </c>
      <c r="M384" s="43">
        <f>IF($P384="","",INDEX(GL_Journal!$N:$N,$P384))</f>
        <v/>
      </c>
      <c r="N384" s="47">
        <f>IF($P384="","",IF($A384=1,LG_Open,$N383)+$L384-$M384)</f>
        <v/>
      </c>
      <c r="O384" s="32">
        <f>IF($A384&gt;COUNT(GL_Journal!$Y:$Y),"",SMALL(GL_Journal!$Y:$Y,$A384))</f>
        <v/>
      </c>
      <c r="P384" s="32">
        <f>IF($O384="","",MATCH($O384,GL_Journal!$Y:$Y,0))</f>
        <v/>
      </c>
      <c r="Q384" s="32" t="inlineStr"/>
    </row>
    <row r="385">
      <c r="A385" s="32">
        <f>ROW()-12</f>
        <v/>
      </c>
      <c r="B385" s="33">
        <f>IF($P385="","",INDEX(GL_Journal!$D:$D,$P385))</f>
        <v/>
      </c>
      <c r="C385" s="32">
        <f>IF($P385="","",INDEX(GL_Journal!$C:$C,$P385))</f>
        <v/>
      </c>
      <c r="D385" s="32">
        <f>IF($P385="","",INDEX(GL_Journal!$E:$E,$P385))</f>
        <v/>
      </c>
      <c r="E385" s="32">
        <f>IF($P385="","",INDEX(GL_Journal!$F:$F,$P385))</f>
        <v/>
      </c>
      <c r="F385" s="32">
        <f>IF($P385="","",INDEX(GL_Journal!$G:$G,$P385))</f>
        <v/>
      </c>
      <c r="G385" s="32">
        <f>IF($P385="","",INDEX(GL_Journal!$H:$H,$P385))</f>
        <v/>
      </c>
      <c r="H385" s="32">
        <f>IF($P385="","",INDEX(GL_Journal!$I:$I,$P385))</f>
        <v/>
      </c>
      <c r="I385" s="32">
        <f>IF($P385="","",INDEX(GL_Journal!$J:$J,$P385))</f>
        <v/>
      </c>
      <c r="J385" s="32">
        <f>IF($P385="","",INDEX(GL_Journal!$K:$K,$P385))</f>
        <v/>
      </c>
      <c r="K385" s="32">
        <f>IF($P385="","",INDEX(GL_Journal!$L:$L,$P385))</f>
        <v/>
      </c>
      <c r="L385" s="43">
        <f>IF($P385="","",INDEX(GL_Journal!$M:$M,$P385))</f>
        <v/>
      </c>
      <c r="M385" s="43">
        <f>IF($P385="","",INDEX(GL_Journal!$N:$N,$P385))</f>
        <v/>
      </c>
      <c r="N385" s="47">
        <f>IF($P385="","",IF($A385=1,LG_Open,$N384)+$L385-$M385)</f>
        <v/>
      </c>
      <c r="O385" s="32">
        <f>IF($A385&gt;COUNT(GL_Journal!$Y:$Y),"",SMALL(GL_Journal!$Y:$Y,$A385))</f>
        <v/>
      </c>
      <c r="P385" s="32">
        <f>IF($O385="","",MATCH($O385,GL_Journal!$Y:$Y,0))</f>
        <v/>
      </c>
      <c r="Q385" s="32" t="inlineStr"/>
    </row>
    <row r="386">
      <c r="A386" s="32">
        <f>ROW()-12</f>
        <v/>
      </c>
      <c r="B386" s="33">
        <f>IF($P386="","",INDEX(GL_Journal!$D:$D,$P386))</f>
        <v/>
      </c>
      <c r="C386" s="32">
        <f>IF($P386="","",INDEX(GL_Journal!$C:$C,$P386))</f>
        <v/>
      </c>
      <c r="D386" s="32">
        <f>IF($P386="","",INDEX(GL_Journal!$E:$E,$P386))</f>
        <v/>
      </c>
      <c r="E386" s="32">
        <f>IF($P386="","",INDEX(GL_Journal!$F:$F,$P386))</f>
        <v/>
      </c>
      <c r="F386" s="32">
        <f>IF($P386="","",INDEX(GL_Journal!$G:$G,$P386))</f>
        <v/>
      </c>
      <c r="G386" s="32">
        <f>IF($P386="","",INDEX(GL_Journal!$H:$H,$P386))</f>
        <v/>
      </c>
      <c r="H386" s="32">
        <f>IF($P386="","",INDEX(GL_Journal!$I:$I,$P386))</f>
        <v/>
      </c>
      <c r="I386" s="32">
        <f>IF($P386="","",INDEX(GL_Journal!$J:$J,$P386))</f>
        <v/>
      </c>
      <c r="J386" s="32">
        <f>IF($P386="","",INDEX(GL_Journal!$K:$K,$P386))</f>
        <v/>
      </c>
      <c r="K386" s="32">
        <f>IF($P386="","",INDEX(GL_Journal!$L:$L,$P386))</f>
        <v/>
      </c>
      <c r="L386" s="43">
        <f>IF($P386="","",INDEX(GL_Journal!$M:$M,$P386))</f>
        <v/>
      </c>
      <c r="M386" s="43">
        <f>IF($P386="","",INDEX(GL_Journal!$N:$N,$P386))</f>
        <v/>
      </c>
      <c r="N386" s="47">
        <f>IF($P386="","",IF($A386=1,LG_Open,$N385)+$L386-$M386)</f>
        <v/>
      </c>
      <c r="O386" s="32">
        <f>IF($A386&gt;COUNT(GL_Journal!$Y:$Y),"",SMALL(GL_Journal!$Y:$Y,$A386))</f>
        <v/>
      </c>
      <c r="P386" s="32">
        <f>IF($O386="","",MATCH($O386,GL_Journal!$Y:$Y,0))</f>
        <v/>
      </c>
      <c r="Q386" s="32" t="inlineStr"/>
    </row>
    <row r="387">
      <c r="A387" s="32">
        <f>ROW()-12</f>
        <v/>
      </c>
      <c r="B387" s="33">
        <f>IF($P387="","",INDEX(GL_Journal!$D:$D,$P387))</f>
        <v/>
      </c>
      <c r="C387" s="32">
        <f>IF($P387="","",INDEX(GL_Journal!$C:$C,$P387))</f>
        <v/>
      </c>
      <c r="D387" s="32">
        <f>IF($P387="","",INDEX(GL_Journal!$E:$E,$P387))</f>
        <v/>
      </c>
      <c r="E387" s="32">
        <f>IF($P387="","",INDEX(GL_Journal!$F:$F,$P387))</f>
        <v/>
      </c>
      <c r="F387" s="32">
        <f>IF($P387="","",INDEX(GL_Journal!$G:$G,$P387))</f>
        <v/>
      </c>
      <c r="G387" s="32">
        <f>IF($P387="","",INDEX(GL_Journal!$H:$H,$P387))</f>
        <v/>
      </c>
      <c r="H387" s="32">
        <f>IF($P387="","",INDEX(GL_Journal!$I:$I,$P387))</f>
        <v/>
      </c>
      <c r="I387" s="32">
        <f>IF($P387="","",INDEX(GL_Journal!$J:$J,$P387))</f>
        <v/>
      </c>
      <c r="J387" s="32">
        <f>IF($P387="","",INDEX(GL_Journal!$K:$K,$P387))</f>
        <v/>
      </c>
      <c r="K387" s="32">
        <f>IF($P387="","",INDEX(GL_Journal!$L:$L,$P387))</f>
        <v/>
      </c>
      <c r="L387" s="43">
        <f>IF($P387="","",INDEX(GL_Journal!$M:$M,$P387))</f>
        <v/>
      </c>
      <c r="M387" s="43">
        <f>IF($P387="","",INDEX(GL_Journal!$N:$N,$P387))</f>
        <v/>
      </c>
      <c r="N387" s="47">
        <f>IF($P387="","",IF($A387=1,LG_Open,$N386)+$L387-$M387)</f>
        <v/>
      </c>
      <c r="O387" s="32">
        <f>IF($A387&gt;COUNT(GL_Journal!$Y:$Y),"",SMALL(GL_Journal!$Y:$Y,$A387))</f>
        <v/>
      </c>
      <c r="P387" s="32">
        <f>IF($O387="","",MATCH($O387,GL_Journal!$Y:$Y,0))</f>
        <v/>
      </c>
      <c r="Q387" s="32" t="inlineStr"/>
    </row>
    <row r="388">
      <c r="A388" s="32">
        <f>ROW()-12</f>
        <v/>
      </c>
      <c r="B388" s="33">
        <f>IF($P388="","",INDEX(GL_Journal!$D:$D,$P388))</f>
        <v/>
      </c>
      <c r="C388" s="32">
        <f>IF($P388="","",INDEX(GL_Journal!$C:$C,$P388))</f>
        <v/>
      </c>
      <c r="D388" s="32">
        <f>IF($P388="","",INDEX(GL_Journal!$E:$E,$P388))</f>
        <v/>
      </c>
      <c r="E388" s="32">
        <f>IF($P388="","",INDEX(GL_Journal!$F:$F,$P388))</f>
        <v/>
      </c>
      <c r="F388" s="32">
        <f>IF($P388="","",INDEX(GL_Journal!$G:$G,$P388))</f>
        <v/>
      </c>
      <c r="G388" s="32">
        <f>IF($P388="","",INDEX(GL_Journal!$H:$H,$P388))</f>
        <v/>
      </c>
      <c r="H388" s="32">
        <f>IF($P388="","",INDEX(GL_Journal!$I:$I,$P388))</f>
        <v/>
      </c>
      <c r="I388" s="32">
        <f>IF($P388="","",INDEX(GL_Journal!$J:$J,$P388))</f>
        <v/>
      </c>
      <c r="J388" s="32">
        <f>IF($P388="","",INDEX(GL_Journal!$K:$K,$P388))</f>
        <v/>
      </c>
      <c r="K388" s="32">
        <f>IF($P388="","",INDEX(GL_Journal!$L:$L,$P388))</f>
        <v/>
      </c>
      <c r="L388" s="43">
        <f>IF($P388="","",INDEX(GL_Journal!$M:$M,$P388))</f>
        <v/>
      </c>
      <c r="M388" s="43">
        <f>IF($P388="","",INDEX(GL_Journal!$N:$N,$P388))</f>
        <v/>
      </c>
      <c r="N388" s="47">
        <f>IF($P388="","",IF($A388=1,LG_Open,$N387)+$L388-$M388)</f>
        <v/>
      </c>
      <c r="O388" s="32">
        <f>IF($A388&gt;COUNT(GL_Journal!$Y:$Y),"",SMALL(GL_Journal!$Y:$Y,$A388))</f>
        <v/>
      </c>
      <c r="P388" s="32">
        <f>IF($O388="","",MATCH($O388,GL_Journal!$Y:$Y,0))</f>
        <v/>
      </c>
      <c r="Q388" s="32" t="inlineStr"/>
    </row>
    <row r="389">
      <c r="A389" s="32">
        <f>ROW()-12</f>
        <v/>
      </c>
      <c r="B389" s="33">
        <f>IF($P389="","",INDEX(GL_Journal!$D:$D,$P389))</f>
        <v/>
      </c>
      <c r="C389" s="32">
        <f>IF($P389="","",INDEX(GL_Journal!$C:$C,$P389))</f>
        <v/>
      </c>
      <c r="D389" s="32">
        <f>IF($P389="","",INDEX(GL_Journal!$E:$E,$P389))</f>
        <v/>
      </c>
      <c r="E389" s="32">
        <f>IF($P389="","",INDEX(GL_Journal!$F:$F,$P389))</f>
        <v/>
      </c>
      <c r="F389" s="32">
        <f>IF($P389="","",INDEX(GL_Journal!$G:$G,$P389))</f>
        <v/>
      </c>
      <c r="G389" s="32">
        <f>IF($P389="","",INDEX(GL_Journal!$H:$H,$P389))</f>
        <v/>
      </c>
      <c r="H389" s="32">
        <f>IF($P389="","",INDEX(GL_Journal!$I:$I,$P389))</f>
        <v/>
      </c>
      <c r="I389" s="32">
        <f>IF($P389="","",INDEX(GL_Journal!$J:$J,$P389))</f>
        <v/>
      </c>
      <c r="J389" s="32">
        <f>IF($P389="","",INDEX(GL_Journal!$K:$K,$P389))</f>
        <v/>
      </c>
      <c r="K389" s="32">
        <f>IF($P389="","",INDEX(GL_Journal!$L:$L,$P389))</f>
        <v/>
      </c>
      <c r="L389" s="43">
        <f>IF($P389="","",INDEX(GL_Journal!$M:$M,$P389))</f>
        <v/>
      </c>
      <c r="M389" s="43">
        <f>IF($P389="","",INDEX(GL_Journal!$N:$N,$P389))</f>
        <v/>
      </c>
      <c r="N389" s="47">
        <f>IF($P389="","",IF($A389=1,LG_Open,$N388)+$L389-$M389)</f>
        <v/>
      </c>
      <c r="O389" s="32">
        <f>IF($A389&gt;COUNT(GL_Journal!$Y:$Y),"",SMALL(GL_Journal!$Y:$Y,$A389))</f>
        <v/>
      </c>
      <c r="P389" s="32">
        <f>IF($O389="","",MATCH($O389,GL_Journal!$Y:$Y,0))</f>
        <v/>
      </c>
      <c r="Q389" s="32" t="inlineStr"/>
    </row>
    <row r="390">
      <c r="A390" s="32">
        <f>ROW()-12</f>
        <v/>
      </c>
      <c r="B390" s="33">
        <f>IF($P390="","",INDEX(GL_Journal!$D:$D,$P390))</f>
        <v/>
      </c>
      <c r="C390" s="32">
        <f>IF($P390="","",INDEX(GL_Journal!$C:$C,$P390))</f>
        <v/>
      </c>
      <c r="D390" s="32">
        <f>IF($P390="","",INDEX(GL_Journal!$E:$E,$P390))</f>
        <v/>
      </c>
      <c r="E390" s="32">
        <f>IF($P390="","",INDEX(GL_Journal!$F:$F,$P390))</f>
        <v/>
      </c>
      <c r="F390" s="32">
        <f>IF($P390="","",INDEX(GL_Journal!$G:$G,$P390))</f>
        <v/>
      </c>
      <c r="G390" s="32">
        <f>IF($P390="","",INDEX(GL_Journal!$H:$H,$P390))</f>
        <v/>
      </c>
      <c r="H390" s="32">
        <f>IF($P390="","",INDEX(GL_Journal!$I:$I,$P390))</f>
        <v/>
      </c>
      <c r="I390" s="32">
        <f>IF($P390="","",INDEX(GL_Journal!$J:$J,$P390))</f>
        <v/>
      </c>
      <c r="J390" s="32">
        <f>IF($P390="","",INDEX(GL_Journal!$K:$K,$P390))</f>
        <v/>
      </c>
      <c r="K390" s="32">
        <f>IF($P390="","",INDEX(GL_Journal!$L:$L,$P390))</f>
        <v/>
      </c>
      <c r="L390" s="43">
        <f>IF($P390="","",INDEX(GL_Journal!$M:$M,$P390))</f>
        <v/>
      </c>
      <c r="M390" s="43">
        <f>IF($P390="","",INDEX(GL_Journal!$N:$N,$P390))</f>
        <v/>
      </c>
      <c r="N390" s="47">
        <f>IF($P390="","",IF($A390=1,LG_Open,$N389)+$L390-$M390)</f>
        <v/>
      </c>
      <c r="O390" s="32">
        <f>IF($A390&gt;COUNT(GL_Journal!$Y:$Y),"",SMALL(GL_Journal!$Y:$Y,$A390))</f>
        <v/>
      </c>
      <c r="P390" s="32">
        <f>IF($O390="","",MATCH($O390,GL_Journal!$Y:$Y,0))</f>
        <v/>
      </c>
      <c r="Q390" s="32" t="inlineStr"/>
    </row>
    <row r="391">
      <c r="A391" s="32">
        <f>ROW()-12</f>
        <v/>
      </c>
      <c r="B391" s="33">
        <f>IF($P391="","",INDEX(GL_Journal!$D:$D,$P391))</f>
        <v/>
      </c>
      <c r="C391" s="32">
        <f>IF($P391="","",INDEX(GL_Journal!$C:$C,$P391))</f>
        <v/>
      </c>
      <c r="D391" s="32">
        <f>IF($P391="","",INDEX(GL_Journal!$E:$E,$P391))</f>
        <v/>
      </c>
      <c r="E391" s="32">
        <f>IF($P391="","",INDEX(GL_Journal!$F:$F,$P391))</f>
        <v/>
      </c>
      <c r="F391" s="32">
        <f>IF($P391="","",INDEX(GL_Journal!$G:$G,$P391))</f>
        <v/>
      </c>
      <c r="G391" s="32">
        <f>IF($P391="","",INDEX(GL_Journal!$H:$H,$P391))</f>
        <v/>
      </c>
      <c r="H391" s="32">
        <f>IF($P391="","",INDEX(GL_Journal!$I:$I,$P391))</f>
        <v/>
      </c>
      <c r="I391" s="32">
        <f>IF($P391="","",INDEX(GL_Journal!$J:$J,$P391))</f>
        <v/>
      </c>
      <c r="J391" s="32">
        <f>IF($P391="","",INDEX(GL_Journal!$K:$K,$P391))</f>
        <v/>
      </c>
      <c r="K391" s="32">
        <f>IF($P391="","",INDEX(GL_Journal!$L:$L,$P391))</f>
        <v/>
      </c>
      <c r="L391" s="43">
        <f>IF($P391="","",INDEX(GL_Journal!$M:$M,$P391))</f>
        <v/>
      </c>
      <c r="M391" s="43">
        <f>IF($P391="","",INDEX(GL_Journal!$N:$N,$P391))</f>
        <v/>
      </c>
      <c r="N391" s="47">
        <f>IF($P391="","",IF($A391=1,LG_Open,$N390)+$L391-$M391)</f>
        <v/>
      </c>
      <c r="O391" s="32">
        <f>IF($A391&gt;COUNT(GL_Journal!$Y:$Y),"",SMALL(GL_Journal!$Y:$Y,$A391))</f>
        <v/>
      </c>
      <c r="P391" s="32">
        <f>IF($O391="","",MATCH($O391,GL_Journal!$Y:$Y,0))</f>
        <v/>
      </c>
      <c r="Q391" s="32" t="inlineStr"/>
    </row>
    <row r="392">
      <c r="A392" s="32">
        <f>ROW()-12</f>
        <v/>
      </c>
      <c r="B392" s="33">
        <f>IF($P392="","",INDEX(GL_Journal!$D:$D,$P392))</f>
        <v/>
      </c>
      <c r="C392" s="32">
        <f>IF($P392="","",INDEX(GL_Journal!$C:$C,$P392))</f>
        <v/>
      </c>
      <c r="D392" s="32">
        <f>IF($P392="","",INDEX(GL_Journal!$E:$E,$P392))</f>
        <v/>
      </c>
      <c r="E392" s="32">
        <f>IF($P392="","",INDEX(GL_Journal!$F:$F,$P392))</f>
        <v/>
      </c>
      <c r="F392" s="32">
        <f>IF($P392="","",INDEX(GL_Journal!$G:$G,$P392))</f>
        <v/>
      </c>
      <c r="G392" s="32">
        <f>IF($P392="","",INDEX(GL_Journal!$H:$H,$P392))</f>
        <v/>
      </c>
      <c r="H392" s="32">
        <f>IF($P392="","",INDEX(GL_Journal!$I:$I,$P392))</f>
        <v/>
      </c>
      <c r="I392" s="32">
        <f>IF($P392="","",INDEX(GL_Journal!$J:$J,$P392))</f>
        <v/>
      </c>
      <c r="J392" s="32">
        <f>IF($P392="","",INDEX(GL_Journal!$K:$K,$P392))</f>
        <v/>
      </c>
      <c r="K392" s="32">
        <f>IF($P392="","",INDEX(GL_Journal!$L:$L,$P392))</f>
        <v/>
      </c>
      <c r="L392" s="43">
        <f>IF($P392="","",INDEX(GL_Journal!$M:$M,$P392))</f>
        <v/>
      </c>
      <c r="M392" s="43">
        <f>IF($P392="","",INDEX(GL_Journal!$N:$N,$P392))</f>
        <v/>
      </c>
      <c r="N392" s="47">
        <f>IF($P392="","",IF($A392=1,LG_Open,$N391)+$L392-$M392)</f>
        <v/>
      </c>
      <c r="O392" s="32">
        <f>IF($A392&gt;COUNT(GL_Journal!$Y:$Y),"",SMALL(GL_Journal!$Y:$Y,$A392))</f>
        <v/>
      </c>
      <c r="P392" s="32">
        <f>IF($O392="","",MATCH($O392,GL_Journal!$Y:$Y,0))</f>
        <v/>
      </c>
      <c r="Q392" s="32" t="inlineStr"/>
    </row>
    <row r="393">
      <c r="A393" s="32">
        <f>ROW()-12</f>
        <v/>
      </c>
      <c r="B393" s="33">
        <f>IF($P393="","",INDEX(GL_Journal!$D:$D,$P393))</f>
        <v/>
      </c>
      <c r="C393" s="32">
        <f>IF($P393="","",INDEX(GL_Journal!$C:$C,$P393))</f>
        <v/>
      </c>
      <c r="D393" s="32">
        <f>IF($P393="","",INDEX(GL_Journal!$E:$E,$P393))</f>
        <v/>
      </c>
      <c r="E393" s="32">
        <f>IF($P393="","",INDEX(GL_Journal!$F:$F,$P393))</f>
        <v/>
      </c>
      <c r="F393" s="32">
        <f>IF($P393="","",INDEX(GL_Journal!$G:$G,$P393))</f>
        <v/>
      </c>
      <c r="G393" s="32">
        <f>IF($P393="","",INDEX(GL_Journal!$H:$H,$P393))</f>
        <v/>
      </c>
      <c r="H393" s="32">
        <f>IF($P393="","",INDEX(GL_Journal!$I:$I,$P393))</f>
        <v/>
      </c>
      <c r="I393" s="32">
        <f>IF($P393="","",INDEX(GL_Journal!$J:$J,$P393))</f>
        <v/>
      </c>
      <c r="J393" s="32">
        <f>IF($P393="","",INDEX(GL_Journal!$K:$K,$P393))</f>
        <v/>
      </c>
      <c r="K393" s="32">
        <f>IF($P393="","",INDEX(GL_Journal!$L:$L,$P393))</f>
        <v/>
      </c>
      <c r="L393" s="43">
        <f>IF($P393="","",INDEX(GL_Journal!$M:$M,$P393))</f>
        <v/>
      </c>
      <c r="M393" s="43">
        <f>IF($P393="","",INDEX(GL_Journal!$N:$N,$P393))</f>
        <v/>
      </c>
      <c r="N393" s="47">
        <f>IF($P393="","",IF($A393=1,LG_Open,$N392)+$L393-$M393)</f>
        <v/>
      </c>
      <c r="O393" s="32">
        <f>IF($A393&gt;COUNT(GL_Journal!$Y:$Y),"",SMALL(GL_Journal!$Y:$Y,$A393))</f>
        <v/>
      </c>
      <c r="P393" s="32">
        <f>IF($O393="","",MATCH($O393,GL_Journal!$Y:$Y,0))</f>
        <v/>
      </c>
      <c r="Q393" s="32" t="inlineStr"/>
    </row>
    <row r="394">
      <c r="A394" s="32">
        <f>ROW()-12</f>
        <v/>
      </c>
      <c r="B394" s="33">
        <f>IF($P394="","",INDEX(GL_Journal!$D:$D,$P394))</f>
        <v/>
      </c>
      <c r="C394" s="32">
        <f>IF($P394="","",INDEX(GL_Journal!$C:$C,$P394))</f>
        <v/>
      </c>
      <c r="D394" s="32">
        <f>IF($P394="","",INDEX(GL_Journal!$E:$E,$P394))</f>
        <v/>
      </c>
      <c r="E394" s="32">
        <f>IF($P394="","",INDEX(GL_Journal!$F:$F,$P394))</f>
        <v/>
      </c>
      <c r="F394" s="32">
        <f>IF($P394="","",INDEX(GL_Journal!$G:$G,$P394))</f>
        <v/>
      </c>
      <c r="G394" s="32">
        <f>IF($P394="","",INDEX(GL_Journal!$H:$H,$P394))</f>
        <v/>
      </c>
      <c r="H394" s="32">
        <f>IF($P394="","",INDEX(GL_Journal!$I:$I,$P394))</f>
        <v/>
      </c>
      <c r="I394" s="32">
        <f>IF($P394="","",INDEX(GL_Journal!$J:$J,$P394))</f>
        <v/>
      </c>
      <c r="J394" s="32">
        <f>IF($P394="","",INDEX(GL_Journal!$K:$K,$P394))</f>
        <v/>
      </c>
      <c r="K394" s="32">
        <f>IF($P394="","",INDEX(GL_Journal!$L:$L,$P394))</f>
        <v/>
      </c>
      <c r="L394" s="43">
        <f>IF($P394="","",INDEX(GL_Journal!$M:$M,$P394))</f>
        <v/>
      </c>
      <c r="M394" s="43">
        <f>IF($P394="","",INDEX(GL_Journal!$N:$N,$P394))</f>
        <v/>
      </c>
      <c r="N394" s="47">
        <f>IF($P394="","",IF($A394=1,LG_Open,$N393)+$L394-$M394)</f>
        <v/>
      </c>
      <c r="O394" s="32">
        <f>IF($A394&gt;COUNT(GL_Journal!$Y:$Y),"",SMALL(GL_Journal!$Y:$Y,$A394))</f>
        <v/>
      </c>
      <c r="P394" s="32">
        <f>IF($O394="","",MATCH($O394,GL_Journal!$Y:$Y,0))</f>
        <v/>
      </c>
      <c r="Q394" s="32" t="inlineStr"/>
    </row>
    <row r="395">
      <c r="A395" s="32">
        <f>ROW()-12</f>
        <v/>
      </c>
      <c r="B395" s="33">
        <f>IF($P395="","",INDEX(GL_Journal!$D:$D,$P395))</f>
        <v/>
      </c>
      <c r="C395" s="32">
        <f>IF($P395="","",INDEX(GL_Journal!$C:$C,$P395))</f>
        <v/>
      </c>
      <c r="D395" s="32">
        <f>IF($P395="","",INDEX(GL_Journal!$E:$E,$P395))</f>
        <v/>
      </c>
      <c r="E395" s="32">
        <f>IF($P395="","",INDEX(GL_Journal!$F:$F,$P395))</f>
        <v/>
      </c>
      <c r="F395" s="32">
        <f>IF($P395="","",INDEX(GL_Journal!$G:$G,$P395))</f>
        <v/>
      </c>
      <c r="G395" s="32">
        <f>IF($P395="","",INDEX(GL_Journal!$H:$H,$P395))</f>
        <v/>
      </c>
      <c r="H395" s="32">
        <f>IF($P395="","",INDEX(GL_Journal!$I:$I,$P395))</f>
        <v/>
      </c>
      <c r="I395" s="32">
        <f>IF($P395="","",INDEX(GL_Journal!$J:$J,$P395))</f>
        <v/>
      </c>
      <c r="J395" s="32">
        <f>IF($P395="","",INDEX(GL_Journal!$K:$K,$P395))</f>
        <v/>
      </c>
      <c r="K395" s="32">
        <f>IF($P395="","",INDEX(GL_Journal!$L:$L,$P395))</f>
        <v/>
      </c>
      <c r="L395" s="43">
        <f>IF($P395="","",INDEX(GL_Journal!$M:$M,$P395))</f>
        <v/>
      </c>
      <c r="M395" s="43">
        <f>IF($P395="","",INDEX(GL_Journal!$N:$N,$P395))</f>
        <v/>
      </c>
      <c r="N395" s="47">
        <f>IF($P395="","",IF($A395=1,LG_Open,$N394)+$L395-$M395)</f>
        <v/>
      </c>
      <c r="O395" s="32">
        <f>IF($A395&gt;COUNT(GL_Journal!$Y:$Y),"",SMALL(GL_Journal!$Y:$Y,$A395))</f>
        <v/>
      </c>
      <c r="P395" s="32">
        <f>IF($O395="","",MATCH($O395,GL_Journal!$Y:$Y,0))</f>
        <v/>
      </c>
      <c r="Q395" s="32" t="inlineStr"/>
    </row>
    <row r="396">
      <c r="A396" s="32">
        <f>ROW()-12</f>
        <v/>
      </c>
      <c r="B396" s="33">
        <f>IF($P396="","",INDEX(GL_Journal!$D:$D,$P396))</f>
        <v/>
      </c>
      <c r="C396" s="32">
        <f>IF($P396="","",INDEX(GL_Journal!$C:$C,$P396))</f>
        <v/>
      </c>
      <c r="D396" s="32">
        <f>IF($P396="","",INDEX(GL_Journal!$E:$E,$P396))</f>
        <v/>
      </c>
      <c r="E396" s="32">
        <f>IF($P396="","",INDEX(GL_Journal!$F:$F,$P396))</f>
        <v/>
      </c>
      <c r="F396" s="32">
        <f>IF($P396="","",INDEX(GL_Journal!$G:$G,$P396))</f>
        <v/>
      </c>
      <c r="G396" s="32">
        <f>IF($P396="","",INDEX(GL_Journal!$H:$H,$P396))</f>
        <v/>
      </c>
      <c r="H396" s="32">
        <f>IF($P396="","",INDEX(GL_Journal!$I:$I,$P396))</f>
        <v/>
      </c>
      <c r="I396" s="32">
        <f>IF($P396="","",INDEX(GL_Journal!$J:$J,$P396))</f>
        <v/>
      </c>
      <c r="J396" s="32">
        <f>IF($P396="","",INDEX(GL_Journal!$K:$K,$P396))</f>
        <v/>
      </c>
      <c r="K396" s="32">
        <f>IF($P396="","",INDEX(GL_Journal!$L:$L,$P396))</f>
        <v/>
      </c>
      <c r="L396" s="43">
        <f>IF($P396="","",INDEX(GL_Journal!$M:$M,$P396))</f>
        <v/>
      </c>
      <c r="M396" s="43">
        <f>IF($P396="","",INDEX(GL_Journal!$N:$N,$P396))</f>
        <v/>
      </c>
      <c r="N396" s="47">
        <f>IF($P396="","",IF($A396=1,LG_Open,$N395)+$L396-$M396)</f>
        <v/>
      </c>
      <c r="O396" s="32">
        <f>IF($A396&gt;COUNT(GL_Journal!$Y:$Y),"",SMALL(GL_Journal!$Y:$Y,$A396))</f>
        <v/>
      </c>
      <c r="P396" s="32">
        <f>IF($O396="","",MATCH($O396,GL_Journal!$Y:$Y,0))</f>
        <v/>
      </c>
      <c r="Q396" s="32" t="inlineStr"/>
    </row>
    <row r="397">
      <c r="A397" s="32">
        <f>ROW()-12</f>
        <v/>
      </c>
      <c r="B397" s="33">
        <f>IF($P397="","",INDEX(GL_Journal!$D:$D,$P397))</f>
        <v/>
      </c>
      <c r="C397" s="32">
        <f>IF($P397="","",INDEX(GL_Journal!$C:$C,$P397))</f>
        <v/>
      </c>
      <c r="D397" s="32">
        <f>IF($P397="","",INDEX(GL_Journal!$E:$E,$P397))</f>
        <v/>
      </c>
      <c r="E397" s="32">
        <f>IF($P397="","",INDEX(GL_Journal!$F:$F,$P397))</f>
        <v/>
      </c>
      <c r="F397" s="32">
        <f>IF($P397="","",INDEX(GL_Journal!$G:$G,$P397))</f>
        <v/>
      </c>
      <c r="G397" s="32">
        <f>IF($P397="","",INDEX(GL_Journal!$H:$H,$P397))</f>
        <v/>
      </c>
      <c r="H397" s="32">
        <f>IF($P397="","",INDEX(GL_Journal!$I:$I,$P397))</f>
        <v/>
      </c>
      <c r="I397" s="32">
        <f>IF($P397="","",INDEX(GL_Journal!$J:$J,$P397))</f>
        <v/>
      </c>
      <c r="J397" s="32">
        <f>IF($P397="","",INDEX(GL_Journal!$K:$K,$P397))</f>
        <v/>
      </c>
      <c r="K397" s="32">
        <f>IF($P397="","",INDEX(GL_Journal!$L:$L,$P397))</f>
        <v/>
      </c>
      <c r="L397" s="43">
        <f>IF($P397="","",INDEX(GL_Journal!$M:$M,$P397))</f>
        <v/>
      </c>
      <c r="M397" s="43">
        <f>IF($P397="","",INDEX(GL_Journal!$N:$N,$P397))</f>
        <v/>
      </c>
      <c r="N397" s="47">
        <f>IF($P397="","",IF($A397=1,LG_Open,$N396)+$L397-$M397)</f>
        <v/>
      </c>
      <c r="O397" s="32">
        <f>IF($A397&gt;COUNT(GL_Journal!$Y:$Y),"",SMALL(GL_Journal!$Y:$Y,$A397))</f>
        <v/>
      </c>
      <c r="P397" s="32">
        <f>IF($O397="","",MATCH($O397,GL_Journal!$Y:$Y,0))</f>
        <v/>
      </c>
      <c r="Q397" s="32" t="inlineStr"/>
    </row>
    <row r="398">
      <c r="A398" s="32">
        <f>ROW()-12</f>
        <v/>
      </c>
      <c r="B398" s="33">
        <f>IF($P398="","",INDEX(GL_Journal!$D:$D,$P398))</f>
        <v/>
      </c>
      <c r="C398" s="32">
        <f>IF($P398="","",INDEX(GL_Journal!$C:$C,$P398))</f>
        <v/>
      </c>
      <c r="D398" s="32">
        <f>IF($P398="","",INDEX(GL_Journal!$E:$E,$P398))</f>
        <v/>
      </c>
      <c r="E398" s="32">
        <f>IF($P398="","",INDEX(GL_Journal!$F:$F,$P398))</f>
        <v/>
      </c>
      <c r="F398" s="32">
        <f>IF($P398="","",INDEX(GL_Journal!$G:$G,$P398))</f>
        <v/>
      </c>
      <c r="G398" s="32">
        <f>IF($P398="","",INDEX(GL_Journal!$H:$H,$P398))</f>
        <v/>
      </c>
      <c r="H398" s="32">
        <f>IF($P398="","",INDEX(GL_Journal!$I:$I,$P398))</f>
        <v/>
      </c>
      <c r="I398" s="32">
        <f>IF($P398="","",INDEX(GL_Journal!$J:$J,$P398))</f>
        <v/>
      </c>
      <c r="J398" s="32">
        <f>IF($P398="","",INDEX(GL_Journal!$K:$K,$P398))</f>
        <v/>
      </c>
      <c r="K398" s="32">
        <f>IF($P398="","",INDEX(GL_Journal!$L:$L,$P398))</f>
        <v/>
      </c>
      <c r="L398" s="43">
        <f>IF($P398="","",INDEX(GL_Journal!$M:$M,$P398))</f>
        <v/>
      </c>
      <c r="M398" s="43">
        <f>IF($P398="","",INDEX(GL_Journal!$N:$N,$P398))</f>
        <v/>
      </c>
      <c r="N398" s="47">
        <f>IF($P398="","",IF($A398=1,LG_Open,$N397)+$L398-$M398)</f>
        <v/>
      </c>
      <c r="O398" s="32">
        <f>IF($A398&gt;COUNT(GL_Journal!$Y:$Y),"",SMALL(GL_Journal!$Y:$Y,$A398))</f>
        <v/>
      </c>
      <c r="P398" s="32">
        <f>IF($O398="","",MATCH($O398,GL_Journal!$Y:$Y,0))</f>
        <v/>
      </c>
      <c r="Q398" s="32" t="inlineStr"/>
    </row>
    <row r="399">
      <c r="A399" s="32">
        <f>ROW()-12</f>
        <v/>
      </c>
      <c r="B399" s="33">
        <f>IF($P399="","",INDEX(GL_Journal!$D:$D,$P399))</f>
        <v/>
      </c>
      <c r="C399" s="32">
        <f>IF($P399="","",INDEX(GL_Journal!$C:$C,$P399))</f>
        <v/>
      </c>
      <c r="D399" s="32">
        <f>IF($P399="","",INDEX(GL_Journal!$E:$E,$P399))</f>
        <v/>
      </c>
      <c r="E399" s="32">
        <f>IF($P399="","",INDEX(GL_Journal!$F:$F,$P399))</f>
        <v/>
      </c>
      <c r="F399" s="32">
        <f>IF($P399="","",INDEX(GL_Journal!$G:$G,$P399))</f>
        <v/>
      </c>
      <c r="G399" s="32">
        <f>IF($P399="","",INDEX(GL_Journal!$H:$H,$P399))</f>
        <v/>
      </c>
      <c r="H399" s="32">
        <f>IF($P399="","",INDEX(GL_Journal!$I:$I,$P399))</f>
        <v/>
      </c>
      <c r="I399" s="32">
        <f>IF($P399="","",INDEX(GL_Journal!$J:$J,$P399))</f>
        <v/>
      </c>
      <c r="J399" s="32">
        <f>IF($P399="","",INDEX(GL_Journal!$K:$K,$P399))</f>
        <v/>
      </c>
      <c r="K399" s="32">
        <f>IF($P399="","",INDEX(GL_Journal!$L:$L,$P399))</f>
        <v/>
      </c>
      <c r="L399" s="43">
        <f>IF($P399="","",INDEX(GL_Journal!$M:$M,$P399))</f>
        <v/>
      </c>
      <c r="M399" s="43">
        <f>IF($P399="","",INDEX(GL_Journal!$N:$N,$P399))</f>
        <v/>
      </c>
      <c r="N399" s="47">
        <f>IF($P399="","",IF($A399=1,LG_Open,$N398)+$L399-$M399)</f>
        <v/>
      </c>
      <c r="O399" s="32">
        <f>IF($A399&gt;COUNT(GL_Journal!$Y:$Y),"",SMALL(GL_Journal!$Y:$Y,$A399))</f>
        <v/>
      </c>
      <c r="P399" s="32">
        <f>IF($O399="","",MATCH($O399,GL_Journal!$Y:$Y,0))</f>
        <v/>
      </c>
      <c r="Q399" s="32" t="inlineStr"/>
    </row>
    <row r="400">
      <c r="A400" s="32">
        <f>ROW()-12</f>
        <v/>
      </c>
      <c r="B400" s="33">
        <f>IF($P400="","",INDEX(GL_Journal!$D:$D,$P400))</f>
        <v/>
      </c>
      <c r="C400" s="32">
        <f>IF($P400="","",INDEX(GL_Journal!$C:$C,$P400))</f>
        <v/>
      </c>
      <c r="D400" s="32">
        <f>IF($P400="","",INDEX(GL_Journal!$E:$E,$P400))</f>
        <v/>
      </c>
      <c r="E400" s="32">
        <f>IF($P400="","",INDEX(GL_Journal!$F:$F,$P400))</f>
        <v/>
      </c>
      <c r="F400" s="32">
        <f>IF($P400="","",INDEX(GL_Journal!$G:$G,$P400))</f>
        <v/>
      </c>
      <c r="G400" s="32">
        <f>IF($P400="","",INDEX(GL_Journal!$H:$H,$P400))</f>
        <v/>
      </c>
      <c r="H400" s="32">
        <f>IF($P400="","",INDEX(GL_Journal!$I:$I,$P400))</f>
        <v/>
      </c>
      <c r="I400" s="32">
        <f>IF($P400="","",INDEX(GL_Journal!$J:$J,$P400))</f>
        <v/>
      </c>
      <c r="J400" s="32">
        <f>IF($P400="","",INDEX(GL_Journal!$K:$K,$P400))</f>
        <v/>
      </c>
      <c r="K400" s="32">
        <f>IF($P400="","",INDEX(GL_Journal!$L:$L,$P400))</f>
        <v/>
      </c>
      <c r="L400" s="43">
        <f>IF($P400="","",INDEX(GL_Journal!$M:$M,$P400))</f>
        <v/>
      </c>
      <c r="M400" s="43">
        <f>IF($P400="","",INDEX(GL_Journal!$N:$N,$P400))</f>
        <v/>
      </c>
      <c r="N400" s="47">
        <f>IF($P400="","",IF($A400=1,LG_Open,$N399)+$L400-$M400)</f>
        <v/>
      </c>
      <c r="O400" s="32">
        <f>IF($A400&gt;COUNT(GL_Journal!$Y:$Y),"",SMALL(GL_Journal!$Y:$Y,$A400))</f>
        <v/>
      </c>
      <c r="P400" s="32">
        <f>IF($O400="","",MATCH($O400,GL_Journal!$Y:$Y,0))</f>
        <v/>
      </c>
      <c r="Q400" s="32" t="inlineStr"/>
    </row>
    <row r="401">
      <c r="A401" s="32">
        <f>ROW()-12</f>
        <v/>
      </c>
      <c r="B401" s="33">
        <f>IF($P401="","",INDEX(GL_Journal!$D:$D,$P401))</f>
        <v/>
      </c>
      <c r="C401" s="32">
        <f>IF($P401="","",INDEX(GL_Journal!$C:$C,$P401))</f>
        <v/>
      </c>
      <c r="D401" s="32">
        <f>IF($P401="","",INDEX(GL_Journal!$E:$E,$P401))</f>
        <v/>
      </c>
      <c r="E401" s="32">
        <f>IF($P401="","",INDEX(GL_Journal!$F:$F,$P401))</f>
        <v/>
      </c>
      <c r="F401" s="32">
        <f>IF($P401="","",INDEX(GL_Journal!$G:$G,$P401))</f>
        <v/>
      </c>
      <c r="G401" s="32">
        <f>IF($P401="","",INDEX(GL_Journal!$H:$H,$P401))</f>
        <v/>
      </c>
      <c r="H401" s="32">
        <f>IF($P401="","",INDEX(GL_Journal!$I:$I,$P401))</f>
        <v/>
      </c>
      <c r="I401" s="32">
        <f>IF($P401="","",INDEX(GL_Journal!$J:$J,$P401))</f>
        <v/>
      </c>
      <c r="J401" s="32">
        <f>IF($P401="","",INDEX(GL_Journal!$K:$K,$P401))</f>
        <v/>
      </c>
      <c r="K401" s="32">
        <f>IF($P401="","",INDEX(GL_Journal!$L:$L,$P401))</f>
        <v/>
      </c>
      <c r="L401" s="43">
        <f>IF($P401="","",INDEX(GL_Journal!$M:$M,$P401))</f>
        <v/>
      </c>
      <c r="M401" s="43">
        <f>IF($P401="","",INDEX(GL_Journal!$N:$N,$P401))</f>
        <v/>
      </c>
      <c r="N401" s="47">
        <f>IF($P401="","",IF($A401=1,LG_Open,$N400)+$L401-$M401)</f>
        <v/>
      </c>
      <c r="O401" s="32">
        <f>IF($A401&gt;COUNT(GL_Journal!$Y:$Y),"",SMALL(GL_Journal!$Y:$Y,$A401))</f>
        <v/>
      </c>
      <c r="P401" s="32">
        <f>IF($O401="","",MATCH($O401,GL_Journal!$Y:$Y,0))</f>
        <v/>
      </c>
      <c r="Q401" s="32" t="inlineStr"/>
    </row>
    <row r="402">
      <c r="A402" s="32">
        <f>ROW()-12</f>
        <v/>
      </c>
      <c r="B402" s="33">
        <f>IF($P402="","",INDEX(GL_Journal!$D:$D,$P402))</f>
        <v/>
      </c>
      <c r="C402" s="32">
        <f>IF($P402="","",INDEX(GL_Journal!$C:$C,$P402))</f>
        <v/>
      </c>
      <c r="D402" s="32">
        <f>IF($P402="","",INDEX(GL_Journal!$E:$E,$P402))</f>
        <v/>
      </c>
      <c r="E402" s="32">
        <f>IF($P402="","",INDEX(GL_Journal!$F:$F,$P402))</f>
        <v/>
      </c>
      <c r="F402" s="32">
        <f>IF($P402="","",INDEX(GL_Journal!$G:$G,$P402))</f>
        <v/>
      </c>
      <c r="G402" s="32">
        <f>IF($P402="","",INDEX(GL_Journal!$H:$H,$P402))</f>
        <v/>
      </c>
      <c r="H402" s="32">
        <f>IF($P402="","",INDEX(GL_Journal!$I:$I,$P402))</f>
        <v/>
      </c>
      <c r="I402" s="32">
        <f>IF($P402="","",INDEX(GL_Journal!$J:$J,$P402))</f>
        <v/>
      </c>
      <c r="J402" s="32">
        <f>IF($P402="","",INDEX(GL_Journal!$K:$K,$P402))</f>
        <v/>
      </c>
      <c r="K402" s="32">
        <f>IF($P402="","",INDEX(GL_Journal!$L:$L,$P402))</f>
        <v/>
      </c>
      <c r="L402" s="43">
        <f>IF($P402="","",INDEX(GL_Journal!$M:$M,$P402))</f>
        <v/>
      </c>
      <c r="M402" s="43">
        <f>IF($P402="","",INDEX(GL_Journal!$N:$N,$P402))</f>
        <v/>
      </c>
      <c r="N402" s="47">
        <f>IF($P402="","",IF($A402=1,LG_Open,$N401)+$L402-$M402)</f>
        <v/>
      </c>
      <c r="O402" s="32">
        <f>IF($A402&gt;COUNT(GL_Journal!$Y:$Y),"",SMALL(GL_Journal!$Y:$Y,$A402))</f>
        <v/>
      </c>
      <c r="P402" s="32">
        <f>IF($O402="","",MATCH($O402,GL_Journal!$Y:$Y,0))</f>
        <v/>
      </c>
      <c r="Q402" s="32" t="inlineStr"/>
    </row>
    <row r="403">
      <c r="A403" s="32">
        <f>ROW()-12</f>
        <v/>
      </c>
      <c r="B403" s="33">
        <f>IF($P403="","",INDEX(GL_Journal!$D:$D,$P403))</f>
        <v/>
      </c>
      <c r="C403" s="32">
        <f>IF($P403="","",INDEX(GL_Journal!$C:$C,$P403))</f>
        <v/>
      </c>
      <c r="D403" s="32">
        <f>IF($P403="","",INDEX(GL_Journal!$E:$E,$P403))</f>
        <v/>
      </c>
      <c r="E403" s="32">
        <f>IF($P403="","",INDEX(GL_Journal!$F:$F,$P403))</f>
        <v/>
      </c>
      <c r="F403" s="32">
        <f>IF($P403="","",INDEX(GL_Journal!$G:$G,$P403))</f>
        <v/>
      </c>
      <c r="G403" s="32">
        <f>IF($P403="","",INDEX(GL_Journal!$H:$H,$P403))</f>
        <v/>
      </c>
      <c r="H403" s="32">
        <f>IF($P403="","",INDEX(GL_Journal!$I:$I,$P403))</f>
        <v/>
      </c>
      <c r="I403" s="32">
        <f>IF($P403="","",INDEX(GL_Journal!$J:$J,$P403))</f>
        <v/>
      </c>
      <c r="J403" s="32">
        <f>IF($P403="","",INDEX(GL_Journal!$K:$K,$P403))</f>
        <v/>
      </c>
      <c r="K403" s="32">
        <f>IF($P403="","",INDEX(GL_Journal!$L:$L,$P403))</f>
        <v/>
      </c>
      <c r="L403" s="43">
        <f>IF($P403="","",INDEX(GL_Journal!$M:$M,$P403))</f>
        <v/>
      </c>
      <c r="M403" s="43">
        <f>IF($P403="","",INDEX(GL_Journal!$N:$N,$P403))</f>
        <v/>
      </c>
      <c r="N403" s="47">
        <f>IF($P403="","",IF($A403=1,LG_Open,$N402)+$L403-$M403)</f>
        <v/>
      </c>
      <c r="O403" s="32">
        <f>IF($A403&gt;COUNT(GL_Journal!$Y:$Y),"",SMALL(GL_Journal!$Y:$Y,$A403))</f>
        <v/>
      </c>
      <c r="P403" s="32">
        <f>IF($O403="","",MATCH($O403,GL_Journal!$Y:$Y,0))</f>
        <v/>
      </c>
      <c r="Q403" s="32" t="inlineStr"/>
    </row>
    <row r="404">
      <c r="A404" s="32">
        <f>ROW()-12</f>
        <v/>
      </c>
      <c r="B404" s="33">
        <f>IF($P404="","",INDEX(GL_Journal!$D:$D,$P404))</f>
        <v/>
      </c>
      <c r="C404" s="32">
        <f>IF($P404="","",INDEX(GL_Journal!$C:$C,$P404))</f>
        <v/>
      </c>
      <c r="D404" s="32">
        <f>IF($P404="","",INDEX(GL_Journal!$E:$E,$P404))</f>
        <v/>
      </c>
      <c r="E404" s="32">
        <f>IF($P404="","",INDEX(GL_Journal!$F:$F,$P404))</f>
        <v/>
      </c>
      <c r="F404" s="32">
        <f>IF($P404="","",INDEX(GL_Journal!$G:$G,$P404))</f>
        <v/>
      </c>
      <c r="G404" s="32">
        <f>IF($P404="","",INDEX(GL_Journal!$H:$H,$P404))</f>
        <v/>
      </c>
      <c r="H404" s="32">
        <f>IF($P404="","",INDEX(GL_Journal!$I:$I,$P404))</f>
        <v/>
      </c>
      <c r="I404" s="32">
        <f>IF($P404="","",INDEX(GL_Journal!$J:$J,$P404))</f>
        <v/>
      </c>
      <c r="J404" s="32">
        <f>IF($P404="","",INDEX(GL_Journal!$K:$K,$P404))</f>
        <v/>
      </c>
      <c r="K404" s="32">
        <f>IF($P404="","",INDEX(GL_Journal!$L:$L,$P404))</f>
        <v/>
      </c>
      <c r="L404" s="43">
        <f>IF($P404="","",INDEX(GL_Journal!$M:$M,$P404))</f>
        <v/>
      </c>
      <c r="M404" s="43">
        <f>IF($P404="","",INDEX(GL_Journal!$N:$N,$P404))</f>
        <v/>
      </c>
      <c r="N404" s="47">
        <f>IF($P404="","",IF($A404=1,LG_Open,$N403)+$L404-$M404)</f>
        <v/>
      </c>
      <c r="O404" s="32">
        <f>IF($A404&gt;COUNT(GL_Journal!$Y:$Y),"",SMALL(GL_Journal!$Y:$Y,$A404))</f>
        <v/>
      </c>
      <c r="P404" s="32">
        <f>IF($O404="","",MATCH($O404,GL_Journal!$Y:$Y,0))</f>
        <v/>
      </c>
      <c r="Q404" s="32" t="inlineStr"/>
    </row>
    <row r="405">
      <c r="A405" s="32">
        <f>ROW()-12</f>
        <v/>
      </c>
      <c r="B405" s="33">
        <f>IF($P405="","",INDEX(GL_Journal!$D:$D,$P405))</f>
        <v/>
      </c>
      <c r="C405" s="32">
        <f>IF($P405="","",INDEX(GL_Journal!$C:$C,$P405))</f>
        <v/>
      </c>
      <c r="D405" s="32">
        <f>IF($P405="","",INDEX(GL_Journal!$E:$E,$P405))</f>
        <v/>
      </c>
      <c r="E405" s="32">
        <f>IF($P405="","",INDEX(GL_Journal!$F:$F,$P405))</f>
        <v/>
      </c>
      <c r="F405" s="32">
        <f>IF($P405="","",INDEX(GL_Journal!$G:$G,$P405))</f>
        <v/>
      </c>
      <c r="G405" s="32">
        <f>IF($P405="","",INDEX(GL_Journal!$H:$H,$P405))</f>
        <v/>
      </c>
      <c r="H405" s="32">
        <f>IF($P405="","",INDEX(GL_Journal!$I:$I,$P405))</f>
        <v/>
      </c>
      <c r="I405" s="32">
        <f>IF($P405="","",INDEX(GL_Journal!$J:$J,$P405))</f>
        <v/>
      </c>
      <c r="J405" s="32">
        <f>IF($P405="","",INDEX(GL_Journal!$K:$K,$P405))</f>
        <v/>
      </c>
      <c r="K405" s="32">
        <f>IF($P405="","",INDEX(GL_Journal!$L:$L,$P405))</f>
        <v/>
      </c>
      <c r="L405" s="43">
        <f>IF($P405="","",INDEX(GL_Journal!$M:$M,$P405))</f>
        <v/>
      </c>
      <c r="M405" s="43">
        <f>IF($P405="","",INDEX(GL_Journal!$N:$N,$P405))</f>
        <v/>
      </c>
      <c r="N405" s="47">
        <f>IF($P405="","",IF($A405=1,LG_Open,$N404)+$L405-$M405)</f>
        <v/>
      </c>
      <c r="O405" s="32">
        <f>IF($A405&gt;COUNT(GL_Journal!$Y:$Y),"",SMALL(GL_Journal!$Y:$Y,$A405))</f>
        <v/>
      </c>
      <c r="P405" s="32">
        <f>IF($O405="","",MATCH($O405,GL_Journal!$Y:$Y,0))</f>
        <v/>
      </c>
      <c r="Q405" s="32" t="inlineStr"/>
    </row>
    <row r="406">
      <c r="A406" s="32">
        <f>ROW()-12</f>
        <v/>
      </c>
      <c r="B406" s="33">
        <f>IF($P406="","",INDEX(GL_Journal!$D:$D,$P406))</f>
        <v/>
      </c>
      <c r="C406" s="32">
        <f>IF($P406="","",INDEX(GL_Journal!$C:$C,$P406))</f>
        <v/>
      </c>
      <c r="D406" s="32">
        <f>IF($P406="","",INDEX(GL_Journal!$E:$E,$P406))</f>
        <v/>
      </c>
      <c r="E406" s="32">
        <f>IF($P406="","",INDEX(GL_Journal!$F:$F,$P406))</f>
        <v/>
      </c>
      <c r="F406" s="32">
        <f>IF($P406="","",INDEX(GL_Journal!$G:$G,$P406))</f>
        <v/>
      </c>
      <c r="G406" s="32">
        <f>IF($P406="","",INDEX(GL_Journal!$H:$H,$P406))</f>
        <v/>
      </c>
      <c r="H406" s="32">
        <f>IF($P406="","",INDEX(GL_Journal!$I:$I,$P406))</f>
        <v/>
      </c>
      <c r="I406" s="32">
        <f>IF($P406="","",INDEX(GL_Journal!$J:$J,$P406))</f>
        <v/>
      </c>
      <c r="J406" s="32">
        <f>IF($P406="","",INDEX(GL_Journal!$K:$K,$P406))</f>
        <v/>
      </c>
      <c r="K406" s="32">
        <f>IF($P406="","",INDEX(GL_Journal!$L:$L,$P406))</f>
        <v/>
      </c>
      <c r="L406" s="43">
        <f>IF($P406="","",INDEX(GL_Journal!$M:$M,$P406))</f>
        <v/>
      </c>
      <c r="M406" s="43">
        <f>IF($P406="","",INDEX(GL_Journal!$N:$N,$P406))</f>
        <v/>
      </c>
      <c r="N406" s="47">
        <f>IF($P406="","",IF($A406=1,LG_Open,$N405)+$L406-$M406)</f>
        <v/>
      </c>
      <c r="O406" s="32">
        <f>IF($A406&gt;COUNT(GL_Journal!$Y:$Y),"",SMALL(GL_Journal!$Y:$Y,$A406))</f>
        <v/>
      </c>
      <c r="P406" s="32">
        <f>IF($O406="","",MATCH($O406,GL_Journal!$Y:$Y,0))</f>
        <v/>
      </c>
      <c r="Q406" s="32" t="inlineStr"/>
    </row>
    <row r="407">
      <c r="A407" s="32">
        <f>ROW()-12</f>
        <v/>
      </c>
      <c r="B407" s="33">
        <f>IF($P407="","",INDEX(GL_Journal!$D:$D,$P407))</f>
        <v/>
      </c>
      <c r="C407" s="32">
        <f>IF($P407="","",INDEX(GL_Journal!$C:$C,$P407))</f>
        <v/>
      </c>
      <c r="D407" s="32">
        <f>IF($P407="","",INDEX(GL_Journal!$E:$E,$P407))</f>
        <v/>
      </c>
      <c r="E407" s="32">
        <f>IF($P407="","",INDEX(GL_Journal!$F:$F,$P407))</f>
        <v/>
      </c>
      <c r="F407" s="32">
        <f>IF($P407="","",INDEX(GL_Journal!$G:$G,$P407))</f>
        <v/>
      </c>
      <c r="G407" s="32">
        <f>IF($P407="","",INDEX(GL_Journal!$H:$H,$P407))</f>
        <v/>
      </c>
      <c r="H407" s="32">
        <f>IF($P407="","",INDEX(GL_Journal!$I:$I,$P407))</f>
        <v/>
      </c>
      <c r="I407" s="32">
        <f>IF($P407="","",INDEX(GL_Journal!$J:$J,$P407))</f>
        <v/>
      </c>
      <c r="J407" s="32">
        <f>IF($P407="","",INDEX(GL_Journal!$K:$K,$P407))</f>
        <v/>
      </c>
      <c r="K407" s="32">
        <f>IF($P407="","",INDEX(GL_Journal!$L:$L,$P407))</f>
        <v/>
      </c>
      <c r="L407" s="43">
        <f>IF($P407="","",INDEX(GL_Journal!$M:$M,$P407))</f>
        <v/>
      </c>
      <c r="M407" s="43">
        <f>IF($P407="","",INDEX(GL_Journal!$N:$N,$P407))</f>
        <v/>
      </c>
      <c r="N407" s="47">
        <f>IF($P407="","",IF($A407=1,LG_Open,$N406)+$L407-$M407)</f>
        <v/>
      </c>
      <c r="O407" s="32">
        <f>IF($A407&gt;COUNT(GL_Journal!$Y:$Y),"",SMALL(GL_Journal!$Y:$Y,$A407))</f>
        <v/>
      </c>
      <c r="P407" s="32">
        <f>IF($O407="","",MATCH($O407,GL_Journal!$Y:$Y,0))</f>
        <v/>
      </c>
      <c r="Q407" s="32" t="inlineStr"/>
    </row>
    <row r="408">
      <c r="A408" s="32">
        <f>ROW()-12</f>
        <v/>
      </c>
      <c r="B408" s="33">
        <f>IF($P408="","",INDEX(GL_Journal!$D:$D,$P408))</f>
        <v/>
      </c>
      <c r="C408" s="32">
        <f>IF($P408="","",INDEX(GL_Journal!$C:$C,$P408))</f>
        <v/>
      </c>
      <c r="D408" s="32">
        <f>IF($P408="","",INDEX(GL_Journal!$E:$E,$P408))</f>
        <v/>
      </c>
      <c r="E408" s="32">
        <f>IF($P408="","",INDEX(GL_Journal!$F:$F,$P408))</f>
        <v/>
      </c>
      <c r="F408" s="32">
        <f>IF($P408="","",INDEX(GL_Journal!$G:$G,$P408))</f>
        <v/>
      </c>
      <c r="G408" s="32">
        <f>IF($P408="","",INDEX(GL_Journal!$H:$H,$P408))</f>
        <v/>
      </c>
      <c r="H408" s="32">
        <f>IF($P408="","",INDEX(GL_Journal!$I:$I,$P408))</f>
        <v/>
      </c>
      <c r="I408" s="32">
        <f>IF($P408="","",INDEX(GL_Journal!$J:$J,$P408))</f>
        <v/>
      </c>
      <c r="J408" s="32">
        <f>IF($P408="","",INDEX(GL_Journal!$K:$K,$P408))</f>
        <v/>
      </c>
      <c r="K408" s="32">
        <f>IF($P408="","",INDEX(GL_Journal!$L:$L,$P408))</f>
        <v/>
      </c>
      <c r="L408" s="43">
        <f>IF($P408="","",INDEX(GL_Journal!$M:$M,$P408))</f>
        <v/>
      </c>
      <c r="M408" s="43">
        <f>IF($P408="","",INDEX(GL_Journal!$N:$N,$P408))</f>
        <v/>
      </c>
      <c r="N408" s="47">
        <f>IF($P408="","",IF($A408=1,LG_Open,$N407)+$L408-$M408)</f>
        <v/>
      </c>
      <c r="O408" s="32">
        <f>IF($A408&gt;COUNT(GL_Journal!$Y:$Y),"",SMALL(GL_Journal!$Y:$Y,$A408))</f>
        <v/>
      </c>
      <c r="P408" s="32">
        <f>IF($O408="","",MATCH($O408,GL_Journal!$Y:$Y,0))</f>
        <v/>
      </c>
      <c r="Q408" s="32" t="inlineStr"/>
    </row>
    <row r="409">
      <c r="A409" s="32">
        <f>ROW()-12</f>
        <v/>
      </c>
      <c r="B409" s="33">
        <f>IF($P409="","",INDEX(GL_Journal!$D:$D,$P409))</f>
        <v/>
      </c>
      <c r="C409" s="32">
        <f>IF($P409="","",INDEX(GL_Journal!$C:$C,$P409))</f>
        <v/>
      </c>
      <c r="D409" s="32">
        <f>IF($P409="","",INDEX(GL_Journal!$E:$E,$P409))</f>
        <v/>
      </c>
      <c r="E409" s="32">
        <f>IF($P409="","",INDEX(GL_Journal!$F:$F,$P409))</f>
        <v/>
      </c>
      <c r="F409" s="32">
        <f>IF($P409="","",INDEX(GL_Journal!$G:$G,$P409))</f>
        <v/>
      </c>
      <c r="G409" s="32">
        <f>IF($P409="","",INDEX(GL_Journal!$H:$H,$P409))</f>
        <v/>
      </c>
      <c r="H409" s="32">
        <f>IF($P409="","",INDEX(GL_Journal!$I:$I,$P409))</f>
        <v/>
      </c>
      <c r="I409" s="32">
        <f>IF($P409="","",INDEX(GL_Journal!$J:$J,$P409))</f>
        <v/>
      </c>
      <c r="J409" s="32">
        <f>IF($P409="","",INDEX(GL_Journal!$K:$K,$P409))</f>
        <v/>
      </c>
      <c r="K409" s="32">
        <f>IF($P409="","",INDEX(GL_Journal!$L:$L,$P409))</f>
        <v/>
      </c>
      <c r="L409" s="43">
        <f>IF($P409="","",INDEX(GL_Journal!$M:$M,$P409))</f>
        <v/>
      </c>
      <c r="M409" s="43">
        <f>IF($P409="","",INDEX(GL_Journal!$N:$N,$P409))</f>
        <v/>
      </c>
      <c r="N409" s="47">
        <f>IF($P409="","",IF($A409=1,LG_Open,$N408)+$L409-$M409)</f>
        <v/>
      </c>
      <c r="O409" s="32">
        <f>IF($A409&gt;COUNT(GL_Journal!$Y:$Y),"",SMALL(GL_Journal!$Y:$Y,$A409))</f>
        <v/>
      </c>
      <c r="P409" s="32">
        <f>IF($O409="","",MATCH($O409,GL_Journal!$Y:$Y,0))</f>
        <v/>
      </c>
      <c r="Q409" s="32" t="inlineStr"/>
    </row>
    <row r="410">
      <c r="A410" s="32">
        <f>ROW()-12</f>
        <v/>
      </c>
      <c r="B410" s="33">
        <f>IF($P410="","",INDEX(GL_Journal!$D:$D,$P410))</f>
        <v/>
      </c>
      <c r="C410" s="32">
        <f>IF($P410="","",INDEX(GL_Journal!$C:$C,$P410))</f>
        <v/>
      </c>
      <c r="D410" s="32">
        <f>IF($P410="","",INDEX(GL_Journal!$E:$E,$P410))</f>
        <v/>
      </c>
      <c r="E410" s="32">
        <f>IF($P410="","",INDEX(GL_Journal!$F:$F,$P410))</f>
        <v/>
      </c>
      <c r="F410" s="32">
        <f>IF($P410="","",INDEX(GL_Journal!$G:$G,$P410))</f>
        <v/>
      </c>
      <c r="G410" s="32">
        <f>IF($P410="","",INDEX(GL_Journal!$H:$H,$P410))</f>
        <v/>
      </c>
      <c r="H410" s="32">
        <f>IF($P410="","",INDEX(GL_Journal!$I:$I,$P410))</f>
        <v/>
      </c>
      <c r="I410" s="32">
        <f>IF($P410="","",INDEX(GL_Journal!$J:$J,$P410))</f>
        <v/>
      </c>
      <c r="J410" s="32">
        <f>IF($P410="","",INDEX(GL_Journal!$K:$K,$P410))</f>
        <v/>
      </c>
      <c r="K410" s="32">
        <f>IF($P410="","",INDEX(GL_Journal!$L:$L,$P410))</f>
        <v/>
      </c>
      <c r="L410" s="43">
        <f>IF($P410="","",INDEX(GL_Journal!$M:$M,$P410))</f>
        <v/>
      </c>
      <c r="M410" s="43">
        <f>IF($P410="","",INDEX(GL_Journal!$N:$N,$P410))</f>
        <v/>
      </c>
      <c r="N410" s="47">
        <f>IF($P410="","",IF($A410=1,LG_Open,$N409)+$L410-$M410)</f>
        <v/>
      </c>
      <c r="O410" s="32">
        <f>IF($A410&gt;COUNT(GL_Journal!$Y:$Y),"",SMALL(GL_Journal!$Y:$Y,$A410))</f>
        <v/>
      </c>
      <c r="P410" s="32">
        <f>IF($O410="","",MATCH($O410,GL_Journal!$Y:$Y,0))</f>
        <v/>
      </c>
      <c r="Q410" s="32" t="inlineStr"/>
    </row>
    <row r="411">
      <c r="A411" s="32">
        <f>ROW()-12</f>
        <v/>
      </c>
      <c r="B411" s="33">
        <f>IF($P411="","",INDEX(GL_Journal!$D:$D,$P411))</f>
        <v/>
      </c>
      <c r="C411" s="32">
        <f>IF($P411="","",INDEX(GL_Journal!$C:$C,$P411))</f>
        <v/>
      </c>
      <c r="D411" s="32">
        <f>IF($P411="","",INDEX(GL_Journal!$E:$E,$P411))</f>
        <v/>
      </c>
      <c r="E411" s="32">
        <f>IF($P411="","",INDEX(GL_Journal!$F:$F,$P411))</f>
        <v/>
      </c>
      <c r="F411" s="32">
        <f>IF($P411="","",INDEX(GL_Journal!$G:$G,$P411))</f>
        <v/>
      </c>
      <c r="G411" s="32">
        <f>IF($P411="","",INDEX(GL_Journal!$H:$H,$P411))</f>
        <v/>
      </c>
      <c r="H411" s="32">
        <f>IF($P411="","",INDEX(GL_Journal!$I:$I,$P411))</f>
        <v/>
      </c>
      <c r="I411" s="32">
        <f>IF($P411="","",INDEX(GL_Journal!$J:$J,$P411))</f>
        <v/>
      </c>
      <c r="J411" s="32">
        <f>IF($P411="","",INDEX(GL_Journal!$K:$K,$P411))</f>
        <v/>
      </c>
      <c r="K411" s="32">
        <f>IF($P411="","",INDEX(GL_Journal!$L:$L,$P411))</f>
        <v/>
      </c>
      <c r="L411" s="43">
        <f>IF($P411="","",INDEX(GL_Journal!$M:$M,$P411))</f>
        <v/>
      </c>
      <c r="M411" s="43">
        <f>IF($P411="","",INDEX(GL_Journal!$N:$N,$P411))</f>
        <v/>
      </c>
      <c r="N411" s="47">
        <f>IF($P411="","",IF($A411=1,LG_Open,$N410)+$L411-$M411)</f>
        <v/>
      </c>
      <c r="O411" s="32">
        <f>IF($A411&gt;COUNT(GL_Journal!$Y:$Y),"",SMALL(GL_Journal!$Y:$Y,$A411))</f>
        <v/>
      </c>
      <c r="P411" s="32">
        <f>IF($O411="","",MATCH($O411,GL_Journal!$Y:$Y,0))</f>
        <v/>
      </c>
      <c r="Q411" s="32" t="inlineStr"/>
    </row>
    <row r="412">
      <c r="A412" s="32">
        <f>ROW()-12</f>
        <v/>
      </c>
      <c r="B412" s="33">
        <f>IF($P412="","",INDEX(GL_Journal!$D:$D,$P412))</f>
        <v/>
      </c>
      <c r="C412" s="32">
        <f>IF($P412="","",INDEX(GL_Journal!$C:$C,$P412))</f>
        <v/>
      </c>
      <c r="D412" s="32">
        <f>IF($P412="","",INDEX(GL_Journal!$E:$E,$P412))</f>
        <v/>
      </c>
      <c r="E412" s="32">
        <f>IF($P412="","",INDEX(GL_Journal!$F:$F,$P412))</f>
        <v/>
      </c>
      <c r="F412" s="32">
        <f>IF($P412="","",INDEX(GL_Journal!$G:$G,$P412))</f>
        <v/>
      </c>
      <c r="G412" s="32">
        <f>IF($P412="","",INDEX(GL_Journal!$H:$H,$P412))</f>
        <v/>
      </c>
      <c r="H412" s="32">
        <f>IF($P412="","",INDEX(GL_Journal!$I:$I,$P412))</f>
        <v/>
      </c>
      <c r="I412" s="32">
        <f>IF($P412="","",INDEX(GL_Journal!$J:$J,$P412))</f>
        <v/>
      </c>
      <c r="J412" s="32">
        <f>IF($P412="","",INDEX(GL_Journal!$K:$K,$P412))</f>
        <v/>
      </c>
      <c r="K412" s="32">
        <f>IF($P412="","",INDEX(GL_Journal!$L:$L,$P412))</f>
        <v/>
      </c>
      <c r="L412" s="43">
        <f>IF($P412="","",INDEX(GL_Journal!$M:$M,$P412))</f>
        <v/>
      </c>
      <c r="M412" s="43">
        <f>IF($P412="","",INDEX(GL_Journal!$N:$N,$P412))</f>
        <v/>
      </c>
      <c r="N412" s="47">
        <f>IF($P412="","",IF($A412=1,LG_Open,$N411)+$L412-$M412)</f>
        <v/>
      </c>
      <c r="O412" s="32">
        <f>IF($A412&gt;COUNT(GL_Journal!$Y:$Y),"",SMALL(GL_Journal!$Y:$Y,$A412))</f>
        <v/>
      </c>
      <c r="P412" s="32">
        <f>IF($O412="","",MATCH($O412,GL_Journal!$Y:$Y,0))</f>
        <v/>
      </c>
      <c r="Q412" s="32" t="inlineStr"/>
    </row>
    <row r="413">
      <c r="A413" s="32">
        <f>ROW()-12</f>
        <v/>
      </c>
      <c r="B413" s="33">
        <f>IF($P413="","",INDEX(GL_Journal!$D:$D,$P413))</f>
        <v/>
      </c>
      <c r="C413" s="32">
        <f>IF($P413="","",INDEX(GL_Journal!$C:$C,$P413))</f>
        <v/>
      </c>
      <c r="D413" s="32">
        <f>IF($P413="","",INDEX(GL_Journal!$E:$E,$P413))</f>
        <v/>
      </c>
      <c r="E413" s="32">
        <f>IF($P413="","",INDEX(GL_Journal!$F:$F,$P413))</f>
        <v/>
      </c>
      <c r="F413" s="32">
        <f>IF($P413="","",INDEX(GL_Journal!$G:$G,$P413))</f>
        <v/>
      </c>
      <c r="G413" s="32">
        <f>IF($P413="","",INDEX(GL_Journal!$H:$H,$P413))</f>
        <v/>
      </c>
      <c r="H413" s="32">
        <f>IF($P413="","",INDEX(GL_Journal!$I:$I,$P413))</f>
        <v/>
      </c>
      <c r="I413" s="32">
        <f>IF($P413="","",INDEX(GL_Journal!$J:$J,$P413))</f>
        <v/>
      </c>
      <c r="J413" s="32">
        <f>IF($P413="","",INDEX(GL_Journal!$K:$K,$P413))</f>
        <v/>
      </c>
      <c r="K413" s="32">
        <f>IF($P413="","",INDEX(GL_Journal!$L:$L,$P413))</f>
        <v/>
      </c>
      <c r="L413" s="43">
        <f>IF($P413="","",INDEX(GL_Journal!$M:$M,$P413))</f>
        <v/>
      </c>
      <c r="M413" s="43">
        <f>IF($P413="","",INDEX(GL_Journal!$N:$N,$P413))</f>
        <v/>
      </c>
      <c r="N413" s="47">
        <f>IF($P413="","",IF($A413=1,LG_Open,$N412)+$L413-$M413)</f>
        <v/>
      </c>
      <c r="O413" s="32">
        <f>IF($A413&gt;COUNT(GL_Journal!$Y:$Y),"",SMALL(GL_Journal!$Y:$Y,$A413))</f>
        <v/>
      </c>
      <c r="P413" s="32">
        <f>IF($O413="","",MATCH($O413,GL_Journal!$Y:$Y,0))</f>
        <v/>
      </c>
      <c r="Q413" s="32" t="inlineStr"/>
    </row>
    <row r="414">
      <c r="A414" s="32">
        <f>ROW()-12</f>
        <v/>
      </c>
      <c r="B414" s="33">
        <f>IF($P414="","",INDEX(GL_Journal!$D:$D,$P414))</f>
        <v/>
      </c>
      <c r="C414" s="32">
        <f>IF($P414="","",INDEX(GL_Journal!$C:$C,$P414))</f>
        <v/>
      </c>
      <c r="D414" s="32">
        <f>IF($P414="","",INDEX(GL_Journal!$E:$E,$P414))</f>
        <v/>
      </c>
      <c r="E414" s="32">
        <f>IF($P414="","",INDEX(GL_Journal!$F:$F,$P414))</f>
        <v/>
      </c>
      <c r="F414" s="32">
        <f>IF($P414="","",INDEX(GL_Journal!$G:$G,$P414))</f>
        <v/>
      </c>
      <c r="G414" s="32">
        <f>IF($P414="","",INDEX(GL_Journal!$H:$H,$P414))</f>
        <v/>
      </c>
      <c r="H414" s="32">
        <f>IF($P414="","",INDEX(GL_Journal!$I:$I,$P414))</f>
        <v/>
      </c>
      <c r="I414" s="32">
        <f>IF($P414="","",INDEX(GL_Journal!$J:$J,$P414))</f>
        <v/>
      </c>
      <c r="J414" s="32">
        <f>IF($P414="","",INDEX(GL_Journal!$K:$K,$P414))</f>
        <v/>
      </c>
      <c r="K414" s="32">
        <f>IF($P414="","",INDEX(GL_Journal!$L:$L,$P414))</f>
        <v/>
      </c>
      <c r="L414" s="43">
        <f>IF($P414="","",INDEX(GL_Journal!$M:$M,$P414))</f>
        <v/>
      </c>
      <c r="M414" s="43">
        <f>IF($P414="","",INDEX(GL_Journal!$N:$N,$P414))</f>
        <v/>
      </c>
      <c r="N414" s="47">
        <f>IF($P414="","",IF($A414=1,LG_Open,$N413)+$L414-$M414)</f>
        <v/>
      </c>
      <c r="O414" s="32">
        <f>IF($A414&gt;COUNT(GL_Journal!$Y:$Y),"",SMALL(GL_Journal!$Y:$Y,$A414))</f>
        <v/>
      </c>
      <c r="P414" s="32">
        <f>IF($O414="","",MATCH($O414,GL_Journal!$Y:$Y,0))</f>
        <v/>
      </c>
      <c r="Q414" s="32" t="inlineStr"/>
    </row>
    <row r="415">
      <c r="A415" s="32">
        <f>ROW()-12</f>
        <v/>
      </c>
      <c r="B415" s="33">
        <f>IF($P415="","",INDEX(GL_Journal!$D:$D,$P415))</f>
        <v/>
      </c>
      <c r="C415" s="32">
        <f>IF($P415="","",INDEX(GL_Journal!$C:$C,$P415))</f>
        <v/>
      </c>
      <c r="D415" s="32">
        <f>IF($P415="","",INDEX(GL_Journal!$E:$E,$P415))</f>
        <v/>
      </c>
      <c r="E415" s="32">
        <f>IF($P415="","",INDEX(GL_Journal!$F:$F,$P415))</f>
        <v/>
      </c>
      <c r="F415" s="32">
        <f>IF($P415="","",INDEX(GL_Journal!$G:$G,$P415))</f>
        <v/>
      </c>
      <c r="G415" s="32">
        <f>IF($P415="","",INDEX(GL_Journal!$H:$H,$P415))</f>
        <v/>
      </c>
      <c r="H415" s="32">
        <f>IF($P415="","",INDEX(GL_Journal!$I:$I,$P415))</f>
        <v/>
      </c>
      <c r="I415" s="32">
        <f>IF($P415="","",INDEX(GL_Journal!$J:$J,$P415))</f>
        <v/>
      </c>
      <c r="J415" s="32">
        <f>IF($P415="","",INDEX(GL_Journal!$K:$K,$P415))</f>
        <v/>
      </c>
      <c r="K415" s="32">
        <f>IF($P415="","",INDEX(GL_Journal!$L:$L,$P415))</f>
        <v/>
      </c>
      <c r="L415" s="43">
        <f>IF($P415="","",INDEX(GL_Journal!$M:$M,$P415))</f>
        <v/>
      </c>
      <c r="M415" s="43">
        <f>IF($P415="","",INDEX(GL_Journal!$N:$N,$P415))</f>
        <v/>
      </c>
      <c r="N415" s="47">
        <f>IF($P415="","",IF($A415=1,LG_Open,$N414)+$L415-$M415)</f>
        <v/>
      </c>
      <c r="O415" s="32">
        <f>IF($A415&gt;COUNT(GL_Journal!$Y:$Y),"",SMALL(GL_Journal!$Y:$Y,$A415))</f>
        <v/>
      </c>
      <c r="P415" s="32">
        <f>IF($O415="","",MATCH($O415,GL_Journal!$Y:$Y,0))</f>
        <v/>
      </c>
      <c r="Q415" s="32" t="inlineStr"/>
    </row>
    <row r="416">
      <c r="A416" s="32">
        <f>ROW()-12</f>
        <v/>
      </c>
      <c r="B416" s="33">
        <f>IF($P416="","",INDEX(GL_Journal!$D:$D,$P416))</f>
        <v/>
      </c>
      <c r="C416" s="32">
        <f>IF($P416="","",INDEX(GL_Journal!$C:$C,$P416))</f>
        <v/>
      </c>
      <c r="D416" s="32">
        <f>IF($P416="","",INDEX(GL_Journal!$E:$E,$P416))</f>
        <v/>
      </c>
      <c r="E416" s="32">
        <f>IF($P416="","",INDEX(GL_Journal!$F:$F,$P416))</f>
        <v/>
      </c>
      <c r="F416" s="32">
        <f>IF($P416="","",INDEX(GL_Journal!$G:$G,$P416))</f>
        <v/>
      </c>
      <c r="G416" s="32">
        <f>IF($P416="","",INDEX(GL_Journal!$H:$H,$P416))</f>
        <v/>
      </c>
      <c r="H416" s="32">
        <f>IF($P416="","",INDEX(GL_Journal!$I:$I,$P416))</f>
        <v/>
      </c>
      <c r="I416" s="32">
        <f>IF($P416="","",INDEX(GL_Journal!$J:$J,$P416))</f>
        <v/>
      </c>
      <c r="J416" s="32">
        <f>IF($P416="","",INDEX(GL_Journal!$K:$K,$P416))</f>
        <v/>
      </c>
      <c r="K416" s="32">
        <f>IF($P416="","",INDEX(GL_Journal!$L:$L,$P416))</f>
        <v/>
      </c>
      <c r="L416" s="43">
        <f>IF($P416="","",INDEX(GL_Journal!$M:$M,$P416))</f>
        <v/>
      </c>
      <c r="M416" s="43">
        <f>IF($P416="","",INDEX(GL_Journal!$N:$N,$P416))</f>
        <v/>
      </c>
      <c r="N416" s="47">
        <f>IF($P416="","",IF($A416=1,LG_Open,$N415)+$L416-$M416)</f>
        <v/>
      </c>
      <c r="O416" s="32">
        <f>IF($A416&gt;COUNT(GL_Journal!$Y:$Y),"",SMALL(GL_Journal!$Y:$Y,$A416))</f>
        <v/>
      </c>
      <c r="P416" s="32">
        <f>IF($O416="","",MATCH($O416,GL_Journal!$Y:$Y,0))</f>
        <v/>
      </c>
      <c r="Q416" s="32" t="inlineStr"/>
    </row>
    <row r="417">
      <c r="A417" s="32">
        <f>ROW()-12</f>
        <v/>
      </c>
      <c r="B417" s="33">
        <f>IF($P417="","",INDEX(GL_Journal!$D:$D,$P417))</f>
        <v/>
      </c>
      <c r="C417" s="32">
        <f>IF($P417="","",INDEX(GL_Journal!$C:$C,$P417))</f>
        <v/>
      </c>
      <c r="D417" s="32">
        <f>IF($P417="","",INDEX(GL_Journal!$E:$E,$P417))</f>
        <v/>
      </c>
      <c r="E417" s="32">
        <f>IF($P417="","",INDEX(GL_Journal!$F:$F,$P417))</f>
        <v/>
      </c>
      <c r="F417" s="32">
        <f>IF($P417="","",INDEX(GL_Journal!$G:$G,$P417))</f>
        <v/>
      </c>
      <c r="G417" s="32">
        <f>IF($P417="","",INDEX(GL_Journal!$H:$H,$P417))</f>
        <v/>
      </c>
      <c r="H417" s="32">
        <f>IF($P417="","",INDEX(GL_Journal!$I:$I,$P417))</f>
        <v/>
      </c>
      <c r="I417" s="32">
        <f>IF($P417="","",INDEX(GL_Journal!$J:$J,$P417))</f>
        <v/>
      </c>
      <c r="J417" s="32">
        <f>IF($P417="","",INDEX(GL_Journal!$K:$K,$P417))</f>
        <v/>
      </c>
      <c r="K417" s="32">
        <f>IF($P417="","",INDEX(GL_Journal!$L:$L,$P417))</f>
        <v/>
      </c>
      <c r="L417" s="43">
        <f>IF($P417="","",INDEX(GL_Journal!$M:$M,$P417))</f>
        <v/>
      </c>
      <c r="M417" s="43">
        <f>IF($P417="","",INDEX(GL_Journal!$N:$N,$P417))</f>
        <v/>
      </c>
      <c r="N417" s="47">
        <f>IF($P417="","",IF($A417=1,LG_Open,$N416)+$L417-$M417)</f>
        <v/>
      </c>
      <c r="O417" s="32">
        <f>IF($A417&gt;COUNT(GL_Journal!$Y:$Y),"",SMALL(GL_Journal!$Y:$Y,$A417))</f>
        <v/>
      </c>
      <c r="P417" s="32">
        <f>IF($O417="","",MATCH($O417,GL_Journal!$Y:$Y,0))</f>
        <v/>
      </c>
      <c r="Q417" s="32" t="inlineStr"/>
    </row>
    <row r="418">
      <c r="A418" s="32">
        <f>ROW()-12</f>
        <v/>
      </c>
      <c r="B418" s="33">
        <f>IF($P418="","",INDEX(GL_Journal!$D:$D,$P418))</f>
        <v/>
      </c>
      <c r="C418" s="32">
        <f>IF($P418="","",INDEX(GL_Journal!$C:$C,$P418))</f>
        <v/>
      </c>
      <c r="D418" s="32">
        <f>IF($P418="","",INDEX(GL_Journal!$E:$E,$P418))</f>
        <v/>
      </c>
      <c r="E418" s="32">
        <f>IF($P418="","",INDEX(GL_Journal!$F:$F,$P418))</f>
        <v/>
      </c>
      <c r="F418" s="32">
        <f>IF($P418="","",INDEX(GL_Journal!$G:$G,$P418))</f>
        <v/>
      </c>
      <c r="G418" s="32">
        <f>IF($P418="","",INDEX(GL_Journal!$H:$H,$P418))</f>
        <v/>
      </c>
      <c r="H418" s="32">
        <f>IF($P418="","",INDEX(GL_Journal!$I:$I,$P418))</f>
        <v/>
      </c>
      <c r="I418" s="32">
        <f>IF($P418="","",INDEX(GL_Journal!$J:$J,$P418))</f>
        <v/>
      </c>
      <c r="J418" s="32">
        <f>IF($P418="","",INDEX(GL_Journal!$K:$K,$P418))</f>
        <v/>
      </c>
      <c r="K418" s="32">
        <f>IF($P418="","",INDEX(GL_Journal!$L:$L,$P418))</f>
        <v/>
      </c>
      <c r="L418" s="43">
        <f>IF($P418="","",INDEX(GL_Journal!$M:$M,$P418))</f>
        <v/>
      </c>
      <c r="M418" s="43">
        <f>IF($P418="","",INDEX(GL_Journal!$N:$N,$P418))</f>
        <v/>
      </c>
      <c r="N418" s="47">
        <f>IF($P418="","",IF($A418=1,LG_Open,$N417)+$L418-$M418)</f>
        <v/>
      </c>
      <c r="O418" s="32">
        <f>IF($A418&gt;COUNT(GL_Journal!$Y:$Y),"",SMALL(GL_Journal!$Y:$Y,$A418))</f>
        <v/>
      </c>
      <c r="P418" s="32">
        <f>IF($O418="","",MATCH($O418,GL_Journal!$Y:$Y,0))</f>
        <v/>
      </c>
      <c r="Q418" s="32" t="inlineStr"/>
    </row>
    <row r="419">
      <c r="A419" s="32">
        <f>ROW()-12</f>
        <v/>
      </c>
      <c r="B419" s="33">
        <f>IF($P419="","",INDEX(GL_Journal!$D:$D,$P419))</f>
        <v/>
      </c>
      <c r="C419" s="32">
        <f>IF($P419="","",INDEX(GL_Journal!$C:$C,$P419))</f>
        <v/>
      </c>
      <c r="D419" s="32">
        <f>IF($P419="","",INDEX(GL_Journal!$E:$E,$P419))</f>
        <v/>
      </c>
      <c r="E419" s="32">
        <f>IF($P419="","",INDEX(GL_Journal!$F:$F,$P419))</f>
        <v/>
      </c>
      <c r="F419" s="32">
        <f>IF($P419="","",INDEX(GL_Journal!$G:$G,$P419))</f>
        <v/>
      </c>
      <c r="G419" s="32">
        <f>IF($P419="","",INDEX(GL_Journal!$H:$H,$P419))</f>
        <v/>
      </c>
      <c r="H419" s="32">
        <f>IF($P419="","",INDEX(GL_Journal!$I:$I,$P419))</f>
        <v/>
      </c>
      <c r="I419" s="32">
        <f>IF($P419="","",INDEX(GL_Journal!$J:$J,$P419))</f>
        <v/>
      </c>
      <c r="J419" s="32">
        <f>IF($P419="","",INDEX(GL_Journal!$K:$K,$P419))</f>
        <v/>
      </c>
      <c r="K419" s="32">
        <f>IF($P419="","",INDEX(GL_Journal!$L:$L,$P419))</f>
        <v/>
      </c>
      <c r="L419" s="43">
        <f>IF($P419="","",INDEX(GL_Journal!$M:$M,$P419))</f>
        <v/>
      </c>
      <c r="M419" s="43">
        <f>IF($P419="","",INDEX(GL_Journal!$N:$N,$P419))</f>
        <v/>
      </c>
      <c r="N419" s="47">
        <f>IF($P419="","",IF($A419=1,LG_Open,$N418)+$L419-$M419)</f>
        <v/>
      </c>
      <c r="O419" s="32">
        <f>IF($A419&gt;COUNT(GL_Journal!$Y:$Y),"",SMALL(GL_Journal!$Y:$Y,$A419))</f>
        <v/>
      </c>
      <c r="P419" s="32">
        <f>IF($O419="","",MATCH($O419,GL_Journal!$Y:$Y,0))</f>
        <v/>
      </c>
      <c r="Q419" s="32" t="inlineStr"/>
    </row>
    <row r="420">
      <c r="A420" s="32">
        <f>ROW()-12</f>
        <v/>
      </c>
      <c r="B420" s="33">
        <f>IF($P420="","",INDEX(GL_Journal!$D:$D,$P420))</f>
        <v/>
      </c>
      <c r="C420" s="32">
        <f>IF($P420="","",INDEX(GL_Journal!$C:$C,$P420))</f>
        <v/>
      </c>
      <c r="D420" s="32">
        <f>IF($P420="","",INDEX(GL_Journal!$E:$E,$P420))</f>
        <v/>
      </c>
      <c r="E420" s="32">
        <f>IF($P420="","",INDEX(GL_Journal!$F:$F,$P420))</f>
        <v/>
      </c>
      <c r="F420" s="32">
        <f>IF($P420="","",INDEX(GL_Journal!$G:$G,$P420))</f>
        <v/>
      </c>
      <c r="G420" s="32">
        <f>IF($P420="","",INDEX(GL_Journal!$H:$H,$P420))</f>
        <v/>
      </c>
      <c r="H420" s="32">
        <f>IF($P420="","",INDEX(GL_Journal!$I:$I,$P420))</f>
        <v/>
      </c>
      <c r="I420" s="32">
        <f>IF($P420="","",INDEX(GL_Journal!$J:$J,$P420))</f>
        <v/>
      </c>
      <c r="J420" s="32">
        <f>IF($P420="","",INDEX(GL_Journal!$K:$K,$P420))</f>
        <v/>
      </c>
      <c r="K420" s="32">
        <f>IF($P420="","",INDEX(GL_Journal!$L:$L,$P420))</f>
        <v/>
      </c>
      <c r="L420" s="43">
        <f>IF($P420="","",INDEX(GL_Journal!$M:$M,$P420))</f>
        <v/>
      </c>
      <c r="M420" s="43">
        <f>IF($P420="","",INDEX(GL_Journal!$N:$N,$P420))</f>
        <v/>
      </c>
      <c r="N420" s="47">
        <f>IF($P420="","",IF($A420=1,LG_Open,$N419)+$L420-$M420)</f>
        <v/>
      </c>
      <c r="O420" s="32">
        <f>IF($A420&gt;COUNT(GL_Journal!$Y:$Y),"",SMALL(GL_Journal!$Y:$Y,$A420))</f>
        <v/>
      </c>
      <c r="P420" s="32">
        <f>IF($O420="","",MATCH($O420,GL_Journal!$Y:$Y,0))</f>
        <v/>
      </c>
      <c r="Q420" s="32" t="inlineStr"/>
    </row>
    <row r="421">
      <c r="A421" s="32">
        <f>ROW()-12</f>
        <v/>
      </c>
      <c r="B421" s="33">
        <f>IF($P421="","",INDEX(GL_Journal!$D:$D,$P421))</f>
        <v/>
      </c>
      <c r="C421" s="32">
        <f>IF($P421="","",INDEX(GL_Journal!$C:$C,$P421))</f>
        <v/>
      </c>
      <c r="D421" s="32">
        <f>IF($P421="","",INDEX(GL_Journal!$E:$E,$P421))</f>
        <v/>
      </c>
      <c r="E421" s="32">
        <f>IF($P421="","",INDEX(GL_Journal!$F:$F,$P421))</f>
        <v/>
      </c>
      <c r="F421" s="32">
        <f>IF($P421="","",INDEX(GL_Journal!$G:$G,$P421))</f>
        <v/>
      </c>
      <c r="G421" s="32">
        <f>IF($P421="","",INDEX(GL_Journal!$H:$H,$P421))</f>
        <v/>
      </c>
      <c r="H421" s="32">
        <f>IF($P421="","",INDEX(GL_Journal!$I:$I,$P421))</f>
        <v/>
      </c>
      <c r="I421" s="32">
        <f>IF($P421="","",INDEX(GL_Journal!$J:$J,$P421))</f>
        <v/>
      </c>
      <c r="J421" s="32">
        <f>IF($P421="","",INDEX(GL_Journal!$K:$K,$P421))</f>
        <v/>
      </c>
      <c r="K421" s="32">
        <f>IF($P421="","",INDEX(GL_Journal!$L:$L,$P421))</f>
        <v/>
      </c>
      <c r="L421" s="43">
        <f>IF($P421="","",INDEX(GL_Journal!$M:$M,$P421))</f>
        <v/>
      </c>
      <c r="M421" s="43">
        <f>IF($P421="","",INDEX(GL_Journal!$N:$N,$P421))</f>
        <v/>
      </c>
      <c r="N421" s="47">
        <f>IF($P421="","",IF($A421=1,LG_Open,$N420)+$L421-$M421)</f>
        <v/>
      </c>
      <c r="O421" s="32">
        <f>IF($A421&gt;COUNT(GL_Journal!$Y:$Y),"",SMALL(GL_Journal!$Y:$Y,$A421))</f>
        <v/>
      </c>
      <c r="P421" s="32">
        <f>IF($O421="","",MATCH($O421,GL_Journal!$Y:$Y,0))</f>
        <v/>
      </c>
      <c r="Q421" s="32" t="inlineStr"/>
    </row>
    <row r="422">
      <c r="A422" s="32">
        <f>ROW()-12</f>
        <v/>
      </c>
      <c r="B422" s="33">
        <f>IF($P422="","",INDEX(GL_Journal!$D:$D,$P422))</f>
        <v/>
      </c>
      <c r="C422" s="32">
        <f>IF($P422="","",INDEX(GL_Journal!$C:$C,$P422))</f>
        <v/>
      </c>
      <c r="D422" s="32">
        <f>IF($P422="","",INDEX(GL_Journal!$E:$E,$P422))</f>
        <v/>
      </c>
      <c r="E422" s="32">
        <f>IF($P422="","",INDEX(GL_Journal!$F:$F,$P422))</f>
        <v/>
      </c>
      <c r="F422" s="32">
        <f>IF($P422="","",INDEX(GL_Journal!$G:$G,$P422))</f>
        <v/>
      </c>
      <c r="G422" s="32">
        <f>IF($P422="","",INDEX(GL_Journal!$H:$H,$P422))</f>
        <v/>
      </c>
      <c r="H422" s="32">
        <f>IF($P422="","",INDEX(GL_Journal!$I:$I,$P422))</f>
        <v/>
      </c>
      <c r="I422" s="32">
        <f>IF($P422="","",INDEX(GL_Journal!$J:$J,$P422))</f>
        <v/>
      </c>
      <c r="J422" s="32">
        <f>IF($P422="","",INDEX(GL_Journal!$K:$K,$P422))</f>
        <v/>
      </c>
      <c r="K422" s="32">
        <f>IF($P422="","",INDEX(GL_Journal!$L:$L,$P422))</f>
        <v/>
      </c>
      <c r="L422" s="43">
        <f>IF($P422="","",INDEX(GL_Journal!$M:$M,$P422))</f>
        <v/>
      </c>
      <c r="M422" s="43">
        <f>IF($P422="","",INDEX(GL_Journal!$N:$N,$P422))</f>
        <v/>
      </c>
      <c r="N422" s="47">
        <f>IF($P422="","",IF($A422=1,LG_Open,$N421)+$L422-$M422)</f>
        <v/>
      </c>
      <c r="O422" s="32">
        <f>IF($A422&gt;COUNT(GL_Journal!$Y:$Y),"",SMALL(GL_Journal!$Y:$Y,$A422))</f>
        <v/>
      </c>
      <c r="P422" s="32">
        <f>IF($O422="","",MATCH($O422,GL_Journal!$Y:$Y,0))</f>
        <v/>
      </c>
      <c r="Q422" s="32" t="inlineStr"/>
    </row>
    <row r="423">
      <c r="A423" s="32">
        <f>ROW()-12</f>
        <v/>
      </c>
      <c r="B423" s="33">
        <f>IF($P423="","",INDEX(GL_Journal!$D:$D,$P423))</f>
        <v/>
      </c>
      <c r="C423" s="32">
        <f>IF($P423="","",INDEX(GL_Journal!$C:$C,$P423))</f>
        <v/>
      </c>
      <c r="D423" s="32">
        <f>IF($P423="","",INDEX(GL_Journal!$E:$E,$P423))</f>
        <v/>
      </c>
      <c r="E423" s="32">
        <f>IF($P423="","",INDEX(GL_Journal!$F:$F,$P423))</f>
        <v/>
      </c>
      <c r="F423" s="32">
        <f>IF($P423="","",INDEX(GL_Journal!$G:$G,$P423))</f>
        <v/>
      </c>
      <c r="G423" s="32">
        <f>IF($P423="","",INDEX(GL_Journal!$H:$H,$P423))</f>
        <v/>
      </c>
      <c r="H423" s="32">
        <f>IF($P423="","",INDEX(GL_Journal!$I:$I,$P423))</f>
        <v/>
      </c>
      <c r="I423" s="32">
        <f>IF($P423="","",INDEX(GL_Journal!$J:$J,$P423))</f>
        <v/>
      </c>
      <c r="J423" s="32">
        <f>IF($P423="","",INDEX(GL_Journal!$K:$K,$P423))</f>
        <v/>
      </c>
      <c r="K423" s="32">
        <f>IF($P423="","",INDEX(GL_Journal!$L:$L,$P423))</f>
        <v/>
      </c>
      <c r="L423" s="43">
        <f>IF($P423="","",INDEX(GL_Journal!$M:$M,$P423))</f>
        <v/>
      </c>
      <c r="M423" s="43">
        <f>IF($P423="","",INDEX(GL_Journal!$N:$N,$P423))</f>
        <v/>
      </c>
      <c r="N423" s="47">
        <f>IF($P423="","",IF($A423=1,LG_Open,$N422)+$L423-$M423)</f>
        <v/>
      </c>
      <c r="O423" s="32">
        <f>IF($A423&gt;COUNT(GL_Journal!$Y:$Y),"",SMALL(GL_Journal!$Y:$Y,$A423))</f>
        <v/>
      </c>
      <c r="P423" s="32">
        <f>IF($O423="","",MATCH($O423,GL_Journal!$Y:$Y,0))</f>
        <v/>
      </c>
      <c r="Q423" s="32" t="inlineStr"/>
    </row>
    <row r="424">
      <c r="A424" s="32">
        <f>ROW()-12</f>
        <v/>
      </c>
      <c r="B424" s="33">
        <f>IF($P424="","",INDEX(GL_Journal!$D:$D,$P424))</f>
        <v/>
      </c>
      <c r="C424" s="32">
        <f>IF($P424="","",INDEX(GL_Journal!$C:$C,$P424))</f>
        <v/>
      </c>
      <c r="D424" s="32">
        <f>IF($P424="","",INDEX(GL_Journal!$E:$E,$P424))</f>
        <v/>
      </c>
      <c r="E424" s="32">
        <f>IF($P424="","",INDEX(GL_Journal!$F:$F,$P424))</f>
        <v/>
      </c>
      <c r="F424" s="32">
        <f>IF($P424="","",INDEX(GL_Journal!$G:$G,$P424))</f>
        <v/>
      </c>
      <c r="G424" s="32">
        <f>IF($P424="","",INDEX(GL_Journal!$H:$H,$P424))</f>
        <v/>
      </c>
      <c r="H424" s="32">
        <f>IF($P424="","",INDEX(GL_Journal!$I:$I,$P424))</f>
        <v/>
      </c>
      <c r="I424" s="32">
        <f>IF($P424="","",INDEX(GL_Journal!$J:$J,$P424))</f>
        <v/>
      </c>
      <c r="J424" s="32">
        <f>IF($P424="","",INDEX(GL_Journal!$K:$K,$P424))</f>
        <v/>
      </c>
      <c r="K424" s="32">
        <f>IF($P424="","",INDEX(GL_Journal!$L:$L,$P424))</f>
        <v/>
      </c>
      <c r="L424" s="43">
        <f>IF($P424="","",INDEX(GL_Journal!$M:$M,$P424))</f>
        <v/>
      </c>
      <c r="M424" s="43">
        <f>IF($P424="","",INDEX(GL_Journal!$N:$N,$P424))</f>
        <v/>
      </c>
      <c r="N424" s="47">
        <f>IF($P424="","",IF($A424=1,LG_Open,$N423)+$L424-$M424)</f>
        <v/>
      </c>
      <c r="O424" s="32">
        <f>IF($A424&gt;COUNT(GL_Journal!$Y:$Y),"",SMALL(GL_Journal!$Y:$Y,$A424))</f>
        <v/>
      </c>
      <c r="P424" s="32">
        <f>IF($O424="","",MATCH($O424,GL_Journal!$Y:$Y,0))</f>
        <v/>
      </c>
      <c r="Q424" s="32" t="inlineStr"/>
    </row>
    <row r="425">
      <c r="A425" s="32">
        <f>ROW()-12</f>
        <v/>
      </c>
      <c r="B425" s="33">
        <f>IF($P425="","",INDEX(GL_Journal!$D:$D,$P425))</f>
        <v/>
      </c>
      <c r="C425" s="32">
        <f>IF($P425="","",INDEX(GL_Journal!$C:$C,$P425))</f>
        <v/>
      </c>
      <c r="D425" s="32">
        <f>IF($P425="","",INDEX(GL_Journal!$E:$E,$P425))</f>
        <v/>
      </c>
      <c r="E425" s="32">
        <f>IF($P425="","",INDEX(GL_Journal!$F:$F,$P425))</f>
        <v/>
      </c>
      <c r="F425" s="32">
        <f>IF($P425="","",INDEX(GL_Journal!$G:$G,$P425))</f>
        <v/>
      </c>
      <c r="G425" s="32">
        <f>IF($P425="","",INDEX(GL_Journal!$H:$H,$P425))</f>
        <v/>
      </c>
      <c r="H425" s="32">
        <f>IF($P425="","",INDEX(GL_Journal!$I:$I,$P425))</f>
        <v/>
      </c>
      <c r="I425" s="32">
        <f>IF($P425="","",INDEX(GL_Journal!$J:$J,$P425))</f>
        <v/>
      </c>
      <c r="J425" s="32">
        <f>IF($P425="","",INDEX(GL_Journal!$K:$K,$P425))</f>
        <v/>
      </c>
      <c r="K425" s="32">
        <f>IF($P425="","",INDEX(GL_Journal!$L:$L,$P425))</f>
        <v/>
      </c>
      <c r="L425" s="43">
        <f>IF($P425="","",INDEX(GL_Journal!$M:$M,$P425))</f>
        <v/>
      </c>
      <c r="M425" s="43">
        <f>IF($P425="","",INDEX(GL_Journal!$N:$N,$P425))</f>
        <v/>
      </c>
      <c r="N425" s="47">
        <f>IF($P425="","",IF($A425=1,LG_Open,$N424)+$L425-$M425)</f>
        <v/>
      </c>
      <c r="O425" s="32">
        <f>IF($A425&gt;COUNT(GL_Journal!$Y:$Y),"",SMALL(GL_Journal!$Y:$Y,$A425))</f>
        <v/>
      </c>
      <c r="P425" s="32">
        <f>IF($O425="","",MATCH($O425,GL_Journal!$Y:$Y,0))</f>
        <v/>
      </c>
      <c r="Q425" s="32" t="inlineStr"/>
    </row>
    <row r="426">
      <c r="A426" s="32">
        <f>ROW()-12</f>
        <v/>
      </c>
      <c r="B426" s="33">
        <f>IF($P426="","",INDEX(GL_Journal!$D:$D,$P426))</f>
        <v/>
      </c>
      <c r="C426" s="32">
        <f>IF($P426="","",INDEX(GL_Journal!$C:$C,$P426))</f>
        <v/>
      </c>
      <c r="D426" s="32">
        <f>IF($P426="","",INDEX(GL_Journal!$E:$E,$P426))</f>
        <v/>
      </c>
      <c r="E426" s="32">
        <f>IF($P426="","",INDEX(GL_Journal!$F:$F,$P426))</f>
        <v/>
      </c>
      <c r="F426" s="32">
        <f>IF($P426="","",INDEX(GL_Journal!$G:$G,$P426))</f>
        <v/>
      </c>
      <c r="G426" s="32">
        <f>IF($P426="","",INDEX(GL_Journal!$H:$H,$P426))</f>
        <v/>
      </c>
      <c r="H426" s="32">
        <f>IF($P426="","",INDEX(GL_Journal!$I:$I,$P426))</f>
        <v/>
      </c>
      <c r="I426" s="32">
        <f>IF($P426="","",INDEX(GL_Journal!$J:$J,$P426))</f>
        <v/>
      </c>
      <c r="J426" s="32">
        <f>IF($P426="","",INDEX(GL_Journal!$K:$K,$P426))</f>
        <v/>
      </c>
      <c r="K426" s="32">
        <f>IF($P426="","",INDEX(GL_Journal!$L:$L,$P426))</f>
        <v/>
      </c>
      <c r="L426" s="43">
        <f>IF($P426="","",INDEX(GL_Journal!$M:$M,$P426))</f>
        <v/>
      </c>
      <c r="M426" s="43">
        <f>IF($P426="","",INDEX(GL_Journal!$N:$N,$P426))</f>
        <v/>
      </c>
      <c r="N426" s="47">
        <f>IF($P426="","",IF($A426=1,LG_Open,$N425)+$L426-$M426)</f>
        <v/>
      </c>
      <c r="O426" s="32">
        <f>IF($A426&gt;COUNT(GL_Journal!$Y:$Y),"",SMALL(GL_Journal!$Y:$Y,$A426))</f>
        <v/>
      </c>
      <c r="P426" s="32">
        <f>IF($O426="","",MATCH($O426,GL_Journal!$Y:$Y,0))</f>
        <v/>
      </c>
      <c r="Q426" s="32" t="inlineStr"/>
    </row>
    <row r="427">
      <c r="A427" s="32">
        <f>ROW()-12</f>
        <v/>
      </c>
      <c r="B427" s="33">
        <f>IF($P427="","",INDEX(GL_Journal!$D:$D,$P427))</f>
        <v/>
      </c>
      <c r="C427" s="32">
        <f>IF($P427="","",INDEX(GL_Journal!$C:$C,$P427))</f>
        <v/>
      </c>
      <c r="D427" s="32">
        <f>IF($P427="","",INDEX(GL_Journal!$E:$E,$P427))</f>
        <v/>
      </c>
      <c r="E427" s="32">
        <f>IF($P427="","",INDEX(GL_Journal!$F:$F,$P427))</f>
        <v/>
      </c>
      <c r="F427" s="32">
        <f>IF($P427="","",INDEX(GL_Journal!$G:$G,$P427))</f>
        <v/>
      </c>
      <c r="G427" s="32">
        <f>IF($P427="","",INDEX(GL_Journal!$H:$H,$P427))</f>
        <v/>
      </c>
      <c r="H427" s="32">
        <f>IF($P427="","",INDEX(GL_Journal!$I:$I,$P427))</f>
        <v/>
      </c>
      <c r="I427" s="32">
        <f>IF($P427="","",INDEX(GL_Journal!$J:$J,$P427))</f>
        <v/>
      </c>
      <c r="J427" s="32">
        <f>IF($P427="","",INDEX(GL_Journal!$K:$K,$P427))</f>
        <v/>
      </c>
      <c r="K427" s="32">
        <f>IF($P427="","",INDEX(GL_Journal!$L:$L,$P427))</f>
        <v/>
      </c>
      <c r="L427" s="43">
        <f>IF($P427="","",INDEX(GL_Journal!$M:$M,$P427))</f>
        <v/>
      </c>
      <c r="M427" s="43">
        <f>IF($P427="","",INDEX(GL_Journal!$N:$N,$P427))</f>
        <v/>
      </c>
      <c r="N427" s="47">
        <f>IF($P427="","",IF($A427=1,LG_Open,$N426)+$L427-$M427)</f>
        <v/>
      </c>
      <c r="O427" s="32">
        <f>IF($A427&gt;COUNT(GL_Journal!$Y:$Y),"",SMALL(GL_Journal!$Y:$Y,$A427))</f>
        <v/>
      </c>
      <c r="P427" s="32">
        <f>IF($O427="","",MATCH($O427,GL_Journal!$Y:$Y,0))</f>
        <v/>
      </c>
      <c r="Q427" s="32" t="inlineStr"/>
    </row>
    <row r="428">
      <c r="A428" s="32">
        <f>ROW()-12</f>
        <v/>
      </c>
      <c r="B428" s="33">
        <f>IF($P428="","",INDEX(GL_Journal!$D:$D,$P428))</f>
        <v/>
      </c>
      <c r="C428" s="32">
        <f>IF($P428="","",INDEX(GL_Journal!$C:$C,$P428))</f>
        <v/>
      </c>
      <c r="D428" s="32">
        <f>IF($P428="","",INDEX(GL_Journal!$E:$E,$P428))</f>
        <v/>
      </c>
      <c r="E428" s="32">
        <f>IF($P428="","",INDEX(GL_Journal!$F:$F,$P428))</f>
        <v/>
      </c>
      <c r="F428" s="32">
        <f>IF($P428="","",INDEX(GL_Journal!$G:$G,$P428))</f>
        <v/>
      </c>
      <c r="G428" s="32">
        <f>IF($P428="","",INDEX(GL_Journal!$H:$H,$P428))</f>
        <v/>
      </c>
      <c r="H428" s="32">
        <f>IF($P428="","",INDEX(GL_Journal!$I:$I,$P428))</f>
        <v/>
      </c>
      <c r="I428" s="32">
        <f>IF($P428="","",INDEX(GL_Journal!$J:$J,$P428))</f>
        <v/>
      </c>
      <c r="J428" s="32">
        <f>IF($P428="","",INDEX(GL_Journal!$K:$K,$P428))</f>
        <v/>
      </c>
      <c r="K428" s="32">
        <f>IF($P428="","",INDEX(GL_Journal!$L:$L,$P428))</f>
        <v/>
      </c>
      <c r="L428" s="43">
        <f>IF($P428="","",INDEX(GL_Journal!$M:$M,$P428))</f>
        <v/>
      </c>
      <c r="M428" s="43">
        <f>IF($P428="","",INDEX(GL_Journal!$N:$N,$P428))</f>
        <v/>
      </c>
      <c r="N428" s="47">
        <f>IF($P428="","",IF($A428=1,LG_Open,$N427)+$L428-$M428)</f>
        <v/>
      </c>
      <c r="O428" s="32">
        <f>IF($A428&gt;COUNT(GL_Journal!$Y:$Y),"",SMALL(GL_Journal!$Y:$Y,$A428))</f>
        <v/>
      </c>
      <c r="P428" s="32">
        <f>IF($O428="","",MATCH($O428,GL_Journal!$Y:$Y,0))</f>
        <v/>
      </c>
      <c r="Q428" s="32" t="inlineStr"/>
    </row>
    <row r="429">
      <c r="A429" s="32">
        <f>ROW()-12</f>
        <v/>
      </c>
      <c r="B429" s="33">
        <f>IF($P429="","",INDEX(GL_Journal!$D:$D,$P429))</f>
        <v/>
      </c>
      <c r="C429" s="32">
        <f>IF($P429="","",INDEX(GL_Journal!$C:$C,$P429))</f>
        <v/>
      </c>
      <c r="D429" s="32">
        <f>IF($P429="","",INDEX(GL_Journal!$E:$E,$P429))</f>
        <v/>
      </c>
      <c r="E429" s="32">
        <f>IF($P429="","",INDEX(GL_Journal!$F:$F,$P429))</f>
        <v/>
      </c>
      <c r="F429" s="32">
        <f>IF($P429="","",INDEX(GL_Journal!$G:$G,$P429))</f>
        <v/>
      </c>
      <c r="G429" s="32">
        <f>IF($P429="","",INDEX(GL_Journal!$H:$H,$P429))</f>
        <v/>
      </c>
      <c r="H429" s="32">
        <f>IF($P429="","",INDEX(GL_Journal!$I:$I,$P429))</f>
        <v/>
      </c>
      <c r="I429" s="32">
        <f>IF($P429="","",INDEX(GL_Journal!$J:$J,$P429))</f>
        <v/>
      </c>
      <c r="J429" s="32">
        <f>IF($P429="","",INDEX(GL_Journal!$K:$K,$P429))</f>
        <v/>
      </c>
      <c r="K429" s="32">
        <f>IF($P429="","",INDEX(GL_Journal!$L:$L,$P429))</f>
        <v/>
      </c>
      <c r="L429" s="43">
        <f>IF($P429="","",INDEX(GL_Journal!$M:$M,$P429))</f>
        <v/>
      </c>
      <c r="M429" s="43">
        <f>IF($P429="","",INDEX(GL_Journal!$N:$N,$P429))</f>
        <v/>
      </c>
      <c r="N429" s="47">
        <f>IF($P429="","",IF($A429=1,LG_Open,$N428)+$L429-$M429)</f>
        <v/>
      </c>
      <c r="O429" s="32">
        <f>IF($A429&gt;COUNT(GL_Journal!$Y:$Y),"",SMALL(GL_Journal!$Y:$Y,$A429))</f>
        <v/>
      </c>
      <c r="P429" s="32">
        <f>IF($O429="","",MATCH($O429,GL_Journal!$Y:$Y,0))</f>
        <v/>
      </c>
      <c r="Q429" s="32" t="inlineStr"/>
    </row>
    <row r="430">
      <c r="A430" s="32">
        <f>ROW()-12</f>
        <v/>
      </c>
      <c r="B430" s="33">
        <f>IF($P430="","",INDEX(GL_Journal!$D:$D,$P430))</f>
        <v/>
      </c>
      <c r="C430" s="32">
        <f>IF($P430="","",INDEX(GL_Journal!$C:$C,$P430))</f>
        <v/>
      </c>
      <c r="D430" s="32">
        <f>IF($P430="","",INDEX(GL_Journal!$E:$E,$P430))</f>
        <v/>
      </c>
      <c r="E430" s="32">
        <f>IF($P430="","",INDEX(GL_Journal!$F:$F,$P430))</f>
        <v/>
      </c>
      <c r="F430" s="32">
        <f>IF($P430="","",INDEX(GL_Journal!$G:$G,$P430))</f>
        <v/>
      </c>
      <c r="G430" s="32">
        <f>IF($P430="","",INDEX(GL_Journal!$H:$H,$P430))</f>
        <v/>
      </c>
      <c r="H430" s="32">
        <f>IF($P430="","",INDEX(GL_Journal!$I:$I,$P430))</f>
        <v/>
      </c>
      <c r="I430" s="32">
        <f>IF($P430="","",INDEX(GL_Journal!$J:$J,$P430))</f>
        <v/>
      </c>
      <c r="J430" s="32">
        <f>IF($P430="","",INDEX(GL_Journal!$K:$K,$P430))</f>
        <v/>
      </c>
      <c r="K430" s="32">
        <f>IF($P430="","",INDEX(GL_Journal!$L:$L,$P430))</f>
        <v/>
      </c>
      <c r="L430" s="43">
        <f>IF($P430="","",INDEX(GL_Journal!$M:$M,$P430))</f>
        <v/>
      </c>
      <c r="M430" s="43">
        <f>IF($P430="","",INDEX(GL_Journal!$N:$N,$P430))</f>
        <v/>
      </c>
      <c r="N430" s="47">
        <f>IF($P430="","",IF($A430=1,LG_Open,$N429)+$L430-$M430)</f>
        <v/>
      </c>
      <c r="O430" s="32">
        <f>IF($A430&gt;COUNT(GL_Journal!$Y:$Y),"",SMALL(GL_Journal!$Y:$Y,$A430))</f>
        <v/>
      </c>
      <c r="P430" s="32">
        <f>IF($O430="","",MATCH($O430,GL_Journal!$Y:$Y,0))</f>
        <v/>
      </c>
      <c r="Q430" s="32" t="inlineStr"/>
    </row>
    <row r="431">
      <c r="A431" s="32">
        <f>ROW()-12</f>
        <v/>
      </c>
      <c r="B431" s="33">
        <f>IF($P431="","",INDEX(GL_Journal!$D:$D,$P431))</f>
        <v/>
      </c>
      <c r="C431" s="32">
        <f>IF($P431="","",INDEX(GL_Journal!$C:$C,$P431))</f>
        <v/>
      </c>
      <c r="D431" s="32">
        <f>IF($P431="","",INDEX(GL_Journal!$E:$E,$P431))</f>
        <v/>
      </c>
      <c r="E431" s="32">
        <f>IF($P431="","",INDEX(GL_Journal!$F:$F,$P431))</f>
        <v/>
      </c>
      <c r="F431" s="32">
        <f>IF($P431="","",INDEX(GL_Journal!$G:$G,$P431))</f>
        <v/>
      </c>
      <c r="G431" s="32">
        <f>IF($P431="","",INDEX(GL_Journal!$H:$H,$P431))</f>
        <v/>
      </c>
      <c r="H431" s="32">
        <f>IF($P431="","",INDEX(GL_Journal!$I:$I,$P431))</f>
        <v/>
      </c>
      <c r="I431" s="32">
        <f>IF($P431="","",INDEX(GL_Journal!$J:$J,$P431))</f>
        <v/>
      </c>
      <c r="J431" s="32">
        <f>IF($P431="","",INDEX(GL_Journal!$K:$K,$P431))</f>
        <v/>
      </c>
      <c r="K431" s="32">
        <f>IF($P431="","",INDEX(GL_Journal!$L:$L,$P431))</f>
        <v/>
      </c>
      <c r="L431" s="43">
        <f>IF($P431="","",INDEX(GL_Journal!$M:$M,$P431))</f>
        <v/>
      </c>
      <c r="M431" s="43">
        <f>IF($P431="","",INDEX(GL_Journal!$N:$N,$P431))</f>
        <v/>
      </c>
      <c r="N431" s="47">
        <f>IF($P431="","",IF($A431=1,LG_Open,$N430)+$L431-$M431)</f>
        <v/>
      </c>
      <c r="O431" s="32">
        <f>IF($A431&gt;COUNT(GL_Journal!$Y:$Y),"",SMALL(GL_Journal!$Y:$Y,$A431))</f>
        <v/>
      </c>
      <c r="P431" s="32">
        <f>IF($O431="","",MATCH($O431,GL_Journal!$Y:$Y,0))</f>
        <v/>
      </c>
      <c r="Q431" s="32" t="inlineStr"/>
    </row>
    <row r="432">
      <c r="A432" s="32">
        <f>ROW()-12</f>
        <v/>
      </c>
      <c r="B432" s="33">
        <f>IF($P432="","",INDEX(GL_Journal!$D:$D,$P432))</f>
        <v/>
      </c>
      <c r="C432" s="32">
        <f>IF($P432="","",INDEX(GL_Journal!$C:$C,$P432))</f>
        <v/>
      </c>
      <c r="D432" s="32">
        <f>IF($P432="","",INDEX(GL_Journal!$E:$E,$P432))</f>
        <v/>
      </c>
      <c r="E432" s="32">
        <f>IF($P432="","",INDEX(GL_Journal!$F:$F,$P432))</f>
        <v/>
      </c>
      <c r="F432" s="32">
        <f>IF($P432="","",INDEX(GL_Journal!$G:$G,$P432))</f>
        <v/>
      </c>
      <c r="G432" s="32">
        <f>IF($P432="","",INDEX(GL_Journal!$H:$H,$P432))</f>
        <v/>
      </c>
      <c r="H432" s="32">
        <f>IF($P432="","",INDEX(GL_Journal!$I:$I,$P432))</f>
        <v/>
      </c>
      <c r="I432" s="32">
        <f>IF($P432="","",INDEX(GL_Journal!$J:$J,$P432))</f>
        <v/>
      </c>
      <c r="J432" s="32">
        <f>IF($P432="","",INDEX(GL_Journal!$K:$K,$P432))</f>
        <v/>
      </c>
      <c r="K432" s="32">
        <f>IF($P432="","",INDEX(GL_Journal!$L:$L,$P432))</f>
        <v/>
      </c>
      <c r="L432" s="43">
        <f>IF($P432="","",INDEX(GL_Journal!$M:$M,$P432))</f>
        <v/>
      </c>
      <c r="M432" s="43">
        <f>IF($P432="","",INDEX(GL_Journal!$N:$N,$P432))</f>
        <v/>
      </c>
      <c r="N432" s="47">
        <f>IF($P432="","",IF($A432=1,LG_Open,$N431)+$L432-$M432)</f>
        <v/>
      </c>
      <c r="O432" s="32">
        <f>IF($A432&gt;COUNT(GL_Journal!$Y:$Y),"",SMALL(GL_Journal!$Y:$Y,$A432))</f>
        <v/>
      </c>
      <c r="P432" s="32">
        <f>IF($O432="","",MATCH($O432,GL_Journal!$Y:$Y,0))</f>
        <v/>
      </c>
      <c r="Q432" s="32" t="inlineStr"/>
    </row>
    <row r="433">
      <c r="A433" s="32">
        <f>ROW()-12</f>
        <v/>
      </c>
      <c r="B433" s="33">
        <f>IF($P433="","",INDEX(GL_Journal!$D:$D,$P433))</f>
        <v/>
      </c>
      <c r="C433" s="32">
        <f>IF($P433="","",INDEX(GL_Journal!$C:$C,$P433))</f>
        <v/>
      </c>
      <c r="D433" s="32">
        <f>IF($P433="","",INDEX(GL_Journal!$E:$E,$P433))</f>
        <v/>
      </c>
      <c r="E433" s="32">
        <f>IF($P433="","",INDEX(GL_Journal!$F:$F,$P433))</f>
        <v/>
      </c>
      <c r="F433" s="32">
        <f>IF($P433="","",INDEX(GL_Journal!$G:$G,$P433))</f>
        <v/>
      </c>
      <c r="G433" s="32">
        <f>IF($P433="","",INDEX(GL_Journal!$H:$H,$P433))</f>
        <v/>
      </c>
      <c r="H433" s="32">
        <f>IF($P433="","",INDEX(GL_Journal!$I:$I,$P433))</f>
        <v/>
      </c>
      <c r="I433" s="32">
        <f>IF($P433="","",INDEX(GL_Journal!$J:$J,$P433))</f>
        <v/>
      </c>
      <c r="J433" s="32">
        <f>IF($P433="","",INDEX(GL_Journal!$K:$K,$P433))</f>
        <v/>
      </c>
      <c r="K433" s="32">
        <f>IF($P433="","",INDEX(GL_Journal!$L:$L,$P433))</f>
        <v/>
      </c>
      <c r="L433" s="43">
        <f>IF($P433="","",INDEX(GL_Journal!$M:$M,$P433))</f>
        <v/>
      </c>
      <c r="M433" s="43">
        <f>IF($P433="","",INDEX(GL_Journal!$N:$N,$P433))</f>
        <v/>
      </c>
      <c r="N433" s="47">
        <f>IF($P433="","",IF($A433=1,LG_Open,$N432)+$L433-$M433)</f>
        <v/>
      </c>
      <c r="O433" s="32">
        <f>IF($A433&gt;COUNT(GL_Journal!$Y:$Y),"",SMALL(GL_Journal!$Y:$Y,$A433))</f>
        <v/>
      </c>
      <c r="P433" s="32">
        <f>IF($O433="","",MATCH($O433,GL_Journal!$Y:$Y,0))</f>
        <v/>
      </c>
      <c r="Q433" s="32" t="inlineStr"/>
    </row>
    <row r="434">
      <c r="A434" s="32">
        <f>ROW()-12</f>
        <v/>
      </c>
      <c r="B434" s="33">
        <f>IF($P434="","",INDEX(GL_Journal!$D:$D,$P434))</f>
        <v/>
      </c>
      <c r="C434" s="32">
        <f>IF($P434="","",INDEX(GL_Journal!$C:$C,$P434))</f>
        <v/>
      </c>
      <c r="D434" s="32">
        <f>IF($P434="","",INDEX(GL_Journal!$E:$E,$P434))</f>
        <v/>
      </c>
      <c r="E434" s="32">
        <f>IF($P434="","",INDEX(GL_Journal!$F:$F,$P434))</f>
        <v/>
      </c>
      <c r="F434" s="32">
        <f>IF($P434="","",INDEX(GL_Journal!$G:$G,$P434))</f>
        <v/>
      </c>
      <c r="G434" s="32">
        <f>IF($P434="","",INDEX(GL_Journal!$H:$H,$P434))</f>
        <v/>
      </c>
      <c r="H434" s="32">
        <f>IF($P434="","",INDEX(GL_Journal!$I:$I,$P434))</f>
        <v/>
      </c>
      <c r="I434" s="32">
        <f>IF($P434="","",INDEX(GL_Journal!$J:$J,$P434))</f>
        <v/>
      </c>
      <c r="J434" s="32">
        <f>IF($P434="","",INDEX(GL_Journal!$K:$K,$P434))</f>
        <v/>
      </c>
      <c r="K434" s="32">
        <f>IF($P434="","",INDEX(GL_Journal!$L:$L,$P434))</f>
        <v/>
      </c>
      <c r="L434" s="43">
        <f>IF($P434="","",INDEX(GL_Journal!$M:$M,$P434))</f>
        <v/>
      </c>
      <c r="M434" s="43">
        <f>IF($P434="","",INDEX(GL_Journal!$N:$N,$P434))</f>
        <v/>
      </c>
      <c r="N434" s="47">
        <f>IF($P434="","",IF($A434=1,LG_Open,$N433)+$L434-$M434)</f>
        <v/>
      </c>
      <c r="O434" s="32">
        <f>IF($A434&gt;COUNT(GL_Journal!$Y:$Y),"",SMALL(GL_Journal!$Y:$Y,$A434))</f>
        <v/>
      </c>
      <c r="P434" s="32">
        <f>IF($O434="","",MATCH($O434,GL_Journal!$Y:$Y,0))</f>
        <v/>
      </c>
      <c r="Q434" s="32" t="inlineStr"/>
    </row>
    <row r="435">
      <c r="A435" s="32">
        <f>ROW()-12</f>
        <v/>
      </c>
      <c r="B435" s="33">
        <f>IF($P435="","",INDEX(GL_Journal!$D:$D,$P435))</f>
        <v/>
      </c>
      <c r="C435" s="32">
        <f>IF($P435="","",INDEX(GL_Journal!$C:$C,$P435))</f>
        <v/>
      </c>
      <c r="D435" s="32">
        <f>IF($P435="","",INDEX(GL_Journal!$E:$E,$P435))</f>
        <v/>
      </c>
      <c r="E435" s="32">
        <f>IF($P435="","",INDEX(GL_Journal!$F:$F,$P435))</f>
        <v/>
      </c>
      <c r="F435" s="32">
        <f>IF($P435="","",INDEX(GL_Journal!$G:$G,$P435))</f>
        <v/>
      </c>
      <c r="G435" s="32">
        <f>IF($P435="","",INDEX(GL_Journal!$H:$H,$P435))</f>
        <v/>
      </c>
      <c r="H435" s="32">
        <f>IF($P435="","",INDEX(GL_Journal!$I:$I,$P435))</f>
        <v/>
      </c>
      <c r="I435" s="32">
        <f>IF($P435="","",INDEX(GL_Journal!$J:$J,$P435))</f>
        <v/>
      </c>
      <c r="J435" s="32">
        <f>IF($P435="","",INDEX(GL_Journal!$K:$K,$P435))</f>
        <v/>
      </c>
      <c r="K435" s="32">
        <f>IF($P435="","",INDEX(GL_Journal!$L:$L,$P435))</f>
        <v/>
      </c>
      <c r="L435" s="43">
        <f>IF($P435="","",INDEX(GL_Journal!$M:$M,$P435))</f>
        <v/>
      </c>
      <c r="M435" s="43">
        <f>IF($P435="","",INDEX(GL_Journal!$N:$N,$P435))</f>
        <v/>
      </c>
      <c r="N435" s="47">
        <f>IF($P435="","",IF($A435=1,LG_Open,$N434)+$L435-$M435)</f>
        <v/>
      </c>
      <c r="O435" s="32">
        <f>IF($A435&gt;COUNT(GL_Journal!$Y:$Y),"",SMALL(GL_Journal!$Y:$Y,$A435))</f>
        <v/>
      </c>
      <c r="P435" s="32">
        <f>IF($O435="","",MATCH($O435,GL_Journal!$Y:$Y,0))</f>
        <v/>
      </c>
      <c r="Q435" s="32" t="inlineStr"/>
    </row>
    <row r="436">
      <c r="A436" s="32">
        <f>ROW()-12</f>
        <v/>
      </c>
      <c r="B436" s="33">
        <f>IF($P436="","",INDEX(GL_Journal!$D:$D,$P436))</f>
        <v/>
      </c>
      <c r="C436" s="32">
        <f>IF($P436="","",INDEX(GL_Journal!$C:$C,$P436))</f>
        <v/>
      </c>
      <c r="D436" s="32">
        <f>IF($P436="","",INDEX(GL_Journal!$E:$E,$P436))</f>
        <v/>
      </c>
      <c r="E436" s="32">
        <f>IF($P436="","",INDEX(GL_Journal!$F:$F,$P436))</f>
        <v/>
      </c>
      <c r="F436" s="32">
        <f>IF($P436="","",INDEX(GL_Journal!$G:$G,$P436))</f>
        <v/>
      </c>
      <c r="G436" s="32">
        <f>IF($P436="","",INDEX(GL_Journal!$H:$H,$P436))</f>
        <v/>
      </c>
      <c r="H436" s="32">
        <f>IF($P436="","",INDEX(GL_Journal!$I:$I,$P436))</f>
        <v/>
      </c>
      <c r="I436" s="32">
        <f>IF($P436="","",INDEX(GL_Journal!$J:$J,$P436))</f>
        <v/>
      </c>
      <c r="J436" s="32">
        <f>IF($P436="","",INDEX(GL_Journal!$K:$K,$P436))</f>
        <v/>
      </c>
      <c r="K436" s="32">
        <f>IF($P436="","",INDEX(GL_Journal!$L:$L,$P436))</f>
        <v/>
      </c>
      <c r="L436" s="43">
        <f>IF($P436="","",INDEX(GL_Journal!$M:$M,$P436))</f>
        <v/>
      </c>
      <c r="M436" s="43">
        <f>IF($P436="","",INDEX(GL_Journal!$N:$N,$P436))</f>
        <v/>
      </c>
      <c r="N436" s="47">
        <f>IF($P436="","",IF($A436=1,LG_Open,$N435)+$L436-$M436)</f>
        <v/>
      </c>
      <c r="O436" s="32">
        <f>IF($A436&gt;COUNT(GL_Journal!$Y:$Y),"",SMALL(GL_Journal!$Y:$Y,$A436))</f>
        <v/>
      </c>
      <c r="P436" s="32">
        <f>IF($O436="","",MATCH($O436,GL_Journal!$Y:$Y,0))</f>
        <v/>
      </c>
      <c r="Q436" s="32" t="inlineStr"/>
    </row>
    <row r="437">
      <c r="A437" s="32">
        <f>ROW()-12</f>
        <v/>
      </c>
      <c r="B437" s="33">
        <f>IF($P437="","",INDEX(GL_Journal!$D:$D,$P437))</f>
        <v/>
      </c>
      <c r="C437" s="32">
        <f>IF($P437="","",INDEX(GL_Journal!$C:$C,$P437))</f>
        <v/>
      </c>
      <c r="D437" s="32">
        <f>IF($P437="","",INDEX(GL_Journal!$E:$E,$P437))</f>
        <v/>
      </c>
      <c r="E437" s="32">
        <f>IF($P437="","",INDEX(GL_Journal!$F:$F,$P437))</f>
        <v/>
      </c>
      <c r="F437" s="32">
        <f>IF($P437="","",INDEX(GL_Journal!$G:$G,$P437))</f>
        <v/>
      </c>
      <c r="G437" s="32">
        <f>IF($P437="","",INDEX(GL_Journal!$H:$H,$P437))</f>
        <v/>
      </c>
      <c r="H437" s="32">
        <f>IF($P437="","",INDEX(GL_Journal!$I:$I,$P437))</f>
        <v/>
      </c>
      <c r="I437" s="32">
        <f>IF($P437="","",INDEX(GL_Journal!$J:$J,$P437))</f>
        <v/>
      </c>
      <c r="J437" s="32">
        <f>IF($P437="","",INDEX(GL_Journal!$K:$K,$P437))</f>
        <v/>
      </c>
      <c r="K437" s="32">
        <f>IF($P437="","",INDEX(GL_Journal!$L:$L,$P437))</f>
        <v/>
      </c>
      <c r="L437" s="43">
        <f>IF($P437="","",INDEX(GL_Journal!$M:$M,$P437))</f>
        <v/>
      </c>
      <c r="M437" s="43">
        <f>IF($P437="","",INDEX(GL_Journal!$N:$N,$P437))</f>
        <v/>
      </c>
      <c r="N437" s="47">
        <f>IF($P437="","",IF($A437=1,LG_Open,$N436)+$L437-$M437)</f>
        <v/>
      </c>
      <c r="O437" s="32">
        <f>IF($A437&gt;COUNT(GL_Journal!$Y:$Y),"",SMALL(GL_Journal!$Y:$Y,$A437))</f>
        <v/>
      </c>
      <c r="P437" s="32">
        <f>IF($O437="","",MATCH($O437,GL_Journal!$Y:$Y,0))</f>
        <v/>
      </c>
      <c r="Q437" s="32" t="inlineStr"/>
    </row>
    <row r="438">
      <c r="A438" s="32">
        <f>ROW()-12</f>
        <v/>
      </c>
      <c r="B438" s="33">
        <f>IF($P438="","",INDEX(GL_Journal!$D:$D,$P438))</f>
        <v/>
      </c>
      <c r="C438" s="32">
        <f>IF($P438="","",INDEX(GL_Journal!$C:$C,$P438))</f>
        <v/>
      </c>
      <c r="D438" s="32">
        <f>IF($P438="","",INDEX(GL_Journal!$E:$E,$P438))</f>
        <v/>
      </c>
      <c r="E438" s="32">
        <f>IF($P438="","",INDEX(GL_Journal!$F:$F,$P438))</f>
        <v/>
      </c>
      <c r="F438" s="32">
        <f>IF($P438="","",INDEX(GL_Journal!$G:$G,$P438))</f>
        <v/>
      </c>
      <c r="G438" s="32">
        <f>IF($P438="","",INDEX(GL_Journal!$H:$H,$P438))</f>
        <v/>
      </c>
      <c r="H438" s="32">
        <f>IF($P438="","",INDEX(GL_Journal!$I:$I,$P438))</f>
        <v/>
      </c>
      <c r="I438" s="32">
        <f>IF($P438="","",INDEX(GL_Journal!$J:$J,$P438))</f>
        <v/>
      </c>
      <c r="J438" s="32">
        <f>IF($P438="","",INDEX(GL_Journal!$K:$K,$P438))</f>
        <v/>
      </c>
      <c r="K438" s="32">
        <f>IF($P438="","",INDEX(GL_Journal!$L:$L,$P438))</f>
        <v/>
      </c>
      <c r="L438" s="43">
        <f>IF($P438="","",INDEX(GL_Journal!$M:$M,$P438))</f>
        <v/>
      </c>
      <c r="M438" s="43">
        <f>IF($P438="","",INDEX(GL_Journal!$N:$N,$P438))</f>
        <v/>
      </c>
      <c r="N438" s="47">
        <f>IF($P438="","",IF($A438=1,LG_Open,$N437)+$L438-$M438)</f>
        <v/>
      </c>
      <c r="O438" s="32">
        <f>IF($A438&gt;COUNT(GL_Journal!$Y:$Y),"",SMALL(GL_Journal!$Y:$Y,$A438))</f>
        <v/>
      </c>
      <c r="P438" s="32">
        <f>IF($O438="","",MATCH($O438,GL_Journal!$Y:$Y,0))</f>
        <v/>
      </c>
      <c r="Q438" s="32" t="inlineStr"/>
    </row>
    <row r="439">
      <c r="A439" s="32">
        <f>ROW()-12</f>
        <v/>
      </c>
      <c r="B439" s="33">
        <f>IF($P439="","",INDEX(GL_Journal!$D:$D,$P439))</f>
        <v/>
      </c>
      <c r="C439" s="32">
        <f>IF($P439="","",INDEX(GL_Journal!$C:$C,$P439))</f>
        <v/>
      </c>
      <c r="D439" s="32">
        <f>IF($P439="","",INDEX(GL_Journal!$E:$E,$P439))</f>
        <v/>
      </c>
      <c r="E439" s="32">
        <f>IF($P439="","",INDEX(GL_Journal!$F:$F,$P439))</f>
        <v/>
      </c>
      <c r="F439" s="32">
        <f>IF($P439="","",INDEX(GL_Journal!$G:$G,$P439))</f>
        <v/>
      </c>
      <c r="G439" s="32">
        <f>IF($P439="","",INDEX(GL_Journal!$H:$H,$P439))</f>
        <v/>
      </c>
      <c r="H439" s="32">
        <f>IF($P439="","",INDEX(GL_Journal!$I:$I,$P439))</f>
        <v/>
      </c>
      <c r="I439" s="32">
        <f>IF($P439="","",INDEX(GL_Journal!$J:$J,$P439))</f>
        <v/>
      </c>
      <c r="J439" s="32">
        <f>IF($P439="","",INDEX(GL_Journal!$K:$K,$P439))</f>
        <v/>
      </c>
      <c r="K439" s="32">
        <f>IF($P439="","",INDEX(GL_Journal!$L:$L,$P439))</f>
        <v/>
      </c>
      <c r="L439" s="43">
        <f>IF($P439="","",INDEX(GL_Journal!$M:$M,$P439))</f>
        <v/>
      </c>
      <c r="M439" s="43">
        <f>IF($P439="","",INDEX(GL_Journal!$N:$N,$P439))</f>
        <v/>
      </c>
      <c r="N439" s="47">
        <f>IF($P439="","",IF($A439=1,LG_Open,$N438)+$L439-$M439)</f>
        <v/>
      </c>
      <c r="O439" s="32">
        <f>IF($A439&gt;COUNT(GL_Journal!$Y:$Y),"",SMALL(GL_Journal!$Y:$Y,$A439))</f>
        <v/>
      </c>
      <c r="P439" s="32">
        <f>IF($O439="","",MATCH($O439,GL_Journal!$Y:$Y,0))</f>
        <v/>
      </c>
      <c r="Q439" s="32" t="inlineStr"/>
    </row>
    <row r="440">
      <c r="A440" s="32">
        <f>ROW()-12</f>
        <v/>
      </c>
      <c r="B440" s="33">
        <f>IF($P440="","",INDEX(GL_Journal!$D:$D,$P440))</f>
        <v/>
      </c>
      <c r="C440" s="32">
        <f>IF($P440="","",INDEX(GL_Journal!$C:$C,$P440))</f>
        <v/>
      </c>
      <c r="D440" s="32">
        <f>IF($P440="","",INDEX(GL_Journal!$E:$E,$P440))</f>
        <v/>
      </c>
      <c r="E440" s="32">
        <f>IF($P440="","",INDEX(GL_Journal!$F:$F,$P440))</f>
        <v/>
      </c>
      <c r="F440" s="32">
        <f>IF($P440="","",INDEX(GL_Journal!$G:$G,$P440))</f>
        <v/>
      </c>
      <c r="G440" s="32">
        <f>IF($P440="","",INDEX(GL_Journal!$H:$H,$P440))</f>
        <v/>
      </c>
      <c r="H440" s="32">
        <f>IF($P440="","",INDEX(GL_Journal!$I:$I,$P440))</f>
        <v/>
      </c>
      <c r="I440" s="32">
        <f>IF($P440="","",INDEX(GL_Journal!$J:$J,$P440))</f>
        <v/>
      </c>
      <c r="J440" s="32">
        <f>IF($P440="","",INDEX(GL_Journal!$K:$K,$P440))</f>
        <v/>
      </c>
      <c r="K440" s="32">
        <f>IF($P440="","",INDEX(GL_Journal!$L:$L,$P440))</f>
        <v/>
      </c>
      <c r="L440" s="43">
        <f>IF($P440="","",INDEX(GL_Journal!$M:$M,$P440))</f>
        <v/>
      </c>
      <c r="M440" s="43">
        <f>IF($P440="","",INDEX(GL_Journal!$N:$N,$P440))</f>
        <v/>
      </c>
      <c r="N440" s="47">
        <f>IF($P440="","",IF($A440=1,LG_Open,$N439)+$L440-$M440)</f>
        <v/>
      </c>
      <c r="O440" s="32">
        <f>IF($A440&gt;COUNT(GL_Journal!$Y:$Y),"",SMALL(GL_Journal!$Y:$Y,$A440))</f>
        <v/>
      </c>
      <c r="P440" s="32">
        <f>IF($O440="","",MATCH($O440,GL_Journal!$Y:$Y,0))</f>
        <v/>
      </c>
      <c r="Q440" s="32" t="inlineStr"/>
    </row>
    <row r="441">
      <c r="A441" s="32">
        <f>ROW()-12</f>
        <v/>
      </c>
      <c r="B441" s="33">
        <f>IF($P441="","",INDEX(GL_Journal!$D:$D,$P441))</f>
        <v/>
      </c>
      <c r="C441" s="32">
        <f>IF($P441="","",INDEX(GL_Journal!$C:$C,$P441))</f>
        <v/>
      </c>
      <c r="D441" s="32">
        <f>IF($P441="","",INDEX(GL_Journal!$E:$E,$P441))</f>
        <v/>
      </c>
      <c r="E441" s="32">
        <f>IF($P441="","",INDEX(GL_Journal!$F:$F,$P441))</f>
        <v/>
      </c>
      <c r="F441" s="32">
        <f>IF($P441="","",INDEX(GL_Journal!$G:$G,$P441))</f>
        <v/>
      </c>
      <c r="G441" s="32">
        <f>IF($P441="","",INDEX(GL_Journal!$H:$H,$P441))</f>
        <v/>
      </c>
      <c r="H441" s="32">
        <f>IF($P441="","",INDEX(GL_Journal!$I:$I,$P441))</f>
        <v/>
      </c>
      <c r="I441" s="32">
        <f>IF($P441="","",INDEX(GL_Journal!$J:$J,$P441))</f>
        <v/>
      </c>
      <c r="J441" s="32">
        <f>IF($P441="","",INDEX(GL_Journal!$K:$K,$P441))</f>
        <v/>
      </c>
      <c r="K441" s="32">
        <f>IF($P441="","",INDEX(GL_Journal!$L:$L,$P441))</f>
        <v/>
      </c>
      <c r="L441" s="43">
        <f>IF($P441="","",INDEX(GL_Journal!$M:$M,$P441))</f>
        <v/>
      </c>
      <c r="M441" s="43">
        <f>IF($P441="","",INDEX(GL_Journal!$N:$N,$P441))</f>
        <v/>
      </c>
      <c r="N441" s="47">
        <f>IF($P441="","",IF($A441=1,LG_Open,$N440)+$L441-$M441)</f>
        <v/>
      </c>
      <c r="O441" s="32">
        <f>IF($A441&gt;COUNT(GL_Journal!$Y:$Y),"",SMALL(GL_Journal!$Y:$Y,$A441))</f>
        <v/>
      </c>
      <c r="P441" s="32">
        <f>IF($O441="","",MATCH($O441,GL_Journal!$Y:$Y,0))</f>
        <v/>
      </c>
      <c r="Q441" s="32" t="inlineStr"/>
    </row>
    <row r="442">
      <c r="A442" s="32">
        <f>ROW()-12</f>
        <v/>
      </c>
      <c r="B442" s="33">
        <f>IF($P442="","",INDEX(GL_Journal!$D:$D,$P442))</f>
        <v/>
      </c>
      <c r="C442" s="32">
        <f>IF($P442="","",INDEX(GL_Journal!$C:$C,$P442))</f>
        <v/>
      </c>
      <c r="D442" s="32">
        <f>IF($P442="","",INDEX(GL_Journal!$E:$E,$P442))</f>
        <v/>
      </c>
      <c r="E442" s="32">
        <f>IF($P442="","",INDEX(GL_Journal!$F:$F,$P442))</f>
        <v/>
      </c>
      <c r="F442" s="32">
        <f>IF($P442="","",INDEX(GL_Journal!$G:$G,$P442))</f>
        <v/>
      </c>
      <c r="G442" s="32">
        <f>IF($P442="","",INDEX(GL_Journal!$H:$H,$P442))</f>
        <v/>
      </c>
      <c r="H442" s="32">
        <f>IF($P442="","",INDEX(GL_Journal!$I:$I,$P442))</f>
        <v/>
      </c>
      <c r="I442" s="32">
        <f>IF($P442="","",INDEX(GL_Journal!$J:$J,$P442))</f>
        <v/>
      </c>
      <c r="J442" s="32">
        <f>IF($P442="","",INDEX(GL_Journal!$K:$K,$P442))</f>
        <v/>
      </c>
      <c r="K442" s="32">
        <f>IF($P442="","",INDEX(GL_Journal!$L:$L,$P442))</f>
        <v/>
      </c>
      <c r="L442" s="43">
        <f>IF($P442="","",INDEX(GL_Journal!$M:$M,$P442))</f>
        <v/>
      </c>
      <c r="M442" s="43">
        <f>IF($P442="","",INDEX(GL_Journal!$N:$N,$P442))</f>
        <v/>
      </c>
      <c r="N442" s="47">
        <f>IF($P442="","",IF($A442=1,LG_Open,$N441)+$L442-$M442)</f>
        <v/>
      </c>
      <c r="O442" s="32">
        <f>IF($A442&gt;COUNT(GL_Journal!$Y:$Y),"",SMALL(GL_Journal!$Y:$Y,$A442))</f>
        <v/>
      </c>
      <c r="P442" s="32">
        <f>IF($O442="","",MATCH($O442,GL_Journal!$Y:$Y,0))</f>
        <v/>
      </c>
      <c r="Q442" s="32" t="inlineStr"/>
    </row>
    <row r="443">
      <c r="A443" s="32">
        <f>ROW()-12</f>
        <v/>
      </c>
      <c r="B443" s="33">
        <f>IF($P443="","",INDEX(GL_Journal!$D:$D,$P443))</f>
        <v/>
      </c>
      <c r="C443" s="32">
        <f>IF($P443="","",INDEX(GL_Journal!$C:$C,$P443))</f>
        <v/>
      </c>
      <c r="D443" s="32">
        <f>IF($P443="","",INDEX(GL_Journal!$E:$E,$P443))</f>
        <v/>
      </c>
      <c r="E443" s="32">
        <f>IF($P443="","",INDEX(GL_Journal!$F:$F,$P443))</f>
        <v/>
      </c>
      <c r="F443" s="32">
        <f>IF($P443="","",INDEX(GL_Journal!$G:$G,$P443))</f>
        <v/>
      </c>
      <c r="G443" s="32">
        <f>IF($P443="","",INDEX(GL_Journal!$H:$H,$P443))</f>
        <v/>
      </c>
      <c r="H443" s="32">
        <f>IF($P443="","",INDEX(GL_Journal!$I:$I,$P443))</f>
        <v/>
      </c>
      <c r="I443" s="32">
        <f>IF($P443="","",INDEX(GL_Journal!$J:$J,$P443))</f>
        <v/>
      </c>
      <c r="J443" s="32">
        <f>IF($P443="","",INDEX(GL_Journal!$K:$K,$P443))</f>
        <v/>
      </c>
      <c r="K443" s="32">
        <f>IF($P443="","",INDEX(GL_Journal!$L:$L,$P443))</f>
        <v/>
      </c>
      <c r="L443" s="43">
        <f>IF($P443="","",INDEX(GL_Journal!$M:$M,$P443))</f>
        <v/>
      </c>
      <c r="M443" s="43">
        <f>IF($P443="","",INDEX(GL_Journal!$N:$N,$P443))</f>
        <v/>
      </c>
      <c r="N443" s="47">
        <f>IF($P443="","",IF($A443=1,LG_Open,$N442)+$L443-$M443)</f>
        <v/>
      </c>
      <c r="O443" s="32">
        <f>IF($A443&gt;COUNT(GL_Journal!$Y:$Y),"",SMALL(GL_Journal!$Y:$Y,$A443))</f>
        <v/>
      </c>
      <c r="P443" s="32">
        <f>IF($O443="","",MATCH($O443,GL_Journal!$Y:$Y,0))</f>
        <v/>
      </c>
      <c r="Q443" s="32" t="inlineStr"/>
    </row>
    <row r="444">
      <c r="A444" s="32">
        <f>ROW()-12</f>
        <v/>
      </c>
      <c r="B444" s="33">
        <f>IF($P444="","",INDEX(GL_Journal!$D:$D,$P444))</f>
        <v/>
      </c>
      <c r="C444" s="32">
        <f>IF($P444="","",INDEX(GL_Journal!$C:$C,$P444))</f>
        <v/>
      </c>
      <c r="D444" s="32">
        <f>IF($P444="","",INDEX(GL_Journal!$E:$E,$P444))</f>
        <v/>
      </c>
      <c r="E444" s="32">
        <f>IF($P444="","",INDEX(GL_Journal!$F:$F,$P444))</f>
        <v/>
      </c>
      <c r="F444" s="32">
        <f>IF($P444="","",INDEX(GL_Journal!$G:$G,$P444))</f>
        <v/>
      </c>
      <c r="G444" s="32">
        <f>IF($P444="","",INDEX(GL_Journal!$H:$H,$P444))</f>
        <v/>
      </c>
      <c r="H444" s="32">
        <f>IF($P444="","",INDEX(GL_Journal!$I:$I,$P444))</f>
        <v/>
      </c>
      <c r="I444" s="32">
        <f>IF($P444="","",INDEX(GL_Journal!$J:$J,$P444))</f>
        <v/>
      </c>
      <c r="J444" s="32">
        <f>IF($P444="","",INDEX(GL_Journal!$K:$K,$P444))</f>
        <v/>
      </c>
      <c r="K444" s="32">
        <f>IF($P444="","",INDEX(GL_Journal!$L:$L,$P444))</f>
        <v/>
      </c>
      <c r="L444" s="43">
        <f>IF($P444="","",INDEX(GL_Journal!$M:$M,$P444))</f>
        <v/>
      </c>
      <c r="M444" s="43">
        <f>IF($P444="","",INDEX(GL_Journal!$N:$N,$P444))</f>
        <v/>
      </c>
      <c r="N444" s="47">
        <f>IF($P444="","",IF($A444=1,LG_Open,$N443)+$L444-$M444)</f>
        <v/>
      </c>
      <c r="O444" s="32">
        <f>IF($A444&gt;COUNT(GL_Journal!$Y:$Y),"",SMALL(GL_Journal!$Y:$Y,$A444))</f>
        <v/>
      </c>
      <c r="P444" s="32">
        <f>IF($O444="","",MATCH($O444,GL_Journal!$Y:$Y,0))</f>
        <v/>
      </c>
      <c r="Q444" s="32" t="inlineStr"/>
    </row>
    <row r="445">
      <c r="A445" s="32">
        <f>ROW()-12</f>
        <v/>
      </c>
      <c r="B445" s="33">
        <f>IF($P445="","",INDEX(GL_Journal!$D:$D,$P445))</f>
        <v/>
      </c>
      <c r="C445" s="32">
        <f>IF($P445="","",INDEX(GL_Journal!$C:$C,$P445))</f>
        <v/>
      </c>
      <c r="D445" s="32">
        <f>IF($P445="","",INDEX(GL_Journal!$E:$E,$P445))</f>
        <v/>
      </c>
      <c r="E445" s="32">
        <f>IF($P445="","",INDEX(GL_Journal!$F:$F,$P445))</f>
        <v/>
      </c>
      <c r="F445" s="32">
        <f>IF($P445="","",INDEX(GL_Journal!$G:$G,$P445))</f>
        <v/>
      </c>
      <c r="G445" s="32">
        <f>IF($P445="","",INDEX(GL_Journal!$H:$H,$P445))</f>
        <v/>
      </c>
      <c r="H445" s="32">
        <f>IF($P445="","",INDEX(GL_Journal!$I:$I,$P445))</f>
        <v/>
      </c>
      <c r="I445" s="32">
        <f>IF($P445="","",INDEX(GL_Journal!$J:$J,$P445))</f>
        <v/>
      </c>
      <c r="J445" s="32">
        <f>IF($P445="","",INDEX(GL_Journal!$K:$K,$P445))</f>
        <v/>
      </c>
      <c r="K445" s="32">
        <f>IF($P445="","",INDEX(GL_Journal!$L:$L,$P445))</f>
        <v/>
      </c>
      <c r="L445" s="43">
        <f>IF($P445="","",INDEX(GL_Journal!$M:$M,$P445))</f>
        <v/>
      </c>
      <c r="M445" s="43">
        <f>IF($P445="","",INDEX(GL_Journal!$N:$N,$P445))</f>
        <v/>
      </c>
      <c r="N445" s="47">
        <f>IF($P445="","",IF($A445=1,LG_Open,$N444)+$L445-$M445)</f>
        <v/>
      </c>
      <c r="O445" s="32">
        <f>IF($A445&gt;COUNT(GL_Journal!$Y:$Y),"",SMALL(GL_Journal!$Y:$Y,$A445))</f>
        <v/>
      </c>
      <c r="P445" s="32">
        <f>IF($O445="","",MATCH($O445,GL_Journal!$Y:$Y,0))</f>
        <v/>
      </c>
      <c r="Q445" s="32" t="inlineStr"/>
    </row>
    <row r="446">
      <c r="A446" s="32">
        <f>ROW()-12</f>
        <v/>
      </c>
      <c r="B446" s="33">
        <f>IF($P446="","",INDEX(GL_Journal!$D:$D,$P446))</f>
        <v/>
      </c>
      <c r="C446" s="32">
        <f>IF($P446="","",INDEX(GL_Journal!$C:$C,$P446))</f>
        <v/>
      </c>
      <c r="D446" s="32">
        <f>IF($P446="","",INDEX(GL_Journal!$E:$E,$P446))</f>
        <v/>
      </c>
      <c r="E446" s="32">
        <f>IF($P446="","",INDEX(GL_Journal!$F:$F,$P446))</f>
        <v/>
      </c>
      <c r="F446" s="32">
        <f>IF($P446="","",INDEX(GL_Journal!$G:$G,$P446))</f>
        <v/>
      </c>
      <c r="G446" s="32">
        <f>IF($P446="","",INDEX(GL_Journal!$H:$H,$P446))</f>
        <v/>
      </c>
      <c r="H446" s="32">
        <f>IF($P446="","",INDEX(GL_Journal!$I:$I,$P446))</f>
        <v/>
      </c>
      <c r="I446" s="32">
        <f>IF($P446="","",INDEX(GL_Journal!$J:$J,$P446))</f>
        <v/>
      </c>
      <c r="J446" s="32">
        <f>IF($P446="","",INDEX(GL_Journal!$K:$K,$P446))</f>
        <v/>
      </c>
      <c r="K446" s="32">
        <f>IF($P446="","",INDEX(GL_Journal!$L:$L,$P446))</f>
        <v/>
      </c>
      <c r="L446" s="43">
        <f>IF($P446="","",INDEX(GL_Journal!$M:$M,$P446))</f>
        <v/>
      </c>
      <c r="M446" s="43">
        <f>IF($P446="","",INDEX(GL_Journal!$N:$N,$P446))</f>
        <v/>
      </c>
      <c r="N446" s="47">
        <f>IF($P446="","",IF($A446=1,LG_Open,$N445)+$L446-$M446)</f>
        <v/>
      </c>
      <c r="O446" s="32">
        <f>IF($A446&gt;COUNT(GL_Journal!$Y:$Y),"",SMALL(GL_Journal!$Y:$Y,$A446))</f>
        <v/>
      </c>
      <c r="P446" s="32">
        <f>IF($O446="","",MATCH($O446,GL_Journal!$Y:$Y,0))</f>
        <v/>
      </c>
      <c r="Q446" s="32" t="inlineStr"/>
    </row>
    <row r="447">
      <c r="A447" s="32">
        <f>ROW()-12</f>
        <v/>
      </c>
      <c r="B447" s="33">
        <f>IF($P447="","",INDEX(GL_Journal!$D:$D,$P447))</f>
        <v/>
      </c>
      <c r="C447" s="32">
        <f>IF($P447="","",INDEX(GL_Journal!$C:$C,$P447))</f>
        <v/>
      </c>
      <c r="D447" s="32">
        <f>IF($P447="","",INDEX(GL_Journal!$E:$E,$P447))</f>
        <v/>
      </c>
      <c r="E447" s="32">
        <f>IF($P447="","",INDEX(GL_Journal!$F:$F,$P447))</f>
        <v/>
      </c>
      <c r="F447" s="32">
        <f>IF($P447="","",INDEX(GL_Journal!$G:$G,$P447))</f>
        <v/>
      </c>
      <c r="G447" s="32">
        <f>IF($P447="","",INDEX(GL_Journal!$H:$H,$P447))</f>
        <v/>
      </c>
      <c r="H447" s="32">
        <f>IF($P447="","",INDEX(GL_Journal!$I:$I,$P447))</f>
        <v/>
      </c>
      <c r="I447" s="32">
        <f>IF($P447="","",INDEX(GL_Journal!$J:$J,$P447))</f>
        <v/>
      </c>
      <c r="J447" s="32">
        <f>IF($P447="","",INDEX(GL_Journal!$K:$K,$P447))</f>
        <v/>
      </c>
      <c r="K447" s="32">
        <f>IF($P447="","",INDEX(GL_Journal!$L:$L,$P447))</f>
        <v/>
      </c>
      <c r="L447" s="43">
        <f>IF($P447="","",INDEX(GL_Journal!$M:$M,$P447))</f>
        <v/>
      </c>
      <c r="M447" s="43">
        <f>IF($P447="","",INDEX(GL_Journal!$N:$N,$P447))</f>
        <v/>
      </c>
      <c r="N447" s="47">
        <f>IF($P447="","",IF($A447=1,LG_Open,$N446)+$L447-$M447)</f>
        <v/>
      </c>
      <c r="O447" s="32">
        <f>IF($A447&gt;COUNT(GL_Journal!$Y:$Y),"",SMALL(GL_Journal!$Y:$Y,$A447))</f>
        <v/>
      </c>
      <c r="P447" s="32">
        <f>IF($O447="","",MATCH($O447,GL_Journal!$Y:$Y,0))</f>
        <v/>
      </c>
      <c r="Q447" s="32" t="inlineStr"/>
    </row>
    <row r="448">
      <c r="A448" s="32">
        <f>ROW()-12</f>
        <v/>
      </c>
      <c r="B448" s="33">
        <f>IF($P448="","",INDEX(GL_Journal!$D:$D,$P448))</f>
        <v/>
      </c>
      <c r="C448" s="32">
        <f>IF($P448="","",INDEX(GL_Journal!$C:$C,$P448))</f>
        <v/>
      </c>
      <c r="D448" s="32">
        <f>IF($P448="","",INDEX(GL_Journal!$E:$E,$P448))</f>
        <v/>
      </c>
      <c r="E448" s="32">
        <f>IF($P448="","",INDEX(GL_Journal!$F:$F,$P448))</f>
        <v/>
      </c>
      <c r="F448" s="32">
        <f>IF($P448="","",INDEX(GL_Journal!$G:$G,$P448))</f>
        <v/>
      </c>
      <c r="G448" s="32">
        <f>IF($P448="","",INDEX(GL_Journal!$H:$H,$P448))</f>
        <v/>
      </c>
      <c r="H448" s="32">
        <f>IF($P448="","",INDEX(GL_Journal!$I:$I,$P448))</f>
        <v/>
      </c>
      <c r="I448" s="32">
        <f>IF($P448="","",INDEX(GL_Journal!$J:$J,$P448))</f>
        <v/>
      </c>
      <c r="J448" s="32">
        <f>IF($P448="","",INDEX(GL_Journal!$K:$K,$P448))</f>
        <v/>
      </c>
      <c r="K448" s="32">
        <f>IF($P448="","",INDEX(GL_Journal!$L:$L,$P448))</f>
        <v/>
      </c>
      <c r="L448" s="43">
        <f>IF($P448="","",INDEX(GL_Journal!$M:$M,$P448))</f>
        <v/>
      </c>
      <c r="M448" s="43">
        <f>IF($P448="","",INDEX(GL_Journal!$N:$N,$P448))</f>
        <v/>
      </c>
      <c r="N448" s="47">
        <f>IF($P448="","",IF($A448=1,LG_Open,$N447)+$L448-$M448)</f>
        <v/>
      </c>
      <c r="O448" s="32">
        <f>IF($A448&gt;COUNT(GL_Journal!$Y:$Y),"",SMALL(GL_Journal!$Y:$Y,$A448))</f>
        <v/>
      </c>
      <c r="P448" s="32">
        <f>IF($O448="","",MATCH($O448,GL_Journal!$Y:$Y,0))</f>
        <v/>
      </c>
      <c r="Q448" s="32" t="inlineStr"/>
    </row>
    <row r="449">
      <c r="A449" s="32">
        <f>ROW()-12</f>
        <v/>
      </c>
      <c r="B449" s="33">
        <f>IF($P449="","",INDEX(GL_Journal!$D:$D,$P449))</f>
        <v/>
      </c>
      <c r="C449" s="32">
        <f>IF($P449="","",INDEX(GL_Journal!$C:$C,$P449))</f>
        <v/>
      </c>
      <c r="D449" s="32">
        <f>IF($P449="","",INDEX(GL_Journal!$E:$E,$P449))</f>
        <v/>
      </c>
      <c r="E449" s="32">
        <f>IF($P449="","",INDEX(GL_Journal!$F:$F,$P449))</f>
        <v/>
      </c>
      <c r="F449" s="32">
        <f>IF($P449="","",INDEX(GL_Journal!$G:$G,$P449))</f>
        <v/>
      </c>
      <c r="G449" s="32">
        <f>IF($P449="","",INDEX(GL_Journal!$H:$H,$P449))</f>
        <v/>
      </c>
      <c r="H449" s="32">
        <f>IF($P449="","",INDEX(GL_Journal!$I:$I,$P449))</f>
        <v/>
      </c>
      <c r="I449" s="32">
        <f>IF($P449="","",INDEX(GL_Journal!$J:$J,$P449))</f>
        <v/>
      </c>
      <c r="J449" s="32">
        <f>IF($P449="","",INDEX(GL_Journal!$K:$K,$P449))</f>
        <v/>
      </c>
      <c r="K449" s="32">
        <f>IF($P449="","",INDEX(GL_Journal!$L:$L,$P449))</f>
        <v/>
      </c>
      <c r="L449" s="43">
        <f>IF($P449="","",INDEX(GL_Journal!$M:$M,$P449))</f>
        <v/>
      </c>
      <c r="M449" s="43">
        <f>IF($P449="","",INDEX(GL_Journal!$N:$N,$P449))</f>
        <v/>
      </c>
      <c r="N449" s="47">
        <f>IF($P449="","",IF($A449=1,LG_Open,$N448)+$L449-$M449)</f>
        <v/>
      </c>
      <c r="O449" s="32">
        <f>IF($A449&gt;COUNT(GL_Journal!$Y:$Y),"",SMALL(GL_Journal!$Y:$Y,$A449))</f>
        <v/>
      </c>
      <c r="P449" s="32">
        <f>IF($O449="","",MATCH($O449,GL_Journal!$Y:$Y,0))</f>
        <v/>
      </c>
      <c r="Q449" s="32" t="inlineStr"/>
    </row>
    <row r="450">
      <c r="A450" s="32">
        <f>ROW()-12</f>
        <v/>
      </c>
      <c r="B450" s="33">
        <f>IF($P450="","",INDEX(GL_Journal!$D:$D,$P450))</f>
        <v/>
      </c>
      <c r="C450" s="32">
        <f>IF($P450="","",INDEX(GL_Journal!$C:$C,$P450))</f>
        <v/>
      </c>
      <c r="D450" s="32">
        <f>IF($P450="","",INDEX(GL_Journal!$E:$E,$P450))</f>
        <v/>
      </c>
      <c r="E450" s="32">
        <f>IF($P450="","",INDEX(GL_Journal!$F:$F,$P450))</f>
        <v/>
      </c>
      <c r="F450" s="32">
        <f>IF($P450="","",INDEX(GL_Journal!$G:$G,$P450))</f>
        <v/>
      </c>
      <c r="G450" s="32">
        <f>IF($P450="","",INDEX(GL_Journal!$H:$H,$P450))</f>
        <v/>
      </c>
      <c r="H450" s="32">
        <f>IF($P450="","",INDEX(GL_Journal!$I:$I,$P450))</f>
        <v/>
      </c>
      <c r="I450" s="32">
        <f>IF($P450="","",INDEX(GL_Journal!$J:$J,$P450))</f>
        <v/>
      </c>
      <c r="J450" s="32">
        <f>IF($P450="","",INDEX(GL_Journal!$K:$K,$P450))</f>
        <v/>
      </c>
      <c r="K450" s="32">
        <f>IF($P450="","",INDEX(GL_Journal!$L:$L,$P450))</f>
        <v/>
      </c>
      <c r="L450" s="43">
        <f>IF($P450="","",INDEX(GL_Journal!$M:$M,$P450))</f>
        <v/>
      </c>
      <c r="M450" s="43">
        <f>IF($P450="","",INDEX(GL_Journal!$N:$N,$P450))</f>
        <v/>
      </c>
      <c r="N450" s="47">
        <f>IF($P450="","",IF($A450=1,LG_Open,$N449)+$L450-$M450)</f>
        <v/>
      </c>
      <c r="O450" s="32">
        <f>IF($A450&gt;COUNT(GL_Journal!$Y:$Y),"",SMALL(GL_Journal!$Y:$Y,$A450))</f>
        <v/>
      </c>
      <c r="P450" s="32">
        <f>IF($O450="","",MATCH($O450,GL_Journal!$Y:$Y,0))</f>
        <v/>
      </c>
      <c r="Q450" s="32" t="inlineStr"/>
    </row>
    <row r="451">
      <c r="A451" s="32">
        <f>ROW()-12</f>
        <v/>
      </c>
      <c r="B451" s="33">
        <f>IF($P451="","",INDEX(GL_Journal!$D:$D,$P451))</f>
        <v/>
      </c>
      <c r="C451" s="32">
        <f>IF($P451="","",INDEX(GL_Journal!$C:$C,$P451))</f>
        <v/>
      </c>
      <c r="D451" s="32">
        <f>IF($P451="","",INDEX(GL_Journal!$E:$E,$P451))</f>
        <v/>
      </c>
      <c r="E451" s="32">
        <f>IF($P451="","",INDEX(GL_Journal!$F:$F,$P451))</f>
        <v/>
      </c>
      <c r="F451" s="32">
        <f>IF($P451="","",INDEX(GL_Journal!$G:$G,$P451))</f>
        <v/>
      </c>
      <c r="G451" s="32">
        <f>IF($P451="","",INDEX(GL_Journal!$H:$H,$P451))</f>
        <v/>
      </c>
      <c r="H451" s="32">
        <f>IF($P451="","",INDEX(GL_Journal!$I:$I,$P451))</f>
        <v/>
      </c>
      <c r="I451" s="32">
        <f>IF($P451="","",INDEX(GL_Journal!$J:$J,$P451))</f>
        <v/>
      </c>
      <c r="J451" s="32">
        <f>IF($P451="","",INDEX(GL_Journal!$K:$K,$P451))</f>
        <v/>
      </c>
      <c r="K451" s="32">
        <f>IF($P451="","",INDEX(GL_Journal!$L:$L,$P451))</f>
        <v/>
      </c>
      <c r="L451" s="43">
        <f>IF($P451="","",INDEX(GL_Journal!$M:$M,$P451))</f>
        <v/>
      </c>
      <c r="M451" s="43">
        <f>IF($P451="","",INDEX(GL_Journal!$N:$N,$P451))</f>
        <v/>
      </c>
      <c r="N451" s="47">
        <f>IF($P451="","",IF($A451=1,LG_Open,$N450)+$L451-$M451)</f>
        <v/>
      </c>
      <c r="O451" s="32">
        <f>IF($A451&gt;COUNT(GL_Journal!$Y:$Y),"",SMALL(GL_Journal!$Y:$Y,$A451))</f>
        <v/>
      </c>
      <c r="P451" s="32">
        <f>IF($O451="","",MATCH($O451,GL_Journal!$Y:$Y,0))</f>
        <v/>
      </c>
      <c r="Q451" s="32" t="inlineStr"/>
    </row>
    <row r="452">
      <c r="A452" s="32">
        <f>ROW()-12</f>
        <v/>
      </c>
      <c r="B452" s="33">
        <f>IF($P452="","",INDEX(GL_Journal!$D:$D,$P452))</f>
        <v/>
      </c>
      <c r="C452" s="32">
        <f>IF($P452="","",INDEX(GL_Journal!$C:$C,$P452))</f>
        <v/>
      </c>
      <c r="D452" s="32">
        <f>IF($P452="","",INDEX(GL_Journal!$E:$E,$P452))</f>
        <v/>
      </c>
      <c r="E452" s="32">
        <f>IF($P452="","",INDEX(GL_Journal!$F:$F,$P452))</f>
        <v/>
      </c>
      <c r="F452" s="32">
        <f>IF($P452="","",INDEX(GL_Journal!$G:$G,$P452))</f>
        <v/>
      </c>
      <c r="G452" s="32">
        <f>IF($P452="","",INDEX(GL_Journal!$H:$H,$P452))</f>
        <v/>
      </c>
      <c r="H452" s="32">
        <f>IF($P452="","",INDEX(GL_Journal!$I:$I,$P452))</f>
        <v/>
      </c>
      <c r="I452" s="32">
        <f>IF($P452="","",INDEX(GL_Journal!$J:$J,$P452))</f>
        <v/>
      </c>
      <c r="J452" s="32">
        <f>IF($P452="","",INDEX(GL_Journal!$K:$K,$P452))</f>
        <v/>
      </c>
      <c r="K452" s="32">
        <f>IF($P452="","",INDEX(GL_Journal!$L:$L,$P452))</f>
        <v/>
      </c>
      <c r="L452" s="43">
        <f>IF($P452="","",INDEX(GL_Journal!$M:$M,$P452))</f>
        <v/>
      </c>
      <c r="M452" s="43">
        <f>IF($P452="","",INDEX(GL_Journal!$N:$N,$P452))</f>
        <v/>
      </c>
      <c r="N452" s="47">
        <f>IF($P452="","",IF($A452=1,LG_Open,$N451)+$L452-$M452)</f>
        <v/>
      </c>
      <c r="O452" s="32">
        <f>IF($A452&gt;COUNT(GL_Journal!$Y:$Y),"",SMALL(GL_Journal!$Y:$Y,$A452))</f>
        <v/>
      </c>
      <c r="P452" s="32">
        <f>IF($O452="","",MATCH($O452,GL_Journal!$Y:$Y,0))</f>
        <v/>
      </c>
      <c r="Q452" s="32" t="inlineStr"/>
    </row>
    <row r="453">
      <c r="A453" s="32">
        <f>ROW()-12</f>
        <v/>
      </c>
      <c r="B453" s="33">
        <f>IF($P453="","",INDEX(GL_Journal!$D:$D,$P453))</f>
        <v/>
      </c>
      <c r="C453" s="32">
        <f>IF($P453="","",INDEX(GL_Journal!$C:$C,$P453))</f>
        <v/>
      </c>
      <c r="D453" s="32">
        <f>IF($P453="","",INDEX(GL_Journal!$E:$E,$P453))</f>
        <v/>
      </c>
      <c r="E453" s="32">
        <f>IF($P453="","",INDEX(GL_Journal!$F:$F,$P453))</f>
        <v/>
      </c>
      <c r="F453" s="32">
        <f>IF($P453="","",INDEX(GL_Journal!$G:$G,$P453))</f>
        <v/>
      </c>
      <c r="G453" s="32">
        <f>IF($P453="","",INDEX(GL_Journal!$H:$H,$P453))</f>
        <v/>
      </c>
      <c r="H453" s="32">
        <f>IF($P453="","",INDEX(GL_Journal!$I:$I,$P453))</f>
        <v/>
      </c>
      <c r="I453" s="32">
        <f>IF($P453="","",INDEX(GL_Journal!$J:$J,$P453))</f>
        <v/>
      </c>
      <c r="J453" s="32">
        <f>IF($P453="","",INDEX(GL_Journal!$K:$K,$P453))</f>
        <v/>
      </c>
      <c r="K453" s="32">
        <f>IF($P453="","",INDEX(GL_Journal!$L:$L,$P453))</f>
        <v/>
      </c>
      <c r="L453" s="43">
        <f>IF($P453="","",INDEX(GL_Journal!$M:$M,$P453))</f>
        <v/>
      </c>
      <c r="M453" s="43">
        <f>IF($P453="","",INDEX(GL_Journal!$N:$N,$P453))</f>
        <v/>
      </c>
      <c r="N453" s="47">
        <f>IF($P453="","",IF($A453=1,LG_Open,$N452)+$L453-$M453)</f>
        <v/>
      </c>
      <c r="O453" s="32">
        <f>IF($A453&gt;COUNT(GL_Journal!$Y:$Y),"",SMALL(GL_Journal!$Y:$Y,$A453))</f>
        <v/>
      </c>
      <c r="P453" s="32">
        <f>IF($O453="","",MATCH($O453,GL_Journal!$Y:$Y,0))</f>
        <v/>
      </c>
      <c r="Q453" s="32" t="inlineStr"/>
    </row>
    <row r="454">
      <c r="A454" s="32">
        <f>ROW()-12</f>
        <v/>
      </c>
      <c r="B454" s="33">
        <f>IF($P454="","",INDEX(GL_Journal!$D:$D,$P454))</f>
        <v/>
      </c>
      <c r="C454" s="32">
        <f>IF($P454="","",INDEX(GL_Journal!$C:$C,$P454))</f>
        <v/>
      </c>
      <c r="D454" s="32">
        <f>IF($P454="","",INDEX(GL_Journal!$E:$E,$P454))</f>
        <v/>
      </c>
      <c r="E454" s="32">
        <f>IF($P454="","",INDEX(GL_Journal!$F:$F,$P454))</f>
        <v/>
      </c>
      <c r="F454" s="32">
        <f>IF($P454="","",INDEX(GL_Journal!$G:$G,$P454))</f>
        <v/>
      </c>
      <c r="G454" s="32">
        <f>IF($P454="","",INDEX(GL_Journal!$H:$H,$P454))</f>
        <v/>
      </c>
      <c r="H454" s="32">
        <f>IF($P454="","",INDEX(GL_Journal!$I:$I,$P454))</f>
        <v/>
      </c>
      <c r="I454" s="32">
        <f>IF($P454="","",INDEX(GL_Journal!$J:$J,$P454))</f>
        <v/>
      </c>
      <c r="J454" s="32">
        <f>IF($P454="","",INDEX(GL_Journal!$K:$K,$P454))</f>
        <v/>
      </c>
      <c r="K454" s="32">
        <f>IF($P454="","",INDEX(GL_Journal!$L:$L,$P454))</f>
        <v/>
      </c>
      <c r="L454" s="43">
        <f>IF($P454="","",INDEX(GL_Journal!$M:$M,$P454))</f>
        <v/>
      </c>
      <c r="M454" s="43">
        <f>IF($P454="","",INDEX(GL_Journal!$N:$N,$P454))</f>
        <v/>
      </c>
      <c r="N454" s="47">
        <f>IF($P454="","",IF($A454=1,LG_Open,$N453)+$L454-$M454)</f>
        <v/>
      </c>
      <c r="O454" s="32">
        <f>IF($A454&gt;COUNT(GL_Journal!$Y:$Y),"",SMALL(GL_Journal!$Y:$Y,$A454))</f>
        <v/>
      </c>
      <c r="P454" s="32">
        <f>IF($O454="","",MATCH($O454,GL_Journal!$Y:$Y,0))</f>
        <v/>
      </c>
      <c r="Q454" s="32" t="inlineStr"/>
    </row>
    <row r="455">
      <c r="A455" s="32">
        <f>ROW()-12</f>
        <v/>
      </c>
      <c r="B455" s="33">
        <f>IF($P455="","",INDEX(GL_Journal!$D:$D,$P455))</f>
        <v/>
      </c>
      <c r="C455" s="32">
        <f>IF($P455="","",INDEX(GL_Journal!$C:$C,$P455))</f>
        <v/>
      </c>
      <c r="D455" s="32">
        <f>IF($P455="","",INDEX(GL_Journal!$E:$E,$P455))</f>
        <v/>
      </c>
      <c r="E455" s="32">
        <f>IF($P455="","",INDEX(GL_Journal!$F:$F,$P455))</f>
        <v/>
      </c>
      <c r="F455" s="32">
        <f>IF($P455="","",INDEX(GL_Journal!$G:$G,$P455))</f>
        <v/>
      </c>
      <c r="G455" s="32">
        <f>IF($P455="","",INDEX(GL_Journal!$H:$H,$P455))</f>
        <v/>
      </c>
      <c r="H455" s="32">
        <f>IF($P455="","",INDEX(GL_Journal!$I:$I,$P455))</f>
        <v/>
      </c>
      <c r="I455" s="32">
        <f>IF($P455="","",INDEX(GL_Journal!$J:$J,$P455))</f>
        <v/>
      </c>
      <c r="J455" s="32">
        <f>IF($P455="","",INDEX(GL_Journal!$K:$K,$P455))</f>
        <v/>
      </c>
      <c r="K455" s="32">
        <f>IF($P455="","",INDEX(GL_Journal!$L:$L,$P455))</f>
        <v/>
      </c>
      <c r="L455" s="43">
        <f>IF($P455="","",INDEX(GL_Journal!$M:$M,$P455))</f>
        <v/>
      </c>
      <c r="M455" s="43">
        <f>IF($P455="","",INDEX(GL_Journal!$N:$N,$P455))</f>
        <v/>
      </c>
      <c r="N455" s="47">
        <f>IF($P455="","",IF($A455=1,LG_Open,$N454)+$L455-$M455)</f>
        <v/>
      </c>
      <c r="O455" s="32">
        <f>IF($A455&gt;COUNT(GL_Journal!$Y:$Y),"",SMALL(GL_Journal!$Y:$Y,$A455))</f>
        <v/>
      </c>
      <c r="P455" s="32">
        <f>IF($O455="","",MATCH($O455,GL_Journal!$Y:$Y,0))</f>
        <v/>
      </c>
      <c r="Q455" s="32" t="inlineStr"/>
    </row>
    <row r="456">
      <c r="A456" s="32">
        <f>ROW()-12</f>
        <v/>
      </c>
      <c r="B456" s="33">
        <f>IF($P456="","",INDEX(GL_Journal!$D:$D,$P456))</f>
        <v/>
      </c>
      <c r="C456" s="32">
        <f>IF($P456="","",INDEX(GL_Journal!$C:$C,$P456))</f>
        <v/>
      </c>
      <c r="D456" s="32">
        <f>IF($P456="","",INDEX(GL_Journal!$E:$E,$P456))</f>
        <v/>
      </c>
      <c r="E456" s="32">
        <f>IF($P456="","",INDEX(GL_Journal!$F:$F,$P456))</f>
        <v/>
      </c>
      <c r="F456" s="32">
        <f>IF($P456="","",INDEX(GL_Journal!$G:$G,$P456))</f>
        <v/>
      </c>
      <c r="G456" s="32">
        <f>IF($P456="","",INDEX(GL_Journal!$H:$H,$P456))</f>
        <v/>
      </c>
      <c r="H456" s="32">
        <f>IF($P456="","",INDEX(GL_Journal!$I:$I,$P456))</f>
        <v/>
      </c>
      <c r="I456" s="32">
        <f>IF($P456="","",INDEX(GL_Journal!$J:$J,$P456))</f>
        <v/>
      </c>
      <c r="J456" s="32">
        <f>IF($P456="","",INDEX(GL_Journal!$K:$K,$P456))</f>
        <v/>
      </c>
      <c r="K456" s="32">
        <f>IF($P456="","",INDEX(GL_Journal!$L:$L,$P456))</f>
        <v/>
      </c>
      <c r="L456" s="43">
        <f>IF($P456="","",INDEX(GL_Journal!$M:$M,$P456))</f>
        <v/>
      </c>
      <c r="M456" s="43">
        <f>IF($P456="","",INDEX(GL_Journal!$N:$N,$P456))</f>
        <v/>
      </c>
      <c r="N456" s="47">
        <f>IF($P456="","",IF($A456=1,LG_Open,$N455)+$L456-$M456)</f>
        <v/>
      </c>
      <c r="O456" s="32">
        <f>IF($A456&gt;COUNT(GL_Journal!$Y:$Y),"",SMALL(GL_Journal!$Y:$Y,$A456))</f>
        <v/>
      </c>
      <c r="P456" s="32">
        <f>IF($O456="","",MATCH($O456,GL_Journal!$Y:$Y,0))</f>
        <v/>
      </c>
      <c r="Q456" s="32" t="inlineStr"/>
    </row>
    <row r="457">
      <c r="A457" s="32">
        <f>ROW()-12</f>
        <v/>
      </c>
      <c r="B457" s="33">
        <f>IF($P457="","",INDEX(GL_Journal!$D:$D,$P457))</f>
        <v/>
      </c>
      <c r="C457" s="32">
        <f>IF($P457="","",INDEX(GL_Journal!$C:$C,$P457))</f>
        <v/>
      </c>
      <c r="D457" s="32">
        <f>IF($P457="","",INDEX(GL_Journal!$E:$E,$P457))</f>
        <v/>
      </c>
      <c r="E457" s="32">
        <f>IF($P457="","",INDEX(GL_Journal!$F:$F,$P457))</f>
        <v/>
      </c>
      <c r="F457" s="32">
        <f>IF($P457="","",INDEX(GL_Journal!$G:$G,$P457))</f>
        <v/>
      </c>
      <c r="G457" s="32">
        <f>IF($P457="","",INDEX(GL_Journal!$H:$H,$P457))</f>
        <v/>
      </c>
      <c r="H457" s="32">
        <f>IF($P457="","",INDEX(GL_Journal!$I:$I,$P457))</f>
        <v/>
      </c>
      <c r="I457" s="32">
        <f>IF($P457="","",INDEX(GL_Journal!$J:$J,$P457))</f>
        <v/>
      </c>
      <c r="J457" s="32">
        <f>IF($P457="","",INDEX(GL_Journal!$K:$K,$P457))</f>
        <v/>
      </c>
      <c r="K457" s="32">
        <f>IF($P457="","",INDEX(GL_Journal!$L:$L,$P457))</f>
        <v/>
      </c>
      <c r="L457" s="43">
        <f>IF($P457="","",INDEX(GL_Journal!$M:$M,$P457))</f>
        <v/>
      </c>
      <c r="M457" s="43">
        <f>IF($P457="","",INDEX(GL_Journal!$N:$N,$P457))</f>
        <v/>
      </c>
      <c r="N457" s="47">
        <f>IF($P457="","",IF($A457=1,LG_Open,$N456)+$L457-$M457)</f>
        <v/>
      </c>
      <c r="O457" s="32">
        <f>IF($A457&gt;COUNT(GL_Journal!$Y:$Y),"",SMALL(GL_Journal!$Y:$Y,$A457))</f>
        <v/>
      </c>
      <c r="P457" s="32">
        <f>IF($O457="","",MATCH($O457,GL_Journal!$Y:$Y,0))</f>
        <v/>
      </c>
      <c r="Q457" s="32" t="inlineStr"/>
    </row>
    <row r="458">
      <c r="A458" s="32">
        <f>ROW()-12</f>
        <v/>
      </c>
      <c r="B458" s="33">
        <f>IF($P458="","",INDEX(GL_Journal!$D:$D,$P458))</f>
        <v/>
      </c>
      <c r="C458" s="32">
        <f>IF($P458="","",INDEX(GL_Journal!$C:$C,$P458))</f>
        <v/>
      </c>
      <c r="D458" s="32">
        <f>IF($P458="","",INDEX(GL_Journal!$E:$E,$P458))</f>
        <v/>
      </c>
      <c r="E458" s="32">
        <f>IF($P458="","",INDEX(GL_Journal!$F:$F,$P458))</f>
        <v/>
      </c>
      <c r="F458" s="32">
        <f>IF($P458="","",INDEX(GL_Journal!$G:$G,$P458))</f>
        <v/>
      </c>
      <c r="G458" s="32">
        <f>IF($P458="","",INDEX(GL_Journal!$H:$H,$P458))</f>
        <v/>
      </c>
      <c r="H458" s="32">
        <f>IF($P458="","",INDEX(GL_Journal!$I:$I,$P458))</f>
        <v/>
      </c>
      <c r="I458" s="32">
        <f>IF($P458="","",INDEX(GL_Journal!$J:$J,$P458))</f>
        <v/>
      </c>
      <c r="J458" s="32">
        <f>IF($P458="","",INDEX(GL_Journal!$K:$K,$P458))</f>
        <v/>
      </c>
      <c r="K458" s="32">
        <f>IF($P458="","",INDEX(GL_Journal!$L:$L,$P458))</f>
        <v/>
      </c>
      <c r="L458" s="43">
        <f>IF($P458="","",INDEX(GL_Journal!$M:$M,$P458))</f>
        <v/>
      </c>
      <c r="M458" s="43">
        <f>IF($P458="","",INDEX(GL_Journal!$N:$N,$P458))</f>
        <v/>
      </c>
      <c r="N458" s="47">
        <f>IF($P458="","",IF($A458=1,LG_Open,$N457)+$L458-$M458)</f>
        <v/>
      </c>
      <c r="O458" s="32">
        <f>IF($A458&gt;COUNT(GL_Journal!$Y:$Y),"",SMALL(GL_Journal!$Y:$Y,$A458))</f>
        <v/>
      </c>
      <c r="P458" s="32">
        <f>IF($O458="","",MATCH($O458,GL_Journal!$Y:$Y,0))</f>
        <v/>
      </c>
      <c r="Q458" s="32" t="inlineStr"/>
    </row>
    <row r="459">
      <c r="A459" s="32">
        <f>ROW()-12</f>
        <v/>
      </c>
      <c r="B459" s="33">
        <f>IF($P459="","",INDEX(GL_Journal!$D:$D,$P459))</f>
        <v/>
      </c>
      <c r="C459" s="32">
        <f>IF($P459="","",INDEX(GL_Journal!$C:$C,$P459))</f>
        <v/>
      </c>
      <c r="D459" s="32">
        <f>IF($P459="","",INDEX(GL_Journal!$E:$E,$P459))</f>
        <v/>
      </c>
      <c r="E459" s="32">
        <f>IF($P459="","",INDEX(GL_Journal!$F:$F,$P459))</f>
        <v/>
      </c>
      <c r="F459" s="32">
        <f>IF($P459="","",INDEX(GL_Journal!$G:$G,$P459))</f>
        <v/>
      </c>
      <c r="G459" s="32">
        <f>IF($P459="","",INDEX(GL_Journal!$H:$H,$P459))</f>
        <v/>
      </c>
      <c r="H459" s="32">
        <f>IF($P459="","",INDEX(GL_Journal!$I:$I,$P459))</f>
        <v/>
      </c>
      <c r="I459" s="32">
        <f>IF($P459="","",INDEX(GL_Journal!$J:$J,$P459))</f>
        <v/>
      </c>
      <c r="J459" s="32">
        <f>IF($P459="","",INDEX(GL_Journal!$K:$K,$P459))</f>
        <v/>
      </c>
      <c r="K459" s="32">
        <f>IF($P459="","",INDEX(GL_Journal!$L:$L,$P459))</f>
        <v/>
      </c>
      <c r="L459" s="43">
        <f>IF($P459="","",INDEX(GL_Journal!$M:$M,$P459))</f>
        <v/>
      </c>
      <c r="M459" s="43">
        <f>IF($P459="","",INDEX(GL_Journal!$N:$N,$P459))</f>
        <v/>
      </c>
      <c r="N459" s="47">
        <f>IF($P459="","",IF($A459=1,LG_Open,$N458)+$L459-$M459)</f>
        <v/>
      </c>
      <c r="O459" s="32">
        <f>IF($A459&gt;COUNT(GL_Journal!$Y:$Y),"",SMALL(GL_Journal!$Y:$Y,$A459))</f>
        <v/>
      </c>
      <c r="P459" s="32">
        <f>IF($O459="","",MATCH($O459,GL_Journal!$Y:$Y,0))</f>
        <v/>
      </c>
      <c r="Q459" s="32" t="inlineStr"/>
    </row>
    <row r="460">
      <c r="A460" s="32">
        <f>ROW()-12</f>
        <v/>
      </c>
      <c r="B460" s="33">
        <f>IF($P460="","",INDEX(GL_Journal!$D:$D,$P460))</f>
        <v/>
      </c>
      <c r="C460" s="32">
        <f>IF($P460="","",INDEX(GL_Journal!$C:$C,$P460))</f>
        <v/>
      </c>
      <c r="D460" s="32">
        <f>IF($P460="","",INDEX(GL_Journal!$E:$E,$P460))</f>
        <v/>
      </c>
      <c r="E460" s="32">
        <f>IF($P460="","",INDEX(GL_Journal!$F:$F,$P460))</f>
        <v/>
      </c>
      <c r="F460" s="32">
        <f>IF($P460="","",INDEX(GL_Journal!$G:$G,$P460))</f>
        <v/>
      </c>
      <c r="G460" s="32">
        <f>IF($P460="","",INDEX(GL_Journal!$H:$H,$P460))</f>
        <v/>
      </c>
      <c r="H460" s="32">
        <f>IF($P460="","",INDEX(GL_Journal!$I:$I,$P460))</f>
        <v/>
      </c>
      <c r="I460" s="32">
        <f>IF($P460="","",INDEX(GL_Journal!$J:$J,$P460))</f>
        <v/>
      </c>
      <c r="J460" s="32">
        <f>IF($P460="","",INDEX(GL_Journal!$K:$K,$P460))</f>
        <v/>
      </c>
      <c r="K460" s="32">
        <f>IF($P460="","",INDEX(GL_Journal!$L:$L,$P460))</f>
        <v/>
      </c>
      <c r="L460" s="43">
        <f>IF($P460="","",INDEX(GL_Journal!$M:$M,$P460))</f>
        <v/>
      </c>
      <c r="M460" s="43">
        <f>IF($P460="","",INDEX(GL_Journal!$N:$N,$P460))</f>
        <v/>
      </c>
      <c r="N460" s="47">
        <f>IF($P460="","",IF($A460=1,LG_Open,$N459)+$L460-$M460)</f>
        <v/>
      </c>
      <c r="O460" s="32">
        <f>IF($A460&gt;COUNT(GL_Journal!$Y:$Y),"",SMALL(GL_Journal!$Y:$Y,$A460))</f>
        <v/>
      </c>
      <c r="P460" s="32">
        <f>IF($O460="","",MATCH($O460,GL_Journal!$Y:$Y,0))</f>
        <v/>
      </c>
      <c r="Q460" s="32" t="inlineStr"/>
    </row>
    <row r="461">
      <c r="A461" s="32">
        <f>ROW()-12</f>
        <v/>
      </c>
      <c r="B461" s="33">
        <f>IF($P461="","",INDEX(GL_Journal!$D:$D,$P461))</f>
        <v/>
      </c>
      <c r="C461" s="32">
        <f>IF($P461="","",INDEX(GL_Journal!$C:$C,$P461))</f>
        <v/>
      </c>
      <c r="D461" s="32">
        <f>IF($P461="","",INDEX(GL_Journal!$E:$E,$P461))</f>
        <v/>
      </c>
      <c r="E461" s="32">
        <f>IF($P461="","",INDEX(GL_Journal!$F:$F,$P461))</f>
        <v/>
      </c>
      <c r="F461" s="32">
        <f>IF($P461="","",INDEX(GL_Journal!$G:$G,$P461))</f>
        <v/>
      </c>
      <c r="G461" s="32">
        <f>IF($P461="","",INDEX(GL_Journal!$H:$H,$P461))</f>
        <v/>
      </c>
      <c r="H461" s="32">
        <f>IF($P461="","",INDEX(GL_Journal!$I:$I,$P461))</f>
        <v/>
      </c>
      <c r="I461" s="32">
        <f>IF($P461="","",INDEX(GL_Journal!$J:$J,$P461))</f>
        <v/>
      </c>
      <c r="J461" s="32">
        <f>IF($P461="","",INDEX(GL_Journal!$K:$K,$P461))</f>
        <v/>
      </c>
      <c r="K461" s="32">
        <f>IF($P461="","",INDEX(GL_Journal!$L:$L,$P461))</f>
        <v/>
      </c>
      <c r="L461" s="43">
        <f>IF($P461="","",INDEX(GL_Journal!$M:$M,$P461))</f>
        <v/>
      </c>
      <c r="M461" s="43">
        <f>IF($P461="","",INDEX(GL_Journal!$N:$N,$P461))</f>
        <v/>
      </c>
      <c r="N461" s="47">
        <f>IF($P461="","",IF($A461=1,LG_Open,$N460)+$L461-$M461)</f>
        <v/>
      </c>
      <c r="O461" s="32">
        <f>IF($A461&gt;COUNT(GL_Journal!$Y:$Y),"",SMALL(GL_Journal!$Y:$Y,$A461))</f>
        <v/>
      </c>
      <c r="P461" s="32">
        <f>IF($O461="","",MATCH($O461,GL_Journal!$Y:$Y,0))</f>
        <v/>
      </c>
      <c r="Q461" s="32" t="inlineStr"/>
    </row>
    <row r="462">
      <c r="A462" s="32">
        <f>ROW()-12</f>
        <v/>
      </c>
      <c r="B462" s="33">
        <f>IF($P462="","",INDEX(GL_Journal!$D:$D,$P462))</f>
        <v/>
      </c>
      <c r="C462" s="32">
        <f>IF($P462="","",INDEX(GL_Journal!$C:$C,$P462))</f>
        <v/>
      </c>
      <c r="D462" s="32">
        <f>IF($P462="","",INDEX(GL_Journal!$E:$E,$P462))</f>
        <v/>
      </c>
      <c r="E462" s="32">
        <f>IF($P462="","",INDEX(GL_Journal!$F:$F,$P462))</f>
        <v/>
      </c>
      <c r="F462" s="32">
        <f>IF($P462="","",INDEX(GL_Journal!$G:$G,$P462))</f>
        <v/>
      </c>
      <c r="G462" s="32">
        <f>IF($P462="","",INDEX(GL_Journal!$H:$H,$P462))</f>
        <v/>
      </c>
      <c r="H462" s="32">
        <f>IF($P462="","",INDEX(GL_Journal!$I:$I,$P462))</f>
        <v/>
      </c>
      <c r="I462" s="32">
        <f>IF($P462="","",INDEX(GL_Journal!$J:$J,$P462))</f>
        <v/>
      </c>
      <c r="J462" s="32">
        <f>IF($P462="","",INDEX(GL_Journal!$K:$K,$P462))</f>
        <v/>
      </c>
      <c r="K462" s="32">
        <f>IF($P462="","",INDEX(GL_Journal!$L:$L,$P462))</f>
        <v/>
      </c>
      <c r="L462" s="43">
        <f>IF($P462="","",INDEX(GL_Journal!$M:$M,$P462))</f>
        <v/>
      </c>
      <c r="M462" s="43">
        <f>IF($P462="","",INDEX(GL_Journal!$N:$N,$P462))</f>
        <v/>
      </c>
      <c r="N462" s="47">
        <f>IF($P462="","",IF($A462=1,LG_Open,$N461)+$L462-$M462)</f>
        <v/>
      </c>
      <c r="O462" s="32">
        <f>IF($A462&gt;COUNT(GL_Journal!$Y:$Y),"",SMALL(GL_Journal!$Y:$Y,$A462))</f>
        <v/>
      </c>
      <c r="P462" s="32">
        <f>IF($O462="","",MATCH($O462,GL_Journal!$Y:$Y,0))</f>
        <v/>
      </c>
      <c r="Q462" s="32" t="inlineStr"/>
    </row>
    <row r="463">
      <c r="A463" s="32">
        <f>ROW()-12</f>
        <v/>
      </c>
      <c r="B463" s="33">
        <f>IF($P463="","",INDEX(GL_Journal!$D:$D,$P463))</f>
        <v/>
      </c>
      <c r="C463" s="32">
        <f>IF($P463="","",INDEX(GL_Journal!$C:$C,$P463))</f>
        <v/>
      </c>
      <c r="D463" s="32">
        <f>IF($P463="","",INDEX(GL_Journal!$E:$E,$P463))</f>
        <v/>
      </c>
      <c r="E463" s="32">
        <f>IF($P463="","",INDEX(GL_Journal!$F:$F,$P463))</f>
        <v/>
      </c>
      <c r="F463" s="32">
        <f>IF($P463="","",INDEX(GL_Journal!$G:$G,$P463))</f>
        <v/>
      </c>
      <c r="G463" s="32">
        <f>IF($P463="","",INDEX(GL_Journal!$H:$H,$P463))</f>
        <v/>
      </c>
      <c r="H463" s="32">
        <f>IF($P463="","",INDEX(GL_Journal!$I:$I,$P463))</f>
        <v/>
      </c>
      <c r="I463" s="32">
        <f>IF($P463="","",INDEX(GL_Journal!$J:$J,$P463))</f>
        <v/>
      </c>
      <c r="J463" s="32">
        <f>IF($P463="","",INDEX(GL_Journal!$K:$K,$P463))</f>
        <v/>
      </c>
      <c r="K463" s="32">
        <f>IF($P463="","",INDEX(GL_Journal!$L:$L,$P463))</f>
        <v/>
      </c>
      <c r="L463" s="43">
        <f>IF($P463="","",INDEX(GL_Journal!$M:$M,$P463))</f>
        <v/>
      </c>
      <c r="M463" s="43">
        <f>IF($P463="","",INDEX(GL_Journal!$N:$N,$P463))</f>
        <v/>
      </c>
      <c r="N463" s="47">
        <f>IF($P463="","",IF($A463=1,LG_Open,$N462)+$L463-$M463)</f>
        <v/>
      </c>
      <c r="O463" s="32">
        <f>IF($A463&gt;COUNT(GL_Journal!$Y:$Y),"",SMALL(GL_Journal!$Y:$Y,$A463))</f>
        <v/>
      </c>
      <c r="P463" s="32">
        <f>IF($O463="","",MATCH($O463,GL_Journal!$Y:$Y,0))</f>
        <v/>
      </c>
      <c r="Q463" s="32" t="inlineStr"/>
    </row>
    <row r="464">
      <c r="A464" s="32">
        <f>ROW()-12</f>
        <v/>
      </c>
      <c r="B464" s="33">
        <f>IF($P464="","",INDEX(GL_Journal!$D:$D,$P464))</f>
        <v/>
      </c>
      <c r="C464" s="32">
        <f>IF($P464="","",INDEX(GL_Journal!$C:$C,$P464))</f>
        <v/>
      </c>
      <c r="D464" s="32">
        <f>IF($P464="","",INDEX(GL_Journal!$E:$E,$P464))</f>
        <v/>
      </c>
      <c r="E464" s="32">
        <f>IF($P464="","",INDEX(GL_Journal!$F:$F,$P464))</f>
        <v/>
      </c>
      <c r="F464" s="32">
        <f>IF($P464="","",INDEX(GL_Journal!$G:$G,$P464))</f>
        <v/>
      </c>
      <c r="G464" s="32">
        <f>IF($P464="","",INDEX(GL_Journal!$H:$H,$P464))</f>
        <v/>
      </c>
      <c r="H464" s="32">
        <f>IF($P464="","",INDEX(GL_Journal!$I:$I,$P464))</f>
        <v/>
      </c>
      <c r="I464" s="32">
        <f>IF($P464="","",INDEX(GL_Journal!$J:$J,$P464))</f>
        <v/>
      </c>
      <c r="J464" s="32">
        <f>IF($P464="","",INDEX(GL_Journal!$K:$K,$P464))</f>
        <v/>
      </c>
      <c r="K464" s="32">
        <f>IF($P464="","",INDEX(GL_Journal!$L:$L,$P464))</f>
        <v/>
      </c>
      <c r="L464" s="43">
        <f>IF($P464="","",INDEX(GL_Journal!$M:$M,$P464))</f>
        <v/>
      </c>
      <c r="M464" s="43">
        <f>IF($P464="","",INDEX(GL_Journal!$N:$N,$P464))</f>
        <v/>
      </c>
      <c r="N464" s="47">
        <f>IF($P464="","",IF($A464=1,LG_Open,$N463)+$L464-$M464)</f>
        <v/>
      </c>
      <c r="O464" s="32">
        <f>IF($A464&gt;COUNT(GL_Journal!$Y:$Y),"",SMALL(GL_Journal!$Y:$Y,$A464))</f>
        <v/>
      </c>
      <c r="P464" s="32">
        <f>IF($O464="","",MATCH($O464,GL_Journal!$Y:$Y,0))</f>
        <v/>
      </c>
      <c r="Q464" s="32" t="inlineStr"/>
    </row>
    <row r="465">
      <c r="A465" s="32">
        <f>ROW()-12</f>
        <v/>
      </c>
      <c r="B465" s="33">
        <f>IF($P465="","",INDEX(GL_Journal!$D:$D,$P465))</f>
        <v/>
      </c>
      <c r="C465" s="32">
        <f>IF($P465="","",INDEX(GL_Journal!$C:$C,$P465))</f>
        <v/>
      </c>
      <c r="D465" s="32">
        <f>IF($P465="","",INDEX(GL_Journal!$E:$E,$P465))</f>
        <v/>
      </c>
      <c r="E465" s="32">
        <f>IF($P465="","",INDEX(GL_Journal!$F:$F,$P465))</f>
        <v/>
      </c>
      <c r="F465" s="32">
        <f>IF($P465="","",INDEX(GL_Journal!$G:$G,$P465))</f>
        <v/>
      </c>
      <c r="G465" s="32">
        <f>IF($P465="","",INDEX(GL_Journal!$H:$H,$P465))</f>
        <v/>
      </c>
      <c r="H465" s="32">
        <f>IF($P465="","",INDEX(GL_Journal!$I:$I,$P465))</f>
        <v/>
      </c>
      <c r="I465" s="32">
        <f>IF($P465="","",INDEX(GL_Journal!$J:$J,$P465))</f>
        <v/>
      </c>
      <c r="J465" s="32">
        <f>IF($P465="","",INDEX(GL_Journal!$K:$K,$P465))</f>
        <v/>
      </c>
      <c r="K465" s="32">
        <f>IF($P465="","",INDEX(GL_Journal!$L:$L,$P465))</f>
        <v/>
      </c>
      <c r="L465" s="43">
        <f>IF($P465="","",INDEX(GL_Journal!$M:$M,$P465))</f>
        <v/>
      </c>
      <c r="M465" s="43">
        <f>IF($P465="","",INDEX(GL_Journal!$N:$N,$P465))</f>
        <v/>
      </c>
      <c r="N465" s="47">
        <f>IF($P465="","",IF($A465=1,LG_Open,$N464)+$L465-$M465)</f>
        <v/>
      </c>
      <c r="O465" s="32">
        <f>IF($A465&gt;COUNT(GL_Journal!$Y:$Y),"",SMALL(GL_Journal!$Y:$Y,$A465))</f>
        <v/>
      </c>
      <c r="P465" s="32">
        <f>IF($O465="","",MATCH($O465,GL_Journal!$Y:$Y,0))</f>
        <v/>
      </c>
      <c r="Q465" s="32" t="inlineStr"/>
    </row>
    <row r="466">
      <c r="A466" s="32">
        <f>ROW()-12</f>
        <v/>
      </c>
      <c r="B466" s="33">
        <f>IF($P466="","",INDEX(GL_Journal!$D:$D,$P466))</f>
        <v/>
      </c>
      <c r="C466" s="32">
        <f>IF($P466="","",INDEX(GL_Journal!$C:$C,$P466))</f>
        <v/>
      </c>
      <c r="D466" s="32">
        <f>IF($P466="","",INDEX(GL_Journal!$E:$E,$P466))</f>
        <v/>
      </c>
      <c r="E466" s="32">
        <f>IF($P466="","",INDEX(GL_Journal!$F:$F,$P466))</f>
        <v/>
      </c>
      <c r="F466" s="32">
        <f>IF($P466="","",INDEX(GL_Journal!$G:$G,$P466))</f>
        <v/>
      </c>
      <c r="G466" s="32">
        <f>IF($P466="","",INDEX(GL_Journal!$H:$H,$P466))</f>
        <v/>
      </c>
      <c r="H466" s="32">
        <f>IF($P466="","",INDEX(GL_Journal!$I:$I,$P466))</f>
        <v/>
      </c>
      <c r="I466" s="32">
        <f>IF($P466="","",INDEX(GL_Journal!$J:$J,$P466))</f>
        <v/>
      </c>
      <c r="J466" s="32">
        <f>IF($P466="","",INDEX(GL_Journal!$K:$K,$P466))</f>
        <v/>
      </c>
      <c r="K466" s="32">
        <f>IF($P466="","",INDEX(GL_Journal!$L:$L,$P466))</f>
        <v/>
      </c>
      <c r="L466" s="43">
        <f>IF($P466="","",INDEX(GL_Journal!$M:$M,$P466))</f>
        <v/>
      </c>
      <c r="M466" s="43">
        <f>IF($P466="","",INDEX(GL_Journal!$N:$N,$P466))</f>
        <v/>
      </c>
      <c r="N466" s="47">
        <f>IF($P466="","",IF($A466=1,LG_Open,$N465)+$L466-$M466)</f>
        <v/>
      </c>
      <c r="O466" s="32">
        <f>IF($A466&gt;COUNT(GL_Journal!$Y:$Y),"",SMALL(GL_Journal!$Y:$Y,$A466))</f>
        <v/>
      </c>
      <c r="P466" s="32">
        <f>IF($O466="","",MATCH($O466,GL_Journal!$Y:$Y,0))</f>
        <v/>
      </c>
      <c r="Q466" s="32" t="inlineStr"/>
    </row>
    <row r="467">
      <c r="A467" s="32">
        <f>ROW()-12</f>
        <v/>
      </c>
      <c r="B467" s="33">
        <f>IF($P467="","",INDEX(GL_Journal!$D:$D,$P467))</f>
        <v/>
      </c>
      <c r="C467" s="32">
        <f>IF($P467="","",INDEX(GL_Journal!$C:$C,$P467))</f>
        <v/>
      </c>
      <c r="D467" s="32">
        <f>IF($P467="","",INDEX(GL_Journal!$E:$E,$P467))</f>
        <v/>
      </c>
      <c r="E467" s="32">
        <f>IF($P467="","",INDEX(GL_Journal!$F:$F,$P467))</f>
        <v/>
      </c>
      <c r="F467" s="32">
        <f>IF($P467="","",INDEX(GL_Journal!$G:$G,$P467))</f>
        <v/>
      </c>
      <c r="G467" s="32">
        <f>IF($P467="","",INDEX(GL_Journal!$H:$H,$P467))</f>
        <v/>
      </c>
      <c r="H467" s="32">
        <f>IF($P467="","",INDEX(GL_Journal!$I:$I,$P467))</f>
        <v/>
      </c>
      <c r="I467" s="32">
        <f>IF($P467="","",INDEX(GL_Journal!$J:$J,$P467))</f>
        <v/>
      </c>
      <c r="J467" s="32">
        <f>IF($P467="","",INDEX(GL_Journal!$K:$K,$P467))</f>
        <v/>
      </c>
      <c r="K467" s="32">
        <f>IF($P467="","",INDEX(GL_Journal!$L:$L,$P467))</f>
        <v/>
      </c>
      <c r="L467" s="43">
        <f>IF($P467="","",INDEX(GL_Journal!$M:$M,$P467))</f>
        <v/>
      </c>
      <c r="M467" s="43">
        <f>IF($P467="","",INDEX(GL_Journal!$N:$N,$P467))</f>
        <v/>
      </c>
      <c r="N467" s="47">
        <f>IF($P467="","",IF($A467=1,LG_Open,$N466)+$L467-$M467)</f>
        <v/>
      </c>
      <c r="O467" s="32">
        <f>IF($A467&gt;COUNT(GL_Journal!$Y:$Y),"",SMALL(GL_Journal!$Y:$Y,$A467))</f>
        <v/>
      </c>
      <c r="P467" s="32">
        <f>IF($O467="","",MATCH($O467,GL_Journal!$Y:$Y,0))</f>
        <v/>
      </c>
      <c r="Q467" s="32" t="inlineStr"/>
    </row>
    <row r="468">
      <c r="A468" s="32">
        <f>ROW()-12</f>
        <v/>
      </c>
      <c r="B468" s="33">
        <f>IF($P468="","",INDEX(GL_Journal!$D:$D,$P468))</f>
        <v/>
      </c>
      <c r="C468" s="32">
        <f>IF($P468="","",INDEX(GL_Journal!$C:$C,$P468))</f>
        <v/>
      </c>
      <c r="D468" s="32">
        <f>IF($P468="","",INDEX(GL_Journal!$E:$E,$P468))</f>
        <v/>
      </c>
      <c r="E468" s="32">
        <f>IF($P468="","",INDEX(GL_Journal!$F:$F,$P468))</f>
        <v/>
      </c>
      <c r="F468" s="32">
        <f>IF($P468="","",INDEX(GL_Journal!$G:$G,$P468))</f>
        <v/>
      </c>
      <c r="G468" s="32">
        <f>IF($P468="","",INDEX(GL_Journal!$H:$H,$P468))</f>
        <v/>
      </c>
      <c r="H468" s="32">
        <f>IF($P468="","",INDEX(GL_Journal!$I:$I,$P468))</f>
        <v/>
      </c>
      <c r="I468" s="32">
        <f>IF($P468="","",INDEX(GL_Journal!$J:$J,$P468))</f>
        <v/>
      </c>
      <c r="J468" s="32">
        <f>IF($P468="","",INDEX(GL_Journal!$K:$K,$P468))</f>
        <v/>
      </c>
      <c r="K468" s="32">
        <f>IF($P468="","",INDEX(GL_Journal!$L:$L,$P468))</f>
        <v/>
      </c>
      <c r="L468" s="43">
        <f>IF($P468="","",INDEX(GL_Journal!$M:$M,$P468))</f>
        <v/>
      </c>
      <c r="M468" s="43">
        <f>IF($P468="","",INDEX(GL_Journal!$N:$N,$P468))</f>
        <v/>
      </c>
      <c r="N468" s="47">
        <f>IF($P468="","",IF($A468=1,LG_Open,$N467)+$L468-$M468)</f>
        <v/>
      </c>
      <c r="O468" s="32">
        <f>IF($A468&gt;COUNT(GL_Journal!$Y:$Y),"",SMALL(GL_Journal!$Y:$Y,$A468))</f>
        <v/>
      </c>
      <c r="P468" s="32">
        <f>IF($O468="","",MATCH($O468,GL_Journal!$Y:$Y,0))</f>
        <v/>
      </c>
      <c r="Q468" s="32" t="inlineStr"/>
    </row>
    <row r="469">
      <c r="A469" s="32">
        <f>ROW()-12</f>
        <v/>
      </c>
      <c r="B469" s="33">
        <f>IF($P469="","",INDEX(GL_Journal!$D:$D,$P469))</f>
        <v/>
      </c>
      <c r="C469" s="32">
        <f>IF($P469="","",INDEX(GL_Journal!$C:$C,$P469))</f>
        <v/>
      </c>
      <c r="D469" s="32">
        <f>IF($P469="","",INDEX(GL_Journal!$E:$E,$P469))</f>
        <v/>
      </c>
      <c r="E469" s="32">
        <f>IF($P469="","",INDEX(GL_Journal!$F:$F,$P469))</f>
        <v/>
      </c>
      <c r="F469" s="32">
        <f>IF($P469="","",INDEX(GL_Journal!$G:$G,$P469))</f>
        <v/>
      </c>
      <c r="G469" s="32">
        <f>IF($P469="","",INDEX(GL_Journal!$H:$H,$P469))</f>
        <v/>
      </c>
      <c r="H469" s="32">
        <f>IF($P469="","",INDEX(GL_Journal!$I:$I,$P469))</f>
        <v/>
      </c>
      <c r="I469" s="32">
        <f>IF($P469="","",INDEX(GL_Journal!$J:$J,$P469))</f>
        <v/>
      </c>
      <c r="J469" s="32">
        <f>IF($P469="","",INDEX(GL_Journal!$K:$K,$P469))</f>
        <v/>
      </c>
      <c r="K469" s="32">
        <f>IF($P469="","",INDEX(GL_Journal!$L:$L,$P469))</f>
        <v/>
      </c>
      <c r="L469" s="43">
        <f>IF($P469="","",INDEX(GL_Journal!$M:$M,$P469))</f>
        <v/>
      </c>
      <c r="M469" s="43">
        <f>IF($P469="","",INDEX(GL_Journal!$N:$N,$P469))</f>
        <v/>
      </c>
      <c r="N469" s="47">
        <f>IF($P469="","",IF($A469=1,LG_Open,$N468)+$L469-$M469)</f>
        <v/>
      </c>
      <c r="O469" s="32">
        <f>IF($A469&gt;COUNT(GL_Journal!$Y:$Y),"",SMALL(GL_Journal!$Y:$Y,$A469))</f>
        <v/>
      </c>
      <c r="P469" s="32">
        <f>IF($O469="","",MATCH($O469,GL_Journal!$Y:$Y,0))</f>
        <v/>
      </c>
      <c r="Q469" s="32" t="inlineStr"/>
    </row>
    <row r="470">
      <c r="A470" s="32">
        <f>ROW()-12</f>
        <v/>
      </c>
      <c r="B470" s="33">
        <f>IF($P470="","",INDEX(GL_Journal!$D:$D,$P470))</f>
        <v/>
      </c>
      <c r="C470" s="32">
        <f>IF($P470="","",INDEX(GL_Journal!$C:$C,$P470))</f>
        <v/>
      </c>
      <c r="D470" s="32">
        <f>IF($P470="","",INDEX(GL_Journal!$E:$E,$P470))</f>
        <v/>
      </c>
      <c r="E470" s="32">
        <f>IF($P470="","",INDEX(GL_Journal!$F:$F,$P470))</f>
        <v/>
      </c>
      <c r="F470" s="32">
        <f>IF($P470="","",INDEX(GL_Journal!$G:$G,$P470))</f>
        <v/>
      </c>
      <c r="G470" s="32">
        <f>IF($P470="","",INDEX(GL_Journal!$H:$H,$P470))</f>
        <v/>
      </c>
      <c r="H470" s="32">
        <f>IF($P470="","",INDEX(GL_Journal!$I:$I,$P470))</f>
        <v/>
      </c>
      <c r="I470" s="32">
        <f>IF($P470="","",INDEX(GL_Journal!$J:$J,$P470))</f>
        <v/>
      </c>
      <c r="J470" s="32">
        <f>IF($P470="","",INDEX(GL_Journal!$K:$K,$P470))</f>
        <v/>
      </c>
      <c r="K470" s="32">
        <f>IF($P470="","",INDEX(GL_Journal!$L:$L,$P470))</f>
        <v/>
      </c>
      <c r="L470" s="43">
        <f>IF($P470="","",INDEX(GL_Journal!$M:$M,$P470))</f>
        <v/>
      </c>
      <c r="M470" s="43">
        <f>IF($P470="","",INDEX(GL_Journal!$N:$N,$P470))</f>
        <v/>
      </c>
      <c r="N470" s="47">
        <f>IF($P470="","",IF($A470=1,LG_Open,$N469)+$L470-$M470)</f>
        <v/>
      </c>
      <c r="O470" s="32">
        <f>IF($A470&gt;COUNT(GL_Journal!$Y:$Y),"",SMALL(GL_Journal!$Y:$Y,$A470))</f>
        <v/>
      </c>
      <c r="P470" s="32">
        <f>IF($O470="","",MATCH($O470,GL_Journal!$Y:$Y,0))</f>
        <v/>
      </c>
      <c r="Q470" s="32" t="inlineStr"/>
    </row>
    <row r="471">
      <c r="A471" s="32">
        <f>ROW()-12</f>
        <v/>
      </c>
      <c r="B471" s="33">
        <f>IF($P471="","",INDEX(GL_Journal!$D:$D,$P471))</f>
        <v/>
      </c>
      <c r="C471" s="32">
        <f>IF($P471="","",INDEX(GL_Journal!$C:$C,$P471))</f>
        <v/>
      </c>
      <c r="D471" s="32">
        <f>IF($P471="","",INDEX(GL_Journal!$E:$E,$P471))</f>
        <v/>
      </c>
      <c r="E471" s="32">
        <f>IF($P471="","",INDEX(GL_Journal!$F:$F,$P471))</f>
        <v/>
      </c>
      <c r="F471" s="32">
        <f>IF($P471="","",INDEX(GL_Journal!$G:$G,$P471))</f>
        <v/>
      </c>
      <c r="G471" s="32">
        <f>IF($P471="","",INDEX(GL_Journal!$H:$H,$P471))</f>
        <v/>
      </c>
      <c r="H471" s="32">
        <f>IF($P471="","",INDEX(GL_Journal!$I:$I,$P471))</f>
        <v/>
      </c>
      <c r="I471" s="32">
        <f>IF($P471="","",INDEX(GL_Journal!$J:$J,$P471))</f>
        <v/>
      </c>
      <c r="J471" s="32">
        <f>IF($P471="","",INDEX(GL_Journal!$K:$K,$P471))</f>
        <v/>
      </c>
      <c r="K471" s="32">
        <f>IF($P471="","",INDEX(GL_Journal!$L:$L,$P471))</f>
        <v/>
      </c>
      <c r="L471" s="43">
        <f>IF($P471="","",INDEX(GL_Journal!$M:$M,$P471))</f>
        <v/>
      </c>
      <c r="M471" s="43">
        <f>IF($P471="","",INDEX(GL_Journal!$N:$N,$P471))</f>
        <v/>
      </c>
      <c r="N471" s="47">
        <f>IF($P471="","",IF($A471=1,LG_Open,$N470)+$L471-$M471)</f>
        <v/>
      </c>
      <c r="O471" s="32">
        <f>IF($A471&gt;COUNT(GL_Journal!$Y:$Y),"",SMALL(GL_Journal!$Y:$Y,$A471))</f>
        <v/>
      </c>
      <c r="P471" s="32">
        <f>IF($O471="","",MATCH($O471,GL_Journal!$Y:$Y,0))</f>
        <v/>
      </c>
      <c r="Q471" s="32" t="inlineStr"/>
    </row>
    <row r="472">
      <c r="A472" s="32">
        <f>ROW()-12</f>
        <v/>
      </c>
      <c r="B472" s="33">
        <f>IF($P472="","",INDEX(GL_Journal!$D:$D,$P472))</f>
        <v/>
      </c>
      <c r="C472" s="32">
        <f>IF($P472="","",INDEX(GL_Journal!$C:$C,$P472))</f>
        <v/>
      </c>
      <c r="D472" s="32">
        <f>IF($P472="","",INDEX(GL_Journal!$E:$E,$P472))</f>
        <v/>
      </c>
      <c r="E472" s="32">
        <f>IF($P472="","",INDEX(GL_Journal!$F:$F,$P472))</f>
        <v/>
      </c>
      <c r="F472" s="32">
        <f>IF($P472="","",INDEX(GL_Journal!$G:$G,$P472))</f>
        <v/>
      </c>
      <c r="G472" s="32">
        <f>IF($P472="","",INDEX(GL_Journal!$H:$H,$P472))</f>
        <v/>
      </c>
      <c r="H472" s="32">
        <f>IF($P472="","",INDEX(GL_Journal!$I:$I,$P472))</f>
        <v/>
      </c>
      <c r="I472" s="32">
        <f>IF($P472="","",INDEX(GL_Journal!$J:$J,$P472))</f>
        <v/>
      </c>
      <c r="J472" s="32">
        <f>IF($P472="","",INDEX(GL_Journal!$K:$K,$P472))</f>
        <v/>
      </c>
      <c r="K472" s="32">
        <f>IF($P472="","",INDEX(GL_Journal!$L:$L,$P472))</f>
        <v/>
      </c>
      <c r="L472" s="43">
        <f>IF($P472="","",INDEX(GL_Journal!$M:$M,$P472))</f>
        <v/>
      </c>
      <c r="M472" s="43">
        <f>IF($P472="","",INDEX(GL_Journal!$N:$N,$P472))</f>
        <v/>
      </c>
      <c r="N472" s="47">
        <f>IF($P472="","",IF($A472=1,LG_Open,$N471)+$L472-$M472)</f>
        <v/>
      </c>
      <c r="O472" s="32">
        <f>IF($A472&gt;COUNT(GL_Journal!$Y:$Y),"",SMALL(GL_Journal!$Y:$Y,$A472))</f>
        <v/>
      </c>
      <c r="P472" s="32">
        <f>IF($O472="","",MATCH($O472,GL_Journal!$Y:$Y,0))</f>
        <v/>
      </c>
      <c r="Q472" s="32" t="inlineStr"/>
    </row>
    <row r="473">
      <c r="A473" s="32">
        <f>ROW()-12</f>
        <v/>
      </c>
      <c r="B473" s="33">
        <f>IF($P473="","",INDEX(GL_Journal!$D:$D,$P473))</f>
        <v/>
      </c>
      <c r="C473" s="32">
        <f>IF($P473="","",INDEX(GL_Journal!$C:$C,$P473))</f>
        <v/>
      </c>
      <c r="D473" s="32">
        <f>IF($P473="","",INDEX(GL_Journal!$E:$E,$P473))</f>
        <v/>
      </c>
      <c r="E473" s="32">
        <f>IF($P473="","",INDEX(GL_Journal!$F:$F,$P473))</f>
        <v/>
      </c>
      <c r="F473" s="32">
        <f>IF($P473="","",INDEX(GL_Journal!$G:$G,$P473))</f>
        <v/>
      </c>
      <c r="G473" s="32">
        <f>IF($P473="","",INDEX(GL_Journal!$H:$H,$P473))</f>
        <v/>
      </c>
      <c r="H473" s="32">
        <f>IF($P473="","",INDEX(GL_Journal!$I:$I,$P473))</f>
        <v/>
      </c>
      <c r="I473" s="32">
        <f>IF($P473="","",INDEX(GL_Journal!$J:$J,$P473))</f>
        <v/>
      </c>
      <c r="J473" s="32">
        <f>IF($P473="","",INDEX(GL_Journal!$K:$K,$P473))</f>
        <v/>
      </c>
      <c r="K473" s="32">
        <f>IF($P473="","",INDEX(GL_Journal!$L:$L,$P473))</f>
        <v/>
      </c>
      <c r="L473" s="43">
        <f>IF($P473="","",INDEX(GL_Journal!$M:$M,$P473))</f>
        <v/>
      </c>
      <c r="M473" s="43">
        <f>IF($P473="","",INDEX(GL_Journal!$N:$N,$P473))</f>
        <v/>
      </c>
      <c r="N473" s="47">
        <f>IF($P473="","",IF($A473=1,LG_Open,$N472)+$L473-$M473)</f>
        <v/>
      </c>
      <c r="O473" s="32">
        <f>IF($A473&gt;COUNT(GL_Journal!$Y:$Y),"",SMALL(GL_Journal!$Y:$Y,$A473))</f>
        <v/>
      </c>
      <c r="P473" s="32">
        <f>IF($O473="","",MATCH($O473,GL_Journal!$Y:$Y,0))</f>
        <v/>
      </c>
      <c r="Q473" s="32" t="inlineStr"/>
    </row>
    <row r="474">
      <c r="A474" s="32">
        <f>ROW()-12</f>
        <v/>
      </c>
      <c r="B474" s="33">
        <f>IF($P474="","",INDEX(GL_Journal!$D:$D,$P474))</f>
        <v/>
      </c>
      <c r="C474" s="32">
        <f>IF($P474="","",INDEX(GL_Journal!$C:$C,$P474))</f>
        <v/>
      </c>
      <c r="D474" s="32">
        <f>IF($P474="","",INDEX(GL_Journal!$E:$E,$P474))</f>
        <v/>
      </c>
      <c r="E474" s="32">
        <f>IF($P474="","",INDEX(GL_Journal!$F:$F,$P474))</f>
        <v/>
      </c>
      <c r="F474" s="32">
        <f>IF($P474="","",INDEX(GL_Journal!$G:$G,$P474))</f>
        <v/>
      </c>
      <c r="G474" s="32">
        <f>IF($P474="","",INDEX(GL_Journal!$H:$H,$P474))</f>
        <v/>
      </c>
      <c r="H474" s="32">
        <f>IF($P474="","",INDEX(GL_Journal!$I:$I,$P474))</f>
        <v/>
      </c>
      <c r="I474" s="32">
        <f>IF($P474="","",INDEX(GL_Journal!$J:$J,$P474))</f>
        <v/>
      </c>
      <c r="J474" s="32">
        <f>IF($P474="","",INDEX(GL_Journal!$K:$K,$P474))</f>
        <v/>
      </c>
      <c r="K474" s="32">
        <f>IF($P474="","",INDEX(GL_Journal!$L:$L,$P474))</f>
        <v/>
      </c>
      <c r="L474" s="43">
        <f>IF($P474="","",INDEX(GL_Journal!$M:$M,$P474))</f>
        <v/>
      </c>
      <c r="M474" s="43">
        <f>IF($P474="","",INDEX(GL_Journal!$N:$N,$P474))</f>
        <v/>
      </c>
      <c r="N474" s="47">
        <f>IF($P474="","",IF($A474=1,LG_Open,$N473)+$L474-$M474)</f>
        <v/>
      </c>
      <c r="O474" s="32">
        <f>IF($A474&gt;COUNT(GL_Journal!$Y:$Y),"",SMALL(GL_Journal!$Y:$Y,$A474))</f>
        <v/>
      </c>
      <c r="P474" s="32">
        <f>IF($O474="","",MATCH($O474,GL_Journal!$Y:$Y,0))</f>
        <v/>
      </c>
      <c r="Q474" s="32" t="inlineStr"/>
    </row>
    <row r="475">
      <c r="A475" s="32">
        <f>ROW()-12</f>
        <v/>
      </c>
      <c r="B475" s="33">
        <f>IF($P475="","",INDEX(GL_Journal!$D:$D,$P475))</f>
        <v/>
      </c>
      <c r="C475" s="32">
        <f>IF($P475="","",INDEX(GL_Journal!$C:$C,$P475))</f>
        <v/>
      </c>
      <c r="D475" s="32">
        <f>IF($P475="","",INDEX(GL_Journal!$E:$E,$P475))</f>
        <v/>
      </c>
      <c r="E475" s="32">
        <f>IF($P475="","",INDEX(GL_Journal!$F:$F,$P475))</f>
        <v/>
      </c>
      <c r="F475" s="32">
        <f>IF($P475="","",INDEX(GL_Journal!$G:$G,$P475))</f>
        <v/>
      </c>
      <c r="G475" s="32">
        <f>IF($P475="","",INDEX(GL_Journal!$H:$H,$P475))</f>
        <v/>
      </c>
      <c r="H475" s="32">
        <f>IF($P475="","",INDEX(GL_Journal!$I:$I,$P475))</f>
        <v/>
      </c>
      <c r="I475" s="32">
        <f>IF($P475="","",INDEX(GL_Journal!$J:$J,$P475))</f>
        <v/>
      </c>
      <c r="J475" s="32">
        <f>IF($P475="","",INDEX(GL_Journal!$K:$K,$P475))</f>
        <v/>
      </c>
      <c r="K475" s="32">
        <f>IF($P475="","",INDEX(GL_Journal!$L:$L,$P475))</f>
        <v/>
      </c>
      <c r="L475" s="43">
        <f>IF($P475="","",INDEX(GL_Journal!$M:$M,$P475))</f>
        <v/>
      </c>
      <c r="M475" s="43">
        <f>IF($P475="","",INDEX(GL_Journal!$N:$N,$P475))</f>
        <v/>
      </c>
      <c r="N475" s="47">
        <f>IF($P475="","",IF($A475=1,LG_Open,$N474)+$L475-$M475)</f>
        <v/>
      </c>
      <c r="O475" s="32">
        <f>IF($A475&gt;COUNT(GL_Journal!$Y:$Y),"",SMALL(GL_Journal!$Y:$Y,$A475))</f>
        <v/>
      </c>
      <c r="P475" s="32">
        <f>IF($O475="","",MATCH($O475,GL_Journal!$Y:$Y,0))</f>
        <v/>
      </c>
      <c r="Q475" s="32" t="inlineStr"/>
    </row>
    <row r="476">
      <c r="A476" s="32">
        <f>ROW()-12</f>
        <v/>
      </c>
      <c r="B476" s="33">
        <f>IF($P476="","",INDEX(GL_Journal!$D:$D,$P476))</f>
        <v/>
      </c>
      <c r="C476" s="32">
        <f>IF($P476="","",INDEX(GL_Journal!$C:$C,$P476))</f>
        <v/>
      </c>
      <c r="D476" s="32">
        <f>IF($P476="","",INDEX(GL_Journal!$E:$E,$P476))</f>
        <v/>
      </c>
      <c r="E476" s="32">
        <f>IF($P476="","",INDEX(GL_Journal!$F:$F,$P476))</f>
        <v/>
      </c>
      <c r="F476" s="32">
        <f>IF($P476="","",INDEX(GL_Journal!$G:$G,$P476))</f>
        <v/>
      </c>
      <c r="G476" s="32">
        <f>IF($P476="","",INDEX(GL_Journal!$H:$H,$P476))</f>
        <v/>
      </c>
      <c r="H476" s="32">
        <f>IF($P476="","",INDEX(GL_Journal!$I:$I,$P476))</f>
        <v/>
      </c>
      <c r="I476" s="32">
        <f>IF($P476="","",INDEX(GL_Journal!$J:$J,$P476))</f>
        <v/>
      </c>
      <c r="J476" s="32">
        <f>IF($P476="","",INDEX(GL_Journal!$K:$K,$P476))</f>
        <v/>
      </c>
      <c r="K476" s="32">
        <f>IF($P476="","",INDEX(GL_Journal!$L:$L,$P476))</f>
        <v/>
      </c>
      <c r="L476" s="43">
        <f>IF($P476="","",INDEX(GL_Journal!$M:$M,$P476))</f>
        <v/>
      </c>
      <c r="M476" s="43">
        <f>IF($P476="","",INDEX(GL_Journal!$N:$N,$P476))</f>
        <v/>
      </c>
      <c r="N476" s="47">
        <f>IF($P476="","",IF($A476=1,LG_Open,$N475)+$L476-$M476)</f>
        <v/>
      </c>
      <c r="O476" s="32">
        <f>IF($A476&gt;COUNT(GL_Journal!$Y:$Y),"",SMALL(GL_Journal!$Y:$Y,$A476))</f>
        <v/>
      </c>
      <c r="P476" s="32">
        <f>IF($O476="","",MATCH($O476,GL_Journal!$Y:$Y,0))</f>
        <v/>
      </c>
      <c r="Q476" s="32" t="inlineStr"/>
    </row>
    <row r="477">
      <c r="A477" s="32">
        <f>ROW()-12</f>
        <v/>
      </c>
      <c r="B477" s="33">
        <f>IF($P477="","",INDEX(GL_Journal!$D:$D,$P477))</f>
        <v/>
      </c>
      <c r="C477" s="32">
        <f>IF($P477="","",INDEX(GL_Journal!$C:$C,$P477))</f>
        <v/>
      </c>
      <c r="D477" s="32">
        <f>IF($P477="","",INDEX(GL_Journal!$E:$E,$P477))</f>
        <v/>
      </c>
      <c r="E477" s="32">
        <f>IF($P477="","",INDEX(GL_Journal!$F:$F,$P477))</f>
        <v/>
      </c>
      <c r="F477" s="32">
        <f>IF($P477="","",INDEX(GL_Journal!$G:$G,$P477))</f>
        <v/>
      </c>
      <c r="G477" s="32">
        <f>IF($P477="","",INDEX(GL_Journal!$H:$H,$P477))</f>
        <v/>
      </c>
      <c r="H477" s="32">
        <f>IF($P477="","",INDEX(GL_Journal!$I:$I,$P477))</f>
        <v/>
      </c>
      <c r="I477" s="32">
        <f>IF($P477="","",INDEX(GL_Journal!$J:$J,$P477))</f>
        <v/>
      </c>
      <c r="J477" s="32">
        <f>IF($P477="","",INDEX(GL_Journal!$K:$K,$P477))</f>
        <v/>
      </c>
      <c r="K477" s="32">
        <f>IF($P477="","",INDEX(GL_Journal!$L:$L,$P477))</f>
        <v/>
      </c>
      <c r="L477" s="43">
        <f>IF($P477="","",INDEX(GL_Journal!$M:$M,$P477))</f>
        <v/>
      </c>
      <c r="M477" s="43">
        <f>IF($P477="","",INDEX(GL_Journal!$N:$N,$P477))</f>
        <v/>
      </c>
      <c r="N477" s="47">
        <f>IF($P477="","",IF($A477=1,LG_Open,$N476)+$L477-$M477)</f>
        <v/>
      </c>
      <c r="O477" s="32">
        <f>IF($A477&gt;COUNT(GL_Journal!$Y:$Y),"",SMALL(GL_Journal!$Y:$Y,$A477))</f>
        <v/>
      </c>
      <c r="P477" s="32">
        <f>IF($O477="","",MATCH($O477,GL_Journal!$Y:$Y,0))</f>
        <v/>
      </c>
      <c r="Q477" s="32" t="inlineStr"/>
    </row>
    <row r="478">
      <c r="A478" s="32">
        <f>ROW()-12</f>
        <v/>
      </c>
      <c r="B478" s="33">
        <f>IF($P478="","",INDEX(GL_Journal!$D:$D,$P478))</f>
        <v/>
      </c>
      <c r="C478" s="32">
        <f>IF($P478="","",INDEX(GL_Journal!$C:$C,$P478))</f>
        <v/>
      </c>
      <c r="D478" s="32">
        <f>IF($P478="","",INDEX(GL_Journal!$E:$E,$P478))</f>
        <v/>
      </c>
      <c r="E478" s="32">
        <f>IF($P478="","",INDEX(GL_Journal!$F:$F,$P478))</f>
        <v/>
      </c>
      <c r="F478" s="32">
        <f>IF($P478="","",INDEX(GL_Journal!$G:$G,$P478))</f>
        <v/>
      </c>
      <c r="G478" s="32">
        <f>IF($P478="","",INDEX(GL_Journal!$H:$H,$P478))</f>
        <v/>
      </c>
      <c r="H478" s="32">
        <f>IF($P478="","",INDEX(GL_Journal!$I:$I,$P478))</f>
        <v/>
      </c>
      <c r="I478" s="32">
        <f>IF($P478="","",INDEX(GL_Journal!$J:$J,$P478))</f>
        <v/>
      </c>
      <c r="J478" s="32">
        <f>IF($P478="","",INDEX(GL_Journal!$K:$K,$P478))</f>
        <v/>
      </c>
      <c r="K478" s="32">
        <f>IF($P478="","",INDEX(GL_Journal!$L:$L,$P478))</f>
        <v/>
      </c>
      <c r="L478" s="43">
        <f>IF($P478="","",INDEX(GL_Journal!$M:$M,$P478))</f>
        <v/>
      </c>
      <c r="M478" s="43">
        <f>IF($P478="","",INDEX(GL_Journal!$N:$N,$P478))</f>
        <v/>
      </c>
      <c r="N478" s="47">
        <f>IF($P478="","",IF($A478=1,LG_Open,$N477)+$L478-$M478)</f>
        <v/>
      </c>
      <c r="O478" s="32">
        <f>IF($A478&gt;COUNT(GL_Journal!$Y:$Y),"",SMALL(GL_Journal!$Y:$Y,$A478))</f>
        <v/>
      </c>
      <c r="P478" s="32">
        <f>IF($O478="","",MATCH($O478,GL_Journal!$Y:$Y,0))</f>
        <v/>
      </c>
      <c r="Q478" s="32" t="inlineStr"/>
    </row>
    <row r="479">
      <c r="A479" s="32">
        <f>ROW()-12</f>
        <v/>
      </c>
      <c r="B479" s="33">
        <f>IF($P479="","",INDEX(GL_Journal!$D:$D,$P479))</f>
        <v/>
      </c>
      <c r="C479" s="32">
        <f>IF($P479="","",INDEX(GL_Journal!$C:$C,$P479))</f>
        <v/>
      </c>
      <c r="D479" s="32">
        <f>IF($P479="","",INDEX(GL_Journal!$E:$E,$P479))</f>
        <v/>
      </c>
      <c r="E479" s="32">
        <f>IF($P479="","",INDEX(GL_Journal!$F:$F,$P479))</f>
        <v/>
      </c>
      <c r="F479" s="32">
        <f>IF($P479="","",INDEX(GL_Journal!$G:$G,$P479))</f>
        <v/>
      </c>
      <c r="G479" s="32">
        <f>IF($P479="","",INDEX(GL_Journal!$H:$H,$P479))</f>
        <v/>
      </c>
      <c r="H479" s="32">
        <f>IF($P479="","",INDEX(GL_Journal!$I:$I,$P479))</f>
        <v/>
      </c>
      <c r="I479" s="32">
        <f>IF($P479="","",INDEX(GL_Journal!$J:$J,$P479))</f>
        <v/>
      </c>
      <c r="J479" s="32">
        <f>IF($P479="","",INDEX(GL_Journal!$K:$K,$P479))</f>
        <v/>
      </c>
      <c r="K479" s="32">
        <f>IF($P479="","",INDEX(GL_Journal!$L:$L,$P479))</f>
        <v/>
      </c>
      <c r="L479" s="43">
        <f>IF($P479="","",INDEX(GL_Journal!$M:$M,$P479))</f>
        <v/>
      </c>
      <c r="M479" s="43">
        <f>IF($P479="","",INDEX(GL_Journal!$N:$N,$P479))</f>
        <v/>
      </c>
      <c r="N479" s="47">
        <f>IF($P479="","",IF($A479=1,LG_Open,$N478)+$L479-$M479)</f>
        <v/>
      </c>
      <c r="O479" s="32">
        <f>IF($A479&gt;COUNT(GL_Journal!$Y:$Y),"",SMALL(GL_Journal!$Y:$Y,$A479))</f>
        <v/>
      </c>
      <c r="P479" s="32">
        <f>IF($O479="","",MATCH($O479,GL_Journal!$Y:$Y,0))</f>
        <v/>
      </c>
      <c r="Q479" s="32" t="inlineStr"/>
    </row>
    <row r="480">
      <c r="A480" s="32">
        <f>ROW()-12</f>
        <v/>
      </c>
      <c r="B480" s="33">
        <f>IF($P480="","",INDEX(GL_Journal!$D:$D,$P480))</f>
        <v/>
      </c>
      <c r="C480" s="32">
        <f>IF($P480="","",INDEX(GL_Journal!$C:$C,$P480))</f>
        <v/>
      </c>
      <c r="D480" s="32">
        <f>IF($P480="","",INDEX(GL_Journal!$E:$E,$P480))</f>
        <v/>
      </c>
      <c r="E480" s="32">
        <f>IF($P480="","",INDEX(GL_Journal!$F:$F,$P480))</f>
        <v/>
      </c>
      <c r="F480" s="32">
        <f>IF($P480="","",INDEX(GL_Journal!$G:$G,$P480))</f>
        <v/>
      </c>
      <c r="G480" s="32">
        <f>IF($P480="","",INDEX(GL_Journal!$H:$H,$P480))</f>
        <v/>
      </c>
      <c r="H480" s="32">
        <f>IF($P480="","",INDEX(GL_Journal!$I:$I,$P480))</f>
        <v/>
      </c>
      <c r="I480" s="32">
        <f>IF($P480="","",INDEX(GL_Journal!$J:$J,$P480))</f>
        <v/>
      </c>
      <c r="J480" s="32">
        <f>IF($P480="","",INDEX(GL_Journal!$K:$K,$P480))</f>
        <v/>
      </c>
      <c r="K480" s="32">
        <f>IF($P480="","",INDEX(GL_Journal!$L:$L,$P480))</f>
        <v/>
      </c>
      <c r="L480" s="43">
        <f>IF($P480="","",INDEX(GL_Journal!$M:$M,$P480))</f>
        <v/>
      </c>
      <c r="M480" s="43">
        <f>IF($P480="","",INDEX(GL_Journal!$N:$N,$P480))</f>
        <v/>
      </c>
      <c r="N480" s="47">
        <f>IF($P480="","",IF($A480=1,LG_Open,$N479)+$L480-$M480)</f>
        <v/>
      </c>
      <c r="O480" s="32">
        <f>IF($A480&gt;COUNT(GL_Journal!$Y:$Y),"",SMALL(GL_Journal!$Y:$Y,$A480))</f>
        <v/>
      </c>
      <c r="P480" s="32">
        <f>IF($O480="","",MATCH($O480,GL_Journal!$Y:$Y,0))</f>
        <v/>
      </c>
      <c r="Q480" s="32" t="inlineStr"/>
    </row>
    <row r="481">
      <c r="A481" s="32">
        <f>ROW()-12</f>
        <v/>
      </c>
      <c r="B481" s="33">
        <f>IF($P481="","",INDEX(GL_Journal!$D:$D,$P481))</f>
        <v/>
      </c>
      <c r="C481" s="32">
        <f>IF($P481="","",INDEX(GL_Journal!$C:$C,$P481))</f>
        <v/>
      </c>
      <c r="D481" s="32">
        <f>IF($P481="","",INDEX(GL_Journal!$E:$E,$P481))</f>
        <v/>
      </c>
      <c r="E481" s="32">
        <f>IF($P481="","",INDEX(GL_Journal!$F:$F,$P481))</f>
        <v/>
      </c>
      <c r="F481" s="32">
        <f>IF($P481="","",INDEX(GL_Journal!$G:$G,$P481))</f>
        <v/>
      </c>
      <c r="G481" s="32">
        <f>IF($P481="","",INDEX(GL_Journal!$H:$H,$P481))</f>
        <v/>
      </c>
      <c r="H481" s="32">
        <f>IF($P481="","",INDEX(GL_Journal!$I:$I,$P481))</f>
        <v/>
      </c>
      <c r="I481" s="32">
        <f>IF($P481="","",INDEX(GL_Journal!$J:$J,$P481))</f>
        <v/>
      </c>
      <c r="J481" s="32">
        <f>IF($P481="","",INDEX(GL_Journal!$K:$K,$P481))</f>
        <v/>
      </c>
      <c r="K481" s="32">
        <f>IF($P481="","",INDEX(GL_Journal!$L:$L,$P481))</f>
        <v/>
      </c>
      <c r="L481" s="43">
        <f>IF($P481="","",INDEX(GL_Journal!$M:$M,$P481))</f>
        <v/>
      </c>
      <c r="M481" s="43">
        <f>IF($P481="","",INDEX(GL_Journal!$N:$N,$P481))</f>
        <v/>
      </c>
      <c r="N481" s="47">
        <f>IF($P481="","",IF($A481=1,LG_Open,$N480)+$L481-$M481)</f>
        <v/>
      </c>
      <c r="O481" s="32">
        <f>IF($A481&gt;COUNT(GL_Journal!$Y:$Y),"",SMALL(GL_Journal!$Y:$Y,$A481))</f>
        <v/>
      </c>
      <c r="P481" s="32">
        <f>IF($O481="","",MATCH($O481,GL_Journal!$Y:$Y,0))</f>
        <v/>
      </c>
      <c r="Q481" s="32" t="inlineStr"/>
    </row>
    <row r="482">
      <c r="A482" s="32">
        <f>ROW()-12</f>
        <v/>
      </c>
      <c r="B482" s="33">
        <f>IF($P482="","",INDEX(GL_Journal!$D:$D,$P482))</f>
        <v/>
      </c>
      <c r="C482" s="32">
        <f>IF($P482="","",INDEX(GL_Journal!$C:$C,$P482))</f>
        <v/>
      </c>
      <c r="D482" s="32">
        <f>IF($P482="","",INDEX(GL_Journal!$E:$E,$P482))</f>
        <v/>
      </c>
      <c r="E482" s="32">
        <f>IF($P482="","",INDEX(GL_Journal!$F:$F,$P482))</f>
        <v/>
      </c>
      <c r="F482" s="32">
        <f>IF($P482="","",INDEX(GL_Journal!$G:$G,$P482))</f>
        <v/>
      </c>
      <c r="G482" s="32">
        <f>IF($P482="","",INDEX(GL_Journal!$H:$H,$P482))</f>
        <v/>
      </c>
      <c r="H482" s="32">
        <f>IF($P482="","",INDEX(GL_Journal!$I:$I,$P482))</f>
        <v/>
      </c>
      <c r="I482" s="32">
        <f>IF($P482="","",INDEX(GL_Journal!$J:$J,$P482))</f>
        <v/>
      </c>
      <c r="J482" s="32">
        <f>IF($P482="","",INDEX(GL_Journal!$K:$K,$P482))</f>
        <v/>
      </c>
      <c r="K482" s="32">
        <f>IF($P482="","",INDEX(GL_Journal!$L:$L,$P482))</f>
        <v/>
      </c>
      <c r="L482" s="43">
        <f>IF($P482="","",INDEX(GL_Journal!$M:$M,$P482))</f>
        <v/>
      </c>
      <c r="M482" s="43">
        <f>IF($P482="","",INDEX(GL_Journal!$N:$N,$P482))</f>
        <v/>
      </c>
      <c r="N482" s="47">
        <f>IF($P482="","",IF($A482=1,LG_Open,$N481)+$L482-$M482)</f>
        <v/>
      </c>
      <c r="O482" s="32">
        <f>IF($A482&gt;COUNT(GL_Journal!$Y:$Y),"",SMALL(GL_Journal!$Y:$Y,$A482))</f>
        <v/>
      </c>
      <c r="P482" s="32">
        <f>IF($O482="","",MATCH($O482,GL_Journal!$Y:$Y,0))</f>
        <v/>
      </c>
      <c r="Q482" s="32" t="inlineStr"/>
    </row>
    <row r="483">
      <c r="A483" s="32">
        <f>ROW()-12</f>
        <v/>
      </c>
      <c r="B483" s="33">
        <f>IF($P483="","",INDEX(GL_Journal!$D:$D,$P483))</f>
        <v/>
      </c>
      <c r="C483" s="32">
        <f>IF($P483="","",INDEX(GL_Journal!$C:$C,$P483))</f>
        <v/>
      </c>
      <c r="D483" s="32">
        <f>IF($P483="","",INDEX(GL_Journal!$E:$E,$P483))</f>
        <v/>
      </c>
      <c r="E483" s="32">
        <f>IF($P483="","",INDEX(GL_Journal!$F:$F,$P483))</f>
        <v/>
      </c>
      <c r="F483" s="32">
        <f>IF($P483="","",INDEX(GL_Journal!$G:$G,$P483))</f>
        <v/>
      </c>
      <c r="G483" s="32">
        <f>IF($P483="","",INDEX(GL_Journal!$H:$H,$P483))</f>
        <v/>
      </c>
      <c r="H483" s="32">
        <f>IF($P483="","",INDEX(GL_Journal!$I:$I,$P483))</f>
        <v/>
      </c>
      <c r="I483" s="32">
        <f>IF($P483="","",INDEX(GL_Journal!$J:$J,$P483))</f>
        <v/>
      </c>
      <c r="J483" s="32">
        <f>IF($P483="","",INDEX(GL_Journal!$K:$K,$P483))</f>
        <v/>
      </c>
      <c r="K483" s="32">
        <f>IF($P483="","",INDEX(GL_Journal!$L:$L,$P483))</f>
        <v/>
      </c>
      <c r="L483" s="43">
        <f>IF($P483="","",INDEX(GL_Journal!$M:$M,$P483))</f>
        <v/>
      </c>
      <c r="M483" s="43">
        <f>IF($P483="","",INDEX(GL_Journal!$N:$N,$P483))</f>
        <v/>
      </c>
      <c r="N483" s="47">
        <f>IF($P483="","",IF($A483=1,LG_Open,$N482)+$L483-$M483)</f>
        <v/>
      </c>
      <c r="O483" s="32">
        <f>IF($A483&gt;COUNT(GL_Journal!$Y:$Y),"",SMALL(GL_Journal!$Y:$Y,$A483))</f>
        <v/>
      </c>
      <c r="P483" s="32">
        <f>IF($O483="","",MATCH($O483,GL_Journal!$Y:$Y,0))</f>
        <v/>
      </c>
      <c r="Q483" s="32" t="inlineStr"/>
    </row>
    <row r="484">
      <c r="A484" s="32">
        <f>ROW()-12</f>
        <v/>
      </c>
      <c r="B484" s="33">
        <f>IF($P484="","",INDEX(GL_Journal!$D:$D,$P484))</f>
        <v/>
      </c>
      <c r="C484" s="32">
        <f>IF($P484="","",INDEX(GL_Journal!$C:$C,$P484))</f>
        <v/>
      </c>
      <c r="D484" s="32">
        <f>IF($P484="","",INDEX(GL_Journal!$E:$E,$P484))</f>
        <v/>
      </c>
      <c r="E484" s="32">
        <f>IF($P484="","",INDEX(GL_Journal!$F:$F,$P484))</f>
        <v/>
      </c>
      <c r="F484" s="32">
        <f>IF($P484="","",INDEX(GL_Journal!$G:$G,$P484))</f>
        <v/>
      </c>
      <c r="G484" s="32">
        <f>IF($P484="","",INDEX(GL_Journal!$H:$H,$P484))</f>
        <v/>
      </c>
      <c r="H484" s="32">
        <f>IF($P484="","",INDEX(GL_Journal!$I:$I,$P484))</f>
        <v/>
      </c>
      <c r="I484" s="32">
        <f>IF($P484="","",INDEX(GL_Journal!$J:$J,$P484))</f>
        <v/>
      </c>
      <c r="J484" s="32">
        <f>IF($P484="","",INDEX(GL_Journal!$K:$K,$P484))</f>
        <v/>
      </c>
      <c r="K484" s="32">
        <f>IF($P484="","",INDEX(GL_Journal!$L:$L,$P484))</f>
        <v/>
      </c>
      <c r="L484" s="43">
        <f>IF($P484="","",INDEX(GL_Journal!$M:$M,$P484))</f>
        <v/>
      </c>
      <c r="M484" s="43">
        <f>IF($P484="","",INDEX(GL_Journal!$N:$N,$P484))</f>
        <v/>
      </c>
      <c r="N484" s="47">
        <f>IF($P484="","",IF($A484=1,LG_Open,$N483)+$L484-$M484)</f>
        <v/>
      </c>
      <c r="O484" s="32">
        <f>IF($A484&gt;COUNT(GL_Journal!$Y:$Y),"",SMALL(GL_Journal!$Y:$Y,$A484))</f>
        <v/>
      </c>
      <c r="P484" s="32">
        <f>IF($O484="","",MATCH($O484,GL_Journal!$Y:$Y,0))</f>
        <v/>
      </c>
      <c r="Q484" s="32" t="inlineStr"/>
    </row>
    <row r="485">
      <c r="A485" s="32">
        <f>ROW()-12</f>
        <v/>
      </c>
      <c r="B485" s="33">
        <f>IF($P485="","",INDEX(GL_Journal!$D:$D,$P485))</f>
        <v/>
      </c>
      <c r="C485" s="32">
        <f>IF($P485="","",INDEX(GL_Journal!$C:$C,$P485))</f>
        <v/>
      </c>
      <c r="D485" s="32">
        <f>IF($P485="","",INDEX(GL_Journal!$E:$E,$P485))</f>
        <v/>
      </c>
      <c r="E485" s="32">
        <f>IF($P485="","",INDEX(GL_Journal!$F:$F,$P485))</f>
        <v/>
      </c>
      <c r="F485" s="32">
        <f>IF($P485="","",INDEX(GL_Journal!$G:$G,$P485))</f>
        <v/>
      </c>
      <c r="G485" s="32">
        <f>IF($P485="","",INDEX(GL_Journal!$H:$H,$P485))</f>
        <v/>
      </c>
      <c r="H485" s="32">
        <f>IF($P485="","",INDEX(GL_Journal!$I:$I,$P485))</f>
        <v/>
      </c>
      <c r="I485" s="32">
        <f>IF($P485="","",INDEX(GL_Journal!$J:$J,$P485))</f>
        <v/>
      </c>
      <c r="J485" s="32">
        <f>IF($P485="","",INDEX(GL_Journal!$K:$K,$P485))</f>
        <v/>
      </c>
      <c r="K485" s="32">
        <f>IF($P485="","",INDEX(GL_Journal!$L:$L,$P485))</f>
        <v/>
      </c>
      <c r="L485" s="43">
        <f>IF($P485="","",INDEX(GL_Journal!$M:$M,$P485))</f>
        <v/>
      </c>
      <c r="M485" s="43">
        <f>IF($P485="","",INDEX(GL_Journal!$N:$N,$P485))</f>
        <v/>
      </c>
      <c r="N485" s="47">
        <f>IF($P485="","",IF($A485=1,LG_Open,$N484)+$L485-$M485)</f>
        <v/>
      </c>
      <c r="O485" s="32">
        <f>IF($A485&gt;COUNT(GL_Journal!$Y:$Y),"",SMALL(GL_Journal!$Y:$Y,$A485))</f>
        <v/>
      </c>
      <c r="P485" s="32">
        <f>IF($O485="","",MATCH($O485,GL_Journal!$Y:$Y,0))</f>
        <v/>
      </c>
      <c r="Q485" s="32" t="inlineStr"/>
    </row>
    <row r="486">
      <c r="A486" s="32">
        <f>ROW()-12</f>
        <v/>
      </c>
      <c r="B486" s="33">
        <f>IF($P486="","",INDEX(GL_Journal!$D:$D,$P486))</f>
        <v/>
      </c>
      <c r="C486" s="32">
        <f>IF($P486="","",INDEX(GL_Journal!$C:$C,$P486))</f>
        <v/>
      </c>
      <c r="D486" s="32">
        <f>IF($P486="","",INDEX(GL_Journal!$E:$E,$P486))</f>
        <v/>
      </c>
      <c r="E486" s="32">
        <f>IF($P486="","",INDEX(GL_Journal!$F:$F,$P486))</f>
        <v/>
      </c>
      <c r="F486" s="32">
        <f>IF($P486="","",INDEX(GL_Journal!$G:$G,$P486))</f>
        <v/>
      </c>
      <c r="G486" s="32">
        <f>IF($P486="","",INDEX(GL_Journal!$H:$H,$P486))</f>
        <v/>
      </c>
      <c r="H486" s="32">
        <f>IF($P486="","",INDEX(GL_Journal!$I:$I,$P486))</f>
        <v/>
      </c>
      <c r="I486" s="32">
        <f>IF($P486="","",INDEX(GL_Journal!$J:$J,$P486))</f>
        <v/>
      </c>
      <c r="J486" s="32">
        <f>IF($P486="","",INDEX(GL_Journal!$K:$K,$P486))</f>
        <v/>
      </c>
      <c r="K486" s="32">
        <f>IF($P486="","",INDEX(GL_Journal!$L:$L,$P486))</f>
        <v/>
      </c>
      <c r="L486" s="43">
        <f>IF($P486="","",INDEX(GL_Journal!$M:$M,$P486))</f>
        <v/>
      </c>
      <c r="M486" s="43">
        <f>IF($P486="","",INDEX(GL_Journal!$N:$N,$P486))</f>
        <v/>
      </c>
      <c r="N486" s="47">
        <f>IF($P486="","",IF($A486=1,LG_Open,$N485)+$L486-$M486)</f>
        <v/>
      </c>
      <c r="O486" s="32">
        <f>IF($A486&gt;COUNT(GL_Journal!$Y:$Y),"",SMALL(GL_Journal!$Y:$Y,$A486))</f>
        <v/>
      </c>
      <c r="P486" s="32">
        <f>IF($O486="","",MATCH($O486,GL_Journal!$Y:$Y,0))</f>
        <v/>
      </c>
      <c r="Q486" s="32" t="inlineStr"/>
    </row>
    <row r="487">
      <c r="A487" s="32">
        <f>ROW()-12</f>
        <v/>
      </c>
      <c r="B487" s="33">
        <f>IF($P487="","",INDEX(GL_Journal!$D:$D,$P487))</f>
        <v/>
      </c>
      <c r="C487" s="32">
        <f>IF($P487="","",INDEX(GL_Journal!$C:$C,$P487))</f>
        <v/>
      </c>
      <c r="D487" s="32">
        <f>IF($P487="","",INDEX(GL_Journal!$E:$E,$P487))</f>
        <v/>
      </c>
      <c r="E487" s="32">
        <f>IF($P487="","",INDEX(GL_Journal!$F:$F,$P487))</f>
        <v/>
      </c>
      <c r="F487" s="32">
        <f>IF($P487="","",INDEX(GL_Journal!$G:$G,$P487))</f>
        <v/>
      </c>
      <c r="G487" s="32">
        <f>IF($P487="","",INDEX(GL_Journal!$H:$H,$P487))</f>
        <v/>
      </c>
      <c r="H487" s="32">
        <f>IF($P487="","",INDEX(GL_Journal!$I:$I,$P487))</f>
        <v/>
      </c>
      <c r="I487" s="32">
        <f>IF($P487="","",INDEX(GL_Journal!$J:$J,$P487))</f>
        <v/>
      </c>
      <c r="J487" s="32">
        <f>IF($P487="","",INDEX(GL_Journal!$K:$K,$P487))</f>
        <v/>
      </c>
      <c r="K487" s="32">
        <f>IF($P487="","",INDEX(GL_Journal!$L:$L,$P487))</f>
        <v/>
      </c>
      <c r="L487" s="43">
        <f>IF($P487="","",INDEX(GL_Journal!$M:$M,$P487))</f>
        <v/>
      </c>
      <c r="M487" s="43">
        <f>IF($P487="","",INDEX(GL_Journal!$N:$N,$P487))</f>
        <v/>
      </c>
      <c r="N487" s="47">
        <f>IF($P487="","",IF($A487=1,LG_Open,$N486)+$L487-$M487)</f>
        <v/>
      </c>
      <c r="O487" s="32">
        <f>IF($A487&gt;COUNT(GL_Journal!$Y:$Y),"",SMALL(GL_Journal!$Y:$Y,$A487))</f>
        <v/>
      </c>
      <c r="P487" s="32">
        <f>IF($O487="","",MATCH($O487,GL_Journal!$Y:$Y,0))</f>
        <v/>
      </c>
      <c r="Q487" s="32" t="inlineStr"/>
    </row>
    <row r="488">
      <c r="A488" s="32">
        <f>ROW()-12</f>
        <v/>
      </c>
      <c r="B488" s="33">
        <f>IF($P488="","",INDEX(GL_Journal!$D:$D,$P488))</f>
        <v/>
      </c>
      <c r="C488" s="32">
        <f>IF($P488="","",INDEX(GL_Journal!$C:$C,$P488))</f>
        <v/>
      </c>
      <c r="D488" s="32">
        <f>IF($P488="","",INDEX(GL_Journal!$E:$E,$P488))</f>
        <v/>
      </c>
      <c r="E488" s="32">
        <f>IF($P488="","",INDEX(GL_Journal!$F:$F,$P488))</f>
        <v/>
      </c>
      <c r="F488" s="32">
        <f>IF($P488="","",INDEX(GL_Journal!$G:$G,$P488))</f>
        <v/>
      </c>
      <c r="G488" s="32">
        <f>IF($P488="","",INDEX(GL_Journal!$H:$H,$P488))</f>
        <v/>
      </c>
      <c r="H488" s="32">
        <f>IF($P488="","",INDEX(GL_Journal!$I:$I,$P488))</f>
        <v/>
      </c>
      <c r="I488" s="32">
        <f>IF($P488="","",INDEX(GL_Journal!$J:$J,$P488))</f>
        <v/>
      </c>
      <c r="J488" s="32">
        <f>IF($P488="","",INDEX(GL_Journal!$K:$K,$P488))</f>
        <v/>
      </c>
      <c r="K488" s="32">
        <f>IF($P488="","",INDEX(GL_Journal!$L:$L,$P488))</f>
        <v/>
      </c>
      <c r="L488" s="43">
        <f>IF($P488="","",INDEX(GL_Journal!$M:$M,$P488))</f>
        <v/>
      </c>
      <c r="M488" s="43">
        <f>IF($P488="","",INDEX(GL_Journal!$N:$N,$P488))</f>
        <v/>
      </c>
      <c r="N488" s="47">
        <f>IF($P488="","",IF($A488=1,LG_Open,$N487)+$L488-$M488)</f>
        <v/>
      </c>
      <c r="O488" s="32">
        <f>IF($A488&gt;COUNT(GL_Journal!$Y:$Y),"",SMALL(GL_Journal!$Y:$Y,$A488))</f>
        <v/>
      </c>
      <c r="P488" s="32">
        <f>IF($O488="","",MATCH($O488,GL_Journal!$Y:$Y,0))</f>
        <v/>
      </c>
      <c r="Q488" s="32" t="inlineStr"/>
    </row>
    <row r="489">
      <c r="A489" s="32">
        <f>ROW()-12</f>
        <v/>
      </c>
      <c r="B489" s="33">
        <f>IF($P489="","",INDEX(GL_Journal!$D:$D,$P489))</f>
        <v/>
      </c>
      <c r="C489" s="32">
        <f>IF($P489="","",INDEX(GL_Journal!$C:$C,$P489))</f>
        <v/>
      </c>
      <c r="D489" s="32">
        <f>IF($P489="","",INDEX(GL_Journal!$E:$E,$P489))</f>
        <v/>
      </c>
      <c r="E489" s="32">
        <f>IF($P489="","",INDEX(GL_Journal!$F:$F,$P489))</f>
        <v/>
      </c>
      <c r="F489" s="32">
        <f>IF($P489="","",INDEX(GL_Journal!$G:$G,$P489))</f>
        <v/>
      </c>
      <c r="G489" s="32">
        <f>IF($P489="","",INDEX(GL_Journal!$H:$H,$P489))</f>
        <v/>
      </c>
      <c r="H489" s="32">
        <f>IF($P489="","",INDEX(GL_Journal!$I:$I,$P489))</f>
        <v/>
      </c>
      <c r="I489" s="32">
        <f>IF($P489="","",INDEX(GL_Journal!$J:$J,$P489))</f>
        <v/>
      </c>
      <c r="J489" s="32">
        <f>IF($P489="","",INDEX(GL_Journal!$K:$K,$P489))</f>
        <v/>
      </c>
      <c r="K489" s="32">
        <f>IF($P489="","",INDEX(GL_Journal!$L:$L,$P489))</f>
        <v/>
      </c>
      <c r="L489" s="43">
        <f>IF($P489="","",INDEX(GL_Journal!$M:$M,$P489))</f>
        <v/>
      </c>
      <c r="M489" s="43">
        <f>IF($P489="","",INDEX(GL_Journal!$N:$N,$P489))</f>
        <v/>
      </c>
      <c r="N489" s="47">
        <f>IF($P489="","",IF($A489=1,LG_Open,$N488)+$L489-$M489)</f>
        <v/>
      </c>
      <c r="O489" s="32">
        <f>IF($A489&gt;COUNT(GL_Journal!$Y:$Y),"",SMALL(GL_Journal!$Y:$Y,$A489))</f>
        <v/>
      </c>
      <c r="P489" s="32">
        <f>IF($O489="","",MATCH($O489,GL_Journal!$Y:$Y,0))</f>
        <v/>
      </c>
      <c r="Q489" s="32" t="inlineStr"/>
    </row>
    <row r="490">
      <c r="A490" s="32">
        <f>ROW()-12</f>
        <v/>
      </c>
      <c r="B490" s="33">
        <f>IF($P490="","",INDEX(GL_Journal!$D:$D,$P490))</f>
        <v/>
      </c>
      <c r="C490" s="32">
        <f>IF($P490="","",INDEX(GL_Journal!$C:$C,$P490))</f>
        <v/>
      </c>
      <c r="D490" s="32">
        <f>IF($P490="","",INDEX(GL_Journal!$E:$E,$P490))</f>
        <v/>
      </c>
      <c r="E490" s="32">
        <f>IF($P490="","",INDEX(GL_Journal!$F:$F,$P490))</f>
        <v/>
      </c>
      <c r="F490" s="32">
        <f>IF($P490="","",INDEX(GL_Journal!$G:$G,$P490))</f>
        <v/>
      </c>
      <c r="G490" s="32">
        <f>IF($P490="","",INDEX(GL_Journal!$H:$H,$P490))</f>
        <v/>
      </c>
      <c r="H490" s="32">
        <f>IF($P490="","",INDEX(GL_Journal!$I:$I,$P490))</f>
        <v/>
      </c>
      <c r="I490" s="32">
        <f>IF($P490="","",INDEX(GL_Journal!$J:$J,$P490))</f>
        <v/>
      </c>
      <c r="J490" s="32">
        <f>IF($P490="","",INDEX(GL_Journal!$K:$K,$P490))</f>
        <v/>
      </c>
      <c r="K490" s="32">
        <f>IF($P490="","",INDEX(GL_Journal!$L:$L,$P490))</f>
        <v/>
      </c>
      <c r="L490" s="43">
        <f>IF($P490="","",INDEX(GL_Journal!$M:$M,$P490))</f>
        <v/>
      </c>
      <c r="M490" s="43">
        <f>IF($P490="","",INDEX(GL_Journal!$N:$N,$P490))</f>
        <v/>
      </c>
      <c r="N490" s="47">
        <f>IF($P490="","",IF($A490=1,LG_Open,$N489)+$L490-$M490)</f>
        <v/>
      </c>
      <c r="O490" s="32">
        <f>IF($A490&gt;COUNT(GL_Journal!$Y:$Y),"",SMALL(GL_Journal!$Y:$Y,$A490))</f>
        <v/>
      </c>
      <c r="P490" s="32">
        <f>IF($O490="","",MATCH($O490,GL_Journal!$Y:$Y,0))</f>
        <v/>
      </c>
      <c r="Q490" s="32" t="inlineStr"/>
    </row>
    <row r="491">
      <c r="A491" s="32">
        <f>ROW()-12</f>
        <v/>
      </c>
      <c r="B491" s="33">
        <f>IF($P491="","",INDEX(GL_Journal!$D:$D,$P491))</f>
        <v/>
      </c>
      <c r="C491" s="32">
        <f>IF($P491="","",INDEX(GL_Journal!$C:$C,$P491))</f>
        <v/>
      </c>
      <c r="D491" s="32">
        <f>IF($P491="","",INDEX(GL_Journal!$E:$E,$P491))</f>
        <v/>
      </c>
      <c r="E491" s="32">
        <f>IF($P491="","",INDEX(GL_Journal!$F:$F,$P491))</f>
        <v/>
      </c>
      <c r="F491" s="32">
        <f>IF($P491="","",INDEX(GL_Journal!$G:$G,$P491))</f>
        <v/>
      </c>
      <c r="G491" s="32">
        <f>IF($P491="","",INDEX(GL_Journal!$H:$H,$P491))</f>
        <v/>
      </c>
      <c r="H491" s="32">
        <f>IF($P491="","",INDEX(GL_Journal!$I:$I,$P491))</f>
        <v/>
      </c>
      <c r="I491" s="32">
        <f>IF($P491="","",INDEX(GL_Journal!$J:$J,$P491))</f>
        <v/>
      </c>
      <c r="J491" s="32">
        <f>IF($P491="","",INDEX(GL_Journal!$K:$K,$P491))</f>
        <v/>
      </c>
      <c r="K491" s="32">
        <f>IF($P491="","",INDEX(GL_Journal!$L:$L,$P491))</f>
        <v/>
      </c>
      <c r="L491" s="43">
        <f>IF($P491="","",INDEX(GL_Journal!$M:$M,$P491))</f>
        <v/>
      </c>
      <c r="M491" s="43">
        <f>IF($P491="","",INDEX(GL_Journal!$N:$N,$P491))</f>
        <v/>
      </c>
      <c r="N491" s="47">
        <f>IF($P491="","",IF($A491=1,LG_Open,$N490)+$L491-$M491)</f>
        <v/>
      </c>
      <c r="O491" s="32">
        <f>IF($A491&gt;COUNT(GL_Journal!$Y:$Y),"",SMALL(GL_Journal!$Y:$Y,$A491))</f>
        <v/>
      </c>
      <c r="P491" s="32">
        <f>IF($O491="","",MATCH($O491,GL_Journal!$Y:$Y,0))</f>
        <v/>
      </c>
      <c r="Q491" s="32" t="inlineStr"/>
    </row>
    <row r="492">
      <c r="A492" s="32">
        <f>ROW()-12</f>
        <v/>
      </c>
      <c r="B492" s="33">
        <f>IF($P492="","",INDEX(GL_Journal!$D:$D,$P492))</f>
        <v/>
      </c>
      <c r="C492" s="32">
        <f>IF($P492="","",INDEX(GL_Journal!$C:$C,$P492))</f>
        <v/>
      </c>
      <c r="D492" s="32">
        <f>IF($P492="","",INDEX(GL_Journal!$E:$E,$P492))</f>
        <v/>
      </c>
      <c r="E492" s="32">
        <f>IF($P492="","",INDEX(GL_Journal!$F:$F,$P492))</f>
        <v/>
      </c>
      <c r="F492" s="32">
        <f>IF($P492="","",INDEX(GL_Journal!$G:$G,$P492))</f>
        <v/>
      </c>
      <c r="G492" s="32">
        <f>IF($P492="","",INDEX(GL_Journal!$H:$H,$P492))</f>
        <v/>
      </c>
      <c r="H492" s="32">
        <f>IF($P492="","",INDEX(GL_Journal!$I:$I,$P492))</f>
        <v/>
      </c>
      <c r="I492" s="32">
        <f>IF($P492="","",INDEX(GL_Journal!$J:$J,$P492))</f>
        <v/>
      </c>
      <c r="J492" s="32">
        <f>IF($P492="","",INDEX(GL_Journal!$K:$K,$P492))</f>
        <v/>
      </c>
      <c r="K492" s="32">
        <f>IF($P492="","",INDEX(GL_Journal!$L:$L,$P492))</f>
        <v/>
      </c>
      <c r="L492" s="43">
        <f>IF($P492="","",INDEX(GL_Journal!$M:$M,$P492))</f>
        <v/>
      </c>
      <c r="M492" s="43">
        <f>IF($P492="","",INDEX(GL_Journal!$N:$N,$P492))</f>
        <v/>
      </c>
      <c r="N492" s="47">
        <f>IF($P492="","",IF($A492=1,LG_Open,$N491)+$L492-$M492)</f>
        <v/>
      </c>
      <c r="O492" s="32">
        <f>IF($A492&gt;COUNT(GL_Journal!$Y:$Y),"",SMALL(GL_Journal!$Y:$Y,$A492))</f>
        <v/>
      </c>
      <c r="P492" s="32">
        <f>IF($O492="","",MATCH($O492,GL_Journal!$Y:$Y,0))</f>
        <v/>
      </c>
      <c r="Q492" s="32" t="inlineStr"/>
    </row>
    <row r="493">
      <c r="A493" s="32">
        <f>ROW()-12</f>
        <v/>
      </c>
      <c r="B493" s="33">
        <f>IF($P493="","",INDEX(GL_Journal!$D:$D,$P493))</f>
        <v/>
      </c>
      <c r="C493" s="32">
        <f>IF($P493="","",INDEX(GL_Journal!$C:$C,$P493))</f>
        <v/>
      </c>
      <c r="D493" s="32">
        <f>IF($P493="","",INDEX(GL_Journal!$E:$E,$P493))</f>
        <v/>
      </c>
      <c r="E493" s="32">
        <f>IF($P493="","",INDEX(GL_Journal!$F:$F,$P493))</f>
        <v/>
      </c>
      <c r="F493" s="32">
        <f>IF($P493="","",INDEX(GL_Journal!$G:$G,$P493))</f>
        <v/>
      </c>
      <c r="G493" s="32">
        <f>IF($P493="","",INDEX(GL_Journal!$H:$H,$P493))</f>
        <v/>
      </c>
      <c r="H493" s="32">
        <f>IF($P493="","",INDEX(GL_Journal!$I:$I,$P493))</f>
        <v/>
      </c>
      <c r="I493" s="32">
        <f>IF($P493="","",INDEX(GL_Journal!$J:$J,$P493))</f>
        <v/>
      </c>
      <c r="J493" s="32">
        <f>IF($P493="","",INDEX(GL_Journal!$K:$K,$P493))</f>
        <v/>
      </c>
      <c r="K493" s="32">
        <f>IF($P493="","",INDEX(GL_Journal!$L:$L,$P493))</f>
        <v/>
      </c>
      <c r="L493" s="43">
        <f>IF($P493="","",INDEX(GL_Journal!$M:$M,$P493))</f>
        <v/>
      </c>
      <c r="M493" s="43">
        <f>IF($P493="","",INDEX(GL_Journal!$N:$N,$P493))</f>
        <v/>
      </c>
      <c r="N493" s="47">
        <f>IF($P493="","",IF($A493=1,LG_Open,$N492)+$L493-$M493)</f>
        <v/>
      </c>
      <c r="O493" s="32">
        <f>IF($A493&gt;COUNT(GL_Journal!$Y:$Y),"",SMALL(GL_Journal!$Y:$Y,$A493))</f>
        <v/>
      </c>
      <c r="P493" s="32">
        <f>IF($O493="","",MATCH($O493,GL_Journal!$Y:$Y,0))</f>
        <v/>
      </c>
      <c r="Q493" s="32" t="inlineStr"/>
    </row>
    <row r="494">
      <c r="A494" s="32">
        <f>ROW()-12</f>
        <v/>
      </c>
      <c r="B494" s="33">
        <f>IF($P494="","",INDEX(GL_Journal!$D:$D,$P494))</f>
        <v/>
      </c>
      <c r="C494" s="32">
        <f>IF($P494="","",INDEX(GL_Journal!$C:$C,$P494))</f>
        <v/>
      </c>
      <c r="D494" s="32">
        <f>IF($P494="","",INDEX(GL_Journal!$E:$E,$P494))</f>
        <v/>
      </c>
      <c r="E494" s="32">
        <f>IF($P494="","",INDEX(GL_Journal!$F:$F,$P494))</f>
        <v/>
      </c>
      <c r="F494" s="32">
        <f>IF($P494="","",INDEX(GL_Journal!$G:$G,$P494))</f>
        <v/>
      </c>
      <c r="G494" s="32">
        <f>IF($P494="","",INDEX(GL_Journal!$H:$H,$P494))</f>
        <v/>
      </c>
      <c r="H494" s="32">
        <f>IF($P494="","",INDEX(GL_Journal!$I:$I,$P494))</f>
        <v/>
      </c>
      <c r="I494" s="32">
        <f>IF($P494="","",INDEX(GL_Journal!$J:$J,$P494))</f>
        <v/>
      </c>
      <c r="J494" s="32">
        <f>IF($P494="","",INDEX(GL_Journal!$K:$K,$P494))</f>
        <v/>
      </c>
      <c r="K494" s="32">
        <f>IF($P494="","",INDEX(GL_Journal!$L:$L,$P494))</f>
        <v/>
      </c>
      <c r="L494" s="43">
        <f>IF($P494="","",INDEX(GL_Journal!$M:$M,$P494))</f>
        <v/>
      </c>
      <c r="M494" s="43">
        <f>IF($P494="","",INDEX(GL_Journal!$N:$N,$P494))</f>
        <v/>
      </c>
      <c r="N494" s="47">
        <f>IF($P494="","",IF($A494=1,LG_Open,$N493)+$L494-$M494)</f>
        <v/>
      </c>
      <c r="O494" s="32">
        <f>IF($A494&gt;COUNT(GL_Journal!$Y:$Y),"",SMALL(GL_Journal!$Y:$Y,$A494))</f>
        <v/>
      </c>
      <c r="P494" s="32">
        <f>IF($O494="","",MATCH($O494,GL_Journal!$Y:$Y,0))</f>
        <v/>
      </c>
      <c r="Q494" s="32" t="inlineStr"/>
    </row>
    <row r="495">
      <c r="A495" s="32">
        <f>ROW()-12</f>
        <v/>
      </c>
      <c r="B495" s="33">
        <f>IF($P495="","",INDEX(GL_Journal!$D:$D,$P495))</f>
        <v/>
      </c>
      <c r="C495" s="32">
        <f>IF($P495="","",INDEX(GL_Journal!$C:$C,$P495))</f>
        <v/>
      </c>
      <c r="D495" s="32">
        <f>IF($P495="","",INDEX(GL_Journal!$E:$E,$P495))</f>
        <v/>
      </c>
      <c r="E495" s="32">
        <f>IF($P495="","",INDEX(GL_Journal!$F:$F,$P495))</f>
        <v/>
      </c>
      <c r="F495" s="32">
        <f>IF($P495="","",INDEX(GL_Journal!$G:$G,$P495))</f>
        <v/>
      </c>
      <c r="G495" s="32">
        <f>IF($P495="","",INDEX(GL_Journal!$H:$H,$P495))</f>
        <v/>
      </c>
      <c r="H495" s="32">
        <f>IF($P495="","",INDEX(GL_Journal!$I:$I,$P495))</f>
        <v/>
      </c>
      <c r="I495" s="32">
        <f>IF($P495="","",INDEX(GL_Journal!$J:$J,$P495))</f>
        <v/>
      </c>
      <c r="J495" s="32">
        <f>IF($P495="","",INDEX(GL_Journal!$K:$K,$P495))</f>
        <v/>
      </c>
      <c r="K495" s="32">
        <f>IF($P495="","",INDEX(GL_Journal!$L:$L,$P495))</f>
        <v/>
      </c>
      <c r="L495" s="43">
        <f>IF($P495="","",INDEX(GL_Journal!$M:$M,$P495))</f>
        <v/>
      </c>
      <c r="M495" s="43">
        <f>IF($P495="","",INDEX(GL_Journal!$N:$N,$P495))</f>
        <v/>
      </c>
      <c r="N495" s="47">
        <f>IF($P495="","",IF($A495=1,LG_Open,$N494)+$L495-$M495)</f>
        <v/>
      </c>
      <c r="O495" s="32">
        <f>IF($A495&gt;COUNT(GL_Journal!$Y:$Y),"",SMALL(GL_Journal!$Y:$Y,$A495))</f>
        <v/>
      </c>
      <c r="P495" s="32">
        <f>IF($O495="","",MATCH($O495,GL_Journal!$Y:$Y,0))</f>
        <v/>
      </c>
      <c r="Q495" s="32" t="inlineStr"/>
    </row>
    <row r="496">
      <c r="A496" s="32">
        <f>ROW()-12</f>
        <v/>
      </c>
      <c r="B496" s="33">
        <f>IF($P496="","",INDEX(GL_Journal!$D:$D,$P496))</f>
        <v/>
      </c>
      <c r="C496" s="32">
        <f>IF($P496="","",INDEX(GL_Journal!$C:$C,$P496))</f>
        <v/>
      </c>
      <c r="D496" s="32">
        <f>IF($P496="","",INDEX(GL_Journal!$E:$E,$P496))</f>
        <v/>
      </c>
      <c r="E496" s="32">
        <f>IF($P496="","",INDEX(GL_Journal!$F:$F,$P496))</f>
        <v/>
      </c>
      <c r="F496" s="32">
        <f>IF($P496="","",INDEX(GL_Journal!$G:$G,$P496))</f>
        <v/>
      </c>
      <c r="G496" s="32">
        <f>IF($P496="","",INDEX(GL_Journal!$H:$H,$P496))</f>
        <v/>
      </c>
      <c r="H496" s="32">
        <f>IF($P496="","",INDEX(GL_Journal!$I:$I,$P496))</f>
        <v/>
      </c>
      <c r="I496" s="32">
        <f>IF($P496="","",INDEX(GL_Journal!$J:$J,$P496))</f>
        <v/>
      </c>
      <c r="J496" s="32">
        <f>IF($P496="","",INDEX(GL_Journal!$K:$K,$P496))</f>
        <v/>
      </c>
      <c r="K496" s="32">
        <f>IF($P496="","",INDEX(GL_Journal!$L:$L,$P496))</f>
        <v/>
      </c>
      <c r="L496" s="43">
        <f>IF($P496="","",INDEX(GL_Journal!$M:$M,$P496))</f>
        <v/>
      </c>
      <c r="M496" s="43">
        <f>IF($P496="","",INDEX(GL_Journal!$N:$N,$P496))</f>
        <v/>
      </c>
      <c r="N496" s="47">
        <f>IF($P496="","",IF($A496=1,LG_Open,$N495)+$L496-$M496)</f>
        <v/>
      </c>
      <c r="O496" s="32">
        <f>IF($A496&gt;COUNT(GL_Journal!$Y:$Y),"",SMALL(GL_Journal!$Y:$Y,$A496))</f>
        <v/>
      </c>
      <c r="P496" s="32">
        <f>IF($O496="","",MATCH($O496,GL_Journal!$Y:$Y,0))</f>
        <v/>
      </c>
      <c r="Q496" s="32" t="inlineStr"/>
    </row>
    <row r="497">
      <c r="A497" s="32">
        <f>ROW()-12</f>
        <v/>
      </c>
      <c r="B497" s="33">
        <f>IF($P497="","",INDEX(GL_Journal!$D:$D,$P497))</f>
        <v/>
      </c>
      <c r="C497" s="32">
        <f>IF($P497="","",INDEX(GL_Journal!$C:$C,$P497))</f>
        <v/>
      </c>
      <c r="D497" s="32">
        <f>IF($P497="","",INDEX(GL_Journal!$E:$E,$P497))</f>
        <v/>
      </c>
      <c r="E497" s="32">
        <f>IF($P497="","",INDEX(GL_Journal!$F:$F,$P497))</f>
        <v/>
      </c>
      <c r="F497" s="32">
        <f>IF($P497="","",INDEX(GL_Journal!$G:$G,$P497))</f>
        <v/>
      </c>
      <c r="G497" s="32">
        <f>IF($P497="","",INDEX(GL_Journal!$H:$H,$P497))</f>
        <v/>
      </c>
      <c r="H497" s="32">
        <f>IF($P497="","",INDEX(GL_Journal!$I:$I,$P497))</f>
        <v/>
      </c>
      <c r="I497" s="32">
        <f>IF($P497="","",INDEX(GL_Journal!$J:$J,$P497))</f>
        <v/>
      </c>
      <c r="J497" s="32">
        <f>IF($P497="","",INDEX(GL_Journal!$K:$K,$P497))</f>
        <v/>
      </c>
      <c r="K497" s="32">
        <f>IF($P497="","",INDEX(GL_Journal!$L:$L,$P497))</f>
        <v/>
      </c>
      <c r="L497" s="43">
        <f>IF($P497="","",INDEX(GL_Journal!$M:$M,$P497))</f>
        <v/>
      </c>
      <c r="M497" s="43">
        <f>IF($P497="","",INDEX(GL_Journal!$N:$N,$P497))</f>
        <v/>
      </c>
      <c r="N497" s="47">
        <f>IF($P497="","",IF($A497=1,LG_Open,$N496)+$L497-$M497)</f>
        <v/>
      </c>
      <c r="O497" s="32">
        <f>IF($A497&gt;COUNT(GL_Journal!$Y:$Y),"",SMALL(GL_Journal!$Y:$Y,$A497))</f>
        <v/>
      </c>
      <c r="P497" s="32">
        <f>IF($O497="","",MATCH($O497,GL_Journal!$Y:$Y,0))</f>
        <v/>
      </c>
      <c r="Q497" s="32" t="inlineStr"/>
    </row>
    <row r="498">
      <c r="A498" s="32">
        <f>ROW()-12</f>
        <v/>
      </c>
      <c r="B498" s="33">
        <f>IF($P498="","",INDEX(GL_Journal!$D:$D,$P498))</f>
        <v/>
      </c>
      <c r="C498" s="32">
        <f>IF($P498="","",INDEX(GL_Journal!$C:$C,$P498))</f>
        <v/>
      </c>
      <c r="D498" s="32">
        <f>IF($P498="","",INDEX(GL_Journal!$E:$E,$P498))</f>
        <v/>
      </c>
      <c r="E498" s="32">
        <f>IF($P498="","",INDEX(GL_Journal!$F:$F,$P498))</f>
        <v/>
      </c>
      <c r="F498" s="32">
        <f>IF($P498="","",INDEX(GL_Journal!$G:$G,$P498))</f>
        <v/>
      </c>
      <c r="G498" s="32">
        <f>IF($P498="","",INDEX(GL_Journal!$H:$H,$P498))</f>
        <v/>
      </c>
      <c r="H498" s="32">
        <f>IF($P498="","",INDEX(GL_Journal!$I:$I,$P498))</f>
        <v/>
      </c>
      <c r="I498" s="32">
        <f>IF($P498="","",INDEX(GL_Journal!$J:$J,$P498))</f>
        <v/>
      </c>
      <c r="J498" s="32">
        <f>IF($P498="","",INDEX(GL_Journal!$K:$K,$P498))</f>
        <v/>
      </c>
      <c r="K498" s="32">
        <f>IF($P498="","",INDEX(GL_Journal!$L:$L,$P498))</f>
        <v/>
      </c>
      <c r="L498" s="43">
        <f>IF($P498="","",INDEX(GL_Journal!$M:$M,$P498))</f>
        <v/>
      </c>
      <c r="M498" s="43">
        <f>IF($P498="","",INDEX(GL_Journal!$N:$N,$P498))</f>
        <v/>
      </c>
      <c r="N498" s="47">
        <f>IF($P498="","",IF($A498=1,LG_Open,$N497)+$L498-$M498)</f>
        <v/>
      </c>
      <c r="O498" s="32">
        <f>IF($A498&gt;COUNT(GL_Journal!$Y:$Y),"",SMALL(GL_Journal!$Y:$Y,$A498))</f>
        <v/>
      </c>
      <c r="P498" s="32">
        <f>IF($O498="","",MATCH($O498,GL_Journal!$Y:$Y,0))</f>
        <v/>
      </c>
      <c r="Q498" s="32" t="inlineStr"/>
    </row>
    <row r="499">
      <c r="A499" s="32">
        <f>ROW()-12</f>
        <v/>
      </c>
      <c r="B499" s="33">
        <f>IF($P499="","",INDEX(GL_Journal!$D:$D,$P499))</f>
        <v/>
      </c>
      <c r="C499" s="32">
        <f>IF($P499="","",INDEX(GL_Journal!$C:$C,$P499))</f>
        <v/>
      </c>
      <c r="D499" s="32">
        <f>IF($P499="","",INDEX(GL_Journal!$E:$E,$P499))</f>
        <v/>
      </c>
      <c r="E499" s="32">
        <f>IF($P499="","",INDEX(GL_Journal!$F:$F,$P499))</f>
        <v/>
      </c>
      <c r="F499" s="32">
        <f>IF($P499="","",INDEX(GL_Journal!$G:$G,$P499))</f>
        <v/>
      </c>
      <c r="G499" s="32">
        <f>IF($P499="","",INDEX(GL_Journal!$H:$H,$P499))</f>
        <v/>
      </c>
      <c r="H499" s="32">
        <f>IF($P499="","",INDEX(GL_Journal!$I:$I,$P499))</f>
        <v/>
      </c>
      <c r="I499" s="32">
        <f>IF($P499="","",INDEX(GL_Journal!$J:$J,$P499))</f>
        <v/>
      </c>
      <c r="J499" s="32">
        <f>IF($P499="","",INDEX(GL_Journal!$K:$K,$P499))</f>
        <v/>
      </c>
      <c r="K499" s="32">
        <f>IF($P499="","",INDEX(GL_Journal!$L:$L,$P499))</f>
        <v/>
      </c>
      <c r="L499" s="43">
        <f>IF($P499="","",INDEX(GL_Journal!$M:$M,$P499))</f>
        <v/>
      </c>
      <c r="M499" s="43">
        <f>IF($P499="","",INDEX(GL_Journal!$N:$N,$P499))</f>
        <v/>
      </c>
      <c r="N499" s="47">
        <f>IF($P499="","",IF($A499=1,LG_Open,$N498)+$L499-$M499)</f>
        <v/>
      </c>
      <c r="O499" s="32">
        <f>IF($A499&gt;COUNT(GL_Journal!$Y:$Y),"",SMALL(GL_Journal!$Y:$Y,$A499))</f>
        <v/>
      </c>
      <c r="P499" s="32">
        <f>IF($O499="","",MATCH($O499,GL_Journal!$Y:$Y,0))</f>
        <v/>
      </c>
      <c r="Q499" s="32" t="inlineStr"/>
    </row>
    <row r="500">
      <c r="A500" s="32">
        <f>ROW()-12</f>
        <v/>
      </c>
      <c r="B500" s="33">
        <f>IF($P500="","",INDEX(GL_Journal!$D:$D,$P500))</f>
        <v/>
      </c>
      <c r="C500" s="32">
        <f>IF($P500="","",INDEX(GL_Journal!$C:$C,$P500))</f>
        <v/>
      </c>
      <c r="D500" s="32">
        <f>IF($P500="","",INDEX(GL_Journal!$E:$E,$P500))</f>
        <v/>
      </c>
      <c r="E500" s="32">
        <f>IF($P500="","",INDEX(GL_Journal!$F:$F,$P500))</f>
        <v/>
      </c>
      <c r="F500" s="32">
        <f>IF($P500="","",INDEX(GL_Journal!$G:$G,$P500))</f>
        <v/>
      </c>
      <c r="G500" s="32">
        <f>IF($P500="","",INDEX(GL_Journal!$H:$H,$P500))</f>
        <v/>
      </c>
      <c r="H500" s="32">
        <f>IF($P500="","",INDEX(GL_Journal!$I:$I,$P500))</f>
        <v/>
      </c>
      <c r="I500" s="32">
        <f>IF($P500="","",INDEX(GL_Journal!$J:$J,$P500))</f>
        <v/>
      </c>
      <c r="J500" s="32">
        <f>IF($P500="","",INDEX(GL_Journal!$K:$K,$P500))</f>
        <v/>
      </c>
      <c r="K500" s="32">
        <f>IF($P500="","",INDEX(GL_Journal!$L:$L,$P500))</f>
        <v/>
      </c>
      <c r="L500" s="43">
        <f>IF($P500="","",INDEX(GL_Journal!$M:$M,$P500))</f>
        <v/>
      </c>
      <c r="M500" s="43">
        <f>IF($P500="","",INDEX(GL_Journal!$N:$N,$P500))</f>
        <v/>
      </c>
      <c r="N500" s="47">
        <f>IF($P500="","",IF($A500=1,LG_Open,$N499)+$L500-$M500)</f>
        <v/>
      </c>
      <c r="O500" s="32">
        <f>IF($A500&gt;COUNT(GL_Journal!$Y:$Y),"",SMALL(GL_Journal!$Y:$Y,$A500))</f>
        <v/>
      </c>
      <c r="P500" s="32">
        <f>IF($O500="","",MATCH($O500,GL_Journal!$Y:$Y,0))</f>
        <v/>
      </c>
      <c r="Q500" s="32" t="inlineStr"/>
    </row>
    <row r="501">
      <c r="A501" s="32">
        <f>ROW()-12</f>
        <v/>
      </c>
      <c r="B501" s="33">
        <f>IF($P501="","",INDEX(GL_Journal!$D:$D,$P501))</f>
        <v/>
      </c>
      <c r="C501" s="32">
        <f>IF($P501="","",INDEX(GL_Journal!$C:$C,$P501))</f>
        <v/>
      </c>
      <c r="D501" s="32">
        <f>IF($P501="","",INDEX(GL_Journal!$E:$E,$P501))</f>
        <v/>
      </c>
      <c r="E501" s="32">
        <f>IF($P501="","",INDEX(GL_Journal!$F:$F,$P501))</f>
        <v/>
      </c>
      <c r="F501" s="32">
        <f>IF($P501="","",INDEX(GL_Journal!$G:$G,$P501))</f>
        <v/>
      </c>
      <c r="G501" s="32">
        <f>IF($P501="","",INDEX(GL_Journal!$H:$H,$P501))</f>
        <v/>
      </c>
      <c r="H501" s="32">
        <f>IF($P501="","",INDEX(GL_Journal!$I:$I,$P501))</f>
        <v/>
      </c>
      <c r="I501" s="32">
        <f>IF($P501="","",INDEX(GL_Journal!$J:$J,$P501))</f>
        <v/>
      </c>
      <c r="J501" s="32">
        <f>IF($P501="","",INDEX(GL_Journal!$K:$K,$P501))</f>
        <v/>
      </c>
      <c r="K501" s="32">
        <f>IF($P501="","",INDEX(GL_Journal!$L:$L,$P501))</f>
        <v/>
      </c>
      <c r="L501" s="43">
        <f>IF($P501="","",INDEX(GL_Journal!$M:$M,$P501))</f>
        <v/>
      </c>
      <c r="M501" s="43">
        <f>IF($P501="","",INDEX(GL_Journal!$N:$N,$P501))</f>
        <v/>
      </c>
      <c r="N501" s="47">
        <f>IF($P501="","",IF($A501=1,LG_Open,$N500)+$L501-$M501)</f>
        <v/>
      </c>
      <c r="O501" s="32">
        <f>IF($A501&gt;COUNT(GL_Journal!$Y:$Y),"",SMALL(GL_Journal!$Y:$Y,$A501))</f>
        <v/>
      </c>
      <c r="P501" s="32">
        <f>IF($O501="","",MATCH($O501,GL_Journal!$Y:$Y,0))</f>
        <v/>
      </c>
      <c r="Q501" s="32" t="inlineStr"/>
    </row>
    <row r="502">
      <c r="A502" s="32">
        <f>ROW()-12</f>
        <v/>
      </c>
      <c r="B502" s="33">
        <f>IF($P502="","",INDEX(GL_Journal!$D:$D,$P502))</f>
        <v/>
      </c>
      <c r="C502" s="32">
        <f>IF($P502="","",INDEX(GL_Journal!$C:$C,$P502))</f>
        <v/>
      </c>
      <c r="D502" s="32">
        <f>IF($P502="","",INDEX(GL_Journal!$E:$E,$P502))</f>
        <v/>
      </c>
      <c r="E502" s="32">
        <f>IF($P502="","",INDEX(GL_Journal!$F:$F,$P502))</f>
        <v/>
      </c>
      <c r="F502" s="32">
        <f>IF($P502="","",INDEX(GL_Journal!$G:$G,$P502))</f>
        <v/>
      </c>
      <c r="G502" s="32">
        <f>IF($P502="","",INDEX(GL_Journal!$H:$H,$P502))</f>
        <v/>
      </c>
      <c r="H502" s="32">
        <f>IF($P502="","",INDEX(GL_Journal!$I:$I,$P502))</f>
        <v/>
      </c>
      <c r="I502" s="32">
        <f>IF($P502="","",INDEX(GL_Journal!$J:$J,$P502))</f>
        <v/>
      </c>
      <c r="J502" s="32">
        <f>IF($P502="","",INDEX(GL_Journal!$K:$K,$P502))</f>
        <v/>
      </c>
      <c r="K502" s="32">
        <f>IF($P502="","",INDEX(GL_Journal!$L:$L,$P502))</f>
        <v/>
      </c>
      <c r="L502" s="43">
        <f>IF($P502="","",INDEX(GL_Journal!$M:$M,$P502))</f>
        <v/>
      </c>
      <c r="M502" s="43">
        <f>IF($P502="","",INDEX(GL_Journal!$N:$N,$P502))</f>
        <v/>
      </c>
      <c r="N502" s="47">
        <f>IF($P502="","",IF($A502=1,LG_Open,$N501)+$L502-$M502)</f>
        <v/>
      </c>
      <c r="O502" s="32">
        <f>IF($A502&gt;COUNT(GL_Journal!$Y:$Y),"",SMALL(GL_Journal!$Y:$Y,$A502))</f>
        <v/>
      </c>
      <c r="P502" s="32">
        <f>IF($O502="","",MATCH($O502,GL_Journal!$Y:$Y,0))</f>
        <v/>
      </c>
      <c r="Q502" s="32" t="inlineStr"/>
    </row>
    <row r="503">
      <c r="A503" s="32">
        <f>ROW()-12</f>
        <v/>
      </c>
      <c r="B503" s="33">
        <f>IF($P503="","",INDEX(GL_Journal!$D:$D,$P503))</f>
        <v/>
      </c>
      <c r="C503" s="32">
        <f>IF($P503="","",INDEX(GL_Journal!$C:$C,$P503))</f>
        <v/>
      </c>
      <c r="D503" s="32">
        <f>IF($P503="","",INDEX(GL_Journal!$E:$E,$P503))</f>
        <v/>
      </c>
      <c r="E503" s="32">
        <f>IF($P503="","",INDEX(GL_Journal!$F:$F,$P503))</f>
        <v/>
      </c>
      <c r="F503" s="32">
        <f>IF($P503="","",INDEX(GL_Journal!$G:$G,$P503))</f>
        <v/>
      </c>
      <c r="G503" s="32">
        <f>IF($P503="","",INDEX(GL_Journal!$H:$H,$P503))</f>
        <v/>
      </c>
      <c r="H503" s="32">
        <f>IF($P503="","",INDEX(GL_Journal!$I:$I,$P503))</f>
        <v/>
      </c>
      <c r="I503" s="32">
        <f>IF($P503="","",INDEX(GL_Journal!$J:$J,$P503))</f>
        <v/>
      </c>
      <c r="J503" s="32">
        <f>IF($P503="","",INDEX(GL_Journal!$K:$K,$P503))</f>
        <v/>
      </c>
      <c r="K503" s="32">
        <f>IF($P503="","",INDEX(GL_Journal!$L:$L,$P503))</f>
        <v/>
      </c>
      <c r="L503" s="43">
        <f>IF($P503="","",INDEX(GL_Journal!$M:$M,$P503))</f>
        <v/>
      </c>
      <c r="M503" s="43">
        <f>IF($P503="","",INDEX(GL_Journal!$N:$N,$P503))</f>
        <v/>
      </c>
      <c r="N503" s="47">
        <f>IF($P503="","",IF($A503=1,LG_Open,$N502)+$L503-$M503)</f>
        <v/>
      </c>
      <c r="O503" s="32">
        <f>IF($A503&gt;COUNT(GL_Journal!$Y:$Y),"",SMALL(GL_Journal!$Y:$Y,$A503))</f>
        <v/>
      </c>
      <c r="P503" s="32">
        <f>IF($O503="","",MATCH($O503,GL_Journal!$Y:$Y,0))</f>
        <v/>
      </c>
      <c r="Q503" s="32" t="inlineStr"/>
    </row>
    <row r="504">
      <c r="A504" s="32">
        <f>ROW()-12</f>
        <v/>
      </c>
      <c r="B504" s="33">
        <f>IF($P504="","",INDEX(GL_Journal!$D:$D,$P504))</f>
        <v/>
      </c>
      <c r="C504" s="32">
        <f>IF($P504="","",INDEX(GL_Journal!$C:$C,$P504))</f>
        <v/>
      </c>
      <c r="D504" s="32">
        <f>IF($P504="","",INDEX(GL_Journal!$E:$E,$P504))</f>
        <v/>
      </c>
      <c r="E504" s="32">
        <f>IF($P504="","",INDEX(GL_Journal!$F:$F,$P504))</f>
        <v/>
      </c>
      <c r="F504" s="32">
        <f>IF($P504="","",INDEX(GL_Journal!$G:$G,$P504))</f>
        <v/>
      </c>
      <c r="G504" s="32">
        <f>IF($P504="","",INDEX(GL_Journal!$H:$H,$P504))</f>
        <v/>
      </c>
      <c r="H504" s="32">
        <f>IF($P504="","",INDEX(GL_Journal!$I:$I,$P504))</f>
        <v/>
      </c>
      <c r="I504" s="32">
        <f>IF($P504="","",INDEX(GL_Journal!$J:$J,$P504))</f>
        <v/>
      </c>
      <c r="J504" s="32">
        <f>IF($P504="","",INDEX(GL_Journal!$K:$K,$P504))</f>
        <v/>
      </c>
      <c r="K504" s="32">
        <f>IF($P504="","",INDEX(GL_Journal!$L:$L,$P504))</f>
        <v/>
      </c>
      <c r="L504" s="43">
        <f>IF($P504="","",INDEX(GL_Journal!$M:$M,$P504))</f>
        <v/>
      </c>
      <c r="M504" s="43">
        <f>IF($P504="","",INDEX(GL_Journal!$N:$N,$P504))</f>
        <v/>
      </c>
      <c r="N504" s="47">
        <f>IF($P504="","",IF($A504=1,LG_Open,$N503)+$L504-$M504)</f>
        <v/>
      </c>
      <c r="O504" s="32">
        <f>IF($A504&gt;COUNT(GL_Journal!$Y:$Y),"",SMALL(GL_Journal!$Y:$Y,$A504))</f>
        <v/>
      </c>
      <c r="P504" s="32">
        <f>IF($O504="","",MATCH($O504,GL_Journal!$Y:$Y,0))</f>
        <v/>
      </c>
      <c r="Q504" s="32" t="inlineStr"/>
    </row>
    <row r="505">
      <c r="A505" s="32">
        <f>ROW()-12</f>
        <v/>
      </c>
      <c r="B505" s="33">
        <f>IF($P505="","",INDEX(GL_Journal!$D:$D,$P505))</f>
        <v/>
      </c>
      <c r="C505" s="32">
        <f>IF($P505="","",INDEX(GL_Journal!$C:$C,$P505))</f>
        <v/>
      </c>
      <c r="D505" s="32">
        <f>IF($P505="","",INDEX(GL_Journal!$E:$E,$P505))</f>
        <v/>
      </c>
      <c r="E505" s="32">
        <f>IF($P505="","",INDEX(GL_Journal!$F:$F,$P505))</f>
        <v/>
      </c>
      <c r="F505" s="32">
        <f>IF($P505="","",INDEX(GL_Journal!$G:$G,$P505))</f>
        <v/>
      </c>
      <c r="G505" s="32">
        <f>IF($P505="","",INDEX(GL_Journal!$H:$H,$P505))</f>
        <v/>
      </c>
      <c r="H505" s="32">
        <f>IF($P505="","",INDEX(GL_Journal!$I:$I,$P505))</f>
        <v/>
      </c>
      <c r="I505" s="32">
        <f>IF($P505="","",INDEX(GL_Journal!$J:$J,$P505))</f>
        <v/>
      </c>
      <c r="J505" s="32">
        <f>IF($P505="","",INDEX(GL_Journal!$K:$K,$P505))</f>
        <v/>
      </c>
      <c r="K505" s="32">
        <f>IF($P505="","",INDEX(GL_Journal!$L:$L,$P505))</f>
        <v/>
      </c>
      <c r="L505" s="43">
        <f>IF($P505="","",INDEX(GL_Journal!$M:$M,$P505))</f>
        <v/>
      </c>
      <c r="M505" s="43">
        <f>IF($P505="","",INDEX(GL_Journal!$N:$N,$P505))</f>
        <v/>
      </c>
      <c r="N505" s="47">
        <f>IF($P505="","",IF($A505=1,LG_Open,$N504)+$L505-$M505)</f>
        <v/>
      </c>
      <c r="O505" s="32">
        <f>IF($A505&gt;COUNT(GL_Journal!$Y:$Y),"",SMALL(GL_Journal!$Y:$Y,$A505))</f>
        <v/>
      </c>
      <c r="P505" s="32">
        <f>IF($O505="","",MATCH($O505,GL_Journal!$Y:$Y,0))</f>
        <v/>
      </c>
      <c r="Q505" s="32" t="inlineStr"/>
    </row>
    <row r="506">
      <c r="A506" s="32">
        <f>ROW()-12</f>
        <v/>
      </c>
      <c r="B506" s="33">
        <f>IF($P506="","",INDEX(GL_Journal!$D:$D,$P506))</f>
        <v/>
      </c>
      <c r="C506" s="32">
        <f>IF($P506="","",INDEX(GL_Journal!$C:$C,$P506))</f>
        <v/>
      </c>
      <c r="D506" s="32">
        <f>IF($P506="","",INDEX(GL_Journal!$E:$E,$P506))</f>
        <v/>
      </c>
      <c r="E506" s="32">
        <f>IF($P506="","",INDEX(GL_Journal!$F:$F,$P506))</f>
        <v/>
      </c>
      <c r="F506" s="32">
        <f>IF($P506="","",INDEX(GL_Journal!$G:$G,$P506))</f>
        <v/>
      </c>
      <c r="G506" s="32">
        <f>IF($P506="","",INDEX(GL_Journal!$H:$H,$P506))</f>
        <v/>
      </c>
      <c r="H506" s="32">
        <f>IF($P506="","",INDEX(GL_Journal!$I:$I,$P506))</f>
        <v/>
      </c>
      <c r="I506" s="32">
        <f>IF($P506="","",INDEX(GL_Journal!$J:$J,$P506))</f>
        <v/>
      </c>
      <c r="J506" s="32">
        <f>IF($P506="","",INDEX(GL_Journal!$K:$K,$P506))</f>
        <v/>
      </c>
      <c r="K506" s="32">
        <f>IF($P506="","",INDEX(GL_Journal!$L:$L,$P506))</f>
        <v/>
      </c>
      <c r="L506" s="43">
        <f>IF($P506="","",INDEX(GL_Journal!$M:$M,$P506))</f>
        <v/>
      </c>
      <c r="M506" s="43">
        <f>IF($P506="","",INDEX(GL_Journal!$N:$N,$P506))</f>
        <v/>
      </c>
      <c r="N506" s="47">
        <f>IF($P506="","",IF($A506=1,LG_Open,$N505)+$L506-$M506)</f>
        <v/>
      </c>
      <c r="O506" s="32">
        <f>IF($A506&gt;COUNT(GL_Journal!$Y:$Y),"",SMALL(GL_Journal!$Y:$Y,$A506))</f>
        <v/>
      </c>
      <c r="P506" s="32">
        <f>IF($O506="","",MATCH($O506,GL_Journal!$Y:$Y,0))</f>
        <v/>
      </c>
      <c r="Q506" s="32" t="inlineStr"/>
    </row>
    <row r="507">
      <c r="A507" s="32">
        <f>ROW()-12</f>
        <v/>
      </c>
      <c r="B507" s="33">
        <f>IF($P507="","",INDEX(GL_Journal!$D:$D,$P507))</f>
        <v/>
      </c>
      <c r="C507" s="32">
        <f>IF($P507="","",INDEX(GL_Journal!$C:$C,$P507))</f>
        <v/>
      </c>
      <c r="D507" s="32">
        <f>IF($P507="","",INDEX(GL_Journal!$E:$E,$P507))</f>
        <v/>
      </c>
      <c r="E507" s="32">
        <f>IF($P507="","",INDEX(GL_Journal!$F:$F,$P507))</f>
        <v/>
      </c>
      <c r="F507" s="32">
        <f>IF($P507="","",INDEX(GL_Journal!$G:$G,$P507))</f>
        <v/>
      </c>
      <c r="G507" s="32">
        <f>IF($P507="","",INDEX(GL_Journal!$H:$H,$P507))</f>
        <v/>
      </c>
      <c r="H507" s="32">
        <f>IF($P507="","",INDEX(GL_Journal!$I:$I,$P507))</f>
        <v/>
      </c>
      <c r="I507" s="32">
        <f>IF($P507="","",INDEX(GL_Journal!$J:$J,$P507))</f>
        <v/>
      </c>
      <c r="J507" s="32">
        <f>IF($P507="","",INDEX(GL_Journal!$K:$K,$P507))</f>
        <v/>
      </c>
      <c r="K507" s="32">
        <f>IF($P507="","",INDEX(GL_Journal!$L:$L,$P507))</f>
        <v/>
      </c>
      <c r="L507" s="43">
        <f>IF($P507="","",INDEX(GL_Journal!$M:$M,$P507))</f>
        <v/>
      </c>
      <c r="M507" s="43">
        <f>IF($P507="","",INDEX(GL_Journal!$N:$N,$P507))</f>
        <v/>
      </c>
      <c r="N507" s="47">
        <f>IF($P507="","",IF($A507=1,LG_Open,$N506)+$L507-$M507)</f>
        <v/>
      </c>
      <c r="O507" s="32">
        <f>IF($A507&gt;COUNT(GL_Journal!$Y:$Y),"",SMALL(GL_Journal!$Y:$Y,$A507))</f>
        <v/>
      </c>
      <c r="P507" s="32">
        <f>IF($O507="","",MATCH($O507,GL_Journal!$Y:$Y,0))</f>
        <v/>
      </c>
      <c r="Q507" s="32" t="inlineStr"/>
    </row>
    <row r="508">
      <c r="A508" s="32">
        <f>ROW()-12</f>
        <v/>
      </c>
      <c r="B508" s="33">
        <f>IF($P508="","",INDEX(GL_Journal!$D:$D,$P508))</f>
        <v/>
      </c>
      <c r="C508" s="32">
        <f>IF($P508="","",INDEX(GL_Journal!$C:$C,$P508))</f>
        <v/>
      </c>
      <c r="D508" s="32">
        <f>IF($P508="","",INDEX(GL_Journal!$E:$E,$P508))</f>
        <v/>
      </c>
      <c r="E508" s="32">
        <f>IF($P508="","",INDEX(GL_Journal!$F:$F,$P508))</f>
        <v/>
      </c>
      <c r="F508" s="32">
        <f>IF($P508="","",INDEX(GL_Journal!$G:$G,$P508))</f>
        <v/>
      </c>
      <c r="G508" s="32">
        <f>IF($P508="","",INDEX(GL_Journal!$H:$H,$P508))</f>
        <v/>
      </c>
      <c r="H508" s="32">
        <f>IF($P508="","",INDEX(GL_Journal!$I:$I,$P508))</f>
        <v/>
      </c>
      <c r="I508" s="32">
        <f>IF($P508="","",INDEX(GL_Journal!$J:$J,$P508))</f>
        <v/>
      </c>
      <c r="J508" s="32">
        <f>IF($P508="","",INDEX(GL_Journal!$K:$K,$P508))</f>
        <v/>
      </c>
      <c r="K508" s="32">
        <f>IF($P508="","",INDEX(GL_Journal!$L:$L,$P508))</f>
        <v/>
      </c>
      <c r="L508" s="43">
        <f>IF($P508="","",INDEX(GL_Journal!$M:$M,$P508))</f>
        <v/>
      </c>
      <c r="M508" s="43">
        <f>IF($P508="","",INDEX(GL_Journal!$N:$N,$P508))</f>
        <v/>
      </c>
      <c r="N508" s="47">
        <f>IF($P508="","",IF($A508=1,LG_Open,$N507)+$L508-$M508)</f>
        <v/>
      </c>
      <c r="O508" s="32">
        <f>IF($A508&gt;COUNT(GL_Journal!$Y:$Y),"",SMALL(GL_Journal!$Y:$Y,$A508))</f>
        <v/>
      </c>
      <c r="P508" s="32">
        <f>IF($O508="","",MATCH($O508,GL_Journal!$Y:$Y,0))</f>
        <v/>
      </c>
      <c r="Q508" s="32" t="inlineStr"/>
    </row>
    <row r="509">
      <c r="A509" s="32">
        <f>ROW()-12</f>
        <v/>
      </c>
      <c r="B509" s="33">
        <f>IF($P509="","",INDEX(GL_Journal!$D:$D,$P509))</f>
        <v/>
      </c>
      <c r="C509" s="32">
        <f>IF($P509="","",INDEX(GL_Journal!$C:$C,$P509))</f>
        <v/>
      </c>
      <c r="D509" s="32">
        <f>IF($P509="","",INDEX(GL_Journal!$E:$E,$P509))</f>
        <v/>
      </c>
      <c r="E509" s="32">
        <f>IF($P509="","",INDEX(GL_Journal!$F:$F,$P509))</f>
        <v/>
      </c>
      <c r="F509" s="32">
        <f>IF($P509="","",INDEX(GL_Journal!$G:$G,$P509))</f>
        <v/>
      </c>
      <c r="G509" s="32">
        <f>IF($P509="","",INDEX(GL_Journal!$H:$H,$P509))</f>
        <v/>
      </c>
      <c r="H509" s="32">
        <f>IF($P509="","",INDEX(GL_Journal!$I:$I,$P509))</f>
        <v/>
      </c>
      <c r="I509" s="32">
        <f>IF($P509="","",INDEX(GL_Journal!$J:$J,$P509))</f>
        <v/>
      </c>
      <c r="J509" s="32">
        <f>IF($P509="","",INDEX(GL_Journal!$K:$K,$P509))</f>
        <v/>
      </c>
      <c r="K509" s="32">
        <f>IF($P509="","",INDEX(GL_Journal!$L:$L,$P509))</f>
        <v/>
      </c>
      <c r="L509" s="43">
        <f>IF($P509="","",INDEX(GL_Journal!$M:$M,$P509))</f>
        <v/>
      </c>
      <c r="M509" s="43">
        <f>IF($P509="","",INDEX(GL_Journal!$N:$N,$P509))</f>
        <v/>
      </c>
      <c r="N509" s="47">
        <f>IF($P509="","",IF($A509=1,LG_Open,$N508)+$L509-$M509)</f>
        <v/>
      </c>
      <c r="O509" s="32">
        <f>IF($A509&gt;COUNT(GL_Journal!$Y:$Y),"",SMALL(GL_Journal!$Y:$Y,$A509))</f>
        <v/>
      </c>
      <c r="P509" s="32">
        <f>IF($O509="","",MATCH($O509,GL_Journal!$Y:$Y,0))</f>
        <v/>
      </c>
      <c r="Q509" s="32" t="inlineStr"/>
    </row>
    <row r="510">
      <c r="A510" s="32">
        <f>ROW()-12</f>
        <v/>
      </c>
      <c r="B510" s="33">
        <f>IF($P510="","",INDEX(GL_Journal!$D:$D,$P510))</f>
        <v/>
      </c>
      <c r="C510" s="32">
        <f>IF($P510="","",INDEX(GL_Journal!$C:$C,$P510))</f>
        <v/>
      </c>
      <c r="D510" s="32">
        <f>IF($P510="","",INDEX(GL_Journal!$E:$E,$P510))</f>
        <v/>
      </c>
      <c r="E510" s="32">
        <f>IF($P510="","",INDEX(GL_Journal!$F:$F,$P510))</f>
        <v/>
      </c>
      <c r="F510" s="32">
        <f>IF($P510="","",INDEX(GL_Journal!$G:$G,$P510))</f>
        <v/>
      </c>
      <c r="G510" s="32">
        <f>IF($P510="","",INDEX(GL_Journal!$H:$H,$P510))</f>
        <v/>
      </c>
      <c r="H510" s="32">
        <f>IF($P510="","",INDEX(GL_Journal!$I:$I,$P510))</f>
        <v/>
      </c>
      <c r="I510" s="32">
        <f>IF($P510="","",INDEX(GL_Journal!$J:$J,$P510))</f>
        <v/>
      </c>
      <c r="J510" s="32">
        <f>IF($P510="","",INDEX(GL_Journal!$K:$K,$P510))</f>
        <v/>
      </c>
      <c r="K510" s="32">
        <f>IF($P510="","",INDEX(GL_Journal!$L:$L,$P510))</f>
        <v/>
      </c>
      <c r="L510" s="43">
        <f>IF($P510="","",INDEX(GL_Journal!$M:$M,$P510))</f>
        <v/>
      </c>
      <c r="M510" s="43">
        <f>IF($P510="","",INDEX(GL_Journal!$N:$N,$P510))</f>
        <v/>
      </c>
      <c r="N510" s="47">
        <f>IF($P510="","",IF($A510=1,LG_Open,$N509)+$L510-$M510)</f>
        <v/>
      </c>
      <c r="O510" s="32">
        <f>IF($A510&gt;COUNT(GL_Journal!$Y:$Y),"",SMALL(GL_Journal!$Y:$Y,$A510))</f>
        <v/>
      </c>
      <c r="P510" s="32">
        <f>IF($O510="","",MATCH($O510,GL_Journal!$Y:$Y,0))</f>
        <v/>
      </c>
      <c r="Q510" s="32" t="inlineStr"/>
    </row>
    <row r="511">
      <c r="A511" s="32">
        <f>ROW()-12</f>
        <v/>
      </c>
      <c r="B511" s="33">
        <f>IF($P511="","",INDEX(GL_Journal!$D:$D,$P511))</f>
        <v/>
      </c>
      <c r="C511" s="32">
        <f>IF($P511="","",INDEX(GL_Journal!$C:$C,$P511))</f>
        <v/>
      </c>
      <c r="D511" s="32">
        <f>IF($P511="","",INDEX(GL_Journal!$E:$E,$P511))</f>
        <v/>
      </c>
      <c r="E511" s="32">
        <f>IF($P511="","",INDEX(GL_Journal!$F:$F,$P511))</f>
        <v/>
      </c>
      <c r="F511" s="32">
        <f>IF($P511="","",INDEX(GL_Journal!$G:$G,$P511))</f>
        <v/>
      </c>
      <c r="G511" s="32">
        <f>IF($P511="","",INDEX(GL_Journal!$H:$H,$P511))</f>
        <v/>
      </c>
      <c r="H511" s="32">
        <f>IF($P511="","",INDEX(GL_Journal!$I:$I,$P511))</f>
        <v/>
      </c>
      <c r="I511" s="32">
        <f>IF($P511="","",INDEX(GL_Journal!$J:$J,$P511))</f>
        <v/>
      </c>
      <c r="J511" s="32">
        <f>IF($P511="","",INDEX(GL_Journal!$K:$K,$P511))</f>
        <v/>
      </c>
      <c r="K511" s="32">
        <f>IF($P511="","",INDEX(GL_Journal!$L:$L,$P511))</f>
        <v/>
      </c>
      <c r="L511" s="43">
        <f>IF($P511="","",INDEX(GL_Journal!$M:$M,$P511))</f>
        <v/>
      </c>
      <c r="M511" s="43">
        <f>IF($P511="","",INDEX(GL_Journal!$N:$N,$P511))</f>
        <v/>
      </c>
      <c r="N511" s="47">
        <f>IF($P511="","",IF($A511=1,LG_Open,$N510)+$L511-$M511)</f>
        <v/>
      </c>
      <c r="O511" s="32">
        <f>IF($A511&gt;COUNT(GL_Journal!$Y:$Y),"",SMALL(GL_Journal!$Y:$Y,$A511))</f>
        <v/>
      </c>
      <c r="P511" s="32">
        <f>IF($O511="","",MATCH($O511,GL_Journal!$Y:$Y,0))</f>
        <v/>
      </c>
      <c r="Q511" s="32" t="inlineStr"/>
    </row>
    <row r="512">
      <c r="A512" s="32">
        <f>ROW()-12</f>
        <v/>
      </c>
      <c r="B512" s="33">
        <f>IF($P512="","",INDEX(GL_Journal!$D:$D,$P512))</f>
        <v/>
      </c>
      <c r="C512" s="32">
        <f>IF($P512="","",INDEX(GL_Journal!$C:$C,$P512))</f>
        <v/>
      </c>
      <c r="D512" s="32">
        <f>IF($P512="","",INDEX(GL_Journal!$E:$E,$P512))</f>
        <v/>
      </c>
      <c r="E512" s="32">
        <f>IF($P512="","",INDEX(GL_Journal!$F:$F,$P512))</f>
        <v/>
      </c>
      <c r="F512" s="32">
        <f>IF($P512="","",INDEX(GL_Journal!$G:$G,$P512))</f>
        <v/>
      </c>
      <c r="G512" s="32">
        <f>IF($P512="","",INDEX(GL_Journal!$H:$H,$P512))</f>
        <v/>
      </c>
      <c r="H512" s="32">
        <f>IF($P512="","",INDEX(GL_Journal!$I:$I,$P512))</f>
        <v/>
      </c>
      <c r="I512" s="32">
        <f>IF($P512="","",INDEX(GL_Journal!$J:$J,$P512))</f>
        <v/>
      </c>
      <c r="J512" s="32">
        <f>IF($P512="","",INDEX(GL_Journal!$K:$K,$P512))</f>
        <v/>
      </c>
      <c r="K512" s="32">
        <f>IF($P512="","",INDEX(GL_Journal!$L:$L,$P512))</f>
        <v/>
      </c>
      <c r="L512" s="43">
        <f>IF($P512="","",INDEX(GL_Journal!$M:$M,$P512))</f>
        <v/>
      </c>
      <c r="M512" s="43">
        <f>IF($P512="","",INDEX(GL_Journal!$N:$N,$P512))</f>
        <v/>
      </c>
      <c r="N512" s="47">
        <f>IF($P512="","",IF($A512=1,LG_Open,$N511)+$L512-$M512)</f>
        <v/>
      </c>
      <c r="O512" s="32">
        <f>IF($A512&gt;COUNT(GL_Journal!$Y:$Y),"",SMALL(GL_Journal!$Y:$Y,$A512))</f>
        <v/>
      </c>
      <c r="P512" s="32">
        <f>IF($O512="","",MATCH($O512,GL_Journal!$Y:$Y,0))</f>
        <v/>
      </c>
      <c r="Q512" s="32" t="inlineStr"/>
    </row>
  </sheetData>
  <sheetProtection selectLockedCells="0" selectUnlockedCells="0" sheet="1" objects="0" insertRows="1" insertHyperlinks="1" autoFilter="0" scenarios="0" formatColumns="0" deleteColumns="1" insertColumns="1" pivotTables="1" deleteRows="1" formatCells="0" formatRows="0" sort="1"/>
  <autoFilter ref="A12:Q512"/>
  <conditionalFormatting sqref="Q13:Q512">
    <cfRule type="expression" priority="1" dxfId="3">
      <formula>LEN(Q13)&gt;0</formula>
    </cfRule>
  </conditionalFormatting>
  <pageMargins left="0.75" right="0.75" top="1" bottom="1" header="0.5" footer="0.5"/>
  <pageSetup orientation="landscape" fitToHeight="0" fitToWidth="1"/>
</worksheet>
</file>

<file path=xl/worksheets/sheet41.xml><?xml version="1.0" encoding="utf-8"?>
<worksheet xmlns="http://schemas.openxmlformats.org/spreadsheetml/2006/main">
  <sheetPr>
    <tabColor rgb="00C00000"/>
    <outlinePr summaryBelow="1" summaryRight="1"/>
    <pageSetUpPr fitToPage="1"/>
  </sheetPr>
  <dimension ref="A1:M264"/>
  <sheetViews>
    <sheetView rightToLeft="1" zoomScale="90" workbookViewId="0">
      <pane xSplit="1" ySplit="14" topLeftCell="B15"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17" customWidth="1" min="3" max="3"/>
    <col width="16" customWidth="1" min="4" max="4"/>
    <col width="16" customWidth="1" min="5" max="5"/>
    <col width="16" customWidth="1" min="6" max="6"/>
    <col width="16" customWidth="1" min="7" max="7"/>
    <col hidden="1" width="16" customWidth="1" min="8" max="8"/>
    <col width="7" customWidth="1" min="9" max="9"/>
    <col width="8" customWidth="1" min="10" max="10"/>
    <col hidden="1" width="8" customWidth="1" min="11" max="11"/>
    <col hidden="1" width="8" customWidth="1" min="12" max="12"/>
    <col hidden="1" width="6" customWidth="1" min="13" max="13"/>
  </cols>
  <sheetData>
    <row r="1" ht="26" customHeight="1">
      <c r="A1" s="22" t="inlineStr">
        <is>
          <t>ميزان المراجعة (Trial Balance)</t>
        </is>
      </c>
      <c r="B1" s="1" t="n"/>
      <c r="C1" s="1" t="n"/>
      <c r="D1" s="1" t="n"/>
      <c r="E1" s="1" t="n"/>
      <c r="F1" s="1" t="n"/>
      <c r="G1" s="1" t="n"/>
      <c r="H1" s="1" t="n"/>
      <c r="I1" s="1" t="n"/>
      <c r="J1" s="1" t="n"/>
      <c r="K1" s="1" t="n"/>
      <c r="L1" s="1" t="n"/>
      <c r="M1" s="1" t="n"/>
    </row>
    <row r="2">
      <c r="A2" s="35" t="inlineStr">
        <is>
          <t>يقرأ من دفتر اليومية العام (الأسطر المرحّلة فقط). الحسابات الرئيسية تعرض مجاميع النطاق. الإجماليات تُحسب من الحسابات القابلة للترحيل فقط. أي فرق بين المدين والدائن = خطأ يمنع الإقفال.</t>
        </is>
      </c>
    </row>
    <row r="3">
      <c r="A3" s="36" t="inlineStr">
        <is>
          <t>خلايا الإدخال</t>
        </is>
      </c>
      <c r="B3" s="37" t="inlineStr">
        <is>
          <t>معادلات (لا تعدّل)</t>
        </is>
      </c>
    </row>
    <row r="4">
      <c r="B4" s="53" t="inlineStr">
        <is>
          <t>من تاريخ</t>
        </is>
      </c>
      <c r="C4" s="31">
        <f>S_From</f>
        <v/>
      </c>
      <c r="D4" s="32" t="inlineStr">
        <is>
          <t>معيار الفرع</t>
        </is>
      </c>
      <c r="E4" s="32">
        <f>IF(TB_Branch="ALL","&lt;&gt;",TB_Branch)</f>
        <v/>
      </c>
    </row>
    <row r="5">
      <c r="B5" s="53" t="inlineStr">
        <is>
          <t>إلى تاريخ</t>
        </is>
      </c>
      <c r="C5" s="31">
        <f>S_To</f>
        <v/>
      </c>
      <c r="D5" s="32" t="inlineStr">
        <is>
          <t>معيار م.ت</t>
        </is>
      </c>
      <c r="E5" s="32">
        <f>IF(TB_CC="ALL","&lt;&gt;",TB_CC)</f>
        <v/>
      </c>
    </row>
    <row r="6">
      <c r="B6" s="53" t="inlineStr">
        <is>
          <t>الفرع (ALL = الكل)</t>
        </is>
      </c>
      <c r="C6" s="29">
        <f>S_Branch</f>
        <v/>
      </c>
    </row>
    <row r="7">
      <c r="B7" s="53" t="inlineStr">
        <is>
          <t>مركز التكلفة (ALL = الكل)</t>
        </is>
      </c>
      <c r="C7" s="29">
        <f>S_CC</f>
        <v/>
      </c>
    </row>
    <row r="9">
      <c r="B9" s="53" t="inlineStr">
        <is>
          <t>الإجماليات (الحسابات القابلة للترحيل فقط)</t>
        </is>
      </c>
      <c r="C9" s="59" t="inlineStr">
        <is>
          <t>رصيد افتتاحي صافي</t>
        </is>
      </c>
      <c r="D9" s="59" t="inlineStr">
        <is>
          <t>حركة مدين</t>
        </is>
      </c>
      <c r="E9" s="59" t="inlineStr">
        <is>
          <t>حركة دائن</t>
        </is>
      </c>
      <c r="F9" s="59" t="inlineStr">
        <is>
          <t>ختامي مدين</t>
        </is>
      </c>
      <c r="G9" s="59" t="inlineStr">
        <is>
          <t>ختامي دائن</t>
        </is>
      </c>
      <c r="H9" s="59" t="inlineStr">
        <is>
          <t>الفرق (مدين - دائن)</t>
        </is>
      </c>
    </row>
    <row r="10">
      <c r="B10" s="3" t="inlineStr">
        <is>
          <t>الإجمالي</t>
        </is>
      </c>
      <c r="C10" s="60">
        <f>SUMIFS($C$15:$C$264,$J$15:$J$264,"نعم")</f>
        <v/>
      </c>
      <c r="D10" s="61">
        <f>SUMIFS($D$15:$D$264,$J$15:$J$264,"نعم")</f>
        <v/>
      </c>
      <c r="E10" s="61">
        <f>SUMIFS($E$15:$E$264,$J$15:$J$264,"نعم")</f>
        <v/>
      </c>
      <c r="F10" s="61">
        <f>SUMIFS($F$15:$F$264,$J$15:$J$264,"نعم")</f>
        <v/>
      </c>
      <c r="G10" s="61">
        <f>SUMIFS($G$15:$G$264,$J$15:$J$264,"نعم")</f>
        <v/>
      </c>
      <c r="H10" s="62">
        <f>ROUND(F10-G10,2)</f>
        <v/>
      </c>
    </row>
    <row r="11">
      <c r="B11" s="3" t="inlineStr">
        <is>
          <t>حالة الميزان</t>
        </is>
      </c>
      <c r="C11" s="3">
        <f>IF(AND(ABS(H10)&lt;=S_Tol,ABS(D10-E10)&lt;=S_Tol,ABS(C10)&lt;=S_Tol),"✔ متوازن","✖ غير متوازن - يمنع الإقفال")</f>
        <v/>
      </c>
      <c r="D11" s="4" t="n"/>
      <c r="E11" s="5" t="n"/>
    </row>
    <row r="12">
      <c r="B12" s="3" t="inlineStr">
        <is>
          <t>مطابقة الأستاذ: (المدين المرحّل - الدائن المرحّل) لكل الدفتر</t>
        </is>
      </c>
      <c r="C12" s="60">
        <f>ROUND(SUM(GL_Journal!$S:$S)-SUM(GL_Journal!$T:$T),2)</f>
        <v/>
      </c>
      <c r="D12" s="3">
        <f>IF(ABS(C12)&lt;=S_Tol,"✔ متطابق","✖ فرق في الأستاذ")</f>
        <v/>
      </c>
    </row>
    <row r="14" ht="34" customHeight="1">
      <c r="A14" s="38" t="inlineStr">
        <is>
          <t>كود</t>
        </is>
      </c>
      <c r="B14" s="38" t="inlineStr">
        <is>
          <t>اسم الحساب</t>
        </is>
      </c>
      <c r="C14" s="38" t="inlineStr">
        <is>
          <t>رصيد افتتاحي (مدين+/دائن-)</t>
        </is>
      </c>
      <c r="D14" s="38" t="inlineStr">
        <is>
          <t>حركة مدين</t>
        </is>
      </c>
      <c r="E14" s="38" t="inlineStr">
        <is>
          <t>حركة دائن</t>
        </is>
      </c>
      <c r="F14" s="38" t="inlineStr">
        <is>
          <t>ختامي مدين</t>
        </is>
      </c>
      <c r="G14" s="38" t="inlineStr">
        <is>
          <t>ختامي دائن</t>
        </is>
      </c>
      <c r="H14" s="38" t="inlineStr">
        <is>
          <t>رصيد ختامي صافي</t>
        </is>
      </c>
      <c r="I14" s="38" t="inlineStr">
        <is>
          <t>مستوى</t>
        </is>
      </c>
      <c r="J14" s="38" t="inlineStr">
        <is>
          <t>ترحيل</t>
        </is>
      </c>
      <c r="K14" s="38" t="inlineStr">
        <is>
          <t>من</t>
        </is>
      </c>
      <c r="L14" s="38" t="inlineStr">
        <is>
          <t>إلى</t>
        </is>
      </c>
      <c r="M14" s="38" t="inlineStr">
        <is>
          <t>فحص</t>
        </is>
      </c>
    </row>
    <row r="15">
      <c r="A15" s="44">
        <f>IF(INDEX(COA!$A:$A,ROW()-10)="","",INDEX(COA!$A:$A,ROW()-10))</f>
        <v/>
      </c>
      <c r="B15" s="32">
        <f>IF($A15="","",INDEX(COA!$B:$B,ROW()-10))</f>
        <v/>
      </c>
      <c r="C15" s="47">
        <f>IF($A15="","",(SUMIFS(GL_Journal!$S:$S,GL_Journal!$G:$G,"&gt;="&amp;$K15,GL_Journal!$G:$G,"&lt;="&amp;$L15,GL_Journal!$I:$I,TB_LOCC,GL_Journal!$J:$J,TB_CCC,GL_Journal!$D:$D,"&lt;"&amp;TB_From)-SUMIFS(GL_Journal!$T:$T,GL_Journal!$G:$G,"&gt;="&amp;$K15,GL_Journal!$G:$G,"&lt;="&amp;$L15,GL_Journal!$I:$I,TB_LOCC,GL_Journal!$J:$J,TB_CCC,GL_Journal!$D:$D,"&lt;"&amp;TB_From)))</f>
        <v/>
      </c>
      <c r="D15" s="43">
        <f>IF($A15="","",SUMIFS(GL_Journal!$S:$S,GL_Journal!$G:$G,"&gt;="&amp;$K15,GL_Journal!$G:$G,"&lt;="&amp;$L15,GL_Journal!$I:$I,TB_LOCC,GL_Journal!$J:$J,TB_CCC,GL_Journal!$D:$D,"&gt;="&amp;TB_From,GL_Journal!$D:$D,"&lt;="&amp;TB_To))</f>
        <v/>
      </c>
      <c r="E15" s="43">
        <f>IF($A15="","",SUMIFS(GL_Journal!$T:$T,GL_Journal!$G:$G,"&gt;="&amp;$K15,GL_Journal!$G:$G,"&lt;="&amp;$L15,GL_Journal!$I:$I,TB_LOCC,GL_Journal!$J:$J,TB_CCC,GL_Journal!$D:$D,"&gt;="&amp;TB_From,GL_Journal!$D:$D,"&lt;="&amp;TB_To))</f>
        <v/>
      </c>
      <c r="F15" s="43">
        <f>IF($A15="","",MAX($H15,0))</f>
        <v/>
      </c>
      <c r="G15" s="43">
        <f>IF($A15="","",MAX(-$H15,0))</f>
        <v/>
      </c>
      <c r="H15" s="47">
        <f>IF($A15="","",$C15+$D15-$E15)</f>
        <v/>
      </c>
      <c r="I15" s="44">
        <f>IF($A15="","",INDEX(COA!$E:$E,ROW()-10))</f>
        <v/>
      </c>
      <c r="J15" s="44">
        <f>IF($A15="","",INDEX(COA!$F:$F,ROW()-10))</f>
        <v/>
      </c>
      <c r="K15" s="32">
        <f>IF($A15="","",INDEX(COA!$P:$P,ROW()-10))</f>
        <v/>
      </c>
      <c r="L15" s="32">
        <f>IF($A15="","",INDEX(COA!$Q:$Q,ROW()-10))</f>
        <v/>
      </c>
      <c r="M15" s="32" t="inlineStr"/>
    </row>
    <row r="16">
      <c r="A16" s="44">
        <f>IF(INDEX(COA!$A:$A,ROW()-10)="","",INDEX(COA!$A:$A,ROW()-10))</f>
        <v/>
      </c>
      <c r="B16" s="32">
        <f>IF($A16="","",INDEX(COA!$B:$B,ROW()-10))</f>
        <v/>
      </c>
      <c r="C16" s="47">
        <f>IF($A16="","",(SUMIFS(GL_Journal!$S:$S,GL_Journal!$G:$G,"&gt;="&amp;$K16,GL_Journal!$G:$G,"&lt;="&amp;$L16,GL_Journal!$I:$I,TB_LOCC,GL_Journal!$J:$J,TB_CCC,GL_Journal!$D:$D,"&lt;"&amp;TB_From)-SUMIFS(GL_Journal!$T:$T,GL_Journal!$G:$G,"&gt;="&amp;$K16,GL_Journal!$G:$G,"&lt;="&amp;$L16,GL_Journal!$I:$I,TB_LOCC,GL_Journal!$J:$J,TB_CCC,GL_Journal!$D:$D,"&lt;"&amp;TB_From)))</f>
        <v/>
      </c>
      <c r="D16" s="43">
        <f>IF($A16="","",SUMIFS(GL_Journal!$S:$S,GL_Journal!$G:$G,"&gt;="&amp;$K16,GL_Journal!$G:$G,"&lt;="&amp;$L16,GL_Journal!$I:$I,TB_LOCC,GL_Journal!$J:$J,TB_CCC,GL_Journal!$D:$D,"&gt;="&amp;TB_From,GL_Journal!$D:$D,"&lt;="&amp;TB_To))</f>
        <v/>
      </c>
      <c r="E16" s="43">
        <f>IF($A16="","",SUMIFS(GL_Journal!$T:$T,GL_Journal!$G:$G,"&gt;="&amp;$K16,GL_Journal!$G:$G,"&lt;="&amp;$L16,GL_Journal!$I:$I,TB_LOCC,GL_Journal!$J:$J,TB_CCC,GL_Journal!$D:$D,"&gt;="&amp;TB_From,GL_Journal!$D:$D,"&lt;="&amp;TB_To))</f>
        <v/>
      </c>
      <c r="F16" s="43">
        <f>IF($A16="","",MAX($H16,0))</f>
        <v/>
      </c>
      <c r="G16" s="43">
        <f>IF($A16="","",MAX(-$H16,0))</f>
        <v/>
      </c>
      <c r="H16" s="47">
        <f>IF($A16="","",$C16+$D16-$E16)</f>
        <v/>
      </c>
      <c r="I16" s="44">
        <f>IF($A16="","",INDEX(COA!$E:$E,ROW()-10))</f>
        <v/>
      </c>
      <c r="J16" s="44">
        <f>IF($A16="","",INDEX(COA!$F:$F,ROW()-10))</f>
        <v/>
      </c>
      <c r="K16" s="32">
        <f>IF($A16="","",INDEX(COA!$P:$P,ROW()-10))</f>
        <v/>
      </c>
      <c r="L16" s="32">
        <f>IF($A16="","",INDEX(COA!$Q:$Q,ROW()-10))</f>
        <v/>
      </c>
      <c r="M16" s="32" t="inlineStr"/>
    </row>
    <row r="17">
      <c r="A17" s="44">
        <f>IF(INDEX(COA!$A:$A,ROW()-10)="","",INDEX(COA!$A:$A,ROW()-10))</f>
        <v/>
      </c>
      <c r="B17" s="32">
        <f>IF($A17="","",INDEX(COA!$B:$B,ROW()-10))</f>
        <v/>
      </c>
      <c r="C17" s="47">
        <f>IF($A17="","",(SUMIFS(GL_Journal!$S:$S,GL_Journal!$G:$G,"&gt;="&amp;$K17,GL_Journal!$G:$G,"&lt;="&amp;$L17,GL_Journal!$I:$I,TB_LOCC,GL_Journal!$J:$J,TB_CCC,GL_Journal!$D:$D,"&lt;"&amp;TB_From)-SUMIFS(GL_Journal!$T:$T,GL_Journal!$G:$G,"&gt;="&amp;$K17,GL_Journal!$G:$G,"&lt;="&amp;$L17,GL_Journal!$I:$I,TB_LOCC,GL_Journal!$J:$J,TB_CCC,GL_Journal!$D:$D,"&lt;"&amp;TB_From)))</f>
        <v/>
      </c>
      <c r="D17" s="43">
        <f>IF($A17="","",SUMIFS(GL_Journal!$S:$S,GL_Journal!$G:$G,"&gt;="&amp;$K17,GL_Journal!$G:$G,"&lt;="&amp;$L17,GL_Journal!$I:$I,TB_LOCC,GL_Journal!$J:$J,TB_CCC,GL_Journal!$D:$D,"&gt;="&amp;TB_From,GL_Journal!$D:$D,"&lt;="&amp;TB_To))</f>
        <v/>
      </c>
      <c r="E17" s="43">
        <f>IF($A17="","",SUMIFS(GL_Journal!$T:$T,GL_Journal!$G:$G,"&gt;="&amp;$K17,GL_Journal!$G:$G,"&lt;="&amp;$L17,GL_Journal!$I:$I,TB_LOCC,GL_Journal!$J:$J,TB_CCC,GL_Journal!$D:$D,"&gt;="&amp;TB_From,GL_Journal!$D:$D,"&lt;="&amp;TB_To))</f>
        <v/>
      </c>
      <c r="F17" s="43">
        <f>IF($A17="","",MAX($H17,0))</f>
        <v/>
      </c>
      <c r="G17" s="43">
        <f>IF($A17="","",MAX(-$H17,0))</f>
        <v/>
      </c>
      <c r="H17" s="47">
        <f>IF($A17="","",$C17+$D17-$E17)</f>
        <v/>
      </c>
      <c r="I17" s="44">
        <f>IF($A17="","",INDEX(COA!$E:$E,ROW()-10))</f>
        <v/>
      </c>
      <c r="J17" s="44">
        <f>IF($A17="","",INDEX(COA!$F:$F,ROW()-10))</f>
        <v/>
      </c>
      <c r="K17" s="32">
        <f>IF($A17="","",INDEX(COA!$P:$P,ROW()-10))</f>
        <v/>
      </c>
      <c r="L17" s="32">
        <f>IF($A17="","",INDEX(COA!$Q:$Q,ROW()-10))</f>
        <v/>
      </c>
      <c r="M17" s="32" t="inlineStr"/>
    </row>
    <row r="18">
      <c r="A18" s="44">
        <f>IF(INDEX(COA!$A:$A,ROW()-10)="","",INDEX(COA!$A:$A,ROW()-10))</f>
        <v/>
      </c>
      <c r="B18" s="32">
        <f>IF($A18="","",INDEX(COA!$B:$B,ROW()-10))</f>
        <v/>
      </c>
      <c r="C18" s="47">
        <f>IF($A18="","",(SUMIFS(GL_Journal!$S:$S,GL_Journal!$G:$G,"&gt;="&amp;$K18,GL_Journal!$G:$G,"&lt;="&amp;$L18,GL_Journal!$I:$I,TB_LOCC,GL_Journal!$J:$J,TB_CCC,GL_Journal!$D:$D,"&lt;"&amp;TB_From)-SUMIFS(GL_Journal!$T:$T,GL_Journal!$G:$G,"&gt;="&amp;$K18,GL_Journal!$G:$G,"&lt;="&amp;$L18,GL_Journal!$I:$I,TB_LOCC,GL_Journal!$J:$J,TB_CCC,GL_Journal!$D:$D,"&lt;"&amp;TB_From)))</f>
        <v/>
      </c>
      <c r="D18" s="43">
        <f>IF($A18="","",SUMIFS(GL_Journal!$S:$S,GL_Journal!$G:$G,"&gt;="&amp;$K18,GL_Journal!$G:$G,"&lt;="&amp;$L18,GL_Journal!$I:$I,TB_LOCC,GL_Journal!$J:$J,TB_CCC,GL_Journal!$D:$D,"&gt;="&amp;TB_From,GL_Journal!$D:$D,"&lt;="&amp;TB_To))</f>
        <v/>
      </c>
      <c r="E18" s="43">
        <f>IF($A18="","",SUMIFS(GL_Journal!$T:$T,GL_Journal!$G:$G,"&gt;="&amp;$K18,GL_Journal!$G:$G,"&lt;="&amp;$L18,GL_Journal!$I:$I,TB_LOCC,GL_Journal!$J:$J,TB_CCC,GL_Journal!$D:$D,"&gt;="&amp;TB_From,GL_Journal!$D:$D,"&lt;="&amp;TB_To))</f>
        <v/>
      </c>
      <c r="F18" s="43">
        <f>IF($A18="","",MAX($H18,0))</f>
        <v/>
      </c>
      <c r="G18" s="43">
        <f>IF($A18="","",MAX(-$H18,0))</f>
        <v/>
      </c>
      <c r="H18" s="47">
        <f>IF($A18="","",$C18+$D18-$E18)</f>
        <v/>
      </c>
      <c r="I18" s="44">
        <f>IF($A18="","",INDEX(COA!$E:$E,ROW()-10))</f>
        <v/>
      </c>
      <c r="J18" s="44">
        <f>IF($A18="","",INDEX(COA!$F:$F,ROW()-10))</f>
        <v/>
      </c>
      <c r="K18" s="32">
        <f>IF($A18="","",INDEX(COA!$P:$P,ROW()-10))</f>
        <v/>
      </c>
      <c r="L18" s="32">
        <f>IF($A18="","",INDEX(COA!$Q:$Q,ROW()-10))</f>
        <v/>
      </c>
      <c r="M18" s="32" t="inlineStr"/>
    </row>
    <row r="19">
      <c r="A19" s="44">
        <f>IF(INDEX(COA!$A:$A,ROW()-10)="","",INDEX(COA!$A:$A,ROW()-10))</f>
        <v/>
      </c>
      <c r="B19" s="32">
        <f>IF($A19="","",INDEX(COA!$B:$B,ROW()-10))</f>
        <v/>
      </c>
      <c r="C19" s="47">
        <f>IF($A19="","",(SUMIFS(GL_Journal!$S:$S,GL_Journal!$G:$G,"&gt;="&amp;$K19,GL_Journal!$G:$G,"&lt;="&amp;$L19,GL_Journal!$I:$I,TB_LOCC,GL_Journal!$J:$J,TB_CCC,GL_Journal!$D:$D,"&lt;"&amp;TB_From)-SUMIFS(GL_Journal!$T:$T,GL_Journal!$G:$G,"&gt;="&amp;$K19,GL_Journal!$G:$G,"&lt;="&amp;$L19,GL_Journal!$I:$I,TB_LOCC,GL_Journal!$J:$J,TB_CCC,GL_Journal!$D:$D,"&lt;"&amp;TB_From)))</f>
        <v/>
      </c>
      <c r="D19" s="43">
        <f>IF($A19="","",SUMIFS(GL_Journal!$S:$S,GL_Journal!$G:$G,"&gt;="&amp;$K19,GL_Journal!$G:$G,"&lt;="&amp;$L19,GL_Journal!$I:$I,TB_LOCC,GL_Journal!$J:$J,TB_CCC,GL_Journal!$D:$D,"&gt;="&amp;TB_From,GL_Journal!$D:$D,"&lt;="&amp;TB_To))</f>
        <v/>
      </c>
      <c r="E19" s="43">
        <f>IF($A19="","",SUMIFS(GL_Journal!$T:$T,GL_Journal!$G:$G,"&gt;="&amp;$K19,GL_Journal!$G:$G,"&lt;="&amp;$L19,GL_Journal!$I:$I,TB_LOCC,GL_Journal!$J:$J,TB_CCC,GL_Journal!$D:$D,"&gt;="&amp;TB_From,GL_Journal!$D:$D,"&lt;="&amp;TB_To))</f>
        <v/>
      </c>
      <c r="F19" s="43">
        <f>IF($A19="","",MAX($H19,0))</f>
        <v/>
      </c>
      <c r="G19" s="43">
        <f>IF($A19="","",MAX(-$H19,0))</f>
        <v/>
      </c>
      <c r="H19" s="47">
        <f>IF($A19="","",$C19+$D19-$E19)</f>
        <v/>
      </c>
      <c r="I19" s="44">
        <f>IF($A19="","",INDEX(COA!$E:$E,ROW()-10))</f>
        <v/>
      </c>
      <c r="J19" s="44">
        <f>IF($A19="","",INDEX(COA!$F:$F,ROW()-10))</f>
        <v/>
      </c>
      <c r="K19" s="32">
        <f>IF($A19="","",INDEX(COA!$P:$P,ROW()-10))</f>
        <v/>
      </c>
      <c r="L19" s="32">
        <f>IF($A19="","",INDEX(COA!$Q:$Q,ROW()-10))</f>
        <v/>
      </c>
      <c r="M19" s="32" t="inlineStr"/>
    </row>
    <row r="20">
      <c r="A20" s="44">
        <f>IF(INDEX(COA!$A:$A,ROW()-10)="","",INDEX(COA!$A:$A,ROW()-10))</f>
        <v/>
      </c>
      <c r="B20" s="32">
        <f>IF($A20="","",INDEX(COA!$B:$B,ROW()-10))</f>
        <v/>
      </c>
      <c r="C20" s="47">
        <f>IF($A20="","",(SUMIFS(GL_Journal!$S:$S,GL_Journal!$G:$G,"&gt;="&amp;$K20,GL_Journal!$G:$G,"&lt;="&amp;$L20,GL_Journal!$I:$I,TB_LOCC,GL_Journal!$J:$J,TB_CCC,GL_Journal!$D:$D,"&lt;"&amp;TB_From)-SUMIFS(GL_Journal!$T:$T,GL_Journal!$G:$G,"&gt;="&amp;$K20,GL_Journal!$G:$G,"&lt;="&amp;$L20,GL_Journal!$I:$I,TB_LOCC,GL_Journal!$J:$J,TB_CCC,GL_Journal!$D:$D,"&lt;"&amp;TB_From)))</f>
        <v/>
      </c>
      <c r="D20" s="43">
        <f>IF($A20="","",SUMIFS(GL_Journal!$S:$S,GL_Journal!$G:$G,"&gt;="&amp;$K20,GL_Journal!$G:$G,"&lt;="&amp;$L20,GL_Journal!$I:$I,TB_LOCC,GL_Journal!$J:$J,TB_CCC,GL_Journal!$D:$D,"&gt;="&amp;TB_From,GL_Journal!$D:$D,"&lt;="&amp;TB_To))</f>
        <v/>
      </c>
      <c r="E20" s="43">
        <f>IF($A20="","",SUMIFS(GL_Journal!$T:$T,GL_Journal!$G:$G,"&gt;="&amp;$K20,GL_Journal!$G:$G,"&lt;="&amp;$L20,GL_Journal!$I:$I,TB_LOCC,GL_Journal!$J:$J,TB_CCC,GL_Journal!$D:$D,"&gt;="&amp;TB_From,GL_Journal!$D:$D,"&lt;="&amp;TB_To))</f>
        <v/>
      </c>
      <c r="F20" s="43">
        <f>IF($A20="","",MAX($H20,0))</f>
        <v/>
      </c>
      <c r="G20" s="43">
        <f>IF($A20="","",MAX(-$H20,0))</f>
        <v/>
      </c>
      <c r="H20" s="47">
        <f>IF($A20="","",$C20+$D20-$E20)</f>
        <v/>
      </c>
      <c r="I20" s="44">
        <f>IF($A20="","",INDEX(COA!$E:$E,ROW()-10))</f>
        <v/>
      </c>
      <c r="J20" s="44">
        <f>IF($A20="","",INDEX(COA!$F:$F,ROW()-10))</f>
        <v/>
      </c>
      <c r="K20" s="32">
        <f>IF($A20="","",INDEX(COA!$P:$P,ROW()-10))</f>
        <v/>
      </c>
      <c r="L20" s="32">
        <f>IF($A20="","",INDEX(COA!$Q:$Q,ROW()-10))</f>
        <v/>
      </c>
      <c r="M20" s="32" t="inlineStr"/>
    </row>
    <row r="21">
      <c r="A21" s="44">
        <f>IF(INDEX(COA!$A:$A,ROW()-10)="","",INDEX(COA!$A:$A,ROW()-10))</f>
        <v/>
      </c>
      <c r="B21" s="32">
        <f>IF($A21="","",INDEX(COA!$B:$B,ROW()-10))</f>
        <v/>
      </c>
      <c r="C21" s="47">
        <f>IF($A21="","",(SUMIFS(GL_Journal!$S:$S,GL_Journal!$G:$G,"&gt;="&amp;$K21,GL_Journal!$G:$G,"&lt;="&amp;$L21,GL_Journal!$I:$I,TB_LOCC,GL_Journal!$J:$J,TB_CCC,GL_Journal!$D:$D,"&lt;"&amp;TB_From)-SUMIFS(GL_Journal!$T:$T,GL_Journal!$G:$G,"&gt;="&amp;$K21,GL_Journal!$G:$G,"&lt;="&amp;$L21,GL_Journal!$I:$I,TB_LOCC,GL_Journal!$J:$J,TB_CCC,GL_Journal!$D:$D,"&lt;"&amp;TB_From)))</f>
        <v/>
      </c>
      <c r="D21" s="43">
        <f>IF($A21="","",SUMIFS(GL_Journal!$S:$S,GL_Journal!$G:$G,"&gt;="&amp;$K21,GL_Journal!$G:$G,"&lt;="&amp;$L21,GL_Journal!$I:$I,TB_LOCC,GL_Journal!$J:$J,TB_CCC,GL_Journal!$D:$D,"&gt;="&amp;TB_From,GL_Journal!$D:$D,"&lt;="&amp;TB_To))</f>
        <v/>
      </c>
      <c r="E21" s="43">
        <f>IF($A21="","",SUMIFS(GL_Journal!$T:$T,GL_Journal!$G:$G,"&gt;="&amp;$K21,GL_Journal!$G:$G,"&lt;="&amp;$L21,GL_Journal!$I:$I,TB_LOCC,GL_Journal!$J:$J,TB_CCC,GL_Journal!$D:$D,"&gt;="&amp;TB_From,GL_Journal!$D:$D,"&lt;="&amp;TB_To))</f>
        <v/>
      </c>
      <c r="F21" s="43">
        <f>IF($A21="","",MAX($H21,0))</f>
        <v/>
      </c>
      <c r="G21" s="43">
        <f>IF($A21="","",MAX(-$H21,0))</f>
        <v/>
      </c>
      <c r="H21" s="47">
        <f>IF($A21="","",$C21+$D21-$E21)</f>
        <v/>
      </c>
      <c r="I21" s="44">
        <f>IF($A21="","",INDEX(COA!$E:$E,ROW()-10))</f>
        <v/>
      </c>
      <c r="J21" s="44">
        <f>IF($A21="","",INDEX(COA!$F:$F,ROW()-10))</f>
        <v/>
      </c>
      <c r="K21" s="32">
        <f>IF($A21="","",INDEX(COA!$P:$P,ROW()-10))</f>
        <v/>
      </c>
      <c r="L21" s="32">
        <f>IF($A21="","",INDEX(COA!$Q:$Q,ROW()-10))</f>
        <v/>
      </c>
      <c r="M21" s="32" t="inlineStr"/>
    </row>
    <row r="22">
      <c r="A22" s="44">
        <f>IF(INDEX(COA!$A:$A,ROW()-10)="","",INDEX(COA!$A:$A,ROW()-10))</f>
        <v/>
      </c>
      <c r="B22" s="32">
        <f>IF($A22="","",INDEX(COA!$B:$B,ROW()-10))</f>
        <v/>
      </c>
      <c r="C22" s="47">
        <f>IF($A22="","",(SUMIFS(GL_Journal!$S:$S,GL_Journal!$G:$G,"&gt;="&amp;$K22,GL_Journal!$G:$G,"&lt;="&amp;$L22,GL_Journal!$I:$I,TB_LOCC,GL_Journal!$J:$J,TB_CCC,GL_Journal!$D:$D,"&lt;"&amp;TB_From)-SUMIFS(GL_Journal!$T:$T,GL_Journal!$G:$G,"&gt;="&amp;$K22,GL_Journal!$G:$G,"&lt;="&amp;$L22,GL_Journal!$I:$I,TB_LOCC,GL_Journal!$J:$J,TB_CCC,GL_Journal!$D:$D,"&lt;"&amp;TB_From)))</f>
        <v/>
      </c>
      <c r="D22" s="43">
        <f>IF($A22="","",SUMIFS(GL_Journal!$S:$S,GL_Journal!$G:$G,"&gt;="&amp;$K22,GL_Journal!$G:$G,"&lt;="&amp;$L22,GL_Journal!$I:$I,TB_LOCC,GL_Journal!$J:$J,TB_CCC,GL_Journal!$D:$D,"&gt;="&amp;TB_From,GL_Journal!$D:$D,"&lt;="&amp;TB_To))</f>
        <v/>
      </c>
      <c r="E22" s="43">
        <f>IF($A22="","",SUMIFS(GL_Journal!$T:$T,GL_Journal!$G:$G,"&gt;="&amp;$K22,GL_Journal!$G:$G,"&lt;="&amp;$L22,GL_Journal!$I:$I,TB_LOCC,GL_Journal!$J:$J,TB_CCC,GL_Journal!$D:$D,"&gt;="&amp;TB_From,GL_Journal!$D:$D,"&lt;="&amp;TB_To))</f>
        <v/>
      </c>
      <c r="F22" s="43">
        <f>IF($A22="","",MAX($H22,0))</f>
        <v/>
      </c>
      <c r="G22" s="43">
        <f>IF($A22="","",MAX(-$H22,0))</f>
        <v/>
      </c>
      <c r="H22" s="47">
        <f>IF($A22="","",$C22+$D22-$E22)</f>
        <v/>
      </c>
      <c r="I22" s="44">
        <f>IF($A22="","",INDEX(COA!$E:$E,ROW()-10))</f>
        <v/>
      </c>
      <c r="J22" s="44">
        <f>IF($A22="","",INDEX(COA!$F:$F,ROW()-10))</f>
        <v/>
      </c>
      <c r="K22" s="32">
        <f>IF($A22="","",INDEX(COA!$P:$P,ROW()-10))</f>
        <v/>
      </c>
      <c r="L22" s="32">
        <f>IF($A22="","",INDEX(COA!$Q:$Q,ROW()-10))</f>
        <v/>
      </c>
      <c r="M22" s="32" t="inlineStr"/>
    </row>
    <row r="23">
      <c r="A23" s="44">
        <f>IF(INDEX(COA!$A:$A,ROW()-10)="","",INDEX(COA!$A:$A,ROW()-10))</f>
        <v/>
      </c>
      <c r="B23" s="32">
        <f>IF($A23="","",INDEX(COA!$B:$B,ROW()-10))</f>
        <v/>
      </c>
      <c r="C23" s="47">
        <f>IF($A23="","",(SUMIFS(GL_Journal!$S:$S,GL_Journal!$G:$G,"&gt;="&amp;$K23,GL_Journal!$G:$G,"&lt;="&amp;$L23,GL_Journal!$I:$I,TB_LOCC,GL_Journal!$J:$J,TB_CCC,GL_Journal!$D:$D,"&lt;"&amp;TB_From)-SUMIFS(GL_Journal!$T:$T,GL_Journal!$G:$G,"&gt;="&amp;$K23,GL_Journal!$G:$G,"&lt;="&amp;$L23,GL_Journal!$I:$I,TB_LOCC,GL_Journal!$J:$J,TB_CCC,GL_Journal!$D:$D,"&lt;"&amp;TB_From)))</f>
        <v/>
      </c>
      <c r="D23" s="43">
        <f>IF($A23="","",SUMIFS(GL_Journal!$S:$S,GL_Journal!$G:$G,"&gt;="&amp;$K23,GL_Journal!$G:$G,"&lt;="&amp;$L23,GL_Journal!$I:$I,TB_LOCC,GL_Journal!$J:$J,TB_CCC,GL_Journal!$D:$D,"&gt;="&amp;TB_From,GL_Journal!$D:$D,"&lt;="&amp;TB_To))</f>
        <v/>
      </c>
      <c r="E23" s="43">
        <f>IF($A23="","",SUMIFS(GL_Journal!$T:$T,GL_Journal!$G:$G,"&gt;="&amp;$K23,GL_Journal!$G:$G,"&lt;="&amp;$L23,GL_Journal!$I:$I,TB_LOCC,GL_Journal!$J:$J,TB_CCC,GL_Journal!$D:$D,"&gt;="&amp;TB_From,GL_Journal!$D:$D,"&lt;="&amp;TB_To))</f>
        <v/>
      </c>
      <c r="F23" s="43">
        <f>IF($A23="","",MAX($H23,0))</f>
        <v/>
      </c>
      <c r="G23" s="43">
        <f>IF($A23="","",MAX(-$H23,0))</f>
        <v/>
      </c>
      <c r="H23" s="47">
        <f>IF($A23="","",$C23+$D23-$E23)</f>
        <v/>
      </c>
      <c r="I23" s="44">
        <f>IF($A23="","",INDEX(COA!$E:$E,ROW()-10))</f>
        <v/>
      </c>
      <c r="J23" s="44">
        <f>IF($A23="","",INDEX(COA!$F:$F,ROW()-10))</f>
        <v/>
      </c>
      <c r="K23" s="32">
        <f>IF($A23="","",INDEX(COA!$P:$P,ROW()-10))</f>
        <v/>
      </c>
      <c r="L23" s="32">
        <f>IF($A23="","",INDEX(COA!$Q:$Q,ROW()-10))</f>
        <v/>
      </c>
      <c r="M23" s="32" t="inlineStr"/>
    </row>
    <row r="24">
      <c r="A24" s="44">
        <f>IF(INDEX(COA!$A:$A,ROW()-10)="","",INDEX(COA!$A:$A,ROW()-10))</f>
        <v/>
      </c>
      <c r="B24" s="32">
        <f>IF($A24="","",INDEX(COA!$B:$B,ROW()-10))</f>
        <v/>
      </c>
      <c r="C24" s="47">
        <f>IF($A24="","",(SUMIFS(GL_Journal!$S:$S,GL_Journal!$G:$G,"&gt;="&amp;$K24,GL_Journal!$G:$G,"&lt;="&amp;$L24,GL_Journal!$I:$I,TB_LOCC,GL_Journal!$J:$J,TB_CCC,GL_Journal!$D:$D,"&lt;"&amp;TB_From)-SUMIFS(GL_Journal!$T:$T,GL_Journal!$G:$G,"&gt;="&amp;$K24,GL_Journal!$G:$G,"&lt;="&amp;$L24,GL_Journal!$I:$I,TB_LOCC,GL_Journal!$J:$J,TB_CCC,GL_Journal!$D:$D,"&lt;"&amp;TB_From)))</f>
        <v/>
      </c>
      <c r="D24" s="43">
        <f>IF($A24="","",SUMIFS(GL_Journal!$S:$S,GL_Journal!$G:$G,"&gt;="&amp;$K24,GL_Journal!$G:$G,"&lt;="&amp;$L24,GL_Journal!$I:$I,TB_LOCC,GL_Journal!$J:$J,TB_CCC,GL_Journal!$D:$D,"&gt;="&amp;TB_From,GL_Journal!$D:$D,"&lt;="&amp;TB_To))</f>
        <v/>
      </c>
      <c r="E24" s="43">
        <f>IF($A24="","",SUMIFS(GL_Journal!$T:$T,GL_Journal!$G:$G,"&gt;="&amp;$K24,GL_Journal!$G:$G,"&lt;="&amp;$L24,GL_Journal!$I:$I,TB_LOCC,GL_Journal!$J:$J,TB_CCC,GL_Journal!$D:$D,"&gt;="&amp;TB_From,GL_Journal!$D:$D,"&lt;="&amp;TB_To))</f>
        <v/>
      </c>
      <c r="F24" s="43">
        <f>IF($A24="","",MAX($H24,0))</f>
        <v/>
      </c>
      <c r="G24" s="43">
        <f>IF($A24="","",MAX(-$H24,0))</f>
        <v/>
      </c>
      <c r="H24" s="47">
        <f>IF($A24="","",$C24+$D24-$E24)</f>
        <v/>
      </c>
      <c r="I24" s="44">
        <f>IF($A24="","",INDEX(COA!$E:$E,ROW()-10))</f>
        <v/>
      </c>
      <c r="J24" s="44">
        <f>IF($A24="","",INDEX(COA!$F:$F,ROW()-10))</f>
        <v/>
      </c>
      <c r="K24" s="32">
        <f>IF($A24="","",INDEX(COA!$P:$P,ROW()-10))</f>
        <v/>
      </c>
      <c r="L24" s="32">
        <f>IF($A24="","",INDEX(COA!$Q:$Q,ROW()-10))</f>
        <v/>
      </c>
      <c r="M24" s="32" t="inlineStr"/>
    </row>
    <row r="25">
      <c r="A25" s="44">
        <f>IF(INDEX(COA!$A:$A,ROW()-10)="","",INDEX(COA!$A:$A,ROW()-10))</f>
        <v/>
      </c>
      <c r="B25" s="32">
        <f>IF($A25="","",INDEX(COA!$B:$B,ROW()-10))</f>
        <v/>
      </c>
      <c r="C25" s="47">
        <f>IF($A25="","",(SUMIFS(GL_Journal!$S:$S,GL_Journal!$G:$G,"&gt;="&amp;$K25,GL_Journal!$G:$G,"&lt;="&amp;$L25,GL_Journal!$I:$I,TB_LOCC,GL_Journal!$J:$J,TB_CCC,GL_Journal!$D:$D,"&lt;"&amp;TB_From)-SUMIFS(GL_Journal!$T:$T,GL_Journal!$G:$G,"&gt;="&amp;$K25,GL_Journal!$G:$G,"&lt;="&amp;$L25,GL_Journal!$I:$I,TB_LOCC,GL_Journal!$J:$J,TB_CCC,GL_Journal!$D:$D,"&lt;"&amp;TB_From)))</f>
        <v/>
      </c>
      <c r="D25" s="43">
        <f>IF($A25="","",SUMIFS(GL_Journal!$S:$S,GL_Journal!$G:$G,"&gt;="&amp;$K25,GL_Journal!$G:$G,"&lt;="&amp;$L25,GL_Journal!$I:$I,TB_LOCC,GL_Journal!$J:$J,TB_CCC,GL_Journal!$D:$D,"&gt;="&amp;TB_From,GL_Journal!$D:$D,"&lt;="&amp;TB_To))</f>
        <v/>
      </c>
      <c r="E25" s="43">
        <f>IF($A25="","",SUMIFS(GL_Journal!$T:$T,GL_Journal!$G:$G,"&gt;="&amp;$K25,GL_Journal!$G:$G,"&lt;="&amp;$L25,GL_Journal!$I:$I,TB_LOCC,GL_Journal!$J:$J,TB_CCC,GL_Journal!$D:$D,"&gt;="&amp;TB_From,GL_Journal!$D:$D,"&lt;="&amp;TB_To))</f>
        <v/>
      </c>
      <c r="F25" s="43">
        <f>IF($A25="","",MAX($H25,0))</f>
        <v/>
      </c>
      <c r="G25" s="43">
        <f>IF($A25="","",MAX(-$H25,0))</f>
        <v/>
      </c>
      <c r="H25" s="47">
        <f>IF($A25="","",$C25+$D25-$E25)</f>
        <v/>
      </c>
      <c r="I25" s="44">
        <f>IF($A25="","",INDEX(COA!$E:$E,ROW()-10))</f>
        <v/>
      </c>
      <c r="J25" s="44">
        <f>IF($A25="","",INDEX(COA!$F:$F,ROW()-10))</f>
        <v/>
      </c>
      <c r="K25" s="32">
        <f>IF($A25="","",INDEX(COA!$P:$P,ROW()-10))</f>
        <v/>
      </c>
      <c r="L25" s="32">
        <f>IF($A25="","",INDEX(COA!$Q:$Q,ROW()-10))</f>
        <v/>
      </c>
      <c r="M25" s="32" t="inlineStr"/>
    </row>
    <row r="26">
      <c r="A26" s="44">
        <f>IF(INDEX(COA!$A:$A,ROW()-10)="","",INDEX(COA!$A:$A,ROW()-10))</f>
        <v/>
      </c>
      <c r="B26" s="32">
        <f>IF($A26="","",INDEX(COA!$B:$B,ROW()-10))</f>
        <v/>
      </c>
      <c r="C26" s="47">
        <f>IF($A26="","",(SUMIFS(GL_Journal!$S:$S,GL_Journal!$G:$G,"&gt;="&amp;$K26,GL_Journal!$G:$G,"&lt;="&amp;$L26,GL_Journal!$I:$I,TB_LOCC,GL_Journal!$J:$J,TB_CCC,GL_Journal!$D:$D,"&lt;"&amp;TB_From)-SUMIFS(GL_Journal!$T:$T,GL_Journal!$G:$G,"&gt;="&amp;$K26,GL_Journal!$G:$G,"&lt;="&amp;$L26,GL_Journal!$I:$I,TB_LOCC,GL_Journal!$J:$J,TB_CCC,GL_Journal!$D:$D,"&lt;"&amp;TB_From)))</f>
        <v/>
      </c>
      <c r="D26" s="43">
        <f>IF($A26="","",SUMIFS(GL_Journal!$S:$S,GL_Journal!$G:$G,"&gt;="&amp;$K26,GL_Journal!$G:$G,"&lt;="&amp;$L26,GL_Journal!$I:$I,TB_LOCC,GL_Journal!$J:$J,TB_CCC,GL_Journal!$D:$D,"&gt;="&amp;TB_From,GL_Journal!$D:$D,"&lt;="&amp;TB_To))</f>
        <v/>
      </c>
      <c r="E26" s="43">
        <f>IF($A26="","",SUMIFS(GL_Journal!$T:$T,GL_Journal!$G:$G,"&gt;="&amp;$K26,GL_Journal!$G:$G,"&lt;="&amp;$L26,GL_Journal!$I:$I,TB_LOCC,GL_Journal!$J:$J,TB_CCC,GL_Journal!$D:$D,"&gt;="&amp;TB_From,GL_Journal!$D:$D,"&lt;="&amp;TB_To))</f>
        <v/>
      </c>
      <c r="F26" s="43">
        <f>IF($A26="","",MAX($H26,0))</f>
        <v/>
      </c>
      <c r="G26" s="43">
        <f>IF($A26="","",MAX(-$H26,0))</f>
        <v/>
      </c>
      <c r="H26" s="47">
        <f>IF($A26="","",$C26+$D26-$E26)</f>
        <v/>
      </c>
      <c r="I26" s="44">
        <f>IF($A26="","",INDEX(COA!$E:$E,ROW()-10))</f>
        <v/>
      </c>
      <c r="J26" s="44">
        <f>IF($A26="","",INDEX(COA!$F:$F,ROW()-10))</f>
        <v/>
      </c>
      <c r="K26" s="32">
        <f>IF($A26="","",INDEX(COA!$P:$P,ROW()-10))</f>
        <v/>
      </c>
      <c r="L26" s="32">
        <f>IF($A26="","",INDEX(COA!$Q:$Q,ROW()-10))</f>
        <v/>
      </c>
      <c r="M26" s="32" t="inlineStr"/>
    </row>
    <row r="27">
      <c r="A27" s="44">
        <f>IF(INDEX(COA!$A:$A,ROW()-10)="","",INDEX(COA!$A:$A,ROW()-10))</f>
        <v/>
      </c>
      <c r="B27" s="32">
        <f>IF($A27="","",INDEX(COA!$B:$B,ROW()-10))</f>
        <v/>
      </c>
      <c r="C27" s="47">
        <f>IF($A27="","",(SUMIFS(GL_Journal!$S:$S,GL_Journal!$G:$G,"&gt;="&amp;$K27,GL_Journal!$G:$G,"&lt;="&amp;$L27,GL_Journal!$I:$I,TB_LOCC,GL_Journal!$J:$J,TB_CCC,GL_Journal!$D:$D,"&lt;"&amp;TB_From)-SUMIFS(GL_Journal!$T:$T,GL_Journal!$G:$G,"&gt;="&amp;$K27,GL_Journal!$G:$G,"&lt;="&amp;$L27,GL_Journal!$I:$I,TB_LOCC,GL_Journal!$J:$J,TB_CCC,GL_Journal!$D:$D,"&lt;"&amp;TB_From)))</f>
        <v/>
      </c>
      <c r="D27" s="43">
        <f>IF($A27="","",SUMIFS(GL_Journal!$S:$S,GL_Journal!$G:$G,"&gt;="&amp;$K27,GL_Journal!$G:$G,"&lt;="&amp;$L27,GL_Journal!$I:$I,TB_LOCC,GL_Journal!$J:$J,TB_CCC,GL_Journal!$D:$D,"&gt;="&amp;TB_From,GL_Journal!$D:$D,"&lt;="&amp;TB_To))</f>
        <v/>
      </c>
      <c r="E27" s="43">
        <f>IF($A27="","",SUMIFS(GL_Journal!$T:$T,GL_Journal!$G:$G,"&gt;="&amp;$K27,GL_Journal!$G:$G,"&lt;="&amp;$L27,GL_Journal!$I:$I,TB_LOCC,GL_Journal!$J:$J,TB_CCC,GL_Journal!$D:$D,"&gt;="&amp;TB_From,GL_Journal!$D:$D,"&lt;="&amp;TB_To))</f>
        <v/>
      </c>
      <c r="F27" s="43">
        <f>IF($A27="","",MAX($H27,0))</f>
        <v/>
      </c>
      <c r="G27" s="43">
        <f>IF($A27="","",MAX(-$H27,0))</f>
        <v/>
      </c>
      <c r="H27" s="47">
        <f>IF($A27="","",$C27+$D27-$E27)</f>
        <v/>
      </c>
      <c r="I27" s="44">
        <f>IF($A27="","",INDEX(COA!$E:$E,ROW()-10))</f>
        <v/>
      </c>
      <c r="J27" s="44">
        <f>IF($A27="","",INDEX(COA!$F:$F,ROW()-10))</f>
        <v/>
      </c>
      <c r="K27" s="32">
        <f>IF($A27="","",INDEX(COA!$P:$P,ROW()-10))</f>
        <v/>
      </c>
      <c r="L27" s="32">
        <f>IF($A27="","",INDEX(COA!$Q:$Q,ROW()-10))</f>
        <v/>
      </c>
      <c r="M27" s="32" t="inlineStr"/>
    </row>
    <row r="28">
      <c r="A28" s="44">
        <f>IF(INDEX(COA!$A:$A,ROW()-10)="","",INDEX(COA!$A:$A,ROW()-10))</f>
        <v/>
      </c>
      <c r="B28" s="32">
        <f>IF($A28="","",INDEX(COA!$B:$B,ROW()-10))</f>
        <v/>
      </c>
      <c r="C28" s="47">
        <f>IF($A28="","",(SUMIFS(GL_Journal!$S:$S,GL_Journal!$G:$G,"&gt;="&amp;$K28,GL_Journal!$G:$G,"&lt;="&amp;$L28,GL_Journal!$I:$I,TB_LOCC,GL_Journal!$J:$J,TB_CCC,GL_Journal!$D:$D,"&lt;"&amp;TB_From)-SUMIFS(GL_Journal!$T:$T,GL_Journal!$G:$G,"&gt;="&amp;$K28,GL_Journal!$G:$G,"&lt;="&amp;$L28,GL_Journal!$I:$I,TB_LOCC,GL_Journal!$J:$J,TB_CCC,GL_Journal!$D:$D,"&lt;"&amp;TB_From)))</f>
        <v/>
      </c>
      <c r="D28" s="43">
        <f>IF($A28="","",SUMIFS(GL_Journal!$S:$S,GL_Journal!$G:$G,"&gt;="&amp;$K28,GL_Journal!$G:$G,"&lt;="&amp;$L28,GL_Journal!$I:$I,TB_LOCC,GL_Journal!$J:$J,TB_CCC,GL_Journal!$D:$D,"&gt;="&amp;TB_From,GL_Journal!$D:$D,"&lt;="&amp;TB_To))</f>
        <v/>
      </c>
      <c r="E28" s="43">
        <f>IF($A28="","",SUMIFS(GL_Journal!$T:$T,GL_Journal!$G:$G,"&gt;="&amp;$K28,GL_Journal!$G:$G,"&lt;="&amp;$L28,GL_Journal!$I:$I,TB_LOCC,GL_Journal!$J:$J,TB_CCC,GL_Journal!$D:$D,"&gt;="&amp;TB_From,GL_Journal!$D:$D,"&lt;="&amp;TB_To))</f>
        <v/>
      </c>
      <c r="F28" s="43">
        <f>IF($A28="","",MAX($H28,0))</f>
        <v/>
      </c>
      <c r="G28" s="43">
        <f>IF($A28="","",MAX(-$H28,0))</f>
        <v/>
      </c>
      <c r="H28" s="47">
        <f>IF($A28="","",$C28+$D28-$E28)</f>
        <v/>
      </c>
      <c r="I28" s="44">
        <f>IF($A28="","",INDEX(COA!$E:$E,ROW()-10))</f>
        <v/>
      </c>
      <c r="J28" s="44">
        <f>IF($A28="","",INDEX(COA!$F:$F,ROW()-10))</f>
        <v/>
      </c>
      <c r="K28" s="32">
        <f>IF($A28="","",INDEX(COA!$P:$P,ROW()-10))</f>
        <v/>
      </c>
      <c r="L28" s="32">
        <f>IF($A28="","",INDEX(COA!$Q:$Q,ROW()-10))</f>
        <v/>
      </c>
      <c r="M28" s="32" t="inlineStr"/>
    </row>
    <row r="29">
      <c r="A29" s="44">
        <f>IF(INDEX(COA!$A:$A,ROW()-10)="","",INDEX(COA!$A:$A,ROW()-10))</f>
        <v/>
      </c>
      <c r="B29" s="32">
        <f>IF($A29="","",INDEX(COA!$B:$B,ROW()-10))</f>
        <v/>
      </c>
      <c r="C29" s="47">
        <f>IF($A29="","",(SUMIFS(GL_Journal!$S:$S,GL_Journal!$G:$G,"&gt;="&amp;$K29,GL_Journal!$G:$G,"&lt;="&amp;$L29,GL_Journal!$I:$I,TB_LOCC,GL_Journal!$J:$J,TB_CCC,GL_Journal!$D:$D,"&lt;"&amp;TB_From)-SUMIFS(GL_Journal!$T:$T,GL_Journal!$G:$G,"&gt;="&amp;$K29,GL_Journal!$G:$G,"&lt;="&amp;$L29,GL_Journal!$I:$I,TB_LOCC,GL_Journal!$J:$J,TB_CCC,GL_Journal!$D:$D,"&lt;"&amp;TB_From)))</f>
        <v/>
      </c>
      <c r="D29" s="43">
        <f>IF($A29="","",SUMIFS(GL_Journal!$S:$S,GL_Journal!$G:$G,"&gt;="&amp;$K29,GL_Journal!$G:$G,"&lt;="&amp;$L29,GL_Journal!$I:$I,TB_LOCC,GL_Journal!$J:$J,TB_CCC,GL_Journal!$D:$D,"&gt;="&amp;TB_From,GL_Journal!$D:$D,"&lt;="&amp;TB_To))</f>
        <v/>
      </c>
      <c r="E29" s="43">
        <f>IF($A29="","",SUMIFS(GL_Journal!$T:$T,GL_Journal!$G:$G,"&gt;="&amp;$K29,GL_Journal!$G:$G,"&lt;="&amp;$L29,GL_Journal!$I:$I,TB_LOCC,GL_Journal!$J:$J,TB_CCC,GL_Journal!$D:$D,"&gt;="&amp;TB_From,GL_Journal!$D:$D,"&lt;="&amp;TB_To))</f>
        <v/>
      </c>
      <c r="F29" s="43">
        <f>IF($A29="","",MAX($H29,0))</f>
        <v/>
      </c>
      <c r="G29" s="43">
        <f>IF($A29="","",MAX(-$H29,0))</f>
        <v/>
      </c>
      <c r="H29" s="47">
        <f>IF($A29="","",$C29+$D29-$E29)</f>
        <v/>
      </c>
      <c r="I29" s="44">
        <f>IF($A29="","",INDEX(COA!$E:$E,ROW()-10))</f>
        <v/>
      </c>
      <c r="J29" s="44">
        <f>IF($A29="","",INDEX(COA!$F:$F,ROW()-10))</f>
        <v/>
      </c>
      <c r="K29" s="32">
        <f>IF($A29="","",INDEX(COA!$P:$P,ROW()-10))</f>
        <v/>
      </c>
      <c r="L29" s="32">
        <f>IF($A29="","",INDEX(COA!$Q:$Q,ROW()-10))</f>
        <v/>
      </c>
      <c r="M29" s="32" t="inlineStr"/>
    </row>
    <row r="30">
      <c r="A30" s="44">
        <f>IF(INDEX(COA!$A:$A,ROW()-10)="","",INDEX(COA!$A:$A,ROW()-10))</f>
        <v/>
      </c>
      <c r="B30" s="32">
        <f>IF($A30="","",INDEX(COA!$B:$B,ROW()-10))</f>
        <v/>
      </c>
      <c r="C30" s="47">
        <f>IF($A30="","",(SUMIFS(GL_Journal!$S:$S,GL_Journal!$G:$G,"&gt;="&amp;$K30,GL_Journal!$G:$G,"&lt;="&amp;$L30,GL_Journal!$I:$I,TB_LOCC,GL_Journal!$J:$J,TB_CCC,GL_Journal!$D:$D,"&lt;"&amp;TB_From)-SUMIFS(GL_Journal!$T:$T,GL_Journal!$G:$G,"&gt;="&amp;$K30,GL_Journal!$G:$G,"&lt;="&amp;$L30,GL_Journal!$I:$I,TB_LOCC,GL_Journal!$J:$J,TB_CCC,GL_Journal!$D:$D,"&lt;"&amp;TB_From)))</f>
        <v/>
      </c>
      <c r="D30" s="43">
        <f>IF($A30="","",SUMIFS(GL_Journal!$S:$S,GL_Journal!$G:$G,"&gt;="&amp;$K30,GL_Journal!$G:$G,"&lt;="&amp;$L30,GL_Journal!$I:$I,TB_LOCC,GL_Journal!$J:$J,TB_CCC,GL_Journal!$D:$D,"&gt;="&amp;TB_From,GL_Journal!$D:$D,"&lt;="&amp;TB_To))</f>
        <v/>
      </c>
      <c r="E30" s="43">
        <f>IF($A30="","",SUMIFS(GL_Journal!$T:$T,GL_Journal!$G:$G,"&gt;="&amp;$K30,GL_Journal!$G:$G,"&lt;="&amp;$L30,GL_Journal!$I:$I,TB_LOCC,GL_Journal!$J:$J,TB_CCC,GL_Journal!$D:$D,"&gt;="&amp;TB_From,GL_Journal!$D:$D,"&lt;="&amp;TB_To))</f>
        <v/>
      </c>
      <c r="F30" s="43">
        <f>IF($A30="","",MAX($H30,0))</f>
        <v/>
      </c>
      <c r="G30" s="43">
        <f>IF($A30="","",MAX(-$H30,0))</f>
        <v/>
      </c>
      <c r="H30" s="47">
        <f>IF($A30="","",$C30+$D30-$E30)</f>
        <v/>
      </c>
      <c r="I30" s="44">
        <f>IF($A30="","",INDEX(COA!$E:$E,ROW()-10))</f>
        <v/>
      </c>
      <c r="J30" s="44">
        <f>IF($A30="","",INDEX(COA!$F:$F,ROW()-10))</f>
        <v/>
      </c>
      <c r="K30" s="32">
        <f>IF($A30="","",INDEX(COA!$P:$P,ROW()-10))</f>
        <v/>
      </c>
      <c r="L30" s="32">
        <f>IF($A30="","",INDEX(COA!$Q:$Q,ROW()-10))</f>
        <v/>
      </c>
      <c r="M30" s="32" t="inlineStr"/>
    </row>
    <row r="31">
      <c r="A31" s="44">
        <f>IF(INDEX(COA!$A:$A,ROW()-10)="","",INDEX(COA!$A:$A,ROW()-10))</f>
        <v/>
      </c>
      <c r="B31" s="32">
        <f>IF($A31="","",INDEX(COA!$B:$B,ROW()-10))</f>
        <v/>
      </c>
      <c r="C31" s="47">
        <f>IF($A31="","",(SUMIFS(GL_Journal!$S:$S,GL_Journal!$G:$G,"&gt;="&amp;$K31,GL_Journal!$G:$G,"&lt;="&amp;$L31,GL_Journal!$I:$I,TB_LOCC,GL_Journal!$J:$J,TB_CCC,GL_Journal!$D:$D,"&lt;"&amp;TB_From)-SUMIFS(GL_Journal!$T:$T,GL_Journal!$G:$G,"&gt;="&amp;$K31,GL_Journal!$G:$G,"&lt;="&amp;$L31,GL_Journal!$I:$I,TB_LOCC,GL_Journal!$J:$J,TB_CCC,GL_Journal!$D:$D,"&lt;"&amp;TB_From)))</f>
        <v/>
      </c>
      <c r="D31" s="43">
        <f>IF($A31="","",SUMIFS(GL_Journal!$S:$S,GL_Journal!$G:$G,"&gt;="&amp;$K31,GL_Journal!$G:$G,"&lt;="&amp;$L31,GL_Journal!$I:$I,TB_LOCC,GL_Journal!$J:$J,TB_CCC,GL_Journal!$D:$D,"&gt;="&amp;TB_From,GL_Journal!$D:$D,"&lt;="&amp;TB_To))</f>
        <v/>
      </c>
      <c r="E31" s="43">
        <f>IF($A31="","",SUMIFS(GL_Journal!$T:$T,GL_Journal!$G:$G,"&gt;="&amp;$K31,GL_Journal!$G:$G,"&lt;="&amp;$L31,GL_Journal!$I:$I,TB_LOCC,GL_Journal!$J:$J,TB_CCC,GL_Journal!$D:$D,"&gt;="&amp;TB_From,GL_Journal!$D:$D,"&lt;="&amp;TB_To))</f>
        <v/>
      </c>
      <c r="F31" s="43">
        <f>IF($A31="","",MAX($H31,0))</f>
        <v/>
      </c>
      <c r="G31" s="43">
        <f>IF($A31="","",MAX(-$H31,0))</f>
        <v/>
      </c>
      <c r="H31" s="47">
        <f>IF($A31="","",$C31+$D31-$E31)</f>
        <v/>
      </c>
      <c r="I31" s="44">
        <f>IF($A31="","",INDEX(COA!$E:$E,ROW()-10))</f>
        <v/>
      </c>
      <c r="J31" s="44">
        <f>IF($A31="","",INDEX(COA!$F:$F,ROW()-10))</f>
        <v/>
      </c>
      <c r="K31" s="32">
        <f>IF($A31="","",INDEX(COA!$P:$P,ROW()-10))</f>
        <v/>
      </c>
      <c r="L31" s="32">
        <f>IF($A31="","",INDEX(COA!$Q:$Q,ROW()-10))</f>
        <v/>
      </c>
      <c r="M31" s="32" t="inlineStr"/>
    </row>
    <row r="32">
      <c r="A32" s="44">
        <f>IF(INDEX(COA!$A:$A,ROW()-10)="","",INDEX(COA!$A:$A,ROW()-10))</f>
        <v/>
      </c>
      <c r="B32" s="32">
        <f>IF($A32="","",INDEX(COA!$B:$B,ROW()-10))</f>
        <v/>
      </c>
      <c r="C32" s="47">
        <f>IF($A32="","",(SUMIFS(GL_Journal!$S:$S,GL_Journal!$G:$G,"&gt;="&amp;$K32,GL_Journal!$G:$G,"&lt;="&amp;$L32,GL_Journal!$I:$I,TB_LOCC,GL_Journal!$J:$J,TB_CCC,GL_Journal!$D:$D,"&lt;"&amp;TB_From)-SUMIFS(GL_Journal!$T:$T,GL_Journal!$G:$G,"&gt;="&amp;$K32,GL_Journal!$G:$G,"&lt;="&amp;$L32,GL_Journal!$I:$I,TB_LOCC,GL_Journal!$J:$J,TB_CCC,GL_Journal!$D:$D,"&lt;"&amp;TB_From)))</f>
        <v/>
      </c>
      <c r="D32" s="43">
        <f>IF($A32="","",SUMIFS(GL_Journal!$S:$S,GL_Journal!$G:$G,"&gt;="&amp;$K32,GL_Journal!$G:$G,"&lt;="&amp;$L32,GL_Journal!$I:$I,TB_LOCC,GL_Journal!$J:$J,TB_CCC,GL_Journal!$D:$D,"&gt;="&amp;TB_From,GL_Journal!$D:$D,"&lt;="&amp;TB_To))</f>
        <v/>
      </c>
      <c r="E32" s="43">
        <f>IF($A32="","",SUMIFS(GL_Journal!$T:$T,GL_Journal!$G:$G,"&gt;="&amp;$K32,GL_Journal!$G:$G,"&lt;="&amp;$L32,GL_Journal!$I:$I,TB_LOCC,GL_Journal!$J:$J,TB_CCC,GL_Journal!$D:$D,"&gt;="&amp;TB_From,GL_Journal!$D:$D,"&lt;="&amp;TB_To))</f>
        <v/>
      </c>
      <c r="F32" s="43">
        <f>IF($A32="","",MAX($H32,0))</f>
        <v/>
      </c>
      <c r="G32" s="43">
        <f>IF($A32="","",MAX(-$H32,0))</f>
        <v/>
      </c>
      <c r="H32" s="47">
        <f>IF($A32="","",$C32+$D32-$E32)</f>
        <v/>
      </c>
      <c r="I32" s="44">
        <f>IF($A32="","",INDEX(COA!$E:$E,ROW()-10))</f>
        <v/>
      </c>
      <c r="J32" s="44">
        <f>IF($A32="","",INDEX(COA!$F:$F,ROW()-10))</f>
        <v/>
      </c>
      <c r="K32" s="32">
        <f>IF($A32="","",INDEX(COA!$P:$P,ROW()-10))</f>
        <v/>
      </c>
      <c r="L32" s="32">
        <f>IF($A32="","",INDEX(COA!$Q:$Q,ROW()-10))</f>
        <v/>
      </c>
      <c r="M32" s="32" t="inlineStr"/>
    </row>
    <row r="33">
      <c r="A33" s="44">
        <f>IF(INDEX(COA!$A:$A,ROW()-10)="","",INDEX(COA!$A:$A,ROW()-10))</f>
        <v/>
      </c>
      <c r="B33" s="32">
        <f>IF($A33="","",INDEX(COA!$B:$B,ROW()-10))</f>
        <v/>
      </c>
      <c r="C33" s="47">
        <f>IF($A33="","",(SUMIFS(GL_Journal!$S:$S,GL_Journal!$G:$G,"&gt;="&amp;$K33,GL_Journal!$G:$G,"&lt;="&amp;$L33,GL_Journal!$I:$I,TB_LOCC,GL_Journal!$J:$J,TB_CCC,GL_Journal!$D:$D,"&lt;"&amp;TB_From)-SUMIFS(GL_Journal!$T:$T,GL_Journal!$G:$G,"&gt;="&amp;$K33,GL_Journal!$G:$G,"&lt;="&amp;$L33,GL_Journal!$I:$I,TB_LOCC,GL_Journal!$J:$J,TB_CCC,GL_Journal!$D:$D,"&lt;"&amp;TB_From)))</f>
        <v/>
      </c>
      <c r="D33" s="43">
        <f>IF($A33="","",SUMIFS(GL_Journal!$S:$S,GL_Journal!$G:$G,"&gt;="&amp;$K33,GL_Journal!$G:$G,"&lt;="&amp;$L33,GL_Journal!$I:$I,TB_LOCC,GL_Journal!$J:$J,TB_CCC,GL_Journal!$D:$D,"&gt;="&amp;TB_From,GL_Journal!$D:$D,"&lt;="&amp;TB_To))</f>
        <v/>
      </c>
      <c r="E33" s="43">
        <f>IF($A33="","",SUMIFS(GL_Journal!$T:$T,GL_Journal!$G:$G,"&gt;="&amp;$K33,GL_Journal!$G:$G,"&lt;="&amp;$L33,GL_Journal!$I:$I,TB_LOCC,GL_Journal!$J:$J,TB_CCC,GL_Journal!$D:$D,"&gt;="&amp;TB_From,GL_Journal!$D:$D,"&lt;="&amp;TB_To))</f>
        <v/>
      </c>
      <c r="F33" s="43">
        <f>IF($A33="","",MAX($H33,0))</f>
        <v/>
      </c>
      <c r="G33" s="43">
        <f>IF($A33="","",MAX(-$H33,0))</f>
        <v/>
      </c>
      <c r="H33" s="47">
        <f>IF($A33="","",$C33+$D33-$E33)</f>
        <v/>
      </c>
      <c r="I33" s="44">
        <f>IF($A33="","",INDEX(COA!$E:$E,ROW()-10))</f>
        <v/>
      </c>
      <c r="J33" s="44">
        <f>IF($A33="","",INDEX(COA!$F:$F,ROW()-10))</f>
        <v/>
      </c>
      <c r="K33" s="32">
        <f>IF($A33="","",INDEX(COA!$P:$P,ROW()-10))</f>
        <v/>
      </c>
      <c r="L33" s="32">
        <f>IF($A33="","",INDEX(COA!$Q:$Q,ROW()-10))</f>
        <v/>
      </c>
      <c r="M33" s="32" t="inlineStr"/>
    </row>
    <row r="34">
      <c r="A34" s="44">
        <f>IF(INDEX(COA!$A:$A,ROW()-10)="","",INDEX(COA!$A:$A,ROW()-10))</f>
        <v/>
      </c>
      <c r="B34" s="32">
        <f>IF($A34="","",INDEX(COA!$B:$B,ROW()-10))</f>
        <v/>
      </c>
      <c r="C34" s="47">
        <f>IF($A34="","",(SUMIFS(GL_Journal!$S:$S,GL_Journal!$G:$G,"&gt;="&amp;$K34,GL_Journal!$G:$G,"&lt;="&amp;$L34,GL_Journal!$I:$I,TB_LOCC,GL_Journal!$J:$J,TB_CCC,GL_Journal!$D:$D,"&lt;"&amp;TB_From)-SUMIFS(GL_Journal!$T:$T,GL_Journal!$G:$G,"&gt;="&amp;$K34,GL_Journal!$G:$G,"&lt;="&amp;$L34,GL_Journal!$I:$I,TB_LOCC,GL_Journal!$J:$J,TB_CCC,GL_Journal!$D:$D,"&lt;"&amp;TB_From)))</f>
        <v/>
      </c>
      <c r="D34" s="43">
        <f>IF($A34="","",SUMIFS(GL_Journal!$S:$S,GL_Journal!$G:$G,"&gt;="&amp;$K34,GL_Journal!$G:$G,"&lt;="&amp;$L34,GL_Journal!$I:$I,TB_LOCC,GL_Journal!$J:$J,TB_CCC,GL_Journal!$D:$D,"&gt;="&amp;TB_From,GL_Journal!$D:$D,"&lt;="&amp;TB_To))</f>
        <v/>
      </c>
      <c r="E34" s="43">
        <f>IF($A34="","",SUMIFS(GL_Journal!$T:$T,GL_Journal!$G:$G,"&gt;="&amp;$K34,GL_Journal!$G:$G,"&lt;="&amp;$L34,GL_Journal!$I:$I,TB_LOCC,GL_Journal!$J:$J,TB_CCC,GL_Journal!$D:$D,"&gt;="&amp;TB_From,GL_Journal!$D:$D,"&lt;="&amp;TB_To))</f>
        <v/>
      </c>
      <c r="F34" s="43">
        <f>IF($A34="","",MAX($H34,0))</f>
        <v/>
      </c>
      <c r="G34" s="43">
        <f>IF($A34="","",MAX(-$H34,0))</f>
        <v/>
      </c>
      <c r="H34" s="47">
        <f>IF($A34="","",$C34+$D34-$E34)</f>
        <v/>
      </c>
      <c r="I34" s="44">
        <f>IF($A34="","",INDEX(COA!$E:$E,ROW()-10))</f>
        <v/>
      </c>
      <c r="J34" s="44">
        <f>IF($A34="","",INDEX(COA!$F:$F,ROW()-10))</f>
        <v/>
      </c>
      <c r="K34" s="32">
        <f>IF($A34="","",INDEX(COA!$P:$P,ROW()-10))</f>
        <v/>
      </c>
      <c r="L34" s="32">
        <f>IF($A34="","",INDEX(COA!$Q:$Q,ROW()-10))</f>
        <v/>
      </c>
      <c r="M34" s="32" t="inlineStr"/>
    </row>
    <row r="35">
      <c r="A35" s="44">
        <f>IF(INDEX(COA!$A:$A,ROW()-10)="","",INDEX(COA!$A:$A,ROW()-10))</f>
        <v/>
      </c>
      <c r="B35" s="32">
        <f>IF($A35="","",INDEX(COA!$B:$B,ROW()-10))</f>
        <v/>
      </c>
      <c r="C35" s="47">
        <f>IF($A35="","",(SUMIFS(GL_Journal!$S:$S,GL_Journal!$G:$G,"&gt;="&amp;$K35,GL_Journal!$G:$G,"&lt;="&amp;$L35,GL_Journal!$I:$I,TB_LOCC,GL_Journal!$J:$J,TB_CCC,GL_Journal!$D:$D,"&lt;"&amp;TB_From)-SUMIFS(GL_Journal!$T:$T,GL_Journal!$G:$G,"&gt;="&amp;$K35,GL_Journal!$G:$G,"&lt;="&amp;$L35,GL_Journal!$I:$I,TB_LOCC,GL_Journal!$J:$J,TB_CCC,GL_Journal!$D:$D,"&lt;"&amp;TB_From)))</f>
        <v/>
      </c>
      <c r="D35" s="43">
        <f>IF($A35="","",SUMIFS(GL_Journal!$S:$S,GL_Journal!$G:$G,"&gt;="&amp;$K35,GL_Journal!$G:$G,"&lt;="&amp;$L35,GL_Journal!$I:$I,TB_LOCC,GL_Journal!$J:$J,TB_CCC,GL_Journal!$D:$D,"&gt;="&amp;TB_From,GL_Journal!$D:$D,"&lt;="&amp;TB_To))</f>
        <v/>
      </c>
      <c r="E35" s="43">
        <f>IF($A35="","",SUMIFS(GL_Journal!$T:$T,GL_Journal!$G:$G,"&gt;="&amp;$K35,GL_Journal!$G:$G,"&lt;="&amp;$L35,GL_Journal!$I:$I,TB_LOCC,GL_Journal!$J:$J,TB_CCC,GL_Journal!$D:$D,"&gt;="&amp;TB_From,GL_Journal!$D:$D,"&lt;="&amp;TB_To))</f>
        <v/>
      </c>
      <c r="F35" s="43">
        <f>IF($A35="","",MAX($H35,0))</f>
        <v/>
      </c>
      <c r="G35" s="43">
        <f>IF($A35="","",MAX(-$H35,0))</f>
        <v/>
      </c>
      <c r="H35" s="47">
        <f>IF($A35="","",$C35+$D35-$E35)</f>
        <v/>
      </c>
      <c r="I35" s="44">
        <f>IF($A35="","",INDEX(COA!$E:$E,ROW()-10))</f>
        <v/>
      </c>
      <c r="J35" s="44">
        <f>IF($A35="","",INDEX(COA!$F:$F,ROW()-10))</f>
        <v/>
      </c>
      <c r="K35" s="32">
        <f>IF($A35="","",INDEX(COA!$P:$P,ROW()-10))</f>
        <v/>
      </c>
      <c r="L35" s="32">
        <f>IF($A35="","",INDEX(COA!$Q:$Q,ROW()-10))</f>
        <v/>
      </c>
      <c r="M35" s="32" t="inlineStr"/>
    </row>
    <row r="36">
      <c r="A36" s="44">
        <f>IF(INDEX(COA!$A:$A,ROW()-10)="","",INDEX(COA!$A:$A,ROW()-10))</f>
        <v/>
      </c>
      <c r="B36" s="32">
        <f>IF($A36="","",INDEX(COA!$B:$B,ROW()-10))</f>
        <v/>
      </c>
      <c r="C36" s="47">
        <f>IF($A36="","",(SUMIFS(GL_Journal!$S:$S,GL_Journal!$G:$G,"&gt;="&amp;$K36,GL_Journal!$G:$G,"&lt;="&amp;$L36,GL_Journal!$I:$I,TB_LOCC,GL_Journal!$J:$J,TB_CCC,GL_Journal!$D:$D,"&lt;"&amp;TB_From)-SUMIFS(GL_Journal!$T:$T,GL_Journal!$G:$G,"&gt;="&amp;$K36,GL_Journal!$G:$G,"&lt;="&amp;$L36,GL_Journal!$I:$I,TB_LOCC,GL_Journal!$J:$J,TB_CCC,GL_Journal!$D:$D,"&lt;"&amp;TB_From)))</f>
        <v/>
      </c>
      <c r="D36" s="43">
        <f>IF($A36="","",SUMIFS(GL_Journal!$S:$S,GL_Journal!$G:$G,"&gt;="&amp;$K36,GL_Journal!$G:$G,"&lt;="&amp;$L36,GL_Journal!$I:$I,TB_LOCC,GL_Journal!$J:$J,TB_CCC,GL_Journal!$D:$D,"&gt;="&amp;TB_From,GL_Journal!$D:$D,"&lt;="&amp;TB_To))</f>
        <v/>
      </c>
      <c r="E36" s="43">
        <f>IF($A36="","",SUMIFS(GL_Journal!$T:$T,GL_Journal!$G:$G,"&gt;="&amp;$K36,GL_Journal!$G:$G,"&lt;="&amp;$L36,GL_Journal!$I:$I,TB_LOCC,GL_Journal!$J:$J,TB_CCC,GL_Journal!$D:$D,"&gt;="&amp;TB_From,GL_Journal!$D:$D,"&lt;="&amp;TB_To))</f>
        <v/>
      </c>
      <c r="F36" s="43">
        <f>IF($A36="","",MAX($H36,0))</f>
        <v/>
      </c>
      <c r="G36" s="43">
        <f>IF($A36="","",MAX(-$H36,0))</f>
        <v/>
      </c>
      <c r="H36" s="47">
        <f>IF($A36="","",$C36+$D36-$E36)</f>
        <v/>
      </c>
      <c r="I36" s="44">
        <f>IF($A36="","",INDEX(COA!$E:$E,ROW()-10))</f>
        <v/>
      </c>
      <c r="J36" s="44">
        <f>IF($A36="","",INDEX(COA!$F:$F,ROW()-10))</f>
        <v/>
      </c>
      <c r="K36" s="32">
        <f>IF($A36="","",INDEX(COA!$P:$P,ROW()-10))</f>
        <v/>
      </c>
      <c r="L36" s="32">
        <f>IF($A36="","",INDEX(COA!$Q:$Q,ROW()-10))</f>
        <v/>
      </c>
      <c r="M36" s="32" t="inlineStr"/>
    </row>
    <row r="37">
      <c r="A37" s="44">
        <f>IF(INDEX(COA!$A:$A,ROW()-10)="","",INDEX(COA!$A:$A,ROW()-10))</f>
        <v/>
      </c>
      <c r="B37" s="32">
        <f>IF($A37="","",INDEX(COA!$B:$B,ROW()-10))</f>
        <v/>
      </c>
      <c r="C37" s="47">
        <f>IF($A37="","",(SUMIFS(GL_Journal!$S:$S,GL_Journal!$G:$G,"&gt;="&amp;$K37,GL_Journal!$G:$G,"&lt;="&amp;$L37,GL_Journal!$I:$I,TB_LOCC,GL_Journal!$J:$J,TB_CCC,GL_Journal!$D:$D,"&lt;"&amp;TB_From)-SUMIFS(GL_Journal!$T:$T,GL_Journal!$G:$G,"&gt;="&amp;$K37,GL_Journal!$G:$G,"&lt;="&amp;$L37,GL_Journal!$I:$I,TB_LOCC,GL_Journal!$J:$J,TB_CCC,GL_Journal!$D:$D,"&lt;"&amp;TB_From)))</f>
        <v/>
      </c>
      <c r="D37" s="43">
        <f>IF($A37="","",SUMIFS(GL_Journal!$S:$S,GL_Journal!$G:$G,"&gt;="&amp;$K37,GL_Journal!$G:$G,"&lt;="&amp;$L37,GL_Journal!$I:$I,TB_LOCC,GL_Journal!$J:$J,TB_CCC,GL_Journal!$D:$D,"&gt;="&amp;TB_From,GL_Journal!$D:$D,"&lt;="&amp;TB_To))</f>
        <v/>
      </c>
      <c r="E37" s="43">
        <f>IF($A37="","",SUMIFS(GL_Journal!$T:$T,GL_Journal!$G:$G,"&gt;="&amp;$K37,GL_Journal!$G:$G,"&lt;="&amp;$L37,GL_Journal!$I:$I,TB_LOCC,GL_Journal!$J:$J,TB_CCC,GL_Journal!$D:$D,"&gt;="&amp;TB_From,GL_Journal!$D:$D,"&lt;="&amp;TB_To))</f>
        <v/>
      </c>
      <c r="F37" s="43">
        <f>IF($A37="","",MAX($H37,0))</f>
        <v/>
      </c>
      <c r="G37" s="43">
        <f>IF($A37="","",MAX(-$H37,0))</f>
        <v/>
      </c>
      <c r="H37" s="47">
        <f>IF($A37="","",$C37+$D37-$E37)</f>
        <v/>
      </c>
      <c r="I37" s="44">
        <f>IF($A37="","",INDEX(COA!$E:$E,ROW()-10))</f>
        <v/>
      </c>
      <c r="J37" s="44">
        <f>IF($A37="","",INDEX(COA!$F:$F,ROW()-10))</f>
        <v/>
      </c>
      <c r="K37" s="32">
        <f>IF($A37="","",INDEX(COA!$P:$P,ROW()-10))</f>
        <v/>
      </c>
      <c r="L37" s="32">
        <f>IF($A37="","",INDEX(COA!$Q:$Q,ROW()-10))</f>
        <v/>
      </c>
      <c r="M37" s="32" t="inlineStr"/>
    </row>
    <row r="38">
      <c r="A38" s="44">
        <f>IF(INDEX(COA!$A:$A,ROW()-10)="","",INDEX(COA!$A:$A,ROW()-10))</f>
        <v/>
      </c>
      <c r="B38" s="32">
        <f>IF($A38="","",INDEX(COA!$B:$B,ROW()-10))</f>
        <v/>
      </c>
      <c r="C38" s="47">
        <f>IF($A38="","",(SUMIFS(GL_Journal!$S:$S,GL_Journal!$G:$G,"&gt;="&amp;$K38,GL_Journal!$G:$G,"&lt;="&amp;$L38,GL_Journal!$I:$I,TB_LOCC,GL_Journal!$J:$J,TB_CCC,GL_Journal!$D:$D,"&lt;"&amp;TB_From)-SUMIFS(GL_Journal!$T:$T,GL_Journal!$G:$G,"&gt;="&amp;$K38,GL_Journal!$G:$G,"&lt;="&amp;$L38,GL_Journal!$I:$I,TB_LOCC,GL_Journal!$J:$J,TB_CCC,GL_Journal!$D:$D,"&lt;"&amp;TB_From)))</f>
        <v/>
      </c>
      <c r="D38" s="43">
        <f>IF($A38="","",SUMIFS(GL_Journal!$S:$S,GL_Journal!$G:$G,"&gt;="&amp;$K38,GL_Journal!$G:$G,"&lt;="&amp;$L38,GL_Journal!$I:$I,TB_LOCC,GL_Journal!$J:$J,TB_CCC,GL_Journal!$D:$D,"&gt;="&amp;TB_From,GL_Journal!$D:$D,"&lt;="&amp;TB_To))</f>
        <v/>
      </c>
      <c r="E38" s="43">
        <f>IF($A38="","",SUMIFS(GL_Journal!$T:$T,GL_Journal!$G:$G,"&gt;="&amp;$K38,GL_Journal!$G:$G,"&lt;="&amp;$L38,GL_Journal!$I:$I,TB_LOCC,GL_Journal!$J:$J,TB_CCC,GL_Journal!$D:$D,"&gt;="&amp;TB_From,GL_Journal!$D:$D,"&lt;="&amp;TB_To))</f>
        <v/>
      </c>
      <c r="F38" s="43">
        <f>IF($A38="","",MAX($H38,0))</f>
        <v/>
      </c>
      <c r="G38" s="43">
        <f>IF($A38="","",MAX(-$H38,0))</f>
        <v/>
      </c>
      <c r="H38" s="47">
        <f>IF($A38="","",$C38+$D38-$E38)</f>
        <v/>
      </c>
      <c r="I38" s="44">
        <f>IF($A38="","",INDEX(COA!$E:$E,ROW()-10))</f>
        <v/>
      </c>
      <c r="J38" s="44">
        <f>IF($A38="","",INDEX(COA!$F:$F,ROW()-10))</f>
        <v/>
      </c>
      <c r="K38" s="32">
        <f>IF($A38="","",INDEX(COA!$P:$P,ROW()-10))</f>
        <v/>
      </c>
      <c r="L38" s="32">
        <f>IF($A38="","",INDEX(COA!$Q:$Q,ROW()-10))</f>
        <v/>
      </c>
      <c r="M38" s="32" t="inlineStr"/>
    </row>
    <row r="39">
      <c r="A39" s="44">
        <f>IF(INDEX(COA!$A:$A,ROW()-10)="","",INDEX(COA!$A:$A,ROW()-10))</f>
        <v/>
      </c>
      <c r="B39" s="32">
        <f>IF($A39="","",INDEX(COA!$B:$B,ROW()-10))</f>
        <v/>
      </c>
      <c r="C39" s="47">
        <f>IF($A39="","",(SUMIFS(GL_Journal!$S:$S,GL_Journal!$G:$G,"&gt;="&amp;$K39,GL_Journal!$G:$G,"&lt;="&amp;$L39,GL_Journal!$I:$I,TB_LOCC,GL_Journal!$J:$J,TB_CCC,GL_Journal!$D:$D,"&lt;"&amp;TB_From)-SUMIFS(GL_Journal!$T:$T,GL_Journal!$G:$G,"&gt;="&amp;$K39,GL_Journal!$G:$G,"&lt;="&amp;$L39,GL_Journal!$I:$I,TB_LOCC,GL_Journal!$J:$J,TB_CCC,GL_Journal!$D:$D,"&lt;"&amp;TB_From)))</f>
        <v/>
      </c>
      <c r="D39" s="43">
        <f>IF($A39="","",SUMIFS(GL_Journal!$S:$S,GL_Journal!$G:$G,"&gt;="&amp;$K39,GL_Journal!$G:$G,"&lt;="&amp;$L39,GL_Journal!$I:$I,TB_LOCC,GL_Journal!$J:$J,TB_CCC,GL_Journal!$D:$D,"&gt;="&amp;TB_From,GL_Journal!$D:$D,"&lt;="&amp;TB_To))</f>
        <v/>
      </c>
      <c r="E39" s="43">
        <f>IF($A39="","",SUMIFS(GL_Journal!$T:$T,GL_Journal!$G:$G,"&gt;="&amp;$K39,GL_Journal!$G:$G,"&lt;="&amp;$L39,GL_Journal!$I:$I,TB_LOCC,GL_Journal!$J:$J,TB_CCC,GL_Journal!$D:$D,"&gt;="&amp;TB_From,GL_Journal!$D:$D,"&lt;="&amp;TB_To))</f>
        <v/>
      </c>
      <c r="F39" s="43">
        <f>IF($A39="","",MAX($H39,0))</f>
        <v/>
      </c>
      <c r="G39" s="43">
        <f>IF($A39="","",MAX(-$H39,0))</f>
        <v/>
      </c>
      <c r="H39" s="47">
        <f>IF($A39="","",$C39+$D39-$E39)</f>
        <v/>
      </c>
      <c r="I39" s="44">
        <f>IF($A39="","",INDEX(COA!$E:$E,ROW()-10))</f>
        <v/>
      </c>
      <c r="J39" s="44">
        <f>IF($A39="","",INDEX(COA!$F:$F,ROW()-10))</f>
        <v/>
      </c>
      <c r="K39" s="32">
        <f>IF($A39="","",INDEX(COA!$P:$P,ROW()-10))</f>
        <v/>
      </c>
      <c r="L39" s="32">
        <f>IF($A39="","",INDEX(COA!$Q:$Q,ROW()-10))</f>
        <v/>
      </c>
      <c r="M39" s="32" t="inlineStr"/>
    </row>
    <row r="40">
      <c r="A40" s="44">
        <f>IF(INDEX(COA!$A:$A,ROW()-10)="","",INDEX(COA!$A:$A,ROW()-10))</f>
        <v/>
      </c>
      <c r="B40" s="32">
        <f>IF($A40="","",INDEX(COA!$B:$B,ROW()-10))</f>
        <v/>
      </c>
      <c r="C40" s="47">
        <f>IF($A40="","",(SUMIFS(GL_Journal!$S:$S,GL_Journal!$G:$G,"&gt;="&amp;$K40,GL_Journal!$G:$G,"&lt;="&amp;$L40,GL_Journal!$I:$I,TB_LOCC,GL_Journal!$J:$J,TB_CCC,GL_Journal!$D:$D,"&lt;"&amp;TB_From)-SUMIFS(GL_Journal!$T:$T,GL_Journal!$G:$G,"&gt;="&amp;$K40,GL_Journal!$G:$G,"&lt;="&amp;$L40,GL_Journal!$I:$I,TB_LOCC,GL_Journal!$J:$J,TB_CCC,GL_Journal!$D:$D,"&lt;"&amp;TB_From)))</f>
        <v/>
      </c>
      <c r="D40" s="43">
        <f>IF($A40="","",SUMIFS(GL_Journal!$S:$S,GL_Journal!$G:$G,"&gt;="&amp;$K40,GL_Journal!$G:$G,"&lt;="&amp;$L40,GL_Journal!$I:$I,TB_LOCC,GL_Journal!$J:$J,TB_CCC,GL_Journal!$D:$D,"&gt;="&amp;TB_From,GL_Journal!$D:$D,"&lt;="&amp;TB_To))</f>
        <v/>
      </c>
      <c r="E40" s="43">
        <f>IF($A40="","",SUMIFS(GL_Journal!$T:$T,GL_Journal!$G:$G,"&gt;="&amp;$K40,GL_Journal!$G:$G,"&lt;="&amp;$L40,GL_Journal!$I:$I,TB_LOCC,GL_Journal!$J:$J,TB_CCC,GL_Journal!$D:$D,"&gt;="&amp;TB_From,GL_Journal!$D:$D,"&lt;="&amp;TB_To))</f>
        <v/>
      </c>
      <c r="F40" s="43">
        <f>IF($A40="","",MAX($H40,0))</f>
        <v/>
      </c>
      <c r="G40" s="43">
        <f>IF($A40="","",MAX(-$H40,0))</f>
        <v/>
      </c>
      <c r="H40" s="47">
        <f>IF($A40="","",$C40+$D40-$E40)</f>
        <v/>
      </c>
      <c r="I40" s="44">
        <f>IF($A40="","",INDEX(COA!$E:$E,ROW()-10))</f>
        <v/>
      </c>
      <c r="J40" s="44">
        <f>IF($A40="","",INDEX(COA!$F:$F,ROW()-10))</f>
        <v/>
      </c>
      <c r="K40" s="32">
        <f>IF($A40="","",INDEX(COA!$P:$P,ROW()-10))</f>
        <v/>
      </c>
      <c r="L40" s="32">
        <f>IF($A40="","",INDEX(COA!$Q:$Q,ROW()-10))</f>
        <v/>
      </c>
      <c r="M40" s="32" t="inlineStr"/>
    </row>
    <row r="41">
      <c r="A41" s="44">
        <f>IF(INDEX(COA!$A:$A,ROW()-10)="","",INDEX(COA!$A:$A,ROW()-10))</f>
        <v/>
      </c>
      <c r="B41" s="32">
        <f>IF($A41="","",INDEX(COA!$B:$B,ROW()-10))</f>
        <v/>
      </c>
      <c r="C41" s="47">
        <f>IF($A41="","",(SUMIFS(GL_Journal!$S:$S,GL_Journal!$G:$G,"&gt;="&amp;$K41,GL_Journal!$G:$G,"&lt;="&amp;$L41,GL_Journal!$I:$I,TB_LOCC,GL_Journal!$J:$J,TB_CCC,GL_Journal!$D:$D,"&lt;"&amp;TB_From)-SUMIFS(GL_Journal!$T:$T,GL_Journal!$G:$G,"&gt;="&amp;$K41,GL_Journal!$G:$G,"&lt;="&amp;$L41,GL_Journal!$I:$I,TB_LOCC,GL_Journal!$J:$J,TB_CCC,GL_Journal!$D:$D,"&lt;"&amp;TB_From)))</f>
        <v/>
      </c>
      <c r="D41" s="43">
        <f>IF($A41="","",SUMIFS(GL_Journal!$S:$S,GL_Journal!$G:$G,"&gt;="&amp;$K41,GL_Journal!$G:$G,"&lt;="&amp;$L41,GL_Journal!$I:$I,TB_LOCC,GL_Journal!$J:$J,TB_CCC,GL_Journal!$D:$D,"&gt;="&amp;TB_From,GL_Journal!$D:$D,"&lt;="&amp;TB_To))</f>
        <v/>
      </c>
      <c r="E41" s="43">
        <f>IF($A41="","",SUMIFS(GL_Journal!$T:$T,GL_Journal!$G:$G,"&gt;="&amp;$K41,GL_Journal!$G:$G,"&lt;="&amp;$L41,GL_Journal!$I:$I,TB_LOCC,GL_Journal!$J:$J,TB_CCC,GL_Journal!$D:$D,"&gt;="&amp;TB_From,GL_Journal!$D:$D,"&lt;="&amp;TB_To))</f>
        <v/>
      </c>
      <c r="F41" s="43">
        <f>IF($A41="","",MAX($H41,0))</f>
        <v/>
      </c>
      <c r="G41" s="43">
        <f>IF($A41="","",MAX(-$H41,0))</f>
        <v/>
      </c>
      <c r="H41" s="47">
        <f>IF($A41="","",$C41+$D41-$E41)</f>
        <v/>
      </c>
      <c r="I41" s="44">
        <f>IF($A41="","",INDEX(COA!$E:$E,ROW()-10))</f>
        <v/>
      </c>
      <c r="J41" s="44">
        <f>IF($A41="","",INDEX(COA!$F:$F,ROW()-10))</f>
        <v/>
      </c>
      <c r="K41" s="32">
        <f>IF($A41="","",INDEX(COA!$P:$P,ROW()-10))</f>
        <v/>
      </c>
      <c r="L41" s="32">
        <f>IF($A41="","",INDEX(COA!$Q:$Q,ROW()-10))</f>
        <v/>
      </c>
      <c r="M41" s="32" t="inlineStr"/>
    </row>
    <row r="42">
      <c r="A42" s="44">
        <f>IF(INDEX(COA!$A:$A,ROW()-10)="","",INDEX(COA!$A:$A,ROW()-10))</f>
        <v/>
      </c>
      <c r="B42" s="32">
        <f>IF($A42="","",INDEX(COA!$B:$B,ROW()-10))</f>
        <v/>
      </c>
      <c r="C42" s="47">
        <f>IF($A42="","",(SUMIFS(GL_Journal!$S:$S,GL_Journal!$G:$G,"&gt;="&amp;$K42,GL_Journal!$G:$G,"&lt;="&amp;$L42,GL_Journal!$I:$I,TB_LOCC,GL_Journal!$J:$J,TB_CCC,GL_Journal!$D:$D,"&lt;"&amp;TB_From)-SUMIFS(GL_Journal!$T:$T,GL_Journal!$G:$G,"&gt;="&amp;$K42,GL_Journal!$G:$G,"&lt;="&amp;$L42,GL_Journal!$I:$I,TB_LOCC,GL_Journal!$J:$J,TB_CCC,GL_Journal!$D:$D,"&lt;"&amp;TB_From)))</f>
        <v/>
      </c>
      <c r="D42" s="43">
        <f>IF($A42="","",SUMIFS(GL_Journal!$S:$S,GL_Journal!$G:$G,"&gt;="&amp;$K42,GL_Journal!$G:$G,"&lt;="&amp;$L42,GL_Journal!$I:$I,TB_LOCC,GL_Journal!$J:$J,TB_CCC,GL_Journal!$D:$D,"&gt;="&amp;TB_From,GL_Journal!$D:$D,"&lt;="&amp;TB_To))</f>
        <v/>
      </c>
      <c r="E42" s="43">
        <f>IF($A42="","",SUMIFS(GL_Journal!$T:$T,GL_Journal!$G:$G,"&gt;="&amp;$K42,GL_Journal!$G:$G,"&lt;="&amp;$L42,GL_Journal!$I:$I,TB_LOCC,GL_Journal!$J:$J,TB_CCC,GL_Journal!$D:$D,"&gt;="&amp;TB_From,GL_Journal!$D:$D,"&lt;="&amp;TB_To))</f>
        <v/>
      </c>
      <c r="F42" s="43">
        <f>IF($A42="","",MAX($H42,0))</f>
        <v/>
      </c>
      <c r="G42" s="43">
        <f>IF($A42="","",MAX(-$H42,0))</f>
        <v/>
      </c>
      <c r="H42" s="47">
        <f>IF($A42="","",$C42+$D42-$E42)</f>
        <v/>
      </c>
      <c r="I42" s="44">
        <f>IF($A42="","",INDEX(COA!$E:$E,ROW()-10))</f>
        <v/>
      </c>
      <c r="J42" s="44">
        <f>IF($A42="","",INDEX(COA!$F:$F,ROW()-10))</f>
        <v/>
      </c>
      <c r="K42" s="32">
        <f>IF($A42="","",INDEX(COA!$P:$P,ROW()-10))</f>
        <v/>
      </c>
      <c r="L42" s="32">
        <f>IF($A42="","",INDEX(COA!$Q:$Q,ROW()-10))</f>
        <v/>
      </c>
      <c r="M42" s="32" t="inlineStr"/>
    </row>
    <row r="43">
      <c r="A43" s="44">
        <f>IF(INDEX(COA!$A:$A,ROW()-10)="","",INDEX(COA!$A:$A,ROW()-10))</f>
        <v/>
      </c>
      <c r="B43" s="32">
        <f>IF($A43="","",INDEX(COA!$B:$B,ROW()-10))</f>
        <v/>
      </c>
      <c r="C43" s="47">
        <f>IF($A43="","",(SUMIFS(GL_Journal!$S:$S,GL_Journal!$G:$G,"&gt;="&amp;$K43,GL_Journal!$G:$G,"&lt;="&amp;$L43,GL_Journal!$I:$I,TB_LOCC,GL_Journal!$J:$J,TB_CCC,GL_Journal!$D:$D,"&lt;"&amp;TB_From)-SUMIFS(GL_Journal!$T:$T,GL_Journal!$G:$G,"&gt;="&amp;$K43,GL_Journal!$G:$G,"&lt;="&amp;$L43,GL_Journal!$I:$I,TB_LOCC,GL_Journal!$J:$J,TB_CCC,GL_Journal!$D:$D,"&lt;"&amp;TB_From)))</f>
        <v/>
      </c>
      <c r="D43" s="43">
        <f>IF($A43="","",SUMIFS(GL_Journal!$S:$S,GL_Journal!$G:$G,"&gt;="&amp;$K43,GL_Journal!$G:$G,"&lt;="&amp;$L43,GL_Journal!$I:$I,TB_LOCC,GL_Journal!$J:$J,TB_CCC,GL_Journal!$D:$D,"&gt;="&amp;TB_From,GL_Journal!$D:$D,"&lt;="&amp;TB_To))</f>
        <v/>
      </c>
      <c r="E43" s="43">
        <f>IF($A43="","",SUMIFS(GL_Journal!$T:$T,GL_Journal!$G:$G,"&gt;="&amp;$K43,GL_Journal!$G:$G,"&lt;="&amp;$L43,GL_Journal!$I:$I,TB_LOCC,GL_Journal!$J:$J,TB_CCC,GL_Journal!$D:$D,"&gt;="&amp;TB_From,GL_Journal!$D:$D,"&lt;="&amp;TB_To))</f>
        <v/>
      </c>
      <c r="F43" s="43">
        <f>IF($A43="","",MAX($H43,0))</f>
        <v/>
      </c>
      <c r="G43" s="43">
        <f>IF($A43="","",MAX(-$H43,0))</f>
        <v/>
      </c>
      <c r="H43" s="47">
        <f>IF($A43="","",$C43+$D43-$E43)</f>
        <v/>
      </c>
      <c r="I43" s="44">
        <f>IF($A43="","",INDEX(COA!$E:$E,ROW()-10))</f>
        <v/>
      </c>
      <c r="J43" s="44">
        <f>IF($A43="","",INDEX(COA!$F:$F,ROW()-10))</f>
        <v/>
      </c>
      <c r="K43" s="32">
        <f>IF($A43="","",INDEX(COA!$P:$P,ROW()-10))</f>
        <v/>
      </c>
      <c r="L43" s="32">
        <f>IF($A43="","",INDEX(COA!$Q:$Q,ROW()-10))</f>
        <v/>
      </c>
      <c r="M43" s="32" t="inlineStr"/>
    </row>
    <row r="44">
      <c r="A44" s="44">
        <f>IF(INDEX(COA!$A:$A,ROW()-10)="","",INDEX(COA!$A:$A,ROW()-10))</f>
        <v/>
      </c>
      <c r="B44" s="32">
        <f>IF($A44="","",INDEX(COA!$B:$B,ROW()-10))</f>
        <v/>
      </c>
      <c r="C44" s="47">
        <f>IF($A44="","",(SUMIFS(GL_Journal!$S:$S,GL_Journal!$G:$G,"&gt;="&amp;$K44,GL_Journal!$G:$G,"&lt;="&amp;$L44,GL_Journal!$I:$I,TB_LOCC,GL_Journal!$J:$J,TB_CCC,GL_Journal!$D:$D,"&lt;"&amp;TB_From)-SUMIFS(GL_Journal!$T:$T,GL_Journal!$G:$G,"&gt;="&amp;$K44,GL_Journal!$G:$G,"&lt;="&amp;$L44,GL_Journal!$I:$I,TB_LOCC,GL_Journal!$J:$J,TB_CCC,GL_Journal!$D:$D,"&lt;"&amp;TB_From)))</f>
        <v/>
      </c>
      <c r="D44" s="43">
        <f>IF($A44="","",SUMIFS(GL_Journal!$S:$S,GL_Journal!$G:$G,"&gt;="&amp;$K44,GL_Journal!$G:$G,"&lt;="&amp;$L44,GL_Journal!$I:$I,TB_LOCC,GL_Journal!$J:$J,TB_CCC,GL_Journal!$D:$D,"&gt;="&amp;TB_From,GL_Journal!$D:$D,"&lt;="&amp;TB_To))</f>
        <v/>
      </c>
      <c r="E44" s="43">
        <f>IF($A44="","",SUMIFS(GL_Journal!$T:$T,GL_Journal!$G:$G,"&gt;="&amp;$K44,GL_Journal!$G:$G,"&lt;="&amp;$L44,GL_Journal!$I:$I,TB_LOCC,GL_Journal!$J:$J,TB_CCC,GL_Journal!$D:$D,"&gt;="&amp;TB_From,GL_Journal!$D:$D,"&lt;="&amp;TB_To))</f>
        <v/>
      </c>
      <c r="F44" s="43">
        <f>IF($A44="","",MAX($H44,0))</f>
        <v/>
      </c>
      <c r="G44" s="43">
        <f>IF($A44="","",MAX(-$H44,0))</f>
        <v/>
      </c>
      <c r="H44" s="47">
        <f>IF($A44="","",$C44+$D44-$E44)</f>
        <v/>
      </c>
      <c r="I44" s="44">
        <f>IF($A44="","",INDEX(COA!$E:$E,ROW()-10))</f>
        <v/>
      </c>
      <c r="J44" s="44">
        <f>IF($A44="","",INDEX(COA!$F:$F,ROW()-10))</f>
        <v/>
      </c>
      <c r="K44" s="32">
        <f>IF($A44="","",INDEX(COA!$P:$P,ROW()-10))</f>
        <v/>
      </c>
      <c r="L44" s="32">
        <f>IF($A44="","",INDEX(COA!$Q:$Q,ROW()-10))</f>
        <v/>
      </c>
      <c r="M44" s="32" t="inlineStr"/>
    </row>
    <row r="45">
      <c r="A45" s="44">
        <f>IF(INDEX(COA!$A:$A,ROW()-10)="","",INDEX(COA!$A:$A,ROW()-10))</f>
        <v/>
      </c>
      <c r="B45" s="32">
        <f>IF($A45="","",INDEX(COA!$B:$B,ROW()-10))</f>
        <v/>
      </c>
      <c r="C45" s="47">
        <f>IF($A45="","",(SUMIFS(GL_Journal!$S:$S,GL_Journal!$G:$G,"&gt;="&amp;$K45,GL_Journal!$G:$G,"&lt;="&amp;$L45,GL_Journal!$I:$I,TB_LOCC,GL_Journal!$J:$J,TB_CCC,GL_Journal!$D:$D,"&lt;"&amp;TB_From)-SUMIFS(GL_Journal!$T:$T,GL_Journal!$G:$G,"&gt;="&amp;$K45,GL_Journal!$G:$G,"&lt;="&amp;$L45,GL_Journal!$I:$I,TB_LOCC,GL_Journal!$J:$J,TB_CCC,GL_Journal!$D:$D,"&lt;"&amp;TB_From)))</f>
        <v/>
      </c>
      <c r="D45" s="43">
        <f>IF($A45="","",SUMIFS(GL_Journal!$S:$S,GL_Journal!$G:$G,"&gt;="&amp;$K45,GL_Journal!$G:$G,"&lt;="&amp;$L45,GL_Journal!$I:$I,TB_LOCC,GL_Journal!$J:$J,TB_CCC,GL_Journal!$D:$D,"&gt;="&amp;TB_From,GL_Journal!$D:$D,"&lt;="&amp;TB_To))</f>
        <v/>
      </c>
      <c r="E45" s="43">
        <f>IF($A45="","",SUMIFS(GL_Journal!$T:$T,GL_Journal!$G:$G,"&gt;="&amp;$K45,GL_Journal!$G:$G,"&lt;="&amp;$L45,GL_Journal!$I:$I,TB_LOCC,GL_Journal!$J:$J,TB_CCC,GL_Journal!$D:$D,"&gt;="&amp;TB_From,GL_Journal!$D:$D,"&lt;="&amp;TB_To))</f>
        <v/>
      </c>
      <c r="F45" s="43">
        <f>IF($A45="","",MAX($H45,0))</f>
        <v/>
      </c>
      <c r="G45" s="43">
        <f>IF($A45="","",MAX(-$H45,0))</f>
        <v/>
      </c>
      <c r="H45" s="47">
        <f>IF($A45="","",$C45+$D45-$E45)</f>
        <v/>
      </c>
      <c r="I45" s="44">
        <f>IF($A45="","",INDEX(COA!$E:$E,ROW()-10))</f>
        <v/>
      </c>
      <c r="J45" s="44">
        <f>IF($A45="","",INDEX(COA!$F:$F,ROW()-10))</f>
        <v/>
      </c>
      <c r="K45" s="32">
        <f>IF($A45="","",INDEX(COA!$P:$P,ROW()-10))</f>
        <v/>
      </c>
      <c r="L45" s="32">
        <f>IF($A45="","",INDEX(COA!$Q:$Q,ROW()-10))</f>
        <v/>
      </c>
      <c r="M45" s="32" t="inlineStr"/>
    </row>
    <row r="46">
      <c r="A46" s="44">
        <f>IF(INDEX(COA!$A:$A,ROW()-10)="","",INDEX(COA!$A:$A,ROW()-10))</f>
        <v/>
      </c>
      <c r="B46" s="32">
        <f>IF($A46="","",INDEX(COA!$B:$B,ROW()-10))</f>
        <v/>
      </c>
      <c r="C46" s="47">
        <f>IF($A46="","",(SUMIFS(GL_Journal!$S:$S,GL_Journal!$G:$G,"&gt;="&amp;$K46,GL_Journal!$G:$G,"&lt;="&amp;$L46,GL_Journal!$I:$I,TB_LOCC,GL_Journal!$J:$J,TB_CCC,GL_Journal!$D:$D,"&lt;"&amp;TB_From)-SUMIFS(GL_Journal!$T:$T,GL_Journal!$G:$G,"&gt;="&amp;$K46,GL_Journal!$G:$G,"&lt;="&amp;$L46,GL_Journal!$I:$I,TB_LOCC,GL_Journal!$J:$J,TB_CCC,GL_Journal!$D:$D,"&lt;"&amp;TB_From)))</f>
        <v/>
      </c>
      <c r="D46" s="43">
        <f>IF($A46="","",SUMIFS(GL_Journal!$S:$S,GL_Journal!$G:$G,"&gt;="&amp;$K46,GL_Journal!$G:$G,"&lt;="&amp;$L46,GL_Journal!$I:$I,TB_LOCC,GL_Journal!$J:$J,TB_CCC,GL_Journal!$D:$D,"&gt;="&amp;TB_From,GL_Journal!$D:$D,"&lt;="&amp;TB_To))</f>
        <v/>
      </c>
      <c r="E46" s="43">
        <f>IF($A46="","",SUMIFS(GL_Journal!$T:$T,GL_Journal!$G:$G,"&gt;="&amp;$K46,GL_Journal!$G:$G,"&lt;="&amp;$L46,GL_Journal!$I:$I,TB_LOCC,GL_Journal!$J:$J,TB_CCC,GL_Journal!$D:$D,"&gt;="&amp;TB_From,GL_Journal!$D:$D,"&lt;="&amp;TB_To))</f>
        <v/>
      </c>
      <c r="F46" s="43">
        <f>IF($A46="","",MAX($H46,0))</f>
        <v/>
      </c>
      <c r="G46" s="43">
        <f>IF($A46="","",MAX(-$H46,0))</f>
        <v/>
      </c>
      <c r="H46" s="47">
        <f>IF($A46="","",$C46+$D46-$E46)</f>
        <v/>
      </c>
      <c r="I46" s="44">
        <f>IF($A46="","",INDEX(COA!$E:$E,ROW()-10))</f>
        <v/>
      </c>
      <c r="J46" s="44">
        <f>IF($A46="","",INDEX(COA!$F:$F,ROW()-10))</f>
        <v/>
      </c>
      <c r="K46" s="32">
        <f>IF($A46="","",INDEX(COA!$P:$P,ROW()-10))</f>
        <v/>
      </c>
      <c r="L46" s="32">
        <f>IF($A46="","",INDEX(COA!$Q:$Q,ROW()-10))</f>
        <v/>
      </c>
      <c r="M46" s="32" t="inlineStr"/>
    </row>
    <row r="47">
      <c r="A47" s="44">
        <f>IF(INDEX(COA!$A:$A,ROW()-10)="","",INDEX(COA!$A:$A,ROW()-10))</f>
        <v/>
      </c>
      <c r="B47" s="32">
        <f>IF($A47="","",INDEX(COA!$B:$B,ROW()-10))</f>
        <v/>
      </c>
      <c r="C47" s="47">
        <f>IF($A47="","",(SUMIFS(GL_Journal!$S:$S,GL_Journal!$G:$G,"&gt;="&amp;$K47,GL_Journal!$G:$G,"&lt;="&amp;$L47,GL_Journal!$I:$I,TB_LOCC,GL_Journal!$J:$J,TB_CCC,GL_Journal!$D:$D,"&lt;"&amp;TB_From)-SUMIFS(GL_Journal!$T:$T,GL_Journal!$G:$G,"&gt;="&amp;$K47,GL_Journal!$G:$G,"&lt;="&amp;$L47,GL_Journal!$I:$I,TB_LOCC,GL_Journal!$J:$J,TB_CCC,GL_Journal!$D:$D,"&lt;"&amp;TB_From)))</f>
        <v/>
      </c>
      <c r="D47" s="43">
        <f>IF($A47="","",SUMIFS(GL_Journal!$S:$S,GL_Journal!$G:$G,"&gt;="&amp;$K47,GL_Journal!$G:$G,"&lt;="&amp;$L47,GL_Journal!$I:$I,TB_LOCC,GL_Journal!$J:$J,TB_CCC,GL_Journal!$D:$D,"&gt;="&amp;TB_From,GL_Journal!$D:$D,"&lt;="&amp;TB_To))</f>
        <v/>
      </c>
      <c r="E47" s="43">
        <f>IF($A47="","",SUMIFS(GL_Journal!$T:$T,GL_Journal!$G:$G,"&gt;="&amp;$K47,GL_Journal!$G:$G,"&lt;="&amp;$L47,GL_Journal!$I:$I,TB_LOCC,GL_Journal!$J:$J,TB_CCC,GL_Journal!$D:$D,"&gt;="&amp;TB_From,GL_Journal!$D:$D,"&lt;="&amp;TB_To))</f>
        <v/>
      </c>
      <c r="F47" s="43">
        <f>IF($A47="","",MAX($H47,0))</f>
        <v/>
      </c>
      <c r="G47" s="43">
        <f>IF($A47="","",MAX(-$H47,0))</f>
        <v/>
      </c>
      <c r="H47" s="47">
        <f>IF($A47="","",$C47+$D47-$E47)</f>
        <v/>
      </c>
      <c r="I47" s="44">
        <f>IF($A47="","",INDEX(COA!$E:$E,ROW()-10))</f>
        <v/>
      </c>
      <c r="J47" s="44">
        <f>IF($A47="","",INDEX(COA!$F:$F,ROW()-10))</f>
        <v/>
      </c>
      <c r="K47" s="32">
        <f>IF($A47="","",INDEX(COA!$P:$P,ROW()-10))</f>
        <v/>
      </c>
      <c r="L47" s="32">
        <f>IF($A47="","",INDEX(COA!$Q:$Q,ROW()-10))</f>
        <v/>
      </c>
      <c r="M47" s="32" t="inlineStr"/>
    </row>
    <row r="48">
      <c r="A48" s="44">
        <f>IF(INDEX(COA!$A:$A,ROW()-10)="","",INDEX(COA!$A:$A,ROW()-10))</f>
        <v/>
      </c>
      <c r="B48" s="32">
        <f>IF($A48="","",INDEX(COA!$B:$B,ROW()-10))</f>
        <v/>
      </c>
      <c r="C48" s="47">
        <f>IF($A48="","",(SUMIFS(GL_Journal!$S:$S,GL_Journal!$G:$G,"&gt;="&amp;$K48,GL_Journal!$G:$G,"&lt;="&amp;$L48,GL_Journal!$I:$I,TB_LOCC,GL_Journal!$J:$J,TB_CCC,GL_Journal!$D:$D,"&lt;"&amp;TB_From)-SUMIFS(GL_Journal!$T:$T,GL_Journal!$G:$G,"&gt;="&amp;$K48,GL_Journal!$G:$G,"&lt;="&amp;$L48,GL_Journal!$I:$I,TB_LOCC,GL_Journal!$J:$J,TB_CCC,GL_Journal!$D:$D,"&lt;"&amp;TB_From)))</f>
        <v/>
      </c>
      <c r="D48" s="43">
        <f>IF($A48="","",SUMIFS(GL_Journal!$S:$S,GL_Journal!$G:$G,"&gt;="&amp;$K48,GL_Journal!$G:$G,"&lt;="&amp;$L48,GL_Journal!$I:$I,TB_LOCC,GL_Journal!$J:$J,TB_CCC,GL_Journal!$D:$D,"&gt;="&amp;TB_From,GL_Journal!$D:$D,"&lt;="&amp;TB_To))</f>
        <v/>
      </c>
      <c r="E48" s="43">
        <f>IF($A48="","",SUMIFS(GL_Journal!$T:$T,GL_Journal!$G:$G,"&gt;="&amp;$K48,GL_Journal!$G:$G,"&lt;="&amp;$L48,GL_Journal!$I:$I,TB_LOCC,GL_Journal!$J:$J,TB_CCC,GL_Journal!$D:$D,"&gt;="&amp;TB_From,GL_Journal!$D:$D,"&lt;="&amp;TB_To))</f>
        <v/>
      </c>
      <c r="F48" s="43">
        <f>IF($A48="","",MAX($H48,0))</f>
        <v/>
      </c>
      <c r="G48" s="43">
        <f>IF($A48="","",MAX(-$H48,0))</f>
        <v/>
      </c>
      <c r="H48" s="47">
        <f>IF($A48="","",$C48+$D48-$E48)</f>
        <v/>
      </c>
      <c r="I48" s="44">
        <f>IF($A48="","",INDEX(COA!$E:$E,ROW()-10))</f>
        <v/>
      </c>
      <c r="J48" s="44">
        <f>IF($A48="","",INDEX(COA!$F:$F,ROW()-10))</f>
        <v/>
      </c>
      <c r="K48" s="32">
        <f>IF($A48="","",INDEX(COA!$P:$P,ROW()-10))</f>
        <v/>
      </c>
      <c r="L48" s="32">
        <f>IF($A48="","",INDEX(COA!$Q:$Q,ROW()-10))</f>
        <v/>
      </c>
      <c r="M48" s="32" t="inlineStr"/>
    </row>
    <row r="49">
      <c r="A49" s="44">
        <f>IF(INDEX(COA!$A:$A,ROW()-10)="","",INDEX(COA!$A:$A,ROW()-10))</f>
        <v/>
      </c>
      <c r="B49" s="32">
        <f>IF($A49="","",INDEX(COA!$B:$B,ROW()-10))</f>
        <v/>
      </c>
      <c r="C49" s="47">
        <f>IF($A49="","",(SUMIFS(GL_Journal!$S:$S,GL_Journal!$G:$G,"&gt;="&amp;$K49,GL_Journal!$G:$G,"&lt;="&amp;$L49,GL_Journal!$I:$I,TB_LOCC,GL_Journal!$J:$J,TB_CCC,GL_Journal!$D:$D,"&lt;"&amp;TB_From)-SUMIFS(GL_Journal!$T:$T,GL_Journal!$G:$G,"&gt;="&amp;$K49,GL_Journal!$G:$G,"&lt;="&amp;$L49,GL_Journal!$I:$I,TB_LOCC,GL_Journal!$J:$J,TB_CCC,GL_Journal!$D:$D,"&lt;"&amp;TB_From)))</f>
        <v/>
      </c>
      <c r="D49" s="43">
        <f>IF($A49="","",SUMIFS(GL_Journal!$S:$S,GL_Journal!$G:$G,"&gt;="&amp;$K49,GL_Journal!$G:$G,"&lt;="&amp;$L49,GL_Journal!$I:$I,TB_LOCC,GL_Journal!$J:$J,TB_CCC,GL_Journal!$D:$D,"&gt;="&amp;TB_From,GL_Journal!$D:$D,"&lt;="&amp;TB_To))</f>
        <v/>
      </c>
      <c r="E49" s="43">
        <f>IF($A49="","",SUMIFS(GL_Journal!$T:$T,GL_Journal!$G:$G,"&gt;="&amp;$K49,GL_Journal!$G:$G,"&lt;="&amp;$L49,GL_Journal!$I:$I,TB_LOCC,GL_Journal!$J:$J,TB_CCC,GL_Journal!$D:$D,"&gt;="&amp;TB_From,GL_Journal!$D:$D,"&lt;="&amp;TB_To))</f>
        <v/>
      </c>
      <c r="F49" s="43">
        <f>IF($A49="","",MAX($H49,0))</f>
        <v/>
      </c>
      <c r="G49" s="43">
        <f>IF($A49="","",MAX(-$H49,0))</f>
        <v/>
      </c>
      <c r="H49" s="47">
        <f>IF($A49="","",$C49+$D49-$E49)</f>
        <v/>
      </c>
      <c r="I49" s="44">
        <f>IF($A49="","",INDEX(COA!$E:$E,ROW()-10))</f>
        <v/>
      </c>
      <c r="J49" s="44">
        <f>IF($A49="","",INDEX(COA!$F:$F,ROW()-10))</f>
        <v/>
      </c>
      <c r="K49" s="32">
        <f>IF($A49="","",INDEX(COA!$P:$P,ROW()-10))</f>
        <v/>
      </c>
      <c r="L49" s="32">
        <f>IF($A49="","",INDEX(COA!$Q:$Q,ROW()-10))</f>
        <v/>
      </c>
      <c r="M49" s="32" t="inlineStr"/>
    </row>
    <row r="50">
      <c r="A50" s="44">
        <f>IF(INDEX(COA!$A:$A,ROW()-10)="","",INDEX(COA!$A:$A,ROW()-10))</f>
        <v/>
      </c>
      <c r="B50" s="32">
        <f>IF($A50="","",INDEX(COA!$B:$B,ROW()-10))</f>
        <v/>
      </c>
      <c r="C50" s="47">
        <f>IF($A50="","",(SUMIFS(GL_Journal!$S:$S,GL_Journal!$G:$G,"&gt;="&amp;$K50,GL_Journal!$G:$G,"&lt;="&amp;$L50,GL_Journal!$I:$I,TB_LOCC,GL_Journal!$J:$J,TB_CCC,GL_Journal!$D:$D,"&lt;"&amp;TB_From)-SUMIFS(GL_Journal!$T:$T,GL_Journal!$G:$G,"&gt;="&amp;$K50,GL_Journal!$G:$G,"&lt;="&amp;$L50,GL_Journal!$I:$I,TB_LOCC,GL_Journal!$J:$J,TB_CCC,GL_Journal!$D:$D,"&lt;"&amp;TB_From)))</f>
        <v/>
      </c>
      <c r="D50" s="43">
        <f>IF($A50="","",SUMIFS(GL_Journal!$S:$S,GL_Journal!$G:$G,"&gt;="&amp;$K50,GL_Journal!$G:$G,"&lt;="&amp;$L50,GL_Journal!$I:$I,TB_LOCC,GL_Journal!$J:$J,TB_CCC,GL_Journal!$D:$D,"&gt;="&amp;TB_From,GL_Journal!$D:$D,"&lt;="&amp;TB_To))</f>
        <v/>
      </c>
      <c r="E50" s="43">
        <f>IF($A50="","",SUMIFS(GL_Journal!$T:$T,GL_Journal!$G:$G,"&gt;="&amp;$K50,GL_Journal!$G:$G,"&lt;="&amp;$L50,GL_Journal!$I:$I,TB_LOCC,GL_Journal!$J:$J,TB_CCC,GL_Journal!$D:$D,"&gt;="&amp;TB_From,GL_Journal!$D:$D,"&lt;="&amp;TB_To))</f>
        <v/>
      </c>
      <c r="F50" s="43">
        <f>IF($A50="","",MAX($H50,0))</f>
        <v/>
      </c>
      <c r="G50" s="43">
        <f>IF($A50="","",MAX(-$H50,0))</f>
        <v/>
      </c>
      <c r="H50" s="47">
        <f>IF($A50="","",$C50+$D50-$E50)</f>
        <v/>
      </c>
      <c r="I50" s="44">
        <f>IF($A50="","",INDEX(COA!$E:$E,ROW()-10))</f>
        <v/>
      </c>
      <c r="J50" s="44">
        <f>IF($A50="","",INDEX(COA!$F:$F,ROW()-10))</f>
        <v/>
      </c>
      <c r="K50" s="32">
        <f>IF($A50="","",INDEX(COA!$P:$P,ROW()-10))</f>
        <v/>
      </c>
      <c r="L50" s="32">
        <f>IF($A50="","",INDEX(COA!$Q:$Q,ROW()-10))</f>
        <v/>
      </c>
      <c r="M50" s="32" t="inlineStr"/>
    </row>
    <row r="51">
      <c r="A51" s="44">
        <f>IF(INDEX(COA!$A:$A,ROW()-10)="","",INDEX(COA!$A:$A,ROW()-10))</f>
        <v/>
      </c>
      <c r="B51" s="32">
        <f>IF($A51="","",INDEX(COA!$B:$B,ROW()-10))</f>
        <v/>
      </c>
      <c r="C51" s="47">
        <f>IF($A51="","",(SUMIFS(GL_Journal!$S:$S,GL_Journal!$G:$G,"&gt;="&amp;$K51,GL_Journal!$G:$G,"&lt;="&amp;$L51,GL_Journal!$I:$I,TB_LOCC,GL_Journal!$J:$J,TB_CCC,GL_Journal!$D:$D,"&lt;"&amp;TB_From)-SUMIFS(GL_Journal!$T:$T,GL_Journal!$G:$G,"&gt;="&amp;$K51,GL_Journal!$G:$G,"&lt;="&amp;$L51,GL_Journal!$I:$I,TB_LOCC,GL_Journal!$J:$J,TB_CCC,GL_Journal!$D:$D,"&lt;"&amp;TB_From)))</f>
        <v/>
      </c>
      <c r="D51" s="43">
        <f>IF($A51="","",SUMIFS(GL_Journal!$S:$S,GL_Journal!$G:$G,"&gt;="&amp;$K51,GL_Journal!$G:$G,"&lt;="&amp;$L51,GL_Journal!$I:$I,TB_LOCC,GL_Journal!$J:$J,TB_CCC,GL_Journal!$D:$D,"&gt;="&amp;TB_From,GL_Journal!$D:$D,"&lt;="&amp;TB_To))</f>
        <v/>
      </c>
      <c r="E51" s="43">
        <f>IF($A51="","",SUMIFS(GL_Journal!$T:$T,GL_Journal!$G:$G,"&gt;="&amp;$K51,GL_Journal!$G:$G,"&lt;="&amp;$L51,GL_Journal!$I:$I,TB_LOCC,GL_Journal!$J:$J,TB_CCC,GL_Journal!$D:$D,"&gt;="&amp;TB_From,GL_Journal!$D:$D,"&lt;="&amp;TB_To))</f>
        <v/>
      </c>
      <c r="F51" s="43">
        <f>IF($A51="","",MAX($H51,0))</f>
        <v/>
      </c>
      <c r="G51" s="43">
        <f>IF($A51="","",MAX(-$H51,0))</f>
        <v/>
      </c>
      <c r="H51" s="47">
        <f>IF($A51="","",$C51+$D51-$E51)</f>
        <v/>
      </c>
      <c r="I51" s="44">
        <f>IF($A51="","",INDEX(COA!$E:$E,ROW()-10))</f>
        <v/>
      </c>
      <c r="J51" s="44">
        <f>IF($A51="","",INDEX(COA!$F:$F,ROW()-10))</f>
        <v/>
      </c>
      <c r="K51" s="32">
        <f>IF($A51="","",INDEX(COA!$P:$P,ROW()-10))</f>
        <v/>
      </c>
      <c r="L51" s="32">
        <f>IF($A51="","",INDEX(COA!$Q:$Q,ROW()-10))</f>
        <v/>
      </c>
      <c r="M51" s="32" t="inlineStr"/>
    </row>
    <row r="52">
      <c r="A52" s="44">
        <f>IF(INDEX(COA!$A:$A,ROW()-10)="","",INDEX(COA!$A:$A,ROW()-10))</f>
        <v/>
      </c>
      <c r="B52" s="32">
        <f>IF($A52="","",INDEX(COA!$B:$B,ROW()-10))</f>
        <v/>
      </c>
      <c r="C52" s="47">
        <f>IF($A52="","",(SUMIFS(GL_Journal!$S:$S,GL_Journal!$G:$G,"&gt;="&amp;$K52,GL_Journal!$G:$G,"&lt;="&amp;$L52,GL_Journal!$I:$I,TB_LOCC,GL_Journal!$J:$J,TB_CCC,GL_Journal!$D:$D,"&lt;"&amp;TB_From)-SUMIFS(GL_Journal!$T:$T,GL_Journal!$G:$G,"&gt;="&amp;$K52,GL_Journal!$G:$G,"&lt;="&amp;$L52,GL_Journal!$I:$I,TB_LOCC,GL_Journal!$J:$J,TB_CCC,GL_Journal!$D:$D,"&lt;"&amp;TB_From)))</f>
        <v/>
      </c>
      <c r="D52" s="43">
        <f>IF($A52="","",SUMIFS(GL_Journal!$S:$S,GL_Journal!$G:$G,"&gt;="&amp;$K52,GL_Journal!$G:$G,"&lt;="&amp;$L52,GL_Journal!$I:$I,TB_LOCC,GL_Journal!$J:$J,TB_CCC,GL_Journal!$D:$D,"&gt;="&amp;TB_From,GL_Journal!$D:$D,"&lt;="&amp;TB_To))</f>
        <v/>
      </c>
      <c r="E52" s="43">
        <f>IF($A52="","",SUMIFS(GL_Journal!$T:$T,GL_Journal!$G:$G,"&gt;="&amp;$K52,GL_Journal!$G:$G,"&lt;="&amp;$L52,GL_Journal!$I:$I,TB_LOCC,GL_Journal!$J:$J,TB_CCC,GL_Journal!$D:$D,"&gt;="&amp;TB_From,GL_Journal!$D:$D,"&lt;="&amp;TB_To))</f>
        <v/>
      </c>
      <c r="F52" s="43">
        <f>IF($A52="","",MAX($H52,0))</f>
        <v/>
      </c>
      <c r="G52" s="43">
        <f>IF($A52="","",MAX(-$H52,0))</f>
        <v/>
      </c>
      <c r="H52" s="47">
        <f>IF($A52="","",$C52+$D52-$E52)</f>
        <v/>
      </c>
      <c r="I52" s="44">
        <f>IF($A52="","",INDEX(COA!$E:$E,ROW()-10))</f>
        <v/>
      </c>
      <c r="J52" s="44">
        <f>IF($A52="","",INDEX(COA!$F:$F,ROW()-10))</f>
        <v/>
      </c>
      <c r="K52" s="32">
        <f>IF($A52="","",INDEX(COA!$P:$P,ROW()-10))</f>
        <v/>
      </c>
      <c r="L52" s="32">
        <f>IF($A52="","",INDEX(COA!$Q:$Q,ROW()-10))</f>
        <v/>
      </c>
      <c r="M52" s="32" t="inlineStr"/>
    </row>
    <row r="53">
      <c r="A53" s="44">
        <f>IF(INDEX(COA!$A:$A,ROW()-10)="","",INDEX(COA!$A:$A,ROW()-10))</f>
        <v/>
      </c>
      <c r="B53" s="32">
        <f>IF($A53="","",INDEX(COA!$B:$B,ROW()-10))</f>
        <v/>
      </c>
      <c r="C53" s="47">
        <f>IF($A53="","",(SUMIFS(GL_Journal!$S:$S,GL_Journal!$G:$G,"&gt;="&amp;$K53,GL_Journal!$G:$G,"&lt;="&amp;$L53,GL_Journal!$I:$I,TB_LOCC,GL_Journal!$J:$J,TB_CCC,GL_Journal!$D:$D,"&lt;"&amp;TB_From)-SUMIFS(GL_Journal!$T:$T,GL_Journal!$G:$G,"&gt;="&amp;$K53,GL_Journal!$G:$G,"&lt;="&amp;$L53,GL_Journal!$I:$I,TB_LOCC,GL_Journal!$J:$J,TB_CCC,GL_Journal!$D:$D,"&lt;"&amp;TB_From)))</f>
        <v/>
      </c>
      <c r="D53" s="43">
        <f>IF($A53="","",SUMIFS(GL_Journal!$S:$S,GL_Journal!$G:$G,"&gt;="&amp;$K53,GL_Journal!$G:$G,"&lt;="&amp;$L53,GL_Journal!$I:$I,TB_LOCC,GL_Journal!$J:$J,TB_CCC,GL_Journal!$D:$D,"&gt;="&amp;TB_From,GL_Journal!$D:$D,"&lt;="&amp;TB_To))</f>
        <v/>
      </c>
      <c r="E53" s="43">
        <f>IF($A53="","",SUMIFS(GL_Journal!$T:$T,GL_Journal!$G:$G,"&gt;="&amp;$K53,GL_Journal!$G:$G,"&lt;="&amp;$L53,GL_Journal!$I:$I,TB_LOCC,GL_Journal!$J:$J,TB_CCC,GL_Journal!$D:$D,"&gt;="&amp;TB_From,GL_Journal!$D:$D,"&lt;="&amp;TB_To))</f>
        <v/>
      </c>
      <c r="F53" s="43">
        <f>IF($A53="","",MAX($H53,0))</f>
        <v/>
      </c>
      <c r="G53" s="43">
        <f>IF($A53="","",MAX(-$H53,0))</f>
        <v/>
      </c>
      <c r="H53" s="47">
        <f>IF($A53="","",$C53+$D53-$E53)</f>
        <v/>
      </c>
      <c r="I53" s="44">
        <f>IF($A53="","",INDEX(COA!$E:$E,ROW()-10))</f>
        <v/>
      </c>
      <c r="J53" s="44">
        <f>IF($A53="","",INDEX(COA!$F:$F,ROW()-10))</f>
        <v/>
      </c>
      <c r="K53" s="32">
        <f>IF($A53="","",INDEX(COA!$P:$P,ROW()-10))</f>
        <v/>
      </c>
      <c r="L53" s="32">
        <f>IF($A53="","",INDEX(COA!$Q:$Q,ROW()-10))</f>
        <v/>
      </c>
      <c r="M53" s="32" t="inlineStr"/>
    </row>
    <row r="54">
      <c r="A54" s="44">
        <f>IF(INDEX(COA!$A:$A,ROW()-10)="","",INDEX(COA!$A:$A,ROW()-10))</f>
        <v/>
      </c>
      <c r="B54" s="32">
        <f>IF($A54="","",INDEX(COA!$B:$B,ROW()-10))</f>
        <v/>
      </c>
      <c r="C54" s="47">
        <f>IF($A54="","",(SUMIFS(GL_Journal!$S:$S,GL_Journal!$G:$G,"&gt;="&amp;$K54,GL_Journal!$G:$G,"&lt;="&amp;$L54,GL_Journal!$I:$I,TB_LOCC,GL_Journal!$J:$J,TB_CCC,GL_Journal!$D:$D,"&lt;"&amp;TB_From)-SUMIFS(GL_Journal!$T:$T,GL_Journal!$G:$G,"&gt;="&amp;$K54,GL_Journal!$G:$G,"&lt;="&amp;$L54,GL_Journal!$I:$I,TB_LOCC,GL_Journal!$J:$J,TB_CCC,GL_Journal!$D:$D,"&lt;"&amp;TB_From)))</f>
        <v/>
      </c>
      <c r="D54" s="43">
        <f>IF($A54="","",SUMIFS(GL_Journal!$S:$S,GL_Journal!$G:$G,"&gt;="&amp;$K54,GL_Journal!$G:$G,"&lt;="&amp;$L54,GL_Journal!$I:$I,TB_LOCC,GL_Journal!$J:$J,TB_CCC,GL_Journal!$D:$D,"&gt;="&amp;TB_From,GL_Journal!$D:$D,"&lt;="&amp;TB_To))</f>
        <v/>
      </c>
      <c r="E54" s="43">
        <f>IF($A54="","",SUMIFS(GL_Journal!$T:$T,GL_Journal!$G:$G,"&gt;="&amp;$K54,GL_Journal!$G:$G,"&lt;="&amp;$L54,GL_Journal!$I:$I,TB_LOCC,GL_Journal!$J:$J,TB_CCC,GL_Journal!$D:$D,"&gt;="&amp;TB_From,GL_Journal!$D:$D,"&lt;="&amp;TB_To))</f>
        <v/>
      </c>
      <c r="F54" s="43">
        <f>IF($A54="","",MAX($H54,0))</f>
        <v/>
      </c>
      <c r="G54" s="43">
        <f>IF($A54="","",MAX(-$H54,0))</f>
        <v/>
      </c>
      <c r="H54" s="47">
        <f>IF($A54="","",$C54+$D54-$E54)</f>
        <v/>
      </c>
      <c r="I54" s="44">
        <f>IF($A54="","",INDEX(COA!$E:$E,ROW()-10))</f>
        <v/>
      </c>
      <c r="J54" s="44">
        <f>IF($A54="","",INDEX(COA!$F:$F,ROW()-10))</f>
        <v/>
      </c>
      <c r="K54" s="32">
        <f>IF($A54="","",INDEX(COA!$P:$P,ROW()-10))</f>
        <v/>
      </c>
      <c r="L54" s="32">
        <f>IF($A54="","",INDEX(COA!$Q:$Q,ROW()-10))</f>
        <v/>
      </c>
      <c r="M54" s="32" t="inlineStr"/>
    </row>
    <row r="55">
      <c r="A55" s="44">
        <f>IF(INDEX(COA!$A:$A,ROW()-10)="","",INDEX(COA!$A:$A,ROW()-10))</f>
        <v/>
      </c>
      <c r="B55" s="32">
        <f>IF($A55="","",INDEX(COA!$B:$B,ROW()-10))</f>
        <v/>
      </c>
      <c r="C55" s="47">
        <f>IF($A55="","",(SUMIFS(GL_Journal!$S:$S,GL_Journal!$G:$G,"&gt;="&amp;$K55,GL_Journal!$G:$G,"&lt;="&amp;$L55,GL_Journal!$I:$I,TB_LOCC,GL_Journal!$J:$J,TB_CCC,GL_Journal!$D:$D,"&lt;"&amp;TB_From)-SUMIFS(GL_Journal!$T:$T,GL_Journal!$G:$G,"&gt;="&amp;$K55,GL_Journal!$G:$G,"&lt;="&amp;$L55,GL_Journal!$I:$I,TB_LOCC,GL_Journal!$J:$J,TB_CCC,GL_Journal!$D:$D,"&lt;"&amp;TB_From)))</f>
        <v/>
      </c>
      <c r="D55" s="43">
        <f>IF($A55="","",SUMIFS(GL_Journal!$S:$S,GL_Journal!$G:$G,"&gt;="&amp;$K55,GL_Journal!$G:$G,"&lt;="&amp;$L55,GL_Journal!$I:$I,TB_LOCC,GL_Journal!$J:$J,TB_CCC,GL_Journal!$D:$D,"&gt;="&amp;TB_From,GL_Journal!$D:$D,"&lt;="&amp;TB_To))</f>
        <v/>
      </c>
      <c r="E55" s="43">
        <f>IF($A55="","",SUMIFS(GL_Journal!$T:$T,GL_Journal!$G:$G,"&gt;="&amp;$K55,GL_Journal!$G:$G,"&lt;="&amp;$L55,GL_Journal!$I:$I,TB_LOCC,GL_Journal!$J:$J,TB_CCC,GL_Journal!$D:$D,"&gt;="&amp;TB_From,GL_Journal!$D:$D,"&lt;="&amp;TB_To))</f>
        <v/>
      </c>
      <c r="F55" s="43">
        <f>IF($A55="","",MAX($H55,0))</f>
        <v/>
      </c>
      <c r="G55" s="43">
        <f>IF($A55="","",MAX(-$H55,0))</f>
        <v/>
      </c>
      <c r="H55" s="47">
        <f>IF($A55="","",$C55+$D55-$E55)</f>
        <v/>
      </c>
      <c r="I55" s="44">
        <f>IF($A55="","",INDEX(COA!$E:$E,ROW()-10))</f>
        <v/>
      </c>
      <c r="J55" s="44">
        <f>IF($A55="","",INDEX(COA!$F:$F,ROW()-10))</f>
        <v/>
      </c>
      <c r="K55" s="32">
        <f>IF($A55="","",INDEX(COA!$P:$P,ROW()-10))</f>
        <v/>
      </c>
      <c r="L55" s="32">
        <f>IF($A55="","",INDEX(COA!$Q:$Q,ROW()-10))</f>
        <v/>
      </c>
      <c r="M55" s="32" t="inlineStr"/>
    </row>
    <row r="56">
      <c r="A56" s="44">
        <f>IF(INDEX(COA!$A:$A,ROW()-10)="","",INDEX(COA!$A:$A,ROW()-10))</f>
        <v/>
      </c>
      <c r="B56" s="32">
        <f>IF($A56="","",INDEX(COA!$B:$B,ROW()-10))</f>
        <v/>
      </c>
      <c r="C56" s="47">
        <f>IF($A56="","",(SUMIFS(GL_Journal!$S:$S,GL_Journal!$G:$G,"&gt;="&amp;$K56,GL_Journal!$G:$G,"&lt;="&amp;$L56,GL_Journal!$I:$I,TB_LOCC,GL_Journal!$J:$J,TB_CCC,GL_Journal!$D:$D,"&lt;"&amp;TB_From)-SUMIFS(GL_Journal!$T:$T,GL_Journal!$G:$G,"&gt;="&amp;$K56,GL_Journal!$G:$G,"&lt;="&amp;$L56,GL_Journal!$I:$I,TB_LOCC,GL_Journal!$J:$J,TB_CCC,GL_Journal!$D:$D,"&lt;"&amp;TB_From)))</f>
        <v/>
      </c>
      <c r="D56" s="43">
        <f>IF($A56="","",SUMIFS(GL_Journal!$S:$S,GL_Journal!$G:$G,"&gt;="&amp;$K56,GL_Journal!$G:$G,"&lt;="&amp;$L56,GL_Journal!$I:$I,TB_LOCC,GL_Journal!$J:$J,TB_CCC,GL_Journal!$D:$D,"&gt;="&amp;TB_From,GL_Journal!$D:$D,"&lt;="&amp;TB_To))</f>
        <v/>
      </c>
      <c r="E56" s="43">
        <f>IF($A56="","",SUMIFS(GL_Journal!$T:$T,GL_Journal!$G:$G,"&gt;="&amp;$K56,GL_Journal!$G:$G,"&lt;="&amp;$L56,GL_Journal!$I:$I,TB_LOCC,GL_Journal!$J:$J,TB_CCC,GL_Journal!$D:$D,"&gt;="&amp;TB_From,GL_Journal!$D:$D,"&lt;="&amp;TB_To))</f>
        <v/>
      </c>
      <c r="F56" s="43">
        <f>IF($A56="","",MAX($H56,0))</f>
        <v/>
      </c>
      <c r="G56" s="43">
        <f>IF($A56="","",MAX(-$H56,0))</f>
        <v/>
      </c>
      <c r="H56" s="47">
        <f>IF($A56="","",$C56+$D56-$E56)</f>
        <v/>
      </c>
      <c r="I56" s="44">
        <f>IF($A56="","",INDEX(COA!$E:$E,ROW()-10))</f>
        <v/>
      </c>
      <c r="J56" s="44">
        <f>IF($A56="","",INDEX(COA!$F:$F,ROW()-10))</f>
        <v/>
      </c>
      <c r="K56" s="32">
        <f>IF($A56="","",INDEX(COA!$P:$P,ROW()-10))</f>
        <v/>
      </c>
      <c r="L56" s="32">
        <f>IF($A56="","",INDEX(COA!$Q:$Q,ROW()-10))</f>
        <v/>
      </c>
      <c r="M56" s="32" t="inlineStr"/>
    </row>
    <row r="57">
      <c r="A57" s="44">
        <f>IF(INDEX(COA!$A:$A,ROW()-10)="","",INDEX(COA!$A:$A,ROW()-10))</f>
        <v/>
      </c>
      <c r="B57" s="32">
        <f>IF($A57="","",INDEX(COA!$B:$B,ROW()-10))</f>
        <v/>
      </c>
      <c r="C57" s="47">
        <f>IF($A57="","",(SUMIFS(GL_Journal!$S:$S,GL_Journal!$G:$G,"&gt;="&amp;$K57,GL_Journal!$G:$G,"&lt;="&amp;$L57,GL_Journal!$I:$I,TB_LOCC,GL_Journal!$J:$J,TB_CCC,GL_Journal!$D:$D,"&lt;"&amp;TB_From)-SUMIFS(GL_Journal!$T:$T,GL_Journal!$G:$G,"&gt;="&amp;$K57,GL_Journal!$G:$G,"&lt;="&amp;$L57,GL_Journal!$I:$I,TB_LOCC,GL_Journal!$J:$J,TB_CCC,GL_Journal!$D:$D,"&lt;"&amp;TB_From)))</f>
        <v/>
      </c>
      <c r="D57" s="43">
        <f>IF($A57="","",SUMIFS(GL_Journal!$S:$S,GL_Journal!$G:$G,"&gt;="&amp;$K57,GL_Journal!$G:$G,"&lt;="&amp;$L57,GL_Journal!$I:$I,TB_LOCC,GL_Journal!$J:$J,TB_CCC,GL_Journal!$D:$D,"&gt;="&amp;TB_From,GL_Journal!$D:$D,"&lt;="&amp;TB_To))</f>
        <v/>
      </c>
      <c r="E57" s="43">
        <f>IF($A57="","",SUMIFS(GL_Journal!$T:$T,GL_Journal!$G:$G,"&gt;="&amp;$K57,GL_Journal!$G:$G,"&lt;="&amp;$L57,GL_Journal!$I:$I,TB_LOCC,GL_Journal!$J:$J,TB_CCC,GL_Journal!$D:$D,"&gt;="&amp;TB_From,GL_Journal!$D:$D,"&lt;="&amp;TB_To))</f>
        <v/>
      </c>
      <c r="F57" s="43">
        <f>IF($A57="","",MAX($H57,0))</f>
        <v/>
      </c>
      <c r="G57" s="43">
        <f>IF($A57="","",MAX(-$H57,0))</f>
        <v/>
      </c>
      <c r="H57" s="47">
        <f>IF($A57="","",$C57+$D57-$E57)</f>
        <v/>
      </c>
      <c r="I57" s="44">
        <f>IF($A57="","",INDEX(COA!$E:$E,ROW()-10))</f>
        <v/>
      </c>
      <c r="J57" s="44">
        <f>IF($A57="","",INDEX(COA!$F:$F,ROW()-10))</f>
        <v/>
      </c>
      <c r="K57" s="32">
        <f>IF($A57="","",INDEX(COA!$P:$P,ROW()-10))</f>
        <v/>
      </c>
      <c r="L57" s="32">
        <f>IF($A57="","",INDEX(COA!$Q:$Q,ROW()-10))</f>
        <v/>
      </c>
      <c r="M57" s="32" t="inlineStr"/>
    </row>
    <row r="58">
      <c r="A58" s="44">
        <f>IF(INDEX(COA!$A:$A,ROW()-10)="","",INDEX(COA!$A:$A,ROW()-10))</f>
        <v/>
      </c>
      <c r="B58" s="32">
        <f>IF($A58="","",INDEX(COA!$B:$B,ROW()-10))</f>
        <v/>
      </c>
      <c r="C58" s="47">
        <f>IF($A58="","",(SUMIFS(GL_Journal!$S:$S,GL_Journal!$G:$G,"&gt;="&amp;$K58,GL_Journal!$G:$G,"&lt;="&amp;$L58,GL_Journal!$I:$I,TB_LOCC,GL_Journal!$J:$J,TB_CCC,GL_Journal!$D:$D,"&lt;"&amp;TB_From)-SUMIFS(GL_Journal!$T:$T,GL_Journal!$G:$G,"&gt;="&amp;$K58,GL_Journal!$G:$G,"&lt;="&amp;$L58,GL_Journal!$I:$I,TB_LOCC,GL_Journal!$J:$J,TB_CCC,GL_Journal!$D:$D,"&lt;"&amp;TB_From)))</f>
        <v/>
      </c>
      <c r="D58" s="43">
        <f>IF($A58="","",SUMIFS(GL_Journal!$S:$S,GL_Journal!$G:$G,"&gt;="&amp;$K58,GL_Journal!$G:$G,"&lt;="&amp;$L58,GL_Journal!$I:$I,TB_LOCC,GL_Journal!$J:$J,TB_CCC,GL_Journal!$D:$D,"&gt;="&amp;TB_From,GL_Journal!$D:$D,"&lt;="&amp;TB_To))</f>
        <v/>
      </c>
      <c r="E58" s="43">
        <f>IF($A58="","",SUMIFS(GL_Journal!$T:$T,GL_Journal!$G:$G,"&gt;="&amp;$K58,GL_Journal!$G:$G,"&lt;="&amp;$L58,GL_Journal!$I:$I,TB_LOCC,GL_Journal!$J:$J,TB_CCC,GL_Journal!$D:$D,"&gt;="&amp;TB_From,GL_Journal!$D:$D,"&lt;="&amp;TB_To))</f>
        <v/>
      </c>
      <c r="F58" s="43">
        <f>IF($A58="","",MAX($H58,0))</f>
        <v/>
      </c>
      <c r="G58" s="43">
        <f>IF($A58="","",MAX(-$H58,0))</f>
        <v/>
      </c>
      <c r="H58" s="47">
        <f>IF($A58="","",$C58+$D58-$E58)</f>
        <v/>
      </c>
      <c r="I58" s="44">
        <f>IF($A58="","",INDEX(COA!$E:$E,ROW()-10))</f>
        <v/>
      </c>
      <c r="J58" s="44">
        <f>IF($A58="","",INDEX(COA!$F:$F,ROW()-10))</f>
        <v/>
      </c>
      <c r="K58" s="32">
        <f>IF($A58="","",INDEX(COA!$P:$P,ROW()-10))</f>
        <v/>
      </c>
      <c r="L58" s="32">
        <f>IF($A58="","",INDEX(COA!$Q:$Q,ROW()-10))</f>
        <v/>
      </c>
      <c r="M58" s="32" t="inlineStr"/>
    </row>
    <row r="59">
      <c r="A59" s="44">
        <f>IF(INDEX(COA!$A:$A,ROW()-10)="","",INDEX(COA!$A:$A,ROW()-10))</f>
        <v/>
      </c>
      <c r="B59" s="32">
        <f>IF($A59="","",INDEX(COA!$B:$B,ROW()-10))</f>
        <v/>
      </c>
      <c r="C59" s="47">
        <f>IF($A59="","",(SUMIFS(GL_Journal!$S:$S,GL_Journal!$G:$G,"&gt;="&amp;$K59,GL_Journal!$G:$G,"&lt;="&amp;$L59,GL_Journal!$I:$I,TB_LOCC,GL_Journal!$J:$J,TB_CCC,GL_Journal!$D:$D,"&lt;"&amp;TB_From)-SUMIFS(GL_Journal!$T:$T,GL_Journal!$G:$G,"&gt;="&amp;$K59,GL_Journal!$G:$G,"&lt;="&amp;$L59,GL_Journal!$I:$I,TB_LOCC,GL_Journal!$J:$J,TB_CCC,GL_Journal!$D:$D,"&lt;"&amp;TB_From)))</f>
        <v/>
      </c>
      <c r="D59" s="43">
        <f>IF($A59="","",SUMIFS(GL_Journal!$S:$S,GL_Journal!$G:$G,"&gt;="&amp;$K59,GL_Journal!$G:$G,"&lt;="&amp;$L59,GL_Journal!$I:$I,TB_LOCC,GL_Journal!$J:$J,TB_CCC,GL_Journal!$D:$D,"&gt;="&amp;TB_From,GL_Journal!$D:$D,"&lt;="&amp;TB_To))</f>
        <v/>
      </c>
      <c r="E59" s="43">
        <f>IF($A59="","",SUMIFS(GL_Journal!$T:$T,GL_Journal!$G:$G,"&gt;="&amp;$K59,GL_Journal!$G:$G,"&lt;="&amp;$L59,GL_Journal!$I:$I,TB_LOCC,GL_Journal!$J:$J,TB_CCC,GL_Journal!$D:$D,"&gt;="&amp;TB_From,GL_Journal!$D:$D,"&lt;="&amp;TB_To))</f>
        <v/>
      </c>
      <c r="F59" s="43">
        <f>IF($A59="","",MAX($H59,0))</f>
        <v/>
      </c>
      <c r="G59" s="43">
        <f>IF($A59="","",MAX(-$H59,0))</f>
        <v/>
      </c>
      <c r="H59" s="47">
        <f>IF($A59="","",$C59+$D59-$E59)</f>
        <v/>
      </c>
      <c r="I59" s="44">
        <f>IF($A59="","",INDEX(COA!$E:$E,ROW()-10))</f>
        <v/>
      </c>
      <c r="J59" s="44">
        <f>IF($A59="","",INDEX(COA!$F:$F,ROW()-10))</f>
        <v/>
      </c>
      <c r="K59" s="32">
        <f>IF($A59="","",INDEX(COA!$P:$P,ROW()-10))</f>
        <v/>
      </c>
      <c r="L59" s="32">
        <f>IF($A59="","",INDEX(COA!$Q:$Q,ROW()-10))</f>
        <v/>
      </c>
      <c r="M59" s="32" t="inlineStr"/>
    </row>
    <row r="60">
      <c r="A60" s="44">
        <f>IF(INDEX(COA!$A:$A,ROW()-10)="","",INDEX(COA!$A:$A,ROW()-10))</f>
        <v/>
      </c>
      <c r="B60" s="32">
        <f>IF($A60="","",INDEX(COA!$B:$B,ROW()-10))</f>
        <v/>
      </c>
      <c r="C60" s="47">
        <f>IF($A60="","",(SUMIFS(GL_Journal!$S:$S,GL_Journal!$G:$G,"&gt;="&amp;$K60,GL_Journal!$G:$G,"&lt;="&amp;$L60,GL_Journal!$I:$I,TB_LOCC,GL_Journal!$J:$J,TB_CCC,GL_Journal!$D:$D,"&lt;"&amp;TB_From)-SUMIFS(GL_Journal!$T:$T,GL_Journal!$G:$G,"&gt;="&amp;$K60,GL_Journal!$G:$G,"&lt;="&amp;$L60,GL_Journal!$I:$I,TB_LOCC,GL_Journal!$J:$J,TB_CCC,GL_Journal!$D:$D,"&lt;"&amp;TB_From)))</f>
        <v/>
      </c>
      <c r="D60" s="43">
        <f>IF($A60="","",SUMIFS(GL_Journal!$S:$S,GL_Journal!$G:$G,"&gt;="&amp;$K60,GL_Journal!$G:$G,"&lt;="&amp;$L60,GL_Journal!$I:$I,TB_LOCC,GL_Journal!$J:$J,TB_CCC,GL_Journal!$D:$D,"&gt;="&amp;TB_From,GL_Journal!$D:$D,"&lt;="&amp;TB_To))</f>
        <v/>
      </c>
      <c r="E60" s="43">
        <f>IF($A60="","",SUMIFS(GL_Journal!$T:$T,GL_Journal!$G:$G,"&gt;="&amp;$K60,GL_Journal!$G:$G,"&lt;="&amp;$L60,GL_Journal!$I:$I,TB_LOCC,GL_Journal!$J:$J,TB_CCC,GL_Journal!$D:$D,"&gt;="&amp;TB_From,GL_Journal!$D:$D,"&lt;="&amp;TB_To))</f>
        <v/>
      </c>
      <c r="F60" s="43">
        <f>IF($A60="","",MAX($H60,0))</f>
        <v/>
      </c>
      <c r="G60" s="43">
        <f>IF($A60="","",MAX(-$H60,0))</f>
        <v/>
      </c>
      <c r="H60" s="47">
        <f>IF($A60="","",$C60+$D60-$E60)</f>
        <v/>
      </c>
      <c r="I60" s="44">
        <f>IF($A60="","",INDEX(COA!$E:$E,ROW()-10))</f>
        <v/>
      </c>
      <c r="J60" s="44">
        <f>IF($A60="","",INDEX(COA!$F:$F,ROW()-10))</f>
        <v/>
      </c>
      <c r="K60" s="32">
        <f>IF($A60="","",INDEX(COA!$P:$P,ROW()-10))</f>
        <v/>
      </c>
      <c r="L60" s="32">
        <f>IF($A60="","",INDEX(COA!$Q:$Q,ROW()-10))</f>
        <v/>
      </c>
      <c r="M60" s="32" t="inlineStr"/>
    </row>
    <row r="61">
      <c r="A61" s="44">
        <f>IF(INDEX(COA!$A:$A,ROW()-10)="","",INDEX(COA!$A:$A,ROW()-10))</f>
        <v/>
      </c>
      <c r="B61" s="32">
        <f>IF($A61="","",INDEX(COA!$B:$B,ROW()-10))</f>
        <v/>
      </c>
      <c r="C61" s="47">
        <f>IF($A61="","",(SUMIFS(GL_Journal!$S:$S,GL_Journal!$G:$G,"&gt;="&amp;$K61,GL_Journal!$G:$G,"&lt;="&amp;$L61,GL_Journal!$I:$I,TB_LOCC,GL_Journal!$J:$J,TB_CCC,GL_Journal!$D:$D,"&lt;"&amp;TB_From)-SUMIFS(GL_Journal!$T:$T,GL_Journal!$G:$G,"&gt;="&amp;$K61,GL_Journal!$G:$G,"&lt;="&amp;$L61,GL_Journal!$I:$I,TB_LOCC,GL_Journal!$J:$J,TB_CCC,GL_Journal!$D:$D,"&lt;"&amp;TB_From)))</f>
        <v/>
      </c>
      <c r="D61" s="43">
        <f>IF($A61="","",SUMIFS(GL_Journal!$S:$S,GL_Journal!$G:$G,"&gt;="&amp;$K61,GL_Journal!$G:$G,"&lt;="&amp;$L61,GL_Journal!$I:$I,TB_LOCC,GL_Journal!$J:$J,TB_CCC,GL_Journal!$D:$D,"&gt;="&amp;TB_From,GL_Journal!$D:$D,"&lt;="&amp;TB_To))</f>
        <v/>
      </c>
      <c r="E61" s="43">
        <f>IF($A61="","",SUMIFS(GL_Journal!$T:$T,GL_Journal!$G:$G,"&gt;="&amp;$K61,GL_Journal!$G:$G,"&lt;="&amp;$L61,GL_Journal!$I:$I,TB_LOCC,GL_Journal!$J:$J,TB_CCC,GL_Journal!$D:$D,"&gt;="&amp;TB_From,GL_Journal!$D:$D,"&lt;="&amp;TB_To))</f>
        <v/>
      </c>
      <c r="F61" s="43">
        <f>IF($A61="","",MAX($H61,0))</f>
        <v/>
      </c>
      <c r="G61" s="43">
        <f>IF($A61="","",MAX(-$H61,0))</f>
        <v/>
      </c>
      <c r="H61" s="47">
        <f>IF($A61="","",$C61+$D61-$E61)</f>
        <v/>
      </c>
      <c r="I61" s="44">
        <f>IF($A61="","",INDEX(COA!$E:$E,ROW()-10))</f>
        <v/>
      </c>
      <c r="J61" s="44">
        <f>IF($A61="","",INDEX(COA!$F:$F,ROW()-10))</f>
        <v/>
      </c>
      <c r="K61" s="32">
        <f>IF($A61="","",INDEX(COA!$P:$P,ROW()-10))</f>
        <v/>
      </c>
      <c r="L61" s="32">
        <f>IF($A61="","",INDEX(COA!$Q:$Q,ROW()-10))</f>
        <v/>
      </c>
      <c r="M61" s="32" t="inlineStr"/>
    </row>
    <row r="62">
      <c r="A62" s="44">
        <f>IF(INDEX(COA!$A:$A,ROW()-10)="","",INDEX(COA!$A:$A,ROW()-10))</f>
        <v/>
      </c>
      <c r="B62" s="32">
        <f>IF($A62="","",INDEX(COA!$B:$B,ROW()-10))</f>
        <v/>
      </c>
      <c r="C62" s="47">
        <f>IF($A62="","",(SUMIFS(GL_Journal!$S:$S,GL_Journal!$G:$G,"&gt;="&amp;$K62,GL_Journal!$G:$G,"&lt;="&amp;$L62,GL_Journal!$I:$I,TB_LOCC,GL_Journal!$J:$J,TB_CCC,GL_Journal!$D:$D,"&lt;"&amp;TB_From)-SUMIFS(GL_Journal!$T:$T,GL_Journal!$G:$G,"&gt;="&amp;$K62,GL_Journal!$G:$G,"&lt;="&amp;$L62,GL_Journal!$I:$I,TB_LOCC,GL_Journal!$J:$J,TB_CCC,GL_Journal!$D:$D,"&lt;"&amp;TB_From)))</f>
        <v/>
      </c>
      <c r="D62" s="43">
        <f>IF($A62="","",SUMIFS(GL_Journal!$S:$S,GL_Journal!$G:$G,"&gt;="&amp;$K62,GL_Journal!$G:$G,"&lt;="&amp;$L62,GL_Journal!$I:$I,TB_LOCC,GL_Journal!$J:$J,TB_CCC,GL_Journal!$D:$D,"&gt;="&amp;TB_From,GL_Journal!$D:$D,"&lt;="&amp;TB_To))</f>
        <v/>
      </c>
      <c r="E62" s="43">
        <f>IF($A62="","",SUMIFS(GL_Journal!$T:$T,GL_Journal!$G:$G,"&gt;="&amp;$K62,GL_Journal!$G:$G,"&lt;="&amp;$L62,GL_Journal!$I:$I,TB_LOCC,GL_Journal!$J:$J,TB_CCC,GL_Journal!$D:$D,"&gt;="&amp;TB_From,GL_Journal!$D:$D,"&lt;="&amp;TB_To))</f>
        <v/>
      </c>
      <c r="F62" s="43">
        <f>IF($A62="","",MAX($H62,0))</f>
        <v/>
      </c>
      <c r="G62" s="43">
        <f>IF($A62="","",MAX(-$H62,0))</f>
        <v/>
      </c>
      <c r="H62" s="47">
        <f>IF($A62="","",$C62+$D62-$E62)</f>
        <v/>
      </c>
      <c r="I62" s="44">
        <f>IF($A62="","",INDEX(COA!$E:$E,ROW()-10))</f>
        <v/>
      </c>
      <c r="J62" s="44">
        <f>IF($A62="","",INDEX(COA!$F:$F,ROW()-10))</f>
        <v/>
      </c>
      <c r="K62" s="32">
        <f>IF($A62="","",INDEX(COA!$P:$P,ROW()-10))</f>
        <v/>
      </c>
      <c r="L62" s="32">
        <f>IF($A62="","",INDEX(COA!$Q:$Q,ROW()-10))</f>
        <v/>
      </c>
      <c r="M62" s="32" t="inlineStr"/>
    </row>
    <row r="63">
      <c r="A63" s="44">
        <f>IF(INDEX(COA!$A:$A,ROW()-10)="","",INDEX(COA!$A:$A,ROW()-10))</f>
        <v/>
      </c>
      <c r="B63" s="32">
        <f>IF($A63="","",INDEX(COA!$B:$B,ROW()-10))</f>
        <v/>
      </c>
      <c r="C63" s="47">
        <f>IF($A63="","",(SUMIFS(GL_Journal!$S:$S,GL_Journal!$G:$G,"&gt;="&amp;$K63,GL_Journal!$G:$G,"&lt;="&amp;$L63,GL_Journal!$I:$I,TB_LOCC,GL_Journal!$J:$J,TB_CCC,GL_Journal!$D:$D,"&lt;"&amp;TB_From)-SUMIFS(GL_Journal!$T:$T,GL_Journal!$G:$G,"&gt;="&amp;$K63,GL_Journal!$G:$G,"&lt;="&amp;$L63,GL_Journal!$I:$I,TB_LOCC,GL_Journal!$J:$J,TB_CCC,GL_Journal!$D:$D,"&lt;"&amp;TB_From)))</f>
        <v/>
      </c>
      <c r="D63" s="43">
        <f>IF($A63="","",SUMIFS(GL_Journal!$S:$S,GL_Journal!$G:$G,"&gt;="&amp;$K63,GL_Journal!$G:$G,"&lt;="&amp;$L63,GL_Journal!$I:$I,TB_LOCC,GL_Journal!$J:$J,TB_CCC,GL_Journal!$D:$D,"&gt;="&amp;TB_From,GL_Journal!$D:$D,"&lt;="&amp;TB_To))</f>
        <v/>
      </c>
      <c r="E63" s="43">
        <f>IF($A63="","",SUMIFS(GL_Journal!$T:$T,GL_Journal!$G:$G,"&gt;="&amp;$K63,GL_Journal!$G:$G,"&lt;="&amp;$L63,GL_Journal!$I:$I,TB_LOCC,GL_Journal!$J:$J,TB_CCC,GL_Journal!$D:$D,"&gt;="&amp;TB_From,GL_Journal!$D:$D,"&lt;="&amp;TB_To))</f>
        <v/>
      </c>
      <c r="F63" s="43">
        <f>IF($A63="","",MAX($H63,0))</f>
        <v/>
      </c>
      <c r="G63" s="43">
        <f>IF($A63="","",MAX(-$H63,0))</f>
        <v/>
      </c>
      <c r="H63" s="47">
        <f>IF($A63="","",$C63+$D63-$E63)</f>
        <v/>
      </c>
      <c r="I63" s="44">
        <f>IF($A63="","",INDEX(COA!$E:$E,ROW()-10))</f>
        <v/>
      </c>
      <c r="J63" s="44">
        <f>IF($A63="","",INDEX(COA!$F:$F,ROW()-10))</f>
        <v/>
      </c>
      <c r="K63" s="32">
        <f>IF($A63="","",INDEX(COA!$P:$P,ROW()-10))</f>
        <v/>
      </c>
      <c r="L63" s="32">
        <f>IF($A63="","",INDEX(COA!$Q:$Q,ROW()-10))</f>
        <v/>
      </c>
      <c r="M63" s="32" t="inlineStr"/>
    </row>
    <row r="64">
      <c r="A64" s="44">
        <f>IF(INDEX(COA!$A:$A,ROW()-10)="","",INDEX(COA!$A:$A,ROW()-10))</f>
        <v/>
      </c>
      <c r="B64" s="32">
        <f>IF($A64="","",INDEX(COA!$B:$B,ROW()-10))</f>
        <v/>
      </c>
      <c r="C64" s="47">
        <f>IF($A64="","",(SUMIFS(GL_Journal!$S:$S,GL_Journal!$G:$G,"&gt;="&amp;$K64,GL_Journal!$G:$G,"&lt;="&amp;$L64,GL_Journal!$I:$I,TB_LOCC,GL_Journal!$J:$J,TB_CCC,GL_Journal!$D:$D,"&lt;"&amp;TB_From)-SUMIFS(GL_Journal!$T:$T,GL_Journal!$G:$G,"&gt;="&amp;$K64,GL_Journal!$G:$G,"&lt;="&amp;$L64,GL_Journal!$I:$I,TB_LOCC,GL_Journal!$J:$J,TB_CCC,GL_Journal!$D:$D,"&lt;"&amp;TB_From)))</f>
        <v/>
      </c>
      <c r="D64" s="43">
        <f>IF($A64="","",SUMIFS(GL_Journal!$S:$S,GL_Journal!$G:$G,"&gt;="&amp;$K64,GL_Journal!$G:$G,"&lt;="&amp;$L64,GL_Journal!$I:$I,TB_LOCC,GL_Journal!$J:$J,TB_CCC,GL_Journal!$D:$D,"&gt;="&amp;TB_From,GL_Journal!$D:$D,"&lt;="&amp;TB_To))</f>
        <v/>
      </c>
      <c r="E64" s="43">
        <f>IF($A64="","",SUMIFS(GL_Journal!$T:$T,GL_Journal!$G:$G,"&gt;="&amp;$K64,GL_Journal!$G:$G,"&lt;="&amp;$L64,GL_Journal!$I:$I,TB_LOCC,GL_Journal!$J:$J,TB_CCC,GL_Journal!$D:$D,"&gt;="&amp;TB_From,GL_Journal!$D:$D,"&lt;="&amp;TB_To))</f>
        <v/>
      </c>
      <c r="F64" s="43">
        <f>IF($A64="","",MAX($H64,0))</f>
        <v/>
      </c>
      <c r="G64" s="43">
        <f>IF($A64="","",MAX(-$H64,0))</f>
        <v/>
      </c>
      <c r="H64" s="47">
        <f>IF($A64="","",$C64+$D64-$E64)</f>
        <v/>
      </c>
      <c r="I64" s="44">
        <f>IF($A64="","",INDEX(COA!$E:$E,ROW()-10))</f>
        <v/>
      </c>
      <c r="J64" s="44">
        <f>IF($A64="","",INDEX(COA!$F:$F,ROW()-10))</f>
        <v/>
      </c>
      <c r="K64" s="32">
        <f>IF($A64="","",INDEX(COA!$P:$P,ROW()-10))</f>
        <v/>
      </c>
      <c r="L64" s="32">
        <f>IF($A64="","",INDEX(COA!$Q:$Q,ROW()-10))</f>
        <v/>
      </c>
      <c r="M64" s="32" t="inlineStr"/>
    </row>
    <row r="65">
      <c r="A65" s="44">
        <f>IF(INDEX(COA!$A:$A,ROW()-10)="","",INDEX(COA!$A:$A,ROW()-10))</f>
        <v/>
      </c>
      <c r="B65" s="32">
        <f>IF($A65="","",INDEX(COA!$B:$B,ROW()-10))</f>
        <v/>
      </c>
      <c r="C65" s="47">
        <f>IF($A65="","",(SUMIFS(GL_Journal!$S:$S,GL_Journal!$G:$G,"&gt;="&amp;$K65,GL_Journal!$G:$G,"&lt;="&amp;$L65,GL_Journal!$I:$I,TB_LOCC,GL_Journal!$J:$J,TB_CCC,GL_Journal!$D:$D,"&lt;"&amp;TB_From)-SUMIFS(GL_Journal!$T:$T,GL_Journal!$G:$G,"&gt;="&amp;$K65,GL_Journal!$G:$G,"&lt;="&amp;$L65,GL_Journal!$I:$I,TB_LOCC,GL_Journal!$J:$J,TB_CCC,GL_Journal!$D:$D,"&lt;"&amp;TB_From)))</f>
        <v/>
      </c>
      <c r="D65" s="43">
        <f>IF($A65="","",SUMIFS(GL_Journal!$S:$S,GL_Journal!$G:$G,"&gt;="&amp;$K65,GL_Journal!$G:$G,"&lt;="&amp;$L65,GL_Journal!$I:$I,TB_LOCC,GL_Journal!$J:$J,TB_CCC,GL_Journal!$D:$D,"&gt;="&amp;TB_From,GL_Journal!$D:$D,"&lt;="&amp;TB_To))</f>
        <v/>
      </c>
      <c r="E65" s="43">
        <f>IF($A65="","",SUMIFS(GL_Journal!$T:$T,GL_Journal!$G:$G,"&gt;="&amp;$K65,GL_Journal!$G:$G,"&lt;="&amp;$L65,GL_Journal!$I:$I,TB_LOCC,GL_Journal!$J:$J,TB_CCC,GL_Journal!$D:$D,"&gt;="&amp;TB_From,GL_Journal!$D:$D,"&lt;="&amp;TB_To))</f>
        <v/>
      </c>
      <c r="F65" s="43">
        <f>IF($A65="","",MAX($H65,0))</f>
        <v/>
      </c>
      <c r="G65" s="43">
        <f>IF($A65="","",MAX(-$H65,0))</f>
        <v/>
      </c>
      <c r="H65" s="47">
        <f>IF($A65="","",$C65+$D65-$E65)</f>
        <v/>
      </c>
      <c r="I65" s="44">
        <f>IF($A65="","",INDEX(COA!$E:$E,ROW()-10))</f>
        <v/>
      </c>
      <c r="J65" s="44">
        <f>IF($A65="","",INDEX(COA!$F:$F,ROW()-10))</f>
        <v/>
      </c>
      <c r="K65" s="32">
        <f>IF($A65="","",INDEX(COA!$P:$P,ROW()-10))</f>
        <v/>
      </c>
      <c r="L65" s="32">
        <f>IF($A65="","",INDEX(COA!$Q:$Q,ROW()-10))</f>
        <v/>
      </c>
      <c r="M65" s="32" t="inlineStr"/>
    </row>
    <row r="66">
      <c r="A66" s="44">
        <f>IF(INDEX(COA!$A:$A,ROW()-10)="","",INDEX(COA!$A:$A,ROW()-10))</f>
        <v/>
      </c>
      <c r="B66" s="32">
        <f>IF($A66="","",INDEX(COA!$B:$B,ROW()-10))</f>
        <v/>
      </c>
      <c r="C66" s="47">
        <f>IF($A66="","",(SUMIFS(GL_Journal!$S:$S,GL_Journal!$G:$G,"&gt;="&amp;$K66,GL_Journal!$G:$G,"&lt;="&amp;$L66,GL_Journal!$I:$I,TB_LOCC,GL_Journal!$J:$J,TB_CCC,GL_Journal!$D:$D,"&lt;"&amp;TB_From)-SUMIFS(GL_Journal!$T:$T,GL_Journal!$G:$G,"&gt;="&amp;$K66,GL_Journal!$G:$G,"&lt;="&amp;$L66,GL_Journal!$I:$I,TB_LOCC,GL_Journal!$J:$J,TB_CCC,GL_Journal!$D:$D,"&lt;"&amp;TB_From)))</f>
        <v/>
      </c>
      <c r="D66" s="43">
        <f>IF($A66="","",SUMIFS(GL_Journal!$S:$S,GL_Journal!$G:$G,"&gt;="&amp;$K66,GL_Journal!$G:$G,"&lt;="&amp;$L66,GL_Journal!$I:$I,TB_LOCC,GL_Journal!$J:$J,TB_CCC,GL_Journal!$D:$D,"&gt;="&amp;TB_From,GL_Journal!$D:$D,"&lt;="&amp;TB_To))</f>
        <v/>
      </c>
      <c r="E66" s="43">
        <f>IF($A66="","",SUMIFS(GL_Journal!$T:$T,GL_Journal!$G:$G,"&gt;="&amp;$K66,GL_Journal!$G:$G,"&lt;="&amp;$L66,GL_Journal!$I:$I,TB_LOCC,GL_Journal!$J:$J,TB_CCC,GL_Journal!$D:$D,"&gt;="&amp;TB_From,GL_Journal!$D:$D,"&lt;="&amp;TB_To))</f>
        <v/>
      </c>
      <c r="F66" s="43">
        <f>IF($A66="","",MAX($H66,0))</f>
        <v/>
      </c>
      <c r="G66" s="43">
        <f>IF($A66="","",MAX(-$H66,0))</f>
        <v/>
      </c>
      <c r="H66" s="47">
        <f>IF($A66="","",$C66+$D66-$E66)</f>
        <v/>
      </c>
      <c r="I66" s="44">
        <f>IF($A66="","",INDEX(COA!$E:$E,ROW()-10))</f>
        <v/>
      </c>
      <c r="J66" s="44">
        <f>IF($A66="","",INDEX(COA!$F:$F,ROW()-10))</f>
        <v/>
      </c>
      <c r="K66" s="32">
        <f>IF($A66="","",INDEX(COA!$P:$P,ROW()-10))</f>
        <v/>
      </c>
      <c r="L66" s="32">
        <f>IF($A66="","",INDEX(COA!$Q:$Q,ROW()-10))</f>
        <v/>
      </c>
      <c r="M66" s="32" t="inlineStr"/>
    </row>
    <row r="67">
      <c r="A67" s="44">
        <f>IF(INDEX(COA!$A:$A,ROW()-10)="","",INDEX(COA!$A:$A,ROW()-10))</f>
        <v/>
      </c>
      <c r="B67" s="32">
        <f>IF($A67="","",INDEX(COA!$B:$B,ROW()-10))</f>
        <v/>
      </c>
      <c r="C67" s="47">
        <f>IF($A67="","",(SUMIFS(GL_Journal!$S:$S,GL_Journal!$G:$G,"&gt;="&amp;$K67,GL_Journal!$G:$G,"&lt;="&amp;$L67,GL_Journal!$I:$I,TB_LOCC,GL_Journal!$J:$J,TB_CCC,GL_Journal!$D:$D,"&lt;"&amp;TB_From)-SUMIFS(GL_Journal!$T:$T,GL_Journal!$G:$G,"&gt;="&amp;$K67,GL_Journal!$G:$G,"&lt;="&amp;$L67,GL_Journal!$I:$I,TB_LOCC,GL_Journal!$J:$J,TB_CCC,GL_Journal!$D:$D,"&lt;"&amp;TB_From)))</f>
        <v/>
      </c>
      <c r="D67" s="43">
        <f>IF($A67="","",SUMIFS(GL_Journal!$S:$S,GL_Journal!$G:$G,"&gt;="&amp;$K67,GL_Journal!$G:$G,"&lt;="&amp;$L67,GL_Journal!$I:$I,TB_LOCC,GL_Journal!$J:$J,TB_CCC,GL_Journal!$D:$D,"&gt;="&amp;TB_From,GL_Journal!$D:$D,"&lt;="&amp;TB_To))</f>
        <v/>
      </c>
      <c r="E67" s="43">
        <f>IF($A67="","",SUMIFS(GL_Journal!$T:$T,GL_Journal!$G:$G,"&gt;="&amp;$K67,GL_Journal!$G:$G,"&lt;="&amp;$L67,GL_Journal!$I:$I,TB_LOCC,GL_Journal!$J:$J,TB_CCC,GL_Journal!$D:$D,"&gt;="&amp;TB_From,GL_Journal!$D:$D,"&lt;="&amp;TB_To))</f>
        <v/>
      </c>
      <c r="F67" s="43">
        <f>IF($A67="","",MAX($H67,0))</f>
        <v/>
      </c>
      <c r="G67" s="43">
        <f>IF($A67="","",MAX(-$H67,0))</f>
        <v/>
      </c>
      <c r="H67" s="47">
        <f>IF($A67="","",$C67+$D67-$E67)</f>
        <v/>
      </c>
      <c r="I67" s="44">
        <f>IF($A67="","",INDEX(COA!$E:$E,ROW()-10))</f>
        <v/>
      </c>
      <c r="J67" s="44">
        <f>IF($A67="","",INDEX(COA!$F:$F,ROW()-10))</f>
        <v/>
      </c>
      <c r="K67" s="32">
        <f>IF($A67="","",INDEX(COA!$P:$P,ROW()-10))</f>
        <v/>
      </c>
      <c r="L67" s="32">
        <f>IF($A67="","",INDEX(COA!$Q:$Q,ROW()-10))</f>
        <v/>
      </c>
      <c r="M67" s="32" t="inlineStr"/>
    </row>
    <row r="68">
      <c r="A68" s="44">
        <f>IF(INDEX(COA!$A:$A,ROW()-10)="","",INDEX(COA!$A:$A,ROW()-10))</f>
        <v/>
      </c>
      <c r="B68" s="32">
        <f>IF($A68="","",INDEX(COA!$B:$B,ROW()-10))</f>
        <v/>
      </c>
      <c r="C68" s="47">
        <f>IF($A68="","",(SUMIFS(GL_Journal!$S:$S,GL_Journal!$G:$G,"&gt;="&amp;$K68,GL_Journal!$G:$G,"&lt;="&amp;$L68,GL_Journal!$I:$I,TB_LOCC,GL_Journal!$J:$J,TB_CCC,GL_Journal!$D:$D,"&lt;"&amp;TB_From)-SUMIFS(GL_Journal!$T:$T,GL_Journal!$G:$G,"&gt;="&amp;$K68,GL_Journal!$G:$G,"&lt;="&amp;$L68,GL_Journal!$I:$I,TB_LOCC,GL_Journal!$J:$J,TB_CCC,GL_Journal!$D:$D,"&lt;"&amp;TB_From)))</f>
        <v/>
      </c>
      <c r="D68" s="43">
        <f>IF($A68="","",SUMIFS(GL_Journal!$S:$S,GL_Journal!$G:$G,"&gt;="&amp;$K68,GL_Journal!$G:$G,"&lt;="&amp;$L68,GL_Journal!$I:$I,TB_LOCC,GL_Journal!$J:$J,TB_CCC,GL_Journal!$D:$D,"&gt;="&amp;TB_From,GL_Journal!$D:$D,"&lt;="&amp;TB_To))</f>
        <v/>
      </c>
      <c r="E68" s="43">
        <f>IF($A68="","",SUMIFS(GL_Journal!$T:$T,GL_Journal!$G:$G,"&gt;="&amp;$K68,GL_Journal!$G:$G,"&lt;="&amp;$L68,GL_Journal!$I:$I,TB_LOCC,GL_Journal!$J:$J,TB_CCC,GL_Journal!$D:$D,"&gt;="&amp;TB_From,GL_Journal!$D:$D,"&lt;="&amp;TB_To))</f>
        <v/>
      </c>
      <c r="F68" s="43">
        <f>IF($A68="","",MAX($H68,0))</f>
        <v/>
      </c>
      <c r="G68" s="43">
        <f>IF($A68="","",MAX(-$H68,0))</f>
        <v/>
      </c>
      <c r="H68" s="47">
        <f>IF($A68="","",$C68+$D68-$E68)</f>
        <v/>
      </c>
      <c r="I68" s="44">
        <f>IF($A68="","",INDEX(COA!$E:$E,ROW()-10))</f>
        <v/>
      </c>
      <c r="J68" s="44">
        <f>IF($A68="","",INDEX(COA!$F:$F,ROW()-10))</f>
        <v/>
      </c>
      <c r="K68" s="32">
        <f>IF($A68="","",INDEX(COA!$P:$P,ROW()-10))</f>
        <v/>
      </c>
      <c r="L68" s="32">
        <f>IF($A68="","",INDEX(COA!$Q:$Q,ROW()-10))</f>
        <v/>
      </c>
      <c r="M68" s="32" t="inlineStr"/>
    </row>
    <row r="69">
      <c r="A69" s="44">
        <f>IF(INDEX(COA!$A:$A,ROW()-10)="","",INDEX(COA!$A:$A,ROW()-10))</f>
        <v/>
      </c>
      <c r="B69" s="32">
        <f>IF($A69="","",INDEX(COA!$B:$B,ROW()-10))</f>
        <v/>
      </c>
      <c r="C69" s="47">
        <f>IF($A69="","",(SUMIFS(GL_Journal!$S:$S,GL_Journal!$G:$G,"&gt;="&amp;$K69,GL_Journal!$G:$G,"&lt;="&amp;$L69,GL_Journal!$I:$I,TB_LOCC,GL_Journal!$J:$J,TB_CCC,GL_Journal!$D:$D,"&lt;"&amp;TB_From)-SUMIFS(GL_Journal!$T:$T,GL_Journal!$G:$G,"&gt;="&amp;$K69,GL_Journal!$G:$G,"&lt;="&amp;$L69,GL_Journal!$I:$I,TB_LOCC,GL_Journal!$J:$J,TB_CCC,GL_Journal!$D:$D,"&lt;"&amp;TB_From)))</f>
        <v/>
      </c>
      <c r="D69" s="43">
        <f>IF($A69="","",SUMIFS(GL_Journal!$S:$S,GL_Journal!$G:$G,"&gt;="&amp;$K69,GL_Journal!$G:$G,"&lt;="&amp;$L69,GL_Journal!$I:$I,TB_LOCC,GL_Journal!$J:$J,TB_CCC,GL_Journal!$D:$D,"&gt;="&amp;TB_From,GL_Journal!$D:$D,"&lt;="&amp;TB_To))</f>
        <v/>
      </c>
      <c r="E69" s="43">
        <f>IF($A69="","",SUMIFS(GL_Journal!$T:$T,GL_Journal!$G:$G,"&gt;="&amp;$K69,GL_Journal!$G:$G,"&lt;="&amp;$L69,GL_Journal!$I:$I,TB_LOCC,GL_Journal!$J:$J,TB_CCC,GL_Journal!$D:$D,"&gt;="&amp;TB_From,GL_Journal!$D:$D,"&lt;="&amp;TB_To))</f>
        <v/>
      </c>
      <c r="F69" s="43">
        <f>IF($A69="","",MAX($H69,0))</f>
        <v/>
      </c>
      <c r="G69" s="43">
        <f>IF($A69="","",MAX(-$H69,0))</f>
        <v/>
      </c>
      <c r="H69" s="47">
        <f>IF($A69="","",$C69+$D69-$E69)</f>
        <v/>
      </c>
      <c r="I69" s="44">
        <f>IF($A69="","",INDEX(COA!$E:$E,ROW()-10))</f>
        <v/>
      </c>
      <c r="J69" s="44">
        <f>IF($A69="","",INDEX(COA!$F:$F,ROW()-10))</f>
        <v/>
      </c>
      <c r="K69" s="32">
        <f>IF($A69="","",INDEX(COA!$P:$P,ROW()-10))</f>
        <v/>
      </c>
      <c r="L69" s="32">
        <f>IF($A69="","",INDEX(COA!$Q:$Q,ROW()-10))</f>
        <v/>
      </c>
      <c r="M69" s="32" t="inlineStr"/>
    </row>
    <row r="70">
      <c r="A70" s="44">
        <f>IF(INDEX(COA!$A:$A,ROW()-10)="","",INDEX(COA!$A:$A,ROW()-10))</f>
        <v/>
      </c>
      <c r="B70" s="32">
        <f>IF($A70="","",INDEX(COA!$B:$B,ROW()-10))</f>
        <v/>
      </c>
      <c r="C70" s="47">
        <f>IF($A70="","",(SUMIFS(GL_Journal!$S:$S,GL_Journal!$G:$G,"&gt;="&amp;$K70,GL_Journal!$G:$G,"&lt;="&amp;$L70,GL_Journal!$I:$I,TB_LOCC,GL_Journal!$J:$J,TB_CCC,GL_Journal!$D:$D,"&lt;"&amp;TB_From)-SUMIFS(GL_Journal!$T:$T,GL_Journal!$G:$G,"&gt;="&amp;$K70,GL_Journal!$G:$G,"&lt;="&amp;$L70,GL_Journal!$I:$I,TB_LOCC,GL_Journal!$J:$J,TB_CCC,GL_Journal!$D:$D,"&lt;"&amp;TB_From)))</f>
        <v/>
      </c>
      <c r="D70" s="43">
        <f>IF($A70="","",SUMIFS(GL_Journal!$S:$S,GL_Journal!$G:$G,"&gt;="&amp;$K70,GL_Journal!$G:$G,"&lt;="&amp;$L70,GL_Journal!$I:$I,TB_LOCC,GL_Journal!$J:$J,TB_CCC,GL_Journal!$D:$D,"&gt;="&amp;TB_From,GL_Journal!$D:$D,"&lt;="&amp;TB_To))</f>
        <v/>
      </c>
      <c r="E70" s="43">
        <f>IF($A70="","",SUMIFS(GL_Journal!$T:$T,GL_Journal!$G:$G,"&gt;="&amp;$K70,GL_Journal!$G:$G,"&lt;="&amp;$L70,GL_Journal!$I:$I,TB_LOCC,GL_Journal!$J:$J,TB_CCC,GL_Journal!$D:$D,"&gt;="&amp;TB_From,GL_Journal!$D:$D,"&lt;="&amp;TB_To))</f>
        <v/>
      </c>
      <c r="F70" s="43">
        <f>IF($A70="","",MAX($H70,0))</f>
        <v/>
      </c>
      <c r="G70" s="43">
        <f>IF($A70="","",MAX(-$H70,0))</f>
        <v/>
      </c>
      <c r="H70" s="47">
        <f>IF($A70="","",$C70+$D70-$E70)</f>
        <v/>
      </c>
      <c r="I70" s="44">
        <f>IF($A70="","",INDEX(COA!$E:$E,ROW()-10))</f>
        <v/>
      </c>
      <c r="J70" s="44">
        <f>IF($A70="","",INDEX(COA!$F:$F,ROW()-10))</f>
        <v/>
      </c>
      <c r="K70" s="32">
        <f>IF($A70="","",INDEX(COA!$P:$P,ROW()-10))</f>
        <v/>
      </c>
      <c r="L70" s="32">
        <f>IF($A70="","",INDEX(COA!$Q:$Q,ROW()-10))</f>
        <v/>
      </c>
      <c r="M70" s="32" t="inlineStr"/>
    </row>
    <row r="71">
      <c r="A71" s="44">
        <f>IF(INDEX(COA!$A:$A,ROW()-10)="","",INDEX(COA!$A:$A,ROW()-10))</f>
        <v/>
      </c>
      <c r="B71" s="32">
        <f>IF($A71="","",INDEX(COA!$B:$B,ROW()-10))</f>
        <v/>
      </c>
      <c r="C71" s="47">
        <f>IF($A71="","",(SUMIFS(GL_Journal!$S:$S,GL_Journal!$G:$G,"&gt;="&amp;$K71,GL_Journal!$G:$G,"&lt;="&amp;$L71,GL_Journal!$I:$I,TB_LOCC,GL_Journal!$J:$J,TB_CCC,GL_Journal!$D:$D,"&lt;"&amp;TB_From)-SUMIFS(GL_Journal!$T:$T,GL_Journal!$G:$G,"&gt;="&amp;$K71,GL_Journal!$G:$G,"&lt;="&amp;$L71,GL_Journal!$I:$I,TB_LOCC,GL_Journal!$J:$J,TB_CCC,GL_Journal!$D:$D,"&lt;"&amp;TB_From)))</f>
        <v/>
      </c>
      <c r="D71" s="43">
        <f>IF($A71="","",SUMIFS(GL_Journal!$S:$S,GL_Journal!$G:$G,"&gt;="&amp;$K71,GL_Journal!$G:$G,"&lt;="&amp;$L71,GL_Journal!$I:$I,TB_LOCC,GL_Journal!$J:$J,TB_CCC,GL_Journal!$D:$D,"&gt;="&amp;TB_From,GL_Journal!$D:$D,"&lt;="&amp;TB_To))</f>
        <v/>
      </c>
      <c r="E71" s="43">
        <f>IF($A71="","",SUMIFS(GL_Journal!$T:$T,GL_Journal!$G:$G,"&gt;="&amp;$K71,GL_Journal!$G:$G,"&lt;="&amp;$L71,GL_Journal!$I:$I,TB_LOCC,GL_Journal!$J:$J,TB_CCC,GL_Journal!$D:$D,"&gt;="&amp;TB_From,GL_Journal!$D:$D,"&lt;="&amp;TB_To))</f>
        <v/>
      </c>
      <c r="F71" s="43">
        <f>IF($A71="","",MAX($H71,0))</f>
        <v/>
      </c>
      <c r="G71" s="43">
        <f>IF($A71="","",MAX(-$H71,0))</f>
        <v/>
      </c>
      <c r="H71" s="47">
        <f>IF($A71="","",$C71+$D71-$E71)</f>
        <v/>
      </c>
      <c r="I71" s="44">
        <f>IF($A71="","",INDEX(COA!$E:$E,ROW()-10))</f>
        <v/>
      </c>
      <c r="J71" s="44">
        <f>IF($A71="","",INDEX(COA!$F:$F,ROW()-10))</f>
        <v/>
      </c>
      <c r="K71" s="32">
        <f>IF($A71="","",INDEX(COA!$P:$P,ROW()-10))</f>
        <v/>
      </c>
      <c r="L71" s="32">
        <f>IF($A71="","",INDEX(COA!$Q:$Q,ROW()-10))</f>
        <v/>
      </c>
      <c r="M71" s="32" t="inlineStr"/>
    </row>
    <row r="72">
      <c r="A72" s="44">
        <f>IF(INDEX(COA!$A:$A,ROW()-10)="","",INDEX(COA!$A:$A,ROW()-10))</f>
        <v/>
      </c>
      <c r="B72" s="32">
        <f>IF($A72="","",INDEX(COA!$B:$B,ROW()-10))</f>
        <v/>
      </c>
      <c r="C72" s="47">
        <f>IF($A72="","",(SUMIFS(GL_Journal!$S:$S,GL_Journal!$G:$G,"&gt;="&amp;$K72,GL_Journal!$G:$G,"&lt;="&amp;$L72,GL_Journal!$I:$I,TB_LOCC,GL_Journal!$J:$J,TB_CCC,GL_Journal!$D:$D,"&lt;"&amp;TB_From)-SUMIFS(GL_Journal!$T:$T,GL_Journal!$G:$G,"&gt;="&amp;$K72,GL_Journal!$G:$G,"&lt;="&amp;$L72,GL_Journal!$I:$I,TB_LOCC,GL_Journal!$J:$J,TB_CCC,GL_Journal!$D:$D,"&lt;"&amp;TB_From)))</f>
        <v/>
      </c>
      <c r="D72" s="43">
        <f>IF($A72="","",SUMIFS(GL_Journal!$S:$S,GL_Journal!$G:$G,"&gt;="&amp;$K72,GL_Journal!$G:$G,"&lt;="&amp;$L72,GL_Journal!$I:$I,TB_LOCC,GL_Journal!$J:$J,TB_CCC,GL_Journal!$D:$D,"&gt;="&amp;TB_From,GL_Journal!$D:$D,"&lt;="&amp;TB_To))</f>
        <v/>
      </c>
      <c r="E72" s="43">
        <f>IF($A72="","",SUMIFS(GL_Journal!$T:$T,GL_Journal!$G:$G,"&gt;="&amp;$K72,GL_Journal!$G:$G,"&lt;="&amp;$L72,GL_Journal!$I:$I,TB_LOCC,GL_Journal!$J:$J,TB_CCC,GL_Journal!$D:$D,"&gt;="&amp;TB_From,GL_Journal!$D:$D,"&lt;="&amp;TB_To))</f>
        <v/>
      </c>
      <c r="F72" s="43">
        <f>IF($A72="","",MAX($H72,0))</f>
        <v/>
      </c>
      <c r="G72" s="43">
        <f>IF($A72="","",MAX(-$H72,0))</f>
        <v/>
      </c>
      <c r="H72" s="47">
        <f>IF($A72="","",$C72+$D72-$E72)</f>
        <v/>
      </c>
      <c r="I72" s="44">
        <f>IF($A72="","",INDEX(COA!$E:$E,ROW()-10))</f>
        <v/>
      </c>
      <c r="J72" s="44">
        <f>IF($A72="","",INDEX(COA!$F:$F,ROW()-10))</f>
        <v/>
      </c>
      <c r="K72" s="32">
        <f>IF($A72="","",INDEX(COA!$P:$P,ROW()-10))</f>
        <v/>
      </c>
      <c r="L72" s="32">
        <f>IF($A72="","",INDEX(COA!$Q:$Q,ROW()-10))</f>
        <v/>
      </c>
      <c r="M72" s="32" t="inlineStr"/>
    </row>
    <row r="73">
      <c r="A73" s="44">
        <f>IF(INDEX(COA!$A:$A,ROW()-10)="","",INDEX(COA!$A:$A,ROW()-10))</f>
        <v/>
      </c>
      <c r="B73" s="32">
        <f>IF($A73="","",INDEX(COA!$B:$B,ROW()-10))</f>
        <v/>
      </c>
      <c r="C73" s="47">
        <f>IF($A73="","",(SUMIFS(GL_Journal!$S:$S,GL_Journal!$G:$G,"&gt;="&amp;$K73,GL_Journal!$G:$G,"&lt;="&amp;$L73,GL_Journal!$I:$I,TB_LOCC,GL_Journal!$J:$J,TB_CCC,GL_Journal!$D:$D,"&lt;"&amp;TB_From)-SUMIFS(GL_Journal!$T:$T,GL_Journal!$G:$G,"&gt;="&amp;$K73,GL_Journal!$G:$G,"&lt;="&amp;$L73,GL_Journal!$I:$I,TB_LOCC,GL_Journal!$J:$J,TB_CCC,GL_Journal!$D:$D,"&lt;"&amp;TB_From)))</f>
        <v/>
      </c>
      <c r="D73" s="43">
        <f>IF($A73="","",SUMIFS(GL_Journal!$S:$S,GL_Journal!$G:$G,"&gt;="&amp;$K73,GL_Journal!$G:$G,"&lt;="&amp;$L73,GL_Journal!$I:$I,TB_LOCC,GL_Journal!$J:$J,TB_CCC,GL_Journal!$D:$D,"&gt;="&amp;TB_From,GL_Journal!$D:$D,"&lt;="&amp;TB_To))</f>
        <v/>
      </c>
      <c r="E73" s="43">
        <f>IF($A73="","",SUMIFS(GL_Journal!$T:$T,GL_Journal!$G:$G,"&gt;="&amp;$K73,GL_Journal!$G:$G,"&lt;="&amp;$L73,GL_Journal!$I:$I,TB_LOCC,GL_Journal!$J:$J,TB_CCC,GL_Journal!$D:$D,"&gt;="&amp;TB_From,GL_Journal!$D:$D,"&lt;="&amp;TB_To))</f>
        <v/>
      </c>
      <c r="F73" s="43">
        <f>IF($A73="","",MAX($H73,0))</f>
        <v/>
      </c>
      <c r="G73" s="43">
        <f>IF($A73="","",MAX(-$H73,0))</f>
        <v/>
      </c>
      <c r="H73" s="47">
        <f>IF($A73="","",$C73+$D73-$E73)</f>
        <v/>
      </c>
      <c r="I73" s="44">
        <f>IF($A73="","",INDEX(COA!$E:$E,ROW()-10))</f>
        <v/>
      </c>
      <c r="J73" s="44">
        <f>IF($A73="","",INDEX(COA!$F:$F,ROW()-10))</f>
        <v/>
      </c>
      <c r="K73" s="32">
        <f>IF($A73="","",INDEX(COA!$P:$P,ROW()-10))</f>
        <v/>
      </c>
      <c r="L73" s="32">
        <f>IF($A73="","",INDEX(COA!$Q:$Q,ROW()-10))</f>
        <v/>
      </c>
      <c r="M73" s="32" t="inlineStr"/>
    </row>
    <row r="74">
      <c r="A74" s="44">
        <f>IF(INDEX(COA!$A:$A,ROW()-10)="","",INDEX(COA!$A:$A,ROW()-10))</f>
        <v/>
      </c>
      <c r="B74" s="32">
        <f>IF($A74="","",INDEX(COA!$B:$B,ROW()-10))</f>
        <v/>
      </c>
      <c r="C74" s="47">
        <f>IF($A74="","",(SUMIFS(GL_Journal!$S:$S,GL_Journal!$G:$G,"&gt;="&amp;$K74,GL_Journal!$G:$G,"&lt;="&amp;$L74,GL_Journal!$I:$I,TB_LOCC,GL_Journal!$J:$J,TB_CCC,GL_Journal!$D:$D,"&lt;"&amp;TB_From)-SUMIFS(GL_Journal!$T:$T,GL_Journal!$G:$G,"&gt;="&amp;$K74,GL_Journal!$G:$G,"&lt;="&amp;$L74,GL_Journal!$I:$I,TB_LOCC,GL_Journal!$J:$J,TB_CCC,GL_Journal!$D:$D,"&lt;"&amp;TB_From)))</f>
        <v/>
      </c>
      <c r="D74" s="43">
        <f>IF($A74="","",SUMIFS(GL_Journal!$S:$S,GL_Journal!$G:$G,"&gt;="&amp;$K74,GL_Journal!$G:$G,"&lt;="&amp;$L74,GL_Journal!$I:$I,TB_LOCC,GL_Journal!$J:$J,TB_CCC,GL_Journal!$D:$D,"&gt;="&amp;TB_From,GL_Journal!$D:$D,"&lt;="&amp;TB_To))</f>
        <v/>
      </c>
      <c r="E74" s="43">
        <f>IF($A74="","",SUMIFS(GL_Journal!$T:$T,GL_Journal!$G:$G,"&gt;="&amp;$K74,GL_Journal!$G:$G,"&lt;="&amp;$L74,GL_Journal!$I:$I,TB_LOCC,GL_Journal!$J:$J,TB_CCC,GL_Journal!$D:$D,"&gt;="&amp;TB_From,GL_Journal!$D:$D,"&lt;="&amp;TB_To))</f>
        <v/>
      </c>
      <c r="F74" s="43">
        <f>IF($A74="","",MAX($H74,0))</f>
        <v/>
      </c>
      <c r="G74" s="43">
        <f>IF($A74="","",MAX(-$H74,0))</f>
        <v/>
      </c>
      <c r="H74" s="47">
        <f>IF($A74="","",$C74+$D74-$E74)</f>
        <v/>
      </c>
      <c r="I74" s="44">
        <f>IF($A74="","",INDEX(COA!$E:$E,ROW()-10))</f>
        <v/>
      </c>
      <c r="J74" s="44">
        <f>IF($A74="","",INDEX(COA!$F:$F,ROW()-10))</f>
        <v/>
      </c>
      <c r="K74" s="32">
        <f>IF($A74="","",INDEX(COA!$P:$P,ROW()-10))</f>
        <v/>
      </c>
      <c r="L74" s="32">
        <f>IF($A74="","",INDEX(COA!$Q:$Q,ROW()-10))</f>
        <v/>
      </c>
      <c r="M74" s="32" t="inlineStr"/>
    </row>
    <row r="75">
      <c r="A75" s="44">
        <f>IF(INDEX(COA!$A:$A,ROW()-10)="","",INDEX(COA!$A:$A,ROW()-10))</f>
        <v/>
      </c>
      <c r="B75" s="32">
        <f>IF($A75="","",INDEX(COA!$B:$B,ROW()-10))</f>
        <v/>
      </c>
      <c r="C75" s="47">
        <f>IF($A75="","",(SUMIFS(GL_Journal!$S:$S,GL_Journal!$G:$G,"&gt;="&amp;$K75,GL_Journal!$G:$G,"&lt;="&amp;$L75,GL_Journal!$I:$I,TB_LOCC,GL_Journal!$J:$J,TB_CCC,GL_Journal!$D:$D,"&lt;"&amp;TB_From)-SUMIFS(GL_Journal!$T:$T,GL_Journal!$G:$G,"&gt;="&amp;$K75,GL_Journal!$G:$G,"&lt;="&amp;$L75,GL_Journal!$I:$I,TB_LOCC,GL_Journal!$J:$J,TB_CCC,GL_Journal!$D:$D,"&lt;"&amp;TB_From)))</f>
        <v/>
      </c>
      <c r="D75" s="43">
        <f>IF($A75="","",SUMIFS(GL_Journal!$S:$S,GL_Journal!$G:$G,"&gt;="&amp;$K75,GL_Journal!$G:$G,"&lt;="&amp;$L75,GL_Journal!$I:$I,TB_LOCC,GL_Journal!$J:$J,TB_CCC,GL_Journal!$D:$D,"&gt;="&amp;TB_From,GL_Journal!$D:$D,"&lt;="&amp;TB_To))</f>
        <v/>
      </c>
      <c r="E75" s="43">
        <f>IF($A75="","",SUMIFS(GL_Journal!$T:$T,GL_Journal!$G:$G,"&gt;="&amp;$K75,GL_Journal!$G:$G,"&lt;="&amp;$L75,GL_Journal!$I:$I,TB_LOCC,GL_Journal!$J:$J,TB_CCC,GL_Journal!$D:$D,"&gt;="&amp;TB_From,GL_Journal!$D:$D,"&lt;="&amp;TB_To))</f>
        <v/>
      </c>
      <c r="F75" s="43">
        <f>IF($A75="","",MAX($H75,0))</f>
        <v/>
      </c>
      <c r="G75" s="43">
        <f>IF($A75="","",MAX(-$H75,0))</f>
        <v/>
      </c>
      <c r="H75" s="47">
        <f>IF($A75="","",$C75+$D75-$E75)</f>
        <v/>
      </c>
      <c r="I75" s="44">
        <f>IF($A75="","",INDEX(COA!$E:$E,ROW()-10))</f>
        <v/>
      </c>
      <c r="J75" s="44">
        <f>IF($A75="","",INDEX(COA!$F:$F,ROW()-10))</f>
        <v/>
      </c>
      <c r="K75" s="32">
        <f>IF($A75="","",INDEX(COA!$P:$P,ROW()-10))</f>
        <v/>
      </c>
      <c r="L75" s="32">
        <f>IF($A75="","",INDEX(COA!$Q:$Q,ROW()-10))</f>
        <v/>
      </c>
      <c r="M75" s="32" t="inlineStr"/>
    </row>
    <row r="76">
      <c r="A76" s="44">
        <f>IF(INDEX(COA!$A:$A,ROW()-10)="","",INDEX(COA!$A:$A,ROW()-10))</f>
        <v/>
      </c>
      <c r="B76" s="32">
        <f>IF($A76="","",INDEX(COA!$B:$B,ROW()-10))</f>
        <v/>
      </c>
      <c r="C76" s="47">
        <f>IF($A76="","",(SUMIFS(GL_Journal!$S:$S,GL_Journal!$G:$G,"&gt;="&amp;$K76,GL_Journal!$G:$G,"&lt;="&amp;$L76,GL_Journal!$I:$I,TB_LOCC,GL_Journal!$J:$J,TB_CCC,GL_Journal!$D:$D,"&lt;"&amp;TB_From)-SUMIFS(GL_Journal!$T:$T,GL_Journal!$G:$G,"&gt;="&amp;$K76,GL_Journal!$G:$G,"&lt;="&amp;$L76,GL_Journal!$I:$I,TB_LOCC,GL_Journal!$J:$J,TB_CCC,GL_Journal!$D:$D,"&lt;"&amp;TB_From)))</f>
        <v/>
      </c>
      <c r="D76" s="43">
        <f>IF($A76="","",SUMIFS(GL_Journal!$S:$S,GL_Journal!$G:$G,"&gt;="&amp;$K76,GL_Journal!$G:$G,"&lt;="&amp;$L76,GL_Journal!$I:$I,TB_LOCC,GL_Journal!$J:$J,TB_CCC,GL_Journal!$D:$D,"&gt;="&amp;TB_From,GL_Journal!$D:$D,"&lt;="&amp;TB_To))</f>
        <v/>
      </c>
      <c r="E76" s="43">
        <f>IF($A76="","",SUMIFS(GL_Journal!$T:$T,GL_Journal!$G:$G,"&gt;="&amp;$K76,GL_Journal!$G:$G,"&lt;="&amp;$L76,GL_Journal!$I:$I,TB_LOCC,GL_Journal!$J:$J,TB_CCC,GL_Journal!$D:$D,"&gt;="&amp;TB_From,GL_Journal!$D:$D,"&lt;="&amp;TB_To))</f>
        <v/>
      </c>
      <c r="F76" s="43">
        <f>IF($A76="","",MAX($H76,0))</f>
        <v/>
      </c>
      <c r="G76" s="43">
        <f>IF($A76="","",MAX(-$H76,0))</f>
        <v/>
      </c>
      <c r="H76" s="47">
        <f>IF($A76="","",$C76+$D76-$E76)</f>
        <v/>
      </c>
      <c r="I76" s="44">
        <f>IF($A76="","",INDEX(COA!$E:$E,ROW()-10))</f>
        <v/>
      </c>
      <c r="J76" s="44">
        <f>IF($A76="","",INDEX(COA!$F:$F,ROW()-10))</f>
        <v/>
      </c>
      <c r="K76" s="32">
        <f>IF($A76="","",INDEX(COA!$P:$P,ROW()-10))</f>
        <v/>
      </c>
      <c r="L76" s="32">
        <f>IF($A76="","",INDEX(COA!$Q:$Q,ROW()-10))</f>
        <v/>
      </c>
      <c r="M76" s="32" t="inlineStr"/>
    </row>
    <row r="77">
      <c r="A77" s="44">
        <f>IF(INDEX(COA!$A:$A,ROW()-10)="","",INDEX(COA!$A:$A,ROW()-10))</f>
        <v/>
      </c>
      <c r="B77" s="32">
        <f>IF($A77="","",INDEX(COA!$B:$B,ROW()-10))</f>
        <v/>
      </c>
      <c r="C77" s="47">
        <f>IF($A77="","",(SUMIFS(GL_Journal!$S:$S,GL_Journal!$G:$G,"&gt;="&amp;$K77,GL_Journal!$G:$G,"&lt;="&amp;$L77,GL_Journal!$I:$I,TB_LOCC,GL_Journal!$J:$J,TB_CCC,GL_Journal!$D:$D,"&lt;"&amp;TB_From)-SUMIFS(GL_Journal!$T:$T,GL_Journal!$G:$G,"&gt;="&amp;$K77,GL_Journal!$G:$G,"&lt;="&amp;$L77,GL_Journal!$I:$I,TB_LOCC,GL_Journal!$J:$J,TB_CCC,GL_Journal!$D:$D,"&lt;"&amp;TB_From)))</f>
        <v/>
      </c>
      <c r="D77" s="43">
        <f>IF($A77="","",SUMIFS(GL_Journal!$S:$S,GL_Journal!$G:$G,"&gt;="&amp;$K77,GL_Journal!$G:$G,"&lt;="&amp;$L77,GL_Journal!$I:$I,TB_LOCC,GL_Journal!$J:$J,TB_CCC,GL_Journal!$D:$D,"&gt;="&amp;TB_From,GL_Journal!$D:$D,"&lt;="&amp;TB_To))</f>
        <v/>
      </c>
      <c r="E77" s="43">
        <f>IF($A77="","",SUMIFS(GL_Journal!$T:$T,GL_Journal!$G:$G,"&gt;="&amp;$K77,GL_Journal!$G:$G,"&lt;="&amp;$L77,GL_Journal!$I:$I,TB_LOCC,GL_Journal!$J:$J,TB_CCC,GL_Journal!$D:$D,"&gt;="&amp;TB_From,GL_Journal!$D:$D,"&lt;="&amp;TB_To))</f>
        <v/>
      </c>
      <c r="F77" s="43">
        <f>IF($A77="","",MAX($H77,0))</f>
        <v/>
      </c>
      <c r="G77" s="43">
        <f>IF($A77="","",MAX(-$H77,0))</f>
        <v/>
      </c>
      <c r="H77" s="47">
        <f>IF($A77="","",$C77+$D77-$E77)</f>
        <v/>
      </c>
      <c r="I77" s="44">
        <f>IF($A77="","",INDEX(COA!$E:$E,ROW()-10))</f>
        <v/>
      </c>
      <c r="J77" s="44">
        <f>IF($A77="","",INDEX(COA!$F:$F,ROW()-10))</f>
        <v/>
      </c>
      <c r="K77" s="32">
        <f>IF($A77="","",INDEX(COA!$P:$P,ROW()-10))</f>
        <v/>
      </c>
      <c r="L77" s="32">
        <f>IF($A77="","",INDEX(COA!$Q:$Q,ROW()-10))</f>
        <v/>
      </c>
      <c r="M77" s="32" t="inlineStr"/>
    </row>
    <row r="78">
      <c r="A78" s="44">
        <f>IF(INDEX(COA!$A:$A,ROW()-10)="","",INDEX(COA!$A:$A,ROW()-10))</f>
        <v/>
      </c>
      <c r="B78" s="32">
        <f>IF($A78="","",INDEX(COA!$B:$B,ROW()-10))</f>
        <v/>
      </c>
      <c r="C78" s="47">
        <f>IF($A78="","",(SUMIFS(GL_Journal!$S:$S,GL_Journal!$G:$G,"&gt;="&amp;$K78,GL_Journal!$G:$G,"&lt;="&amp;$L78,GL_Journal!$I:$I,TB_LOCC,GL_Journal!$J:$J,TB_CCC,GL_Journal!$D:$D,"&lt;"&amp;TB_From)-SUMIFS(GL_Journal!$T:$T,GL_Journal!$G:$G,"&gt;="&amp;$K78,GL_Journal!$G:$G,"&lt;="&amp;$L78,GL_Journal!$I:$I,TB_LOCC,GL_Journal!$J:$J,TB_CCC,GL_Journal!$D:$D,"&lt;"&amp;TB_From)))</f>
        <v/>
      </c>
      <c r="D78" s="43">
        <f>IF($A78="","",SUMIFS(GL_Journal!$S:$S,GL_Journal!$G:$G,"&gt;="&amp;$K78,GL_Journal!$G:$G,"&lt;="&amp;$L78,GL_Journal!$I:$I,TB_LOCC,GL_Journal!$J:$J,TB_CCC,GL_Journal!$D:$D,"&gt;="&amp;TB_From,GL_Journal!$D:$D,"&lt;="&amp;TB_To))</f>
        <v/>
      </c>
      <c r="E78" s="43">
        <f>IF($A78="","",SUMIFS(GL_Journal!$T:$T,GL_Journal!$G:$G,"&gt;="&amp;$K78,GL_Journal!$G:$G,"&lt;="&amp;$L78,GL_Journal!$I:$I,TB_LOCC,GL_Journal!$J:$J,TB_CCC,GL_Journal!$D:$D,"&gt;="&amp;TB_From,GL_Journal!$D:$D,"&lt;="&amp;TB_To))</f>
        <v/>
      </c>
      <c r="F78" s="43">
        <f>IF($A78="","",MAX($H78,0))</f>
        <v/>
      </c>
      <c r="G78" s="43">
        <f>IF($A78="","",MAX(-$H78,0))</f>
        <v/>
      </c>
      <c r="H78" s="47">
        <f>IF($A78="","",$C78+$D78-$E78)</f>
        <v/>
      </c>
      <c r="I78" s="44">
        <f>IF($A78="","",INDEX(COA!$E:$E,ROW()-10))</f>
        <v/>
      </c>
      <c r="J78" s="44">
        <f>IF($A78="","",INDEX(COA!$F:$F,ROW()-10))</f>
        <v/>
      </c>
      <c r="K78" s="32">
        <f>IF($A78="","",INDEX(COA!$P:$P,ROW()-10))</f>
        <v/>
      </c>
      <c r="L78" s="32">
        <f>IF($A78="","",INDEX(COA!$Q:$Q,ROW()-10))</f>
        <v/>
      </c>
      <c r="M78" s="32" t="inlineStr"/>
    </row>
    <row r="79">
      <c r="A79" s="44">
        <f>IF(INDEX(COA!$A:$A,ROW()-10)="","",INDEX(COA!$A:$A,ROW()-10))</f>
        <v/>
      </c>
      <c r="B79" s="32">
        <f>IF($A79="","",INDEX(COA!$B:$B,ROW()-10))</f>
        <v/>
      </c>
      <c r="C79" s="47">
        <f>IF($A79="","",(SUMIFS(GL_Journal!$S:$S,GL_Journal!$G:$G,"&gt;="&amp;$K79,GL_Journal!$G:$G,"&lt;="&amp;$L79,GL_Journal!$I:$I,TB_LOCC,GL_Journal!$J:$J,TB_CCC,GL_Journal!$D:$D,"&lt;"&amp;TB_From)-SUMIFS(GL_Journal!$T:$T,GL_Journal!$G:$G,"&gt;="&amp;$K79,GL_Journal!$G:$G,"&lt;="&amp;$L79,GL_Journal!$I:$I,TB_LOCC,GL_Journal!$J:$J,TB_CCC,GL_Journal!$D:$D,"&lt;"&amp;TB_From)))</f>
        <v/>
      </c>
      <c r="D79" s="43">
        <f>IF($A79="","",SUMIFS(GL_Journal!$S:$S,GL_Journal!$G:$G,"&gt;="&amp;$K79,GL_Journal!$G:$G,"&lt;="&amp;$L79,GL_Journal!$I:$I,TB_LOCC,GL_Journal!$J:$J,TB_CCC,GL_Journal!$D:$D,"&gt;="&amp;TB_From,GL_Journal!$D:$D,"&lt;="&amp;TB_To))</f>
        <v/>
      </c>
      <c r="E79" s="43">
        <f>IF($A79="","",SUMIFS(GL_Journal!$T:$T,GL_Journal!$G:$G,"&gt;="&amp;$K79,GL_Journal!$G:$G,"&lt;="&amp;$L79,GL_Journal!$I:$I,TB_LOCC,GL_Journal!$J:$J,TB_CCC,GL_Journal!$D:$D,"&gt;="&amp;TB_From,GL_Journal!$D:$D,"&lt;="&amp;TB_To))</f>
        <v/>
      </c>
      <c r="F79" s="43">
        <f>IF($A79="","",MAX($H79,0))</f>
        <v/>
      </c>
      <c r="G79" s="43">
        <f>IF($A79="","",MAX(-$H79,0))</f>
        <v/>
      </c>
      <c r="H79" s="47">
        <f>IF($A79="","",$C79+$D79-$E79)</f>
        <v/>
      </c>
      <c r="I79" s="44">
        <f>IF($A79="","",INDEX(COA!$E:$E,ROW()-10))</f>
        <v/>
      </c>
      <c r="J79" s="44">
        <f>IF($A79="","",INDEX(COA!$F:$F,ROW()-10))</f>
        <v/>
      </c>
      <c r="K79" s="32">
        <f>IF($A79="","",INDEX(COA!$P:$P,ROW()-10))</f>
        <v/>
      </c>
      <c r="L79" s="32">
        <f>IF($A79="","",INDEX(COA!$Q:$Q,ROW()-10))</f>
        <v/>
      </c>
      <c r="M79" s="32" t="inlineStr"/>
    </row>
    <row r="80">
      <c r="A80" s="44">
        <f>IF(INDEX(COA!$A:$A,ROW()-10)="","",INDEX(COA!$A:$A,ROW()-10))</f>
        <v/>
      </c>
      <c r="B80" s="32">
        <f>IF($A80="","",INDEX(COA!$B:$B,ROW()-10))</f>
        <v/>
      </c>
      <c r="C80" s="47">
        <f>IF($A80="","",(SUMIFS(GL_Journal!$S:$S,GL_Journal!$G:$G,"&gt;="&amp;$K80,GL_Journal!$G:$G,"&lt;="&amp;$L80,GL_Journal!$I:$I,TB_LOCC,GL_Journal!$J:$J,TB_CCC,GL_Journal!$D:$D,"&lt;"&amp;TB_From)-SUMIFS(GL_Journal!$T:$T,GL_Journal!$G:$G,"&gt;="&amp;$K80,GL_Journal!$G:$G,"&lt;="&amp;$L80,GL_Journal!$I:$I,TB_LOCC,GL_Journal!$J:$J,TB_CCC,GL_Journal!$D:$D,"&lt;"&amp;TB_From)))</f>
        <v/>
      </c>
      <c r="D80" s="43">
        <f>IF($A80="","",SUMIFS(GL_Journal!$S:$S,GL_Journal!$G:$G,"&gt;="&amp;$K80,GL_Journal!$G:$G,"&lt;="&amp;$L80,GL_Journal!$I:$I,TB_LOCC,GL_Journal!$J:$J,TB_CCC,GL_Journal!$D:$D,"&gt;="&amp;TB_From,GL_Journal!$D:$D,"&lt;="&amp;TB_To))</f>
        <v/>
      </c>
      <c r="E80" s="43">
        <f>IF($A80="","",SUMIFS(GL_Journal!$T:$T,GL_Journal!$G:$G,"&gt;="&amp;$K80,GL_Journal!$G:$G,"&lt;="&amp;$L80,GL_Journal!$I:$I,TB_LOCC,GL_Journal!$J:$J,TB_CCC,GL_Journal!$D:$D,"&gt;="&amp;TB_From,GL_Journal!$D:$D,"&lt;="&amp;TB_To))</f>
        <v/>
      </c>
      <c r="F80" s="43">
        <f>IF($A80="","",MAX($H80,0))</f>
        <v/>
      </c>
      <c r="G80" s="43">
        <f>IF($A80="","",MAX(-$H80,0))</f>
        <v/>
      </c>
      <c r="H80" s="47">
        <f>IF($A80="","",$C80+$D80-$E80)</f>
        <v/>
      </c>
      <c r="I80" s="44">
        <f>IF($A80="","",INDEX(COA!$E:$E,ROW()-10))</f>
        <v/>
      </c>
      <c r="J80" s="44">
        <f>IF($A80="","",INDEX(COA!$F:$F,ROW()-10))</f>
        <v/>
      </c>
      <c r="K80" s="32">
        <f>IF($A80="","",INDEX(COA!$P:$P,ROW()-10))</f>
        <v/>
      </c>
      <c r="L80" s="32">
        <f>IF($A80="","",INDEX(COA!$Q:$Q,ROW()-10))</f>
        <v/>
      </c>
      <c r="M80" s="32" t="inlineStr"/>
    </row>
    <row r="81">
      <c r="A81" s="44">
        <f>IF(INDEX(COA!$A:$A,ROW()-10)="","",INDEX(COA!$A:$A,ROW()-10))</f>
        <v/>
      </c>
      <c r="B81" s="32">
        <f>IF($A81="","",INDEX(COA!$B:$B,ROW()-10))</f>
        <v/>
      </c>
      <c r="C81" s="47">
        <f>IF($A81="","",(SUMIFS(GL_Journal!$S:$S,GL_Journal!$G:$G,"&gt;="&amp;$K81,GL_Journal!$G:$G,"&lt;="&amp;$L81,GL_Journal!$I:$I,TB_LOCC,GL_Journal!$J:$J,TB_CCC,GL_Journal!$D:$D,"&lt;"&amp;TB_From)-SUMIFS(GL_Journal!$T:$T,GL_Journal!$G:$G,"&gt;="&amp;$K81,GL_Journal!$G:$G,"&lt;="&amp;$L81,GL_Journal!$I:$I,TB_LOCC,GL_Journal!$J:$J,TB_CCC,GL_Journal!$D:$D,"&lt;"&amp;TB_From)))</f>
        <v/>
      </c>
      <c r="D81" s="43">
        <f>IF($A81="","",SUMIFS(GL_Journal!$S:$S,GL_Journal!$G:$G,"&gt;="&amp;$K81,GL_Journal!$G:$G,"&lt;="&amp;$L81,GL_Journal!$I:$I,TB_LOCC,GL_Journal!$J:$J,TB_CCC,GL_Journal!$D:$D,"&gt;="&amp;TB_From,GL_Journal!$D:$D,"&lt;="&amp;TB_To))</f>
        <v/>
      </c>
      <c r="E81" s="43">
        <f>IF($A81="","",SUMIFS(GL_Journal!$T:$T,GL_Journal!$G:$G,"&gt;="&amp;$K81,GL_Journal!$G:$G,"&lt;="&amp;$L81,GL_Journal!$I:$I,TB_LOCC,GL_Journal!$J:$J,TB_CCC,GL_Journal!$D:$D,"&gt;="&amp;TB_From,GL_Journal!$D:$D,"&lt;="&amp;TB_To))</f>
        <v/>
      </c>
      <c r="F81" s="43">
        <f>IF($A81="","",MAX($H81,0))</f>
        <v/>
      </c>
      <c r="G81" s="43">
        <f>IF($A81="","",MAX(-$H81,0))</f>
        <v/>
      </c>
      <c r="H81" s="47">
        <f>IF($A81="","",$C81+$D81-$E81)</f>
        <v/>
      </c>
      <c r="I81" s="44">
        <f>IF($A81="","",INDEX(COA!$E:$E,ROW()-10))</f>
        <v/>
      </c>
      <c r="J81" s="44">
        <f>IF($A81="","",INDEX(COA!$F:$F,ROW()-10))</f>
        <v/>
      </c>
      <c r="K81" s="32">
        <f>IF($A81="","",INDEX(COA!$P:$P,ROW()-10))</f>
        <v/>
      </c>
      <c r="L81" s="32">
        <f>IF($A81="","",INDEX(COA!$Q:$Q,ROW()-10))</f>
        <v/>
      </c>
      <c r="M81" s="32" t="inlineStr"/>
    </row>
    <row r="82">
      <c r="A82" s="44">
        <f>IF(INDEX(COA!$A:$A,ROW()-10)="","",INDEX(COA!$A:$A,ROW()-10))</f>
        <v/>
      </c>
      <c r="B82" s="32">
        <f>IF($A82="","",INDEX(COA!$B:$B,ROW()-10))</f>
        <v/>
      </c>
      <c r="C82" s="47">
        <f>IF($A82="","",(SUMIFS(GL_Journal!$S:$S,GL_Journal!$G:$G,"&gt;="&amp;$K82,GL_Journal!$G:$G,"&lt;="&amp;$L82,GL_Journal!$I:$I,TB_LOCC,GL_Journal!$J:$J,TB_CCC,GL_Journal!$D:$D,"&lt;"&amp;TB_From)-SUMIFS(GL_Journal!$T:$T,GL_Journal!$G:$G,"&gt;="&amp;$K82,GL_Journal!$G:$G,"&lt;="&amp;$L82,GL_Journal!$I:$I,TB_LOCC,GL_Journal!$J:$J,TB_CCC,GL_Journal!$D:$D,"&lt;"&amp;TB_From)))</f>
        <v/>
      </c>
      <c r="D82" s="43">
        <f>IF($A82="","",SUMIFS(GL_Journal!$S:$S,GL_Journal!$G:$G,"&gt;="&amp;$K82,GL_Journal!$G:$G,"&lt;="&amp;$L82,GL_Journal!$I:$I,TB_LOCC,GL_Journal!$J:$J,TB_CCC,GL_Journal!$D:$D,"&gt;="&amp;TB_From,GL_Journal!$D:$D,"&lt;="&amp;TB_To))</f>
        <v/>
      </c>
      <c r="E82" s="43">
        <f>IF($A82="","",SUMIFS(GL_Journal!$T:$T,GL_Journal!$G:$G,"&gt;="&amp;$K82,GL_Journal!$G:$G,"&lt;="&amp;$L82,GL_Journal!$I:$I,TB_LOCC,GL_Journal!$J:$J,TB_CCC,GL_Journal!$D:$D,"&gt;="&amp;TB_From,GL_Journal!$D:$D,"&lt;="&amp;TB_To))</f>
        <v/>
      </c>
      <c r="F82" s="43">
        <f>IF($A82="","",MAX($H82,0))</f>
        <v/>
      </c>
      <c r="G82" s="43">
        <f>IF($A82="","",MAX(-$H82,0))</f>
        <v/>
      </c>
      <c r="H82" s="47">
        <f>IF($A82="","",$C82+$D82-$E82)</f>
        <v/>
      </c>
      <c r="I82" s="44">
        <f>IF($A82="","",INDEX(COA!$E:$E,ROW()-10))</f>
        <v/>
      </c>
      <c r="J82" s="44">
        <f>IF($A82="","",INDEX(COA!$F:$F,ROW()-10))</f>
        <v/>
      </c>
      <c r="K82" s="32">
        <f>IF($A82="","",INDEX(COA!$P:$P,ROW()-10))</f>
        <v/>
      </c>
      <c r="L82" s="32">
        <f>IF($A82="","",INDEX(COA!$Q:$Q,ROW()-10))</f>
        <v/>
      </c>
      <c r="M82" s="32" t="inlineStr"/>
    </row>
    <row r="83">
      <c r="A83" s="44">
        <f>IF(INDEX(COA!$A:$A,ROW()-10)="","",INDEX(COA!$A:$A,ROW()-10))</f>
        <v/>
      </c>
      <c r="B83" s="32">
        <f>IF($A83="","",INDEX(COA!$B:$B,ROW()-10))</f>
        <v/>
      </c>
      <c r="C83" s="47">
        <f>IF($A83="","",(SUMIFS(GL_Journal!$S:$S,GL_Journal!$G:$G,"&gt;="&amp;$K83,GL_Journal!$G:$G,"&lt;="&amp;$L83,GL_Journal!$I:$I,TB_LOCC,GL_Journal!$J:$J,TB_CCC,GL_Journal!$D:$D,"&lt;"&amp;TB_From)-SUMIFS(GL_Journal!$T:$T,GL_Journal!$G:$G,"&gt;="&amp;$K83,GL_Journal!$G:$G,"&lt;="&amp;$L83,GL_Journal!$I:$I,TB_LOCC,GL_Journal!$J:$J,TB_CCC,GL_Journal!$D:$D,"&lt;"&amp;TB_From)))</f>
        <v/>
      </c>
      <c r="D83" s="43">
        <f>IF($A83="","",SUMIFS(GL_Journal!$S:$S,GL_Journal!$G:$G,"&gt;="&amp;$K83,GL_Journal!$G:$G,"&lt;="&amp;$L83,GL_Journal!$I:$I,TB_LOCC,GL_Journal!$J:$J,TB_CCC,GL_Journal!$D:$D,"&gt;="&amp;TB_From,GL_Journal!$D:$D,"&lt;="&amp;TB_To))</f>
        <v/>
      </c>
      <c r="E83" s="43">
        <f>IF($A83="","",SUMIFS(GL_Journal!$T:$T,GL_Journal!$G:$G,"&gt;="&amp;$K83,GL_Journal!$G:$G,"&lt;="&amp;$L83,GL_Journal!$I:$I,TB_LOCC,GL_Journal!$J:$J,TB_CCC,GL_Journal!$D:$D,"&gt;="&amp;TB_From,GL_Journal!$D:$D,"&lt;="&amp;TB_To))</f>
        <v/>
      </c>
      <c r="F83" s="43">
        <f>IF($A83="","",MAX($H83,0))</f>
        <v/>
      </c>
      <c r="G83" s="43">
        <f>IF($A83="","",MAX(-$H83,0))</f>
        <v/>
      </c>
      <c r="H83" s="47">
        <f>IF($A83="","",$C83+$D83-$E83)</f>
        <v/>
      </c>
      <c r="I83" s="44">
        <f>IF($A83="","",INDEX(COA!$E:$E,ROW()-10))</f>
        <v/>
      </c>
      <c r="J83" s="44">
        <f>IF($A83="","",INDEX(COA!$F:$F,ROW()-10))</f>
        <v/>
      </c>
      <c r="K83" s="32">
        <f>IF($A83="","",INDEX(COA!$P:$P,ROW()-10))</f>
        <v/>
      </c>
      <c r="L83" s="32">
        <f>IF($A83="","",INDEX(COA!$Q:$Q,ROW()-10))</f>
        <v/>
      </c>
      <c r="M83" s="32" t="inlineStr"/>
    </row>
    <row r="84">
      <c r="A84" s="44">
        <f>IF(INDEX(COA!$A:$A,ROW()-10)="","",INDEX(COA!$A:$A,ROW()-10))</f>
        <v/>
      </c>
      <c r="B84" s="32">
        <f>IF($A84="","",INDEX(COA!$B:$B,ROW()-10))</f>
        <v/>
      </c>
      <c r="C84" s="47">
        <f>IF($A84="","",(SUMIFS(GL_Journal!$S:$S,GL_Journal!$G:$G,"&gt;="&amp;$K84,GL_Journal!$G:$G,"&lt;="&amp;$L84,GL_Journal!$I:$I,TB_LOCC,GL_Journal!$J:$J,TB_CCC,GL_Journal!$D:$D,"&lt;"&amp;TB_From)-SUMIFS(GL_Journal!$T:$T,GL_Journal!$G:$G,"&gt;="&amp;$K84,GL_Journal!$G:$G,"&lt;="&amp;$L84,GL_Journal!$I:$I,TB_LOCC,GL_Journal!$J:$J,TB_CCC,GL_Journal!$D:$D,"&lt;"&amp;TB_From)))</f>
        <v/>
      </c>
      <c r="D84" s="43">
        <f>IF($A84="","",SUMIFS(GL_Journal!$S:$S,GL_Journal!$G:$G,"&gt;="&amp;$K84,GL_Journal!$G:$G,"&lt;="&amp;$L84,GL_Journal!$I:$I,TB_LOCC,GL_Journal!$J:$J,TB_CCC,GL_Journal!$D:$D,"&gt;="&amp;TB_From,GL_Journal!$D:$D,"&lt;="&amp;TB_To))</f>
        <v/>
      </c>
      <c r="E84" s="43">
        <f>IF($A84="","",SUMIFS(GL_Journal!$T:$T,GL_Journal!$G:$G,"&gt;="&amp;$K84,GL_Journal!$G:$G,"&lt;="&amp;$L84,GL_Journal!$I:$I,TB_LOCC,GL_Journal!$J:$J,TB_CCC,GL_Journal!$D:$D,"&gt;="&amp;TB_From,GL_Journal!$D:$D,"&lt;="&amp;TB_To))</f>
        <v/>
      </c>
      <c r="F84" s="43">
        <f>IF($A84="","",MAX($H84,0))</f>
        <v/>
      </c>
      <c r="G84" s="43">
        <f>IF($A84="","",MAX(-$H84,0))</f>
        <v/>
      </c>
      <c r="H84" s="47">
        <f>IF($A84="","",$C84+$D84-$E84)</f>
        <v/>
      </c>
      <c r="I84" s="44">
        <f>IF($A84="","",INDEX(COA!$E:$E,ROW()-10))</f>
        <v/>
      </c>
      <c r="J84" s="44">
        <f>IF($A84="","",INDEX(COA!$F:$F,ROW()-10))</f>
        <v/>
      </c>
      <c r="K84" s="32">
        <f>IF($A84="","",INDEX(COA!$P:$P,ROW()-10))</f>
        <v/>
      </c>
      <c r="L84" s="32">
        <f>IF($A84="","",INDEX(COA!$Q:$Q,ROW()-10))</f>
        <v/>
      </c>
      <c r="M84" s="32" t="inlineStr"/>
    </row>
    <row r="85">
      <c r="A85" s="44">
        <f>IF(INDEX(COA!$A:$A,ROW()-10)="","",INDEX(COA!$A:$A,ROW()-10))</f>
        <v/>
      </c>
      <c r="B85" s="32">
        <f>IF($A85="","",INDEX(COA!$B:$B,ROW()-10))</f>
        <v/>
      </c>
      <c r="C85" s="47">
        <f>IF($A85="","",(SUMIFS(GL_Journal!$S:$S,GL_Journal!$G:$G,"&gt;="&amp;$K85,GL_Journal!$G:$G,"&lt;="&amp;$L85,GL_Journal!$I:$I,TB_LOCC,GL_Journal!$J:$J,TB_CCC,GL_Journal!$D:$D,"&lt;"&amp;TB_From)-SUMIFS(GL_Journal!$T:$T,GL_Journal!$G:$G,"&gt;="&amp;$K85,GL_Journal!$G:$G,"&lt;="&amp;$L85,GL_Journal!$I:$I,TB_LOCC,GL_Journal!$J:$J,TB_CCC,GL_Journal!$D:$D,"&lt;"&amp;TB_From)))</f>
        <v/>
      </c>
      <c r="D85" s="43">
        <f>IF($A85="","",SUMIFS(GL_Journal!$S:$S,GL_Journal!$G:$G,"&gt;="&amp;$K85,GL_Journal!$G:$G,"&lt;="&amp;$L85,GL_Journal!$I:$I,TB_LOCC,GL_Journal!$J:$J,TB_CCC,GL_Journal!$D:$D,"&gt;="&amp;TB_From,GL_Journal!$D:$D,"&lt;="&amp;TB_To))</f>
        <v/>
      </c>
      <c r="E85" s="43">
        <f>IF($A85="","",SUMIFS(GL_Journal!$T:$T,GL_Journal!$G:$G,"&gt;="&amp;$K85,GL_Journal!$G:$G,"&lt;="&amp;$L85,GL_Journal!$I:$I,TB_LOCC,GL_Journal!$J:$J,TB_CCC,GL_Journal!$D:$D,"&gt;="&amp;TB_From,GL_Journal!$D:$D,"&lt;="&amp;TB_To))</f>
        <v/>
      </c>
      <c r="F85" s="43">
        <f>IF($A85="","",MAX($H85,0))</f>
        <v/>
      </c>
      <c r="G85" s="43">
        <f>IF($A85="","",MAX(-$H85,0))</f>
        <v/>
      </c>
      <c r="H85" s="47">
        <f>IF($A85="","",$C85+$D85-$E85)</f>
        <v/>
      </c>
      <c r="I85" s="44">
        <f>IF($A85="","",INDEX(COA!$E:$E,ROW()-10))</f>
        <v/>
      </c>
      <c r="J85" s="44">
        <f>IF($A85="","",INDEX(COA!$F:$F,ROW()-10))</f>
        <v/>
      </c>
      <c r="K85" s="32">
        <f>IF($A85="","",INDEX(COA!$P:$P,ROW()-10))</f>
        <v/>
      </c>
      <c r="L85" s="32">
        <f>IF($A85="","",INDEX(COA!$Q:$Q,ROW()-10))</f>
        <v/>
      </c>
      <c r="M85" s="32" t="inlineStr"/>
    </row>
    <row r="86">
      <c r="A86" s="44">
        <f>IF(INDEX(COA!$A:$A,ROW()-10)="","",INDEX(COA!$A:$A,ROW()-10))</f>
        <v/>
      </c>
      <c r="B86" s="32">
        <f>IF($A86="","",INDEX(COA!$B:$B,ROW()-10))</f>
        <v/>
      </c>
      <c r="C86" s="47">
        <f>IF($A86="","",(SUMIFS(GL_Journal!$S:$S,GL_Journal!$G:$G,"&gt;="&amp;$K86,GL_Journal!$G:$G,"&lt;="&amp;$L86,GL_Journal!$I:$I,TB_LOCC,GL_Journal!$J:$J,TB_CCC,GL_Journal!$D:$D,"&lt;"&amp;TB_From)-SUMIFS(GL_Journal!$T:$T,GL_Journal!$G:$G,"&gt;="&amp;$K86,GL_Journal!$G:$G,"&lt;="&amp;$L86,GL_Journal!$I:$I,TB_LOCC,GL_Journal!$J:$J,TB_CCC,GL_Journal!$D:$D,"&lt;"&amp;TB_From)))</f>
        <v/>
      </c>
      <c r="D86" s="43">
        <f>IF($A86="","",SUMIFS(GL_Journal!$S:$S,GL_Journal!$G:$G,"&gt;="&amp;$K86,GL_Journal!$G:$G,"&lt;="&amp;$L86,GL_Journal!$I:$I,TB_LOCC,GL_Journal!$J:$J,TB_CCC,GL_Journal!$D:$D,"&gt;="&amp;TB_From,GL_Journal!$D:$D,"&lt;="&amp;TB_To))</f>
        <v/>
      </c>
      <c r="E86" s="43">
        <f>IF($A86="","",SUMIFS(GL_Journal!$T:$T,GL_Journal!$G:$G,"&gt;="&amp;$K86,GL_Journal!$G:$G,"&lt;="&amp;$L86,GL_Journal!$I:$I,TB_LOCC,GL_Journal!$J:$J,TB_CCC,GL_Journal!$D:$D,"&gt;="&amp;TB_From,GL_Journal!$D:$D,"&lt;="&amp;TB_To))</f>
        <v/>
      </c>
      <c r="F86" s="43">
        <f>IF($A86="","",MAX($H86,0))</f>
        <v/>
      </c>
      <c r="G86" s="43">
        <f>IF($A86="","",MAX(-$H86,0))</f>
        <v/>
      </c>
      <c r="H86" s="47">
        <f>IF($A86="","",$C86+$D86-$E86)</f>
        <v/>
      </c>
      <c r="I86" s="44">
        <f>IF($A86="","",INDEX(COA!$E:$E,ROW()-10))</f>
        <v/>
      </c>
      <c r="J86" s="44">
        <f>IF($A86="","",INDEX(COA!$F:$F,ROW()-10))</f>
        <v/>
      </c>
      <c r="K86" s="32">
        <f>IF($A86="","",INDEX(COA!$P:$P,ROW()-10))</f>
        <v/>
      </c>
      <c r="L86" s="32">
        <f>IF($A86="","",INDEX(COA!$Q:$Q,ROW()-10))</f>
        <v/>
      </c>
      <c r="M86" s="32" t="inlineStr"/>
    </row>
    <row r="87">
      <c r="A87" s="44">
        <f>IF(INDEX(COA!$A:$A,ROW()-10)="","",INDEX(COA!$A:$A,ROW()-10))</f>
        <v/>
      </c>
      <c r="B87" s="32">
        <f>IF($A87="","",INDEX(COA!$B:$B,ROW()-10))</f>
        <v/>
      </c>
      <c r="C87" s="47">
        <f>IF($A87="","",(SUMIFS(GL_Journal!$S:$S,GL_Journal!$G:$G,"&gt;="&amp;$K87,GL_Journal!$G:$G,"&lt;="&amp;$L87,GL_Journal!$I:$I,TB_LOCC,GL_Journal!$J:$J,TB_CCC,GL_Journal!$D:$D,"&lt;"&amp;TB_From)-SUMIFS(GL_Journal!$T:$T,GL_Journal!$G:$G,"&gt;="&amp;$K87,GL_Journal!$G:$G,"&lt;="&amp;$L87,GL_Journal!$I:$I,TB_LOCC,GL_Journal!$J:$J,TB_CCC,GL_Journal!$D:$D,"&lt;"&amp;TB_From)))</f>
        <v/>
      </c>
      <c r="D87" s="43">
        <f>IF($A87="","",SUMIFS(GL_Journal!$S:$S,GL_Journal!$G:$G,"&gt;="&amp;$K87,GL_Journal!$G:$G,"&lt;="&amp;$L87,GL_Journal!$I:$I,TB_LOCC,GL_Journal!$J:$J,TB_CCC,GL_Journal!$D:$D,"&gt;="&amp;TB_From,GL_Journal!$D:$D,"&lt;="&amp;TB_To))</f>
        <v/>
      </c>
      <c r="E87" s="43">
        <f>IF($A87="","",SUMIFS(GL_Journal!$T:$T,GL_Journal!$G:$G,"&gt;="&amp;$K87,GL_Journal!$G:$G,"&lt;="&amp;$L87,GL_Journal!$I:$I,TB_LOCC,GL_Journal!$J:$J,TB_CCC,GL_Journal!$D:$D,"&gt;="&amp;TB_From,GL_Journal!$D:$D,"&lt;="&amp;TB_To))</f>
        <v/>
      </c>
      <c r="F87" s="43">
        <f>IF($A87="","",MAX($H87,0))</f>
        <v/>
      </c>
      <c r="G87" s="43">
        <f>IF($A87="","",MAX(-$H87,0))</f>
        <v/>
      </c>
      <c r="H87" s="47">
        <f>IF($A87="","",$C87+$D87-$E87)</f>
        <v/>
      </c>
      <c r="I87" s="44">
        <f>IF($A87="","",INDEX(COA!$E:$E,ROW()-10))</f>
        <v/>
      </c>
      <c r="J87" s="44">
        <f>IF($A87="","",INDEX(COA!$F:$F,ROW()-10))</f>
        <v/>
      </c>
      <c r="K87" s="32">
        <f>IF($A87="","",INDEX(COA!$P:$P,ROW()-10))</f>
        <v/>
      </c>
      <c r="L87" s="32">
        <f>IF($A87="","",INDEX(COA!$Q:$Q,ROW()-10))</f>
        <v/>
      </c>
      <c r="M87" s="32" t="inlineStr"/>
    </row>
    <row r="88">
      <c r="A88" s="44">
        <f>IF(INDEX(COA!$A:$A,ROW()-10)="","",INDEX(COA!$A:$A,ROW()-10))</f>
        <v/>
      </c>
      <c r="B88" s="32">
        <f>IF($A88="","",INDEX(COA!$B:$B,ROW()-10))</f>
        <v/>
      </c>
      <c r="C88" s="47">
        <f>IF($A88="","",(SUMIFS(GL_Journal!$S:$S,GL_Journal!$G:$G,"&gt;="&amp;$K88,GL_Journal!$G:$G,"&lt;="&amp;$L88,GL_Journal!$I:$I,TB_LOCC,GL_Journal!$J:$J,TB_CCC,GL_Journal!$D:$D,"&lt;"&amp;TB_From)-SUMIFS(GL_Journal!$T:$T,GL_Journal!$G:$G,"&gt;="&amp;$K88,GL_Journal!$G:$G,"&lt;="&amp;$L88,GL_Journal!$I:$I,TB_LOCC,GL_Journal!$J:$J,TB_CCC,GL_Journal!$D:$D,"&lt;"&amp;TB_From)))</f>
        <v/>
      </c>
      <c r="D88" s="43">
        <f>IF($A88="","",SUMIFS(GL_Journal!$S:$S,GL_Journal!$G:$G,"&gt;="&amp;$K88,GL_Journal!$G:$G,"&lt;="&amp;$L88,GL_Journal!$I:$I,TB_LOCC,GL_Journal!$J:$J,TB_CCC,GL_Journal!$D:$D,"&gt;="&amp;TB_From,GL_Journal!$D:$D,"&lt;="&amp;TB_To))</f>
        <v/>
      </c>
      <c r="E88" s="43">
        <f>IF($A88="","",SUMIFS(GL_Journal!$T:$T,GL_Journal!$G:$G,"&gt;="&amp;$K88,GL_Journal!$G:$G,"&lt;="&amp;$L88,GL_Journal!$I:$I,TB_LOCC,GL_Journal!$J:$J,TB_CCC,GL_Journal!$D:$D,"&gt;="&amp;TB_From,GL_Journal!$D:$D,"&lt;="&amp;TB_To))</f>
        <v/>
      </c>
      <c r="F88" s="43">
        <f>IF($A88="","",MAX($H88,0))</f>
        <v/>
      </c>
      <c r="G88" s="43">
        <f>IF($A88="","",MAX(-$H88,0))</f>
        <v/>
      </c>
      <c r="H88" s="47">
        <f>IF($A88="","",$C88+$D88-$E88)</f>
        <v/>
      </c>
      <c r="I88" s="44">
        <f>IF($A88="","",INDEX(COA!$E:$E,ROW()-10))</f>
        <v/>
      </c>
      <c r="J88" s="44">
        <f>IF($A88="","",INDEX(COA!$F:$F,ROW()-10))</f>
        <v/>
      </c>
      <c r="K88" s="32">
        <f>IF($A88="","",INDEX(COA!$P:$P,ROW()-10))</f>
        <v/>
      </c>
      <c r="L88" s="32">
        <f>IF($A88="","",INDEX(COA!$Q:$Q,ROW()-10))</f>
        <v/>
      </c>
      <c r="M88" s="32" t="inlineStr"/>
    </row>
    <row r="89">
      <c r="A89" s="44">
        <f>IF(INDEX(COA!$A:$A,ROW()-10)="","",INDEX(COA!$A:$A,ROW()-10))</f>
        <v/>
      </c>
      <c r="B89" s="32">
        <f>IF($A89="","",INDEX(COA!$B:$B,ROW()-10))</f>
        <v/>
      </c>
      <c r="C89" s="47">
        <f>IF($A89="","",(SUMIFS(GL_Journal!$S:$S,GL_Journal!$G:$G,"&gt;="&amp;$K89,GL_Journal!$G:$G,"&lt;="&amp;$L89,GL_Journal!$I:$I,TB_LOCC,GL_Journal!$J:$J,TB_CCC,GL_Journal!$D:$D,"&lt;"&amp;TB_From)-SUMIFS(GL_Journal!$T:$T,GL_Journal!$G:$G,"&gt;="&amp;$K89,GL_Journal!$G:$G,"&lt;="&amp;$L89,GL_Journal!$I:$I,TB_LOCC,GL_Journal!$J:$J,TB_CCC,GL_Journal!$D:$D,"&lt;"&amp;TB_From)))</f>
        <v/>
      </c>
      <c r="D89" s="43">
        <f>IF($A89="","",SUMIFS(GL_Journal!$S:$S,GL_Journal!$G:$G,"&gt;="&amp;$K89,GL_Journal!$G:$G,"&lt;="&amp;$L89,GL_Journal!$I:$I,TB_LOCC,GL_Journal!$J:$J,TB_CCC,GL_Journal!$D:$D,"&gt;="&amp;TB_From,GL_Journal!$D:$D,"&lt;="&amp;TB_To))</f>
        <v/>
      </c>
      <c r="E89" s="43">
        <f>IF($A89="","",SUMIFS(GL_Journal!$T:$T,GL_Journal!$G:$G,"&gt;="&amp;$K89,GL_Journal!$G:$G,"&lt;="&amp;$L89,GL_Journal!$I:$I,TB_LOCC,GL_Journal!$J:$J,TB_CCC,GL_Journal!$D:$D,"&gt;="&amp;TB_From,GL_Journal!$D:$D,"&lt;="&amp;TB_To))</f>
        <v/>
      </c>
      <c r="F89" s="43">
        <f>IF($A89="","",MAX($H89,0))</f>
        <v/>
      </c>
      <c r="G89" s="43">
        <f>IF($A89="","",MAX(-$H89,0))</f>
        <v/>
      </c>
      <c r="H89" s="47">
        <f>IF($A89="","",$C89+$D89-$E89)</f>
        <v/>
      </c>
      <c r="I89" s="44">
        <f>IF($A89="","",INDEX(COA!$E:$E,ROW()-10))</f>
        <v/>
      </c>
      <c r="J89" s="44">
        <f>IF($A89="","",INDEX(COA!$F:$F,ROW()-10))</f>
        <v/>
      </c>
      <c r="K89" s="32">
        <f>IF($A89="","",INDEX(COA!$P:$P,ROW()-10))</f>
        <v/>
      </c>
      <c r="L89" s="32">
        <f>IF($A89="","",INDEX(COA!$Q:$Q,ROW()-10))</f>
        <v/>
      </c>
      <c r="M89" s="32" t="inlineStr"/>
    </row>
    <row r="90">
      <c r="A90" s="44">
        <f>IF(INDEX(COA!$A:$A,ROW()-10)="","",INDEX(COA!$A:$A,ROW()-10))</f>
        <v/>
      </c>
      <c r="B90" s="32">
        <f>IF($A90="","",INDEX(COA!$B:$B,ROW()-10))</f>
        <v/>
      </c>
      <c r="C90" s="47">
        <f>IF($A90="","",(SUMIFS(GL_Journal!$S:$S,GL_Journal!$G:$G,"&gt;="&amp;$K90,GL_Journal!$G:$G,"&lt;="&amp;$L90,GL_Journal!$I:$I,TB_LOCC,GL_Journal!$J:$J,TB_CCC,GL_Journal!$D:$D,"&lt;"&amp;TB_From)-SUMIFS(GL_Journal!$T:$T,GL_Journal!$G:$G,"&gt;="&amp;$K90,GL_Journal!$G:$G,"&lt;="&amp;$L90,GL_Journal!$I:$I,TB_LOCC,GL_Journal!$J:$J,TB_CCC,GL_Journal!$D:$D,"&lt;"&amp;TB_From)))</f>
        <v/>
      </c>
      <c r="D90" s="43">
        <f>IF($A90="","",SUMIFS(GL_Journal!$S:$S,GL_Journal!$G:$G,"&gt;="&amp;$K90,GL_Journal!$G:$G,"&lt;="&amp;$L90,GL_Journal!$I:$I,TB_LOCC,GL_Journal!$J:$J,TB_CCC,GL_Journal!$D:$D,"&gt;="&amp;TB_From,GL_Journal!$D:$D,"&lt;="&amp;TB_To))</f>
        <v/>
      </c>
      <c r="E90" s="43">
        <f>IF($A90="","",SUMIFS(GL_Journal!$T:$T,GL_Journal!$G:$G,"&gt;="&amp;$K90,GL_Journal!$G:$G,"&lt;="&amp;$L90,GL_Journal!$I:$I,TB_LOCC,GL_Journal!$J:$J,TB_CCC,GL_Journal!$D:$D,"&gt;="&amp;TB_From,GL_Journal!$D:$D,"&lt;="&amp;TB_To))</f>
        <v/>
      </c>
      <c r="F90" s="43">
        <f>IF($A90="","",MAX($H90,0))</f>
        <v/>
      </c>
      <c r="G90" s="43">
        <f>IF($A90="","",MAX(-$H90,0))</f>
        <v/>
      </c>
      <c r="H90" s="47">
        <f>IF($A90="","",$C90+$D90-$E90)</f>
        <v/>
      </c>
      <c r="I90" s="44">
        <f>IF($A90="","",INDEX(COA!$E:$E,ROW()-10))</f>
        <v/>
      </c>
      <c r="J90" s="44">
        <f>IF($A90="","",INDEX(COA!$F:$F,ROW()-10))</f>
        <v/>
      </c>
      <c r="K90" s="32">
        <f>IF($A90="","",INDEX(COA!$P:$P,ROW()-10))</f>
        <v/>
      </c>
      <c r="L90" s="32">
        <f>IF($A90="","",INDEX(COA!$Q:$Q,ROW()-10))</f>
        <v/>
      </c>
      <c r="M90" s="32" t="inlineStr"/>
    </row>
    <row r="91">
      <c r="A91" s="44">
        <f>IF(INDEX(COA!$A:$A,ROW()-10)="","",INDEX(COA!$A:$A,ROW()-10))</f>
        <v/>
      </c>
      <c r="B91" s="32">
        <f>IF($A91="","",INDEX(COA!$B:$B,ROW()-10))</f>
        <v/>
      </c>
      <c r="C91" s="47">
        <f>IF($A91="","",(SUMIFS(GL_Journal!$S:$S,GL_Journal!$G:$G,"&gt;="&amp;$K91,GL_Journal!$G:$G,"&lt;="&amp;$L91,GL_Journal!$I:$I,TB_LOCC,GL_Journal!$J:$J,TB_CCC,GL_Journal!$D:$D,"&lt;"&amp;TB_From)-SUMIFS(GL_Journal!$T:$T,GL_Journal!$G:$G,"&gt;="&amp;$K91,GL_Journal!$G:$G,"&lt;="&amp;$L91,GL_Journal!$I:$I,TB_LOCC,GL_Journal!$J:$J,TB_CCC,GL_Journal!$D:$D,"&lt;"&amp;TB_From)))</f>
        <v/>
      </c>
      <c r="D91" s="43">
        <f>IF($A91="","",SUMIFS(GL_Journal!$S:$S,GL_Journal!$G:$G,"&gt;="&amp;$K91,GL_Journal!$G:$G,"&lt;="&amp;$L91,GL_Journal!$I:$I,TB_LOCC,GL_Journal!$J:$J,TB_CCC,GL_Journal!$D:$D,"&gt;="&amp;TB_From,GL_Journal!$D:$D,"&lt;="&amp;TB_To))</f>
        <v/>
      </c>
      <c r="E91" s="43">
        <f>IF($A91="","",SUMIFS(GL_Journal!$T:$T,GL_Journal!$G:$G,"&gt;="&amp;$K91,GL_Journal!$G:$G,"&lt;="&amp;$L91,GL_Journal!$I:$I,TB_LOCC,GL_Journal!$J:$J,TB_CCC,GL_Journal!$D:$D,"&gt;="&amp;TB_From,GL_Journal!$D:$D,"&lt;="&amp;TB_To))</f>
        <v/>
      </c>
      <c r="F91" s="43">
        <f>IF($A91="","",MAX($H91,0))</f>
        <v/>
      </c>
      <c r="G91" s="43">
        <f>IF($A91="","",MAX(-$H91,0))</f>
        <v/>
      </c>
      <c r="H91" s="47">
        <f>IF($A91="","",$C91+$D91-$E91)</f>
        <v/>
      </c>
      <c r="I91" s="44">
        <f>IF($A91="","",INDEX(COA!$E:$E,ROW()-10))</f>
        <v/>
      </c>
      <c r="J91" s="44">
        <f>IF($A91="","",INDEX(COA!$F:$F,ROW()-10))</f>
        <v/>
      </c>
      <c r="K91" s="32">
        <f>IF($A91="","",INDEX(COA!$P:$P,ROW()-10))</f>
        <v/>
      </c>
      <c r="L91" s="32">
        <f>IF($A91="","",INDEX(COA!$Q:$Q,ROW()-10))</f>
        <v/>
      </c>
      <c r="M91" s="32" t="inlineStr"/>
    </row>
    <row r="92">
      <c r="A92" s="44">
        <f>IF(INDEX(COA!$A:$A,ROW()-10)="","",INDEX(COA!$A:$A,ROW()-10))</f>
        <v/>
      </c>
      <c r="B92" s="32">
        <f>IF($A92="","",INDEX(COA!$B:$B,ROW()-10))</f>
        <v/>
      </c>
      <c r="C92" s="47">
        <f>IF($A92="","",(SUMIFS(GL_Journal!$S:$S,GL_Journal!$G:$G,"&gt;="&amp;$K92,GL_Journal!$G:$G,"&lt;="&amp;$L92,GL_Journal!$I:$I,TB_LOCC,GL_Journal!$J:$J,TB_CCC,GL_Journal!$D:$D,"&lt;"&amp;TB_From)-SUMIFS(GL_Journal!$T:$T,GL_Journal!$G:$G,"&gt;="&amp;$K92,GL_Journal!$G:$G,"&lt;="&amp;$L92,GL_Journal!$I:$I,TB_LOCC,GL_Journal!$J:$J,TB_CCC,GL_Journal!$D:$D,"&lt;"&amp;TB_From)))</f>
        <v/>
      </c>
      <c r="D92" s="43">
        <f>IF($A92="","",SUMIFS(GL_Journal!$S:$S,GL_Journal!$G:$G,"&gt;="&amp;$K92,GL_Journal!$G:$G,"&lt;="&amp;$L92,GL_Journal!$I:$I,TB_LOCC,GL_Journal!$J:$J,TB_CCC,GL_Journal!$D:$D,"&gt;="&amp;TB_From,GL_Journal!$D:$D,"&lt;="&amp;TB_To))</f>
        <v/>
      </c>
      <c r="E92" s="43">
        <f>IF($A92="","",SUMIFS(GL_Journal!$T:$T,GL_Journal!$G:$G,"&gt;="&amp;$K92,GL_Journal!$G:$G,"&lt;="&amp;$L92,GL_Journal!$I:$I,TB_LOCC,GL_Journal!$J:$J,TB_CCC,GL_Journal!$D:$D,"&gt;="&amp;TB_From,GL_Journal!$D:$D,"&lt;="&amp;TB_To))</f>
        <v/>
      </c>
      <c r="F92" s="43">
        <f>IF($A92="","",MAX($H92,0))</f>
        <v/>
      </c>
      <c r="G92" s="43">
        <f>IF($A92="","",MAX(-$H92,0))</f>
        <v/>
      </c>
      <c r="H92" s="47">
        <f>IF($A92="","",$C92+$D92-$E92)</f>
        <v/>
      </c>
      <c r="I92" s="44">
        <f>IF($A92="","",INDEX(COA!$E:$E,ROW()-10))</f>
        <v/>
      </c>
      <c r="J92" s="44">
        <f>IF($A92="","",INDEX(COA!$F:$F,ROW()-10))</f>
        <v/>
      </c>
      <c r="K92" s="32">
        <f>IF($A92="","",INDEX(COA!$P:$P,ROW()-10))</f>
        <v/>
      </c>
      <c r="L92" s="32">
        <f>IF($A92="","",INDEX(COA!$Q:$Q,ROW()-10))</f>
        <v/>
      </c>
      <c r="M92" s="32" t="inlineStr"/>
    </row>
    <row r="93">
      <c r="A93" s="44">
        <f>IF(INDEX(COA!$A:$A,ROW()-10)="","",INDEX(COA!$A:$A,ROW()-10))</f>
        <v/>
      </c>
      <c r="B93" s="32">
        <f>IF($A93="","",INDEX(COA!$B:$B,ROW()-10))</f>
        <v/>
      </c>
      <c r="C93" s="47">
        <f>IF($A93="","",(SUMIFS(GL_Journal!$S:$S,GL_Journal!$G:$G,"&gt;="&amp;$K93,GL_Journal!$G:$G,"&lt;="&amp;$L93,GL_Journal!$I:$I,TB_LOCC,GL_Journal!$J:$J,TB_CCC,GL_Journal!$D:$D,"&lt;"&amp;TB_From)-SUMIFS(GL_Journal!$T:$T,GL_Journal!$G:$G,"&gt;="&amp;$K93,GL_Journal!$G:$G,"&lt;="&amp;$L93,GL_Journal!$I:$I,TB_LOCC,GL_Journal!$J:$J,TB_CCC,GL_Journal!$D:$D,"&lt;"&amp;TB_From)))</f>
        <v/>
      </c>
      <c r="D93" s="43">
        <f>IF($A93="","",SUMIFS(GL_Journal!$S:$S,GL_Journal!$G:$G,"&gt;="&amp;$K93,GL_Journal!$G:$G,"&lt;="&amp;$L93,GL_Journal!$I:$I,TB_LOCC,GL_Journal!$J:$J,TB_CCC,GL_Journal!$D:$D,"&gt;="&amp;TB_From,GL_Journal!$D:$D,"&lt;="&amp;TB_To))</f>
        <v/>
      </c>
      <c r="E93" s="43">
        <f>IF($A93="","",SUMIFS(GL_Journal!$T:$T,GL_Journal!$G:$G,"&gt;="&amp;$K93,GL_Journal!$G:$G,"&lt;="&amp;$L93,GL_Journal!$I:$I,TB_LOCC,GL_Journal!$J:$J,TB_CCC,GL_Journal!$D:$D,"&gt;="&amp;TB_From,GL_Journal!$D:$D,"&lt;="&amp;TB_To))</f>
        <v/>
      </c>
      <c r="F93" s="43">
        <f>IF($A93="","",MAX($H93,0))</f>
        <v/>
      </c>
      <c r="G93" s="43">
        <f>IF($A93="","",MAX(-$H93,0))</f>
        <v/>
      </c>
      <c r="H93" s="47">
        <f>IF($A93="","",$C93+$D93-$E93)</f>
        <v/>
      </c>
      <c r="I93" s="44">
        <f>IF($A93="","",INDEX(COA!$E:$E,ROW()-10))</f>
        <v/>
      </c>
      <c r="J93" s="44">
        <f>IF($A93="","",INDEX(COA!$F:$F,ROW()-10))</f>
        <v/>
      </c>
      <c r="K93" s="32">
        <f>IF($A93="","",INDEX(COA!$P:$P,ROW()-10))</f>
        <v/>
      </c>
      <c r="L93" s="32">
        <f>IF($A93="","",INDEX(COA!$Q:$Q,ROW()-10))</f>
        <v/>
      </c>
      <c r="M93" s="32" t="inlineStr"/>
    </row>
    <row r="94">
      <c r="A94" s="44">
        <f>IF(INDEX(COA!$A:$A,ROW()-10)="","",INDEX(COA!$A:$A,ROW()-10))</f>
        <v/>
      </c>
      <c r="B94" s="32">
        <f>IF($A94="","",INDEX(COA!$B:$B,ROW()-10))</f>
        <v/>
      </c>
      <c r="C94" s="47">
        <f>IF($A94="","",(SUMIFS(GL_Journal!$S:$S,GL_Journal!$G:$G,"&gt;="&amp;$K94,GL_Journal!$G:$G,"&lt;="&amp;$L94,GL_Journal!$I:$I,TB_LOCC,GL_Journal!$J:$J,TB_CCC,GL_Journal!$D:$D,"&lt;"&amp;TB_From)-SUMIFS(GL_Journal!$T:$T,GL_Journal!$G:$G,"&gt;="&amp;$K94,GL_Journal!$G:$G,"&lt;="&amp;$L94,GL_Journal!$I:$I,TB_LOCC,GL_Journal!$J:$J,TB_CCC,GL_Journal!$D:$D,"&lt;"&amp;TB_From)))</f>
        <v/>
      </c>
      <c r="D94" s="43">
        <f>IF($A94="","",SUMIFS(GL_Journal!$S:$S,GL_Journal!$G:$G,"&gt;="&amp;$K94,GL_Journal!$G:$G,"&lt;="&amp;$L94,GL_Journal!$I:$I,TB_LOCC,GL_Journal!$J:$J,TB_CCC,GL_Journal!$D:$D,"&gt;="&amp;TB_From,GL_Journal!$D:$D,"&lt;="&amp;TB_To))</f>
        <v/>
      </c>
      <c r="E94" s="43">
        <f>IF($A94="","",SUMIFS(GL_Journal!$T:$T,GL_Journal!$G:$G,"&gt;="&amp;$K94,GL_Journal!$G:$G,"&lt;="&amp;$L94,GL_Journal!$I:$I,TB_LOCC,GL_Journal!$J:$J,TB_CCC,GL_Journal!$D:$D,"&gt;="&amp;TB_From,GL_Journal!$D:$D,"&lt;="&amp;TB_To))</f>
        <v/>
      </c>
      <c r="F94" s="43">
        <f>IF($A94="","",MAX($H94,0))</f>
        <v/>
      </c>
      <c r="G94" s="43">
        <f>IF($A94="","",MAX(-$H94,0))</f>
        <v/>
      </c>
      <c r="H94" s="47">
        <f>IF($A94="","",$C94+$D94-$E94)</f>
        <v/>
      </c>
      <c r="I94" s="44">
        <f>IF($A94="","",INDEX(COA!$E:$E,ROW()-10))</f>
        <v/>
      </c>
      <c r="J94" s="44">
        <f>IF($A94="","",INDEX(COA!$F:$F,ROW()-10))</f>
        <v/>
      </c>
      <c r="K94" s="32">
        <f>IF($A94="","",INDEX(COA!$P:$P,ROW()-10))</f>
        <v/>
      </c>
      <c r="L94" s="32">
        <f>IF($A94="","",INDEX(COA!$Q:$Q,ROW()-10))</f>
        <v/>
      </c>
      <c r="M94" s="32" t="inlineStr"/>
    </row>
    <row r="95">
      <c r="A95" s="44">
        <f>IF(INDEX(COA!$A:$A,ROW()-10)="","",INDEX(COA!$A:$A,ROW()-10))</f>
        <v/>
      </c>
      <c r="B95" s="32">
        <f>IF($A95="","",INDEX(COA!$B:$B,ROW()-10))</f>
        <v/>
      </c>
      <c r="C95" s="47">
        <f>IF($A95="","",(SUMIFS(GL_Journal!$S:$S,GL_Journal!$G:$G,"&gt;="&amp;$K95,GL_Journal!$G:$G,"&lt;="&amp;$L95,GL_Journal!$I:$I,TB_LOCC,GL_Journal!$J:$J,TB_CCC,GL_Journal!$D:$D,"&lt;"&amp;TB_From)-SUMIFS(GL_Journal!$T:$T,GL_Journal!$G:$G,"&gt;="&amp;$K95,GL_Journal!$G:$G,"&lt;="&amp;$L95,GL_Journal!$I:$I,TB_LOCC,GL_Journal!$J:$J,TB_CCC,GL_Journal!$D:$D,"&lt;"&amp;TB_From)))</f>
        <v/>
      </c>
      <c r="D95" s="43">
        <f>IF($A95="","",SUMIFS(GL_Journal!$S:$S,GL_Journal!$G:$G,"&gt;="&amp;$K95,GL_Journal!$G:$G,"&lt;="&amp;$L95,GL_Journal!$I:$I,TB_LOCC,GL_Journal!$J:$J,TB_CCC,GL_Journal!$D:$D,"&gt;="&amp;TB_From,GL_Journal!$D:$D,"&lt;="&amp;TB_To))</f>
        <v/>
      </c>
      <c r="E95" s="43">
        <f>IF($A95="","",SUMIFS(GL_Journal!$T:$T,GL_Journal!$G:$G,"&gt;="&amp;$K95,GL_Journal!$G:$G,"&lt;="&amp;$L95,GL_Journal!$I:$I,TB_LOCC,GL_Journal!$J:$J,TB_CCC,GL_Journal!$D:$D,"&gt;="&amp;TB_From,GL_Journal!$D:$D,"&lt;="&amp;TB_To))</f>
        <v/>
      </c>
      <c r="F95" s="43">
        <f>IF($A95="","",MAX($H95,0))</f>
        <v/>
      </c>
      <c r="G95" s="43">
        <f>IF($A95="","",MAX(-$H95,0))</f>
        <v/>
      </c>
      <c r="H95" s="47">
        <f>IF($A95="","",$C95+$D95-$E95)</f>
        <v/>
      </c>
      <c r="I95" s="44">
        <f>IF($A95="","",INDEX(COA!$E:$E,ROW()-10))</f>
        <v/>
      </c>
      <c r="J95" s="44">
        <f>IF($A95="","",INDEX(COA!$F:$F,ROW()-10))</f>
        <v/>
      </c>
      <c r="K95" s="32">
        <f>IF($A95="","",INDEX(COA!$P:$P,ROW()-10))</f>
        <v/>
      </c>
      <c r="L95" s="32">
        <f>IF($A95="","",INDEX(COA!$Q:$Q,ROW()-10))</f>
        <v/>
      </c>
      <c r="M95" s="32" t="inlineStr"/>
    </row>
    <row r="96">
      <c r="A96" s="44">
        <f>IF(INDEX(COA!$A:$A,ROW()-10)="","",INDEX(COA!$A:$A,ROW()-10))</f>
        <v/>
      </c>
      <c r="B96" s="32">
        <f>IF($A96="","",INDEX(COA!$B:$B,ROW()-10))</f>
        <v/>
      </c>
      <c r="C96" s="47">
        <f>IF($A96="","",(SUMIFS(GL_Journal!$S:$S,GL_Journal!$G:$G,"&gt;="&amp;$K96,GL_Journal!$G:$G,"&lt;="&amp;$L96,GL_Journal!$I:$I,TB_LOCC,GL_Journal!$J:$J,TB_CCC,GL_Journal!$D:$D,"&lt;"&amp;TB_From)-SUMIFS(GL_Journal!$T:$T,GL_Journal!$G:$G,"&gt;="&amp;$K96,GL_Journal!$G:$G,"&lt;="&amp;$L96,GL_Journal!$I:$I,TB_LOCC,GL_Journal!$J:$J,TB_CCC,GL_Journal!$D:$D,"&lt;"&amp;TB_From)))</f>
        <v/>
      </c>
      <c r="D96" s="43">
        <f>IF($A96="","",SUMIFS(GL_Journal!$S:$S,GL_Journal!$G:$G,"&gt;="&amp;$K96,GL_Journal!$G:$G,"&lt;="&amp;$L96,GL_Journal!$I:$I,TB_LOCC,GL_Journal!$J:$J,TB_CCC,GL_Journal!$D:$D,"&gt;="&amp;TB_From,GL_Journal!$D:$D,"&lt;="&amp;TB_To))</f>
        <v/>
      </c>
      <c r="E96" s="43">
        <f>IF($A96="","",SUMIFS(GL_Journal!$T:$T,GL_Journal!$G:$G,"&gt;="&amp;$K96,GL_Journal!$G:$G,"&lt;="&amp;$L96,GL_Journal!$I:$I,TB_LOCC,GL_Journal!$J:$J,TB_CCC,GL_Journal!$D:$D,"&gt;="&amp;TB_From,GL_Journal!$D:$D,"&lt;="&amp;TB_To))</f>
        <v/>
      </c>
      <c r="F96" s="43">
        <f>IF($A96="","",MAX($H96,0))</f>
        <v/>
      </c>
      <c r="G96" s="43">
        <f>IF($A96="","",MAX(-$H96,0))</f>
        <v/>
      </c>
      <c r="H96" s="47">
        <f>IF($A96="","",$C96+$D96-$E96)</f>
        <v/>
      </c>
      <c r="I96" s="44">
        <f>IF($A96="","",INDEX(COA!$E:$E,ROW()-10))</f>
        <v/>
      </c>
      <c r="J96" s="44">
        <f>IF($A96="","",INDEX(COA!$F:$F,ROW()-10))</f>
        <v/>
      </c>
      <c r="K96" s="32">
        <f>IF($A96="","",INDEX(COA!$P:$P,ROW()-10))</f>
        <v/>
      </c>
      <c r="L96" s="32">
        <f>IF($A96="","",INDEX(COA!$Q:$Q,ROW()-10))</f>
        <v/>
      </c>
      <c r="M96" s="32" t="inlineStr"/>
    </row>
    <row r="97">
      <c r="A97" s="44">
        <f>IF(INDEX(COA!$A:$A,ROW()-10)="","",INDEX(COA!$A:$A,ROW()-10))</f>
        <v/>
      </c>
      <c r="B97" s="32">
        <f>IF($A97="","",INDEX(COA!$B:$B,ROW()-10))</f>
        <v/>
      </c>
      <c r="C97" s="47">
        <f>IF($A97="","",(SUMIFS(GL_Journal!$S:$S,GL_Journal!$G:$G,"&gt;="&amp;$K97,GL_Journal!$G:$G,"&lt;="&amp;$L97,GL_Journal!$I:$I,TB_LOCC,GL_Journal!$J:$J,TB_CCC,GL_Journal!$D:$D,"&lt;"&amp;TB_From)-SUMIFS(GL_Journal!$T:$T,GL_Journal!$G:$G,"&gt;="&amp;$K97,GL_Journal!$G:$G,"&lt;="&amp;$L97,GL_Journal!$I:$I,TB_LOCC,GL_Journal!$J:$J,TB_CCC,GL_Journal!$D:$D,"&lt;"&amp;TB_From)))</f>
        <v/>
      </c>
      <c r="D97" s="43">
        <f>IF($A97="","",SUMIFS(GL_Journal!$S:$S,GL_Journal!$G:$G,"&gt;="&amp;$K97,GL_Journal!$G:$G,"&lt;="&amp;$L97,GL_Journal!$I:$I,TB_LOCC,GL_Journal!$J:$J,TB_CCC,GL_Journal!$D:$D,"&gt;="&amp;TB_From,GL_Journal!$D:$D,"&lt;="&amp;TB_To))</f>
        <v/>
      </c>
      <c r="E97" s="43">
        <f>IF($A97="","",SUMIFS(GL_Journal!$T:$T,GL_Journal!$G:$G,"&gt;="&amp;$K97,GL_Journal!$G:$G,"&lt;="&amp;$L97,GL_Journal!$I:$I,TB_LOCC,GL_Journal!$J:$J,TB_CCC,GL_Journal!$D:$D,"&gt;="&amp;TB_From,GL_Journal!$D:$D,"&lt;="&amp;TB_To))</f>
        <v/>
      </c>
      <c r="F97" s="43">
        <f>IF($A97="","",MAX($H97,0))</f>
        <v/>
      </c>
      <c r="G97" s="43">
        <f>IF($A97="","",MAX(-$H97,0))</f>
        <v/>
      </c>
      <c r="H97" s="47">
        <f>IF($A97="","",$C97+$D97-$E97)</f>
        <v/>
      </c>
      <c r="I97" s="44">
        <f>IF($A97="","",INDEX(COA!$E:$E,ROW()-10))</f>
        <v/>
      </c>
      <c r="J97" s="44">
        <f>IF($A97="","",INDEX(COA!$F:$F,ROW()-10))</f>
        <v/>
      </c>
      <c r="K97" s="32">
        <f>IF($A97="","",INDEX(COA!$P:$P,ROW()-10))</f>
        <v/>
      </c>
      <c r="L97" s="32">
        <f>IF($A97="","",INDEX(COA!$Q:$Q,ROW()-10))</f>
        <v/>
      </c>
      <c r="M97" s="32" t="inlineStr"/>
    </row>
    <row r="98">
      <c r="A98" s="44">
        <f>IF(INDEX(COA!$A:$A,ROW()-10)="","",INDEX(COA!$A:$A,ROW()-10))</f>
        <v/>
      </c>
      <c r="B98" s="32">
        <f>IF($A98="","",INDEX(COA!$B:$B,ROW()-10))</f>
        <v/>
      </c>
      <c r="C98" s="47">
        <f>IF($A98="","",(SUMIFS(GL_Journal!$S:$S,GL_Journal!$G:$G,"&gt;="&amp;$K98,GL_Journal!$G:$G,"&lt;="&amp;$L98,GL_Journal!$I:$I,TB_LOCC,GL_Journal!$J:$J,TB_CCC,GL_Journal!$D:$D,"&lt;"&amp;TB_From)-SUMIFS(GL_Journal!$T:$T,GL_Journal!$G:$G,"&gt;="&amp;$K98,GL_Journal!$G:$G,"&lt;="&amp;$L98,GL_Journal!$I:$I,TB_LOCC,GL_Journal!$J:$J,TB_CCC,GL_Journal!$D:$D,"&lt;"&amp;TB_From)))</f>
        <v/>
      </c>
      <c r="D98" s="43">
        <f>IF($A98="","",SUMIFS(GL_Journal!$S:$S,GL_Journal!$G:$G,"&gt;="&amp;$K98,GL_Journal!$G:$G,"&lt;="&amp;$L98,GL_Journal!$I:$I,TB_LOCC,GL_Journal!$J:$J,TB_CCC,GL_Journal!$D:$D,"&gt;="&amp;TB_From,GL_Journal!$D:$D,"&lt;="&amp;TB_To))</f>
        <v/>
      </c>
      <c r="E98" s="43">
        <f>IF($A98="","",SUMIFS(GL_Journal!$T:$T,GL_Journal!$G:$G,"&gt;="&amp;$K98,GL_Journal!$G:$G,"&lt;="&amp;$L98,GL_Journal!$I:$I,TB_LOCC,GL_Journal!$J:$J,TB_CCC,GL_Journal!$D:$D,"&gt;="&amp;TB_From,GL_Journal!$D:$D,"&lt;="&amp;TB_To))</f>
        <v/>
      </c>
      <c r="F98" s="43">
        <f>IF($A98="","",MAX($H98,0))</f>
        <v/>
      </c>
      <c r="G98" s="43">
        <f>IF($A98="","",MAX(-$H98,0))</f>
        <v/>
      </c>
      <c r="H98" s="47">
        <f>IF($A98="","",$C98+$D98-$E98)</f>
        <v/>
      </c>
      <c r="I98" s="44">
        <f>IF($A98="","",INDEX(COA!$E:$E,ROW()-10))</f>
        <v/>
      </c>
      <c r="J98" s="44">
        <f>IF($A98="","",INDEX(COA!$F:$F,ROW()-10))</f>
        <v/>
      </c>
      <c r="K98" s="32">
        <f>IF($A98="","",INDEX(COA!$P:$P,ROW()-10))</f>
        <v/>
      </c>
      <c r="L98" s="32">
        <f>IF($A98="","",INDEX(COA!$Q:$Q,ROW()-10))</f>
        <v/>
      </c>
      <c r="M98" s="32" t="inlineStr"/>
    </row>
    <row r="99">
      <c r="A99" s="44">
        <f>IF(INDEX(COA!$A:$A,ROW()-10)="","",INDEX(COA!$A:$A,ROW()-10))</f>
        <v/>
      </c>
      <c r="B99" s="32">
        <f>IF($A99="","",INDEX(COA!$B:$B,ROW()-10))</f>
        <v/>
      </c>
      <c r="C99" s="47">
        <f>IF($A99="","",(SUMIFS(GL_Journal!$S:$S,GL_Journal!$G:$G,"&gt;="&amp;$K99,GL_Journal!$G:$G,"&lt;="&amp;$L99,GL_Journal!$I:$I,TB_LOCC,GL_Journal!$J:$J,TB_CCC,GL_Journal!$D:$D,"&lt;"&amp;TB_From)-SUMIFS(GL_Journal!$T:$T,GL_Journal!$G:$G,"&gt;="&amp;$K99,GL_Journal!$G:$G,"&lt;="&amp;$L99,GL_Journal!$I:$I,TB_LOCC,GL_Journal!$J:$J,TB_CCC,GL_Journal!$D:$D,"&lt;"&amp;TB_From)))</f>
        <v/>
      </c>
      <c r="D99" s="43">
        <f>IF($A99="","",SUMIFS(GL_Journal!$S:$S,GL_Journal!$G:$G,"&gt;="&amp;$K99,GL_Journal!$G:$G,"&lt;="&amp;$L99,GL_Journal!$I:$I,TB_LOCC,GL_Journal!$J:$J,TB_CCC,GL_Journal!$D:$D,"&gt;="&amp;TB_From,GL_Journal!$D:$D,"&lt;="&amp;TB_To))</f>
        <v/>
      </c>
      <c r="E99" s="43">
        <f>IF($A99="","",SUMIFS(GL_Journal!$T:$T,GL_Journal!$G:$G,"&gt;="&amp;$K99,GL_Journal!$G:$G,"&lt;="&amp;$L99,GL_Journal!$I:$I,TB_LOCC,GL_Journal!$J:$J,TB_CCC,GL_Journal!$D:$D,"&gt;="&amp;TB_From,GL_Journal!$D:$D,"&lt;="&amp;TB_To))</f>
        <v/>
      </c>
      <c r="F99" s="43">
        <f>IF($A99="","",MAX($H99,0))</f>
        <v/>
      </c>
      <c r="G99" s="43">
        <f>IF($A99="","",MAX(-$H99,0))</f>
        <v/>
      </c>
      <c r="H99" s="47">
        <f>IF($A99="","",$C99+$D99-$E99)</f>
        <v/>
      </c>
      <c r="I99" s="44">
        <f>IF($A99="","",INDEX(COA!$E:$E,ROW()-10))</f>
        <v/>
      </c>
      <c r="J99" s="44">
        <f>IF($A99="","",INDEX(COA!$F:$F,ROW()-10))</f>
        <v/>
      </c>
      <c r="K99" s="32">
        <f>IF($A99="","",INDEX(COA!$P:$P,ROW()-10))</f>
        <v/>
      </c>
      <c r="L99" s="32">
        <f>IF($A99="","",INDEX(COA!$Q:$Q,ROW()-10))</f>
        <v/>
      </c>
      <c r="M99" s="32" t="inlineStr"/>
    </row>
    <row r="100">
      <c r="A100" s="44">
        <f>IF(INDEX(COA!$A:$A,ROW()-10)="","",INDEX(COA!$A:$A,ROW()-10))</f>
        <v/>
      </c>
      <c r="B100" s="32">
        <f>IF($A100="","",INDEX(COA!$B:$B,ROW()-10))</f>
        <v/>
      </c>
      <c r="C100" s="47">
        <f>IF($A100="","",(SUMIFS(GL_Journal!$S:$S,GL_Journal!$G:$G,"&gt;="&amp;$K100,GL_Journal!$G:$G,"&lt;="&amp;$L100,GL_Journal!$I:$I,TB_LOCC,GL_Journal!$J:$J,TB_CCC,GL_Journal!$D:$D,"&lt;"&amp;TB_From)-SUMIFS(GL_Journal!$T:$T,GL_Journal!$G:$G,"&gt;="&amp;$K100,GL_Journal!$G:$G,"&lt;="&amp;$L100,GL_Journal!$I:$I,TB_LOCC,GL_Journal!$J:$J,TB_CCC,GL_Journal!$D:$D,"&lt;"&amp;TB_From)))</f>
        <v/>
      </c>
      <c r="D100" s="43">
        <f>IF($A100="","",SUMIFS(GL_Journal!$S:$S,GL_Journal!$G:$G,"&gt;="&amp;$K100,GL_Journal!$G:$G,"&lt;="&amp;$L100,GL_Journal!$I:$I,TB_LOCC,GL_Journal!$J:$J,TB_CCC,GL_Journal!$D:$D,"&gt;="&amp;TB_From,GL_Journal!$D:$D,"&lt;="&amp;TB_To))</f>
        <v/>
      </c>
      <c r="E100" s="43">
        <f>IF($A100="","",SUMIFS(GL_Journal!$T:$T,GL_Journal!$G:$G,"&gt;="&amp;$K100,GL_Journal!$G:$G,"&lt;="&amp;$L100,GL_Journal!$I:$I,TB_LOCC,GL_Journal!$J:$J,TB_CCC,GL_Journal!$D:$D,"&gt;="&amp;TB_From,GL_Journal!$D:$D,"&lt;="&amp;TB_To))</f>
        <v/>
      </c>
      <c r="F100" s="43">
        <f>IF($A100="","",MAX($H100,0))</f>
        <v/>
      </c>
      <c r="G100" s="43">
        <f>IF($A100="","",MAX(-$H100,0))</f>
        <v/>
      </c>
      <c r="H100" s="47">
        <f>IF($A100="","",$C100+$D100-$E100)</f>
        <v/>
      </c>
      <c r="I100" s="44">
        <f>IF($A100="","",INDEX(COA!$E:$E,ROW()-10))</f>
        <v/>
      </c>
      <c r="J100" s="44">
        <f>IF($A100="","",INDEX(COA!$F:$F,ROW()-10))</f>
        <v/>
      </c>
      <c r="K100" s="32">
        <f>IF($A100="","",INDEX(COA!$P:$P,ROW()-10))</f>
        <v/>
      </c>
      <c r="L100" s="32">
        <f>IF($A100="","",INDEX(COA!$Q:$Q,ROW()-10))</f>
        <v/>
      </c>
      <c r="M100" s="32" t="inlineStr"/>
    </row>
    <row r="101">
      <c r="A101" s="44">
        <f>IF(INDEX(COA!$A:$A,ROW()-10)="","",INDEX(COA!$A:$A,ROW()-10))</f>
        <v/>
      </c>
      <c r="B101" s="32">
        <f>IF($A101="","",INDEX(COA!$B:$B,ROW()-10))</f>
        <v/>
      </c>
      <c r="C101" s="47">
        <f>IF($A101="","",(SUMIFS(GL_Journal!$S:$S,GL_Journal!$G:$G,"&gt;="&amp;$K101,GL_Journal!$G:$G,"&lt;="&amp;$L101,GL_Journal!$I:$I,TB_LOCC,GL_Journal!$J:$J,TB_CCC,GL_Journal!$D:$D,"&lt;"&amp;TB_From)-SUMIFS(GL_Journal!$T:$T,GL_Journal!$G:$G,"&gt;="&amp;$K101,GL_Journal!$G:$G,"&lt;="&amp;$L101,GL_Journal!$I:$I,TB_LOCC,GL_Journal!$J:$J,TB_CCC,GL_Journal!$D:$D,"&lt;"&amp;TB_From)))</f>
        <v/>
      </c>
      <c r="D101" s="43">
        <f>IF($A101="","",SUMIFS(GL_Journal!$S:$S,GL_Journal!$G:$G,"&gt;="&amp;$K101,GL_Journal!$G:$G,"&lt;="&amp;$L101,GL_Journal!$I:$I,TB_LOCC,GL_Journal!$J:$J,TB_CCC,GL_Journal!$D:$D,"&gt;="&amp;TB_From,GL_Journal!$D:$D,"&lt;="&amp;TB_To))</f>
        <v/>
      </c>
      <c r="E101" s="43">
        <f>IF($A101="","",SUMIFS(GL_Journal!$T:$T,GL_Journal!$G:$G,"&gt;="&amp;$K101,GL_Journal!$G:$G,"&lt;="&amp;$L101,GL_Journal!$I:$I,TB_LOCC,GL_Journal!$J:$J,TB_CCC,GL_Journal!$D:$D,"&gt;="&amp;TB_From,GL_Journal!$D:$D,"&lt;="&amp;TB_To))</f>
        <v/>
      </c>
      <c r="F101" s="43">
        <f>IF($A101="","",MAX($H101,0))</f>
        <v/>
      </c>
      <c r="G101" s="43">
        <f>IF($A101="","",MAX(-$H101,0))</f>
        <v/>
      </c>
      <c r="H101" s="47">
        <f>IF($A101="","",$C101+$D101-$E101)</f>
        <v/>
      </c>
      <c r="I101" s="44">
        <f>IF($A101="","",INDEX(COA!$E:$E,ROW()-10))</f>
        <v/>
      </c>
      <c r="J101" s="44">
        <f>IF($A101="","",INDEX(COA!$F:$F,ROW()-10))</f>
        <v/>
      </c>
      <c r="K101" s="32">
        <f>IF($A101="","",INDEX(COA!$P:$P,ROW()-10))</f>
        <v/>
      </c>
      <c r="L101" s="32">
        <f>IF($A101="","",INDEX(COA!$Q:$Q,ROW()-10))</f>
        <v/>
      </c>
      <c r="M101" s="32" t="inlineStr"/>
    </row>
    <row r="102">
      <c r="A102" s="44">
        <f>IF(INDEX(COA!$A:$A,ROW()-10)="","",INDEX(COA!$A:$A,ROW()-10))</f>
        <v/>
      </c>
      <c r="B102" s="32">
        <f>IF($A102="","",INDEX(COA!$B:$B,ROW()-10))</f>
        <v/>
      </c>
      <c r="C102" s="47">
        <f>IF($A102="","",(SUMIFS(GL_Journal!$S:$S,GL_Journal!$G:$G,"&gt;="&amp;$K102,GL_Journal!$G:$G,"&lt;="&amp;$L102,GL_Journal!$I:$I,TB_LOCC,GL_Journal!$J:$J,TB_CCC,GL_Journal!$D:$D,"&lt;"&amp;TB_From)-SUMIFS(GL_Journal!$T:$T,GL_Journal!$G:$G,"&gt;="&amp;$K102,GL_Journal!$G:$G,"&lt;="&amp;$L102,GL_Journal!$I:$I,TB_LOCC,GL_Journal!$J:$J,TB_CCC,GL_Journal!$D:$D,"&lt;"&amp;TB_From)))</f>
        <v/>
      </c>
      <c r="D102" s="43">
        <f>IF($A102="","",SUMIFS(GL_Journal!$S:$S,GL_Journal!$G:$G,"&gt;="&amp;$K102,GL_Journal!$G:$G,"&lt;="&amp;$L102,GL_Journal!$I:$I,TB_LOCC,GL_Journal!$J:$J,TB_CCC,GL_Journal!$D:$D,"&gt;="&amp;TB_From,GL_Journal!$D:$D,"&lt;="&amp;TB_To))</f>
        <v/>
      </c>
      <c r="E102" s="43">
        <f>IF($A102="","",SUMIFS(GL_Journal!$T:$T,GL_Journal!$G:$G,"&gt;="&amp;$K102,GL_Journal!$G:$G,"&lt;="&amp;$L102,GL_Journal!$I:$I,TB_LOCC,GL_Journal!$J:$J,TB_CCC,GL_Journal!$D:$D,"&gt;="&amp;TB_From,GL_Journal!$D:$D,"&lt;="&amp;TB_To))</f>
        <v/>
      </c>
      <c r="F102" s="43">
        <f>IF($A102="","",MAX($H102,0))</f>
        <v/>
      </c>
      <c r="G102" s="43">
        <f>IF($A102="","",MAX(-$H102,0))</f>
        <v/>
      </c>
      <c r="H102" s="47">
        <f>IF($A102="","",$C102+$D102-$E102)</f>
        <v/>
      </c>
      <c r="I102" s="44">
        <f>IF($A102="","",INDEX(COA!$E:$E,ROW()-10))</f>
        <v/>
      </c>
      <c r="J102" s="44">
        <f>IF($A102="","",INDEX(COA!$F:$F,ROW()-10))</f>
        <v/>
      </c>
      <c r="K102" s="32">
        <f>IF($A102="","",INDEX(COA!$P:$P,ROW()-10))</f>
        <v/>
      </c>
      <c r="L102" s="32">
        <f>IF($A102="","",INDEX(COA!$Q:$Q,ROW()-10))</f>
        <v/>
      </c>
      <c r="M102" s="32" t="inlineStr"/>
    </row>
    <row r="103">
      <c r="A103" s="44">
        <f>IF(INDEX(COA!$A:$A,ROW()-10)="","",INDEX(COA!$A:$A,ROW()-10))</f>
        <v/>
      </c>
      <c r="B103" s="32">
        <f>IF($A103="","",INDEX(COA!$B:$B,ROW()-10))</f>
        <v/>
      </c>
      <c r="C103" s="47">
        <f>IF($A103="","",(SUMIFS(GL_Journal!$S:$S,GL_Journal!$G:$G,"&gt;="&amp;$K103,GL_Journal!$G:$G,"&lt;="&amp;$L103,GL_Journal!$I:$I,TB_LOCC,GL_Journal!$J:$J,TB_CCC,GL_Journal!$D:$D,"&lt;"&amp;TB_From)-SUMIFS(GL_Journal!$T:$T,GL_Journal!$G:$G,"&gt;="&amp;$K103,GL_Journal!$G:$G,"&lt;="&amp;$L103,GL_Journal!$I:$I,TB_LOCC,GL_Journal!$J:$J,TB_CCC,GL_Journal!$D:$D,"&lt;"&amp;TB_From)))</f>
        <v/>
      </c>
      <c r="D103" s="43">
        <f>IF($A103="","",SUMIFS(GL_Journal!$S:$S,GL_Journal!$G:$G,"&gt;="&amp;$K103,GL_Journal!$G:$G,"&lt;="&amp;$L103,GL_Journal!$I:$I,TB_LOCC,GL_Journal!$J:$J,TB_CCC,GL_Journal!$D:$D,"&gt;="&amp;TB_From,GL_Journal!$D:$D,"&lt;="&amp;TB_To))</f>
        <v/>
      </c>
      <c r="E103" s="43">
        <f>IF($A103="","",SUMIFS(GL_Journal!$T:$T,GL_Journal!$G:$G,"&gt;="&amp;$K103,GL_Journal!$G:$G,"&lt;="&amp;$L103,GL_Journal!$I:$I,TB_LOCC,GL_Journal!$J:$J,TB_CCC,GL_Journal!$D:$D,"&gt;="&amp;TB_From,GL_Journal!$D:$D,"&lt;="&amp;TB_To))</f>
        <v/>
      </c>
      <c r="F103" s="43">
        <f>IF($A103="","",MAX($H103,0))</f>
        <v/>
      </c>
      <c r="G103" s="43">
        <f>IF($A103="","",MAX(-$H103,0))</f>
        <v/>
      </c>
      <c r="H103" s="47">
        <f>IF($A103="","",$C103+$D103-$E103)</f>
        <v/>
      </c>
      <c r="I103" s="44">
        <f>IF($A103="","",INDEX(COA!$E:$E,ROW()-10))</f>
        <v/>
      </c>
      <c r="J103" s="44">
        <f>IF($A103="","",INDEX(COA!$F:$F,ROW()-10))</f>
        <v/>
      </c>
      <c r="K103" s="32">
        <f>IF($A103="","",INDEX(COA!$P:$P,ROW()-10))</f>
        <v/>
      </c>
      <c r="L103" s="32">
        <f>IF($A103="","",INDEX(COA!$Q:$Q,ROW()-10))</f>
        <v/>
      </c>
      <c r="M103" s="32" t="inlineStr"/>
    </row>
    <row r="104">
      <c r="A104" s="44">
        <f>IF(INDEX(COA!$A:$A,ROW()-10)="","",INDEX(COA!$A:$A,ROW()-10))</f>
        <v/>
      </c>
      <c r="B104" s="32">
        <f>IF($A104="","",INDEX(COA!$B:$B,ROW()-10))</f>
        <v/>
      </c>
      <c r="C104" s="47">
        <f>IF($A104="","",(SUMIFS(GL_Journal!$S:$S,GL_Journal!$G:$G,"&gt;="&amp;$K104,GL_Journal!$G:$G,"&lt;="&amp;$L104,GL_Journal!$I:$I,TB_LOCC,GL_Journal!$J:$J,TB_CCC,GL_Journal!$D:$D,"&lt;"&amp;TB_From)-SUMIFS(GL_Journal!$T:$T,GL_Journal!$G:$G,"&gt;="&amp;$K104,GL_Journal!$G:$G,"&lt;="&amp;$L104,GL_Journal!$I:$I,TB_LOCC,GL_Journal!$J:$J,TB_CCC,GL_Journal!$D:$D,"&lt;"&amp;TB_From)))</f>
        <v/>
      </c>
      <c r="D104" s="43">
        <f>IF($A104="","",SUMIFS(GL_Journal!$S:$S,GL_Journal!$G:$G,"&gt;="&amp;$K104,GL_Journal!$G:$G,"&lt;="&amp;$L104,GL_Journal!$I:$I,TB_LOCC,GL_Journal!$J:$J,TB_CCC,GL_Journal!$D:$D,"&gt;="&amp;TB_From,GL_Journal!$D:$D,"&lt;="&amp;TB_To))</f>
        <v/>
      </c>
      <c r="E104" s="43">
        <f>IF($A104="","",SUMIFS(GL_Journal!$T:$T,GL_Journal!$G:$G,"&gt;="&amp;$K104,GL_Journal!$G:$G,"&lt;="&amp;$L104,GL_Journal!$I:$I,TB_LOCC,GL_Journal!$J:$J,TB_CCC,GL_Journal!$D:$D,"&gt;="&amp;TB_From,GL_Journal!$D:$D,"&lt;="&amp;TB_To))</f>
        <v/>
      </c>
      <c r="F104" s="43">
        <f>IF($A104="","",MAX($H104,0))</f>
        <v/>
      </c>
      <c r="G104" s="43">
        <f>IF($A104="","",MAX(-$H104,0))</f>
        <v/>
      </c>
      <c r="H104" s="47">
        <f>IF($A104="","",$C104+$D104-$E104)</f>
        <v/>
      </c>
      <c r="I104" s="44">
        <f>IF($A104="","",INDEX(COA!$E:$E,ROW()-10))</f>
        <v/>
      </c>
      <c r="J104" s="44">
        <f>IF($A104="","",INDEX(COA!$F:$F,ROW()-10))</f>
        <v/>
      </c>
      <c r="K104" s="32">
        <f>IF($A104="","",INDEX(COA!$P:$P,ROW()-10))</f>
        <v/>
      </c>
      <c r="L104" s="32">
        <f>IF($A104="","",INDEX(COA!$Q:$Q,ROW()-10))</f>
        <v/>
      </c>
      <c r="M104" s="32" t="inlineStr"/>
    </row>
    <row r="105">
      <c r="A105" s="44">
        <f>IF(INDEX(COA!$A:$A,ROW()-10)="","",INDEX(COA!$A:$A,ROW()-10))</f>
        <v/>
      </c>
      <c r="B105" s="32">
        <f>IF($A105="","",INDEX(COA!$B:$B,ROW()-10))</f>
        <v/>
      </c>
      <c r="C105" s="47">
        <f>IF($A105="","",(SUMIFS(GL_Journal!$S:$S,GL_Journal!$G:$G,"&gt;="&amp;$K105,GL_Journal!$G:$G,"&lt;="&amp;$L105,GL_Journal!$I:$I,TB_LOCC,GL_Journal!$J:$J,TB_CCC,GL_Journal!$D:$D,"&lt;"&amp;TB_From)-SUMIFS(GL_Journal!$T:$T,GL_Journal!$G:$G,"&gt;="&amp;$K105,GL_Journal!$G:$G,"&lt;="&amp;$L105,GL_Journal!$I:$I,TB_LOCC,GL_Journal!$J:$J,TB_CCC,GL_Journal!$D:$D,"&lt;"&amp;TB_From)))</f>
        <v/>
      </c>
      <c r="D105" s="43">
        <f>IF($A105="","",SUMIFS(GL_Journal!$S:$S,GL_Journal!$G:$G,"&gt;="&amp;$K105,GL_Journal!$G:$G,"&lt;="&amp;$L105,GL_Journal!$I:$I,TB_LOCC,GL_Journal!$J:$J,TB_CCC,GL_Journal!$D:$D,"&gt;="&amp;TB_From,GL_Journal!$D:$D,"&lt;="&amp;TB_To))</f>
        <v/>
      </c>
      <c r="E105" s="43">
        <f>IF($A105="","",SUMIFS(GL_Journal!$T:$T,GL_Journal!$G:$G,"&gt;="&amp;$K105,GL_Journal!$G:$G,"&lt;="&amp;$L105,GL_Journal!$I:$I,TB_LOCC,GL_Journal!$J:$J,TB_CCC,GL_Journal!$D:$D,"&gt;="&amp;TB_From,GL_Journal!$D:$D,"&lt;="&amp;TB_To))</f>
        <v/>
      </c>
      <c r="F105" s="43">
        <f>IF($A105="","",MAX($H105,0))</f>
        <v/>
      </c>
      <c r="G105" s="43">
        <f>IF($A105="","",MAX(-$H105,0))</f>
        <v/>
      </c>
      <c r="H105" s="47">
        <f>IF($A105="","",$C105+$D105-$E105)</f>
        <v/>
      </c>
      <c r="I105" s="44">
        <f>IF($A105="","",INDEX(COA!$E:$E,ROW()-10))</f>
        <v/>
      </c>
      <c r="J105" s="44">
        <f>IF($A105="","",INDEX(COA!$F:$F,ROW()-10))</f>
        <v/>
      </c>
      <c r="K105" s="32">
        <f>IF($A105="","",INDEX(COA!$P:$P,ROW()-10))</f>
        <v/>
      </c>
      <c r="L105" s="32">
        <f>IF($A105="","",INDEX(COA!$Q:$Q,ROW()-10))</f>
        <v/>
      </c>
      <c r="M105" s="32" t="inlineStr"/>
    </row>
    <row r="106">
      <c r="A106" s="44">
        <f>IF(INDEX(COA!$A:$A,ROW()-10)="","",INDEX(COA!$A:$A,ROW()-10))</f>
        <v/>
      </c>
      <c r="B106" s="32">
        <f>IF($A106="","",INDEX(COA!$B:$B,ROW()-10))</f>
        <v/>
      </c>
      <c r="C106" s="47">
        <f>IF($A106="","",(SUMIFS(GL_Journal!$S:$S,GL_Journal!$G:$G,"&gt;="&amp;$K106,GL_Journal!$G:$G,"&lt;="&amp;$L106,GL_Journal!$I:$I,TB_LOCC,GL_Journal!$J:$J,TB_CCC,GL_Journal!$D:$D,"&lt;"&amp;TB_From)-SUMIFS(GL_Journal!$T:$T,GL_Journal!$G:$G,"&gt;="&amp;$K106,GL_Journal!$G:$G,"&lt;="&amp;$L106,GL_Journal!$I:$I,TB_LOCC,GL_Journal!$J:$J,TB_CCC,GL_Journal!$D:$D,"&lt;"&amp;TB_From)))</f>
        <v/>
      </c>
      <c r="D106" s="43">
        <f>IF($A106="","",SUMIFS(GL_Journal!$S:$S,GL_Journal!$G:$G,"&gt;="&amp;$K106,GL_Journal!$G:$G,"&lt;="&amp;$L106,GL_Journal!$I:$I,TB_LOCC,GL_Journal!$J:$J,TB_CCC,GL_Journal!$D:$D,"&gt;="&amp;TB_From,GL_Journal!$D:$D,"&lt;="&amp;TB_To))</f>
        <v/>
      </c>
      <c r="E106" s="43">
        <f>IF($A106="","",SUMIFS(GL_Journal!$T:$T,GL_Journal!$G:$G,"&gt;="&amp;$K106,GL_Journal!$G:$G,"&lt;="&amp;$L106,GL_Journal!$I:$I,TB_LOCC,GL_Journal!$J:$J,TB_CCC,GL_Journal!$D:$D,"&gt;="&amp;TB_From,GL_Journal!$D:$D,"&lt;="&amp;TB_To))</f>
        <v/>
      </c>
      <c r="F106" s="43">
        <f>IF($A106="","",MAX($H106,0))</f>
        <v/>
      </c>
      <c r="G106" s="43">
        <f>IF($A106="","",MAX(-$H106,0))</f>
        <v/>
      </c>
      <c r="H106" s="47">
        <f>IF($A106="","",$C106+$D106-$E106)</f>
        <v/>
      </c>
      <c r="I106" s="44">
        <f>IF($A106="","",INDEX(COA!$E:$E,ROW()-10))</f>
        <v/>
      </c>
      <c r="J106" s="44">
        <f>IF($A106="","",INDEX(COA!$F:$F,ROW()-10))</f>
        <v/>
      </c>
      <c r="K106" s="32">
        <f>IF($A106="","",INDEX(COA!$P:$P,ROW()-10))</f>
        <v/>
      </c>
      <c r="L106" s="32">
        <f>IF($A106="","",INDEX(COA!$Q:$Q,ROW()-10))</f>
        <v/>
      </c>
      <c r="M106" s="32" t="inlineStr"/>
    </row>
    <row r="107">
      <c r="A107" s="44">
        <f>IF(INDEX(COA!$A:$A,ROW()-10)="","",INDEX(COA!$A:$A,ROW()-10))</f>
        <v/>
      </c>
      <c r="B107" s="32">
        <f>IF($A107="","",INDEX(COA!$B:$B,ROW()-10))</f>
        <v/>
      </c>
      <c r="C107" s="47">
        <f>IF($A107="","",(SUMIFS(GL_Journal!$S:$S,GL_Journal!$G:$G,"&gt;="&amp;$K107,GL_Journal!$G:$G,"&lt;="&amp;$L107,GL_Journal!$I:$I,TB_LOCC,GL_Journal!$J:$J,TB_CCC,GL_Journal!$D:$D,"&lt;"&amp;TB_From)-SUMIFS(GL_Journal!$T:$T,GL_Journal!$G:$G,"&gt;="&amp;$K107,GL_Journal!$G:$G,"&lt;="&amp;$L107,GL_Journal!$I:$I,TB_LOCC,GL_Journal!$J:$J,TB_CCC,GL_Journal!$D:$D,"&lt;"&amp;TB_From)))</f>
        <v/>
      </c>
      <c r="D107" s="43">
        <f>IF($A107="","",SUMIFS(GL_Journal!$S:$S,GL_Journal!$G:$G,"&gt;="&amp;$K107,GL_Journal!$G:$G,"&lt;="&amp;$L107,GL_Journal!$I:$I,TB_LOCC,GL_Journal!$J:$J,TB_CCC,GL_Journal!$D:$D,"&gt;="&amp;TB_From,GL_Journal!$D:$D,"&lt;="&amp;TB_To))</f>
        <v/>
      </c>
      <c r="E107" s="43">
        <f>IF($A107="","",SUMIFS(GL_Journal!$T:$T,GL_Journal!$G:$G,"&gt;="&amp;$K107,GL_Journal!$G:$G,"&lt;="&amp;$L107,GL_Journal!$I:$I,TB_LOCC,GL_Journal!$J:$J,TB_CCC,GL_Journal!$D:$D,"&gt;="&amp;TB_From,GL_Journal!$D:$D,"&lt;="&amp;TB_To))</f>
        <v/>
      </c>
      <c r="F107" s="43">
        <f>IF($A107="","",MAX($H107,0))</f>
        <v/>
      </c>
      <c r="G107" s="43">
        <f>IF($A107="","",MAX(-$H107,0))</f>
        <v/>
      </c>
      <c r="H107" s="47">
        <f>IF($A107="","",$C107+$D107-$E107)</f>
        <v/>
      </c>
      <c r="I107" s="44">
        <f>IF($A107="","",INDEX(COA!$E:$E,ROW()-10))</f>
        <v/>
      </c>
      <c r="J107" s="44">
        <f>IF($A107="","",INDEX(COA!$F:$F,ROW()-10))</f>
        <v/>
      </c>
      <c r="K107" s="32">
        <f>IF($A107="","",INDEX(COA!$P:$P,ROW()-10))</f>
        <v/>
      </c>
      <c r="L107" s="32">
        <f>IF($A107="","",INDEX(COA!$Q:$Q,ROW()-10))</f>
        <v/>
      </c>
      <c r="M107" s="32" t="inlineStr"/>
    </row>
    <row r="108">
      <c r="A108" s="44">
        <f>IF(INDEX(COA!$A:$A,ROW()-10)="","",INDEX(COA!$A:$A,ROW()-10))</f>
        <v/>
      </c>
      <c r="B108" s="32">
        <f>IF($A108="","",INDEX(COA!$B:$B,ROW()-10))</f>
        <v/>
      </c>
      <c r="C108" s="47">
        <f>IF($A108="","",(SUMIFS(GL_Journal!$S:$S,GL_Journal!$G:$G,"&gt;="&amp;$K108,GL_Journal!$G:$G,"&lt;="&amp;$L108,GL_Journal!$I:$I,TB_LOCC,GL_Journal!$J:$J,TB_CCC,GL_Journal!$D:$D,"&lt;"&amp;TB_From)-SUMIFS(GL_Journal!$T:$T,GL_Journal!$G:$G,"&gt;="&amp;$K108,GL_Journal!$G:$G,"&lt;="&amp;$L108,GL_Journal!$I:$I,TB_LOCC,GL_Journal!$J:$J,TB_CCC,GL_Journal!$D:$D,"&lt;"&amp;TB_From)))</f>
        <v/>
      </c>
      <c r="D108" s="43">
        <f>IF($A108="","",SUMIFS(GL_Journal!$S:$S,GL_Journal!$G:$G,"&gt;="&amp;$K108,GL_Journal!$G:$G,"&lt;="&amp;$L108,GL_Journal!$I:$I,TB_LOCC,GL_Journal!$J:$J,TB_CCC,GL_Journal!$D:$D,"&gt;="&amp;TB_From,GL_Journal!$D:$D,"&lt;="&amp;TB_To))</f>
        <v/>
      </c>
      <c r="E108" s="43">
        <f>IF($A108="","",SUMIFS(GL_Journal!$T:$T,GL_Journal!$G:$G,"&gt;="&amp;$K108,GL_Journal!$G:$G,"&lt;="&amp;$L108,GL_Journal!$I:$I,TB_LOCC,GL_Journal!$J:$J,TB_CCC,GL_Journal!$D:$D,"&gt;="&amp;TB_From,GL_Journal!$D:$D,"&lt;="&amp;TB_To))</f>
        <v/>
      </c>
      <c r="F108" s="43">
        <f>IF($A108="","",MAX($H108,0))</f>
        <v/>
      </c>
      <c r="G108" s="43">
        <f>IF($A108="","",MAX(-$H108,0))</f>
        <v/>
      </c>
      <c r="H108" s="47">
        <f>IF($A108="","",$C108+$D108-$E108)</f>
        <v/>
      </c>
      <c r="I108" s="44">
        <f>IF($A108="","",INDEX(COA!$E:$E,ROW()-10))</f>
        <v/>
      </c>
      <c r="J108" s="44">
        <f>IF($A108="","",INDEX(COA!$F:$F,ROW()-10))</f>
        <v/>
      </c>
      <c r="K108" s="32">
        <f>IF($A108="","",INDEX(COA!$P:$P,ROW()-10))</f>
        <v/>
      </c>
      <c r="L108" s="32">
        <f>IF($A108="","",INDEX(COA!$Q:$Q,ROW()-10))</f>
        <v/>
      </c>
      <c r="M108" s="32" t="inlineStr"/>
    </row>
    <row r="109">
      <c r="A109" s="44">
        <f>IF(INDEX(COA!$A:$A,ROW()-10)="","",INDEX(COA!$A:$A,ROW()-10))</f>
        <v/>
      </c>
      <c r="B109" s="32">
        <f>IF($A109="","",INDEX(COA!$B:$B,ROW()-10))</f>
        <v/>
      </c>
      <c r="C109" s="47">
        <f>IF($A109="","",(SUMIFS(GL_Journal!$S:$S,GL_Journal!$G:$G,"&gt;="&amp;$K109,GL_Journal!$G:$G,"&lt;="&amp;$L109,GL_Journal!$I:$I,TB_LOCC,GL_Journal!$J:$J,TB_CCC,GL_Journal!$D:$D,"&lt;"&amp;TB_From)-SUMIFS(GL_Journal!$T:$T,GL_Journal!$G:$G,"&gt;="&amp;$K109,GL_Journal!$G:$G,"&lt;="&amp;$L109,GL_Journal!$I:$I,TB_LOCC,GL_Journal!$J:$J,TB_CCC,GL_Journal!$D:$D,"&lt;"&amp;TB_From)))</f>
        <v/>
      </c>
      <c r="D109" s="43">
        <f>IF($A109="","",SUMIFS(GL_Journal!$S:$S,GL_Journal!$G:$G,"&gt;="&amp;$K109,GL_Journal!$G:$G,"&lt;="&amp;$L109,GL_Journal!$I:$I,TB_LOCC,GL_Journal!$J:$J,TB_CCC,GL_Journal!$D:$D,"&gt;="&amp;TB_From,GL_Journal!$D:$D,"&lt;="&amp;TB_To))</f>
        <v/>
      </c>
      <c r="E109" s="43">
        <f>IF($A109="","",SUMIFS(GL_Journal!$T:$T,GL_Journal!$G:$G,"&gt;="&amp;$K109,GL_Journal!$G:$G,"&lt;="&amp;$L109,GL_Journal!$I:$I,TB_LOCC,GL_Journal!$J:$J,TB_CCC,GL_Journal!$D:$D,"&gt;="&amp;TB_From,GL_Journal!$D:$D,"&lt;="&amp;TB_To))</f>
        <v/>
      </c>
      <c r="F109" s="43">
        <f>IF($A109="","",MAX($H109,0))</f>
        <v/>
      </c>
      <c r="G109" s="43">
        <f>IF($A109="","",MAX(-$H109,0))</f>
        <v/>
      </c>
      <c r="H109" s="47">
        <f>IF($A109="","",$C109+$D109-$E109)</f>
        <v/>
      </c>
      <c r="I109" s="44">
        <f>IF($A109="","",INDEX(COA!$E:$E,ROW()-10))</f>
        <v/>
      </c>
      <c r="J109" s="44">
        <f>IF($A109="","",INDEX(COA!$F:$F,ROW()-10))</f>
        <v/>
      </c>
      <c r="K109" s="32">
        <f>IF($A109="","",INDEX(COA!$P:$P,ROW()-10))</f>
        <v/>
      </c>
      <c r="L109" s="32">
        <f>IF($A109="","",INDEX(COA!$Q:$Q,ROW()-10))</f>
        <v/>
      </c>
      <c r="M109" s="32" t="inlineStr"/>
    </row>
    <row r="110">
      <c r="A110" s="44">
        <f>IF(INDEX(COA!$A:$A,ROW()-10)="","",INDEX(COA!$A:$A,ROW()-10))</f>
        <v/>
      </c>
      <c r="B110" s="32">
        <f>IF($A110="","",INDEX(COA!$B:$B,ROW()-10))</f>
        <v/>
      </c>
      <c r="C110" s="47">
        <f>IF($A110="","",(SUMIFS(GL_Journal!$S:$S,GL_Journal!$G:$G,"&gt;="&amp;$K110,GL_Journal!$G:$G,"&lt;="&amp;$L110,GL_Journal!$I:$I,TB_LOCC,GL_Journal!$J:$J,TB_CCC,GL_Journal!$D:$D,"&lt;"&amp;TB_From)-SUMIFS(GL_Journal!$T:$T,GL_Journal!$G:$G,"&gt;="&amp;$K110,GL_Journal!$G:$G,"&lt;="&amp;$L110,GL_Journal!$I:$I,TB_LOCC,GL_Journal!$J:$J,TB_CCC,GL_Journal!$D:$D,"&lt;"&amp;TB_From)))</f>
        <v/>
      </c>
      <c r="D110" s="43">
        <f>IF($A110="","",SUMIFS(GL_Journal!$S:$S,GL_Journal!$G:$G,"&gt;="&amp;$K110,GL_Journal!$G:$G,"&lt;="&amp;$L110,GL_Journal!$I:$I,TB_LOCC,GL_Journal!$J:$J,TB_CCC,GL_Journal!$D:$D,"&gt;="&amp;TB_From,GL_Journal!$D:$D,"&lt;="&amp;TB_To))</f>
        <v/>
      </c>
      <c r="E110" s="43">
        <f>IF($A110="","",SUMIFS(GL_Journal!$T:$T,GL_Journal!$G:$G,"&gt;="&amp;$K110,GL_Journal!$G:$G,"&lt;="&amp;$L110,GL_Journal!$I:$I,TB_LOCC,GL_Journal!$J:$J,TB_CCC,GL_Journal!$D:$D,"&gt;="&amp;TB_From,GL_Journal!$D:$D,"&lt;="&amp;TB_To))</f>
        <v/>
      </c>
      <c r="F110" s="43">
        <f>IF($A110="","",MAX($H110,0))</f>
        <v/>
      </c>
      <c r="G110" s="43">
        <f>IF($A110="","",MAX(-$H110,0))</f>
        <v/>
      </c>
      <c r="H110" s="47">
        <f>IF($A110="","",$C110+$D110-$E110)</f>
        <v/>
      </c>
      <c r="I110" s="44">
        <f>IF($A110="","",INDEX(COA!$E:$E,ROW()-10))</f>
        <v/>
      </c>
      <c r="J110" s="44">
        <f>IF($A110="","",INDEX(COA!$F:$F,ROW()-10))</f>
        <v/>
      </c>
      <c r="K110" s="32">
        <f>IF($A110="","",INDEX(COA!$P:$P,ROW()-10))</f>
        <v/>
      </c>
      <c r="L110" s="32">
        <f>IF($A110="","",INDEX(COA!$Q:$Q,ROW()-10))</f>
        <v/>
      </c>
      <c r="M110" s="32" t="inlineStr"/>
    </row>
    <row r="111">
      <c r="A111" s="44">
        <f>IF(INDEX(COA!$A:$A,ROW()-10)="","",INDEX(COA!$A:$A,ROW()-10))</f>
        <v/>
      </c>
      <c r="B111" s="32">
        <f>IF($A111="","",INDEX(COA!$B:$B,ROW()-10))</f>
        <v/>
      </c>
      <c r="C111" s="47">
        <f>IF($A111="","",(SUMIFS(GL_Journal!$S:$S,GL_Journal!$G:$G,"&gt;="&amp;$K111,GL_Journal!$G:$G,"&lt;="&amp;$L111,GL_Journal!$I:$I,TB_LOCC,GL_Journal!$J:$J,TB_CCC,GL_Journal!$D:$D,"&lt;"&amp;TB_From)-SUMIFS(GL_Journal!$T:$T,GL_Journal!$G:$G,"&gt;="&amp;$K111,GL_Journal!$G:$G,"&lt;="&amp;$L111,GL_Journal!$I:$I,TB_LOCC,GL_Journal!$J:$J,TB_CCC,GL_Journal!$D:$D,"&lt;"&amp;TB_From)))</f>
        <v/>
      </c>
      <c r="D111" s="43">
        <f>IF($A111="","",SUMIFS(GL_Journal!$S:$S,GL_Journal!$G:$G,"&gt;="&amp;$K111,GL_Journal!$G:$G,"&lt;="&amp;$L111,GL_Journal!$I:$I,TB_LOCC,GL_Journal!$J:$J,TB_CCC,GL_Journal!$D:$D,"&gt;="&amp;TB_From,GL_Journal!$D:$D,"&lt;="&amp;TB_To))</f>
        <v/>
      </c>
      <c r="E111" s="43">
        <f>IF($A111="","",SUMIFS(GL_Journal!$T:$T,GL_Journal!$G:$G,"&gt;="&amp;$K111,GL_Journal!$G:$G,"&lt;="&amp;$L111,GL_Journal!$I:$I,TB_LOCC,GL_Journal!$J:$J,TB_CCC,GL_Journal!$D:$D,"&gt;="&amp;TB_From,GL_Journal!$D:$D,"&lt;="&amp;TB_To))</f>
        <v/>
      </c>
      <c r="F111" s="43">
        <f>IF($A111="","",MAX($H111,0))</f>
        <v/>
      </c>
      <c r="G111" s="43">
        <f>IF($A111="","",MAX(-$H111,0))</f>
        <v/>
      </c>
      <c r="H111" s="47">
        <f>IF($A111="","",$C111+$D111-$E111)</f>
        <v/>
      </c>
      <c r="I111" s="44">
        <f>IF($A111="","",INDEX(COA!$E:$E,ROW()-10))</f>
        <v/>
      </c>
      <c r="J111" s="44">
        <f>IF($A111="","",INDEX(COA!$F:$F,ROW()-10))</f>
        <v/>
      </c>
      <c r="K111" s="32">
        <f>IF($A111="","",INDEX(COA!$P:$P,ROW()-10))</f>
        <v/>
      </c>
      <c r="L111" s="32">
        <f>IF($A111="","",INDEX(COA!$Q:$Q,ROW()-10))</f>
        <v/>
      </c>
      <c r="M111" s="32" t="inlineStr"/>
    </row>
    <row r="112">
      <c r="A112" s="44">
        <f>IF(INDEX(COA!$A:$A,ROW()-10)="","",INDEX(COA!$A:$A,ROW()-10))</f>
        <v/>
      </c>
      <c r="B112" s="32">
        <f>IF($A112="","",INDEX(COA!$B:$B,ROW()-10))</f>
        <v/>
      </c>
      <c r="C112" s="47">
        <f>IF($A112="","",(SUMIFS(GL_Journal!$S:$S,GL_Journal!$G:$G,"&gt;="&amp;$K112,GL_Journal!$G:$G,"&lt;="&amp;$L112,GL_Journal!$I:$I,TB_LOCC,GL_Journal!$J:$J,TB_CCC,GL_Journal!$D:$D,"&lt;"&amp;TB_From)-SUMIFS(GL_Journal!$T:$T,GL_Journal!$G:$G,"&gt;="&amp;$K112,GL_Journal!$G:$G,"&lt;="&amp;$L112,GL_Journal!$I:$I,TB_LOCC,GL_Journal!$J:$J,TB_CCC,GL_Journal!$D:$D,"&lt;"&amp;TB_From)))</f>
        <v/>
      </c>
      <c r="D112" s="43">
        <f>IF($A112="","",SUMIFS(GL_Journal!$S:$S,GL_Journal!$G:$G,"&gt;="&amp;$K112,GL_Journal!$G:$G,"&lt;="&amp;$L112,GL_Journal!$I:$I,TB_LOCC,GL_Journal!$J:$J,TB_CCC,GL_Journal!$D:$D,"&gt;="&amp;TB_From,GL_Journal!$D:$D,"&lt;="&amp;TB_To))</f>
        <v/>
      </c>
      <c r="E112" s="43">
        <f>IF($A112="","",SUMIFS(GL_Journal!$T:$T,GL_Journal!$G:$G,"&gt;="&amp;$K112,GL_Journal!$G:$G,"&lt;="&amp;$L112,GL_Journal!$I:$I,TB_LOCC,GL_Journal!$J:$J,TB_CCC,GL_Journal!$D:$D,"&gt;="&amp;TB_From,GL_Journal!$D:$D,"&lt;="&amp;TB_To))</f>
        <v/>
      </c>
      <c r="F112" s="43">
        <f>IF($A112="","",MAX($H112,0))</f>
        <v/>
      </c>
      <c r="G112" s="43">
        <f>IF($A112="","",MAX(-$H112,0))</f>
        <v/>
      </c>
      <c r="H112" s="47">
        <f>IF($A112="","",$C112+$D112-$E112)</f>
        <v/>
      </c>
      <c r="I112" s="44">
        <f>IF($A112="","",INDEX(COA!$E:$E,ROW()-10))</f>
        <v/>
      </c>
      <c r="J112" s="44">
        <f>IF($A112="","",INDEX(COA!$F:$F,ROW()-10))</f>
        <v/>
      </c>
      <c r="K112" s="32">
        <f>IF($A112="","",INDEX(COA!$P:$P,ROW()-10))</f>
        <v/>
      </c>
      <c r="L112" s="32">
        <f>IF($A112="","",INDEX(COA!$Q:$Q,ROW()-10))</f>
        <v/>
      </c>
      <c r="M112" s="32" t="inlineStr"/>
    </row>
    <row r="113">
      <c r="A113" s="44">
        <f>IF(INDEX(COA!$A:$A,ROW()-10)="","",INDEX(COA!$A:$A,ROW()-10))</f>
        <v/>
      </c>
      <c r="B113" s="32">
        <f>IF($A113="","",INDEX(COA!$B:$B,ROW()-10))</f>
        <v/>
      </c>
      <c r="C113" s="47">
        <f>IF($A113="","",(SUMIFS(GL_Journal!$S:$S,GL_Journal!$G:$G,"&gt;="&amp;$K113,GL_Journal!$G:$G,"&lt;="&amp;$L113,GL_Journal!$I:$I,TB_LOCC,GL_Journal!$J:$J,TB_CCC,GL_Journal!$D:$D,"&lt;"&amp;TB_From)-SUMIFS(GL_Journal!$T:$T,GL_Journal!$G:$G,"&gt;="&amp;$K113,GL_Journal!$G:$G,"&lt;="&amp;$L113,GL_Journal!$I:$I,TB_LOCC,GL_Journal!$J:$J,TB_CCC,GL_Journal!$D:$D,"&lt;"&amp;TB_From)))</f>
        <v/>
      </c>
      <c r="D113" s="43">
        <f>IF($A113="","",SUMIFS(GL_Journal!$S:$S,GL_Journal!$G:$G,"&gt;="&amp;$K113,GL_Journal!$G:$G,"&lt;="&amp;$L113,GL_Journal!$I:$I,TB_LOCC,GL_Journal!$J:$J,TB_CCC,GL_Journal!$D:$D,"&gt;="&amp;TB_From,GL_Journal!$D:$D,"&lt;="&amp;TB_To))</f>
        <v/>
      </c>
      <c r="E113" s="43">
        <f>IF($A113="","",SUMIFS(GL_Journal!$T:$T,GL_Journal!$G:$G,"&gt;="&amp;$K113,GL_Journal!$G:$G,"&lt;="&amp;$L113,GL_Journal!$I:$I,TB_LOCC,GL_Journal!$J:$J,TB_CCC,GL_Journal!$D:$D,"&gt;="&amp;TB_From,GL_Journal!$D:$D,"&lt;="&amp;TB_To))</f>
        <v/>
      </c>
      <c r="F113" s="43">
        <f>IF($A113="","",MAX($H113,0))</f>
        <v/>
      </c>
      <c r="G113" s="43">
        <f>IF($A113="","",MAX(-$H113,0))</f>
        <v/>
      </c>
      <c r="H113" s="47">
        <f>IF($A113="","",$C113+$D113-$E113)</f>
        <v/>
      </c>
      <c r="I113" s="44">
        <f>IF($A113="","",INDEX(COA!$E:$E,ROW()-10))</f>
        <v/>
      </c>
      <c r="J113" s="44">
        <f>IF($A113="","",INDEX(COA!$F:$F,ROW()-10))</f>
        <v/>
      </c>
      <c r="K113" s="32">
        <f>IF($A113="","",INDEX(COA!$P:$P,ROW()-10))</f>
        <v/>
      </c>
      <c r="L113" s="32">
        <f>IF($A113="","",INDEX(COA!$Q:$Q,ROW()-10))</f>
        <v/>
      </c>
      <c r="M113" s="32" t="inlineStr"/>
    </row>
    <row r="114">
      <c r="A114" s="44">
        <f>IF(INDEX(COA!$A:$A,ROW()-10)="","",INDEX(COA!$A:$A,ROW()-10))</f>
        <v/>
      </c>
      <c r="B114" s="32">
        <f>IF($A114="","",INDEX(COA!$B:$B,ROW()-10))</f>
        <v/>
      </c>
      <c r="C114" s="47">
        <f>IF($A114="","",(SUMIFS(GL_Journal!$S:$S,GL_Journal!$G:$G,"&gt;="&amp;$K114,GL_Journal!$G:$G,"&lt;="&amp;$L114,GL_Journal!$I:$I,TB_LOCC,GL_Journal!$J:$J,TB_CCC,GL_Journal!$D:$D,"&lt;"&amp;TB_From)-SUMIFS(GL_Journal!$T:$T,GL_Journal!$G:$G,"&gt;="&amp;$K114,GL_Journal!$G:$G,"&lt;="&amp;$L114,GL_Journal!$I:$I,TB_LOCC,GL_Journal!$J:$J,TB_CCC,GL_Journal!$D:$D,"&lt;"&amp;TB_From)))</f>
        <v/>
      </c>
      <c r="D114" s="43">
        <f>IF($A114="","",SUMIFS(GL_Journal!$S:$S,GL_Journal!$G:$G,"&gt;="&amp;$K114,GL_Journal!$G:$G,"&lt;="&amp;$L114,GL_Journal!$I:$I,TB_LOCC,GL_Journal!$J:$J,TB_CCC,GL_Journal!$D:$D,"&gt;="&amp;TB_From,GL_Journal!$D:$D,"&lt;="&amp;TB_To))</f>
        <v/>
      </c>
      <c r="E114" s="43">
        <f>IF($A114="","",SUMIFS(GL_Journal!$T:$T,GL_Journal!$G:$G,"&gt;="&amp;$K114,GL_Journal!$G:$G,"&lt;="&amp;$L114,GL_Journal!$I:$I,TB_LOCC,GL_Journal!$J:$J,TB_CCC,GL_Journal!$D:$D,"&gt;="&amp;TB_From,GL_Journal!$D:$D,"&lt;="&amp;TB_To))</f>
        <v/>
      </c>
      <c r="F114" s="43">
        <f>IF($A114="","",MAX($H114,0))</f>
        <v/>
      </c>
      <c r="G114" s="43">
        <f>IF($A114="","",MAX(-$H114,0))</f>
        <v/>
      </c>
      <c r="H114" s="47">
        <f>IF($A114="","",$C114+$D114-$E114)</f>
        <v/>
      </c>
      <c r="I114" s="44">
        <f>IF($A114="","",INDEX(COA!$E:$E,ROW()-10))</f>
        <v/>
      </c>
      <c r="J114" s="44">
        <f>IF($A114="","",INDEX(COA!$F:$F,ROW()-10))</f>
        <v/>
      </c>
      <c r="K114" s="32">
        <f>IF($A114="","",INDEX(COA!$P:$P,ROW()-10))</f>
        <v/>
      </c>
      <c r="L114" s="32">
        <f>IF($A114="","",INDEX(COA!$Q:$Q,ROW()-10))</f>
        <v/>
      </c>
      <c r="M114" s="32" t="inlineStr"/>
    </row>
    <row r="115">
      <c r="A115" s="44">
        <f>IF(INDEX(COA!$A:$A,ROW()-10)="","",INDEX(COA!$A:$A,ROW()-10))</f>
        <v/>
      </c>
      <c r="B115" s="32">
        <f>IF($A115="","",INDEX(COA!$B:$B,ROW()-10))</f>
        <v/>
      </c>
      <c r="C115" s="47">
        <f>IF($A115="","",(SUMIFS(GL_Journal!$S:$S,GL_Journal!$G:$G,"&gt;="&amp;$K115,GL_Journal!$G:$G,"&lt;="&amp;$L115,GL_Journal!$I:$I,TB_LOCC,GL_Journal!$J:$J,TB_CCC,GL_Journal!$D:$D,"&lt;"&amp;TB_From)-SUMIFS(GL_Journal!$T:$T,GL_Journal!$G:$G,"&gt;="&amp;$K115,GL_Journal!$G:$G,"&lt;="&amp;$L115,GL_Journal!$I:$I,TB_LOCC,GL_Journal!$J:$J,TB_CCC,GL_Journal!$D:$D,"&lt;"&amp;TB_From)))</f>
        <v/>
      </c>
      <c r="D115" s="43">
        <f>IF($A115="","",SUMIFS(GL_Journal!$S:$S,GL_Journal!$G:$G,"&gt;="&amp;$K115,GL_Journal!$G:$G,"&lt;="&amp;$L115,GL_Journal!$I:$I,TB_LOCC,GL_Journal!$J:$J,TB_CCC,GL_Journal!$D:$D,"&gt;="&amp;TB_From,GL_Journal!$D:$D,"&lt;="&amp;TB_To))</f>
        <v/>
      </c>
      <c r="E115" s="43">
        <f>IF($A115="","",SUMIFS(GL_Journal!$T:$T,GL_Journal!$G:$G,"&gt;="&amp;$K115,GL_Journal!$G:$G,"&lt;="&amp;$L115,GL_Journal!$I:$I,TB_LOCC,GL_Journal!$J:$J,TB_CCC,GL_Journal!$D:$D,"&gt;="&amp;TB_From,GL_Journal!$D:$D,"&lt;="&amp;TB_To))</f>
        <v/>
      </c>
      <c r="F115" s="43">
        <f>IF($A115="","",MAX($H115,0))</f>
        <v/>
      </c>
      <c r="G115" s="43">
        <f>IF($A115="","",MAX(-$H115,0))</f>
        <v/>
      </c>
      <c r="H115" s="47">
        <f>IF($A115="","",$C115+$D115-$E115)</f>
        <v/>
      </c>
      <c r="I115" s="44">
        <f>IF($A115="","",INDEX(COA!$E:$E,ROW()-10))</f>
        <v/>
      </c>
      <c r="J115" s="44">
        <f>IF($A115="","",INDEX(COA!$F:$F,ROW()-10))</f>
        <v/>
      </c>
      <c r="K115" s="32">
        <f>IF($A115="","",INDEX(COA!$P:$P,ROW()-10))</f>
        <v/>
      </c>
      <c r="L115" s="32">
        <f>IF($A115="","",INDEX(COA!$Q:$Q,ROW()-10))</f>
        <v/>
      </c>
      <c r="M115" s="32" t="inlineStr"/>
    </row>
    <row r="116">
      <c r="A116" s="44">
        <f>IF(INDEX(COA!$A:$A,ROW()-10)="","",INDEX(COA!$A:$A,ROW()-10))</f>
        <v/>
      </c>
      <c r="B116" s="32">
        <f>IF($A116="","",INDEX(COA!$B:$B,ROW()-10))</f>
        <v/>
      </c>
      <c r="C116" s="47">
        <f>IF($A116="","",(SUMIFS(GL_Journal!$S:$S,GL_Journal!$G:$G,"&gt;="&amp;$K116,GL_Journal!$G:$G,"&lt;="&amp;$L116,GL_Journal!$I:$I,TB_LOCC,GL_Journal!$J:$J,TB_CCC,GL_Journal!$D:$D,"&lt;"&amp;TB_From)-SUMIFS(GL_Journal!$T:$T,GL_Journal!$G:$G,"&gt;="&amp;$K116,GL_Journal!$G:$G,"&lt;="&amp;$L116,GL_Journal!$I:$I,TB_LOCC,GL_Journal!$J:$J,TB_CCC,GL_Journal!$D:$D,"&lt;"&amp;TB_From)))</f>
        <v/>
      </c>
      <c r="D116" s="43">
        <f>IF($A116="","",SUMIFS(GL_Journal!$S:$S,GL_Journal!$G:$G,"&gt;="&amp;$K116,GL_Journal!$G:$G,"&lt;="&amp;$L116,GL_Journal!$I:$I,TB_LOCC,GL_Journal!$J:$J,TB_CCC,GL_Journal!$D:$D,"&gt;="&amp;TB_From,GL_Journal!$D:$D,"&lt;="&amp;TB_To))</f>
        <v/>
      </c>
      <c r="E116" s="43">
        <f>IF($A116="","",SUMIFS(GL_Journal!$T:$T,GL_Journal!$G:$G,"&gt;="&amp;$K116,GL_Journal!$G:$G,"&lt;="&amp;$L116,GL_Journal!$I:$I,TB_LOCC,GL_Journal!$J:$J,TB_CCC,GL_Journal!$D:$D,"&gt;="&amp;TB_From,GL_Journal!$D:$D,"&lt;="&amp;TB_To))</f>
        <v/>
      </c>
      <c r="F116" s="43">
        <f>IF($A116="","",MAX($H116,0))</f>
        <v/>
      </c>
      <c r="G116" s="43">
        <f>IF($A116="","",MAX(-$H116,0))</f>
        <v/>
      </c>
      <c r="H116" s="47">
        <f>IF($A116="","",$C116+$D116-$E116)</f>
        <v/>
      </c>
      <c r="I116" s="44">
        <f>IF($A116="","",INDEX(COA!$E:$E,ROW()-10))</f>
        <v/>
      </c>
      <c r="J116" s="44">
        <f>IF($A116="","",INDEX(COA!$F:$F,ROW()-10))</f>
        <v/>
      </c>
      <c r="K116" s="32">
        <f>IF($A116="","",INDEX(COA!$P:$P,ROW()-10))</f>
        <v/>
      </c>
      <c r="L116" s="32">
        <f>IF($A116="","",INDEX(COA!$Q:$Q,ROW()-10))</f>
        <v/>
      </c>
      <c r="M116" s="32" t="inlineStr"/>
    </row>
    <row r="117">
      <c r="A117" s="44">
        <f>IF(INDEX(COA!$A:$A,ROW()-10)="","",INDEX(COA!$A:$A,ROW()-10))</f>
        <v/>
      </c>
      <c r="B117" s="32">
        <f>IF($A117="","",INDEX(COA!$B:$B,ROW()-10))</f>
        <v/>
      </c>
      <c r="C117" s="47">
        <f>IF($A117="","",(SUMIFS(GL_Journal!$S:$S,GL_Journal!$G:$G,"&gt;="&amp;$K117,GL_Journal!$G:$G,"&lt;="&amp;$L117,GL_Journal!$I:$I,TB_LOCC,GL_Journal!$J:$J,TB_CCC,GL_Journal!$D:$D,"&lt;"&amp;TB_From)-SUMIFS(GL_Journal!$T:$T,GL_Journal!$G:$G,"&gt;="&amp;$K117,GL_Journal!$G:$G,"&lt;="&amp;$L117,GL_Journal!$I:$I,TB_LOCC,GL_Journal!$J:$J,TB_CCC,GL_Journal!$D:$D,"&lt;"&amp;TB_From)))</f>
        <v/>
      </c>
      <c r="D117" s="43">
        <f>IF($A117="","",SUMIFS(GL_Journal!$S:$S,GL_Journal!$G:$G,"&gt;="&amp;$K117,GL_Journal!$G:$G,"&lt;="&amp;$L117,GL_Journal!$I:$I,TB_LOCC,GL_Journal!$J:$J,TB_CCC,GL_Journal!$D:$D,"&gt;="&amp;TB_From,GL_Journal!$D:$D,"&lt;="&amp;TB_To))</f>
        <v/>
      </c>
      <c r="E117" s="43">
        <f>IF($A117="","",SUMIFS(GL_Journal!$T:$T,GL_Journal!$G:$G,"&gt;="&amp;$K117,GL_Journal!$G:$G,"&lt;="&amp;$L117,GL_Journal!$I:$I,TB_LOCC,GL_Journal!$J:$J,TB_CCC,GL_Journal!$D:$D,"&gt;="&amp;TB_From,GL_Journal!$D:$D,"&lt;="&amp;TB_To))</f>
        <v/>
      </c>
      <c r="F117" s="43">
        <f>IF($A117="","",MAX($H117,0))</f>
        <v/>
      </c>
      <c r="G117" s="43">
        <f>IF($A117="","",MAX(-$H117,0))</f>
        <v/>
      </c>
      <c r="H117" s="47">
        <f>IF($A117="","",$C117+$D117-$E117)</f>
        <v/>
      </c>
      <c r="I117" s="44">
        <f>IF($A117="","",INDEX(COA!$E:$E,ROW()-10))</f>
        <v/>
      </c>
      <c r="J117" s="44">
        <f>IF($A117="","",INDEX(COA!$F:$F,ROW()-10))</f>
        <v/>
      </c>
      <c r="K117" s="32">
        <f>IF($A117="","",INDEX(COA!$P:$P,ROW()-10))</f>
        <v/>
      </c>
      <c r="L117" s="32">
        <f>IF($A117="","",INDEX(COA!$Q:$Q,ROW()-10))</f>
        <v/>
      </c>
      <c r="M117" s="32" t="inlineStr"/>
    </row>
    <row r="118">
      <c r="A118" s="44">
        <f>IF(INDEX(COA!$A:$A,ROW()-10)="","",INDEX(COA!$A:$A,ROW()-10))</f>
        <v/>
      </c>
      <c r="B118" s="32">
        <f>IF($A118="","",INDEX(COA!$B:$B,ROW()-10))</f>
        <v/>
      </c>
      <c r="C118" s="47">
        <f>IF($A118="","",(SUMIFS(GL_Journal!$S:$S,GL_Journal!$G:$G,"&gt;="&amp;$K118,GL_Journal!$G:$G,"&lt;="&amp;$L118,GL_Journal!$I:$I,TB_LOCC,GL_Journal!$J:$J,TB_CCC,GL_Journal!$D:$D,"&lt;"&amp;TB_From)-SUMIFS(GL_Journal!$T:$T,GL_Journal!$G:$G,"&gt;="&amp;$K118,GL_Journal!$G:$G,"&lt;="&amp;$L118,GL_Journal!$I:$I,TB_LOCC,GL_Journal!$J:$J,TB_CCC,GL_Journal!$D:$D,"&lt;"&amp;TB_From)))</f>
        <v/>
      </c>
      <c r="D118" s="43">
        <f>IF($A118="","",SUMIFS(GL_Journal!$S:$S,GL_Journal!$G:$G,"&gt;="&amp;$K118,GL_Journal!$G:$G,"&lt;="&amp;$L118,GL_Journal!$I:$I,TB_LOCC,GL_Journal!$J:$J,TB_CCC,GL_Journal!$D:$D,"&gt;="&amp;TB_From,GL_Journal!$D:$D,"&lt;="&amp;TB_To))</f>
        <v/>
      </c>
      <c r="E118" s="43">
        <f>IF($A118="","",SUMIFS(GL_Journal!$T:$T,GL_Journal!$G:$G,"&gt;="&amp;$K118,GL_Journal!$G:$G,"&lt;="&amp;$L118,GL_Journal!$I:$I,TB_LOCC,GL_Journal!$J:$J,TB_CCC,GL_Journal!$D:$D,"&gt;="&amp;TB_From,GL_Journal!$D:$D,"&lt;="&amp;TB_To))</f>
        <v/>
      </c>
      <c r="F118" s="43">
        <f>IF($A118="","",MAX($H118,0))</f>
        <v/>
      </c>
      <c r="G118" s="43">
        <f>IF($A118="","",MAX(-$H118,0))</f>
        <v/>
      </c>
      <c r="H118" s="47">
        <f>IF($A118="","",$C118+$D118-$E118)</f>
        <v/>
      </c>
      <c r="I118" s="44">
        <f>IF($A118="","",INDEX(COA!$E:$E,ROW()-10))</f>
        <v/>
      </c>
      <c r="J118" s="44">
        <f>IF($A118="","",INDEX(COA!$F:$F,ROW()-10))</f>
        <v/>
      </c>
      <c r="K118" s="32">
        <f>IF($A118="","",INDEX(COA!$P:$P,ROW()-10))</f>
        <v/>
      </c>
      <c r="L118" s="32">
        <f>IF($A118="","",INDEX(COA!$Q:$Q,ROW()-10))</f>
        <v/>
      </c>
      <c r="M118" s="32" t="inlineStr"/>
    </row>
    <row r="119">
      <c r="A119" s="44">
        <f>IF(INDEX(COA!$A:$A,ROW()-10)="","",INDEX(COA!$A:$A,ROW()-10))</f>
        <v/>
      </c>
      <c r="B119" s="32">
        <f>IF($A119="","",INDEX(COA!$B:$B,ROW()-10))</f>
        <v/>
      </c>
      <c r="C119" s="47">
        <f>IF($A119="","",(SUMIFS(GL_Journal!$S:$S,GL_Journal!$G:$G,"&gt;="&amp;$K119,GL_Journal!$G:$G,"&lt;="&amp;$L119,GL_Journal!$I:$I,TB_LOCC,GL_Journal!$J:$J,TB_CCC,GL_Journal!$D:$D,"&lt;"&amp;TB_From)-SUMIFS(GL_Journal!$T:$T,GL_Journal!$G:$G,"&gt;="&amp;$K119,GL_Journal!$G:$G,"&lt;="&amp;$L119,GL_Journal!$I:$I,TB_LOCC,GL_Journal!$J:$J,TB_CCC,GL_Journal!$D:$D,"&lt;"&amp;TB_From)))</f>
        <v/>
      </c>
      <c r="D119" s="43">
        <f>IF($A119="","",SUMIFS(GL_Journal!$S:$S,GL_Journal!$G:$G,"&gt;="&amp;$K119,GL_Journal!$G:$G,"&lt;="&amp;$L119,GL_Journal!$I:$I,TB_LOCC,GL_Journal!$J:$J,TB_CCC,GL_Journal!$D:$D,"&gt;="&amp;TB_From,GL_Journal!$D:$D,"&lt;="&amp;TB_To))</f>
        <v/>
      </c>
      <c r="E119" s="43">
        <f>IF($A119="","",SUMIFS(GL_Journal!$T:$T,GL_Journal!$G:$G,"&gt;="&amp;$K119,GL_Journal!$G:$G,"&lt;="&amp;$L119,GL_Journal!$I:$I,TB_LOCC,GL_Journal!$J:$J,TB_CCC,GL_Journal!$D:$D,"&gt;="&amp;TB_From,GL_Journal!$D:$D,"&lt;="&amp;TB_To))</f>
        <v/>
      </c>
      <c r="F119" s="43">
        <f>IF($A119="","",MAX($H119,0))</f>
        <v/>
      </c>
      <c r="G119" s="43">
        <f>IF($A119="","",MAX(-$H119,0))</f>
        <v/>
      </c>
      <c r="H119" s="47">
        <f>IF($A119="","",$C119+$D119-$E119)</f>
        <v/>
      </c>
      <c r="I119" s="44">
        <f>IF($A119="","",INDEX(COA!$E:$E,ROW()-10))</f>
        <v/>
      </c>
      <c r="J119" s="44">
        <f>IF($A119="","",INDEX(COA!$F:$F,ROW()-10))</f>
        <v/>
      </c>
      <c r="K119" s="32">
        <f>IF($A119="","",INDEX(COA!$P:$P,ROW()-10))</f>
        <v/>
      </c>
      <c r="L119" s="32">
        <f>IF($A119="","",INDEX(COA!$Q:$Q,ROW()-10))</f>
        <v/>
      </c>
      <c r="M119" s="32" t="inlineStr"/>
    </row>
    <row r="120">
      <c r="A120" s="44">
        <f>IF(INDEX(COA!$A:$A,ROW()-10)="","",INDEX(COA!$A:$A,ROW()-10))</f>
        <v/>
      </c>
      <c r="B120" s="32">
        <f>IF($A120="","",INDEX(COA!$B:$B,ROW()-10))</f>
        <v/>
      </c>
      <c r="C120" s="47">
        <f>IF($A120="","",(SUMIFS(GL_Journal!$S:$S,GL_Journal!$G:$G,"&gt;="&amp;$K120,GL_Journal!$G:$G,"&lt;="&amp;$L120,GL_Journal!$I:$I,TB_LOCC,GL_Journal!$J:$J,TB_CCC,GL_Journal!$D:$D,"&lt;"&amp;TB_From)-SUMIFS(GL_Journal!$T:$T,GL_Journal!$G:$G,"&gt;="&amp;$K120,GL_Journal!$G:$G,"&lt;="&amp;$L120,GL_Journal!$I:$I,TB_LOCC,GL_Journal!$J:$J,TB_CCC,GL_Journal!$D:$D,"&lt;"&amp;TB_From)))</f>
        <v/>
      </c>
      <c r="D120" s="43">
        <f>IF($A120="","",SUMIFS(GL_Journal!$S:$S,GL_Journal!$G:$G,"&gt;="&amp;$K120,GL_Journal!$G:$G,"&lt;="&amp;$L120,GL_Journal!$I:$I,TB_LOCC,GL_Journal!$J:$J,TB_CCC,GL_Journal!$D:$D,"&gt;="&amp;TB_From,GL_Journal!$D:$D,"&lt;="&amp;TB_To))</f>
        <v/>
      </c>
      <c r="E120" s="43">
        <f>IF($A120="","",SUMIFS(GL_Journal!$T:$T,GL_Journal!$G:$G,"&gt;="&amp;$K120,GL_Journal!$G:$G,"&lt;="&amp;$L120,GL_Journal!$I:$I,TB_LOCC,GL_Journal!$J:$J,TB_CCC,GL_Journal!$D:$D,"&gt;="&amp;TB_From,GL_Journal!$D:$D,"&lt;="&amp;TB_To))</f>
        <v/>
      </c>
      <c r="F120" s="43">
        <f>IF($A120="","",MAX($H120,0))</f>
        <v/>
      </c>
      <c r="G120" s="43">
        <f>IF($A120="","",MAX(-$H120,0))</f>
        <v/>
      </c>
      <c r="H120" s="47">
        <f>IF($A120="","",$C120+$D120-$E120)</f>
        <v/>
      </c>
      <c r="I120" s="44">
        <f>IF($A120="","",INDEX(COA!$E:$E,ROW()-10))</f>
        <v/>
      </c>
      <c r="J120" s="44">
        <f>IF($A120="","",INDEX(COA!$F:$F,ROW()-10))</f>
        <v/>
      </c>
      <c r="K120" s="32">
        <f>IF($A120="","",INDEX(COA!$P:$P,ROW()-10))</f>
        <v/>
      </c>
      <c r="L120" s="32">
        <f>IF($A120="","",INDEX(COA!$Q:$Q,ROW()-10))</f>
        <v/>
      </c>
      <c r="M120" s="32" t="inlineStr"/>
    </row>
    <row r="121">
      <c r="A121" s="44">
        <f>IF(INDEX(COA!$A:$A,ROW()-10)="","",INDEX(COA!$A:$A,ROW()-10))</f>
        <v/>
      </c>
      <c r="B121" s="32">
        <f>IF($A121="","",INDEX(COA!$B:$B,ROW()-10))</f>
        <v/>
      </c>
      <c r="C121" s="47">
        <f>IF($A121="","",(SUMIFS(GL_Journal!$S:$S,GL_Journal!$G:$G,"&gt;="&amp;$K121,GL_Journal!$G:$G,"&lt;="&amp;$L121,GL_Journal!$I:$I,TB_LOCC,GL_Journal!$J:$J,TB_CCC,GL_Journal!$D:$D,"&lt;"&amp;TB_From)-SUMIFS(GL_Journal!$T:$T,GL_Journal!$G:$G,"&gt;="&amp;$K121,GL_Journal!$G:$G,"&lt;="&amp;$L121,GL_Journal!$I:$I,TB_LOCC,GL_Journal!$J:$J,TB_CCC,GL_Journal!$D:$D,"&lt;"&amp;TB_From)))</f>
        <v/>
      </c>
      <c r="D121" s="43">
        <f>IF($A121="","",SUMIFS(GL_Journal!$S:$S,GL_Journal!$G:$G,"&gt;="&amp;$K121,GL_Journal!$G:$G,"&lt;="&amp;$L121,GL_Journal!$I:$I,TB_LOCC,GL_Journal!$J:$J,TB_CCC,GL_Journal!$D:$D,"&gt;="&amp;TB_From,GL_Journal!$D:$D,"&lt;="&amp;TB_To))</f>
        <v/>
      </c>
      <c r="E121" s="43">
        <f>IF($A121="","",SUMIFS(GL_Journal!$T:$T,GL_Journal!$G:$G,"&gt;="&amp;$K121,GL_Journal!$G:$G,"&lt;="&amp;$L121,GL_Journal!$I:$I,TB_LOCC,GL_Journal!$J:$J,TB_CCC,GL_Journal!$D:$D,"&gt;="&amp;TB_From,GL_Journal!$D:$D,"&lt;="&amp;TB_To))</f>
        <v/>
      </c>
      <c r="F121" s="43">
        <f>IF($A121="","",MAX($H121,0))</f>
        <v/>
      </c>
      <c r="G121" s="43">
        <f>IF($A121="","",MAX(-$H121,0))</f>
        <v/>
      </c>
      <c r="H121" s="47">
        <f>IF($A121="","",$C121+$D121-$E121)</f>
        <v/>
      </c>
      <c r="I121" s="44">
        <f>IF($A121="","",INDEX(COA!$E:$E,ROW()-10))</f>
        <v/>
      </c>
      <c r="J121" s="44">
        <f>IF($A121="","",INDEX(COA!$F:$F,ROW()-10))</f>
        <v/>
      </c>
      <c r="K121" s="32">
        <f>IF($A121="","",INDEX(COA!$P:$P,ROW()-10))</f>
        <v/>
      </c>
      <c r="L121" s="32">
        <f>IF($A121="","",INDEX(COA!$Q:$Q,ROW()-10))</f>
        <v/>
      </c>
      <c r="M121" s="32" t="inlineStr"/>
    </row>
    <row r="122">
      <c r="A122" s="44">
        <f>IF(INDEX(COA!$A:$A,ROW()-10)="","",INDEX(COA!$A:$A,ROW()-10))</f>
        <v/>
      </c>
      <c r="B122" s="32">
        <f>IF($A122="","",INDEX(COA!$B:$B,ROW()-10))</f>
        <v/>
      </c>
      <c r="C122" s="47">
        <f>IF($A122="","",(SUMIFS(GL_Journal!$S:$S,GL_Journal!$G:$G,"&gt;="&amp;$K122,GL_Journal!$G:$G,"&lt;="&amp;$L122,GL_Journal!$I:$I,TB_LOCC,GL_Journal!$J:$J,TB_CCC,GL_Journal!$D:$D,"&lt;"&amp;TB_From)-SUMIFS(GL_Journal!$T:$T,GL_Journal!$G:$G,"&gt;="&amp;$K122,GL_Journal!$G:$G,"&lt;="&amp;$L122,GL_Journal!$I:$I,TB_LOCC,GL_Journal!$J:$J,TB_CCC,GL_Journal!$D:$D,"&lt;"&amp;TB_From)))</f>
        <v/>
      </c>
      <c r="D122" s="43">
        <f>IF($A122="","",SUMIFS(GL_Journal!$S:$S,GL_Journal!$G:$G,"&gt;="&amp;$K122,GL_Journal!$G:$G,"&lt;="&amp;$L122,GL_Journal!$I:$I,TB_LOCC,GL_Journal!$J:$J,TB_CCC,GL_Journal!$D:$D,"&gt;="&amp;TB_From,GL_Journal!$D:$D,"&lt;="&amp;TB_To))</f>
        <v/>
      </c>
      <c r="E122" s="43">
        <f>IF($A122="","",SUMIFS(GL_Journal!$T:$T,GL_Journal!$G:$G,"&gt;="&amp;$K122,GL_Journal!$G:$G,"&lt;="&amp;$L122,GL_Journal!$I:$I,TB_LOCC,GL_Journal!$J:$J,TB_CCC,GL_Journal!$D:$D,"&gt;="&amp;TB_From,GL_Journal!$D:$D,"&lt;="&amp;TB_To))</f>
        <v/>
      </c>
      <c r="F122" s="43">
        <f>IF($A122="","",MAX($H122,0))</f>
        <v/>
      </c>
      <c r="G122" s="43">
        <f>IF($A122="","",MAX(-$H122,0))</f>
        <v/>
      </c>
      <c r="H122" s="47">
        <f>IF($A122="","",$C122+$D122-$E122)</f>
        <v/>
      </c>
      <c r="I122" s="44">
        <f>IF($A122="","",INDEX(COA!$E:$E,ROW()-10))</f>
        <v/>
      </c>
      <c r="J122" s="44">
        <f>IF($A122="","",INDEX(COA!$F:$F,ROW()-10))</f>
        <v/>
      </c>
      <c r="K122" s="32">
        <f>IF($A122="","",INDEX(COA!$P:$P,ROW()-10))</f>
        <v/>
      </c>
      <c r="L122" s="32">
        <f>IF($A122="","",INDEX(COA!$Q:$Q,ROW()-10))</f>
        <v/>
      </c>
      <c r="M122" s="32" t="inlineStr"/>
    </row>
    <row r="123">
      <c r="A123" s="44">
        <f>IF(INDEX(COA!$A:$A,ROW()-10)="","",INDEX(COA!$A:$A,ROW()-10))</f>
        <v/>
      </c>
      <c r="B123" s="32">
        <f>IF($A123="","",INDEX(COA!$B:$B,ROW()-10))</f>
        <v/>
      </c>
      <c r="C123" s="47">
        <f>IF($A123="","",(SUMIFS(GL_Journal!$S:$S,GL_Journal!$G:$G,"&gt;="&amp;$K123,GL_Journal!$G:$G,"&lt;="&amp;$L123,GL_Journal!$I:$I,TB_LOCC,GL_Journal!$J:$J,TB_CCC,GL_Journal!$D:$D,"&lt;"&amp;TB_From)-SUMIFS(GL_Journal!$T:$T,GL_Journal!$G:$G,"&gt;="&amp;$K123,GL_Journal!$G:$G,"&lt;="&amp;$L123,GL_Journal!$I:$I,TB_LOCC,GL_Journal!$J:$J,TB_CCC,GL_Journal!$D:$D,"&lt;"&amp;TB_From)))</f>
        <v/>
      </c>
      <c r="D123" s="43">
        <f>IF($A123="","",SUMIFS(GL_Journal!$S:$S,GL_Journal!$G:$G,"&gt;="&amp;$K123,GL_Journal!$G:$G,"&lt;="&amp;$L123,GL_Journal!$I:$I,TB_LOCC,GL_Journal!$J:$J,TB_CCC,GL_Journal!$D:$D,"&gt;="&amp;TB_From,GL_Journal!$D:$D,"&lt;="&amp;TB_To))</f>
        <v/>
      </c>
      <c r="E123" s="43">
        <f>IF($A123="","",SUMIFS(GL_Journal!$T:$T,GL_Journal!$G:$G,"&gt;="&amp;$K123,GL_Journal!$G:$G,"&lt;="&amp;$L123,GL_Journal!$I:$I,TB_LOCC,GL_Journal!$J:$J,TB_CCC,GL_Journal!$D:$D,"&gt;="&amp;TB_From,GL_Journal!$D:$D,"&lt;="&amp;TB_To))</f>
        <v/>
      </c>
      <c r="F123" s="43">
        <f>IF($A123="","",MAX($H123,0))</f>
        <v/>
      </c>
      <c r="G123" s="43">
        <f>IF($A123="","",MAX(-$H123,0))</f>
        <v/>
      </c>
      <c r="H123" s="47">
        <f>IF($A123="","",$C123+$D123-$E123)</f>
        <v/>
      </c>
      <c r="I123" s="44">
        <f>IF($A123="","",INDEX(COA!$E:$E,ROW()-10))</f>
        <v/>
      </c>
      <c r="J123" s="44">
        <f>IF($A123="","",INDEX(COA!$F:$F,ROW()-10))</f>
        <v/>
      </c>
      <c r="K123" s="32">
        <f>IF($A123="","",INDEX(COA!$P:$P,ROW()-10))</f>
        <v/>
      </c>
      <c r="L123" s="32">
        <f>IF($A123="","",INDEX(COA!$Q:$Q,ROW()-10))</f>
        <v/>
      </c>
      <c r="M123" s="32" t="inlineStr"/>
    </row>
    <row r="124">
      <c r="A124" s="44">
        <f>IF(INDEX(COA!$A:$A,ROW()-10)="","",INDEX(COA!$A:$A,ROW()-10))</f>
        <v/>
      </c>
      <c r="B124" s="32">
        <f>IF($A124="","",INDEX(COA!$B:$B,ROW()-10))</f>
        <v/>
      </c>
      <c r="C124" s="47">
        <f>IF($A124="","",(SUMIFS(GL_Journal!$S:$S,GL_Journal!$G:$G,"&gt;="&amp;$K124,GL_Journal!$G:$G,"&lt;="&amp;$L124,GL_Journal!$I:$I,TB_LOCC,GL_Journal!$J:$J,TB_CCC,GL_Journal!$D:$D,"&lt;"&amp;TB_From)-SUMIFS(GL_Journal!$T:$T,GL_Journal!$G:$G,"&gt;="&amp;$K124,GL_Journal!$G:$G,"&lt;="&amp;$L124,GL_Journal!$I:$I,TB_LOCC,GL_Journal!$J:$J,TB_CCC,GL_Journal!$D:$D,"&lt;"&amp;TB_From)))</f>
        <v/>
      </c>
      <c r="D124" s="43">
        <f>IF($A124="","",SUMIFS(GL_Journal!$S:$S,GL_Journal!$G:$G,"&gt;="&amp;$K124,GL_Journal!$G:$G,"&lt;="&amp;$L124,GL_Journal!$I:$I,TB_LOCC,GL_Journal!$J:$J,TB_CCC,GL_Journal!$D:$D,"&gt;="&amp;TB_From,GL_Journal!$D:$D,"&lt;="&amp;TB_To))</f>
        <v/>
      </c>
      <c r="E124" s="43">
        <f>IF($A124="","",SUMIFS(GL_Journal!$T:$T,GL_Journal!$G:$G,"&gt;="&amp;$K124,GL_Journal!$G:$G,"&lt;="&amp;$L124,GL_Journal!$I:$I,TB_LOCC,GL_Journal!$J:$J,TB_CCC,GL_Journal!$D:$D,"&gt;="&amp;TB_From,GL_Journal!$D:$D,"&lt;="&amp;TB_To))</f>
        <v/>
      </c>
      <c r="F124" s="43">
        <f>IF($A124="","",MAX($H124,0))</f>
        <v/>
      </c>
      <c r="G124" s="43">
        <f>IF($A124="","",MAX(-$H124,0))</f>
        <v/>
      </c>
      <c r="H124" s="47">
        <f>IF($A124="","",$C124+$D124-$E124)</f>
        <v/>
      </c>
      <c r="I124" s="44">
        <f>IF($A124="","",INDEX(COA!$E:$E,ROW()-10))</f>
        <v/>
      </c>
      <c r="J124" s="44">
        <f>IF($A124="","",INDEX(COA!$F:$F,ROW()-10))</f>
        <v/>
      </c>
      <c r="K124" s="32">
        <f>IF($A124="","",INDEX(COA!$P:$P,ROW()-10))</f>
        <v/>
      </c>
      <c r="L124" s="32">
        <f>IF($A124="","",INDEX(COA!$Q:$Q,ROW()-10))</f>
        <v/>
      </c>
      <c r="M124" s="32" t="inlineStr"/>
    </row>
    <row r="125">
      <c r="A125" s="44">
        <f>IF(INDEX(COA!$A:$A,ROW()-10)="","",INDEX(COA!$A:$A,ROW()-10))</f>
        <v/>
      </c>
      <c r="B125" s="32">
        <f>IF($A125="","",INDEX(COA!$B:$B,ROW()-10))</f>
        <v/>
      </c>
      <c r="C125" s="47">
        <f>IF($A125="","",(SUMIFS(GL_Journal!$S:$S,GL_Journal!$G:$G,"&gt;="&amp;$K125,GL_Journal!$G:$G,"&lt;="&amp;$L125,GL_Journal!$I:$I,TB_LOCC,GL_Journal!$J:$J,TB_CCC,GL_Journal!$D:$D,"&lt;"&amp;TB_From)-SUMIFS(GL_Journal!$T:$T,GL_Journal!$G:$G,"&gt;="&amp;$K125,GL_Journal!$G:$G,"&lt;="&amp;$L125,GL_Journal!$I:$I,TB_LOCC,GL_Journal!$J:$J,TB_CCC,GL_Journal!$D:$D,"&lt;"&amp;TB_From)))</f>
        <v/>
      </c>
      <c r="D125" s="43">
        <f>IF($A125="","",SUMIFS(GL_Journal!$S:$S,GL_Journal!$G:$G,"&gt;="&amp;$K125,GL_Journal!$G:$G,"&lt;="&amp;$L125,GL_Journal!$I:$I,TB_LOCC,GL_Journal!$J:$J,TB_CCC,GL_Journal!$D:$D,"&gt;="&amp;TB_From,GL_Journal!$D:$D,"&lt;="&amp;TB_To))</f>
        <v/>
      </c>
      <c r="E125" s="43">
        <f>IF($A125="","",SUMIFS(GL_Journal!$T:$T,GL_Journal!$G:$G,"&gt;="&amp;$K125,GL_Journal!$G:$G,"&lt;="&amp;$L125,GL_Journal!$I:$I,TB_LOCC,GL_Journal!$J:$J,TB_CCC,GL_Journal!$D:$D,"&gt;="&amp;TB_From,GL_Journal!$D:$D,"&lt;="&amp;TB_To))</f>
        <v/>
      </c>
      <c r="F125" s="43">
        <f>IF($A125="","",MAX($H125,0))</f>
        <v/>
      </c>
      <c r="G125" s="43">
        <f>IF($A125="","",MAX(-$H125,0))</f>
        <v/>
      </c>
      <c r="H125" s="47">
        <f>IF($A125="","",$C125+$D125-$E125)</f>
        <v/>
      </c>
      <c r="I125" s="44">
        <f>IF($A125="","",INDEX(COA!$E:$E,ROW()-10))</f>
        <v/>
      </c>
      <c r="J125" s="44">
        <f>IF($A125="","",INDEX(COA!$F:$F,ROW()-10))</f>
        <v/>
      </c>
      <c r="K125" s="32">
        <f>IF($A125="","",INDEX(COA!$P:$P,ROW()-10))</f>
        <v/>
      </c>
      <c r="L125" s="32">
        <f>IF($A125="","",INDEX(COA!$Q:$Q,ROW()-10))</f>
        <v/>
      </c>
      <c r="M125" s="32" t="inlineStr"/>
    </row>
    <row r="126">
      <c r="A126" s="44">
        <f>IF(INDEX(COA!$A:$A,ROW()-10)="","",INDEX(COA!$A:$A,ROW()-10))</f>
        <v/>
      </c>
      <c r="B126" s="32">
        <f>IF($A126="","",INDEX(COA!$B:$B,ROW()-10))</f>
        <v/>
      </c>
      <c r="C126" s="47">
        <f>IF($A126="","",(SUMIFS(GL_Journal!$S:$S,GL_Journal!$G:$G,"&gt;="&amp;$K126,GL_Journal!$G:$G,"&lt;="&amp;$L126,GL_Journal!$I:$I,TB_LOCC,GL_Journal!$J:$J,TB_CCC,GL_Journal!$D:$D,"&lt;"&amp;TB_From)-SUMIFS(GL_Journal!$T:$T,GL_Journal!$G:$G,"&gt;="&amp;$K126,GL_Journal!$G:$G,"&lt;="&amp;$L126,GL_Journal!$I:$I,TB_LOCC,GL_Journal!$J:$J,TB_CCC,GL_Journal!$D:$D,"&lt;"&amp;TB_From)))</f>
        <v/>
      </c>
      <c r="D126" s="43">
        <f>IF($A126="","",SUMIFS(GL_Journal!$S:$S,GL_Journal!$G:$G,"&gt;="&amp;$K126,GL_Journal!$G:$G,"&lt;="&amp;$L126,GL_Journal!$I:$I,TB_LOCC,GL_Journal!$J:$J,TB_CCC,GL_Journal!$D:$D,"&gt;="&amp;TB_From,GL_Journal!$D:$D,"&lt;="&amp;TB_To))</f>
        <v/>
      </c>
      <c r="E126" s="43">
        <f>IF($A126="","",SUMIFS(GL_Journal!$T:$T,GL_Journal!$G:$G,"&gt;="&amp;$K126,GL_Journal!$G:$G,"&lt;="&amp;$L126,GL_Journal!$I:$I,TB_LOCC,GL_Journal!$J:$J,TB_CCC,GL_Journal!$D:$D,"&gt;="&amp;TB_From,GL_Journal!$D:$D,"&lt;="&amp;TB_To))</f>
        <v/>
      </c>
      <c r="F126" s="43">
        <f>IF($A126="","",MAX($H126,0))</f>
        <v/>
      </c>
      <c r="G126" s="43">
        <f>IF($A126="","",MAX(-$H126,0))</f>
        <v/>
      </c>
      <c r="H126" s="47">
        <f>IF($A126="","",$C126+$D126-$E126)</f>
        <v/>
      </c>
      <c r="I126" s="44">
        <f>IF($A126="","",INDEX(COA!$E:$E,ROW()-10))</f>
        <v/>
      </c>
      <c r="J126" s="44">
        <f>IF($A126="","",INDEX(COA!$F:$F,ROW()-10))</f>
        <v/>
      </c>
      <c r="K126" s="32">
        <f>IF($A126="","",INDEX(COA!$P:$P,ROW()-10))</f>
        <v/>
      </c>
      <c r="L126" s="32">
        <f>IF($A126="","",INDEX(COA!$Q:$Q,ROW()-10))</f>
        <v/>
      </c>
      <c r="M126" s="32" t="inlineStr"/>
    </row>
    <row r="127">
      <c r="A127" s="44">
        <f>IF(INDEX(COA!$A:$A,ROW()-10)="","",INDEX(COA!$A:$A,ROW()-10))</f>
        <v/>
      </c>
      <c r="B127" s="32">
        <f>IF($A127="","",INDEX(COA!$B:$B,ROW()-10))</f>
        <v/>
      </c>
      <c r="C127" s="47">
        <f>IF($A127="","",(SUMIFS(GL_Journal!$S:$S,GL_Journal!$G:$G,"&gt;="&amp;$K127,GL_Journal!$G:$G,"&lt;="&amp;$L127,GL_Journal!$I:$I,TB_LOCC,GL_Journal!$J:$J,TB_CCC,GL_Journal!$D:$D,"&lt;"&amp;TB_From)-SUMIFS(GL_Journal!$T:$T,GL_Journal!$G:$G,"&gt;="&amp;$K127,GL_Journal!$G:$G,"&lt;="&amp;$L127,GL_Journal!$I:$I,TB_LOCC,GL_Journal!$J:$J,TB_CCC,GL_Journal!$D:$D,"&lt;"&amp;TB_From)))</f>
        <v/>
      </c>
      <c r="D127" s="43">
        <f>IF($A127="","",SUMIFS(GL_Journal!$S:$S,GL_Journal!$G:$G,"&gt;="&amp;$K127,GL_Journal!$G:$G,"&lt;="&amp;$L127,GL_Journal!$I:$I,TB_LOCC,GL_Journal!$J:$J,TB_CCC,GL_Journal!$D:$D,"&gt;="&amp;TB_From,GL_Journal!$D:$D,"&lt;="&amp;TB_To))</f>
        <v/>
      </c>
      <c r="E127" s="43">
        <f>IF($A127="","",SUMIFS(GL_Journal!$T:$T,GL_Journal!$G:$G,"&gt;="&amp;$K127,GL_Journal!$G:$G,"&lt;="&amp;$L127,GL_Journal!$I:$I,TB_LOCC,GL_Journal!$J:$J,TB_CCC,GL_Journal!$D:$D,"&gt;="&amp;TB_From,GL_Journal!$D:$D,"&lt;="&amp;TB_To))</f>
        <v/>
      </c>
      <c r="F127" s="43">
        <f>IF($A127="","",MAX($H127,0))</f>
        <v/>
      </c>
      <c r="G127" s="43">
        <f>IF($A127="","",MAX(-$H127,0))</f>
        <v/>
      </c>
      <c r="H127" s="47">
        <f>IF($A127="","",$C127+$D127-$E127)</f>
        <v/>
      </c>
      <c r="I127" s="44">
        <f>IF($A127="","",INDEX(COA!$E:$E,ROW()-10))</f>
        <v/>
      </c>
      <c r="J127" s="44">
        <f>IF($A127="","",INDEX(COA!$F:$F,ROW()-10))</f>
        <v/>
      </c>
      <c r="K127" s="32">
        <f>IF($A127="","",INDEX(COA!$P:$P,ROW()-10))</f>
        <v/>
      </c>
      <c r="L127" s="32">
        <f>IF($A127="","",INDEX(COA!$Q:$Q,ROW()-10))</f>
        <v/>
      </c>
      <c r="M127" s="32" t="inlineStr"/>
    </row>
    <row r="128">
      <c r="A128" s="44">
        <f>IF(INDEX(COA!$A:$A,ROW()-10)="","",INDEX(COA!$A:$A,ROW()-10))</f>
        <v/>
      </c>
      <c r="B128" s="32">
        <f>IF($A128="","",INDEX(COA!$B:$B,ROW()-10))</f>
        <v/>
      </c>
      <c r="C128" s="47">
        <f>IF($A128="","",(SUMIFS(GL_Journal!$S:$S,GL_Journal!$G:$G,"&gt;="&amp;$K128,GL_Journal!$G:$G,"&lt;="&amp;$L128,GL_Journal!$I:$I,TB_LOCC,GL_Journal!$J:$J,TB_CCC,GL_Journal!$D:$D,"&lt;"&amp;TB_From)-SUMIFS(GL_Journal!$T:$T,GL_Journal!$G:$G,"&gt;="&amp;$K128,GL_Journal!$G:$G,"&lt;="&amp;$L128,GL_Journal!$I:$I,TB_LOCC,GL_Journal!$J:$J,TB_CCC,GL_Journal!$D:$D,"&lt;"&amp;TB_From)))</f>
        <v/>
      </c>
      <c r="D128" s="43">
        <f>IF($A128="","",SUMIFS(GL_Journal!$S:$S,GL_Journal!$G:$G,"&gt;="&amp;$K128,GL_Journal!$G:$G,"&lt;="&amp;$L128,GL_Journal!$I:$I,TB_LOCC,GL_Journal!$J:$J,TB_CCC,GL_Journal!$D:$D,"&gt;="&amp;TB_From,GL_Journal!$D:$D,"&lt;="&amp;TB_To))</f>
        <v/>
      </c>
      <c r="E128" s="43">
        <f>IF($A128="","",SUMIFS(GL_Journal!$T:$T,GL_Journal!$G:$G,"&gt;="&amp;$K128,GL_Journal!$G:$G,"&lt;="&amp;$L128,GL_Journal!$I:$I,TB_LOCC,GL_Journal!$J:$J,TB_CCC,GL_Journal!$D:$D,"&gt;="&amp;TB_From,GL_Journal!$D:$D,"&lt;="&amp;TB_To))</f>
        <v/>
      </c>
      <c r="F128" s="43">
        <f>IF($A128="","",MAX($H128,0))</f>
        <v/>
      </c>
      <c r="G128" s="43">
        <f>IF($A128="","",MAX(-$H128,0))</f>
        <v/>
      </c>
      <c r="H128" s="47">
        <f>IF($A128="","",$C128+$D128-$E128)</f>
        <v/>
      </c>
      <c r="I128" s="44">
        <f>IF($A128="","",INDEX(COA!$E:$E,ROW()-10))</f>
        <v/>
      </c>
      <c r="J128" s="44">
        <f>IF($A128="","",INDEX(COA!$F:$F,ROW()-10))</f>
        <v/>
      </c>
      <c r="K128" s="32">
        <f>IF($A128="","",INDEX(COA!$P:$P,ROW()-10))</f>
        <v/>
      </c>
      <c r="L128" s="32">
        <f>IF($A128="","",INDEX(COA!$Q:$Q,ROW()-10))</f>
        <v/>
      </c>
      <c r="M128" s="32" t="inlineStr"/>
    </row>
    <row r="129">
      <c r="A129" s="44">
        <f>IF(INDEX(COA!$A:$A,ROW()-10)="","",INDEX(COA!$A:$A,ROW()-10))</f>
        <v/>
      </c>
      <c r="B129" s="32">
        <f>IF($A129="","",INDEX(COA!$B:$B,ROW()-10))</f>
        <v/>
      </c>
      <c r="C129" s="47">
        <f>IF($A129="","",(SUMIFS(GL_Journal!$S:$S,GL_Journal!$G:$G,"&gt;="&amp;$K129,GL_Journal!$G:$G,"&lt;="&amp;$L129,GL_Journal!$I:$I,TB_LOCC,GL_Journal!$J:$J,TB_CCC,GL_Journal!$D:$D,"&lt;"&amp;TB_From)-SUMIFS(GL_Journal!$T:$T,GL_Journal!$G:$G,"&gt;="&amp;$K129,GL_Journal!$G:$G,"&lt;="&amp;$L129,GL_Journal!$I:$I,TB_LOCC,GL_Journal!$J:$J,TB_CCC,GL_Journal!$D:$D,"&lt;"&amp;TB_From)))</f>
        <v/>
      </c>
      <c r="D129" s="43">
        <f>IF($A129="","",SUMIFS(GL_Journal!$S:$S,GL_Journal!$G:$G,"&gt;="&amp;$K129,GL_Journal!$G:$G,"&lt;="&amp;$L129,GL_Journal!$I:$I,TB_LOCC,GL_Journal!$J:$J,TB_CCC,GL_Journal!$D:$D,"&gt;="&amp;TB_From,GL_Journal!$D:$D,"&lt;="&amp;TB_To))</f>
        <v/>
      </c>
      <c r="E129" s="43">
        <f>IF($A129="","",SUMIFS(GL_Journal!$T:$T,GL_Journal!$G:$G,"&gt;="&amp;$K129,GL_Journal!$G:$G,"&lt;="&amp;$L129,GL_Journal!$I:$I,TB_LOCC,GL_Journal!$J:$J,TB_CCC,GL_Journal!$D:$D,"&gt;="&amp;TB_From,GL_Journal!$D:$D,"&lt;="&amp;TB_To))</f>
        <v/>
      </c>
      <c r="F129" s="43">
        <f>IF($A129="","",MAX($H129,0))</f>
        <v/>
      </c>
      <c r="G129" s="43">
        <f>IF($A129="","",MAX(-$H129,0))</f>
        <v/>
      </c>
      <c r="H129" s="47">
        <f>IF($A129="","",$C129+$D129-$E129)</f>
        <v/>
      </c>
      <c r="I129" s="44">
        <f>IF($A129="","",INDEX(COA!$E:$E,ROW()-10))</f>
        <v/>
      </c>
      <c r="J129" s="44">
        <f>IF($A129="","",INDEX(COA!$F:$F,ROW()-10))</f>
        <v/>
      </c>
      <c r="K129" s="32">
        <f>IF($A129="","",INDEX(COA!$P:$P,ROW()-10))</f>
        <v/>
      </c>
      <c r="L129" s="32">
        <f>IF($A129="","",INDEX(COA!$Q:$Q,ROW()-10))</f>
        <v/>
      </c>
      <c r="M129" s="32" t="inlineStr"/>
    </row>
    <row r="130">
      <c r="A130" s="44">
        <f>IF(INDEX(COA!$A:$A,ROW()-10)="","",INDEX(COA!$A:$A,ROW()-10))</f>
        <v/>
      </c>
      <c r="B130" s="32">
        <f>IF($A130="","",INDEX(COA!$B:$B,ROW()-10))</f>
        <v/>
      </c>
      <c r="C130" s="47">
        <f>IF($A130="","",(SUMIFS(GL_Journal!$S:$S,GL_Journal!$G:$G,"&gt;="&amp;$K130,GL_Journal!$G:$G,"&lt;="&amp;$L130,GL_Journal!$I:$I,TB_LOCC,GL_Journal!$J:$J,TB_CCC,GL_Journal!$D:$D,"&lt;"&amp;TB_From)-SUMIFS(GL_Journal!$T:$T,GL_Journal!$G:$G,"&gt;="&amp;$K130,GL_Journal!$G:$G,"&lt;="&amp;$L130,GL_Journal!$I:$I,TB_LOCC,GL_Journal!$J:$J,TB_CCC,GL_Journal!$D:$D,"&lt;"&amp;TB_From)))</f>
        <v/>
      </c>
      <c r="D130" s="43">
        <f>IF($A130="","",SUMIFS(GL_Journal!$S:$S,GL_Journal!$G:$G,"&gt;="&amp;$K130,GL_Journal!$G:$G,"&lt;="&amp;$L130,GL_Journal!$I:$I,TB_LOCC,GL_Journal!$J:$J,TB_CCC,GL_Journal!$D:$D,"&gt;="&amp;TB_From,GL_Journal!$D:$D,"&lt;="&amp;TB_To))</f>
        <v/>
      </c>
      <c r="E130" s="43">
        <f>IF($A130="","",SUMIFS(GL_Journal!$T:$T,GL_Journal!$G:$G,"&gt;="&amp;$K130,GL_Journal!$G:$G,"&lt;="&amp;$L130,GL_Journal!$I:$I,TB_LOCC,GL_Journal!$J:$J,TB_CCC,GL_Journal!$D:$D,"&gt;="&amp;TB_From,GL_Journal!$D:$D,"&lt;="&amp;TB_To))</f>
        <v/>
      </c>
      <c r="F130" s="43">
        <f>IF($A130="","",MAX($H130,0))</f>
        <v/>
      </c>
      <c r="G130" s="43">
        <f>IF($A130="","",MAX(-$H130,0))</f>
        <v/>
      </c>
      <c r="H130" s="47">
        <f>IF($A130="","",$C130+$D130-$E130)</f>
        <v/>
      </c>
      <c r="I130" s="44">
        <f>IF($A130="","",INDEX(COA!$E:$E,ROW()-10))</f>
        <v/>
      </c>
      <c r="J130" s="44">
        <f>IF($A130="","",INDEX(COA!$F:$F,ROW()-10))</f>
        <v/>
      </c>
      <c r="K130" s="32">
        <f>IF($A130="","",INDEX(COA!$P:$P,ROW()-10))</f>
        <v/>
      </c>
      <c r="L130" s="32">
        <f>IF($A130="","",INDEX(COA!$Q:$Q,ROW()-10))</f>
        <v/>
      </c>
      <c r="M130" s="32" t="inlineStr"/>
    </row>
    <row r="131">
      <c r="A131" s="44">
        <f>IF(INDEX(COA!$A:$A,ROW()-10)="","",INDEX(COA!$A:$A,ROW()-10))</f>
        <v/>
      </c>
      <c r="B131" s="32">
        <f>IF($A131="","",INDEX(COA!$B:$B,ROW()-10))</f>
        <v/>
      </c>
      <c r="C131" s="47">
        <f>IF($A131="","",(SUMIFS(GL_Journal!$S:$S,GL_Journal!$G:$G,"&gt;="&amp;$K131,GL_Journal!$G:$G,"&lt;="&amp;$L131,GL_Journal!$I:$I,TB_LOCC,GL_Journal!$J:$J,TB_CCC,GL_Journal!$D:$D,"&lt;"&amp;TB_From)-SUMIFS(GL_Journal!$T:$T,GL_Journal!$G:$G,"&gt;="&amp;$K131,GL_Journal!$G:$G,"&lt;="&amp;$L131,GL_Journal!$I:$I,TB_LOCC,GL_Journal!$J:$J,TB_CCC,GL_Journal!$D:$D,"&lt;"&amp;TB_From)))</f>
        <v/>
      </c>
      <c r="D131" s="43">
        <f>IF($A131="","",SUMIFS(GL_Journal!$S:$S,GL_Journal!$G:$G,"&gt;="&amp;$K131,GL_Journal!$G:$G,"&lt;="&amp;$L131,GL_Journal!$I:$I,TB_LOCC,GL_Journal!$J:$J,TB_CCC,GL_Journal!$D:$D,"&gt;="&amp;TB_From,GL_Journal!$D:$D,"&lt;="&amp;TB_To))</f>
        <v/>
      </c>
      <c r="E131" s="43">
        <f>IF($A131="","",SUMIFS(GL_Journal!$T:$T,GL_Journal!$G:$G,"&gt;="&amp;$K131,GL_Journal!$G:$G,"&lt;="&amp;$L131,GL_Journal!$I:$I,TB_LOCC,GL_Journal!$J:$J,TB_CCC,GL_Journal!$D:$D,"&gt;="&amp;TB_From,GL_Journal!$D:$D,"&lt;="&amp;TB_To))</f>
        <v/>
      </c>
      <c r="F131" s="43">
        <f>IF($A131="","",MAX($H131,0))</f>
        <v/>
      </c>
      <c r="G131" s="43">
        <f>IF($A131="","",MAX(-$H131,0))</f>
        <v/>
      </c>
      <c r="H131" s="47">
        <f>IF($A131="","",$C131+$D131-$E131)</f>
        <v/>
      </c>
      <c r="I131" s="44">
        <f>IF($A131="","",INDEX(COA!$E:$E,ROW()-10))</f>
        <v/>
      </c>
      <c r="J131" s="44">
        <f>IF($A131="","",INDEX(COA!$F:$F,ROW()-10))</f>
        <v/>
      </c>
      <c r="K131" s="32">
        <f>IF($A131="","",INDEX(COA!$P:$P,ROW()-10))</f>
        <v/>
      </c>
      <c r="L131" s="32">
        <f>IF($A131="","",INDEX(COA!$Q:$Q,ROW()-10))</f>
        <v/>
      </c>
      <c r="M131" s="32" t="inlineStr"/>
    </row>
    <row r="132">
      <c r="A132" s="44">
        <f>IF(INDEX(COA!$A:$A,ROW()-10)="","",INDEX(COA!$A:$A,ROW()-10))</f>
        <v/>
      </c>
      <c r="B132" s="32">
        <f>IF($A132="","",INDEX(COA!$B:$B,ROW()-10))</f>
        <v/>
      </c>
      <c r="C132" s="47">
        <f>IF($A132="","",(SUMIFS(GL_Journal!$S:$S,GL_Journal!$G:$G,"&gt;="&amp;$K132,GL_Journal!$G:$G,"&lt;="&amp;$L132,GL_Journal!$I:$I,TB_LOCC,GL_Journal!$J:$J,TB_CCC,GL_Journal!$D:$D,"&lt;"&amp;TB_From)-SUMIFS(GL_Journal!$T:$T,GL_Journal!$G:$G,"&gt;="&amp;$K132,GL_Journal!$G:$G,"&lt;="&amp;$L132,GL_Journal!$I:$I,TB_LOCC,GL_Journal!$J:$J,TB_CCC,GL_Journal!$D:$D,"&lt;"&amp;TB_From)))</f>
        <v/>
      </c>
      <c r="D132" s="43">
        <f>IF($A132="","",SUMIFS(GL_Journal!$S:$S,GL_Journal!$G:$G,"&gt;="&amp;$K132,GL_Journal!$G:$G,"&lt;="&amp;$L132,GL_Journal!$I:$I,TB_LOCC,GL_Journal!$J:$J,TB_CCC,GL_Journal!$D:$D,"&gt;="&amp;TB_From,GL_Journal!$D:$D,"&lt;="&amp;TB_To))</f>
        <v/>
      </c>
      <c r="E132" s="43">
        <f>IF($A132="","",SUMIFS(GL_Journal!$T:$T,GL_Journal!$G:$G,"&gt;="&amp;$K132,GL_Journal!$G:$G,"&lt;="&amp;$L132,GL_Journal!$I:$I,TB_LOCC,GL_Journal!$J:$J,TB_CCC,GL_Journal!$D:$D,"&gt;="&amp;TB_From,GL_Journal!$D:$D,"&lt;="&amp;TB_To))</f>
        <v/>
      </c>
      <c r="F132" s="43">
        <f>IF($A132="","",MAX($H132,0))</f>
        <v/>
      </c>
      <c r="G132" s="43">
        <f>IF($A132="","",MAX(-$H132,0))</f>
        <v/>
      </c>
      <c r="H132" s="47">
        <f>IF($A132="","",$C132+$D132-$E132)</f>
        <v/>
      </c>
      <c r="I132" s="44">
        <f>IF($A132="","",INDEX(COA!$E:$E,ROW()-10))</f>
        <v/>
      </c>
      <c r="J132" s="44">
        <f>IF($A132="","",INDEX(COA!$F:$F,ROW()-10))</f>
        <v/>
      </c>
      <c r="K132" s="32">
        <f>IF($A132="","",INDEX(COA!$P:$P,ROW()-10))</f>
        <v/>
      </c>
      <c r="L132" s="32">
        <f>IF($A132="","",INDEX(COA!$Q:$Q,ROW()-10))</f>
        <v/>
      </c>
      <c r="M132" s="32" t="inlineStr"/>
    </row>
    <row r="133">
      <c r="A133" s="44">
        <f>IF(INDEX(COA!$A:$A,ROW()-10)="","",INDEX(COA!$A:$A,ROW()-10))</f>
        <v/>
      </c>
      <c r="B133" s="32">
        <f>IF($A133="","",INDEX(COA!$B:$B,ROW()-10))</f>
        <v/>
      </c>
      <c r="C133" s="47">
        <f>IF($A133="","",(SUMIFS(GL_Journal!$S:$S,GL_Journal!$G:$G,"&gt;="&amp;$K133,GL_Journal!$G:$G,"&lt;="&amp;$L133,GL_Journal!$I:$I,TB_LOCC,GL_Journal!$J:$J,TB_CCC,GL_Journal!$D:$D,"&lt;"&amp;TB_From)-SUMIFS(GL_Journal!$T:$T,GL_Journal!$G:$G,"&gt;="&amp;$K133,GL_Journal!$G:$G,"&lt;="&amp;$L133,GL_Journal!$I:$I,TB_LOCC,GL_Journal!$J:$J,TB_CCC,GL_Journal!$D:$D,"&lt;"&amp;TB_From)))</f>
        <v/>
      </c>
      <c r="D133" s="43">
        <f>IF($A133="","",SUMIFS(GL_Journal!$S:$S,GL_Journal!$G:$G,"&gt;="&amp;$K133,GL_Journal!$G:$G,"&lt;="&amp;$L133,GL_Journal!$I:$I,TB_LOCC,GL_Journal!$J:$J,TB_CCC,GL_Journal!$D:$D,"&gt;="&amp;TB_From,GL_Journal!$D:$D,"&lt;="&amp;TB_To))</f>
        <v/>
      </c>
      <c r="E133" s="43">
        <f>IF($A133="","",SUMIFS(GL_Journal!$T:$T,GL_Journal!$G:$G,"&gt;="&amp;$K133,GL_Journal!$G:$G,"&lt;="&amp;$L133,GL_Journal!$I:$I,TB_LOCC,GL_Journal!$J:$J,TB_CCC,GL_Journal!$D:$D,"&gt;="&amp;TB_From,GL_Journal!$D:$D,"&lt;="&amp;TB_To))</f>
        <v/>
      </c>
      <c r="F133" s="43">
        <f>IF($A133="","",MAX($H133,0))</f>
        <v/>
      </c>
      <c r="G133" s="43">
        <f>IF($A133="","",MAX(-$H133,0))</f>
        <v/>
      </c>
      <c r="H133" s="47">
        <f>IF($A133="","",$C133+$D133-$E133)</f>
        <v/>
      </c>
      <c r="I133" s="44">
        <f>IF($A133="","",INDEX(COA!$E:$E,ROW()-10))</f>
        <v/>
      </c>
      <c r="J133" s="44">
        <f>IF($A133="","",INDEX(COA!$F:$F,ROW()-10))</f>
        <v/>
      </c>
      <c r="K133" s="32">
        <f>IF($A133="","",INDEX(COA!$P:$P,ROW()-10))</f>
        <v/>
      </c>
      <c r="L133" s="32">
        <f>IF($A133="","",INDEX(COA!$Q:$Q,ROW()-10))</f>
        <v/>
      </c>
      <c r="M133" s="32" t="inlineStr"/>
    </row>
    <row r="134">
      <c r="A134" s="44">
        <f>IF(INDEX(COA!$A:$A,ROW()-10)="","",INDEX(COA!$A:$A,ROW()-10))</f>
        <v/>
      </c>
      <c r="B134" s="32">
        <f>IF($A134="","",INDEX(COA!$B:$B,ROW()-10))</f>
        <v/>
      </c>
      <c r="C134" s="47">
        <f>IF($A134="","",(SUMIFS(GL_Journal!$S:$S,GL_Journal!$G:$G,"&gt;="&amp;$K134,GL_Journal!$G:$G,"&lt;="&amp;$L134,GL_Journal!$I:$I,TB_LOCC,GL_Journal!$J:$J,TB_CCC,GL_Journal!$D:$D,"&lt;"&amp;TB_From)-SUMIFS(GL_Journal!$T:$T,GL_Journal!$G:$G,"&gt;="&amp;$K134,GL_Journal!$G:$G,"&lt;="&amp;$L134,GL_Journal!$I:$I,TB_LOCC,GL_Journal!$J:$J,TB_CCC,GL_Journal!$D:$D,"&lt;"&amp;TB_From)))</f>
        <v/>
      </c>
      <c r="D134" s="43">
        <f>IF($A134="","",SUMIFS(GL_Journal!$S:$S,GL_Journal!$G:$G,"&gt;="&amp;$K134,GL_Journal!$G:$G,"&lt;="&amp;$L134,GL_Journal!$I:$I,TB_LOCC,GL_Journal!$J:$J,TB_CCC,GL_Journal!$D:$D,"&gt;="&amp;TB_From,GL_Journal!$D:$D,"&lt;="&amp;TB_To))</f>
        <v/>
      </c>
      <c r="E134" s="43">
        <f>IF($A134="","",SUMIFS(GL_Journal!$T:$T,GL_Journal!$G:$G,"&gt;="&amp;$K134,GL_Journal!$G:$G,"&lt;="&amp;$L134,GL_Journal!$I:$I,TB_LOCC,GL_Journal!$J:$J,TB_CCC,GL_Journal!$D:$D,"&gt;="&amp;TB_From,GL_Journal!$D:$D,"&lt;="&amp;TB_To))</f>
        <v/>
      </c>
      <c r="F134" s="43">
        <f>IF($A134="","",MAX($H134,0))</f>
        <v/>
      </c>
      <c r="G134" s="43">
        <f>IF($A134="","",MAX(-$H134,0))</f>
        <v/>
      </c>
      <c r="H134" s="47">
        <f>IF($A134="","",$C134+$D134-$E134)</f>
        <v/>
      </c>
      <c r="I134" s="44">
        <f>IF($A134="","",INDEX(COA!$E:$E,ROW()-10))</f>
        <v/>
      </c>
      <c r="J134" s="44">
        <f>IF($A134="","",INDEX(COA!$F:$F,ROW()-10))</f>
        <v/>
      </c>
      <c r="K134" s="32">
        <f>IF($A134="","",INDEX(COA!$P:$P,ROW()-10))</f>
        <v/>
      </c>
      <c r="L134" s="32">
        <f>IF($A134="","",INDEX(COA!$Q:$Q,ROW()-10))</f>
        <v/>
      </c>
      <c r="M134" s="32" t="inlineStr"/>
    </row>
    <row r="135">
      <c r="A135" s="44">
        <f>IF(INDEX(COA!$A:$A,ROW()-10)="","",INDEX(COA!$A:$A,ROW()-10))</f>
        <v/>
      </c>
      <c r="B135" s="32">
        <f>IF($A135="","",INDEX(COA!$B:$B,ROW()-10))</f>
        <v/>
      </c>
      <c r="C135" s="47">
        <f>IF($A135="","",(SUMIFS(GL_Journal!$S:$S,GL_Journal!$G:$G,"&gt;="&amp;$K135,GL_Journal!$G:$G,"&lt;="&amp;$L135,GL_Journal!$I:$I,TB_LOCC,GL_Journal!$J:$J,TB_CCC,GL_Journal!$D:$D,"&lt;"&amp;TB_From)-SUMIFS(GL_Journal!$T:$T,GL_Journal!$G:$G,"&gt;="&amp;$K135,GL_Journal!$G:$G,"&lt;="&amp;$L135,GL_Journal!$I:$I,TB_LOCC,GL_Journal!$J:$J,TB_CCC,GL_Journal!$D:$D,"&lt;"&amp;TB_From)))</f>
        <v/>
      </c>
      <c r="D135" s="43">
        <f>IF($A135="","",SUMIFS(GL_Journal!$S:$S,GL_Journal!$G:$G,"&gt;="&amp;$K135,GL_Journal!$G:$G,"&lt;="&amp;$L135,GL_Journal!$I:$I,TB_LOCC,GL_Journal!$J:$J,TB_CCC,GL_Journal!$D:$D,"&gt;="&amp;TB_From,GL_Journal!$D:$D,"&lt;="&amp;TB_To))</f>
        <v/>
      </c>
      <c r="E135" s="43">
        <f>IF($A135="","",SUMIFS(GL_Journal!$T:$T,GL_Journal!$G:$G,"&gt;="&amp;$K135,GL_Journal!$G:$G,"&lt;="&amp;$L135,GL_Journal!$I:$I,TB_LOCC,GL_Journal!$J:$J,TB_CCC,GL_Journal!$D:$D,"&gt;="&amp;TB_From,GL_Journal!$D:$D,"&lt;="&amp;TB_To))</f>
        <v/>
      </c>
      <c r="F135" s="43">
        <f>IF($A135="","",MAX($H135,0))</f>
        <v/>
      </c>
      <c r="G135" s="43">
        <f>IF($A135="","",MAX(-$H135,0))</f>
        <v/>
      </c>
      <c r="H135" s="47">
        <f>IF($A135="","",$C135+$D135-$E135)</f>
        <v/>
      </c>
      <c r="I135" s="44">
        <f>IF($A135="","",INDEX(COA!$E:$E,ROW()-10))</f>
        <v/>
      </c>
      <c r="J135" s="44">
        <f>IF($A135="","",INDEX(COA!$F:$F,ROW()-10))</f>
        <v/>
      </c>
      <c r="K135" s="32">
        <f>IF($A135="","",INDEX(COA!$P:$P,ROW()-10))</f>
        <v/>
      </c>
      <c r="L135" s="32">
        <f>IF($A135="","",INDEX(COA!$Q:$Q,ROW()-10))</f>
        <v/>
      </c>
      <c r="M135" s="32" t="inlineStr"/>
    </row>
    <row r="136">
      <c r="A136" s="44">
        <f>IF(INDEX(COA!$A:$A,ROW()-10)="","",INDEX(COA!$A:$A,ROW()-10))</f>
        <v/>
      </c>
      <c r="B136" s="32">
        <f>IF($A136="","",INDEX(COA!$B:$B,ROW()-10))</f>
        <v/>
      </c>
      <c r="C136" s="47">
        <f>IF($A136="","",(SUMIFS(GL_Journal!$S:$S,GL_Journal!$G:$G,"&gt;="&amp;$K136,GL_Journal!$G:$G,"&lt;="&amp;$L136,GL_Journal!$I:$I,TB_LOCC,GL_Journal!$J:$J,TB_CCC,GL_Journal!$D:$D,"&lt;"&amp;TB_From)-SUMIFS(GL_Journal!$T:$T,GL_Journal!$G:$G,"&gt;="&amp;$K136,GL_Journal!$G:$G,"&lt;="&amp;$L136,GL_Journal!$I:$I,TB_LOCC,GL_Journal!$J:$J,TB_CCC,GL_Journal!$D:$D,"&lt;"&amp;TB_From)))</f>
        <v/>
      </c>
      <c r="D136" s="43">
        <f>IF($A136="","",SUMIFS(GL_Journal!$S:$S,GL_Journal!$G:$G,"&gt;="&amp;$K136,GL_Journal!$G:$G,"&lt;="&amp;$L136,GL_Journal!$I:$I,TB_LOCC,GL_Journal!$J:$J,TB_CCC,GL_Journal!$D:$D,"&gt;="&amp;TB_From,GL_Journal!$D:$D,"&lt;="&amp;TB_To))</f>
        <v/>
      </c>
      <c r="E136" s="43">
        <f>IF($A136="","",SUMIFS(GL_Journal!$T:$T,GL_Journal!$G:$G,"&gt;="&amp;$K136,GL_Journal!$G:$G,"&lt;="&amp;$L136,GL_Journal!$I:$I,TB_LOCC,GL_Journal!$J:$J,TB_CCC,GL_Journal!$D:$D,"&gt;="&amp;TB_From,GL_Journal!$D:$D,"&lt;="&amp;TB_To))</f>
        <v/>
      </c>
      <c r="F136" s="43">
        <f>IF($A136="","",MAX($H136,0))</f>
        <v/>
      </c>
      <c r="G136" s="43">
        <f>IF($A136="","",MAX(-$H136,0))</f>
        <v/>
      </c>
      <c r="H136" s="47">
        <f>IF($A136="","",$C136+$D136-$E136)</f>
        <v/>
      </c>
      <c r="I136" s="44">
        <f>IF($A136="","",INDEX(COA!$E:$E,ROW()-10))</f>
        <v/>
      </c>
      <c r="J136" s="44">
        <f>IF($A136="","",INDEX(COA!$F:$F,ROW()-10))</f>
        <v/>
      </c>
      <c r="K136" s="32">
        <f>IF($A136="","",INDEX(COA!$P:$P,ROW()-10))</f>
        <v/>
      </c>
      <c r="L136" s="32">
        <f>IF($A136="","",INDEX(COA!$Q:$Q,ROW()-10))</f>
        <v/>
      </c>
      <c r="M136" s="32" t="inlineStr"/>
    </row>
    <row r="137">
      <c r="A137" s="44">
        <f>IF(INDEX(COA!$A:$A,ROW()-10)="","",INDEX(COA!$A:$A,ROW()-10))</f>
        <v/>
      </c>
      <c r="B137" s="32">
        <f>IF($A137="","",INDEX(COA!$B:$B,ROW()-10))</f>
        <v/>
      </c>
      <c r="C137" s="47">
        <f>IF($A137="","",(SUMIFS(GL_Journal!$S:$S,GL_Journal!$G:$G,"&gt;="&amp;$K137,GL_Journal!$G:$G,"&lt;="&amp;$L137,GL_Journal!$I:$I,TB_LOCC,GL_Journal!$J:$J,TB_CCC,GL_Journal!$D:$D,"&lt;"&amp;TB_From)-SUMIFS(GL_Journal!$T:$T,GL_Journal!$G:$G,"&gt;="&amp;$K137,GL_Journal!$G:$G,"&lt;="&amp;$L137,GL_Journal!$I:$I,TB_LOCC,GL_Journal!$J:$J,TB_CCC,GL_Journal!$D:$D,"&lt;"&amp;TB_From)))</f>
        <v/>
      </c>
      <c r="D137" s="43">
        <f>IF($A137="","",SUMIFS(GL_Journal!$S:$S,GL_Journal!$G:$G,"&gt;="&amp;$K137,GL_Journal!$G:$G,"&lt;="&amp;$L137,GL_Journal!$I:$I,TB_LOCC,GL_Journal!$J:$J,TB_CCC,GL_Journal!$D:$D,"&gt;="&amp;TB_From,GL_Journal!$D:$D,"&lt;="&amp;TB_To))</f>
        <v/>
      </c>
      <c r="E137" s="43">
        <f>IF($A137="","",SUMIFS(GL_Journal!$T:$T,GL_Journal!$G:$G,"&gt;="&amp;$K137,GL_Journal!$G:$G,"&lt;="&amp;$L137,GL_Journal!$I:$I,TB_LOCC,GL_Journal!$J:$J,TB_CCC,GL_Journal!$D:$D,"&gt;="&amp;TB_From,GL_Journal!$D:$D,"&lt;="&amp;TB_To))</f>
        <v/>
      </c>
      <c r="F137" s="43">
        <f>IF($A137="","",MAX($H137,0))</f>
        <v/>
      </c>
      <c r="G137" s="43">
        <f>IF($A137="","",MAX(-$H137,0))</f>
        <v/>
      </c>
      <c r="H137" s="47">
        <f>IF($A137="","",$C137+$D137-$E137)</f>
        <v/>
      </c>
      <c r="I137" s="44">
        <f>IF($A137="","",INDEX(COA!$E:$E,ROW()-10))</f>
        <v/>
      </c>
      <c r="J137" s="44">
        <f>IF($A137="","",INDEX(COA!$F:$F,ROW()-10))</f>
        <v/>
      </c>
      <c r="K137" s="32">
        <f>IF($A137="","",INDEX(COA!$P:$P,ROW()-10))</f>
        <v/>
      </c>
      <c r="L137" s="32">
        <f>IF($A137="","",INDEX(COA!$Q:$Q,ROW()-10))</f>
        <v/>
      </c>
      <c r="M137" s="32" t="inlineStr"/>
    </row>
    <row r="138">
      <c r="A138" s="44">
        <f>IF(INDEX(COA!$A:$A,ROW()-10)="","",INDEX(COA!$A:$A,ROW()-10))</f>
        <v/>
      </c>
      <c r="B138" s="32">
        <f>IF($A138="","",INDEX(COA!$B:$B,ROW()-10))</f>
        <v/>
      </c>
      <c r="C138" s="47">
        <f>IF($A138="","",(SUMIFS(GL_Journal!$S:$S,GL_Journal!$G:$G,"&gt;="&amp;$K138,GL_Journal!$G:$G,"&lt;="&amp;$L138,GL_Journal!$I:$I,TB_LOCC,GL_Journal!$J:$J,TB_CCC,GL_Journal!$D:$D,"&lt;"&amp;TB_From)-SUMIFS(GL_Journal!$T:$T,GL_Journal!$G:$G,"&gt;="&amp;$K138,GL_Journal!$G:$G,"&lt;="&amp;$L138,GL_Journal!$I:$I,TB_LOCC,GL_Journal!$J:$J,TB_CCC,GL_Journal!$D:$D,"&lt;"&amp;TB_From)))</f>
        <v/>
      </c>
      <c r="D138" s="43">
        <f>IF($A138="","",SUMIFS(GL_Journal!$S:$S,GL_Journal!$G:$G,"&gt;="&amp;$K138,GL_Journal!$G:$G,"&lt;="&amp;$L138,GL_Journal!$I:$I,TB_LOCC,GL_Journal!$J:$J,TB_CCC,GL_Journal!$D:$D,"&gt;="&amp;TB_From,GL_Journal!$D:$D,"&lt;="&amp;TB_To))</f>
        <v/>
      </c>
      <c r="E138" s="43">
        <f>IF($A138="","",SUMIFS(GL_Journal!$T:$T,GL_Journal!$G:$G,"&gt;="&amp;$K138,GL_Journal!$G:$G,"&lt;="&amp;$L138,GL_Journal!$I:$I,TB_LOCC,GL_Journal!$J:$J,TB_CCC,GL_Journal!$D:$D,"&gt;="&amp;TB_From,GL_Journal!$D:$D,"&lt;="&amp;TB_To))</f>
        <v/>
      </c>
      <c r="F138" s="43">
        <f>IF($A138="","",MAX($H138,0))</f>
        <v/>
      </c>
      <c r="G138" s="43">
        <f>IF($A138="","",MAX(-$H138,0))</f>
        <v/>
      </c>
      <c r="H138" s="47">
        <f>IF($A138="","",$C138+$D138-$E138)</f>
        <v/>
      </c>
      <c r="I138" s="44">
        <f>IF($A138="","",INDEX(COA!$E:$E,ROW()-10))</f>
        <v/>
      </c>
      <c r="J138" s="44">
        <f>IF($A138="","",INDEX(COA!$F:$F,ROW()-10))</f>
        <v/>
      </c>
      <c r="K138" s="32">
        <f>IF($A138="","",INDEX(COA!$P:$P,ROW()-10))</f>
        <v/>
      </c>
      <c r="L138" s="32">
        <f>IF($A138="","",INDEX(COA!$Q:$Q,ROW()-10))</f>
        <v/>
      </c>
      <c r="M138" s="32" t="inlineStr"/>
    </row>
    <row r="139">
      <c r="A139" s="44">
        <f>IF(INDEX(COA!$A:$A,ROW()-10)="","",INDEX(COA!$A:$A,ROW()-10))</f>
        <v/>
      </c>
      <c r="B139" s="32">
        <f>IF($A139="","",INDEX(COA!$B:$B,ROW()-10))</f>
        <v/>
      </c>
      <c r="C139" s="47">
        <f>IF($A139="","",(SUMIFS(GL_Journal!$S:$S,GL_Journal!$G:$G,"&gt;="&amp;$K139,GL_Journal!$G:$G,"&lt;="&amp;$L139,GL_Journal!$I:$I,TB_LOCC,GL_Journal!$J:$J,TB_CCC,GL_Journal!$D:$D,"&lt;"&amp;TB_From)-SUMIFS(GL_Journal!$T:$T,GL_Journal!$G:$G,"&gt;="&amp;$K139,GL_Journal!$G:$G,"&lt;="&amp;$L139,GL_Journal!$I:$I,TB_LOCC,GL_Journal!$J:$J,TB_CCC,GL_Journal!$D:$D,"&lt;"&amp;TB_From)))</f>
        <v/>
      </c>
      <c r="D139" s="43">
        <f>IF($A139="","",SUMIFS(GL_Journal!$S:$S,GL_Journal!$G:$G,"&gt;="&amp;$K139,GL_Journal!$G:$G,"&lt;="&amp;$L139,GL_Journal!$I:$I,TB_LOCC,GL_Journal!$J:$J,TB_CCC,GL_Journal!$D:$D,"&gt;="&amp;TB_From,GL_Journal!$D:$D,"&lt;="&amp;TB_To))</f>
        <v/>
      </c>
      <c r="E139" s="43">
        <f>IF($A139="","",SUMIFS(GL_Journal!$T:$T,GL_Journal!$G:$G,"&gt;="&amp;$K139,GL_Journal!$G:$G,"&lt;="&amp;$L139,GL_Journal!$I:$I,TB_LOCC,GL_Journal!$J:$J,TB_CCC,GL_Journal!$D:$D,"&gt;="&amp;TB_From,GL_Journal!$D:$D,"&lt;="&amp;TB_To))</f>
        <v/>
      </c>
      <c r="F139" s="43">
        <f>IF($A139="","",MAX($H139,0))</f>
        <v/>
      </c>
      <c r="G139" s="43">
        <f>IF($A139="","",MAX(-$H139,0))</f>
        <v/>
      </c>
      <c r="H139" s="47">
        <f>IF($A139="","",$C139+$D139-$E139)</f>
        <v/>
      </c>
      <c r="I139" s="44">
        <f>IF($A139="","",INDEX(COA!$E:$E,ROW()-10))</f>
        <v/>
      </c>
      <c r="J139" s="44">
        <f>IF($A139="","",INDEX(COA!$F:$F,ROW()-10))</f>
        <v/>
      </c>
      <c r="K139" s="32">
        <f>IF($A139="","",INDEX(COA!$P:$P,ROW()-10))</f>
        <v/>
      </c>
      <c r="L139" s="32">
        <f>IF($A139="","",INDEX(COA!$Q:$Q,ROW()-10))</f>
        <v/>
      </c>
      <c r="M139" s="32" t="inlineStr"/>
    </row>
    <row r="140">
      <c r="A140" s="44">
        <f>IF(INDEX(COA!$A:$A,ROW()-10)="","",INDEX(COA!$A:$A,ROW()-10))</f>
        <v/>
      </c>
      <c r="B140" s="32">
        <f>IF($A140="","",INDEX(COA!$B:$B,ROW()-10))</f>
        <v/>
      </c>
      <c r="C140" s="47">
        <f>IF($A140="","",(SUMIFS(GL_Journal!$S:$S,GL_Journal!$G:$G,"&gt;="&amp;$K140,GL_Journal!$G:$G,"&lt;="&amp;$L140,GL_Journal!$I:$I,TB_LOCC,GL_Journal!$J:$J,TB_CCC,GL_Journal!$D:$D,"&lt;"&amp;TB_From)-SUMIFS(GL_Journal!$T:$T,GL_Journal!$G:$G,"&gt;="&amp;$K140,GL_Journal!$G:$G,"&lt;="&amp;$L140,GL_Journal!$I:$I,TB_LOCC,GL_Journal!$J:$J,TB_CCC,GL_Journal!$D:$D,"&lt;"&amp;TB_From)))</f>
        <v/>
      </c>
      <c r="D140" s="43">
        <f>IF($A140="","",SUMIFS(GL_Journal!$S:$S,GL_Journal!$G:$G,"&gt;="&amp;$K140,GL_Journal!$G:$G,"&lt;="&amp;$L140,GL_Journal!$I:$I,TB_LOCC,GL_Journal!$J:$J,TB_CCC,GL_Journal!$D:$D,"&gt;="&amp;TB_From,GL_Journal!$D:$D,"&lt;="&amp;TB_To))</f>
        <v/>
      </c>
      <c r="E140" s="43">
        <f>IF($A140="","",SUMIFS(GL_Journal!$T:$T,GL_Journal!$G:$G,"&gt;="&amp;$K140,GL_Journal!$G:$G,"&lt;="&amp;$L140,GL_Journal!$I:$I,TB_LOCC,GL_Journal!$J:$J,TB_CCC,GL_Journal!$D:$D,"&gt;="&amp;TB_From,GL_Journal!$D:$D,"&lt;="&amp;TB_To))</f>
        <v/>
      </c>
      <c r="F140" s="43">
        <f>IF($A140="","",MAX($H140,0))</f>
        <v/>
      </c>
      <c r="G140" s="43">
        <f>IF($A140="","",MAX(-$H140,0))</f>
        <v/>
      </c>
      <c r="H140" s="47">
        <f>IF($A140="","",$C140+$D140-$E140)</f>
        <v/>
      </c>
      <c r="I140" s="44">
        <f>IF($A140="","",INDEX(COA!$E:$E,ROW()-10))</f>
        <v/>
      </c>
      <c r="J140" s="44">
        <f>IF($A140="","",INDEX(COA!$F:$F,ROW()-10))</f>
        <v/>
      </c>
      <c r="K140" s="32">
        <f>IF($A140="","",INDEX(COA!$P:$P,ROW()-10))</f>
        <v/>
      </c>
      <c r="L140" s="32">
        <f>IF($A140="","",INDEX(COA!$Q:$Q,ROW()-10))</f>
        <v/>
      </c>
      <c r="M140" s="32" t="inlineStr"/>
    </row>
    <row r="141">
      <c r="A141" s="44">
        <f>IF(INDEX(COA!$A:$A,ROW()-10)="","",INDEX(COA!$A:$A,ROW()-10))</f>
        <v/>
      </c>
      <c r="B141" s="32">
        <f>IF($A141="","",INDEX(COA!$B:$B,ROW()-10))</f>
        <v/>
      </c>
      <c r="C141" s="47">
        <f>IF($A141="","",(SUMIFS(GL_Journal!$S:$S,GL_Journal!$G:$G,"&gt;="&amp;$K141,GL_Journal!$G:$G,"&lt;="&amp;$L141,GL_Journal!$I:$I,TB_LOCC,GL_Journal!$J:$J,TB_CCC,GL_Journal!$D:$D,"&lt;"&amp;TB_From)-SUMIFS(GL_Journal!$T:$T,GL_Journal!$G:$G,"&gt;="&amp;$K141,GL_Journal!$G:$G,"&lt;="&amp;$L141,GL_Journal!$I:$I,TB_LOCC,GL_Journal!$J:$J,TB_CCC,GL_Journal!$D:$D,"&lt;"&amp;TB_From)))</f>
        <v/>
      </c>
      <c r="D141" s="43">
        <f>IF($A141="","",SUMIFS(GL_Journal!$S:$S,GL_Journal!$G:$G,"&gt;="&amp;$K141,GL_Journal!$G:$G,"&lt;="&amp;$L141,GL_Journal!$I:$I,TB_LOCC,GL_Journal!$J:$J,TB_CCC,GL_Journal!$D:$D,"&gt;="&amp;TB_From,GL_Journal!$D:$D,"&lt;="&amp;TB_To))</f>
        <v/>
      </c>
      <c r="E141" s="43">
        <f>IF($A141="","",SUMIFS(GL_Journal!$T:$T,GL_Journal!$G:$G,"&gt;="&amp;$K141,GL_Journal!$G:$G,"&lt;="&amp;$L141,GL_Journal!$I:$I,TB_LOCC,GL_Journal!$J:$J,TB_CCC,GL_Journal!$D:$D,"&gt;="&amp;TB_From,GL_Journal!$D:$D,"&lt;="&amp;TB_To))</f>
        <v/>
      </c>
      <c r="F141" s="43">
        <f>IF($A141="","",MAX($H141,0))</f>
        <v/>
      </c>
      <c r="G141" s="43">
        <f>IF($A141="","",MAX(-$H141,0))</f>
        <v/>
      </c>
      <c r="H141" s="47">
        <f>IF($A141="","",$C141+$D141-$E141)</f>
        <v/>
      </c>
      <c r="I141" s="44">
        <f>IF($A141="","",INDEX(COA!$E:$E,ROW()-10))</f>
        <v/>
      </c>
      <c r="J141" s="44">
        <f>IF($A141="","",INDEX(COA!$F:$F,ROW()-10))</f>
        <v/>
      </c>
      <c r="K141" s="32">
        <f>IF($A141="","",INDEX(COA!$P:$P,ROW()-10))</f>
        <v/>
      </c>
      <c r="L141" s="32">
        <f>IF($A141="","",INDEX(COA!$Q:$Q,ROW()-10))</f>
        <v/>
      </c>
      <c r="M141" s="32" t="inlineStr"/>
    </row>
    <row r="142">
      <c r="A142" s="44">
        <f>IF(INDEX(COA!$A:$A,ROW()-10)="","",INDEX(COA!$A:$A,ROW()-10))</f>
        <v/>
      </c>
      <c r="B142" s="32">
        <f>IF($A142="","",INDEX(COA!$B:$B,ROW()-10))</f>
        <v/>
      </c>
      <c r="C142" s="47">
        <f>IF($A142="","",(SUMIFS(GL_Journal!$S:$S,GL_Journal!$G:$G,"&gt;="&amp;$K142,GL_Journal!$G:$G,"&lt;="&amp;$L142,GL_Journal!$I:$I,TB_LOCC,GL_Journal!$J:$J,TB_CCC,GL_Journal!$D:$D,"&lt;"&amp;TB_From)-SUMIFS(GL_Journal!$T:$T,GL_Journal!$G:$G,"&gt;="&amp;$K142,GL_Journal!$G:$G,"&lt;="&amp;$L142,GL_Journal!$I:$I,TB_LOCC,GL_Journal!$J:$J,TB_CCC,GL_Journal!$D:$D,"&lt;"&amp;TB_From)))</f>
        <v/>
      </c>
      <c r="D142" s="43">
        <f>IF($A142="","",SUMIFS(GL_Journal!$S:$S,GL_Journal!$G:$G,"&gt;="&amp;$K142,GL_Journal!$G:$G,"&lt;="&amp;$L142,GL_Journal!$I:$I,TB_LOCC,GL_Journal!$J:$J,TB_CCC,GL_Journal!$D:$D,"&gt;="&amp;TB_From,GL_Journal!$D:$D,"&lt;="&amp;TB_To))</f>
        <v/>
      </c>
      <c r="E142" s="43">
        <f>IF($A142="","",SUMIFS(GL_Journal!$T:$T,GL_Journal!$G:$G,"&gt;="&amp;$K142,GL_Journal!$G:$G,"&lt;="&amp;$L142,GL_Journal!$I:$I,TB_LOCC,GL_Journal!$J:$J,TB_CCC,GL_Journal!$D:$D,"&gt;="&amp;TB_From,GL_Journal!$D:$D,"&lt;="&amp;TB_To))</f>
        <v/>
      </c>
      <c r="F142" s="43">
        <f>IF($A142="","",MAX($H142,0))</f>
        <v/>
      </c>
      <c r="G142" s="43">
        <f>IF($A142="","",MAX(-$H142,0))</f>
        <v/>
      </c>
      <c r="H142" s="47">
        <f>IF($A142="","",$C142+$D142-$E142)</f>
        <v/>
      </c>
      <c r="I142" s="44">
        <f>IF($A142="","",INDEX(COA!$E:$E,ROW()-10))</f>
        <v/>
      </c>
      <c r="J142" s="44">
        <f>IF($A142="","",INDEX(COA!$F:$F,ROW()-10))</f>
        <v/>
      </c>
      <c r="K142" s="32">
        <f>IF($A142="","",INDEX(COA!$P:$P,ROW()-10))</f>
        <v/>
      </c>
      <c r="L142" s="32">
        <f>IF($A142="","",INDEX(COA!$Q:$Q,ROW()-10))</f>
        <v/>
      </c>
      <c r="M142" s="32" t="inlineStr"/>
    </row>
    <row r="143">
      <c r="A143" s="44">
        <f>IF(INDEX(COA!$A:$A,ROW()-10)="","",INDEX(COA!$A:$A,ROW()-10))</f>
        <v/>
      </c>
      <c r="B143" s="32">
        <f>IF($A143="","",INDEX(COA!$B:$B,ROW()-10))</f>
        <v/>
      </c>
      <c r="C143" s="47">
        <f>IF($A143="","",(SUMIFS(GL_Journal!$S:$S,GL_Journal!$G:$G,"&gt;="&amp;$K143,GL_Journal!$G:$G,"&lt;="&amp;$L143,GL_Journal!$I:$I,TB_LOCC,GL_Journal!$J:$J,TB_CCC,GL_Journal!$D:$D,"&lt;"&amp;TB_From)-SUMIFS(GL_Journal!$T:$T,GL_Journal!$G:$G,"&gt;="&amp;$K143,GL_Journal!$G:$G,"&lt;="&amp;$L143,GL_Journal!$I:$I,TB_LOCC,GL_Journal!$J:$J,TB_CCC,GL_Journal!$D:$D,"&lt;"&amp;TB_From)))</f>
        <v/>
      </c>
      <c r="D143" s="43">
        <f>IF($A143="","",SUMIFS(GL_Journal!$S:$S,GL_Journal!$G:$G,"&gt;="&amp;$K143,GL_Journal!$G:$G,"&lt;="&amp;$L143,GL_Journal!$I:$I,TB_LOCC,GL_Journal!$J:$J,TB_CCC,GL_Journal!$D:$D,"&gt;="&amp;TB_From,GL_Journal!$D:$D,"&lt;="&amp;TB_To))</f>
        <v/>
      </c>
      <c r="E143" s="43">
        <f>IF($A143="","",SUMIFS(GL_Journal!$T:$T,GL_Journal!$G:$G,"&gt;="&amp;$K143,GL_Journal!$G:$G,"&lt;="&amp;$L143,GL_Journal!$I:$I,TB_LOCC,GL_Journal!$J:$J,TB_CCC,GL_Journal!$D:$D,"&gt;="&amp;TB_From,GL_Journal!$D:$D,"&lt;="&amp;TB_To))</f>
        <v/>
      </c>
      <c r="F143" s="43">
        <f>IF($A143="","",MAX($H143,0))</f>
        <v/>
      </c>
      <c r="G143" s="43">
        <f>IF($A143="","",MAX(-$H143,0))</f>
        <v/>
      </c>
      <c r="H143" s="47">
        <f>IF($A143="","",$C143+$D143-$E143)</f>
        <v/>
      </c>
      <c r="I143" s="44">
        <f>IF($A143="","",INDEX(COA!$E:$E,ROW()-10))</f>
        <v/>
      </c>
      <c r="J143" s="44">
        <f>IF($A143="","",INDEX(COA!$F:$F,ROW()-10))</f>
        <v/>
      </c>
      <c r="K143" s="32">
        <f>IF($A143="","",INDEX(COA!$P:$P,ROW()-10))</f>
        <v/>
      </c>
      <c r="L143" s="32">
        <f>IF($A143="","",INDEX(COA!$Q:$Q,ROW()-10))</f>
        <v/>
      </c>
      <c r="M143" s="32" t="inlineStr"/>
    </row>
    <row r="144">
      <c r="A144" s="44">
        <f>IF(INDEX(COA!$A:$A,ROW()-10)="","",INDEX(COA!$A:$A,ROW()-10))</f>
        <v/>
      </c>
      <c r="B144" s="32">
        <f>IF($A144="","",INDEX(COA!$B:$B,ROW()-10))</f>
        <v/>
      </c>
      <c r="C144" s="47">
        <f>IF($A144="","",(SUMIFS(GL_Journal!$S:$S,GL_Journal!$G:$G,"&gt;="&amp;$K144,GL_Journal!$G:$G,"&lt;="&amp;$L144,GL_Journal!$I:$I,TB_LOCC,GL_Journal!$J:$J,TB_CCC,GL_Journal!$D:$D,"&lt;"&amp;TB_From)-SUMIFS(GL_Journal!$T:$T,GL_Journal!$G:$G,"&gt;="&amp;$K144,GL_Journal!$G:$G,"&lt;="&amp;$L144,GL_Journal!$I:$I,TB_LOCC,GL_Journal!$J:$J,TB_CCC,GL_Journal!$D:$D,"&lt;"&amp;TB_From)))</f>
        <v/>
      </c>
      <c r="D144" s="43">
        <f>IF($A144="","",SUMIFS(GL_Journal!$S:$S,GL_Journal!$G:$G,"&gt;="&amp;$K144,GL_Journal!$G:$G,"&lt;="&amp;$L144,GL_Journal!$I:$I,TB_LOCC,GL_Journal!$J:$J,TB_CCC,GL_Journal!$D:$D,"&gt;="&amp;TB_From,GL_Journal!$D:$D,"&lt;="&amp;TB_To))</f>
        <v/>
      </c>
      <c r="E144" s="43">
        <f>IF($A144="","",SUMIFS(GL_Journal!$T:$T,GL_Journal!$G:$G,"&gt;="&amp;$K144,GL_Journal!$G:$G,"&lt;="&amp;$L144,GL_Journal!$I:$I,TB_LOCC,GL_Journal!$J:$J,TB_CCC,GL_Journal!$D:$D,"&gt;="&amp;TB_From,GL_Journal!$D:$D,"&lt;="&amp;TB_To))</f>
        <v/>
      </c>
      <c r="F144" s="43">
        <f>IF($A144="","",MAX($H144,0))</f>
        <v/>
      </c>
      <c r="G144" s="43">
        <f>IF($A144="","",MAX(-$H144,0))</f>
        <v/>
      </c>
      <c r="H144" s="47">
        <f>IF($A144="","",$C144+$D144-$E144)</f>
        <v/>
      </c>
      <c r="I144" s="44">
        <f>IF($A144="","",INDEX(COA!$E:$E,ROW()-10))</f>
        <v/>
      </c>
      <c r="J144" s="44">
        <f>IF($A144="","",INDEX(COA!$F:$F,ROW()-10))</f>
        <v/>
      </c>
      <c r="K144" s="32">
        <f>IF($A144="","",INDEX(COA!$P:$P,ROW()-10))</f>
        <v/>
      </c>
      <c r="L144" s="32">
        <f>IF($A144="","",INDEX(COA!$Q:$Q,ROW()-10))</f>
        <v/>
      </c>
      <c r="M144" s="32" t="inlineStr"/>
    </row>
    <row r="145">
      <c r="A145" s="44">
        <f>IF(INDEX(COA!$A:$A,ROW()-10)="","",INDEX(COA!$A:$A,ROW()-10))</f>
        <v/>
      </c>
      <c r="B145" s="32">
        <f>IF($A145="","",INDEX(COA!$B:$B,ROW()-10))</f>
        <v/>
      </c>
      <c r="C145" s="47">
        <f>IF($A145="","",(SUMIFS(GL_Journal!$S:$S,GL_Journal!$G:$G,"&gt;="&amp;$K145,GL_Journal!$G:$G,"&lt;="&amp;$L145,GL_Journal!$I:$I,TB_LOCC,GL_Journal!$J:$J,TB_CCC,GL_Journal!$D:$D,"&lt;"&amp;TB_From)-SUMIFS(GL_Journal!$T:$T,GL_Journal!$G:$G,"&gt;="&amp;$K145,GL_Journal!$G:$G,"&lt;="&amp;$L145,GL_Journal!$I:$I,TB_LOCC,GL_Journal!$J:$J,TB_CCC,GL_Journal!$D:$D,"&lt;"&amp;TB_From)))</f>
        <v/>
      </c>
      <c r="D145" s="43">
        <f>IF($A145="","",SUMIFS(GL_Journal!$S:$S,GL_Journal!$G:$G,"&gt;="&amp;$K145,GL_Journal!$G:$G,"&lt;="&amp;$L145,GL_Journal!$I:$I,TB_LOCC,GL_Journal!$J:$J,TB_CCC,GL_Journal!$D:$D,"&gt;="&amp;TB_From,GL_Journal!$D:$D,"&lt;="&amp;TB_To))</f>
        <v/>
      </c>
      <c r="E145" s="43">
        <f>IF($A145="","",SUMIFS(GL_Journal!$T:$T,GL_Journal!$G:$G,"&gt;="&amp;$K145,GL_Journal!$G:$G,"&lt;="&amp;$L145,GL_Journal!$I:$I,TB_LOCC,GL_Journal!$J:$J,TB_CCC,GL_Journal!$D:$D,"&gt;="&amp;TB_From,GL_Journal!$D:$D,"&lt;="&amp;TB_To))</f>
        <v/>
      </c>
      <c r="F145" s="43">
        <f>IF($A145="","",MAX($H145,0))</f>
        <v/>
      </c>
      <c r="G145" s="43">
        <f>IF($A145="","",MAX(-$H145,0))</f>
        <v/>
      </c>
      <c r="H145" s="47">
        <f>IF($A145="","",$C145+$D145-$E145)</f>
        <v/>
      </c>
      <c r="I145" s="44">
        <f>IF($A145="","",INDEX(COA!$E:$E,ROW()-10))</f>
        <v/>
      </c>
      <c r="J145" s="44">
        <f>IF($A145="","",INDEX(COA!$F:$F,ROW()-10))</f>
        <v/>
      </c>
      <c r="K145" s="32">
        <f>IF($A145="","",INDEX(COA!$P:$P,ROW()-10))</f>
        <v/>
      </c>
      <c r="L145" s="32">
        <f>IF($A145="","",INDEX(COA!$Q:$Q,ROW()-10))</f>
        <v/>
      </c>
      <c r="M145" s="32" t="inlineStr"/>
    </row>
    <row r="146">
      <c r="A146" s="44">
        <f>IF(INDEX(COA!$A:$A,ROW()-10)="","",INDEX(COA!$A:$A,ROW()-10))</f>
        <v/>
      </c>
      <c r="B146" s="32">
        <f>IF($A146="","",INDEX(COA!$B:$B,ROW()-10))</f>
        <v/>
      </c>
      <c r="C146" s="47">
        <f>IF($A146="","",(SUMIFS(GL_Journal!$S:$S,GL_Journal!$G:$G,"&gt;="&amp;$K146,GL_Journal!$G:$G,"&lt;="&amp;$L146,GL_Journal!$I:$I,TB_LOCC,GL_Journal!$J:$J,TB_CCC,GL_Journal!$D:$D,"&lt;"&amp;TB_From)-SUMIFS(GL_Journal!$T:$T,GL_Journal!$G:$G,"&gt;="&amp;$K146,GL_Journal!$G:$G,"&lt;="&amp;$L146,GL_Journal!$I:$I,TB_LOCC,GL_Journal!$J:$J,TB_CCC,GL_Journal!$D:$D,"&lt;"&amp;TB_From)))</f>
        <v/>
      </c>
      <c r="D146" s="43">
        <f>IF($A146="","",SUMIFS(GL_Journal!$S:$S,GL_Journal!$G:$G,"&gt;="&amp;$K146,GL_Journal!$G:$G,"&lt;="&amp;$L146,GL_Journal!$I:$I,TB_LOCC,GL_Journal!$J:$J,TB_CCC,GL_Journal!$D:$D,"&gt;="&amp;TB_From,GL_Journal!$D:$D,"&lt;="&amp;TB_To))</f>
        <v/>
      </c>
      <c r="E146" s="43">
        <f>IF($A146="","",SUMIFS(GL_Journal!$T:$T,GL_Journal!$G:$G,"&gt;="&amp;$K146,GL_Journal!$G:$G,"&lt;="&amp;$L146,GL_Journal!$I:$I,TB_LOCC,GL_Journal!$J:$J,TB_CCC,GL_Journal!$D:$D,"&gt;="&amp;TB_From,GL_Journal!$D:$D,"&lt;="&amp;TB_To))</f>
        <v/>
      </c>
      <c r="F146" s="43">
        <f>IF($A146="","",MAX($H146,0))</f>
        <v/>
      </c>
      <c r="G146" s="43">
        <f>IF($A146="","",MAX(-$H146,0))</f>
        <v/>
      </c>
      <c r="H146" s="47">
        <f>IF($A146="","",$C146+$D146-$E146)</f>
        <v/>
      </c>
      <c r="I146" s="44">
        <f>IF($A146="","",INDEX(COA!$E:$E,ROW()-10))</f>
        <v/>
      </c>
      <c r="J146" s="44">
        <f>IF($A146="","",INDEX(COA!$F:$F,ROW()-10))</f>
        <v/>
      </c>
      <c r="K146" s="32">
        <f>IF($A146="","",INDEX(COA!$P:$P,ROW()-10))</f>
        <v/>
      </c>
      <c r="L146" s="32">
        <f>IF($A146="","",INDEX(COA!$Q:$Q,ROW()-10))</f>
        <v/>
      </c>
      <c r="M146" s="32" t="inlineStr"/>
    </row>
    <row r="147">
      <c r="A147" s="44">
        <f>IF(INDEX(COA!$A:$A,ROW()-10)="","",INDEX(COA!$A:$A,ROW()-10))</f>
        <v/>
      </c>
      <c r="B147" s="32">
        <f>IF($A147="","",INDEX(COA!$B:$B,ROW()-10))</f>
        <v/>
      </c>
      <c r="C147" s="47">
        <f>IF($A147="","",(SUMIFS(GL_Journal!$S:$S,GL_Journal!$G:$G,"&gt;="&amp;$K147,GL_Journal!$G:$G,"&lt;="&amp;$L147,GL_Journal!$I:$I,TB_LOCC,GL_Journal!$J:$J,TB_CCC,GL_Journal!$D:$D,"&lt;"&amp;TB_From)-SUMIFS(GL_Journal!$T:$T,GL_Journal!$G:$G,"&gt;="&amp;$K147,GL_Journal!$G:$G,"&lt;="&amp;$L147,GL_Journal!$I:$I,TB_LOCC,GL_Journal!$J:$J,TB_CCC,GL_Journal!$D:$D,"&lt;"&amp;TB_From)))</f>
        <v/>
      </c>
      <c r="D147" s="43">
        <f>IF($A147="","",SUMIFS(GL_Journal!$S:$S,GL_Journal!$G:$G,"&gt;="&amp;$K147,GL_Journal!$G:$G,"&lt;="&amp;$L147,GL_Journal!$I:$I,TB_LOCC,GL_Journal!$J:$J,TB_CCC,GL_Journal!$D:$D,"&gt;="&amp;TB_From,GL_Journal!$D:$D,"&lt;="&amp;TB_To))</f>
        <v/>
      </c>
      <c r="E147" s="43">
        <f>IF($A147="","",SUMIFS(GL_Journal!$T:$T,GL_Journal!$G:$G,"&gt;="&amp;$K147,GL_Journal!$G:$G,"&lt;="&amp;$L147,GL_Journal!$I:$I,TB_LOCC,GL_Journal!$J:$J,TB_CCC,GL_Journal!$D:$D,"&gt;="&amp;TB_From,GL_Journal!$D:$D,"&lt;="&amp;TB_To))</f>
        <v/>
      </c>
      <c r="F147" s="43">
        <f>IF($A147="","",MAX($H147,0))</f>
        <v/>
      </c>
      <c r="G147" s="43">
        <f>IF($A147="","",MAX(-$H147,0))</f>
        <v/>
      </c>
      <c r="H147" s="47">
        <f>IF($A147="","",$C147+$D147-$E147)</f>
        <v/>
      </c>
      <c r="I147" s="44">
        <f>IF($A147="","",INDEX(COA!$E:$E,ROW()-10))</f>
        <v/>
      </c>
      <c r="J147" s="44">
        <f>IF($A147="","",INDEX(COA!$F:$F,ROW()-10))</f>
        <v/>
      </c>
      <c r="K147" s="32">
        <f>IF($A147="","",INDEX(COA!$P:$P,ROW()-10))</f>
        <v/>
      </c>
      <c r="L147" s="32">
        <f>IF($A147="","",INDEX(COA!$Q:$Q,ROW()-10))</f>
        <v/>
      </c>
      <c r="M147" s="32" t="inlineStr"/>
    </row>
    <row r="148">
      <c r="A148" s="44">
        <f>IF(INDEX(COA!$A:$A,ROW()-10)="","",INDEX(COA!$A:$A,ROW()-10))</f>
        <v/>
      </c>
      <c r="B148" s="32">
        <f>IF($A148="","",INDEX(COA!$B:$B,ROW()-10))</f>
        <v/>
      </c>
      <c r="C148" s="47">
        <f>IF($A148="","",(SUMIFS(GL_Journal!$S:$S,GL_Journal!$G:$G,"&gt;="&amp;$K148,GL_Journal!$G:$G,"&lt;="&amp;$L148,GL_Journal!$I:$I,TB_LOCC,GL_Journal!$J:$J,TB_CCC,GL_Journal!$D:$D,"&lt;"&amp;TB_From)-SUMIFS(GL_Journal!$T:$T,GL_Journal!$G:$G,"&gt;="&amp;$K148,GL_Journal!$G:$G,"&lt;="&amp;$L148,GL_Journal!$I:$I,TB_LOCC,GL_Journal!$J:$J,TB_CCC,GL_Journal!$D:$D,"&lt;"&amp;TB_From)))</f>
        <v/>
      </c>
      <c r="D148" s="43">
        <f>IF($A148="","",SUMIFS(GL_Journal!$S:$S,GL_Journal!$G:$G,"&gt;="&amp;$K148,GL_Journal!$G:$G,"&lt;="&amp;$L148,GL_Journal!$I:$I,TB_LOCC,GL_Journal!$J:$J,TB_CCC,GL_Journal!$D:$D,"&gt;="&amp;TB_From,GL_Journal!$D:$D,"&lt;="&amp;TB_To))</f>
        <v/>
      </c>
      <c r="E148" s="43">
        <f>IF($A148="","",SUMIFS(GL_Journal!$T:$T,GL_Journal!$G:$G,"&gt;="&amp;$K148,GL_Journal!$G:$G,"&lt;="&amp;$L148,GL_Journal!$I:$I,TB_LOCC,GL_Journal!$J:$J,TB_CCC,GL_Journal!$D:$D,"&gt;="&amp;TB_From,GL_Journal!$D:$D,"&lt;="&amp;TB_To))</f>
        <v/>
      </c>
      <c r="F148" s="43">
        <f>IF($A148="","",MAX($H148,0))</f>
        <v/>
      </c>
      <c r="G148" s="43">
        <f>IF($A148="","",MAX(-$H148,0))</f>
        <v/>
      </c>
      <c r="H148" s="47">
        <f>IF($A148="","",$C148+$D148-$E148)</f>
        <v/>
      </c>
      <c r="I148" s="44">
        <f>IF($A148="","",INDEX(COA!$E:$E,ROW()-10))</f>
        <v/>
      </c>
      <c r="J148" s="44">
        <f>IF($A148="","",INDEX(COA!$F:$F,ROW()-10))</f>
        <v/>
      </c>
      <c r="K148" s="32">
        <f>IF($A148="","",INDEX(COA!$P:$P,ROW()-10))</f>
        <v/>
      </c>
      <c r="L148" s="32">
        <f>IF($A148="","",INDEX(COA!$Q:$Q,ROW()-10))</f>
        <v/>
      </c>
      <c r="M148" s="32" t="inlineStr"/>
    </row>
    <row r="149">
      <c r="A149" s="44">
        <f>IF(INDEX(COA!$A:$A,ROW()-10)="","",INDEX(COA!$A:$A,ROW()-10))</f>
        <v/>
      </c>
      <c r="B149" s="32">
        <f>IF($A149="","",INDEX(COA!$B:$B,ROW()-10))</f>
        <v/>
      </c>
      <c r="C149" s="47">
        <f>IF($A149="","",(SUMIFS(GL_Journal!$S:$S,GL_Journal!$G:$G,"&gt;="&amp;$K149,GL_Journal!$G:$G,"&lt;="&amp;$L149,GL_Journal!$I:$I,TB_LOCC,GL_Journal!$J:$J,TB_CCC,GL_Journal!$D:$D,"&lt;"&amp;TB_From)-SUMIFS(GL_Journal!$T:$T,GL_Journal!$G:$G,"&gt;="&amp;$K149,GL_Journal!$G:$G,"&lt;="&amp;$L149,GL_Journal!$I:$I,TB_LOCC,GL_Journal!$J:$J,TB_CCC,GL_Journal!$D:$D,"&lt;"&amp;TB_From)))</f>
        <v/>
      </c>
      <c r="D149" s="43">
        <f>IF($A149="","",SUMIFS(GL_Journal!$S:$S,GL_Journal!$G:$G,"&gt;="&amp;$K149,GL_Journal!$G:$G,"&lt;="&amp;$L149,GL_Journal!$I:$I,TB_LOCC,GL_Journal!$J:$J,TB_CCC,GL_Journal!$D:$D,"&gt;="&amp;TB_From,GL_Journal!$D:$D,"&lt;="&amp;TB_To))</f>
        <v/>
      </c>
      <c r="E149" s="43">
        <f>IF($A149="","",SUMIFS(GL_Journal!$T:$T,GL_Journal!$G:$G,"&gt;="&amp;$K149,GL_Journal!$G:$G,"&lt;="&amp;$L149,GL_Journal!$I:$I,TB_LOCC,GL_Journal!$J:$J,TB_CCC,GL_Journal!$D:$D,"&gt;="&amp;TB_From,GL_Journal!$D:$D,"&lt;="&amp;TB_To))</f>
        <v/>
      </c>
      <c r="F149" s="43">
        <f>IF($A149="","",MAX($H149,0))</f>
        <v/>
      </c>
      <c r="G149" s="43">
        <f>IF($A149="","",MAX(-$H149,0))</f>
        <v/>
      </c>
      <c r="H149" s="47">
        <f>IF($A149="","",$C149+$D149-$E149)</f>
        <v/>
      </c>
      <c r="I149" s="44">
        <f>IF($A149="","",INDEX(COA!$E:$E,ROW()-10))</f>
        <v/>
      </c>
      <c r="J149" s="44">
        <f>IF($A149="","",INDEX(COA!$F:$F,ROW()-10))</f>
        <v/>
      </c>
      <c r="K149" s="32">
        <f>IF($A149="","",INDEX(COA!$P:$P,ROW()-10))</f>
        <v/>
      </c>
      <c r="L149" s="32">
        <f>IF($A149="","",INDEX(COA!$Q:$Q,ROW()-10))</f>
        <v/>
      </c>
      <c r="M149" s="32" t="inlineStr"/>
    </row>
    <row r="150">
      <c r="A150" s="44">
        <f>IF(INDEX(COA!$A:$A,ROW()-10)="","",INDEX(COA!$A:$A,ROW()-10))</f>
        <v/>
      </c>
      <c r="B150" s="32">
        <f>IF($A150="","",INDEX(COA!$B:$B,ROW()-10))</f>
        <v/>
      </c>
      <c r="C150" s="47">
        <f>IF($A150="","",(SUMIFS(GL_Journal!$S:$S,GL_Journal!$G:$G,"&gt;="&amp;$K150,GL_Journal!$G:$G,"&lt;="&amp;$L150,GL_Journal!$I:$I,TB_LOCC,GL_Journal!$J:$J,TB_CCC,GL_Journal!$D:$D,"&lt;"&amp;TB_From)-SUMIFS(GL_Journal!$T:$T,GL_Journal!$G:$G,"&gt;="&amp;$K150,GL_Journal!$G:$G,"&lt;="&amp;$L150,GL_Journal!$I:$I,TB_LOCC,GL_Journal!$J:$J,TB_CCC,GL_Journal!$D:$D,"&lt;"&amp;TB_From)))</f>
        <v/>
      </c>
      <c r="D150" s="43">
        <f>IF($A150="","",SUMIFS(GL_Journal!$S:$S,GL_Journal!$G:$G,"&gt;="&amp;$K150,GL_Journal!$G:$G,"&lt;="&amp;$L150,GL_Journal!$I:$I,TB_LOCC,GL_Journal!$J:$J,TB_CCC,GL_Journal!$D:$D,"&gt;="&amp;TB_From,GL_Journal!$D:$D,"&lt;="&amp;TB_To))</f>
        <v/>
      </c>
      <c r="E150" s="43">
        <f>IF($A150="","",SUMIFS(GL_Journal!$T:$T,GL_Journal!$G:$G,"&gt;="&amp;$K150,GL_Journal!$G:$G,"&lt;="&amp;$L150,GL_Journal!$I:$I,TB_LOCC,GL_Journal!$J:$J,TB_CCC,GL_Journal!$D:$D,"&gt;="&amp;TB_From,GL_Journal!$D:$D,"&lt;="&amp;TB_To))</f>
        <v/>
      </c>
      <c r="F150" s="43">
        <f>IF($A150="","",MAX($H150,0))</f>
        <v/>
      </c>
      <c r="G150" s="43">
        <f>IF($A150="","",MAX(-$H150,0))</f>
        <v/>
      </c>
      <c r="H150" s="47">
        <f>IF($A150="","",$C150+$D150-$E150)</f>
        <v/>
      </c>
      <c r="I150" s="44">
        <f>IF($A150="","",INDEX(COA!$E:$E,ROW()-10))</f>
        <v/>
      </c>
      <c r="J150" s="44">
        <f>IF($A150="","",INDEX(COA!$F:$F,ROW()-10))</f>
        <v/>
      </c>
      <c r="K150" s="32">
        <f>IF($A150="","",INDEX(COA!$P:$P,ROW()-10))</f>
        <v/>
      </c>
      <c r="L150" s="32">
        <f>IF($A150="","",INDEX(COA!$Q:$Q,ROW()-10))</f>
        <v/>
      </c>
      <c r="M150" s="32" t="inlineStr"/>
    </row>
    <row r="151">
      <c r="A151" s="44">
        <f>IF(INDEX(COA!$A:$A,ROW()-10)="","",INDEX(COA!$A:$A,ROW()-10))</f>
        <v/>
      </c>
      <c r="B151" s="32">
        <f>IF($A151="","",INDEX(COA!$B:$B,ROW()-10))</f>
        <v/>
      </c>
      <c r="C151" s="47">
        <f>IF($A151="","",(SUMIFS(GL_Journal!$S:$S,GL_Journal!$G:$G,"&gt;="&amp;$K151,GL_Journal!$G:$G,"&lt;="&amp;$L151,GL_Journal!$I:$I,TB_LOCC,GL_Journal!$J:$J,TB_CCC,GL_Journal!$D:$D,"&lt;"&amp;TB_From)-SUMIFS(GL_Journal!$T:$T,GL_Journal!$G:$G,"&gt;="&amp;$K151,GL_Journal!$G:$G,"&lt;="&amp;$L151,GL_Journal!$I:$I,TB_LOCC,GL_Journal!$J:$J,TB_CCC,GL_Journal!$D:$D,"&lt;"&amp;TB_From)))</f>
        <v/>
      </c>
      <c r="D151" s="43">
        <f>IF($A151="","",SUMIFS(GL_Journal!$S:$S,GL_Journal!$G:$G,"&gt;="&amp;$K151,GL_Journal!$G:$G,"&lt;="&amp;$L151,GL_Journal!$I:$I,TB_LOCC,GL_Journal!$J:$J,TB_CCC,GL_Journal!$D:$D,"&gt;="&amp;TB_From,GL_Journal!$D:$D,"&lt;="&amp;TB_To))</f>
        <v/>
      </c>
      <c r="E151" s="43">
        <f>IF($A151="","",SUMIFS(GL_Journal!$T:$T,GL_Journal!$G:$G,"&gt;="&amp;$K151,GL_Journal!$G:$G,"&lt;="&amp;$L151,GL_Journal!$I:$I,TB_LOCC,GL_Journal!$J:$J,TB_CCC,GL_Journal!$D:$D,"&gt;="&amp;TB_From,GL_Journal!$D:$D,"&lt;="&amp;TB_To))</f>
        <v/>
      </c>
      <c r="F151" s="43">
        <f>IF($A151="","",MAX($H151,0))</f>
        <v/>
      </c>
      <c r="G151" s="43">
        <f>IF($A151="","",MAX(-$H151,0))</f>
        <v/>
      </c>
      <c r="H151" s="47">
        <f>IF($A151="","",$C151+$D151-$E151)</f>
        <v/>
      </c>
      <c r="I151" s="44">
        <f>IF($A151="","",INDEX(COA!$E:$E,ROW()-10))</f>
        <v/>
      </c>
      <c r="J151" s="44">
        <f>IF($A151="","",INDEX(COA!$F:$F,ROW()-10))</f>
        <v/>
      </c>
      <c r="K151" s="32">
        <f>IF($A151="","",INDEX(COA!$P:$P,ROW()-10))</f>
        <v/>
      </c>
      <c r="L151" s="32">
        <f>IF($A151="","",INDEX(COA!$Q:$Q,ROW()-10))</f>
        <v/>
      </c>
      <c r="M151" s="32" t="inlineStr"/>
    </row>
    <row r="152">
      <c r="A152" s="44">
        <f>IF(INDEX(COA!$A:$A,ROW()-10)="","",INDEX(COA!$A:$A,ROW()-10))</f>
        <v/>
      </c>
      <c r="B152" s="32">
        <f>IF($A152="","",INDEX(COA!$B:$B,ROW()-10))</f>
        <v/>
      </c>
      <c r="C152" s="47">
        <f>IF($A152="","",(SUMIFS(GL_Journal!$S:$S,GL_Journal!$G:$G,"&gt;="&amp;$K152,GL_Journal!$G:$G,"&lt;="&amp;$L152,GL_Journal!$I:$I,TB_LOCC,GL_Journal!$J:$J,TB_CCC,GL_Journal!$D:$D,"&lt;"&amp;TB_From)-SUMIFS(GL_Journal!$T:$T,GL_Journal!$G:$G,"&gt;="&amp;$K152,GL_Journal!$G:$G,"&lt;="&amp;$L152,GL_Journal!$I:$I,TB_LOCC,GL_Journal!$J:$J,TB_CCC,GL_Journal!$D:$D,"&lt;"&amp;TB_From)))</f>
        <v/>
      </c>
      <c r="D152" s="43">
        <f>IF($A152="","",SUMIFS(GL_Journal!$S:$S,GL_Journal!$G:$G,"&gt;="&amp;$K152,GL_Journal!$G:$G,"&lt;="&amp;$L152,GL_Journal!$I:$I,TB_LOCC,GL_Journal!$J:$J,TB_CCC,GL_Journal!$D:$D,"&gt;="&amp;TB_From,GL_Journal!$D:$D,"&lt;="&amp;TB_To))</f>
        <v/>
      </c>
      <c r="E152" s="43">
        <f>IF($A152="","",SUMIFS(GL_Journal!$T:$T,GL_Journal!$G:$G,"&gt;="&amp;$K152,GL_Journal!$G:$G,"&lt;="&amp;$L152,GL_Journal!$I:$I,TB_LOCC,GL_Journal!$J:$J,TB_CCC,GL_Journal!$D:$D,"&gt;="&amp;TB_From,GL_Journal!$D:$D,"&lt;="&amp;TB_To))</f>
        <v/>
      </c>
      <c r="F152" s="43">
        <f>IF($A152="","",MAX($H152,0))</f>
        <v/>
      </c>
      <c r="G152" s="43">
        <f>IF($A152="","",MAX(-$H152,0))</f>
        <v/>
      </c>
      <c r="H152" s="47">
        <f>IF($A152="","",$C152+$D152-$E152)</f>
        <v/>
      </c>
      <c r="I152" s="44">
        <f>IF($A152="","",INDEX(COA!$E:$E,ROW()-10))</f>
        <v/>
      </c>
      <c r="J152" s="44">
        <f>IF($A152="","",INDEX(COA!$F:$F,ROW()-10))</f>
        <v/>
      </c>
      <c r="K152" s="32">
        <f>IF($A152="","",INDEX(COA!$P:$P,ROW()-10))</f>
        <v/>
      </c>
      <c r="L152" s="32">
        <f>IF($A152="","",INDEX(COA!$Q:$Q,ROW()-10))</f>
        <v/>
      </c>
      <c r="M152" s="32" t="inlineStr"/>
    </row>
    <row r="153">
      <c r="A153" s="44">
        <f>IF(INDEX(COA!$A:$A,ROW()-10)="","",INDEX(COA!$A:$A,ROW()-10))</f>
        <v/>
      </c>
      <c r="B153" s="32">
        <f>IF($A153="","",INDEX(COA!$B:$B,ROW()-10))</f>
        <v/>
      </c>
      <c r="C153" s="47">
        <f>IF($A153="","",(SUMIFS(GL_Journal!$S:$S,GL_Journal!$G:$G,"&gt;="&amp;$K153,GL_Journal!$G:$G,"&lt;="&amp;$L153,GL_Journal!$I:$I,TB_LOCC,GL_Journal!$J:$J,TB_CCC,GL_Journal!$D:$D,"&lt;"&amp;TB_From)-SUMIFS(GL_Journal!$T:$T,GL_Journal!$G:$G,"&gt;="&amp;$K153,GL_Journal!$G:$G,"&lt;="&amp;$L153,GL_Journal!$I:$I,TB_LOCC,GL_Journal!$J:$J,TB_CCC,GL_Journal!$D:$D,"&lt;"&amp;TB_From)))</f>
        <v/>
      </c>
      <c r="D153" s="43">
        <f>IF($A153="","",SUMIFS(GL_Journal!$S:$S,GL_Journal!$G:$G,"&gt;="&amp;$K153,GL_Journal!$G:$G,"&lt;="&amp;$L153,GL_Journal!$I:$I,TB_LOCC,GL_Journal!$J:$J,TB_CCC,GL_Journal!$D:$D,"&gt;="&amp;TB_From,GL_Journal!$D:$D,"&lt;="&amp;TB_To))</f>
        <v/>
      </c>
      <c r="E153" s="43">
        <f>IF($A153="","",SUMIFS(GL_Journal!$T:$T,GL_Journal!$G:$G,"&gt;="&amp;$K153,GL_Journal!$G:$G,"&lt;="&amp;$L153,GL_Journal!$I:$I,TB_LOCC,GL_Journal!$J:$J,TB_CCC,GL_Journal!$D:$D,"&gt;="&amp;TB_From,GL_Journal!$D:$D,"&lt;="&amp;TB_To))</f>
        <v/>
      </c>
      <c r="F153" s="43">
        <f>IF($A153="","",MAX($H153,0))</f>
        <v/>
      </c>
      <c r="G153" s="43">
        <f>IF($A153="","",MAX(-$H153,0))</f>
        <v/>
      </c>
      <c r="H153" s="47">
        <f>IF($A153="","",$C153+$D153-$E153)</f>
        <v/>
      </c>
      <c r="I153" s="44">
        <f>IF($A153="","",INDEX(COA!$E:$E,ROW()-10))</f>
        <v/>
      </c>
      <c r="J153" s="44">
        <f>IF($A153="","",INDEX(COA!$F:$F,ROW()-10))</f>
        <v/>
      </c>
      <c r="K153" s="32">
        <f>IF($A153="","",INDEX(COA!$P:$P,ROW()-10))</f>
        <v/>
      </c>
      <c r="L153" s="32">
        <f>IF($A153="","",INDEX(COA!$Q:$Q,ROW()-10))</f>
        <v/>
      </c>
      <c r="M153" s="32" t="inlineStr"/>
    </row>
    <row r="154">
      <c r="A154" s="44">
        <f>IF(INDEX(COA!$A:$A,ROW()-10)="","",INDEX(COA!$A:$A,ROW()-10))</f>
        <v/>
      </c>
      <c r="B154" s="32">
        <f>IF($A154="","",INDEX(COA!$B:$B,ROW()-10))</f>
        <v/>
      </c>
      <c r="C154" s="47">
        <f>IF($A154="","",(SUMIFS(GL_Journal!$S:$S,GL_Journal!$G:$G,"&gt;="&amp;$K154,GL_Journal!$G:$G,"&lt;="&amp;$L154,GL_Journal!$I:$I,TB_LOCC,GL_Journal!$J:$J,TB_CCC,GL_Journal!$D:$D,"&lt;"&amp;TB_From)-SUMIFS(GL_Journal!$T:$T,GL_Journal!$G:$G,"&gt;="&amp;$K154,GL_Journal!$G:$G,"&lt;="&amp;$L154,GL_Journal!$I:$I,TB_LOCC,GL_Journal!$J:$J,TB_CCC,GL_Journal!$D:$D,"&lt;"&amp;TB_From)))</f>
        <v/>
      </c>
      <c r="D154" s="43">
        <f>IF($A154="","",SUMIFS(GL_Journal!$S:$S,GL_Journal!$G:$G,"&gt;="&amp;$K154,GL_Journal!$G:$G,"&lt;="&amp;$L154,GL_Journal!$I:$I,TB_LOCC,GL_Journal!$J:$J,TB_CCC,GL_Journal!$D:$D,"&gt;="&amp;TB_From,GL_Journal!$D:$D,"&lt;="&amp;TB_To))</f>
        <v/>
      </c>
      <c r="E154" s="43">
        <f>IF($A154="","",SUMIFS(GL_Journal!$T:$T,GL_Journal!$G:$G,"&gt;="&amp;$K154,GL_Journal!$G:$G,"&lt;="&amp;$L154,GL_Journal!$I:$I,TB_LOCC,GL_Journal!$J:$J,TB_CCC,GL_Journal!$D:$D,"&gt;="&amp;TB_From,GL_Journal!$D:$D,"&lt;="&amp;TB_To))</f>
        <v/>
      </c>
      <c r="F154" s="43">
        <f>IF($A154="","",MAX($H154,0))</f>
        <v/>
      </c>
      <c r="G154" s="43">
        <f>IF($A154="","",MAX(-$H154,0))</f>
        <v/>
      </c>
      <c r="H154" s="47">
        <f>IF($A154="","",$C154+$D154-$E154)</f>
        <v/>
      </c>
      <c r="I154" s="44">
        <f>IF($A154="","",INDEX(COA!$E:$E,ROW()-10))</f>
        <v/>
      </c>
      <c r="J154" s="44">
        <f>IF($A154="","",INDEX(COA!$F:$F,ROW()-10))</f>
        <v/>
      </c>
      <c r="K154" s="32">
        <f>IF($A154="","",INDEX(COA!$P:$P,ROW()-10))</f>
        <v/>
      </c>
      <c r="L154" s="32">
        <f>IF($A154="","",INDEX(COA!$Q:$Q,ROW()-10))</f>
        <v/>
      </c>
      <c r="M154" s="32" t="inlineStr"/>
    </row>
    <row r="155">
      <c r="A155" s="44">
        <f>IF(INDEX(COA!$A:$A,ROW()-10)="","",INDEX(COA!$A:$A,ROW()-10))</f>
        <v/>
      </c>
      <c r="B155" s="32">
        <f>IF($A155="","",INDEX(COA!$B:$B,ROW()-10))</f>
        <v/>
      </c>
      <c r="C155" s="47">
        <f>IF($A155="","",(SUMIFS(GL_Journal!$S:$S,GL_Journal!$G:$G,"&gt;="&amp;$K155,GL_Journal!$G:$G,"&lt;="&amp;$L155,GL_Journal!$I:$I,TB_LOCC,GL_Journal!$J:$J,TB_CCC,GL_Journal!$D:$D,"&lt;"&amp;TB_From)-SUMIFS(GL_Journal!$T:$T,GL_Journal!$G:$G,"&gt;="&amp;$K155,GL_Journal!$G:$G,"&lt;="&amp;$L155,GL_Journal!$I:$I,TB_LOCC,GL_Journal!$J:$J,TB_CCC,GL_Journal!$D:$D,"&lt;"&amp;TB_From)))</f>
        <v/>
      </c>
      <c r="D155" s="43">
        <f>IF($A155="","",SUMIFS(GL_Journal!$S:$S,GL_Journal!$G:$G,"&gt;="&amp;$K155,GL_Journal!$G:$G,"&lt;="&amp;$L155,GL_Journal!$I:$I,TB_LOCC,GL_Journal!$J:$J,TB_CCC,GL_Journal!$D:$D,"&gt;="&amp;TB_From,GL_Journal!$D:$D,"&lt;="&amp;TB_To))</f>
        <v/>
      </c>
      <c r="E155" s="43">
        <f>IF($A155="","",SUMIFS(GL_Journal!$T:$T,GL_Journal!$G:$G,"&gt;="&amp;$K155,GL_Journal!$G:$G,"&lt;="&amp;$L155,GL_Journal!$I:$I,TB_LOCC,GL_Journal!$J:$J,TB_CCC,GL_Journal!$D:$D,"&gt;="&amp;TB_From,GL_Journal!$D:$D,"&lt;="&amp;TB_To))</f>
        <v/>
      </c>
      <c r="F155" s="43">
        <f>IF($A155="","",MAX($H155,0))</f>
        <v/>
      </c>
      <c r="G155" s="43">
        <f>IF($A155="","",MAX(-$H155,0))</f>
        <v/>
      </c>
      <c r="H155" s="47">
        <f>IF($A155="","",$C155+$D155-$E155)</f>
        <v/>
      </c>
      <c r="I155" s="44">
        <f>IF($A155="","",INDEX(COA!$E:$E,ROW()-10))</f>
        <v/>
      </c>
      <c r="J155" s="44">
        <f>IF($A155="","",INDEX(COA!$F:$F,ROW()-10))</f>
        <v/>
      </c>
      <c r="K155" s="32">
        <f>IF($A155="","",INDEX(COA!$P:$P,ROW()-10))</f>
        <v/>
      </c>
      <c r="L155" s="32">
        <f>IF($A155="","",INDEX(COA!$Q:$Q,ROW()-10))</f>
        <v/>
      </c>
      <c r="M155" s="32" t="inlineStr"/>
    </row>
    <row r="156">
      <c r="A156" s="44">
        <f>IF(INDEX(COA!$A:$A,ROW()-10)="","",INDEX(COA!$A:$A,ROW()-10))</f>
        <v/>
      </c>
      <c r="B156" s="32">
        <f>IF($A156="","",INDEX(COA!$B:$B,ROW()-10))</f>
        <v/>
      </c>
      <c r="C156" s="47">
        <f>IF($A156="","",(SUMIFS(GL_Journal!$S:$S,GL_Journal!$G:$G,"&gt;="&amp;$K156,GL_Journal!$G:$G,"&lt;="&amp;$L156,GL_Journal!$I:$I,TB_LOCC,GL_Journal!$J:$J,TB_CCC,GL_Journal!$D:$D,"&lt;"&amp;TB_From)-SUMIFS(GL_Journal!$T:$T,GL_Journal!$G:$G,"&gt;="&amp;$K156,GL_Journal!$G:$G,"&lt;="&amp;$L156,GL_Journal!$I:$I,TB_LOCC,GL_Journal!$J:$J,TB_CCC,GL_Journal!$D:$D,"&lt;"&amp;TB_From)))</f>
        <v/>
      </c>
      <c r="D156" s="43">
        <f>IF($A156="","",SUMIFS(GL_Journal!$S:$S,GL_Journal!$G:$G,"&gt;="&amp;$K156,GL_Journal!$G:$G,"&lt;="&amp;$L156,GL_Journal!$I:$I,TB_LOCC,GL_Journal!$J:$J,TB_CCC,GL_Journal!$D:$D,"&gt;="&amp;TB_From,GL_Journal!$D:$D,"&lt;="&amp;TB_To))</f>
        <v/>
      </c>
      <c r="E156" s="43">
        <f>IF($A156="","",SUMIFS(GL_Journal!$T:$T,GL_Journal!$G:$G,"&gt;="&amp;$K156,GL_Journal!$G:$G,"&lt;="&amp;$L156,GL_Journal!$I:$I,TB_LOCC,GL_Journal!$J:$J,TB_CCC,GL_Journal!$D:$D,"&gt;="&amp;TB_From,GL_Journal!$D:$D,"&lt;="&amp;TB_To))</f>
        <v/>
      </c>
      <c r="F156" s="43">
        <f>IF($A156="","",MAX($H156,0))</f>
        <v/>
      </c>
      <c r="G156" s="43">
        <f>IF($A156="","",MAX(-$H156,0))</f>
        <v/>
      </c>
      <c r="H156" s="47">
        <f>IF($A156="","",$C156+$D156-$E156)</f>
        <v/>
      </c>
      <c r="I156" s="44">
        <f>IF($A156="","",INDEX(COA!$E:$E,ROW()-10))</f>
        <v/>
      </c>
      <c r="J156" s="44">
        <f>IF($A156="","",INDEX(COA!$F:$F,ROW()-10))</f>
        <v/>
      </c>
      <c r="K156" s="32">
        <f>IF($A156="","",INDEX(COA!$P:$P,ROW()-10))</f>
        <v/>
      </c>
      <c r="L156" s="32">
        <f>IF($A156="","",INDEX(COA!$Q:$Q,ROW()-10))</f>
        <v/>
      </c>
      <c r="M156" s="32" t="inlineStr"/>
    </row>
    <row r="157">
      <c r="A157" s="44">
        <f>IF(INDEX(COA!$A:$A,ROW()-10)="","",INDEX(COA!$A:$A,ROW()-10))</f>
        <v/>
      </c>
      <c r="B157" s="32">
        <f>IF($A157="","",INDEX(COA!$B:$B,ROW()-10))</f>
        <v/>
      </c>
      <c r="C157" s="47">
        <f>IF($A157="","",(SUMIFS(GL_Journal!$S:$S,GL_Journal!$G:$G,"&gt;="&amp;$K157,GL_Journal!$G:$G,"&lt;="&amp;$L157,GL_Journal!$I:$I,TB_LOCC,GL_Journal!$J:$J,TB_CCC,GL_Journal!$D:$D,"&lt;"&amp;TB_From)-SUMIFS(GL_Journal!$T:$T,GL_Journal!$G:$G,"&gt;="&amp;$K157,GL_Journal!$G:$G,"&lt;="&amp;$L157,GL_Journal!$I:$I,TB_LOCC,GL_Journal!$J:$J,TB_CCC,GL_Journal!$D:$D,"&lt;"&amp;TB_From)))</f>
        <v/>
      </c>
      <c r="D157" s="43">
        <f>IF($A157="","",SUMIFS(GL_Journal!$S:$S,GL_Journal!$G:$G,"&gt;="&amp;$K157,GL_Journal!$G:$G,"&lt;="&amp;$L157,GL_Journal!$I:$I,TB_LOCC,GL_Journal!$J:$J,TB_CCC,GL_Journal!$D:$D,"&gt;="&amp;TB_From,GL_Journal!$D:$D,"&lt;="&amp;TB_To))</f>
        <v/>
      </c>
      <c r="E157" s="43">
        <f>IF($A157="","",SUMIFS(GL_Journal!$T:$T,GL_Journal!$G:$G,"&gt;="&amp;$K157,GL_Journal!$G:$G,"&lt;="&amp;$L157,GL_Journal!$I:$I,TB_LOCC,GL_Journal!$J:$J,TB_CCC,GL_Journal!$D:$D,"&gt;="&amp;TB_From,GL_Journal!$D:$D,"&lt;="&amp;TB_To))</f>
        <v/>
      </c>
      <c r="F157" s="43">
        <f>IF($A157="","",MAX($H157,0))</f>
        <v/>
      </c>
      <c r="G157" s="43">
        <f>IF($A157="","",MAX(-$H157,0))</f>
        <v/>
      </c>
      <c r="H157" s="47">
        <f>IF($A157="","",$C157+$D157-$E157)</f>
        <v/>
      </c>
      <c r="I157" s="44">
        <f>IF($A157="","",INDEX(COA!$E:$E,ROW()-10))</f>
        <v/>
      </c>
      <c r="J157" s="44">
        <f>IF($A157="","",INDEX(COA!$F:$F,ROW()-10))</f>
        <v/>
      </c>
      <c r="K157" s="32">
        <f>IF($A157="","",INDEX(COA!$P:$P,ROW()-10))</f>
        <v/>
      </c>
      <c r="L157" s="32">
        <f>IF($A157="","",INDEX(COA!$Q:$Q,ROW()-10))</f>
        <v/>
      </c>
      <c r="M157" s="32" t="inlineStr"/>
    </row>
    <row r="158">
      <c r="A158" s="44">
        <f>IF(INDEX(COA!$A:$A,ROW()-10)="","",INDEX(COA!$A:$A,ROW()-10))</f>
        <v/>
      </c>
      <c r="B158" s="32">
        <f>IF($A158="","",INDEX(COA!$B:$B,ROW()-10))</f>
        <v/>
      </c>
      <c r="C158" s="47">
        <f>IF($A158="","",(SUMIFS(GL_Journal!$S:$S,GL_Journal!$G:$G,"&gt;="&amp;$K158,GL_Journal!$G:$G,"&lt;="&amp;$L158,GL_Journal!$I:$I,TB_LOCC,GL_Journal!$J:$J,TB_CCC,GL_Journal!$D:$D,"&lt;"&amp;TB_From)-SUMIFS(GL_Journal!$T:$T,GL_Journal!$G:$G,"&gt;="&amp;$K158,GL_Journal!$G:$G,"&lt;="&amp;$L158,GL_Journal!$I:$I,TB_LOCC,GL_Journal!$J:$J,TB_CCC,GL_Journal!$D:$D,"&lt;"&amp;TB_From)))</f>
        <v/>
      </c>
      <c r="D158" s="43">
        <f>IF($A158="","",SUMIFS(GL_Journal!$S:$S,GL_Journal!$G:$G,"&gt;="&amp;$K158,GL_Journal!$G:$G,"&lt;="&amp;$L158,GL_Journal!$I:$I,TB_LOCC,GL_Journal!$J:$J,TB_CCC,GL_Journal!$D:$D,"&gt;="&amp;TB_From,GL_Journal!$D:$D,"&lt;="&amp;TB_To))</f>
        <v/>
      </c>
      <c r="E158" s="43">
        <f>IF($A158="","",SUMIFS(GL_Journal!$T:$T,GL_Journal!$G:$G,"&gt;="&amp;$K158,GL_Journal!$G:$G,"&lt;="&amp;$L158,GL_Journal!$I:$I,TB_LOCC,GL_Journal!$J:$J,TB_CCC,GL_Journal!$D:$D,"&gt;="&amp;TB_From,GL_Journal!$D:$D,"&lt;="&amp;TB_To))</f>
        <v/>
      </c>
      <c r="F158" s="43">
        <f>IF($A158="","",MAX($H158,0))</f>
        <v/>
      </c>
      <c r="G158" s="43">
        <f>IF($A158="","",MAX(-$H158,0))</f>
        <v/>
      </c>
      <c r="H158" s="47">
        <f>IF($A158="","",$C158+$D158-$E158)</f>
        <v/>
      </c>
      <c r="I158" s="44">
        <f>IF($A158="","",INDEX(COA!$E:$E,ROW()-10))</f>
        <v/>
      </c>
      <c r="J158" s="44">
        <f>IF($A158="","",INDEX(COA!$F:$F,ROW()-10))</f>
        <v/>
      </c>
      <c r="K158" s="32">
        <f>IF($A158="","",INDEX(COA!$P:$P,ROW()-10))</f>
        <v/>
      </c>
      <c r="L158" s="32">
        <f>IF($A158="","",INDEX(COA!$Q:$Q,ROW()-10))</f>
        <v/>
      </c>
      <c r="M158" s="32" t="inlineStr"/>
    </row>
    <row r="159">
      <c r="A159" s="44">
        <f>IF(INDEX(COA!$A:$A,ROW()-10)="","",INDEX(COA!$A:$A,ROW()-10))</f>
        <v/>
      </c>
      <c r="B159" s="32">
        <f>IF($A159="","",INDEX(COA!$B:$B,ROW()-10))</f>
        <v/>
      </c>
      <c r="C159" s="47">
        <f>IF($A159="","",(SUMIFS(GL_Journal!$S:$S,GL_Journal!$G:$G,"&gt;="&amp;$K159,GL_Journal!$G:$G,"&lt;="&amp;$L159,GL_Journal!$I:$I,TB_LOCC,GL_Journal!$J:$J,TB_CCC,GL_Journal!$D:$D,"&lt;"&amp;TB_From)-SUMIFS(GL_Journal!$T:$T,GL_Journal!$G:$G,"&gt;="&amp;$K159,GL_Journal!$G:$G,"&lt;="&amp;$L159,GL_Journal!$I:$I,TB_LOCC,GL_Journal!$J:$J,TB_CCC,GL_Journal!$D:$D,"&lt;"&amp;TB_From)))</f>
        <v/>
      </c>
      <c r="D159" s="43">
        <f>IF($A159="","",SUMIFS(GL_Journal!$S:$S,GL_Journal!$G:$G,"&gt;="&amp;$K159,GL_Journal!$G:$G,"&lt;="&amp;$L159,GL_Journal!$I:$I,TB_LOCC,GL_Journal!$J:$J,TB_CCC,GL_Journal!$D:$D,"&gt;="&amp;TB_From,GL_Journal!$D:$D,"&lt;="&amp;TB_To))</f>
        <v/>
      </c>
      <c r="E159" s="43">
        <f>IF($A159="","",SUMIFS(GL_Journal!$T:$T,GL_Journal!$G:$G,"&gt;="&amp;$K159,GL_Journal!$G:$G,"&lt;="&amp;$L159,GL_Journal!$I:$I,TB_LOCC,GL_Journal!$J:$J,TB_CCC,GL_Journal!$D:$D,"&gt;="&amp;TB_From,GL_Journal!$D:$D,"&lt;="&amp;TB_To))</f>
        <v/>
      </c>
      <c r="F159" s="43">
        <f>IF($A159="","",MAX($H159,0))</f>
        <v/>
      </c>
      <c r="G159" s="43">
        <f>IF($A159="","",MAX(-$H159,0))</f>
        <v/>
      </c>
      <c r="H159" s="47">
        <f>IF($A159="","",$C159+$D159-$E159)</f>
        <v/>
      </c>
      <c r="I159" s="44">
        <f>IF($A159="","",INDEX(COA!$E:$E,ROW()-10))</f>
        <v/>
      </c>
      <c r="J159" s="44">
        <f>IF($A159="","",INDEX(COA!$F:$F,ROW()-10))</f>
        <v/>
      </c>
      <c r="K159" s="32">
        <f>IF($A159="","",INDEX(COA!$P:$P,ROW()-10))</f>
        <v/>
      </c>
      <c r="L159" s="32">
        <f>IF($A159="","",INDEX(COA!$Q:$Q,ROW()-10))</f>
        <v/>
      </c>
      <c r="M159" s="32" t="inlineStr"/>
    </row>
    <row r="160">
      <c r="A160" s="44">
        <f>IF(INDEX(COA!$A:$A,ROW()-10)="","",INDEX(COA!$A:$A,ROW()-10))</f>
        <v/>
      </c>
      <c r="B160" s="32">
        <f>IF($A160="","",INDEX(COA!$B:$B,ROW()-10))</f>
        <v/>
      </c>
      <c r="C160" s="47">
        <f>IF($A160="","",(SUMIFS(GL_Journal!$S:$S,GL_Journal!$G:$G,"&gt;="&amp;$K160,GL_Journal!$G:$G,"&lt;="&amp;$L160,GL_Journal!$I:$I,TB_LOCC,GL_Journal!$J:$J,TB_CCC,GL_Journal!$D:$D,"&lt;"&amp;TB_From)-SUMIFS(GL_Journal!$T:$T,GL_Journal!$G:$G,"&gt;="&amp;$K160,GL_Journal!$G:$G,"&lt;="&amp;$L160,GL_Journal!$I:$I,TB_LOCC,GL_Journal!$J:$J,TB_CCC,GL_Journal!$D:$D,"&lt;"&amp;TB_From)))</f>
        <v/>
      </c>
      <c r="D160" s="43">
        <f>IF($A160="","",SUMIFS(GL_Journal!$S:$S,GL_Journal!$G:$G,"&gt;="&amp;$K160,GL_Journal!$G:$G,"&lt;="&amp;$L160,GL_Journal!$I:$I,TB_LOCC,GL_Journal!$J:$J,TB_CCC,GL_Journal!$D:$D,"&gt;="&amp;TB_From,GL_Journal!$D:$D,"&lt;="&amp;TB_To))</f>
        <v/>
      </c>
      <c r="E160" s="43">
        <f>IF($A160="","",SUMIFS(GL_Journal!$T:$T,GL_Journal!$G:$G,"&gt;="&amp;$K160,GL_Journal!$G:$G,"&lt;="&amp;$L160,GL_Journal!$I:$I,TB_LOCC,GL_Journal!$J:$J,TB_CCC,GL_Journal!$D:$D,"&gt;="&amp;TB_From,GL_Journal!$D:$D,"&lt;="&amp;TB_To))</f>
        <v/>
      </c>
      <c r="F160" s="43">
        <f>IF($A160="","",MAX($H160,0))</f>
        <v/>
      </c>
      <c r="G160" s="43">
        <f>IF($A160="","",MAX(-$H160,0))</f>
        <v/>
      </c>
      <c r="H160" s="47">
        <f>IF($A160="","",$C160+$D160-$E160)</f>
        <v/>
      </c>
      <c r="I160" s="44">
        <f>IF($A160="","",INDEX(COA!$E:$E,ROW()-10))</f>
        <v/>
      </c>
      <c r="J160" s="44">
        <f>IF($A160="","",INDEX(COA!$F:$F,ROW()-10))</f>
        <v/>
      </c>
      <c r="K160" s="32">
        <f>IF($A160="","",INDEX(COA!$P:$P,ROW()-10))</f>
        <v/>
      </c>
      <c r="L160" s="32">
        <f>IF($A160="","",INDEX(COA!$Q:$Q,ROW()-10))</f>
        <v/>
      </c>
      <c r="M160" s="32" t="inlineStr"/>
    </row>
    <row r="161">
      <c r="A161" s="44">
        <f>IF(INDEX(COA!$A:$A,ROW()-10)="","",INDEX(COA!$A:$A,ROW()-10))</f>
        <v/>
      </c>
      <c r="B161" s="32">
        <f>IF($A161="","",INDEX(COA!$B:$B,ROW()-10))</f>
        <v/>
      </c>
      <c r="C161" s="47">
        <f>IF($A161="","",(SUMIFS(GL_Journal!$S:$S,GL_Journal!$G:$G,"&gt;="&amp;$K161,GL_Journal!$G:$G,"&lt;="&amp;$L161,GL_Journal!$I:$I,TB_LOCC,GL_Journal!$J:$J,TB_CCC,GL_Journal!$D:$D,"&lt;"&amp;TB_From)-SUMIFS(GL_Journal!$T:$T,GL_Journal!$G:$G,"&gt;="&amp;$K161,GL_Journal!$G:$G,"&lt;="&amp;$L161,GL_Journal!$I:$I,TB_LOCC,GL_Journal!$J:$J,TB_CCC,GL_Journal!$D:$D,"&lt;"&amp;TB_From)))</f>
        <v/>
      </c>
      <c r="D161" s="43">
        <f>IF($A161="","",SUMIFS(GL_Journal!$S:$S,GL_Journal!$G:$G,"&gt;="&amp;$K161,GL_Journal!$G:$G,"&lt;="&amp;$L161,GL_Journal!$I:$I,TB_LOCC,GL_Journal!$J:$J,TB_CCC,GL_Journal!$D:$D,"&gt;="&amp;TB_From,GL_Journal!$D:$D,"&lt;="&amp;TB_To))</f>
        <v/>
      </c>
      <c r="E161" s="43">
        <f>IF($A161="","",SUMIFS(GL_Journal!$T:$T,GL_Journal!$G:$G,"&gt;="&amp;$K161,GL_Journal!$G:$G,"&lt;="&amp;$L161,GL_Journal!$I:$I,TB_LOCC,GL_Journal!$J:$J,TB_CCC,GL_Journal!$D:$D,"&gt;="&amp;TB_From,GL_Journal!$D:$D,"&lt;="&amp;TB_To))</f>
        <v/>
      </c>
      <c r="F161" s="43">
        <f>IF($A161="","",MAX($H161,0))</f>
        <v/>
      </c>
      <c r="G161" s="43">
        <f>IF($A161="","",MAX(-$H161,0))</f>
        <v/>
      </c>
      <c r="H161" s="47">
        <f>IF($A161="","",$C161+$D161-$E161)</f>
        <v/>
      </c>
      <c r="I161" s="44">
        <f>IF($A161="","",INDEX(COA!$E:$E,ROW()-10))</f>
        <v/>
      </c>
      <c r="J161" s="44">
        <f>IF($A161="","",INDEX(COA!$F:$F,ROW()-10))</f>
        <v/>
      </c>
      <c r="K161" s="32">
        <f>IF($A161="","",INDEX(COA!$P:$P,ROW()-10))</f>
        <v/>
      </c>
      <c r="L161" s="32">
        <f>IF($A161="","",INDEX(COA!$Q:$Q,ROW()-10))</f>
        <v/>
      </c>
      <c r="M161" s="32" t="inlineStr"/>
    </row>
    <row r="162">
      <c r="A162" s="44">
        <f>IF(INDEX(COA!$A:$A,ROW()-10)="","",INDEX(COA!$A:$A,ROW()-10))</f>
        <v/>
      </c>
      <c r="B162" s="32">
        <f>IF($A162="","",INDEX(COA!$B:$B,ROW()-10))</f>
        <v/>
      </c>
      <c r="C162" s="47">
        <f>IF($A162="","",(SUMIFS(GL_Journal!$S:$S,GL_Journal!$G:$G,"&gt;="&amp;$K162,GL_Journal!$G:$G,"&lt;="&amp;$L162,GL_Journal!$I:$I,TB_LOCC,GL_Journal!$J:$J,TB_CCC,GL_Journal!$D:$D,"&lt;"&amp;TB_From)-SUMIFS(GL_Journal!$T:$T,GL_Journal!$G:$G,"&gt;="&amp;$K162,GL_Journal!$G:$G,"&lt;="&amp;$L162,GL_Journal!$I:$I,TB_LOCC,GL_Journal!$J:$J,TB_CCC,GL_Journal!$D:$D,"&lt;"&amp;TB_From)))</f>
        <v/>
      </c>
      <c r="D162" s="43">
        <f>IF($A162="","",SUMIFS(GL_Journal!$S:$S,GL_Journal!$G:$G,"&gt;="&amp;$K162,GL_Journal!$G:$G,"&lt;="&amp;$L162,GL_Journal!$I:$I,TB_LOCC,GL_Journal!$J:$J,TB_CCC,GL_Journal!$D:$D,"&gt;="&amp;TB_From,GL_Journal!$D:$D,"&lt;="&amp;TB_To))</f>
        <v/>
      </c>
      <c r="E162" s="43">
        <f>IF($A162="","",SUMIFS(GL_Journal!$T:$T,GL_Journal!$G:$G,"&gt;="&amp;$K162,GL_Journal!$G:$G,"&lt;="&amp;$L162,GL_Journal!$I:$I,TB_LOCC,GL_Journal!$J:$J,TB_CCC,GL_Journal!$D:$D,"&gt;="&amp;TB_From,GL_Journal!$D:$D,"&lt;="&amp;TB_To))</f>
        <v/>
      </c>
      <c r="F162" s="43">
        <f>IF($A162="","",MAX($H162,0))</f>
        <v/>
      </c>
      <c r="G162" s="43">
        <f>IF($A162="","",MAX(-$H162,0))</f>
        <v/>
      </c>
      <c r="H162" s="47">
        <f>IF($A162="","",$C162+$D162-$E162)</f>
        <v/>
      </c>
      <c r="I162" s="44">
        <f>IF($A162="","",INDEX(COA!$E:$E,ROW()-10))</f>
        <v/>
      </c>
      <c r="J162" s="44">
        <f>IF($A162="","",INDEX(COA!$F:$F,ROW()-10))</f>
        <v/>
      </c>
      <c r="K162" s="32">
        <f>IF($A162="","",INDEX(COA!$P:$P,ROW()-10))</f>
        <v/>
      </c>
      <c r="L162" s="32">
        <f>IF($A162="","",INDEX(COA!$Q:$Q,ROW()-10))</f>
        <v/>
      </c>
      <c r="M162" s="32" t="inlineStr"/>
    </row>
    <row r="163">
      <c r="A163" s="44">
        <f>IF(INDEX(COA!$A:$A,ROW()-10)="","",INDEX(COA!$A:$A,ROW()-10))</f>
        <v/>
      </c>
      <c r="B163" s="32">
        <f>IF($A163="","",INDEX(COA!$B:$B,ROW()-10))</f>
        <v/>
      </c>
      <c r="C163" s="47">
        <f>IF($A163="","",(SUMIFS(GL_Journal!$S:$S,GL_Journal!$G:$G,"&gt;="&amp;$K163,GL_Journal!$G:$G,"&lt;="&amp;$L163,GL_Journal!$I:$I,TB_LOCC,GL_Journal!$J:$J,TB_CCC,GL_Journal!$D:$D,"&lt;"&amp;TB_From)-SUMIFS(GL_Journal!$T:$T,GL_Journal!$G:$G,"&gt;="&amp;$K163,GL_Journal!$G:$G,"&lt;="&amp;$L163,GL_Journal!$I:$I,TB_LOCC,GL_Journal!$J:$J,TB_CCC,GL_Journal!$D:$D,"&lt;"&amp;TB_From)))</f>
        <v/>
      </c>
      <c r="D163" s="43">
        <f>IF($A163="","",SUMIFS(GL_Journal!$S:$S,GL_Journal!$G:$G,"&gt;="&amp;$K163,GL_Journal!$G:$G,"&lt;="&amp;$L163,GL_Journal!$I:$I,TB_LOCC,GL_Journal!$J:$J,TB_CCC,GL_Journal!$D:$D,"&gt;="&amp;TB_From,GL_Journal!$D:$D,"&lt;="&amp;TB_To))</f>
        <v/>
      </c>
      <c r="E163" s="43">
        <f>IF($A163="","",SUMIFS(GL_Journal!$T:$T,GL_Journal!$G:$G,"&gt;="&amp;$K163,GL_Journal!$G:$G,"&lt;="&amp;$L163,GL_Journal!$I:$I,TB_LOCC,GL_Journal!$J:$J,TB_CCC,GL_Journal!$D:$D,"&gt;="&amp;TB_From,GL_Journal!$D:$D,"&lt;="&amp;TB_To))</f>
        <v/>
      </c>
      <c r="F163" s="43">
        <f>IF($A163="","",MAX($H163,0))</f>
        <v/>
      </c>
      <c r="G163" s="43">
        <f>IF($A163="","",MAX(-$H163,0))</f>
        <v/>
      </c>
      <c r="H163" s="47">
        <f>IF($A163="","",$C163+$D163-$E163)</f>
        <v/>
      </c>
      <c r="I163" s="44">
        <f>IF($A163="","",INDEX(COA!$E:$E,ROW()-10))</f>
        <v/>
      </c>
      <c r="J163" s="44">
        <f>IF($A163="","",INDEX(COA!$F:$F,ROW()-10))</f>
        <v/>
      </c>
      <c r="K163" s="32">
        <f>IF($A163="","",INDEX(COA!$P:$P,ROW()-10))</f>
        <v/>
      </c>
      <c r="L163" s="32">
        <f>IF($A163="","",INDEX(COA!$Q:$Q,ROW()-10))</f>
        <v/>
      </c>
      <c r="M163" s="32" t="inlineStr"/>
    </row>
    <row r="164">
      <c r="A164" s="44">
        <f>IF(INDEX(COA!$A:$A,ROW()-10)="","",INDEX(COA!$A:$A,ROW()-10))</f>
        <v/>
      </c>
      <c r="B164" s="32">
        <f>IF($A164="","",INDEX(COA!$B:$B,ROW()-10))</f>
        <v/>
      </c>
      <c r="C164" s="47">
        <f>IF($A164="","",(SUMIFS(GL_Journal!$S:$S,GL_Journal!$G:$G,"&gt;="&amp;$K164,GL_Journal!$G:$G,"&lt;="&amp;$L164,GL_Journal!$I:$I,TB_LOCC,GL_Journal!$J:$J,TB_CCC,GL_Journal!$D:$D,"&lt;"&amp;TB_From)-SUMIFS(GL_Journal!$T:$T,GL_Journal!$G:$G,"&gt;="&amp;$K164,GL_Journal!$G:$G,"&lt;="&amp;$L164,GL_Journal!$I:$I,TB_LOCC,GL_Journal!$J:$J,TB_CCC,GL_Journal!$D:$D,"&lt;"&amp;TB_From)))</f>
        <v/>
      </c>
      <c r="D164" s="43">
        <f>IF($A164="","",SUMIFS(GL_Journal!$S:$S,GL_Journal!$G:$G,"&gt;="&amp;$K164,GL_Journal!$G:$G,"&lt;="&amp;$L164,GL_Journal!$I:$I,TB_LOCC,GL_Journal!$J:$J,TB_CCC,GL_Journal!$D:$D,"&gt;="&amp;TB_From,GL_Journal!$D:$D,"&lt;="&amp;TB_To))</f>
        <v/>
      </c>
      <c r="E164" s="43">
        <f>IF($A164="","",SUMIFS(GL_Journal!$T:$T,GL_Journal!$G:$G,"&gt;="&amp;$K164,GL_Journal!$G:$G,"&lt;="&amp;$L164,GL_Journal!$I:$I,TB_LOCC,GL_Journal!$J:$J,TB_CCC,GL_Journal!$D:$D,"&gt;="&amp;TB_From,GL_Journal!$D:$D,"&lt;="&amp;TB_To))</f>
        <v/>
      </c>
      <c r="F164" s="43">
        <f>IF($A164="","",MAX($H164,0))</f>
        <v/>
      </c>
      <c r="G164" s="43">
        <f>IF($A164="","",MAX(-$H164,0))</f>
        <v/>
      </c>
      <c r="H164" s="47">
        <f>IF($A164="","",$C164+$D164-$E164)</f>
        <v/>
      </c>
      <c r="I164" s="44">
        <f>IF($A164="","",INDEX(COA!$E:$E,ROW()-10))</f>
        <v/>
      </c>
      <c r="J164" s="44">
        <f>IF($A164="","",INDEX(COA!$F:$F,ROW()-10))</f>
        <v/>
      </c>
      <c r="K164" s="32">
        <f>IF($A164="","",INDEX(COA!$P:$P,ROW()-10))</f>
        <v/>
      </c>
      <c r="L164" s="32">
        <f>IF($A164="","",INDEX(COA!$Q:$Q,ROW()-10))</f>
        <v/>
      </c>
      <c r="M164" s="32" t="inlineStr"/>
    </row>
    <row r="165">
      <c r="A165" s="44">
        <f>IF(INDEX(COA!$A:$A,ROW()-10)="","",INDEX(COA!$A:$A,ROW()-10))</f>
        <v/>
      </c>
      <c r="B165" s="32">
        <f>IF($A165="","",INDEX(COA!$B:$B,ROW()-10))</f>
        <v/>
      </c>
      <c r="C165" s="47">
        <f>IF($A165="","",(SUMIFS(GL_Journal!$S:$S,GL_Journal!$G:$G,"&gt;="&amp;$K165,GL_Journal!$G:$G,"&lt;="&amp;$L165,GL_Journal!$I:$I,TB_LOCC,GL_Journal!$J:$J,TB_CCC,GL_Journal!$D:$D,"&lt;"&amp;TB_From)-SUMIFS(GL_Journal!$T:$T,GL_Journal!$G:$G,"&gt;="&amp;$K165,GL_Journal!$G:$G,"&lt;="&amp;$L165,GL_Journal!$I:$I,TB_LOCC,GL_Journal!$J:$J,TB_CCC,GL_Journal!$D:$D,"&lt;"&amp;TB_From)))</f>
        <v/>
      </c>
      <c r="D165" s="43">
        <f>IF($A165="","",SUMIFS(GL_Journal!$S:$S,GL_Journal!$G:$G,"&gt;="&amp;$K165,GL_Journal!$G:$G,"&lt;="&amp;$L165,GL_Journal!$I:$I,TB_LOCC,GL_Journal!$J:$J,TB_CCC,GL_Journal!$D:$D,"&gt;="&amp;TB_From,GL_Journal!$D:$D,"&lt;="&amp;TB_To))</f>
        <v/>
      </c>
      <c r="E165" s="43">
        <f>IF($A165="","",SUMIFS(GL_Journal!$T:$T,GL_Journal!$G:$G,"&gt;="&amp;$K165,GL_Journal!$G:$G,"&lt;="&amp;$L165,GL_Journal!$I:$I,TB_LOCC,GL_Journal!$J:$J,TB_CCC,GL_Journal!$D:$D,"&gt;="&amp;TB_From,GL_Journal!$D:$D,"&lt;="&amp;TB_To))</f>
        <v/>
      </c>
      <c r="F165" s="43">
        <f>IF($A165="","",MAX($H165,0))</f>
        <v/>
      </c>
      <c r="G165" s="43">
        <f>IF($A165="","",MAX(-$H165,0))</f>
        <v/>
      </c>
      <c r="H165" s="47">
        <f>IF($A165="","",$C165+$D165-$E165)</f>
        <v/>
      </c>
      <c r="I165" s="44">
        <f>IF($A165="","",INDEX(COA!$E:$E,ROW()-10))</f>
        <v/>
      </c>
      <c r="J165" s="44">
        <f>IF($A165="","",INDEX(COA!$F:$F,ROW()-10))</f>
        <v/>
      </c>
      <c r="K165" s="32">
        <f>IF($A165="","",INDEX(COA!$P:$P,ROW()-10))</f>
        <v/>
      </c>
      <c r="L165" s="32">
        <f>IF($A165="","",INDEX(COA!$Q:$Q,ROW()-10))</f>
        <v/>
      </c>
      <c r="M165" s="32" t="inlineStr"/>
    </row>
    <row r="166">
      <c r="A166" s="44">
        <f>IF(INDEX(COA!$A:$A,ROW()-10)="","",INDEX(COA!$A:$A,ROW()-10))</f>
        <v/>
      </c>
      <c r="B166" s="32">
        <f>IF($A166="","",INDEX(COA!$B:$B,ROW()-10))</f>
        <v/>
      </c>
      <c r="C166" s="47">
        <f>IF($A166="","",(SUMIFS(GL_Journal!$S:$S,GL_Journal!$G:$G,"&gt;="&amp;$K166,GL_Journal!$G:$G,"&lt;="&amp;$L166,GL_Journal!$I:$I,TB_LOCC,GL_Journal!$J:$J,TB_CCC,GL_Journal!$D:$D,"&lt;"&amp;TB_From)-SUMIFS(GL_Journal!$T:$T,GL_Journal!$G:$G,"&gt;="&amp;$K166,GL_Journal!$G:$G,"&lt;="&amp;$L166,GL_Journal!$I:$I,TB_LOCC,GL_Journal!$J:$J,TB_CCC,GL_Journal!$D:$D,"&lt;"&amp;TB_From)))</f>
        <v/>
      </c>
      <c r="D166" s="43">
        <f>IF($A166="","",SUMIFS(GL_Journal!$S:$S,GL_Journal!$G:$G,"&gt;="&amp;$K166,GL_Journal!$G:$G,"&lt;="&amp;$L166,GL_Journal!$I:$I,TB_LOCC,GL_Journal!$J:$J,TB_CCC,GL_Journal!$D:$D,"&gt;="&amp;TB_From,GL_Journal!$D:$D,"&lt;="&amp;TB_To))</f>
        <v/>
      </c>
      <c r="E166" s="43">
        <f>IF($A166="","",SUMIFS(GL_Journal!$T:$T,GL_Journal!$G:$G,"&gt;="&amp;$K166,GL_Journal!$G:$G,"&lt;="&amp;$L166,GL_Journal!$I:$I,TB_LOCC,GL_Journal!$J:$J,TB_CCC,GL_Journal!$D:$D,"&gt;="&amp;TB_From,GL_Journal!$D:$D,"&lt;="&amp;TB_To))</f>
        <v/>
      </c>
      <c r="F166" s="43">
        <f>IF($A166="","",MAX($H166,0))</f>
        <v/>
      </c>
      <c r="G166" s="43">
        <f>IF($A166="","",MAX(-$H166,0))</f>
        <v/>
      </c>
      <c r="H166" s="47">
        <f>IF($A166="","",$C166+$D166-$E166)</f>
        <v/>
      </c>
      <c r="I166" s="44">
        <f>IF($A166="","",INDEX(COA!$E:$E,ROW()-10))</f>
        <v/>
      </c>
      <c r="J166" s="44">
        <f>IF($A166="","",INDEX(COA!$F:$F,ROW()-10))</f>
        <v/>
      </c>
      <c r="K166" s="32">
        <f>IF($A166="","",INDEX(COA!$P:$P,ROW()-10))</f>
        <v/>
      </c>
      <c r="L166" s="32">
        <f>IF($A166="","",INDEX(COA!$Q:$Q,ROW()-10))</f>
        <v/>
      </c>
      <c r="M166" s="32" t="inlineStr"/>
    </row>
    <row r="167">
      <c r="A167" s="44">
        <f>IF(INDEX(COA!$A:$A,ROW()-10)="","",INDEX(COA!$A:$A,ROW()-10))</f>
        <v/>
      </c>
      <c r="B167" s="32">
        <f>IF($A167="","",INDEX(COA!$B:$B,ROW()-10))</f>
        <v/>
      </c>
      <c r="C167" s="47">
        <f>IF($A167="","",(SUMIFS(GL_Journal!$S:$S,GL_Journal!$G:$G,"&gt;="&amp;$K167,GL_Journal!$G:$G,"&lt;="&amp;$L167,GL_Journal!$I:$I,TB_LOCC,GL_Journal!$J:$J,TB_CCC,GL_Journal!$D:$D,"&lt;"&amp;TB_From)-SUMIFS(GL_Journal!$T:$T,GL_Journal!$G:$G,"&gt;="&amp;$K167,GL_Journal!$G:$G,"&lt;="&amp;$L167,GL_Journal!$I:$I,TB_LOCC,GL_Journal!$J:$J,TB_CCC,GL_Journal!$D:$D,"&lt;"&amp;TB_From)))</f>
        <v/>
      </c>
      <c r="D167" s="43">
        <f>IF($A167="","",SUMIFS(GL_Journal!$S:$S,GL_Journal!$G:$G,"&gt;="&amp;$K167,GL_Journal!$G:$G,"&lt;="&amp;$L167,GL_Journal!$I:$I,TB_LOCC,GL_Journal!$J:$J,TB_CCC,GL_Journal!$D:$D,"&gt;="&amp;TB_From,GL_Journal!$D:$D,"&lt;="&amp;TB_To))</f>
        <v/>
      </c>
      <c r="E167" s="43">
        <f>IF($A167="","",SUMIFS(GL_Journal!$T:$T,GL_Journal!$G:$G,"&gt;="&amp;$K167,GL_Journal!$G:$G,"&lt;="&amp;$L167,GL_Journal!$I:$I,TB_LOCC,GL_Journal!$J:$J,TB_CCC,GL_Journal!$D:$D,"&gt;="&amp;TB_From,GL_Journal!$D:$D,"&lt;="&amp;TB_To))</f>
        <v/>
      </c>
      <c r="F167" s="43">
        <f>IF($A167="","",MAX($H167,0))</f>
        <v/>
      </c>
      <c r="G167" s="43">
        <f>IF($A167="","",MAX(-$H167,0))</f>
        <v/>
      </c>
      <c r="H167" s="47">
        <f>IF($A167="","",$C167+$D167-$E167)</f>
        <v/>
      </c>
      <c r="I167" s="44">
        <f>IF($A167="","",INDEX(COA!$E:$E,ROW()-10))</f>
        <v/>
      </c>
      <c r="J167" s="44">
        <f>IF($A167="","",INDEX(COA!$F:$F,ROW()-10))</f>
        <v/>
      </c>
      <c r="K167" s="32">
        <f>IF($A167="","",INDEX(COA!$P:$P,ROW()-10))</f>
        <v/>
      </c>
      <c r="L167" s="32">
        <f>IF($A167="","",INDEX(COA!$Q:$Q,ROW()-10))</f>
        <v/>
      </c>
      <c r="M167" s="32" t="inlineStr"/>
    </row>
    <row r="168">
      <c r="A168" s="44">
        <f>IF(INDEX(COA!$A:$A,ROW()-10)="","",INDEX(COA!$A:$A,ROW()-10))</f>
        <v/>
      </c>
      <c r="B168" s="32">
        <f>IF($A168="","",INDEX(COA!$B:$B,ROW()-10))</f>
        <v/>
      </c>
      <c r="C168" s="47">
        <f>IF($A168="","",(SUMIFS(GL_Journal!$S:$S,GL_Journal!$G:$G,"&gt;="&amp;$K168,GL_Journal!$G:$G,"&lt;="&amp;$L168,GL_Journal!$I:$I,TB_LOCC,GL_Journal!$J:$J,TB_CCC,GL_Journal!$D:$D,"&lt;"&amp;TB_From)-SUMIFS(GL_Journal!$T:$T,GL_Journal!$G:$G,"&gt;="&amp;$K168,GL_Journal!$G:$G,"&lt;="&amp;$L168,GL_Journal!$I:$I,TB_LOCC,GL_Journal!$J:$J,TB_CCC,GL_Journal!$D:$D,"&lt;"&amp;TB_From)))</f>
        <v/>
      </c>
      <c r="D168" s="43">
        <f>IF($A168="","",SUMIFS(GL_Journal!$S:$S,GL_Journal!$G:$G,"&gt;="&amp;$K168,GL_Journal!$G:$G,"&lt;="&amp;$L168,GL_Journal!$I:$I,TB_LOCC,GL_Journal!$J:$J,TB_CCC,GL_Journal!$D:$D,"&gt;="&amp;TB_From,GL_Journal!$D:$D,"&lt;="&amp;TB_To))</f>
        <v/>
      </c>
      <c r="E168" s="43">
        <f>IF($A168="","",SUMIFS(GL_Journal!$T:$T,GL_Journal!$G:$G,"&gt;="&amp;$K168,GL_Journal!$G:$G,"&lt;="&amp;$L168,GL_Journal!$I:$I,TB_LOCC,GL_Journal!$J:$J,TB_CCC,GL_Journal!$D:$D,"&gt;="&amp;TB_From,GL_Journal!$D:$D,"&lt;="&amp;TB_To))</f>
        <v/>
      </c>
      <c r="F168" s="43">
        <f>IF($A168="","",MAX($H168,0))</f>
        <v/>
      </c>
      <c r="G168" s="43">
        <f>IF($A168="","",MAX(-$H168,0))</f>
        <v/>
      </c>
      <c r="H168" s="47">
        <f>IF($A168="","",$C168+$D168-$E168)</f>
        <v/>
      </c>
      <c r="I168" s="44">
        <f>IF($A168="","",INDEX(COA!$E:$E,ROW()-10))</f>
        <v/>
      </c>
      <c r="J168" s="44">
        <f>IF($A168="","",INDEX(COA!$F:$F,ROW()-10))</f>
        <v/>
      </c>
      <c r="K168" s="32">
        <f>IF($A168="","",INDEX(COA!$P:$P,ROW()-10))</f>
        <v/>
      </c>
      <c r="L168" s="32">
        <f>IF($A168="","",INDEX(COA!$Q:$Q,ROW()-10))</f>
        <v/>
      </c>
      <c r="M168" s="32" t="inlineStr"/>
    </row>
    <row r="169">
      <c r="A169" s="44">
        <f>IF(INDEX(COA!$A:$A,ROW()-10)="","",INDEX(COA!$A:$A,ROW()-10))</f>
        <v/>
      </c>
      <c r="B169" s="32">
        <f>IF($A169="","",INDEX(COA!$B:$B,ROW()-10))</f>
        <v/>
      </c>
      <c r="C169" s="47">
        <f>IF($A169="","",(SUMIFS(GL_Journal!$S:$S,GL_Journal!$G:$G,"&gt;="&amp;$K169,GL_Journal!$G:$G,"&lt;="&amp;$L169,GL_Journal!$I:$I,TB_LOCC,GL_Journal!$J:$J,TB_CCC,GL_Journal!$D:$D,"&lt;"&amp;TB_From)-SUMIFS(GL_Journal!$T:$T,GL_Journal!$G:$G,"&gt;="&amp;$K169,GL_Journal!$G:$G,"&lt;="&amp;$L169,GL_Journal!$I:$I,TB_LOCC,GL_Journal!$J:$J,TB_CCC,GL_Journal!$D:$D,"&lt;"&amp;TB_From)))</f>
        <v/>
      </c>
      <c r="D169" s="43">
        <f>IF($A169="","",SUMIFS(GL_Journal!$S:$S,GL_Journal!$G:$G,"&gt;="&amp;$K169,GL_Journal!$G:$G,"&lt;="&amp;$L169,GL_Journal!$I:$I,TB_LOCC,GL_Journal!$J:$J,TB_CCC,GL_Journal!$D:$D,"&gt;="&amp;TB_From,GL_Journal!$D:$D,"&lt;="&amp;TB_To))</f>
        <v/>
      </c>
      <c r="E169" s="43">
        <f>IF($A169="","",SUMIFS(GL_Journal!$T:$T,GL_Journal!$G:$G,"&gt;="&amp;$K169,GL_Journal!$G:$G,"&lt;="&amp;$L169,GL_Journal!$I:$I,TB_LOCC,GL_Journal!$J:$J,TB_CCC,GL_Journal!$D:$D,"&gt;="&amp;TB_From,GL_Journal!$D:$D,"&lt;="&amp;TB_To))</f>
        <v/>
      </c>
      <c r="F169" s="43">
        <f>IF($A169="","",MAX($H169,0))</f>
        <v/>
      </c>
      <c r="G169" s="43">
        <f>IF($A169="","",MAX(-$H169,0))</f>
        <v/>
      </c>
      <c r="H169" s="47">
        <f>IF($A169="","",$C169+$D169-$E169)</f>
        <v/>
      </c>
      <c r="I169" s="44">
        <f>IF($A169="","",INDEX(COA!$E:$E,ROW()-10))</f>
        <v/>
      </c>
      <c r="J169" s="44">
        <f>IF($A169="","",INDEX(COA!$F:$F,ROW()-10))</f>
        <v/>
      </c>
      <c r="K169" s="32">
        <f>IF($A169="","",INDEX(COA!$P:$P,ROW()-10))</f>
        <v/>
      </c>
      <c r="L169" s="32">
        <f>IF($A169="","",INDEX(COA!$Q:$Q,ROW()-10))</f>
        <v/>
      </c>
      <c r="M169" s="32" t="inlineStr"/>
    </row>
    <row r="170">
      <c r="A170" s="44">
        <f>IF(INDEX(COA!$A:$A,ROW()-10)="","",INDEX(COA!$A:$A,ROW()-10))</f>
        <v/>
      </c>
      <c r="B170" s="32">
        <f>IF($A170="","",INDEX(COA!$B:$B,ROW()-10))</f>
        <v/>
      </c>
      <c r="C170" s="47">
        <f>IF($A170="","",(SUMIFS(GL_Journal!$S:$S,GL_Journal!$G:$G,"&gt;="&amp;$K170,GL_Journal!$G:$G,"&lt;="&amp;$L170,GL_Journal!$I:$I,TB_LOCC,GL_Journal!$J:$J,TB_CCC,GL_Journal!$D:$D,"&lt;"&amp;TB_From)-SUMIFS(GL_Journal!$T:$T,GL_Journal!$G:$G,"&gt;="&amp;$K170,GL_Journal!$G:$G,"&lt;="&amp;$L170,GL_Journal!$I:$I,TB_LOCC,GL_Journal!$J:$J,TB_CCC,GL_Journal!$D:$D,"&lt;"&amp;TB_From)))</f>
        <v/>
      </c>
      <c r="D170" s="43">
        <f>IF($A170="","",SUMIFS(GL_Journal!$S:$S,GL_Journal!$G:$G,"&gt;="&amp;$K170,GL_Journal!$G:$G,"&lt;="&amp;$L170,GL_Journal!$I:$I,TB_LOCC,GL_Journal!$J:$J,TB_CCC,GL_Journal!$D:$D,"&gt;="&amp;TB_From,GL_Journal!$D:$D,"&lt;="&amp;TB_To))</f>
        <v/>
      </c>
      <c r="E170" s="43">
        <f>IF($A170="","",SUMIFS(GL_Journal!$T:$T,GL_Journal!$G:$G,"&gt;="&amp;$K170,GL_Journal!$G:$G,"&lt;="&amp;$L170,GL_Journal!$I:$I,TB_LOCC,GL_Journal!$J:$J,TB_CCC,GL_Journal!$D:$D,"&gt;="&amp;TB_From,GL_Journal!$D:$D,"&lt;="&amp;TB_To))</f>
        <v/>
      </c>
      <c r="F170" s="43">
        <f>IF($A170="","",MAX($H170,0))</f>
        <v/>
      </c>
      <c r="G170" s="43">
        <f>IF($A170="","",MAX(-$H170,0))</f>
        <v/>
      </c>
      <c r="H170" s="47">
        <f>IF($A170="","",$C170+$D170-$E170)</f>
        <v/>
      </c>
      <c r="I170" s="44">
        <f>IF($A170="","",INDEX(COA!$E:$E,ROW()-10))</f>
        <v/>
      </c>
      <c r="J170" s="44">
        <f>IF($A170="","",INDEX(COA!$F:$F,ROW()-10))</f>
        <v/>
      </c>
      <c r="K170" s="32">
        <f>IF($A170="","",INDEX(COA!$P:$P,ROW()-10))</f>
        <v/>
      </c>
      <c r="L170" s="32">
        <f>IF($A170="","",INDEX(COA!$Q:$Q,ROW()-10))</f>
        <v/>
      </c>
      <c r="M170" s="32" t="inlineStr"/>
    </row>
    <row r="171">
      <c r="A171" s="44">
        <f>IF(INDEX(COA!$A:$A,ROW()-10)="","",INDEX(COA!$A:$A,ROW()-10))</f>
        <v/>
      </c>
      <c r="B171" s="32">
        <f>IF($A171="","",INDEX(COA!$B:$B,ROW()-10))</f>
        <v/>
      </c>
      <c r="C171" s="47">
        <f>IF($A171="","",(SUMIFS(GL_Journal!$S:$S,GL_Journal!$G:$G,"&gt;="&amp;$K171,GL_Journal!$G:$G,"&lt;="&amp;$L171,GL_Journal!$I:$I,TB_LOCC,GL_Journal!$J:$J,TB_CCC,GL_Journal!$D:$D,"&lt;"&amp;TB_From)-SUMIFS(GL_Journal!$T:$T,GL_Journal!$G:$G,"&gt;="&amp;$K171,GL_Journal!$G:$G,"&lt;="&amp;$L171,GL_Journal!$I:$I,TB_LOCC,GL_Journal!$J:$J,TB_CCC,GL_Journal!$D:$D,"&lt;"&amp;TB_From)))</f>
        <v/>
      </c>
      <c r="D171" s="43">
        <f>IF($A171="","",SUMIFS(GL_Journal!$S:$S,GL_Journal!$G:$G,"&gt;="&amp;$K171,GL_Journal!$G:$G,"&lt;="&amp;$L171,GL_Journal!$I:$I,TB_LOCC,GL_Journal!$J:$J,TB_CCC,GL_Journal!$D:$D,"&gt;="&amp;TB_From,GL_Journal!$D:$D,"&lt;="&amp;TB_To))</f>
        <v/>
      </c>
      <c r="E171" s="43">
        <f>IF($A171="","",SUMIFS(GL_Journal!$T:$T,GL_Journal!$G:$G,"&gt;="&amp;$K171,GL_Journal!$G:$G,"&lt;="&amp;$L171,GL_Journal!$I:$I,TB_LOCC,GL_Journal!$J:$J,TB_CCC,GL_Journal!$D:$D,"&gt;="&amp;TB_From,GL_Journal!$D:$D,"&lt;="&amp;TB_To))</f>
        <v/>
      </c>
      <c r="F171" s="43">
        <f>IF($A171="","",MAX($H171,0))</f>
        <v/>
      </c>
      <c r="G171" s="43">
        <f>IF($A171="","",MAX(-$H171,0))</f>
        <v/>
      </c>
      <c r="H171" s="47">
        <f>IF($A171="","",$C171+$D171-$E171)</f>
        <v/>
      </c>
      <c r="I171" s="44">
        <f>IF($A171="","",INDEX(COA!$E:$E,ROW()-10))</f>
        <v/>
      </c>
      <c r="J171" s="44">
        <f>IF($A171="","",INDEX(COA!$F:$F,ROW()-10))</f>
        <v/>
      </c>
      <c r="K171" s="32">
        <f>IF($A171="","",INDEX(COA!$P:$P,ROW()-10))</f>
        <v/>
      </c>
      <c r="L171" s="32">
        <f>IF($A171="","",INDEX(COA!$Q:$Q,ROW()-10))</f>
        <v/>
      </c>
      <c r="M171" s="32" t="inlineStr"/>
    </row>
    <row r="172">
      <c r="A172" s="44">
        <f>IF(INDEX(COA!$A:$A,ROW()-10)="","",INDEX(COA!$A:$A,ROW()-10))</f>
        <v/>
      </c>
      <c r="B172" s="32">
        <f>IF($A172="","",INDEX(COA!$B:$B,ROW()-10))</f>
        <v/>
      </c>
      <c r="C172" s="47">
        <f>IF($A172="","",(SUMIFS(GL_Journal!$S:$S,GL_Journal!$G:$G,"&gt;="&amp;$K172,GL_Journal!$G:$G,"&lt;="&amp;$L172,GL_Journal!$I:$I,TB_LOCC,GL_Journal!$J:$J,TB_CCC,GL_Journal!$D:$D,"&lt;"&amp;TB_From)-SUMIFS(GL_Journal!$T:$T,GL_Journal!$G:$G,"&gt;="&amp;$K172,GL_Journal!$G:$G,"&lt;="&amp;$L172,GL_Journal!$I:$I,TB_LOCC,GL_Journal!$J:$J,TB_CCC,GL_Journal!$D:$D,"&lt;"&amp;TB_From)))</f>
        <v/>
      </c>
      <c r="D172" s="43">
        <f>IF($A172="","",SUMIFS(GL_Journal!$S:$S,GL_Journal!$G:$G,"&gt;="&amp;$K172,GL_Journal!$G:$G,"&lt;="&amp;$L172,GL_Journal!$I:$I,TB_LOCC,GL_Journal!$J:$J,TB_CCC,GL_Journal!$D:$D,"&gt;="&amp;TB_From,GL_Journal!$D:$D,"&lt;="&amp;TB_To))</f>
        <v/>
      </c>
      <c r="E172" s="43">
        <f>IF($A172="","",SUMIFS(GL_Journal!$T:$T,GL_Journal!$G:$G,"&gt;="&amp;$K172,GL_Journal!$G:$G,"&lt;="&amp;$L172,GL_Journal!$I:$I,TB_LOCC,GL_Journal!$J:$J,TB_CCC,GL_Journal!$D:$D,"&gt;="&amp;TB_From,GL_Journal!$D:$D,"&lt;="&amp;TB_To))</f>
        <v/>
      </c>
      <c r="F172" s="43">
        <f>IF($A172="","",MAX($H172,0))</f>
        <v/>
      </c>
      <c r="G172" s="43">
        <f>IF($A172="","",MAX(-$H172,0))</f>
        <v/>
      </c>
      <c r="H172" s="47">
        <f>IF($A172="","",$C172+$D172-$E172)</f>
        <v/>
      </c>
      <c r="I172" s="44">
        <f>IF($A172="","",INDEX(COA!$E:$E,ROW()-10))</f>
        <v/>
      </c>
      <c r="J172" s="44">
        <f>IF($A172="","",INDEX(COA!$F:$F,ROW()-10))</f>
        <v/>
      </c>
      <c r="K172" s="32">
        <f>IF($A172="","",INDEX(COA!$P:$P,ROW()-10))</f>
        <v/>
      </c>
      <c r="L172" s="32">
        <f>IF($A172="","",INDEX(COA!$Q:$Q,ROW()-10))</f>
        <v/>
      </c>
      <c r="M172" s="32" t="inlineStr"/>
    </row>
    <row r="173">
      <c r="A173" s="44">
        <f>IF(INDEX(COA!$A:$A,ROW()-10)="","",INDEX(COA!$A:$A,ROW()-10))</f>
        <v/>
      </c>
      <c r="B173" s="32">
        <f>IF($A173="","",INDEX(COA!$B:$B,ROW()-10))</f>
        <v/>
      </c>
      <c r="C173" s="47">
        <f>IF($A173="","",(SUMIFS(GL_Journal!$S:$S,GL_Journal!$G:$G,"&gt;="&amp;$K173,GL_Journal!$G:$G,"&lt;="&amp;$L173,GL_Journal!$I:$I,TB_LOCC,GL_Journal!$J:$J,TB_CCC,GL_Journal!$D:$D,"&lt;"&amp;TB_From)-SUMIFS(GL_Journal!$T:$T,GL_Journal!$G:$G,"&gt;="&amp;$K173,GL_Journal!$G:$G,"&lt;="&amp;$L173,GL_Journal!$I:$I,TB_LOCC,GL_Journal!$J:$J,TB_CCC,GL_Journal!$D:$D,"&lt;"&amp;TB_From)))</f>
        <v/>
      </c>
      <c r="D173" s="43">
        <f>IF($A173="","",SUMIFS(GL_Journal!$S:$S,GL_Journal!$G:$G,"&gt;="&amp;$K173,GL_Journal!$G:$G,"&lt;="&amp;$L173,GL_Journal!$I:$I,TB_LOCC,GL_Journal!$J:$J,TB_CCC,GL_Journal!$D:$D,"&gt;="&amp;TB_From,GL_Journal!$D:$D,"&lt;="&amp;TB_To))</f>
        <v/>
      </c>
      <c r="E173" s="43">
        <f>IF($A173="","",SUMIFS(GL_Journal!$T:$T,GL_Journal!$G:$G,"&gt;="&amp;$K173,GL_Journal!$G:$G,"&lt;="&amp;$L173,GL_Journal!$I:$I,TB_LOCC,GL_Journal!$J:$J,TB_CCC,GL_Journal!$D:$D,"&gt;="&amp;TB_From,GL_Journal!$D:$D,"&lt;="&amp;TB_To))</f>
        <v/>
      </c>
      <c r="F173" s="43">
        <f>IF($A173="","",MAX($H173,0))</f>
        <v/>
      </c>
      <c r="G173" s="43">
        <f>IF($A173="","",MAX(-$H173,0))</f>
        <v/>
      </c>
      <c r="H173" s="47">
        <f>IF($A173="","",$C173+$D173-$E173)</f>
        <v/>
      </c>
      <c r="I173" s="44">
        <f>IF($A173="","",INDEX(COA!$E:$E,ROW()-10))</f>
        <v/>
      </c>
      <c r="J173" s="44">
        <f>IF($A173="","",INDEX(COA!$F:$F,ROW()-10))</f>
        <v/>
      </c>
      <c r="K173" s="32">
        <f>IF($A173="","",INDEX(COA!$P:$P,ROW()-10))</f>
        <v/>
      </c>
      <c r="L173" s="32">
        <f>IF($A173="","",INDEX(COA!$Q:$Q,ROW()-10))</f>
        <v/>
      </c>
      <c r="M173" s="32" t="inlineStr"/>
    </row>
    <row r="174">
      <c r="A174" s="44">
        <f>IF(INDEX(COA!$A:$A,ROW()-10)="","",INDEX(COA!$A:$A,ROW()-10))</f>
        <v/>
      </c>
      <c r="B174" s="32">
        <f>IF($A174="","",INDEX(COA!$B:$B,ROW()-10))</f>
        <v/>
      </c>
      <c r="C174" s="47">
        <f>IF($A174="","",(SUMIFS(GL_Journal!$S:$S,GL_Journal!$G:$G,"&gt;="&amp;$K174,GL_Journal!$G:$G,"&lt;="&amp;$L174,GL_Journal!$I:$I,TB_LOCC,GL_Journal!$J:$J,TB_CCC,GL_Journal!$D:$D,"&lt;"&amp;TB_From)-SUMIFS(GL_Journal!$T:$T,GL_Journal!$G:$G,"&gt;="&amp;$K174,GL_Journal!$G:$G,"&lt;="&amp;$L174,GL_Journal!$I:$I,TB_LOCC,GL_Journal!$J:$J,TB_CCC,GL_Journal!$D:$D,"&lt;"&amp;TB_From)))</f>
        <v/>
      </c>
      <c r="D174" s="43">
        <f>IF($A174="","",SUMIFS(GL_Journal!$S:$S,GL_Journal!$G:$G,"&gt;="&amp;$K174,GL_Journal!$G:$G,"&lt;="&amp;$L174,GL_Journal!$I:$I,TB_LOCC,GL_Journal!$J:$J,TB_CCC,GL_Journal!$D:$D,"&gt;="&amp;TB_From,GL_Journal!$D:$D,"&lt;="&amp;TB_To))</f>
        <v/>
      </c>
      <c r="E174" s="43">
        <f>IF($A174="","",SUMIFS(GL_Journal!$T:$T,GL_Journal!$G:$G,"&gt;="&amp;$K174,GL_Journal!$G:$G,"&lt;="&amp;$L174,GL_Journal!$I:$I,TB_LOCC,GL_Journal!$J:$J,TB_CCC,GL_Journal!$D:$D,"&gt;="&amp;TB_From,GL_Journal!$D:$D,"&lt;="&amp;TB_To))</f>
        <v/>
      </c>
      <c r="F174" s="43">
        <f>IF($A174="","",MAX($H174,0))</f>
        <v/>
      </c>
      <c r="G174" s="43">
        <f>IF($A174="","",MAX(-$H174,0))</f>
        <v/>
      </c>
      <c r="H174" s="47">
        <f>IF($A174="","",$C174+$D174-$E174)</f>
        <v/>
      </c>
      <c r="I174" s="44">
        <f>IF($A174="","",INDEX(COA!$E:$E,ROW()-10))</f>
        <v/>
      </c>
      <c r="J174" s="44">
        <f>IF($A174="","",INDEX(COA!$F:$F,ROW()-10))</f>
        <v/>
      </c>
      <c r="K174" s="32">
        <f>IF($A174="","",INDEX(COA!$P:$P,ROW()-10))</f>
        <v/>
      </c>
      <c r="L174" s="32">
        <f>IF($A174="","",INDEX(COA!$Q:$Q,ROW()-10))</f>
        <v/>
      </c>
      <c r="M174" s="32" t="inlineStr"/>
    </row>
    <row r="175">
      <c r="A175" s="44">
        <f>IF(INDEX(COA!$A:$A,ROW()-10)="","",INDEX(COA!$A:$A,ROW()-10))</f>
        <v/>
      </c>
      <c r="B175" s="32">
        <f>IF($A175="","",INDEX(COA!$B:$B,ROW()-10))</f>
        <v/>
      </c>
      <c r="C175" s="47">
        <f>IF($A175="","",(SUMIFS(GL_Journal!$S:$S,GL_Journal!$G:$G,"&gt;="&amp;$K175,GL_Journal!$G:$G,"&lt;="&amp;$L175,GL_Journal!$I:$I,TB_LOCC,GL_Journal!$J:$J,TB_CCC,GL_Journal!$D:$D,"&lt;"&amp;TB_From)-SUMIFS(GL_Journal!$T:$T,GL_Journal!$G:$G,"&gt;="&amp;$K175,GL_Journal!$G:$G,"&lt;="&amp;$L175,GL_Journal!$I:$I,TB_LOCC,GL_Journal!$J:$J,TB_CCC,GL_Journal!$D:$D,"&lt;"&amp;TB_From)))</f>
        <v/>
      </c>
      <c r="D175" s="43">
        <f>IF($A175="","",SUMIFS(GL_Journal!$S:$S,GL_Journal!$G:$G,"&gt;="&amp;$K175,GL_Journal!$G:$G,"&lt;="&amp;$L175,GL_Journal!$I:$I,TB_LOCC,GL_Journal!$J:$J,TB_CCC,GL_Journal!$D:$D,"&gt;="&amp;TB_From,GL_Journal!$D:$D,"&lt;="&amp;TB_To))</f>
        <v/>
      </c>
      <c r="E175" s="43">
        <f>IF($A175="","",SUMIFS(GL_Journal!$T:$T,GL_Journal!$G:$G,"&gt;="&amp;$K175,GL_Journal!$G:$G,"&lt;="&amp;$L175,GL_Journal!$I:$I,TB_LOCC,GL_Journal!$J:$J,TB_CCC,GL_Journal!$D:$D,"&gt;="&amp;TB_From,GL_Journal!$D:$D,"&lt;="&amp;TB_To))</f>
        <v/>
      </c>
      <c r="F175" s="43">
        <f>IF($A175="","",MAX($H175,0))</f>
        <v/>
      </c>
      <c r="G175" s="43">
        <f>IF($A175="","",MAX(-$H175,0))</f>
        <v/>
      </c>
      <c r="H175" s="47">
        <f>IF($A175="","",$C175+$D175-$E175)</f>
        <v/>
      </c>
      <c r="I175" s="44">
        <f>IF($A175="","",INDEX(COA!$E:$E,ROW()-10))</f>
        <v/>
      </c>
      <c r="J175" s="44">
        <f>IF($A175="","",INDEX(COA!$F:$F,ROW()-10))</f>
        <v/>
      </c>
      <c r="K175" s="32">
        <f>IF($A175="","",INDEX(COA!$P:$P,ROW()-10))</f>
        <v/>
      </c>
      <c r="L175" s="32">
        <f>IF($A175="","",INDEX(COA!$Q:$Q,ROW()-10))</f>
        <v/>
      </c>
      <c r="M175" s="32" t="inlineStr"/>
    </row>
    <row r="176">
      <c r="A176" s="44">
        <f>IF(INDEX(COA!$A:$A,ROW()-10)="","",INDEX(COA!$A:$A,ROW()-10))</f>
        <v/>
      </c>
      <c r="B176" s="32">
        <f>IF($A176="","",INDEX(COA!$B:$B,ROW()-10))</f>
        <v/>
      </c>
      <c r="C176" s="47">
        <f>IF($A176="","",(SUMIFS(GL_Journal!$S:$S,GL_Journal!$G:$G,"&gt;="&amp;$K176,GL_Journal!$G:$G,"&lt;="&amp;$L176,GL_Journal!$I:$I,TB_LOCC,GL_Journal!$J:$J,TB_CCC,GL_Journal!$D:$D,"&lt;"&amp;TB_From)-SUMIFS(GL_Journal!$T:$T,GL_Journal!$G:$G,"&gt;="&amp;$K176,GL_Journal!$G:$G,"&lt;="&amp;$L176,GL_Journal!$I:$I,TB_LOCC,GL_Journal!$J:$J,TB_CCC,GL_Journal!$D:$D,"&lt;"&amp;TB_From)))</f>
        <v/>
      </c>
      <c r="D176" s="43">
        <f>IF($A176="","",SUMIFS(GL_Journal!$S:$S,GL_Journal!$G:$G,"&gt;="&amp;$K176,GL_Journal!$G:$G,"&lt;="&amp;$L176,GL_Journal!$I:$I,TB_LOCC,GL_Journal!$J:$J,TB_CCC,GL_Journal!$D:$D,"&gt;="&amp;TB_From,GL_Journal!$D:$D,"&lt;="&amp;TB_To))</f>
        <v/>
      </c>
      <c r="E176" s="43">
        <f>IF($A176="","",SUMIFS(GL_Journal!$T:$T,GL_Journal!$G:$G,"&gt;="&amp;$K176,GL_Journal!$G:$G,"&lt;="&amp;$L176,GL_Journal!$I:$I,TB_LOCC,GL_Journal!$J:$J,TB_CCC,GL_Journal!$D:$D,"&gt;="&amp;TB_From,GL_Journal!$D:$D,"&lt;="&amp;TB_To))</f>
        <v/>
      </c>
      <c r="F176" s="43">
        <f>IF($A176="","",MAX($H176,0))</f>
        <v/>
      </c>
      <c r="G176" s="43">
        <f>IF($A176="","",MAX(-$H176,0))</f>
        <v/>
      </c>
      <c r="H176" s="47">
        <f>IF($A176="","",$C176+$D176-$E176)</f>
        <v/>
      </c>
      <c r="I176" s="44">
        <f>IF($A176="","",INDEX(COA!$E:$E,ROW()-10))</f>
        <v/>
      </c>
      <c r="J176" s="44">
        <f>IF($A176="","",INDEX(COA!$F:$F,ROW()-10))</f>
        <v/>
      </c>
      <c r="K176" s="32">
        <f>IF($A176="","",INDEX(COA!$P:$P,ROW()-10))</f>
        <v/>
      </c>
      <c r="L176" s="32">
        <f>IF($A176="","",INDEX(COA!$Q:$Q,ROW()-10))</f>
        <v/>
      </c>
      <c r="M176" s="32" t="inlineStr"/>
    </row>
    <row r="177">
      <c r="A177" s="44">
        <f>IF(INDEX(COA!$A:$A,ROW()-10)="","",INDEX(COA!$A:$A,ROW()-10))</f>
        <v/>
      </c>
      <c r="B177" s="32">
        <f>IF($A177="","",INDEX(COA!$B:$B,ROW()-10))</f>
        <v/>
      </c>
      <c r="C177" s="47">
        <f>IF($A177="","",(SUMIFS(GL_Journal!$S:$S,GL_Journal!$G:$G,"&gt;="&amp;$K177,GL_Journal!$G:$G,"&lt;="&amp;$L177,GL_Journal!$I:$I,TB_LOCC,GL_Journal!$J:$J,TB_CCC,GL_Journal!$D:$D,"&lt;"&amp;TB_From)-SUMIFS(GL_Journal!$T:$T,GL_Journal!$G:$G,"&gt;="&amp;$K177,GL_Journal!$G:$G,"&lt;="&amp;$L177,GL_Journal!$I:$I,TB_LOCC,GL_Journal!$J:$J,TB_CCC,GL_Journal!$D:$D,"&lt;"&amp;TB_From)))</f>
        <v/>
      </c>
      <c r="D177" s="43">
        <f>IF($A177="","",SUMIFS(GL_Journal!$S:$S,GL_Journal!$G:$G,"&gt;="&amp;$K177,GL_Journal!$G:$G,"&lt;="&amp;$L177,GL_Journal!$I:$I,TB_LOCC,GL_Journal!$J:$J,TB_CCC,GL_Journal!$D:$D,"&gt;="&amp;TB_From,GL_Journal!$D:$D,"&lt;="&amp;TB_To))</f>
        <v/>
      </c>
      <c r="E177" s="43">
        <f>IF($A177="","",SUMIFS(GL_Journal!$T:$T,GL_Journal!$G:$G,"&gt;="&amp;$K177,GL_Journal!$G:$G,"&lt;="&amp;$L177,GL_Journal!$I:$I,TB_LOCC,GL_Journal!$J:$J,TB_CCC,GL_Journal!$D:$D,"&gt;="&amp;TB_From,GL_Journal!$D:$D,"&lt;="&amp;TB_To))</f>
        <v/>
      </c>
      <c r="F177" s="43">
        <f>IF($A177="","",MAX($H177,0))</f>
        <v/>
      </c>
      <c r="G177" s="43">
        <f>IF($A177="","",MAX(-$H177,0))</f>
        <v/>
      </c>
      <c r="H177" s="47">
        <f>IF($A177="","",$C177+$D177-$E177)</f>
        <v/>
      </c>
      <c r="I177" s="44">
        <f>IF($A177="","",INDEX(COA!$E:$E,ROW()-10))</f>
        <v/>
      </c>
      <c r="J177" s="44">
        <f>IF($A177="","",INDEX(COA!$F:$F,ROW()-10))</f>
        <v/>
      </c>
      <c r="K177" s="32">
        <f>IF($A177="","",INDEX(COA!$P:$P,ROW()-10))</f>
        <v/>
      </c>
      <c r="L177" s="32">
        <f>IF($A177="","",INDEX(COA!$Q:$Q,ROW()-10))</f>
        <v/>
      </c>
      <c r="M177" s="32" t="inlineStr"/>
    </row>
    <row r="178">
      <c r="A178" s="44">
        <f>IF(INDEX(COA!$A:$A,ROW()-10)="","",INDEX(COA!$A:$A,ROW()-10))</f>
        <v/>
      </c>
      <c r="B178" s="32">
        <f>IF($A178="","",INDEX(COA!$B:$B,ROW()-10))</f>
        <v/>
      </c>
      <c r="C178" s="47">
        <f>IF($A178="","",(SUMIFS(GL_Journal!$S:$S,GL_Journal!$G:$G,"&gt;="&amp;$K178,GL_Journal!$G:$G,"&lt;="&amp;$L178,GL_Journal!$I:$I,TB_LOCC,GL_Journal!$J:$J,TB_CCC,GL_Journal!$D:$D,"&lt;"&amp;TB_From)-SUMIFS(GL_Journal!$T:$T,GL_Journal!$G:$G,"&gt;="&amp;$K178,GL_Journal!$G:$G,"&lt;="&amp;$L178,GL_Journal!$I:$I,TB_LOCC,GL_Journal!$J:$J,TB_CCC,GL_Journal!$D:$D,"&lt;"&amp;TB_From)))</f>
        <v/>
      </c>
      <c r="D178" s="43">
        <f>IF($A178="","",SUMIFS(GL_Journal!$S:$S,GL_Journal!$G:$G,"&gt;="&amp;$K178,GL_Journal!$G:$G,"&lt;="&amp;$L178,GL_Journal!$I:$I,TB_LOCC,GL_Journal!$J:$J,TB_CCC,GL_Journal!$D:$D,"&gt;="&amp;TB_From,GL_Journal!$D:$D,"&lt;="&amp;TB_To))</f>
        <v/>
      </c>
      <c r="E178" s="43">
        <f>IF($A178="","",SUMIFS(GL_Journal!$T:$T,GL_Journal!$G:$G,"&gt;="&amp;$K178,GL_Journal!$G:$G,"&lt;="&amp;$L178,GL_Journal!$I:$I,TB_LOCC,GL_Journal!$J:$J,TB_CCC,GL_Journal!$D:$D,"&gt;="&amp;TB_From,GL_Journal!$D:$D,"&lt;="&amp;TB_To))</f>
        <v/>
      </c>
      <c r="F178" s="43">
        <f>IF($A178="","",MAX($H178,0))</f>
        <v/>
      </c>
      <c r="G178" s="43">
        <f>IF($A178="","",MAX(-$H178,0))</f>
        <v/>
      </c>
      <c r="H178" s="47">
        <f>IF($A178="","",$C178+$D178-$E178)</f>
        <v/>
      </c>
      <c r="I178" s="44">
        <f>IF($A178="","",INDEX(COA!$E:$E,ROW()-10))</f>
        <v/>
      </c>
      <c r="J178" s="44">
        <f>IF($A178="","",INDEX(COA!$F:$F,ROW()-10))</f>
        <v/>
      </c>
      <c r="K178" s="32">
        <f>IF($A178="","",INDEX(COA!$P:$P,ROW()-10))</f>
        <v/>
      </c>
      <c r="L178" s="32">
        <f>IF($A178="","",INDEX(COA!$Q:$Q,ROW()-10))</f>
        <v/>
      </c>
      <c r="M178" s="32" t="inlineStr"/>
    </row>
    <row r="179">
      <c r="A179" s="44">
        <f>IF(INDEX(COA!$A:$A,ROW()-10)="","",INDEX(COA!$A:$A,ROW()-10))</f>
        <v/>
      </c>
      <c r="B179" s="32">
        <f>IF($A179="","",INDEX(COA!$B:$B,ROW()-10))</f>
        <v/>
      </c>
      <c r="C179" s="47">
        <f>IF($A179="","",(SUMIFS(GL_Journal!$S:$S,GL_Journal!$G:$G,"&gt;="&amp;$K179,GL_Journal!$G:$G,"&lt;="&amp;$L179,GL_Journal!$I:$I,TB_LOCC,GL_Journal!$J:$J,TB_CCC,GL_Journal!$D:$D,"&lt;"&amp;TB_From)-SUMIFS(GL_Journal!$T:$T,GL_Journal!$G:$G,"&gt;="&amp;$K179,GL_Journal!$G:$G,"&lt;="&amp;$L179,GL_Journal!$I:$I,TB_LOCC,GL_Journal!$J:$J,TB_CCC,GL_Journal!$D:$D,"&lt;"&amp;TB_From)))</f>
        <v/>
      </c>
      <c r="D179" s="43">
        <f>IF($A179="","",SUMIFS(GL_Journal!$S:$S,GL_Journal!$G:$G,"&gt;="&amp;$K179,GL_Journal!$G:$G,"&lt;="&amp;$L179,GL_Journal!$I:$I,TB_LOCC,GL_Journal!$J:$J,TB_CCC,GL_Journal!$D:$D,"&gt;="&amp;TB_From,GL_Journal!$D:$D,"&lt;="&amp;TB_To))</f>
        <v/>
      </c>
      <c r="E179" s="43">
        <f>IF($A179="","",SUMIFS(GL_Journal!$T:$T,GL_Journal!$G:$G,"&gt;="&amp;$K179,GL_Journal!$G:$G,"&lt;="&amp;$L179,GL_Journal!$I:$I,TB_LOCC,GL_Journal!$J:$J,TB_CCC,GL_Journal!$D:$D,"&gt;="&amp;TB_From,GL_Journal!$D:$D,"&lt;="&amp;TB_To))</f>
        <v/>
      </c>
      <c r="F179" s="43">
        <f>IF($A179="","",MAX($H179,0))</f>
        <v/>
      </c>
      <c r="G179" s="43">
        <f>IF($A179="","",MAX(-$H179,0))</f>
        <v/>
      </c>
      <c r="H179" s="47">
        <f>IF($A179="","",$C179+$D179-$E179)</f>
        <v/>
      </c>
      <c r="I179" s="44">
        <f>IF($A179="","",INDEX(COA!$E:$E,ROW()-10))</f>
        <v/>
      </c>
      <c r="J179" s="44">
        <f>IF($A179="","",INDEX(COA!$F:$F,ROW()-10))</f>
        <v/>
      </c>
      <c r="K179" s="32">
        <f>IF($A179="","",INDEX(COA!$P:$P,ROW()-10))</f>
        <v/>
      </c>
      <c r="L179" s="32">
        <f>IF($A179="","",INDEX(COA!$Q:$Q,ROW()-10))</f>
        <v/>
      </c>
      <c r="M179" s="32" t="inlineStr"/>
    </row>
    <row r="180">
      <c r="A180" s="44">
        <f>IF(INDEX(COA!$A:$A,ROW()-10)="","",INDEX(COA!$A:$A,ROW()-10))</f>
        <v/>
      </c>
      <c r="B180" s="32">
        <f>IF($A180="","",INDEX(COA!$B:$B,ROW()-10))</f>
        <v/>
      </c>
      <c r="C180" s="47">
        <f>IF($A180="","",(SUMIFS(GL_Journal!$S:$S,GL_Journal!$G:$G,"&gt;="&amp;$K180,GL_Journal!$G:$G,"&lt;="&amp;$L180,GL_Journal!$I:$I,TB_LOCC,GL_Journal!$J:$J,TB_CCC,GL_Journal!$D:$D,"&lt;"&amp;TB_From)-SUMIFS(GL_Journal!$T:$T,GL_Journal!$G:$G,"&gt;="&amp;$K180,GL_Journal!$G:$G,"&lt;="&amp;$L180,GL_Journal!$I:$I,TB_LOCC,GL_Journal!$J:$J,TB_CCC,GL_Journal!$D:$D,"&lt;"&amp;TB_From)))</f>
        <v/>
      </c>
      <c r="D180" s="43">
        <f>IF($A180="","",SUMIFS(GL_Journal!$S:$S,GL_Journal!$G:$G,"&gt;="&amp;$K180,GL_Journal!$G:$G,"&lt;="&amp;$L180,GL_Journal!$I:$I,TB_LOCC,GL_Journal!$J:$J,TB_CCC,GL_Journal!$D:$D,"&gt;="&amp;TB_From,GL_Journal!$D:$D,"&lt;="&amp;TB_To))</f>
        <v/>
      </c>
      <c r="E180" s="43">
        <f>IF($A180="","",SUMIFS(GL_Journal!$T:$T,GL_Journal!$G:$G,"&gt;="&amp;$K180,GL_Journal!$G:$G,"&lt;="&amp;$L180,GL_Journal!$I:$I,TB_LOCC,GL_Journal!$J:$J,TB_CCC,GL_Journal!$D:$D,"&gt;="&amp;TB_From,GL_Journal!$D:$D,"&lt;="&amp;TB_To))</f>
        <v/>
      </c>
      <c r="F180" s="43">
        <f>IF($A180="","",MAX($H180,0))</f>
        <v/>
      </c>
      <c r="G180" s="43">
        <f>IF($A180="","",MAX(-$H180,0))</f>
        <v/>
      </c>
      <c r="H180" s="47">
        <f>IF($A180="","",$C180+$D180-$E180)</f>
        <v/>
      </c>
      <c r="I180" s="44">
        <f>IF($A180="","",INDEX(COA!$E:$E,ROW()-10))</f>
        <v/>
      </c>
      <c r="J180" s="44">
        <f>IF($A180="","",INDEX(COA!$F:$F,ROW()-10))</f>
        <v/>
      </c>
      <c r="K180" s="32">
        <f>IF($A180="","",INDEX(COA!$P:$P,ROW()-10))</f>
        <v/>
      </c>
      <c r="L180" s="32">
        <f>IF($A180="","",INDEX(COA!$Q:$Q,ROW()-10))</f>
        <v/>
      </c>
      <c r="M180" s="32" t="inlineStr"/>
    </row>
    <row r="181">
      <c r="A181" s="44">
        <f>IF(INDEX(COA!$A:$A,ROW()-10)="","",INDEX(COA!$A:$A,ROW()-10))</f>
        <v/>
      </c>
      <c r="B181" s="32">
        <f>IF($A181="","",INDEX(COA!$B:$B,ROW()-10))</f>
        <v/>
      </c>
      <c r="C181" s="47">
        <f>IF($A181="","",(SUMIFS(GL_Journal!$S:$S,GL_Journal!$G:$G,"&gt;="&amp;$K181,GL_Journal!$G:$G,"&lt;="&amp;$L181,GL_Journal!$I:$I,TB_LOCC,GL_Journal!$J:$J,TB_CCC,GL_Journal!$D:$D,"&lt;"&amp;TB_From)-SUMIFS(GL_Journal!$T:$T,GL_Journal!$G:$G,"&gt;="&amp;$K181,GL_Journal!$G:$G,"&lt;="&amp;$L181,GL_Journal!$I:$I,TB_LOCC,GL_Journal!$J:$J,TB_CCC,GL_Journal!$D:$D,"&lt;"&amp;TB_From)))</f>
        <v/>
      </c>
      <c r="D181" s="43">
        <f>IF($A181="","",SUMIFS(GL_Journal!$S:$S,GL_Journal!$G:$G,"&gt;="&amp;$K181,GL_Journal!$G:$G,"&lt;="&amp;$L181,GL_Journal!$I:$I,TB_LOCC,GL_Journal!$J:$J,TB_CCC,GL_Journal!$D:$D,"&gt;="&amp;TB_From,GL_Journal!$D:$D,"&lt;="&amp;TB_To))</f>
        <v/>
      </c>
      <c r="E181" s="43">
        <f>IF($A181="","",SUMIFS(GL_Journal!$T:$T,GL_Journal!$G:$G,"&gt;="&amp;$K181,GL_Journal!$G:$G,"&lt;="&amp;$L181,GL_Journal!$I:$I,TB_LOCC,GL_Journal!$J:$J,TB_CCC,GL_Journal!$D:$D,"&gt;="&amp;TB_From,GL_Journal!$D:$D,"&lt;="&amp;TB_To))</f>
        <v/>
      </c>
      <c r="F181" s="43">
        <f>IF($A181="","",MAX($H181,0))</f>
        <v/>
      </c>
      <c r="G181" s="43">
        <f>IF($A181="","",MAX(-$H181,0))</f>
        <v/>
      </c>
      <c r="H181" s="47">
        <f>IF($A181="","",$C181+$D181-$E181)</f>
        <v/>
      </c>
      <c r="I181" s="44">
        <f>IF($A181="","",INDEX(COA!$E:$E,ROW()-10))</f>
        <v/>
      </c>
      <c r="J181" s="44">
        <f>IF($A181="","",INDEX(COA!$F:$F,ROW()-10))</f>
        <v/>
      </c>
      <c r="K181" s="32">
        <f>IF($A181="","",INDEX(COA!$P:$P,ROW()-10))</f>
        <v/>
      </c>
      <c r="L181" s="32">
        <f>IF($A181="","",INDEX(COA!$Q:$Q,ROW()-10))</f>
        <v/>
      </c>
      <c r="M181" s="32" t="inlineStr"/>
    </row>
    <row r="182">
      <c r="A182" s="44">
        <f>IF(INDEX(COA!$A:$A,ROW()-10)="","",INDEX(COA!$A:$A,ROW()-10))</f>
        <v/>
      </c>
      <c r="B182" s="32">
        <f>IF($A182="","",INDEX(COA!$B:$B,ROW()-10))</f>
        <v/>
      </c>
      <c r="C182" s="47">
        <f>IF($A182="","",(SUMIFS(GL_Journal!$S:$S,GL_Journal!$G:$G,"&gt;="&amp;$K182,GL_Journal!$G:$G,"&lt;="&amp;$L182,GL_Journal!$I:$I,TB_LOCC,GL_Journal!$J:$J,TB_CCC,GL_Journal!$D:$D,"&lt;"&amp;TB_From)-SUMIFS(GL_Journal!$T:$T,GL_Journal!$G:$G,"&gt;="&amp;$K182,GL_Journal!$G:$G,"&lt;="&amp;$L182,GL_Journal!$I:$I,TB_LOCC,GL_Journal!$J:$J,TB_CCC,GL_Journal!$D:$D,"&lt;"&amp;TB_From)))</f>
        <v/>
      </c>
      <c r="D182" s="43">
        <f>IF($A182="","",SUMIFS(GL_Journal!$S:$S,GL_Journal!$G:$G,"&gt;="&amp;$K182,GL_Journal!$G:$G,"&lt;="&amp;$L182,GL_Journal!$I:$I,TB_LOCC,GL_Journal!$J:$J,TB_CCC,GL_Journal!$D:$D,"&gt;="&amp;TB_From,GL_Journal!$D:$D,"&lt;="&amp;TB_To))</f>
        <v/>
      </c>
      <c r="E182" s="43">
        <f>IF($A182="","",SUMIFS(GL_Journal!$T:$T,GL_Journal!$G:$G,"&gt;="&amp;$K182,GL_Journal!$G:$G,"&lt;="&amp;$L182,GL_Journal!$I:$I,TB_LOCC,GL_Journal!$J:$J,TB_CCC,GL_Journal!$D:$D,"&gt;="&amp;TB_From,GL_Journal!$D:$D,"&lt;="&amp;TB_To))</f>
        <v/>
      </c>
      <c r="F182" s="43">
        <f>IF($A182="","",MAX($H182,0))</f>
        <v/>
      </c>
      <c r="G182" s="43">
        <f>IF($A182="","",MAX(-$H182,0))</f>
        <v/>
      </c>
      <c r="H182" s="47">
        <f>IF($A182="","",$C182+$D182-$E182)</f>
        <v/>
      </c>
      <c r="I182" s="44">
        <f>IF($A182="","",INDEX(COA!$E:$E,ROW()-10))</f>
        <v/>
      </c>
      <c r="J182" s="44">
        <f>IF($A182="","",INDEX(COA!$F:$F,ROW()-10))</f>
        <v/>
      </c>
      <c r="K182" s="32">
        <f>IF($A182="","",INDEX(COA!$P:$P,ROW()-10))</f>
        <v/>
      </c>
      <c r="L182" s="32">
        <f>IF($A182="","",INDEX(COA!$Q:$Q,ROW()-10))</f>
        <v/>
      </c>
      <c r="M182" s="32" t="inlineStr"/>
    </row>
    <row r="183">
      <c r="A183" s="44">
        <f>IF(INDEX(COA!$A:$A,ROW()-10)="","",INDEX(COA!$A:$A,ROW()-10))</f>
        <v/>
      </c>
      <c r="B183" s="32">
        <f>IF($A183="","",INDEX(COA!$B:$B,ROW()-10))</f>
        <v/>
      </c>
      <c r="C183" s="47">
        <f>IF($A183="","",(SUMIFS(GL_Journal!$S:$S,GL_Journal!$G:$G,"&gt;="&amp;$K183,GL_Journal!$G:$G,"&lt;="&amp;$L183,GL_Journal!$I:$I,TB_LOCC,GL_Journal!$J:$J,TB_CCC,GL_Journal!$D:$D,"&lt;"&amp;TB_From)-SUMIFS(GL_Journal!$T:$T,GL_Journal!$G:$G,"&gt;="&amp;$K183,GL_Journal!$G:$G,"&lt;="&amp;$L183,GL_Journal!$I:$I,TB_LOCC,GL_Journal!$J:$J,TB_CCC,GL_Journal!$D:$D,"&lt;"&amp;TB_From)))</f>
        <v/>
      </c>
      <c r="D183" s="43">
        <f>IF($A183="","",SUMIFS(GL_Journal!$S:$S,GL_Journal!$G:$G,"&gt;="&amp;$K183,GL_Journal!$G:$G,"&lt;="&amp;$L183,GL_Journal!$I:$I,TB_LOCC,GL_Journal!$J:$J,TB_CCC,GL_Journal!$D:$D,"&gt;="&amp;TB_From,GL_Journal!$D:$D,"&lt;="&amp;TB_To))</f>
        <v/>
      </c>
      <c r="E183" s="43">
        <f>IF($A183="","",SUMIFS(GL_Journal!$T:$T,GL_Journal!$G:$G,"&gt;="&amp;$K183,GL_Journal!$G:$G,"&lt;="&amp;$L183,GL_Journal!$I:$I,TB_LOCC,GL_Journal!$J:$J,TB_CCC,GL_Journal!$D:$D,"&gt;="&amp;TB_From,GL_Journal!$D:$D,"&lt;="&amp;TB_To))</f>
        <v/>
      </c>
      <c r="F183" s="43">
        <f>IF($A183="","",MAX($H183,0))</f>
        <v/>
      </c>
      <c r="G183" s="43">
        <f>IF($A183="","",MAX(-$H183,0))</f>
        <v/>
      </c>
      <c r="H183" s="47">
        <f>IF($A183="","",$C183+$D183-$E183)</f>
        <v/>
      </c>
      <c r="I183" s="44">
        <f>IF($A183="","",INDEX(COA!$E:$E,ROW()-10))</f>
        <v/>
      </c>
      <c r="J183" s="44">
        <f>IF($A183="","",INDEX(COA!$F:$F,ROW()-10))</f>
        <v/>
      </c>
      <c r="K183" s="32">
        <f>IF($A183="","",INDEX(COA!$P:$P,ROW()-10))</f>
        <v/>
      </c>
      <c r="L183" s="32">
        <f>IF($A183="","",INDEX(COA!$Q:$Q,ROW()-10))</f>
        <v/>
      </c>
      <c r="M183" s="32" t="inlineStr"/>
    </row>
    <row r="184">
      <c r="A184" s="44">
        <f>IF(INDEX(COA!$A:$A,ROW()-10)="","",INDEX(COA!$A:$A,ROW()-10))</f>
        <v/>
      </c>
      <c r="B184" s="32">
        <f>IF($A184="","",INDEX(COA!$B:$B,ROW()-10))</f>
        <v/>
      </c>
      <c r="C184" s="47">
        <f>IF($A184="","",(SUMIFS(GL_Journal!$S:$S,GL_Journal!$G:$G,"&gt;="&amp;$K184,GL_Journal!$G:$G,"&lt;="&amp;$L184,GL_Journal!$I:$I,TB_LOCC,GL_Journal!$J:$J,TB_CCC,GL_Journal!$D:$D,"&lt;"&amp;TB_From)-SUMIFS(GL_Journal!$T:$T,GL_Journal!$G:$G,"&gt;="&amp;$K184,GL_Journal!$G:$G,"&lt;="&amp;$L184,GL_Journal!$I:$I,TB_LOCC,GL_Journal!$J:$J,TB_CCC,GL_Journal!$D:$D,"&lt;"&amp;TB_From)))</f>
        <v/>
      </c>
      <c r="D184" s="43">
        <f>IF($A184="","",SUMIFS(GL_Journal!$S:$S,GL_Journal!$G:$G,"&gt;="&amp;$K184,GL_Journal!$G:$G,"&lt;="&amp;$L184,GL_Journal!$I:$I,TB_LOCC,GL_Journal!$J:$J,TB_CCC,GL_Journal!$D:$D,"&gt;="&amp;TB_From,GL_Journal!$D:$D,"&lt;="&amp;TB_To))</f>
        <v/>
      </c>
      <c r="E184" s="43">
        <f>IF($A184="","",SUMIFS(GL_Journal!$T:$T,GL_Journal!$G:$G,"&gt;="&amp;$K184,GL_Journal!$G:$G,"&lt;="&amp;$L184,GL_Journal!$I:$I,TB_LOCC,GL_Journal!$J:$J,TB_CCC,GL_Journal!$D:$D,"&gt;="&amp;TB_From,GL_Journal!$D:$D,"&lt;="&amp;TB_To))</f>
        <v/>
      </c>
      <c r="F184" s="43">
        <f>IF($A184="","",MAX($H184,0))</f>
        <v/>
      </c>
      <c r="G184" s="43">
        <f>IF($A184="","",MAX(-$H184,0))</f>
        <v/>
      </c>
      <c r="H184" s="47">
        <f>IF($A184="","",$C184+$D184-$E184)</f>
        <v/>
      </c>
      <c r="I184" s="44">
        <f>IF($A184="","",INDEX(COA!$E:$E,ROW()-10))</f>
        <v/>
      </c>
      <c r="J184" s="44">
        <f>IF($A184="","",INDEX(COA!$F:$F,ROW()-10))</f>
        <v/>
      </c>
      <c r="K184" s="32">
        <f>IF($A184="","",INDEX(COA!$P:$P,ROW()-10))</f>
        <v/>
      </c>
      <c r="L184" s="32">
        <f>IF($A184="","",INDEX(COA!$Q:$Q,ROW()-10))</f>
        <v/>
      </c>
      <c r="M184" s="32" t="inlineStr"/>
    </row>
    <row r="185">
      <c r="A185" s="44">
        <f>IF(INDEX(COA!$A:$A,ROW()-10)="","",INDEX(COA!$A:$A,ROW()-10))</f>
        <v/>
      </c>
      <c r="B185" s="32">
        <f>IF($A185="","",INDEX(COA!$B:$B,ROW()-10))</f>
        <v/>
      </c>
      <c r="C185" s="47">
        <f>IF($A185="","",(SUMIFS(GL_Journal!$S:$S,GL_Journal!$G:$G,"&gt;="&amp;$K185,GL_Journal!$G:$G,"&lt;="&amp;$L185,GL_Journal!$I:$I,TB_LOCC,GL_Journal!$J:$J,TB_CCC,GL_Journal!$D:$D,"&lt;"&amp;TB_From)-SUMIFS(GL_Journal!$T:$T,GL_Journal!$G:$G,"&gt;="&amp;$K185,GL_Journal!$G:$G,"&lt;="&amp;$L185,GL_Journal!$I:$I,TB_LOCC,GL_Journal!$J:$J,TB_CCC,GL_Journal!$D:$D,"&lt;"&amp;TB_From)))</f>
        <v/>
      </c>
      <c r="D185" s="43">
        <f>IF($A185="","",SUMIFS(GL_Journal!$S:$S,GL_Journal!$G:$G,"&gt;="&amp;$K185,GL_Journal!$G:$G,"&lt;="&amp;$L185,GL_Journal!$I:$I,TB_LOCC,GL_Journal!$J:$J,TB_CCC,GL_Journal!$D:$D,"&gt;="&amp;TB_From,GL_Journal!$D:$D,"&lt;="&amp;TB_To))</f>
        <v/>
      </c>
      <c r="E185" s="43">
        <f>IF($A185="","",SUMIFS(GL_Journal!$T:$T,GL_Journal!$G:$G,"&gt;="&amp;$K185,GL_Journal!$G:$G,"&lt;="&amp;$L185,GL_Journal!$I:$I,TB_LOCC,GL_Journal!$J:$J,TB_CCC,GL_Journal!$D:$D,"&gt;="&amp;TB_From,GL_Journal!$D:$D,"&lt;="&amp;TB_To))</f>
        <v/>
      </c>
      <c r="F185" s="43">
        <f>IF($A185="","",MAX($H185,0))</f>
        <v/>
      </c>
      <c r="G185" s="43">
        <f>IF($A185="","",MAX(-$H185,0))</f>
        <v/>
      </c>
      <c r="H185" s="47">
        <f>IF($A185="","",$C185+$D185-$E185)</f>
        <v/>
      </c>
      <c r="I185" s="44">
        <f>IF($A185="","",INDEX(COA!$E:$E,ROW()-10))</f>
        <v/>
      </c>
      <c r="J185" s="44">
        <f>IF($A185="","",INDEX(COA!$F:$F,ROW()-10))</f>
        <v/>
      </c>
      <c r="K185" s="32">
        <f>IF($A185="","",INDEX(COA!$P:$P,ROW()-10))</f>
        <v/>
      </c>
      <c r="L185" s="32">
        <f>IF($A185="","",INDEX(COA!$Q:$Q,ROW()-10))</f>
        <v/>
      </c>
      <c r="M185" s="32" t="inlineStr"/>
    </row>
    <row r="186">
      <c r="A186" s="44">
        <f>IF(INDEX(COA!$A:$A,ROW()-10)="","",INDEX(COA!$A:$A,ROW()-10))</f>
        <v/>
      </c>
      <c r="B186" s="32">
        <f>IF($A186="","",INDEX(COA!$B:$B,ROW()-10))</f>
        <v/>
      </c>
      <c r="C186" s="47">
        <f>IF($A186="","",(SUMIFS(GL_Journal!$S:$S,GL_Journal!$G:$G,"&gt;="&amp;$K186,GL_Journal!$G:$G,"&lt;="&amp;$L186,GL_Journal!$I:$I,TB_LOCC,GL_Journal!$J:$J,TB_CCC,GL_Journal!$D:$D,"&lt;"&amp;TB_From)-SUMIFS(GL_Journal!$T:$T,GL_Journal!$G:$G,"&gt;="&amp;$K186,GL_Journal!$G:$G,"&lt;="&amp;$L186,GL_Journal!$I:$I,TB_LOCC,GL_Journal!$J:$J,TB_CCC,GL_Journal!$D:$D,"&lt;"&amp;TB_From)))</f>
        <v/>
      </c>
      <c r="D186" s="43">
        <f>IF($A186="","",SUMIFS(GL_Journal!$S:$S,GL_Journal!$G:$G,"&gt;="&amp;$K186,GL_Journal!$G:$G,"&lt;="&amp;$L186,GL_Journal!$I:$I,TB_LOCC,GL_Journal!$J:$J,TB_CCC,GL_Journal!$D:$D,"&gt;="&amp;TB_From,GL_Journal!$D:$D,"&lt;="&amp;TB_To))</f>
        <v/>
      </c>
      <c r="E186" s="43">
        <f>IF($A186="","",SUMIFS(GL_Journal!$T:$T,GL_Journal!$G:$G,"&gt;="&amp;$K186,GL_Journal!$G:$G,"&lt;="&amp;$L186,GL_Journal!$I:$I,TB_LOCC,GL_Journal!$J:$J,TB_CCC,GL_Journal!$D:$D,"&gt;="&amp;TB_From,GL_Journal!$D:$D,"&lt;="&amp;TB_To))</f>
        <v/>
      </c>
      <c r="F186" s="43">
        <f>IF($A186="","",MAX($H186,0))</f>
        <v/>
      </c>
      <c r="G186" s="43">
        <f>IF($A186="","",MAX(-$H186,0))</f>
        <v/>
      </c>
      <c r="H186" s="47">
        <f>IF($A186="","",$C186+$D186-$E186)</f>
        <v/>
      </c>
      <c r="I186" s="44">
        <f>IF($A186="","",INDEX(COA!$E:$E,ROW()-10))</f>
        <v/>
      </c>
      <c r="J186" s="44">
        <f>IF($A186="","",INDEX(COA!$F:$F,ROW()-10))</f>
        <v/>
      </c>
      <c r="K186" s="32">
        <f>IF($A186="","",INDEX(COA!$P:$P,ROW()-10))</f>
        <v/>
      </c>
      <c r="L186" s="32">
        <f>IF($A186="","",INDEX(COA!$Q:$Q,ROW()-10))</f>
        <v/>
      </c>
      <c r="M186" s="32" t="inlineStr"/>
    </row>
    <row r="187">
      <c r="A187" s="44">
        <f>IF(INDEX(COA!$A:$A,ROW()-10)="","",INDEX(COA!$A:$A,ROW()-10))</f>
        <v/>
      </c>
      <c r="B187" s="32">
        <f>IF($A187="","",INDEX(COA!$B:$B,ROW()-10))</f>
        <v/>
      </c>
      <c r="C187" s="47">
        <f>IF($A187="","",(SUMIFS(GL_Journal!$S:$S,GL_Journal!$G:$G,"&gt;="&amp;$K187,GL_Journal!$G:$G,"&lt;="&amp;$L187,GL_Journal!$I:$I,TB_LOCC,GL_Journal!$J:$J,TB_CCC,GL_Journal!$D:$D,"&lt;"&amp;TB_From)-SUMIFS(GL_Journal!$T:$T,GL_Journal!$G:$G,"&gt;="&amp;$K187,GL_Journal!$G:$G,"&lt;="&amp;$L187,GL_Journal!$I:$I,TB_LOCC,GL_Journal!$J:$J,TB_CCC,GL_Journal!$D:$D,"&lt;"&amp;TB_From)))</f>
        <v/>
      </c>
      <c r="D187" s="43">
        <f>IF($A187="","",SUMIFS(GL_Journal!$S:$S,GL_Journal!$G:$G,"&gt;="&amp;$K187,GL_Journal!$G:$G,"&lt;="&amp;$L187,GL_Journal!$I:$I,TB_LOCC,GL_Journal!$J:$J,TB_CCC,GL_Journal!$D:$D,"&gt;="&amp;TB_From,GL_Journal!$D:$D,"&lt;="&amp;TB_To))</f>
        <v/>
      </c>
      <c r="E187" s="43">
        <f>IF($A187="","",SUMIFS(GL_Journal!$T:$T,GL_Journal!$G:$G,"&gt;="&amp;$K187,GL_Journal!$G:$G,"&lt;="&amp;$L187,GL_Journal!$I:$I,TB_LOCC,GL_Journal!$J:$J,TB_CCC,GL_Journal!$D:$D,"&gt;="&amp;TB_From,GL_Journal!$D:$D,"&lt;="&amp;TB_To))</f>
        <v/>
      </c>
      <c r="F187" s="43">
        <f>IF($A187="","",MAX($H187,0))</f>
        <v/>
      </c>
      <c r="G187" s="43">
        <f>IF($A187="","",MAX(-$H187,0))</f>
        <v/>
      </c>
      <c r="H187" s="47">
        <f>IF($A187="","",$C187+$D187-$E187)</f>
        <v/>
      </c>
      <c r="I187" s="44">
        <f>IF($A187="","",INDEX(COA!$E:$E,ROW()-10))</f>
        <v/>
      </c>
      <c r="J187" s="44">
        <f>IF($A187="","",INDEX(COA!$F:$F,ROW()-10))</f>
        <v/>
      </c>
      <c r="K187" s="32">
        <f>IF($A187="","",INDEX(COA!$P:$P,ROW()-10))</f>
        <v/>
      </c>
      <c r="L187" s="32">
        <f>IF($A187="","",INDEX(COA!$Q:$Q,ROW()-10))</f>
        <v/>
      </c>
      <c r="M187" s="32" t="inlineStr"/>
    </row>
    <row r="188">
      <c r="A188" s="44">
        <f>IF(INDEX(COA!$A:$A,ROW()-10)="","",INDEX(COA!$A:$A,ROW()-10))</f>
        <v/>
      </c>
      <c r="B188" s="32">
        <f>IF($A188="","",INDEX(COA!$B:$B,ROW()-10))</f>
        <v/>
      </c>
      <c r="C188" s="47">
        <f>IF($A188="","",(SUMIFS(GL_Journal!$S:$S,GL_Journal!$G:$G,"&gt;="&amp;$K188,GL_Journal!$G:$G,"&lt;="&amp;$L188,GL_Journal!$I:$I,TB_LOCC,GL_Journal!$J:$J,TB_CCC,GL_Journal!$D:$D,"&lt;"&amp;TB_From)-SUMIFS(GL_Journal!$T:$T,GL_Journal!$G:$G,"&gt;="&amp;$K188,GL_Journal!$G:$G,"&lt;="&amp;$L188,GL_Journal!$I:$I,TB_LOCC,GL_Journal!$J:$J,TB_CCC,GL_Journal!$D:$D,"&lt;"&amp;TB_From)))</f>
        <v/>
      </c>
      <c r="D188" s="43">
        <f>IF($A188="","",SUMIFS(GL_Journal!$S:$S,GL_Journal!$G:$G,"&gt;="&amp;$K188,GL_Journal!$G:$G,"&lt;="&amp;$L188,GL_Journal!$I:$I,TB_LOCC,GL_Journal!$J:$J,TB_CCC,GL_Journal!$D:$D,"&gt;="&amp;TB_From,GL_Journal!$D:$D,"&lt;="&amp;TB_To))</f>
        <v/>
      </c>
      <c r="E188" s="43">
        <f>IF($A188="","",SUMIFS(GL_Journal!$T:$T,GL_Journal!$G:$G,"&gt;="&amp;$K188,GL_Journal!$G:$G,"&lt;="&amp;$L188,GL_Journal!$I:$I,TB_LOCC,GL_Journal!$J:$J,TB_CCC,GL_Journal!$D:$D,"&gt;="&amp;TB_From,GL_Journal!$D:$D,"&lt;="&amp;TB_To))</f>
        <v/>
      </c>
      <c r="F188" s="43">
        <f>IF($A188="","",MAX($H188,0))</f>
        <v/>
      </c>
      <c r="G188" s="43">
        <f>IF($A188="","",MAX(-$H188,0))</f>
        <v/>
      </c>
      <c r="H188" s="47">
        <f>IF($A188="","",$C188+$D188-$E188)</f>
        <v/>
      </c>
      <c r="I188" s="44">
        <f>IF($A188="","",INDEX(COA!$E:$E,ROW()-10))</f>
        <v/>
      </c>
      <c r="J188" s="44">
        <f>IF($A188="","",INDEX(COA!$F:$F,ROW()-10))</f>
        <v/>
      </c>
      <c r="K188" s="32">
        <f>IF($A188="","",INDEX(COA!$P:$P,ROW()-10))</f>
        <v/>
      </c>
      <c r="L188" s="32">
        <f>IF($A188="","",INDEX(COA!$Q:$Q,ROW()-10))</f>
        <v/>
      </c>
      <c r="M188" s="32" t="inlineStr"/>
    </row>
    <row r="189">
      <c r="A189" s="44">
        <f>IF(INDEX(COA!$A:$A,ROW()-10)="","",INDEX(COA!$A:$A,ROW()-10))</f>
        <v/>
      </c>
      <c r="B189" s="32">
        <f>IF($A189="","",INDEX(COA!$B:$B,ROW()-10))</f>
        <v/>
      </c>
      <c r="C189" s="47">
        <f>IF($A189="","",(SUMIFS(GL_Journal!$S:$S,GL_Journal!$G:$G,"&gt;="&amp;$K189,GL_Journal!$G:$G,"&lt;="&amp;$L189,GL_Journal!$I:$I,TB_LOCC,GL_Journal!$J:$J,TB_CCC,GL_Journal!$D:$D,"&lt;"&amp;TB_From)-SUMIFS(GL_Journal!$T:$T,GL_Journal!$G:$G,"&gt;="&amp;$K189,GL_Journal!$G:$G,"&lt;="&amp;$L189,GL_Journal!$I:$I,TB_LOCC,GL_Journal!$J:$J,TB_CCC,GL_Journal!$D:$D,"&lt;"&amp;TB_From)))</f>
        <v/>
      </c>
      <c r="D189" s="43">
        <f>IF($A189="","",SUMIFS(GL_Journal!$S:$S,GL_Journal!$G:$G,"&gt;="&amp;$K189,GL_Journal!$G:$G,"&lt;="&amp;$L189,GL_Journal!$I:$I,TB_LOCC,GL_Journal!$J:$J,TB_CCC,GL_Journal!$D:$D,"&gt;="&amp;TB_From,GL_Journal!$D:$D,"&lt;="&amp;TB_To))</f>
        <v/>
      </c>
      <c r="E189" s="43">
        <f>IF($A189="","",SUMIFS(GL_Journal!$T:$T,GL_Journal!$G:$G,"&gt;="&amp;$K189,GL_Journal!$G:$G,"&lt;="&amp;$L189,GL_Journal!$I:$I,TB_LOCC,GL_Journal!$J:$J,TB_CCC,GL_Journal!$D:$D,"&gt;="&amp;TB_From,GL_Journal!$D:$D,"&lt;="&amp;TB_To))</f>
        <v/>
      </c>
      <c r="F189" s="43">
        <f>IF($A189="","",MAX($H189,0))</f>
        <v/>
      </c>
      <c r="G189" s="43">
        <f>IF($A189="","",MAX(-$H189,0))</f>
        <v/>
      </c>
      <c r="H189" s="47">
        <f>IF($A189="","",$C189+$D189-$E189)</f>
        <v/>
      </c>
      <c r="I189" s="44">
        <f>IF($A189="","",INDEX(COA!$E:$E,ROW()-10))</f>
        <v/>
      </c>
      <c r="J189" s="44">
        <f>IF($A189="","",INDEX(COA!$F:$F,ROW()-10))</f>
        <v/>
      </c>
      <c r="K189" s="32">
        <f>IF($A189="","",INDEX(COA!$P:$P,ROW()-10))</f>
        <v/>
      </c>
      <c r="L189" s="32">
        <f>IF($A189="","",INDEX(COA!$Q:$Q,ROW()-10))</f>
        <v/>
      </c>
      <c r="M189" s="32" t="inlineStr"/>
    </row>
    <row r="190">
      <c r="A190" s="44">
        <f>IF(INDEX(COA!$A:$A,ROW()-10)="","",INDEX(COA!$A:$A,ROW()-10))</f>
        <v/>
      </c>
      <c r="B190" s="32">
        <f>IF($A190="","",INDEX(COA!$B:$B,ROW()-10))</f>
        <v/>
      </c>
      <c r="C190" s="47">
        <f>IF($A190="","",(SUMIFS(GL_Journal!$S:$S,GL_Journal!$G:$G,"&gt;="&amp;$K190,GL_Journal!$G:$G,"&lt;="&amp;$L190,GL_Journal!$I:$I,TB_LOCC,GL_Journal!$J:$J,TB_CCC,GL_Journal!$D:$D,"&lt;"&amp;TB_From)-SUMIFS(GL_Journal!$T:$T,GL_Journal!$G:$G,"&gt;="&amp;$K190,GL_Journal!$G:$G,"&lt;="&amp;$L190,GL_Journal!$I:$I,TB_LOCC,GL_Journal!$J:$J,TB_CCC,GL_Journal!$D:$D,"&lt;"&amp;TB_From)))</f>
        <v/>
      </c>
      <c r="D190" s="43">
        <f>IF($A190="","",SUMIFS(GL_Journal!$S:$S,GL_Journal!$G:$G,"&gt;="&amp;$K190,GL_Journal!$G:$G,"&lt;="&amp;$L190,GL_Journal!$I:$I,TB_LOCC,GL_Journal!$J:$J,TB_CCC,GL_Journal!$D:$D,"&gt;="&amp;TB_From,GL_Journal!$D:$D,"&lt;="&amp;TB_To))</f>
        <v/>
      </c>
      <c r="E190" s="43">
        <f>IF($A190="","",SUMIFS(GL_Journal!$T:$T,GL_Journal!$G:$G,"&gt;="&amp;$K190,GL_Journal!$G:$G,"&lt;="&amp;$L190,GL_Journal!$I:$I,TB_LOCC,GL_Journal!$J:$J,TB_CCC,GL_Journal!$D:$D,"&gt;="&amp;TB_From,GL_Journal!$D:$D,"&lt;="&amp;TB_To))</f>
        <v/>
      </c>
      <c r="F190" s="43">
        <f>IF($A190="","",MAX($H190,0))</f>
        <v/>
      </c>
      <c r="G190" s="43">
        <f>IF($A190="","",MAX(-$H190,0))</f>
        <v/>
      </c>
      <c r="H190" s="47">
        <f>IF($A190="","",$C190+$D190-$E190)</f>
        <v/>
      </c>
      <c r="I190" s="44">
        <f>IF($A190="","",INDEX(COA!$E:$E,ROW()-10))</f>
        <v/>
      </c>
      <c r="J190" s="44">
        <f>IF($A190="","",INDEX(COA!$F:$F,ROW()-10))</f>
        <v/>
      </c>
      <c r="K190" s="32">
        <f>IF($A190="","",INDEX(COA!$P:$P,ROW()-10))</f>
        <v/>
      </c>
      <c r="L190" s="32">
        <f>IF($A190="","",INDEX(COA!$Q:$Q,ROW()-10))</f>
        <v/>
      </c>
      <c r="M190" s="32" t="inlineStr"/>
    </row>
    <row r="191">
      <c r="A191" s="44">
        <f>IF(INDEX(COA!$A:$A,ROW()-10)="","",INDEX(COA!$A:$A,ROW()-10))</f>
        <v/>
      </c>
      <c r="B191" s="32">
        <f>IF($A191="","",INDEX(COA!$B:$B,ROW()-10))</f>
        <v/>
      </c>
      <c r="C191" s="47">
        <f>IF($A191="","",(SUMIFS(GL_Journal!$S:$S,GL_Journal!$G:$G,"&gt;="&amp;$K191,GL_Journal!$G:$G,"&lt;="&amp;$L191,GL_Journal!$I:$I,TB_LOCC,GL_Journal!$J:$J,TB_CCC,GL_Journal!$D:$D,"&lt;"&amp;TB_From)-SUMIFS(GL_Journal!$T:$T,GL_Journal!$G:$G,"&gt;="&amp;$K191,GL_Journal!$G:$G,"&lt;="&amp;$L191,GL_Journal!$I:$I,TB_LOCC,GL_Journal!$J:$J,TB_CCC,GL_Journal!$D:$D,"&lt;"&amp;TB_From)))</f>
        <v/>
      </c>
      <c r="D191" s="43">
        <f>IF($A191="","",SUMIFS(GL_Journal!$S:$S,GL_Journal!$G:$G,"&gt;="&amp;$K191,GL_Journal!$G:$G,"&lt;="&amp;$L191,GL_Journal!$I:$I,TB_LOCC,GL_Journal!$J:$J,TB_CCC,GL_Journal!$D:$D,"&gt;="&amp;TB_From,GL_Journal!$D:$D,"&lt;="&amp;TB_To))</f>
        <v/>
      </c>
      <c r="E191" s="43">
        <f>IF($A191="","",SUMIFS(GL_Journal!$T:$T,GL_Journal!$G:$G,"&gt;="&amp;$K191,GL_Journal!$G:$G,"&lt;="&amp;$L191,GL_Journal!$I:$I,TB_LOCC,GL_Journal!$J:$J,TB_CCC,GL_Journal!$D:$D,"&gt;="&amp;TB_From,GL_Journal!$D:$D,"&lt;="&amp;TB_To))</f>
        <v/>
      </c>
      <c r="F191" s="43">
        <f>IF($A191="","",MAX($H191,0))</f>
        <v/>
      </c>
      <c r="G191" s="43">
        <f>IF($A191="","",MAX(-$H191,0))</f>
        <v/>
      </c>
      <c r="H191" s="47">
        <f>IF($A191="","",$C191+$D191-$E191)</f>
        <v/>
      </c>
      <c r="I191" s="44">
        <f>IF($A191="","",INDEX(COA!$E:$E,ROW()-10))</f>
        <v/>
      </c>
      <c r="J191" s="44">
        <f>IF($A191="","",INDEX(COA!$F:$F,ROW()-10))</f>
        <v/>
      </c>
      <c r="K191" s="32">
        <f>IF($A191="","",INDEX(COA!$P:$P,ROW()-10))</f>
        <v/>
      </c>
      <c r="L191" s="32">
        <f>IF($A191="","",INDEX(COA!$Q:$Q,ROW()-10))</f>
        <v/>
      </c>
      <c r="M191" s="32" t="inlineStr"/>
    </row>
    <row r="192">
      <c r="A192" s="44">
        <f>IF(INDEX(COA!$A:$A,ROW()-10)="","",INDEX(COA!$A:$A,ROW()-10))</f>
        <v/>
      </c>
      <c r="B192" s="32">
        <f>IF($A192="","",INDEX(COA!$B:$B,ROW()-10))</f>
        <v/>
      </c>
      <c r="C192" s="47">
        <f>IF($A192="","",(SUMIFS(GL_Journal!$S:$S,GL_Journal!$G:$G,"&gt;="&amp;$K192,GL_Journal!$G:$G,"&lt;="&amp;$L192,GL_Journal!$I:$I,TB_LOCC,GL_Journal!$J:$J,TB_CCC,GL_Journal!$D:$D,"&lt;"&amp;TB_From)-SUMIFS(GL_Journal!$T:$T,GL_Journal!$G:$G,"&gt;="&amp;$K192,GL_Journal!$G:$G,"&lt;="&amp;$L192,GL_Journal!$I:$I,TB_LOCC,GL_Journal!$J:$J,TB_CCC,GL_Journal!$D:$D,"&lt;"&amp;TB_From)))</f>
        <v/>
      </c>
      <c r="D192" s="43">
        <f>IF($A192="","",SUMIFS(GL_Journal!$S:$S,GL_Journal!$G:$G,"&gt;="&amp;$K192,GL_Journal!$G:$G,"&lt;="&amp;$L192,GL_Journal!$I:$I,TB_LOCC,GL_Journal!$J:$J,TB_CCC,GL_Journal!$D:$D,"&gt;="&amp;TB_From,GL_Journal!$D:$D,"&lt;="&amp;TB_To))</f>
        <v/>
      </c>
      <c r="E192" s="43">
        <f>IF($A192="","",SUMIFS(GL_Journal!$T:$T,GL_Journal!$G:$G,"&gt;="&amp;$K192,GL_Journal!$G:$G,"&lt;="&amp;$L192,GL_Journal!$I:$I,TB_LOCC,GL_Journal!$J:$J,TB_CCC,GL_Journal!$D:$D,"&gt;="&amp;TB_From,GL_Journal!$D:$D,"&lt;="&amp;TB_To))</f>
        <v/>
      </c>
      <c r="F192" s="43">
        <f>IF($A192="","",MAX($H192,0))</f>
        <v/>
      </c>
      <c r="G192" s="43">
        <f>IF($A192="","",MAX(-$H192,0))</f>
        <v/>
      </c>
      <c r="H192" s="47">
        <f>IF($A192="","",$C192+$D192-$E192)</f>
        <v/>
      </c>
      <c r="I192" s="44">
        <f>IF($A192="","",INDEX(COA!$E:$E,ROW()-10))</f>
        <v/>
      </c>
      <c r="J192" s="44">
        <f>IF($A192="","",INDEX(COA!$F:$F,ROW()-10))</f>
        <v/>
      </c>
      <c r="K192" s="32">
        <f>IF($A192="","",INDEX(COA!$P:$P,ROW()-10))</f>
        <v/>
      </c>
      <c r="L192" s="32">
        <f>IF($A192="","",INDEX(COA!$Q:$Q,ROW()-10))</f>
        <v/>
      </c>
      <c r="M192" s="32" t="inlineStr"/>
    </row>
    <row r="193">
      <c r="A193" s="44">
        <f>IF(INDEX(COA!$A:$A,ROW()-10)="","",INDEX(COA!$A:$A,ROW()-10))</f>
        <v/>
      </c>
      <c r="B193" s="32">
        <f>IF($A193="","",INDEX(COA!$B:$B,ROW()-10))</f>
        <v/>
      </c>
      <c r="C193" s="47">
        <f>IF($A193="","",(SUMIFS(GL_Journal!$S:$S,GL_Journal!$G:$G,"&gt;="&amp;$K193,GL_Journal!$G:$G,"&lt;="&amp;$L193,GL_Journal!$I:$I,TB_LOCC,GL_Journal!$J:$J,TB_CCC,GL_Journal!$D:$D,"&lt;"&amp;TB_From)-SUMIFS(GL_Journal!$T:$T,GL_Journal!$G:$G,"&gt;="&amp;$K193,GL_Journal!$G:$G,"&lt;="&amp;$L193,GL_Journal!$I:$I,TB_LOCC,GL_Journal!$J:$J,TB_CCC,GL_Journal!$D:$D,"&lt;"&amp;TB_From)))</f>
        <v/>
      </c>
      <c r="D193" s="43">
        <f>IF($A193="","",SUMIFS(GL_Journal!$S:$S,GL_Journal!$G:$G,"&gt;="&amp;$K193,GL_Journal!$G:$G,"&lt;="&amp;$L193,GL_Journal!$I:$I,TB_LOCC,GL_Journal!$J:$J,TB_CCC,GL_Journal!$D:$D,"&gt;="&amp;TB_From,GL_Journal!$D:$D,"&lt;="&amp;TB_To))</f>
        <v/>
      </c>
      <c r="E193" s="43">
        <f>IF($A193="","",SUMIFS(GL_Journal!$T:$T,GL_Journal!$G:$G,"&gt;="&amp;$K193,GL_Journal!$G:$G,"&lt;="&amp;$L193,GL_Journal!$I:$I,TB_LOCC,GL_Journal!$J:$J,TB_CCC,GL_Journal!$D:$D,"&gt;="&amp;TB_From,GL_Journal!$D:$D,"&lt;="&amp;TB_To))</f>
        <v/>
      </c>
      <c r="F193" s="43">
        <f>IF($A193="","",MAX($H193,0))</f>
        <v/>
      </c>
      <c r="G193" s="43">
        <f>IF($A193="","",MAX(-$H193,0))</f>
        <v/>
      </c>
      <c r="H193" s="47">
        <f>IF($A193="","",$C193+$D193-$E193)</f>
        <v/>
      </c>
      <c r="I193" s="44">
        <f>IF($A193="","",INDEX(COA!$E:$E,ROW()-10))</f>
        <v/>
      </c>
      <c r="J193" s="44">
        <f>IF($A193="","",INDEX(COA!$F:$F,ROW()-10))</f>
        <v/>
      </c>
      <c r="K193" s="32">
        <f>IF($A193="","",INDEX(COA!$P:$P,ROW()-10))</f>
        <v/>
      </c>
      <c r="L193" s="32">
        <f>IF($A193="","",INDEX(COA!$Q:$Q,ROW()-10))</f>
        <v/>
      </c>
      <c r="M193" s="32" t="inlineStr"/>
    </row>
    <row r="194">
      <c r="A194" s="44">
        <f>IF(INDEX(COA!$A:$A,ROW()-10)="","",INDEX(COA!$A:$A,ROW()-10))</f>
        <v/>
      </c>
      <c r="B194" s="32">
        <f>IF($A194="","",INDEX(COA!$B:$B,ROW()-10))</f>
        <v/>
      </c>
      <c r="C194" s="47">
        <f>IF($A194="","",(SUMIFS(GL_Journal!$S:$S,GL_Journal!$G:$G,"&gt;="&amp;$K194,GL_Journal!$G:$G,"&lt;="&amp;$L194,GL_Journal!$I:$I,TB_LOCC,GL_Journal!$J:$J,TB_CCC,GL_Journal!$D:$D,"&lt;"&amp;TB_From)-SUMIFS(GL_Journal!$T:$T,GL_Journal!$G:$G,"&gt;="&amp;$K194,GL_Journal!$G:$G,"&lt;="&amp;$L194,GL_Journal!$I:$I,TB_LOCC,GL_Journal!$J:$J,TB_CCC,GL_Journal!$D:$D,"&lt;"&amp;TB_From)))</f>
        <v/>
      </c>
      <c r="D194" s="43">
        <f>IF($A194="","",SUMIFS(GL_Journal!$S:$S,GL_Journal!$G:$G,"&gt;="&amp;$K194,GL_Journal!$G:$G,"&lt;="&amp;$L194,GL_Journal!$I:$I,TB_LOCC,GL_Journal!$J:$J,TB_CCC,GL_Journal!$D:$D,"&gt;="&amp;TB_From,GL_Journal!$D:$D,"&lt;="&amp;TB_To))</f>
        <v/>
      </c>
      <c r="E194" s="43">
        <f>IF($A194="","",SUMIFS(GL_Journal!$T:$T,GL_Journal!$G:$G,"&gt;="&amp;$K194,GL_Journal!$G:$G,"&lt;="&amp;$L194,GL_Journal!$I:$I,TB_LOCC,GL_Journal!$J:$J,TB_CCC,GL_Journal!$D:$D,"&gt;="&amp;TB_From,GL_Journal!$D:$D,"&lt;="&amp;TB_To))</f>
        <v/>
      </c>
      <c r="F194" s="43">
        <f>IF($A194="","",MAX($H194,0))</f>
        <v/>
      </c>
      <c r="G194" s="43">
        <f>IF($A194="","",MAX(-$H194,0))</f>
        <v/>
      </c>
      <c r="H194" s="47">
        <f>IF($A194="","",$C194+$D194-$E194)</f>
        <v/>
      </c>
      <c r="I194" s="44">
        <f>IF($A194="","",INDEX(COA!$E:$E,ROW()-10))</f>
        <v/>
      </c>
      <c r="J194" s="44">
        <f>IF($A194="","",INDEX(COA!$F:$F,ROW()-10))</f>
        <v/>
      </c>
      <c r="K194" s="32">
        <f>IF($A194="","",INDEX(COA!$P:$P,ROW()-10))</f>
        <v/>
      </c>
      <c r="L194" s="32">
        <f>IF($A194="","",INDEX(COA!$Q:$Q,ROW()-10))</f>
        <v/>
      </c>
      <c r="M194" s="32" t="inlineStr"/>
    </row>
    <row r="195">
      <c r="A195" s="44">
        <f>IF(INDEX(COA!$A:$A,ROW()-10)="","",INDEX(COA!$A:$A,ROW()-10))</f>
        <v/>
      </c>
      <c r="B195" s="32">
        <f>IF($A195="","",INDEX(COA!$B:$B,ROW()-10))</f>
        <v/>
      </c>
      <c r="C195" s="47">
        <f>IF($A195="","",(SUMIFS(GL_Journal!$S:$S,GL_Journal!$G:$G,"&gt;="&amp;$K195,GL_Journal!$G:$G,"&lt;="&amp;$L195,GL_Journal!$I:$I,TB_LOCC,GL_Journal!$J:$J,TB_CCC,GL_Journal!$D:$D,"&lt;"&amp;TB_From)-SUMIFS(GL_Journal!$T:$T,GL_Journal!$G:$G,"&gt;="&amp;$K195,GL_Journal!$G:$G,"&lt;="&amp;$L195,GL_Journal!$I:$I,TB_LOCC,GL_Journal!$J:$J,TB_CCC,GL_Journal!$D:$D,"&lt;"&amp;TB_From)))</f>
        <v/>
      </c>
      <c r="D195" s="43">
        <f>IF($A195="","",SUMIFS(GL_Journal!$S:$S,GL_Journal!$G:$G,"&gt;="&amp;$K195,GL_Journal!$G:$G,"&lt;="&amp;$L195,GL_Journal!$I:$I,TB_LOCC,GL_Journal!$J:$J,TB_CCC,GL_Journal!$D:$D,"&gt;="&amp;TB_From,GL_Journal!$D:$D,"&lt;="&amp;TB_To))</f>
        <v/>
      </c>
      <c r="E195" s="43">
        <f>IF($A195="","",SUMIFS(GL_Journal!$T:$T,GL_Journal!$G:$G,"&gt;="&amp;$K195,GL_Journal!$G:$G,"&lt;="&amp;$L195,GL_Journal!$I:$I,TB_LOCC,GL_Journal!$J:$J,TB_CCC,GL_Journal!$D:$D,"&gt;="&amp;TB_From,GL_Journal!$D:$D,"&lt;="&amp;TB_To))</f>
        <v/>
      </c>
      <c r="F195" s="43">
        <f>IF($A195="","",MAX($H195,0))</f>
        <v/>
      </c>
      <c r="G195" s="43">
        <f>IF($A195="","",MAX(-$H195,0))</f>
        <v/>
      </c>
      <c r="H195" s="47">
        <f>IF($A195="","",$C195+$D195-$E195)</f>
        <v/>
      </c>
      <c r="I195" s="44">
        <f>IF($A195="","",INDEX(COA!$E:$E,ROW()-10))</f>
        <v/>
      </c>
      <c r="J195" s="44">
        <f>IF($A195="","",INDEX(COA!$F:$F,ROW()-10))</f>
        <v/>
      </c>
      <c r="K195" s="32">
        <f>IF($A195="","",INDEX(COA!$P:$P,ROW()-10))</f>
        <v/>
      </c>
      <c r="L195" s="32">
        <f>IF($A195="","",INDEX(COA!$Q:$Q,ROW()-10))</f>
        <v/>
      </c>
      <c r="M195" s="32" t="inlineStr"/>
    </row>
    <row r="196">
      <c r="A196" s="44">
        <f>IF(INDEX(COA!$A:$A,ROW()-10)="","",INDEX(COA!$A:$A,ROW()-10))</f>
        <v/>
      </c>
      <c r="B196" s="32">
        <f>IF($A196="","",INDEX(COA!$B:$B,ROW()-10))</f>
        <v/>
      </c>
      <c r="C196" s="47">
        <f>IF($A196="","",(SUMIFS(GL_Journal!$S:$S,GL_Journal!$G:$G,"&gt;="&amp;$K196,GL_Journal!$G:$G,"&lt;="&amp;$L196,GL_Journal!$I:$I,TB_LOCC,GL_Journal!$J:$J,TB_CCC,GL_Journal!$D:$D,"&lt;"&amp;TB_From)-SUMIFS(GL_Journal!$T:$T,GL_Journal!$G:$G,"&gt;="&amp;$K196,GL_Journal!$G:$G,"&lt;="&amp;$L196,GL_Journal!$I:$I,TB_LOCC,GL_Journal!$J:$J,TB_CCC,GL_Journal!$D:$D,"&lt;"&amp;TB_From)))</f>
        <v/>
      </c>
      <c r="D196" s="43">
        <f>IF($A196="","",SUMIFS(GL_Journal!$S:$S,GL_Journal!$G:$G,"&gt;="&amp;$K196,GL_Journal!$G:$G,"&lt;="&amp;$L196,GL_Journal!$I:$I,TB_LOCC,GL_Journal!$J:$J,TB_CCC,GL_Journal!$D:$D,"&gt;="&amp;TB_From,GL_Journal!$D:$D,"&lt;="&amp;TB_To))</f>
        <v/>
      </c>
      <c r="E196" s="43">
        <f>IF($A196="","",SUMIFS(GL_Journal!$T:$T,GL_Journal!$G:$G,"&gt;="&amp;$K196,GL_Journal!$G:$G,"&lt;="&amp;$L196,GL_Journal!$I:$I,TB_LOCC,GL_Journal!$J:$J,TB_CCC,GL_Journal!$D:$D,"&gt;="&amp;TB_From,GL_Journal!$D:$D,"&lt;="&amp;TB_To))</f>
        <v/>
      </c>
      <c r="F196" s="43">
        <f>IF($A196="","",MAX($H196,0))</f>
        <v/>
      </c>
      <c r="G196" s="43">
        <f>IF($A196="","",MAX(-$H196,0))</f>
        <v/>
      </c>
      <c r="H196" s="47">
        <f>IF($A196="","",$C196+$D196-$E196)</f>
        <v/>
      </c>
      <c r="I196" s="44">
        <f>IF($A196="","",INDEX(COA!$E:$E,ROW()-10))</f>
        <v/>
      </c>
      <c r="J196" s="44">
        <f>IF($A196="","",INDEX(COA!$F:$F,ROW()-10))</f>
        <v/>
      </c>
      <c r="K196" s="32">
        <f>IF($A196="","",INDEX(COA!$P:$P,ROW()-10))</f>
        <v/>
      </c>
      <c r="L196" s="32">
        <f>IF($A196="","",INDEX(COA!$Q:$Q,ROW()-10))</f>
        <v/>
      </c>
      <c r="M196" s="32" t="inlineStr"/>
    </row>
    <row r="197">
      <c r="A197" s="44">
        <f>IF(INDEX(COA!$A:$A,ROW()-10)="","",INDEX(COA!$A:$A,ROW()-10))</f>
        <v/>
      </c>
      <c r="B197" s="32">
        <f>IF($A197="","",INDEX(COA!$B:$B,ROW()-10))</f>
        <v/>
      </c>
      <c r="C197" s="47">
        <f>IF($A197="","",(SUMIFS(GL_Journal!$S:$S,GL_Journal!$G:$G,"&gt;="&amp;$K197,GL_Journal!$G:$G,"&lt;="&amp;$L197,GL_Journal!$I:$I,TB_LOCC,GL_Journal!$J:$J,TB_CCC,GL_Journal!$D:$D,"&lt;"&amp;TB_From)-SUMIFS(GL_Journal!$T:$T,GL_Journal!$G:$G,"&gt;="&amp;$K197,GL_Journal!$G:$G,"&lt;="&amp;$L197,GL_Journal!$I:$I,TB_LOCC,GL_Journal!$J:$J,TB_CCC,GL_Journal!$D:$D,"&lt;"&amp;TB_From)))</f>
        <v/>
      </c>
      <c r="D197" s="43">
        <f>IF($A197="","",SUMIFS(GL_Journal!$S:$S,GL_Journal!$G:$G,"&gt;="&amp;$K197,GL_Journal!$G:$G,"&lt;="&amp;$L197,GL_Journal!$I:$I,TB_LOCC,GL_Journal!$J:$J,TB_CCC,GL_Journal!$D:$D,"&gt;="&amp;TB_From,GL_Journal!$D:$D,"&lt;="&amp;TB_To))</f>
        <v/>
      </c>
      <c r="E197" s="43">
        <f>IF($A197="","",SUMIFS(GL_Journal!$T:$T,GL_Journal!$G:$G,"&gt;="&amp;$K197,GL_Journal!$G:$G,"&lt;="&amp;$L197,GL_Journal!$I:$I,TB_LOCC,GL_Journal!$J:$J,TB_CCC,GL_Journal!$D:$D,"&gt;="&amp;TB_From,GL_Journal!$D:$D,"&lt;="&amp;TB_To))</f>
        <v/>
      </c>
      <c r="F197" s="43">
        <f>IF($A197="","",MAX($H197,0))</f>
        <v/>
      </c>
      <c r="G197" s="43">
        <f>IF($A197="","",MAX(-$H197,0))</f>
        <v/>
      </c>
      <c r="H197" s="47">
        <f>IF($A197="","",$C197+$D197-$E197)</f>
        <v/>
      </c>
      <c r="I197" s="44">
        <f>IF($A197="","",INDEX(COA!$E:$E,ROW()-10))</f>
        <v/>
      </c>
      <c r="J197" s="44">
        <f>IF($A197="","",INDEX(COA!$F:$F,ROW()-10))</f>
        <v/>
      </c>
      <c r="K197" s="32">
        <f>IF($A197="","",INDEX(COA!$P:$P,ROW()-10))</f>
        <v/>
      </c>
      <c r="L197" s="32">
        <f>IF($A197="","",INDEX(COA!$Q:$Q,ROW()-10))</f>
        <v/>
      </c>
      <c r="M197" s="32" t="inlineStr"/>
    </row>
    <row r="198">
      <c r="A198" s="44">
        <f>IF(INDEX(COA!$A:$A,ROW()-10)="","",INDEX(COA!$A:$A,ROW()-10))</f>
        <v/>
      </c>
      <c r="B198" s="32">
        <f>IF($A198="","",INDEX(COA!$B:$B,ROW()-10))</f>
        <v/>
      </c>
      <c r="C198" s="47">
        <f>IF($A198="","",(SUMIFS(GL_Journal!$S:$S,GL_Journal!$G:$G,"&gt;="&amp;$K198,GL_Journal!$G:$G,"&lt;="&amp;$L198,GL_Journal!$I:$I,TB_LOCC,GL_Journal!$J:$J,TB_CCC,GL_Journal!$D:$D,"&lt;"&amp;TB_From)-SUMIFS(GL_Journal!$T:$T,GL_Journal!$G:$G,"&gt;="&amp;$K198,GL_Journal!$G:$G,"&lt;="&amp;$L198,GL_Journal!$I:$I,TB_LOCC,GL_Journal!$J:$J,TB_CCC,GL_Journal!$D:$D,"&lt;"&amp;TB_From)))</f>
        <v/>
      </c>
      <c r="D198" s="43">
        <f>IF($A198="","",SUMIFS(GL_Journal!$S:$S,GL_Journal!$G:$G,"&gt;="&amp;$K198,GL_Journal!$G:$G,"&lt;="&amp;$L198,GL_Journal!$I:$I,TB_LOCC,GL_Journal!$J:$J,TB_CCC,GL_Journal!$D:$D,"&gt;="&amp;TB_From,GL_Journal!$D:$D,"&lt;="&amp;TB_To))</f>
        <v/>
      </c>
      <c r="E198" s="43">
        <f>IF($A198="","",SUMIFS(GL_Journal!$T:$T,GL_Journal!$G:$G,"&gt;="&amp;$K198,GL_Journal!$G:$G,"&lt;="&amp;$L198,GL_Journal!$I:$I,TB_LOCC,GL_Journal!$J:$J,TB_CCC,GL_Journal!$D:$D,"&gt;="&amp;TB_From,GL_Journal!$D:$D,"&lt;="&amp;TB_To))</f>
        <v/>
      </c>
      <c r="F198" s="43">
        <f>IF($A198="","",MAX($H198,0))</f>
        <v/>
      </c>
      <c r="G198" s="43">
        <f>IF($A198="","",MAX(-$H198,0))</f>
        <v/>
      </c>
      <c r="H198" s="47">
        <f>IF($A198="","",$C198+$D198-$E198)</f>
        <v/>
      </c>
      <c r="I198" s="44">
        <f>IF($A198="","",INDEX(COA!$E:$E,ROW()-10))</f>
        <v/>
      </c>
      <c r="J198" s="44">
        <f>IF($A198="","",INDEX(COA!$F:$F,ROW()-10))</f>
        <v/>
      </c>
      <c r="K198" s="32">
        <f>IF($A198="","",INDEX(COA!$P:$P,ROW()-10))</f>
        <v/>
      </c>
      <c r="L198" s="32">
        <f>IF($A198="","",INDEX(COA!$Q:$Q,ROW()-10))</f>
        <v/>
      </c>
      <c r="M198" s="32" t="inlineStr"/>
    </row>
    <row r="199">
      <c r="A199" s="44">
        <f>IF(INDEX(COA!$A:$A,ROW()-10)="","",INDEX(COA!$A:$A,ROW()-10))</f>
        <v/>
      </c>
      <c r="B199" s="32">
        <f>IF($A199="","",INDEX(COA!$B:$B,ROW()-10))</f>
        <v/>
      </c>
      <c r="C199" s="47">
        <f>IF($A199="","",(SUMIFS(GL_Journal!$S:$S,GL_Journal!$G:$G,"&gt;="&amp;$K199,GL_Journal!$G:$G,"&lt;="&amp;$L199,GL_Journal!$I:$I,TB_LOCC,GL_Journal!$J:$J,TB_CCC,GL_Journal!$D:$D,"&lt;"&amp;TB_From)-SUMIFS(GL_Journal!$T:$T,GL_Journal!$G:$G,"&gt;="&amp;$K199,GL_Journal!$G:$G,"&lt;="&amp;$L199,GL_Journal!$I:$I,TB_LOCC,GL_Journal!$J:$J,TB_CCC,GL_Journal!$D:$D,"&lt;"&amp;TB_From)))</f>
        <v/>
      </c>
      <c r="D199" s="43">
        <f>IF($A199="","",SUMIFS(GL_Journal!$S:$S,GL_Journal!$G:$G,"&gt;="&amp;$K199,GL_Journal!$G:$G,"&lt;="&amp;$L199,GL_Journal!$I:$I,TB_LOCC,GL_Journal!$J:$J,TB_CCC,GL_Journal!$D:$D,"&gt;="&amp;TB_From,GL_Journal!$D:$D,"&lt;="&amp;TB_To))</f>
        <v/>
      </c>
      <c r="E199" s="43">
        <f>IF($A199="","",SUMIFS(GL_Journal!$T:$T,GL_Journal!$G:$G,"&gt;="&amp;$K199,GL_Journal!$G:$G,"&lt;="&amp;$L199,GL_Journal!$I:$I,TB_LOCC,GL_Journal!$J:$J,TB_CCC,GL_Journal!$D:$D,"&gt;="&amp;TB_From,GL_Journal!$D:$D,"&lt;="&amp;TB_To))</f>
        <v/>
      </c>
      <c r="F199" s="43">
        <f>IF($A199="","",MAX($H199,0))</f>
        <v/>
      </c>
      <c r="G199" s="43">
        <f>IF($A199="","",MAX(-$H199,0))</f>
        <v/>
      </c>
      <c r="H199" s="47">
        <f>IF($A199="","",$C199+$D199-$E199)</f>
        <v/>
      </c>
      <c r="I199" s="44">
        <f>IF($A199="","",INDEX(COA!$E:$E,ROW()-10))</f>
        <v/>
      </c>
      <c r="J199" s="44">
        <f>IF($A199="","",INDEX(COA!$F:$F,ROW()-10))</f>
        <v/>
      </c>
      <c r="K199" s="32">
        <f>IF($A199="","",INDEX(COA!$P:$P,ROW()-10))</f>
        <v/>
      </c>
      <c r="L199" s="32">
        <f>IF($A199="","",INDEX(COA!$Q:$Q,ROW()-10))</f>
        <v/>
      </c>
      <c r="M199" s="32" t="inlineStr"/>
    </row>
    <row r="200">
      <c r="A200" s="44">
        <f>IF(INDEX(COA!$A:$A,ROW()-10)="","",INDEX(COA!$A:$A,ROW()-10))</f>
        <v/>
      </c>
      <c r="B200" s="32">
        <f>IF($A200="","",INDEX(COA!$B:$B,ROW()-10))</f>
        <v/>
      </c>
      <c r="C200" s="47">
        <f>IF($A200="","",(SUMIFS(GL_Journal!$S:$S,GL_Journal!$G:$G,"&gt;="&amp;$K200,GL_Journal!$G:$G,"&lt;="&amp;$L200,GL_Journal!$I:$I,TB_LOCC,GL_Journal!$J:$J,TB_CCC,GL_Journal!$D:$D,"&lt;"&amp;TB_From)-SUMIFS(GL_Journal!$T:$T,GL_Journal!$G:$G,"&gt;="&amp;$K200,GL_Journal!$G:$G,"&lt;="&amp;$L200,GL_Journal!$I:$I,TB_LOCC,GL_Journal!$J:$J,TB_CCC,GL_Journal!$D:$D,"&lt;"&amp;TB_From)))</f>
        <v/>
      </c>
      <c r="D200" s="43">
        <f>IF($A200="","",SUMIFS(GL_Journal!$S:$S,GL_Journal!$G:$G,"&gt;="&amp;$K200,GL_Journal!$G:$G,"&lt;="&amp;$L200,GL_Journal!$I:$I,TB_LOCC,GL_Journal!$J:$J,TB_CCC,GL_Journal!$D:$D,"&gt;="&amp;TB_From,GL_Journal!$D:$D,"&lt;="&amp;TB_To))</f>
        <v/>
      </c>
      <c r="E200" s="43">
        <f>IF($A200="","",SUMIFS(GL_Journal!$T:$T,GL_Journal!$G:$G,"&gt;="&amp;$K200,GL_Journal!$G:$G,"&lt;="&amp;$L200,GL_Journal!$I:$I,TB_LOCC,GL_Journal!$J:$J,TB_CCC,GL_Journal!$D:$D,"&gt;="&amp;TB_From,GL_Journal!$D:$D,"&lt;="&amp;TB_To))</f>
        <v/>
      </c>
      <c r="F200" s="43">
        <f>IF($A200="","",MAX($H200,0))</f>
        <v/>
      </c>
      <c r="G200" s="43">
        <f>IF($A200="","",MAX(-$H200,0))</f>
        <v/>
      </c>
      <c r="H200" s="47">
        <f>IF($A200="","",$C200+$D200-$E200)</f>
        <v/>
      </c>
      <c r="I200" s="44">
        <f>IF($A200="","",INDEX(COA!$E:$E,ROW()-10))</f>
        <v/>
      </c>
      <c r="J200" s="44">
        <f>IF($A200="","",INDEX(COA!$F:$F,ROW()-10))</f>
        <v/>
      </c>
      <c r="K200" s="32">
        <f>IF($A200="","",INDEX(COA!$P:$P,ROW()-10))</f>
        <v/>
      </c>
      <c r="L200" s="32">
        <f>IF($A200="","",INDEX(COA!$Q:$Q,ROW()-10))</f>
        <v/>
      </c>
      <c r="M200" s="32" t="inlineStr"/>
    </row>
    <row r="201">
      <c r="A201" s="44">
        <f>IF(INDEX(COA!$A:$A,ROW()-10)="","",INDEX(COA!$A:$A,ROW()-10))</f>
        <v/>
      </c>
      <c r="B201" s="32">
        <f>IF($A201="","",INDEX(COA!$B:$B,ROW()-10))</f>
        <v/>
      </c>
      <c r="C201" s="47">
        <f>IF($A201="","",(SUMIFS(GL_Journal!$S:$S,GL_Journal!$G:$G,"&gt;="&amp;$K201,GL_Journal!$G:$G,"&lt;="&amp;$L201,GL_Journal!$I:$I,TB_LOCC,GL_Journal!$J:$J,TB_CCC,GL_Journal!$D:$D,"&lt;"&amp;TB_From)-SUMIFS(GL_Journal!$T:$T,GL_Journal!$G:$G,"&gt;="&amp;$K201,GL_Journal!$G:$G,"&lt;="&amp;$L201,GL_Journal!$I:$I,TB_LOCC,GL_Journal!$J:$J,TB_CCC,GL_Journal!$D:$D,"&lt;"&amp;TB_From)))</f>
        <v/>
      </c>
      <c r="D201" s="43">
        <f>IF($A201="","",SUMIFS(GL_Journal!$S:$S,GL_Journal!$G:$G,"&gt;="&amp;$K201,GL_Journal!$G:$G,"&lt;="&amp;$L201,GL_Journal!$I:$I,TB_LOCC,GL_Journal!$J:$J,TB_CCC,GL_Journal!$D:$D,"&gt;="&amp;TB_From,GL_Journal!$D:$D,"&lt;="&amp;TB_To))</f>
        <v/>
      </c>
      <c r="E201" s="43">
        <f>IF($A201="","",SUMIFS(GL_Journal!$T:$T,GL_Journal!$G:$G,"&gt;="&amp;$K201,GL_Journal!$G:$G,"&lt;="&amp;$L201,GL_Journal!$I:$I,TB_LOCC,GL_Journal!$J:$J,TB_CCC,GL_Journal!$D:$D,"&gt;="&amp;TB_From,GL_Journal!$D:$D,"&lt;="&amp;TB_To))</f>
        <v/>
      </c>
      <c r="F201" s="43">
        <f>IF($A201="","",MAX($H201,0))</f>
        <v/>
      </c>
      <c r="G201" s="43">
        <f>IF($A201="","",MAX(-$H201,0))</f>
        <v/>
      </c>
      <c r="H201" s="47">
        <f>IF($A201="","",$C201+$D201-$E201)</f>
        <v/>
      </c>
      <c r="I201" s="44">
        <f>IF($A201="","",INDEX(COA!$E:$E,ROW()-10))</f>
        <v/>
      </c>
      <c r="J201" s="44">
        <f>IF($A201="","",INDEX(COA!$F:$F,ROW()-10))</f>
        <v/>
      </c>
      <c r="K201" s="32">
        <f>IF($A201="","",INDEX(COA!$P:$P,ROW()-10))</f>
        <v/>
      </c>
      <c r="L201" s="32">
        <f>IF($A201="","",INDEX(COA!$Q:$Q,ROW()-10))</f>
        <v/>
      </c>
      <c r="M201" s="32" t="inlineStr"/>
    </row>
    <row r="202">
      <c r="A202" s="44">
        <f>IF(INDEX(COA!$A:$A,ROW()-10)="","",INDEX(COA!$A:$A,ROW()-10))</f>
        <v/>
      </c>
      <c r="B202" s="32">
        <f>IF($A202="","",INDEX(COA!$B:$B,ROW()-10))</f>
        <v/>
      </c>
      <c r="C202" s="47">
        <f>IF($A202="","",(SUMIFS(GL_Journal!$S:$S,GL_Journal!$G:$G,"&gt;="&amp;$K202,GL_Journal!$G:$G,"&lt;="&amp;$L202,GL_Journal!$I:$I,TB_LOCC,GL_Journal!$J:$J,TB_CCC,GL_Journal!$D:$D,"&lt;"&amp;TB_From)-SUMIFS(GL_Journal!$T:$T,GL_Journal!$G:$G,"&gt;="&amp;$K202,GL_Journal!$G:$G,"&lt;="&amp;$L202,GL_Journal!$I:$I,TB_LOCC,GL_Journal!$J:$J,TB_CCC,GL_Journal!$D:$D,"&lt;"&amp;TB_From)))</f>
        <v/>
      </c>
      <c r="D202" s="43">
        <f>IF($A202="","",SUMIFS(GL_Journal!$S:$S,GL_Journal!$G:$G,"&gt;="&amp;$K202,GL_Journal!$G:$G,"&lt;="&amp;$L202,GL_Journal!$I:$I,TB_LOCC,GL_Journal!$J:$J,TB_CCC,GL_Journal!$D:$D,"&gt;="&amp;TB_From,GL_Journal!$D:$D,"&lt;="&amp;TB_To))</f>
        <v/>
      </c>
      <c r="E202" s="43">
        <f>IF($A202="","",SUMIFS(GL_Journal!$T:$T,GL_Journal!$G:$G,"&gt;="&amp;$K202,GL_Journal!$G:$G,"&lt;="&amp;$L202,GL_Journal!$I:$I,TB_LOCC,GL_Journal!$J:$J,TB_CCC,GL_Journal!$D:$D,"&gt;="&amp;TB_From,GL_Journal!$D:$D,"&lt;="&amp;TB_To))</f>
        <v/>
      </c>
      <c r="F202" s="43">
        <f>IF($A202="","",MAX($H202,0))</f>
        <v/>
      </c>
      <c r="G202" s="43">
        <f>IF($A202="","",MAX(-$H202,0))</f>
        <v/>
      </c>
      <c r="H202" s="47">
        <f>IF($A202="","",$C202+$D202-$E202)</f>
        <v/>
      </c>
      <c r="I202" s="44">
        <f>IF($A202="","",INDEX(COA!$E:$E,ROW()-10))</f>
        <v/>
      </c>
      <c r="J202" s="44">
        <f>IF($A202="","",INDEX(COA!$F:$F,ROW()-10))</f>
        <v/>
      </c>
      <c r="K202" s="32">
        <f>IF($A202="","",INDEX(COA!$P:$P,ROW()-10))</f>
        <v/>
      </c>
      <c r="L202" s="32">
        <f>IF($A202="","",INDEX(COA!$Q:$Q,ROW()-10))</f>
        <v/>
      </c>
      <c r="M202" s="32" t="inlineStr"/>
    </row>
    <row r="203">
      <c r="A203" s="44">
        <f>IF(INDEX(COA!$A:$A,ROW()-10)="","",INDEX(COA!$A:$A,ROW()-10))</f>
        <v/>
      </c>
      <c r="B203" s="32">
        <f>IF($A203="","",INDEX(COA!$B:$B,ROW()-10))</f>
        <v/>
      </c>
      <c r="C203" s="47">
        <f>IF($A203="","",(SUMIFS(GL_Journal!$S:$S,GL_Journal!$G:$G,"&gt;="&amp;$K203,GL_Journal!$G:$G,"&lt;="&amp;$L203,GL_Journal!$I:$I,TB_LOCC,GL_Journal!$J:$J,TB_CCC,GL_Journal!$D:$D,"&lt;"&amp;TB_From)-SUMIFS(GL_Journal!$T:$T,GL_Journal!$G:$G,"&gt;="&amp;$K203,GL_Journal!$G:$G,"&lt;="&amp;$L203,GL_Journal!$I:$I,TB_LOCC,GL_Journal!$J:$J,TB_CCC,GL_Journal!$D:$D,"&lt;"&amp;TB_From)))</f>
        <v/>
      </c>
      <c r="D203" s="43">
        <f>IF($A203="","",SUMIFS(GL_Journal!$S:$S,GL_Journal!$G:$G,"&gt;="&amp;$K203,GL_Journal!$G:$G,"&lt;="&amp;$L203,GL_Journal!$I:$I,TB_LOCC,GL_Journal!$J:$J,TB_CCC,GL_Journal!$D:$D,"&gt;="&amp;TB_From,GL_Journal!$D:$D,"&lt;="&amp;TB_To))</f>
        <v/>
      </c>
      <c r="E203" s="43">
        <f>IF($A203="","",SUMIFS(GL_Journal!$T:$T,GL_Journal!$G:$G,"&gt;="&amp;$K203,GL_Journal!$G:$G,"&lt;="&amp;$L203,GL_Journal!$I:$I,TB_LOCC,GL_Journal!$J:$J,TB_CCC,GL_Journal!$D:$D,"&gt;="&amp;TB_From,GL_Journal!$D:$D,"&lt;="&amp;TB_To))</f>
        <v/>
      </c>
      <c r="F203" s="43">
        <f>IF($A203="","",MAX($H203,0))</f>
        <v/>
      </c>
      <c r="G203" s="43">
        <f>IF($A203="","",MAX(-$H203,0))</f>
        <v/>
      </c>
      <c r="H203" s="47">
        <f>IF($A203="","",$C203+$D203-$E203)</f>
        <v/>
      </c>
      <c r="I203" s="44">
        <f>IF($A203="","",INDEX(COA!$E:$E,ROW()-10))</f>
        <v/>
      </c>
      <c r="J203" s="44">
        <f>IF($A203="","",INDEX(COA!$F:$F,ROW()-10))</f>
        <v/>
      </c>
      <c r="K203" s="32">
        <f>IF($A203="","",INDEX(COA!$P:$P,ROW()-10))</f>
        <v/>
      </c>
      <c r="L203" s="32">
        <f>IF($A203="","",INDEX(COA!$Q:$Q,ROW()-10))</f>
        <v/>
      </c>
      <c r="M203" s="32" t="inlineStr"/>
    </row>
    <row r="204">
      <c r="A204" s="44">
        <f>IF(INDEX(COA!$A:$A,ROW()-10)="","",INDEX(COA!$A:$A,ROW()-10))</f>
        <v/>
      </c>
      <c r="B204" s="32">
        <f>IF($A204="","",INDEX(COA!$B:$B,ROW()-10))</f>
        <v/>
      </c>
      <c r="C204" s="47">
        <f>IF($A204="","",(SUMIFS(GL_Journal!$S:$S,GL_Journal!$G:$G,"&gt;="&amp;$K204,GL_Journal!$G:$G,"&lt;="&amp;$L204,GL_Journal!$I:$I,TB_LOCC,GL_Journal!$J:$J,TB_CCC,GL_Journal!$D:$D,"&lt;"&amp;TB_From)-SUMIFS(GL_Journal!$T:$T,GL_Journal!$G:$G,"&gt;="&amp;$K204,GL_Journal!$G:$G,"&lt;="&amp;$L204,GL_Journal!$I:$I,TB_LOCC,GL_Journal!$J:$J,TB_CCC,GL_Journal!$D:$D,"&lt;"&amp;TB_From)))</f>
        <v/>
      </c>
      <c r="D204" s="43">
        <f>IF($A204="","",SUMIFS(GL_Journal!$S:$S,GL_Journal!$G:$G,"&gt;="&amp;$K204,GL_Journal!$G:$G,"&lt;="&amp;$L204,GL_Journal!$I:$I,TB_LOCC,GL_Journal!$J:$J,TB_CCC,GL_Journal!$D:$D,"&gt;="&amp;TB_From,GL_Journal!$D:$D,"&lt;="&amp;TB_To))</f>
        <v/>
      </c>
      <c r="E204" s="43">
        <f>IF($A204="","",SUMIFS(GL_Journal!$T:$T,GL_Journal!$G:$G,"&gt;="&amp;$K204,GL_Journal!$G:$G,"&lt;="&amp;$L204,GL_Journal!$I:$I,TB_LOCC,GL_Journal!$J:$J,TB_CCC,GL_Journal!$D:$D,"&gt;="&amp;TB_From,GL_Journal!$D:$D,"&lt;="&amp;TB_To))</f>
        <v/>
      </c>
      <c r="F204" s="43">
        <f>IF($A204="","",MAX($H204,0))</f>
        <v/>
      </c>
      <c r="G204" s="43">
        <f>IF($A204="","",MAX(-$H204,0))</f>
        <v/>
      </c>
      <c r="H204" s="47">
        <f>IF($A204="","",$C204+$D204-$E204)</f>
        <v/>
      </c>
      <c r="I204" s="44">
        <f>IF($A204="","",INDEX(COA!$E:$E,ROW()-10))</f>
        <v/>
      </c>
      <c r="J204" s="44">
        <f>IF($A204="","",INDEX(COA!$F:$F,ROW()-10))</f>
        <v/>
      </c>
      <c r="K204" s="32">
        <f>IF($A204="","",INDEX(COA!$P:$P,ROW()-10))</f>
        <v/>
      </c>
      <c r="L204" s="32">
        <f>IF($A204="","",INDEX(COA!$Q:$Q,ROW()-10))</f>
        <v/>
      </c>
      <c r="M204" s="32" t="inlineStr"/>
    </row>
    <row r="205">
      <c r="A205" s="44">
        <f>IF(INDEX(COA!$A:$A,ROW()-10)="","",INDEX(COA!$A:$A,ROW()-10))</f>
        <v/>
      </c>
      <c r="B205" s="32">
        <f>IF($A205="","",INDEX(COA!$B:$B,ROW()-10))</f>
        <v/>
      </c>
      <c r="C205" s="47">
        <f>IF($A205="","",(SUMIFS(GL_Journal!$S:$S,GL_Journal!$G:$G,"&gt;="&amp;$K205,GL_Journal!$G:$G,"&lt;="&amp;$L205,GL_Journal!$I:$I,TB_LOCC,GL_Journal!$J:$J,TB_CCC,GL_Journal!$D:$D,"&lt;"&amp;TB_From)-SUMIFS(GL_Journal!$T:$T,GL_Journal!$G:$G,"&gt;="&amp;$K205,GL_Journal!$G:$G,"&lt;="&amp;$L205,GL_Journal!$I:$I,TB_LOCC,GL_Journal!$J:$J,TB_CCC,GL_Journal!$D:$D,"&lt;"&amp;TB_From)))</f>
        <v/>
      </c>
      <c r="D205" s="43">
        <f>IF($A205="","",SUMIFS(GL_Journal!$S:$S,GL_Journal!$G:$G,"&gt;="&amp;$K205,GL_Journal!$G:$G,"&lt;="&amp;$L205,GL_Journal!$I:$I,TB_LOCC,GL_Journal!$J:$J,TB_CCC,GL_Journal!$D:$D,"&gt;="&amp;TB_From,GL_Journal!$D:$D,"&lt;="&amp;TB_To))</f>
        <v/>
      </c>
      <c r="E205" s="43">
        <f>IF($A205="","",SUMIFS(GL_Journal!$T:$T,GL_Journal!$G:$G,"&gt;="&amp;$K205,GL_Journal!$G:$G,"&lt;="&amp;$L205,GL_Journal!$I:$I,TB_LOCC,GL_Journal!$J:$J,TB_CCC,GL_Journal!$D:$D,"&gt;="&amp;TB_From,GL_Journal!$D:$D,"&lt;="&amp;TB_To))</f>
        <v/>
      </c>
      <c r="F205" s="43">
        <f>IF($A205="","",MAX($H205,0))</f>
        <v/>
      </c>
      <c r="G205" s="43">
        <f>IF($A205="","",MAX(-$H205,0))</f>
        <v/>
      </c>
      <c r="H205" s="47">
        <f>IF($A205="","",$C205+$D205-$E205)</f>
        <v/>
      </c>
      <c r="I205" s="44">
        <f>IF($A205="","",INDEX(COA!$E:$E,ROW()-10))</f>
        <v/>
      </c>
      <c r="J205" s="44">
        <f>IF($A205="","",INDEX(COA!$F:$F,ROW()-10))</f>
        <v/>
      </c>
      <c r="K205" s="32">
        <f>IF($A205="","",INDEX(COA!$P:$P,ROW()-10))</f>
        <v/>
      </c>
      <c r="L205" s="32">
        <f>IF($A205="","",INDEX(COA!$Q:$Q,ROW()-10))</f>
        <v/>
      </c>
      <c r="M205" s="32" t="inlineStr"/>
    </row>
    <row r="206">
      <c r="A206" s="44">
        <f>IF(INDEX(COA!$A:$A,ROW()-10)="","",INDEX(COA!$A:$A,ROW()-10))</f>
        <v/>
      </c>
      <c r="B206" s="32">
        <f>IF($A206="","",INDEX(COA!$B:$B,ROW()-10))</f>
        <v/>
      </c>
      <c r="C206" s="47">
        <f>IF($A206="","",(SUMIFS(GL_Journal!$S:$S,GL_Journal!$G:$G,"&gt;="&amp;$K206,GL_Journal!$G:$G,"&lt;="&amp;$L206,GL_Journal!$I:$I,TB_LOCC,GL_Journal!$J:$J,TB_CCC,GL_Journal!$D:$D,"&lt;"&amp;TB_From)-SUMIFS(GL_Journal!$T:$T,GL_Journal!$G:$G,"&gt;="&amp;$K206,GL_Journal!$G:$G,"&lt;="&amp;$L206,GL_Journal!$I:$I,TB_LOCC,GL_Journal!$J:$J,TB_CCC,GL_Journal!$D:$D,"&lt;"&amp;TB_From)))</f>
        <v/>
      </c>
      <c r="D206" s="43">
        <f>IF($A206="","",SUMIFS(GL_Journal!$S:$S,GL_Journal!$G:$G,"&gt;="&amp;$K206,GL_Journal!$G:$G,"&lt;="&amp;$L206,GL_Journal!$I:$I,TB_LOCC,GL_Journal!$J:$J,TB_CCC,GL_Journal!$D:$D,"&gt;="&amp;TB_From,GL_Journal!$D:$D,"&lt;="&amp;TB_To))</f>
        <v/>
      </c>
      <c r="E206" s="43">
        <f>IF($A206="","",SUMIFS(GL_Journal!$T:$T,GL_Journal!$G:$G,"&gt;="&amp;$K206,GL_Journal!$G:$G,"&lt;="&amp;$L206,GL_Journal!$I:$I,TB_LOCC,GL_Journal!$J:$J,TB_CCC,GL_Journal!$D:$D,"&gt;="&amp;TB_From,GL_Journal!$D:$D,"&lt;="&amp;TB_To))</f>
        <v/>
      </c>
      <c r="F206" s="43">
        <f>IF($A206="","",MAX($H206,0))</f>
        <v/>
      </c>
      <c r="G206" s="43">
        <f>IF($A206="","",MAX(-$H206,0))</f>
        <v/>
      </c>
      <c r="H206" s="47">
        <f>IF($A206="","",$C206+$D206-$E206)</f>
        <v/>
      </c>
      <c r="I206" s="44">
        <f>IF($A206="","",INDEX(COA!$E:$E,ROW()-10))</f>
        <v/>
      </c>
      <c r="J206" s="44">
        <f>IF($A206="","",INDEX(COA!$F:$F,ROW()-10))</f>
        <v/>
      </c>
      <c r="K206" s="32">
        <f>IF($A206="","",INDEX(COA!$P:$P,ROW()-10))</f>
        <v/>
      </c>
      <c r="L206" s="32">
        <f>IF($A206="","",INDEX(COA!$Q:$Q,ROW()-10))</f>
        <v/>
      </c>
      <c r="M206" s="32" t="inlineStr"/>
    </row>
    <row r="207">
      <c r="A207" s="44">
        <f>IF(INDEX(COA!$A:$A,ROW()-10)="","",INDEX(COA!$A:$A,ROW()-10))</f>
        <v/>
      </c>
      <c r="B207" s="32">
        <f>IF($A207="","",INDEX(COA!$B:$B,ROW()-10))</f>
        <v/>
      </c>
      <c r="C207" s="47">
        <f>IF($A207="","",(SUMIFS(GL_Journal!$S:$S,GL_Journal!$G:$G,"&gt;="&amp;$K207,GL_Journal!$G:$G,"&lt;="&amp;$L207,GL_Journal!$I:$I,TB_LOCC,GL_Journal!$J:$J,TB_CCC,GL_Journal!$D:$D,"&lt;"&amp;TB_From)-SUMIFS(GL_Journal!$T:$T,GL_Journal!$G:$G,"&gt;="&amp;$K207,GL_Journal!$G:$G,"&lt;="&amp;$L207,GL_Journal!$I:$I,TB_LOCC,GL_Journal!$J:$J,TB_CCC,GL_Journal!$D:$D,"&lt;"&amp;TB_From)))</f>
        <v/>
      </c>
      <c r="D207" s="43">
        <f>IF($A207="","",SUMIFS(GL_Journal!$S:$S,GL_Journal!$G:$G,"&gt;="&amp;$K207,GL_Journal!$G:$G,"&lt;="&amp;$L207,GL_Journal!$I:$I,TB_LOCC,GL_Journal!$J:$J,TB_CCC,GL_Journal!$D:$D,"&gt;="&amp;TB_From,GL_Journal!$D:$D,"&lt;="&amp;TB_To))</f>
        <v/>
      </c>
      <c r="E207" s="43">
        <f>IF($A207="","",SUMIFS(GL_Journal!$T:$T,GL_Journal!$G:$G,"&gt;="&amp;$K207,GL_Journal!$G:$G,"&lt;="&amp;$L207,GL_Journal!$I:$I,TB_LOCC,GL_Journal!$J:$J,TB_CCC,GL_Journal!$D:$D,"&gt;="&amp;TB_From,GL_Journal!$D:$D,"&lt;="&amp;TB_To))</f>
        <v/>
      </c>
      <c r="F207" s="43">
        <f>IF($A207="","",MAX($H207,0))</f>
        <v/>
      </c>
      <c r="G207" s="43">
        <f>IF($A207="","",MAX(-$H207,0))</f>
        <v/>
      </c>
      <c r="H207" s="47">
        <f>IF($A207="","",$C207+$D207-$E207)</f>
        <v/>
      </c>
      <c r="I207" s="44">
        <f>IF($A207="","",INDEX(COA!$E:$E,ROW()-10))</f>
        <v/>
      </c>
      <c r="J207" s="44">
        <f>IF($A207="","",INDEX(COA!$F:$F,ROW()-10))</f>
        <v/>
      </c>
      <c r="K207" s="32">
        <f>IF($A207="","",INDEX(COA!$P:$P,ROW()-10))</f>
        <v/>
      </c>
      <c r="L207" s="32">
        <f>IF($A207="","",INDEX(COA!$Q:$Q,ROW()-10))</f>
        <v/>
      </c>
      <c r="M207" s="32" t="inlineStr"/>
    </row>
    <row r="208">
      <c r="A208" s="44">
        <f>IF(INDEX(COA!$A:$A,ROW()-10)="","",INDEX(COA!$A:$A,ROW()-10))</f>
        <v/>
      </c>
      <c r="B208" s="32">
        <f>IF($A208="","",INDEX(COA!$B:$B,ROW()-10))</f>
        <v/>
      </c>
      <c r="C208" s="47">
        <f>IF($A208="","",(SUMIFS(GL_Journal!$S:$S,GL_Journal!$G:$G,"&gt;="&amp;$K208,GL_Journal!$G:$G,"&lt;="&amp;$L208,GL_Journal!$I:$I,TB_LOCC,GL_Journal!$J:$J,TB_CCC,GL_Journal!$D:$D,"&lt;"&amp;TB_From)-SUMIFS(GL_Journal!$T:$T,GL_Journal!$G:$G,"&gt;="&amp;$K208,GL_Journal!$G:$G,"&lt;="&amp;$L208,GL_Journal!$I:$I,TB_LOCC,GL_Journal!$J:$J,TB_CCC,GL_Journal!$D:$D,"&lt;"&amp;TB_From)))</f>
        <v/>
      </c>
      <c r="D208" s="43">
        <f>IF($A208="","",SUMIFS(GL_Journal!$S:$S,GL_Journal!$G:$G,"&gt;="&amp;$K208,GL_Journal!$G:$G,"&lt;="&amp;$L208,GL_Journal!$I:$I,TB_LOCC,GL_Journal!$J:$J,TB_CCC,GL_Journal!$D:$D,"&gt;="&amp;TB_From,GL_Journal!$D:$D,"&lt;="&amp;TB_To))</f>
        <v/>
      </c>
      <c r="E208" s="43">
        <f>IF($A208="","",SUMIFS(GL_Journal!$T:$T,GL_Journal!$G:$G,"&gt;="&amp;$K208,GL_Journal!$G:$G,"&lt;="&amp;$L208,GL_Journal!$I:$I,TB_LOCC,GL_Journal!$J:$J,TB_CCC,GL_Journal!$D:$D,"&gt;="&amp;TB_From,GL_Journal!$D:$D,"&lt;="&amp;TB_To))</f>
        <v/>
      </c>
      <c r="F208" s="43">
        <f>IF($A208="","",MAX($H208,0))</f>
        <v/>
      </c>
      <c r="G208" s="43">
        <f>IF($A208="","",MAX(-$H208,0))</f>
        <v/>
      </c>
      <c r="H208" s="47">
        <f>IF($A208="","",$C208+$D208-$E208)</f>
        <v/>
      </c>
      <c r="I208" s="44">
        <f>IF($A208="","",INDEX(COA!$E:$E,ROW()-10))</f>
        <v/>
      </c>
      <c r="J208" s="44">
        <f>IF($A208="","",INDEX(COA!$F:$F,ROW()-10))</f>
        <v/>
      </c>
      <c r="K208" s="32">
        <f>IF($A208="","",INDEX(COA!$P:$P,ROW()-10))</f>
        <v/>
      </c>
      <c r="L208" s="32">
        <f>IF($A208="","",INDEX(COA!$Q:$Q,ROW()-10))</f>
        <v/>
      </c>
      <c r="M208" s="32" t="inlineStr"/>
    </row>
    <row r="209">
      <c r="A209" s="44">
        <f>IF(INDEX(COA!$A:$A,ROW()-10)="","",INDEX(COA!$A:$A,ROW()-10))</f>
        <v/>
      </c>
      <c r="B209" s="32">
        <f>IF($A209="","",INDEX(COA!$B:$B,ROW()-10))</f>
        <v/>
      </c>
      <c r="C209" s="47">
        <f>IF($A209="","",(SUMIFS(GL_Journal!$S:$S,GL_Journal!$G:$G,"&gt;="&amp;$K209,GL_Journal!$G:$G,"&lt;="&amp;$L209,GL_Journal!$I:$I,TB_LOCC,GL_Journal!$J:$J,TB_CCC,GL_Journal!$D:$D,"&lt;"&amp;TB_From)-SUMIFS(GL_Journal!$T:$T,GL_Journal!$G:$G,"&gt;="&amp;$K209,GL_Journal!$G:$G,"&lt;="&amp;$L209,GL_Journal!$I:$I,TB_LOCC,GL_Journal!$J:$J,TB_CCC,GL_Journal!$D:$D,"&lt;"&amp;TB_From)))</f>
        <v/>
      </c>
      <c r="D209" s="43">
        <f>IF($A209="","",SUMIFS(GL_Journal!$S:$S,GL_Journal!$G:$G,"&gt;="&amp;$K209,GL_Journal!$G:$G,"&lt;="&amp;$L209,GL_Journal!$I:$I,TB_LOCC,GL_Journal!$J:$J,TB_CCC,GL_Journal!$D:$D,"&gt;="&amp;TB_From,GL_Journal!$D:$D,"&lt;="&amp;TB_To))</f>
        <v/>
      </c>
      <c r="E209" s="43">
        <f>IF($A209="","",SUMIFS(GL_Journal!$T:$T,GL_Journal!$G:$G,"&gt;="&amp;$K209,GL_Journal!$G:$G,"&lt;="&amp;$L209,GL_Journal!$I:$I,TB_LOCC,GL_Journal!$J:$J,TB_CCC,GL_Journal!$D:$D,"&gt;="&amp;TB_From,GL_Journal!$D:$D,"&lt;="&amp;TB_To))</f>
        <v/>
      </c>
      <c r="F209" s="43">
        <f>IF($A209="","",MAX($H209,0))</f>
        <v/>
      </c>
      <c r="G209" s="43">
        <f>IF($A209="","",MAX(-$H209,0))</f>
        <v/>
      </c>
      <c r="H209" s="47">
        <f>IF($A209="","",$C209+$D209-$E209)</f>
        <v/>
      </c>
      <c r="I209" s="44">
        <f>IF($A209="","",INDEX(COA!$E:$E,ROW()-10))</f>
        <v/>
      </c>
      <c r="J209" s="44">
        <f>IF($A209="","",INDEX(COA!$F:$F,ROW()-10))</f>
        <v/>
      </c>
      <c r="K209" s="32">
        <f>IF($A209="","",INDEX(COA!$P:$P,ROW()-10))</f>
        <v/>
      </c>
      <c r="L209" s="32">
        <f>IF($A209="","",INDEX(COA!$Q:$Q,ROW()-10))</f>
        <v/>
      </c>
      <c r="M209" s="32" t="inlineStr"/>
    </row>
    <row r="210">
      <c r="A210" s="44">
        <f>IF(INDEX(COA!$A:$A,ROW()-10)="","",INDEX(COA!$A:$A,ROW()-10))</f>
        <v/>
      </c>
      <c r="B210" s="32">
        <f>IF($A210="","",INDEX(COA!$B:$B,ROW()-10))</f>
        <v/>
      </c>
      <c r="C210" s="47">
        <f>IF($A210="","",(SUMIFS(GL_Journal!$S:$S,GL_Journal!$G:$G,"&gt;="&amp;$K210,GL_Journal!$G:$G,"&lt;="&amp;$L210,GL_Journal!$I:$I,TB_LOCC,GL_Journal!$J:$J,TB_CCC,GL_Journal!$D:$D,"&lt;"&amp;TB_From)-SUMIFS(GL_Journal!$T:$T,GL_Journal!$G:$G,"&gt;="&amp;$K210,GL_Journal!$G:$G,"&lt;="&amp;$L210,GL_Journal!$I:$I,TB_LOCC,GL_Journal!$J:$J,TB_CCC,GL_Journal!$D:$D,"&lt;"&amp;TB_From)))</f>
        <v/>
      </c>
      <c r="D210" s="43">
        <f>IF($A210="","",SUMIFS(GL_Journal!$S:$S,GL_Journal!$G:$G,"&gt;="&amp;$K210,GL_Journal!$G:$G,"&lt;="&amp;$L210,GL_Journal!$I:$I,TB_LOCC,GL_Journal!$J:$J,TB_CCC,GL_Journal!$D:$D,"&gt;="&amp;TB_From,GL_Journal!$D:$D,"&lt;="&amp;TB_To))</f>
        <v/>
      </c>
      <c r="E210" s="43">
        <f>IF($A210="","",SUMIFS(GL_Journal!$T:$T,GL_Journal!$G:$G,"&gt;="&amp;$K210,GL_Journal!$G:$G,"&lt;="&amp;$L210,GL_Journal!$I:$I,TB_LOCC,GL_Journal!$J:$J,TB_CCC,GL_Journal!$D:$D,"&gt;="&amp;TB_From,GL_Journal!$D:$D,"&lt;="&amp;TB_To))</f>
        <v/>
      </c>
      <c r="F210" s="43">
        <f>IF($A210="","",MAX($H210,0))</f>
        <v/>
      </c>
      <c r="G210" s="43">
        <f>IF($A210="","",MAX(-$H210,0))</f>
        <v/>
      </c>
      <c r="H210" s="47">
        <f>IF($A210="","",$C210+$D210-$E210)</f>
        <v/>
      </c>
      <c r="I210" s="44">
        <f>IF($A210="","",INDEX(COA!$E:$E,ROW()-10))</f>
        <v/>
      </c>
      <c r="J210" s="44">
        <f>IF($A210="","",INDEX(COA!$F:$F,ROW()-10))</f>
        <v/>
      </c>
      <c r="K210" s="32">
        <f>IF($A210="","",INDEX(COA!$P:$P,ROW()-10))</f>
        <v/>
      </c>
      <c r="L210" s="32">
        <f>IF($A210="","",INDEX(COA!$Q:$Q,ROW()-10))</f>
        <v/>
      </c>
      <c r="M210" s="32" t="inlineStr"/>
    </row>
    <row r="211">
      <c r="A211" s="44">
        <f>IF(INDEX(COA!$A:$A,ROW()-10)="","",INDEX(COA!$A:$A,ROW()-10))</f>
        <v/>
      </c>
      <c r="B211" s="32">
        <f>IF($A211="","",INDEX(COA!$B:$B,ROW()-10))</f>
        <v/>
      </c>
      <c r="C211" s="47">
        <f>IF($A211="","",(SUMIFS(GL_Journal!$S:$S,GL_Journal!$G:$G,"&gt;="&amp;$K211,GL_Journal!$G:$G,"&lt;="&amp;$L211,GL_Journal!$I:$I,TB_LOCC,GL_Journal!$J:$J,TB_CCC,GL_Journal!$D:$D,"&lt;"&amp;TB_From)-SUMIFS(GL_Journal!$T:$T,GL_Journal!$G:$G,"&gt;="&amp;$K211,GL_Journal!$G:$G,"&lt;="&amp;$L211,GL_Journal!$I:$I,TB_LOCC,GL_Journal!$J:$J,TB_CCC,GL_Journal!$D:$D,"&lt;"&amp;TB_From)))</f>
        <v/>
      </c>
      <c r="D211" s="43">
        <f>IF($A211="","",SUMIFS(GL_Journal!$S:$S,GL_Journal!$G:$G,"&gt;="&amp;$K211,GL_Journal!$G:$G,"&lt;="&amp;$L211,GL_Journal!$I:$I,TB_LOCC,GL_Journal!$J:$J,TB_CCC,GL_Journal!$D:$D,"&gt;="&amp;TB_From,GL_Journal!$D:$D,"&lt;="&amp;TB_To))</f>
        <v/>
      </c>
      <c r="E211" s="43">
        <f>IF($A211="","",SUMIFS(GL_Journal!$T:$T,GL_Journal!$G:$G,"&gt;="&amp;$K211,GL_Journal!$G:$G,"&lt;="&amp;$L211,GL_Journal!$I:$I,TB_LOCC,GL_Journal!$J:$J,TB_CCC,GL_Journal!$D:$D,"&gt;="&amp;TB_From,GL_Journal!$D:$D,"&lt;="&amp;TB_To))</f>
        <v/>
      </c>
      <c r="F211" s="43">
        <f>IF($A211="","",MAX($H211,0))</f>
        <v/>
      </c>
      <c r="G211" s="43">
        <f>IF($A211="","",MAX(-$H211,0))</f>
        <v/>
      </c>
      <c r="H211" s="47">
        <f>IF($A211="","",$C211+$D211-$E211)</f>
        <v/>
      </c>
      <c r="I211" s="44">
        <f>IF($A211="","",INDEX(COA!$E:$E,ROW()-10))</f>
        <v/>
      </c>
      <c r="J211" s="44">
        <f>IF($A211="","",INDEX(COA!$F:$F,ROW()-10))</f>
        <v/>
      </c>
      <c r="K211" s="32">
        <f>IF($A211="","",INDEX(COA!$P:$P,ROW()-10))</f>
        <v/>
      </c>
      <c r="L211" s="32">
        <f>IF($A211="","",INDEX(COA!$Q:$Q,ROW()-10))</f>
        <v/>
      </c>
      <c r="M211" s="32" t="inlineStr"/>
    </row>
    <row r="212">
      <c r="A212" s="44">
        <f>IF(INDEX(COA!$A:$A,ROW()-10)="","",INDEX(COA!$A:$A,ROW()-10))</f>
        <v/>
      </c>
      <c r="B212" s="32">
        <f>IF($A212="","",INDEX(COA!$B:$B,ROW()-10))</f>
        <v/>
      </c>
      <c r="C212" s="47">
        <f>IF($A212="","",(SUMIFS(GL_Journal!$S:$S,GL_Journal!$G:$G,"&gt;="&amp;$K212,GL_Journal!$G:$G,"&lt;="&amp;$L212,GL_Journal!$I:$I,TB_LOCC,GL_Journal!$J:$J,TB_CCC,GL_Journal!$D:$D,"&lt;"&amp;TB_From)-SUMIFS(GL_Journal!$T:$T,GL_Journal!$G:$G,"&gt;="&amp;$K212,GL_Journal!$G:$G,"&lt;="&amp;$L212,GL_Journal!$I:$I,TB_LOCC,GL_Journal!$J:$J,TB_CCC,GL_Journal!$D:$D,"&lt;"&amp;TB_From)))</f>
        <v/>
      </c>
      <c r="D212" s="43">
        <f>IF($A212="","",SUMIFS(GL_Journal!$S:$S,GL_Journal!$G:$G,"&gt;="&amp;$K212,GL_Journal!$G:$G,"&lt;="&amp;$L212,GL_Journal!$I:$I,TB_LOCC,GL_Journal!$J:$J,TB_CCC,GL_Journal!$D:$D,"&gt;="&amp;TB_From,GL_Journal!$D:$D,"&lt;="&amp;TB_To))</f>
        <v/>
      </c>
      <c r="E212" s="43">
        <f>IF($A212="","",SUMIFS(GL_Journal!$T:$T,GL_Journal!$G:$G,"&gt;="&amp;$K212,GL_Journal!$G:$G,"&lt;="&amp;$L212,GL_Journal!$I:$I,TB_LOCC,GL_Journal!$J:$J,TB_CCC,GL_Journal!$D:$D,"&gt;="&amp;TB_From,GL_Journal!$D:$D,"&lt;="&amp;TB_To))</f>
        <v/>
      </c>
      <c r="F212" s="43">
        <f>IF($A212="","",MAX($H212,0))</f>
        <v/>
      </c>
      <c r="G212" s="43">
        <f>IF($A212="","",MAX(-$H212,0))</f>
        <v/>
      </c>
      <c r="H212" s="47">
        <f>IF($A212="","",$C212+$D212-$E212)</f>
        <v/>
      </c>
      <c r="I212" s="44">
        <f>IF($A212="","",INDEX(COA!$E:$E,ROW()-10))</f>
        <v/>
      </c>
      <c r="J212" s="44">
        <f>IF($A212="","",INDEX(COA!$F:$F,ROW()-10))</f>
        <v/>
      </c>
      <c r="K212" s="32">
        <f>IF($A212="","",INDEX(COA!$P:$P,ROW()-10))</f>
        <v/>
      </c>
      <c r="L212" s="32">
        <f>IF($A212="","",INDEX(COA!$Q:$Q,ROW()-10))</f>
        <v/>
      </c>
      <c r="M212" s="32" t="inlineStr"/>
    </row>
    <row r="213">
      <c r="A213" s="44">
        <f>IF(INDEX(COA!$A:$A,ROW()-10)="","",INDEX(COA!$A:$A,ROW()-10))</f>
        <v/>
      </c>
      <c r="B213" s="32">
        <f>IF($A213="","",INDEX(COA!$B:$B,ROW()-10))</f>
        <v/>
      </c>
      <c r="C213" s="47">
        <f>IF($A213="","",(SUMIFS(GL_Journal!$S:$S,GL_Journal!$G:$G,"&gt;="&amp;$K213,GL_Journal!$G:$G,"&lt;="&amp;$L213,GL_Journal!$I:$I,TB_LOCC,GL_Journal!$J:$J,TB_CCC,GL_Journal!$D:$D,"&lt;"&amp;TB_From)-SUMIFS(GL_Journal!$T:$T,GL_Journal!$G:$G,"&gt;="&amp;$K213,GL_Journal!$G:$G,"&lt;="&amp;$L213,GL_Journal!$I:$I,TB_LOCC,GL_Journal!$J:$J,TB_CCC,GL_Journal!$D:$D,"&lt;"&amp;TB_From)))</f>
        <v/>
      </c>
      <c r="D213" s="43">
        <f>IF($A213="","",SUMIFS(GL_Journal!$S:$S,GL_Journal!$G:$G,"&gt;="&amp;$K213,GL_Journal!$G:$G,"&lt;="&amp;$L213,GL_Journal!$I:$I,TB_LOCC,GL_Journal!$J:$J,TB_CCC,GL_Journal!$D:$D,"&gt;="&amp;TB_From,GL_Journal!$D:$D,"&lt;="&amp;TB_To))</f>
        <v/>
      </c>
      <c r="E213" s="43">
        <f>IF($A213="","",SUMIFS(GL_Journal!$T:$T,GL_Journal!$G:$G,"&gt;="&amp;$K213,GL_Journal!$G:$G,"&lt;="&amp;$L213,GL_Journal!$I:$I,TB_LOCC,GL_Journal!$J:$J,TB_CCC,GL_Journal!$D:$D,"&gt;="&amp;TB_From,GL_Journal!$D:$D,"&lt;="&amp;TB_To))</f>
        <v/>
      </c>
      <c r="F213" s="43">
        <f>IF($A213="","",MAX($H213,0))</f>
        <v/>
      </c>
      <c r="G213" s="43">
        <f>IF($A213="","",MAX(-$H213,0))</f>
        <v/>
      </c>
      <c r="H213" s="47">
        <f>IF($A213="","",$C213+$D213-$E213)</f>
        <v/>
      </c>
      <c r="I213" s="44">
        <f>IF($A213="","",INDEX(COA!$E:$E,ROW()-10))</f>
        <v/>
      </c>
      <c r="J213" s="44">
        <f>IF($A213="","",INDEX(COA!$F:$F,ROW()-10))</f>
        <v/>
      </c>
      <c r="K213" s="32">
        <f>IF($A213="","",INDEX(COA!$P:$P,ROW()-10))</f>
        <v/>
      </c>
      <c r="L213" s="32">
        <f>IF($A213="","",INDEX(COA!$Q:$Q,ROW()-10))</f>
        <v/>
      </c>
      <c r="M213" s="32" t="inlineStr"/>
    </row>
    <row r="214">
      <c r="A214" s="44">
        <f>IF(INDEX(COA!$A:$A,ROW()-10)="","",INDEX(COA!$A:$A,ROW()-10))</f>
        <v/>
      </c>
      <c r="B214" s="32">
        <f>IF($A214="","",INDEX(COA!$B:$B,ROW()-10))</f>
        <v/>
      </c>
      <c r="C214" s="47">
        <f>IF($A214="","",(SUMIFS(GL_Journal!$S:$S,GL_Journal!$G:$G,"&gt;="&amp;$K214,GL_Journal!$G:$G,"&lt;="&amp;$L214,GL_Journal!$I:$I,TB_LOCC,GL_Journal!$J:$J,TB_CCC,GL_Journal!$D:$D,"&lt;"&amp;TB_From)-SUMIFS(GL_Journal!$T:$T,GL_Journal!$G:$G,"&gt;="&amp;$K214,GL_Journal!$G:$G,"&lt;="&amp;$L214,GL_Journal!$I:$I,TB_LOCC,GL_Journal!$J:$J,TB_CCC,GL_Journal!$D:$D,"&lt;"&amp;TB_From)))</f>
        <v/>
      </c>
      <c r="D214" s="43">
        <f>IF($A214="","",SUMIFS(GL_Journal!$S:$S,GL_Journal!$G:$G,"&gt;="&amp;$K214,GL_Journal!$G:$G,"&lt;="&amp;$L214,GL_Journal!$I:$I,TB_LOCC,GL_Journal!$J:$J,TB_CCC,GL_Journal!$D:$D,"&gt;="&amp;TB_From,GL_Journal!$D:$D,"&lt;="&amp;TB_To))</f>
        <v/>
      </c>
      <c r="E214" s="43">
        <f>IF($A214="","",SUMIFS(GL_Journal!$T:$T,GL_Journal!$G:$G,"&gt;="&amp;$K214,GL_Journal!$G:$G,"&lt;="&amp;$L214,GL_Journal!$I:$I,TB_LOCC,GL_Journal!$J:$J,TB_CCC,GL_Journal!$D:$D,"&gt;="&amp;TB_From,GL_Journal!$D:$D,"&lt;="&amp;TB_To))</f>
        <v/>
      </c>
      <c r="F214" s="43">
        <f>IF($A214="","",MAX($H214,0))</f>
        <v/>
      </c>
      <c r="G214" s="43">
        <f>IF($A214="","",MAX(-$H214,0))</f>
        <v/>
      </c>
      <c r="H214" s="47">
        <f>IF($A214="","",$C214+$D214-$E214)</f>
        <v/>
      </c>
      <c r="I214" s="44">
        <f>IF($A214="","",INDEX(COA!$E:$E,ROW()-10))</f>
        <v/>
      </c>
      <c r="J214" s="44">
        <f>IF($A214="","",INDEX(COA!$F:$F,ROW()-10))</f>
        <v/>
      </c>
      <c r="K214" s="32">
        <f>IF($A214="","",INDEX(COA!$P:$P,ROW()-10))</f>
        <v/>
      </c>
      <c r="L214" s="32">
        <f>IF($A214="","",INDEX(COA!$Q:$Q,ROW()-10))</f>
        <v/>
      </c>
      <c r="M214" s="32" t="inlineStr"/>
    </row>
    <row r="215">
      <c r="A215" s="44">
        <f>IF(INDEX(COA!$A:$A,ROW()-10)="","",INDEX(COA!$A:$A,ROW()-10))</f>
        <v/>
      </c>
      <c r="B215" s="32">
        <f>IF($A215="","",INDEX(COA!$B:$B,ROW()-10))</f>
        <v/>
      </c>
      <c r="C215" s="47">
        <f>IF($A215="","",(SUMIFS(GL_Journal!$S:$S,GL_Journal!$G:$G,"&gt;="&amp;$K215,GL_Journal!$G:$G,"&lt;="&amp;$L215,GL_Journal!$I:$I,TB_LOCC,GL_Journal!$J:$J,TB_CCC,GL_Journal!$D:$D,"&lt;"&amp;TB_From)-SUMIFS(GL_Journal!$T:$T,GL_Journal!$G:$G,"&gt;="&amp;$K215,GL_Journal!$G:$G,"&lt;="&amp;$L215,GL_Journal!$I:$I,TB_LOCC,GL_Journal!$J:$J,TB_CCC,GL_Journal!$D:$D,"&lt;"&amp;TB_From)))</f>
        <v/>
      </c>
      <c r="D215" s="43">
        <f>IF($A215="","",SUMIFS(GL_Journal!$S:$S,GL_Journal!$G:$G,"&gt;="&amp;$K215,GL_Journal!$G:$G,"&lt;="&amp;$L215,GL_Journal!$I:$I,TB_LOCC,GL_Journal!$J:$J,TB_CCC,GL_Journal!$D:$D,"&gt;="&amp;TB_From,GL_Journal!$D:$D,"&lt;="&amp;TB_To))</f>
        <v/>
      </c>
      <c r="E215" s="43">
        <f>IF($A215="","",SUMIFS(GL_Journal!$T:$T,GL_Journal!$G:$G,"&gt;="&amp;$K215,GL_Journal!$G:$G,"&lt;="&amp;$L215,GL_Journal!$I:$I,TB_LOCC,GL_Journal!$J:$J,TB_CCC,GL_Journal!$D:$D,"&gt;="&amp;TB_From,GL_Journal!$D:$D,"&lt;="&amp;TB_To))</f>
        <v/>
      </c>
      <c r="F215" s="43">
        <f>IF($A215="","",MAX($H215,0))</f>
        <v/>
      </c>
      <c r="G215" s="43">
        <f>IF($A215="","",MAX(-$H215,0))</f>
        <v/>
      </c>
      <c r="H215" s="47">
        <f>IF($A215="","",$C215+$D215-$E215)</f>
        <v/>
      </c>
      <c r="I215" s="44">
        <f>IF($A215="","",INDEX(COA!$E:$E,ROW()-10))</f>
        <v/>
      </c>
      <c r="J215" s="44">
        <f>IF($A215="","",INDEX(COA!$F:$F,ROW()-10))</f>
        <v/>
      </c>
      <c r="K215" s="32">
        <f>IF($A215="","",INDEX(COA!$P:$P,ROW()-10))</f>
        <v/>
      </c>
      <c r="L215" s="32">
        <f>IF($A215="","",INDEX(COA!$Q:$Q,ROW()-10))</f>
        <v/>
      </c>
      <c r="M215" s="32" t="inlineStr"/>
    </row>
    <row r="216">
      <c r="A216" s="44">
        <f>IF(INDEX(COA!$A:$A,ROW()-10)="","",INDEX(COA!$A:$A,ROW()-10))</f>
        <v/>
      </c>
      <c r="B216" s="32">
        <f>IF($A216="","",INDEX(COA!$B:$B,ROW()-10))</f>
        <v/>
      </c>
      <c r="C216" s="47">
        <f>IF($A216="","",(SUMIFS(GL_Journal!$S:$S,GL_Journal!$G:$G,"&gt;="&amp;$K216,GL_Journal!$G:$G,"&lt;="&amp;$L216,GL_Journal!$I:$I,TB_LOCC,GL_Journal!$J:$J,TB_CCC,GL_Journal!$D:$D,"&lt;"&amp;TB_From)-SUMIFS(GL_Journal!$T:$T,GL_Journal!$G:$G,"&gt;="&amp;$K216,GL_Journal!$G:$G,"&lt;="&amp;$L216,GL_Journal!$I:$I,TB_LOCC,GL_Journal!$J:$J,TB_CCC,GL_Journal!$D:$D,"&lt;"&amp;TB_From)))</f>
        <v/>
      </c>
      <c r="D216" s="43">
        <f>IF($A216="","",SUMIFS(GL_Journal!$S:$S,GL_Journal!$G:$G,"&gt;="&amp;$K216,GL_Journal!$G:$G,"&lt;="&amp;$L216,GL_Journal!$I:$I,TB_LOCC,GL_Journal!$J:$J,TB_CCC,GL_Journal!$D:$D,"&gt;="&amp;TB_From,GL_Journal!$D:$D,"&lt;="&amp;TB_To))</f>
        <v/>
      </c>
      <c r="E216" s="43">
        <f>IF($A216="","",SUMIFS(GL_Journal!$T:$T,GL_Journal!$G:$G,"&gt;="&amp;$K216,GL_Journal!$G:$G,"&lt;="&amp;$L216,GL_Journal!$I:$I,TB_LOCC,GL_Journal!$J:$J,TB_CCC,GL_Journal!$D:$D,"&gt;="&amp;TB_From,GL_Journal!$D:$D,"&lt;="&amp;TB_To))</f>
        <v/>
      </c>
      <c r="F216" s="43">
        <f>IF($A216="","",MAX($H216,0))</f>
        <v/>
      </c>
      <c r="G216" s="43">
        <f>IF($A216="","",MAX(-$H216,0))</f>
        <v/>
      </c>
      <c r="H216" s="47">
        <f>IF($A216="","",$C216+$D216-$E216)</f>
        <v/>
      </c>
      <c r="I216" s="44">
        <f>IF($A216="","",INDEX(COA!$E:$E,ROW()-10))</f>
        <v/>
      </c>
      <c r="J216" s="44">
        <f>IF($A216="","",INDEX(COA!$F:$F,ROW()-10))</f>
        <v/>
      </c>
      <c r="K216" s="32">
        <f>IF($A216="","",INDEX(COA!$P:$P,ROW()-10))</f>
        <v/>
      </c>
      <c r="L216" s="32">
        <f>IF($A216="","",INDEX(COA!$Q:$Q,ROW()-10))</f>
        <v/>
      </c>
      <c r="M216" s="32" t="inlineStr"/>
    </row>
    <row r="217">
      <c r="A217" s="44">
        <f>IF(INDEX(COA!$A:$A,ROW()-10)="","",INDEX(COA!$A:$A,ROW()-10))</f>
        <v/>
      </c>
      <c r="B217" s="32">
        <f>IF($A217="","",INDEX(COA!$B:$B,ROW()-10))</f>
        <v/>
      </c>
      <c r="C217" s="47">
        <f>IF($A217="","",(SUMIFS(GL_Journal!$S:$S,GL_Journal!$G:$G,"&gt;="&amp;$K217,GL_Journal!$G:$G,"&lt;="&amp;$L217,GL_Journal!$I:$I,TB_LOCC,GL_Journal!$J:$J,TB_CCC,GL_Journal!$D:$D,"&lt;"&amp;TB_From)-SUMIFS(GL_Journal!$T:$T,GL_Journal!$G:$G,"&gt;="&amp;$K217,GL_Journal!$G:$G,"&lt;="&amp;$L217,GL_Journal!$I:$I,TB_LOCC,GL_Journal!$J:$J,TB_CCC,GL_Journal!$D:$D,"&lt;"&amp;TB_From)))</f>
        <v/>
      </c>
      <c r="D217" s="43">
        <f>IF($A217="","",SUMIFS(GL_Journal!$S:$S,GL_Journal!$G:$G,"&gt;="&amp;$K217,GL_Journal!$G:$G,"&lt;="&amp;$L217,GL_Journal!$I:$I,TB_LOCC,GL_Journal!$J:$J,TB_CCC,GL_Journal!$D:$D,"&gt;="&amp;TB_From,GL_Journal!$D:$D,"&lt;="&amp;TB_To))</f>
        <v/>
      </c>
      <c r="E217" s="43">
        <f>IF($A217="","",SUMIFS(GL_Journal!$T:$T,GL_Journal!$G:$G,"&gt;="&amp;$K217,GL_Journal!$G:$G,"&lt;="&amp;$L217,GL_Journal!$I:$I,TB_LOCC,GL_Journal!$J:$J,TB_CCC,GL_Journal!$D:$D,"&gt;="&amp;TB_From,GL_Journal!$D:$D,"&lt;="&amp;TB_To))</f>
        <v/>
      </c>
      <c r="F217" s="43">
        <f>IF($A217="","",MAX($H217,0))</f>
        <v/>
      </c>
      <c r="G217" s="43">
        <f>IF($A217="","",MAX(-$H217,0))</f>
        <v/>
      </c>
      <c r="H217" s="47">
        <f>IF($A217="","",$C217+$D217-$E217)</f>
        <v/>
      </c>
      <c r="I217" s="44">
        <f>IF($A217="","",INDEX(COA!$E:$E,ROW()-10))</f>
        <v/>
      </c>
      <c r="J217" s="44">
        <f>IF($A217="","",INDEX(COA!$F:$F,ROW()-10))</f>
        <v/>
      </c>
      <c r="K217" s="32">
        <f>IF($A217="","",INDEX(COA!$P:$P,ROW()-10))</f>
        <v/>
      </c>
      <c r="L217" s="32">
        <f>IF($A217="","",INDEX(COA!$Q:$Q,ROW()-10))</f>
        <v/>
      </c>
      <c r="M217" s="32" t="inlineStr"/>
    </row>
    <row r="218">
      <c r="A218" s="44">
        <f>IF(INDEX(COA!$A:$A,ROW()-10)="","",INDEX(COA!$A:$A,ROW()-10))</f>
        <v/>
      </c>
      <c r="B218" s="32">
        <f>IF($A218="","",INDEX(COA!$B:$B,ROW()-10))</f>
        <v/>
      </c>
      <c r="C218" s="47">
        <f>IF($A218="","",(SUMIFS(GL_Journal!$S:$S,GL_Journal!$G:$G,"&gt;="&amp;$K218,GL_Journal!$G:$G,"&lt;="&amp;$L218,GL_Journal!$I:$I,TB_LOCC,GL_Journal!$J:$J,TB_CCC,GL_Journal!$D:$D,"&lt;"&amp;TB_From)-SUMIFS(GL_Journal!$T:$T,GL_Journal!$G:$G,"&gt;="&amp;$K218,GL_Journal!$G:$G,"&lt;="&amp;$L218,GL_Journal!$I:$I,TB_LOCC,GL_Journal!$J:$J,TB_CCC,GL_Journal!$D:$D,"&lt;"&amp;TB_From)))</f>
        <v/>
      </c>
      <c r="D218" s="43">
        <f>IF($A218="","",SUMIFS(GL_Journal!$S:$S,GL_Journal!$G:$G,"&gt;="&amp;$K218,GL_Journal!$G:$G,"&lt;="&amp;$L218,GL_Journal!$I:$I,TB_LOCC,GL_Journal!$J:$J,TB_CCC,GL_Journal!$D:$D,"&gt;="&amp;TB_From,GL_Journal!$D:$D,"&lt;="&amp;TB_To))</f>
        <v/>
      </c>
      <c r="E218" s="43">
        <f>IF($A218="","",SUMIFS(GL_Journal!$T:$T,GL_Journal!$G:$G,"&gt;="&amp;$K218,GL_Journal!$G:$G,"&lt;="&amp;$L218,GL_Journal!$I:$I,TB_LOCC,GL_Journal!$J:$J,TB_CCC,GL_Journal!$D:$D,"&gt;="&amp;TB_From,GL_Journal!$D:$D,"&lt;="&amp;TB_To))</f>
        <v/>
      </c>
      <c r="F218" s="43">
        <f>IF($A218="","",MAX($H218,0))</f>
        <v/>
      </c>
      <c r="G218" s="43">
        <f>IF($A218="","",MAX(-$H218,0))</f>
        <v/>
      </c>
      <c r="H218" s="47">
        <f>IF($A218="","",$C218+$D218-$E218)</f>
        <v/>
      </c>
      <c r="I218" s="44">
        <f>IF($A218="","",INDEX(COA!$E:$E,ROW()-10))</f>
        <v/>
      </c>
      <c r="J218" s="44">
        <f>IF($A218="","",INDEX(COA!$F:$F,ROW()-10))</f>
        <v/>
      </c>
      <c r="K218" s="32">
        <f>IF($A218="","",INDEX(COA!$P:$P,ROW()-10))</f>
        <v/>
      </c>
      <c r="L218" s="32">
        <f>IF($A218="","",INDEX(COA!$Q:$Q,ROW()-10))</f>
        <v/>
      </c>
      <c r="M218" s="32" t="inlineStr"/>
    </row>
    <row r="219">
      <c r="A219" s="44">
        <f>IF(INDEX(COA!$A:$A,ROW()-10)="","",INDEX(COA!$A:$A,ROW()-10))</f>
        <v/>
      </c>
      <c r="B219" s="32">
        <f>IF($A219="","",INDEX(COA!$B:$B,ROW()-10))</f>
        <v/>
      </c>
      <c r="C219" s="47">
        <f>IF($A219="","",(SUMIFS(GL_Journal!$S:$S,GL_Journal!$G:$G,"&gt;="&amp;$K219,GL_Journal!$G:$G,"&lt;="&amp;$L219,GL_Journal!$I:$I,TB_LOCC,GL_Journal!$J:$J,TB_CCC,GL_Journal!$D:$D,"&lt;"&amp;TB_From)-SUMIFS(GL_Journal!$T:$T,GL_Journal!$G:$G,"&gt;="&amp;$K219,GL_Journal!$G:$G,"&lt;="&amp;$L219,GL_Journal!$I:$I,TB_LOCC,GL_Journal!$J:$J,TB_CCC,GL_Journal!$D:$D,"&lt;"&amp;TB_From)))</f>
        <v/>
      </c>
      <c r="D219" s="43">
        <f>IF($A219="","",SUMIFS(GL_Journal!$S:$S,GL_Journal!$G:$G,"&gt;="&amp;$K219,GL_Journal!$G:$G,"&lt;="&amp;$L219,GL_Journal!$I:$I,TB_LOCC,GL_Journal!$J:$J,TB_CCC,GL_Journal!$D:$D,"&gt;="&amp;TB_From,GL_Journal!$D:$D,"&lt;="&amp;TB_To))</f>
        <v/>
      </c>
      <c r="E219" s="43">
        <f>IF($A219="","",SUMIFS(GL_Journal!$T:$T,GL_Journal!$G:$G,"&gt;="&amp;$K219,GL_Journal!$G:$G,"&lt;="&amp;$L219,GL_Journal!$I:$I,TB_LOCC,GL_Journal!$J:$J,TB_CCC,GL_Journal!$D:$D,"&gt;="&amp;TB_From,GL_Journal!$D:$D,"&lt;="&amp;TB_To))</f>
        <v/>
      </c>
      <c r="F219" s="43">
        <f>IF($A219="","",MAX($H219,0))</f>
        <v/>
      </c>
      <c r="G219" s="43">
        <f>IF($A219="","",MAX(-$H219,0))</f>
        <v/>
      </c>
      <c r="H219" s="47">
        <f>IF($A219="","",$C219+$D219-$E219)</f>
        <v/>
      </c>
      <c r="I219" s="44">
        <f>IF($A219="","",INDEX(COA!$E:$E,ROW()-10))</f>
        <v/>
      </c>
      <c r="J219" s="44">
        <f>IF($A219="","",INDEX(COA!$F:$F,ROW()-10))</f>
        <v/>
      </c>
      <c r="K219" s="32">
        <f>IF($A219="","",INDEX(COA!$P:$P,ROW()-10))</f>
        <v/>
      </c>
      <c r="L219" s="32">
        <f>IF($A219="","",INDEX(COA!$Q:$Q,ROW()-10))</f>
        <v/>
      </c>
      <c r="M219" s="32" t="inlineStr"/>
    </row>
    <row r="220">
      <c r="A220" s="44">
        <f>IF(INDEX(COA!$A:$A,ROW()-10)="","",INDEX(COA!$A:$A,ROW()-10))</f>
        <v/>
      </c>
      <c r="B220" s="32">
        <f>IF($A220="","",INDEX(COA!$B:$B,ROW()-10))</f>
        <v/>
      </c>
      <c r="C220" s="47">
        <f>IF($A220="","",(SUMIFS(GL_Journal!$S:$S,GL_Journal!$G:$G,"&gt;="&amp;$K220,GL_Journal!$G:$G,"&lt;="&amp;$L220,GL_Journal!$I:$I,TB_LOCC,GL_Journal!$J:$J,TB_CCC,GL_Journal!$D:$D,"&lt;"&amp;TB_From)-SUMIFS(GL_Journal!$T:$T,GL_Journal!$G:$G,"&gt;="&amp;$K220,GL_Journal!$G:$G,"&lt;="&amp;$L220,GL_Journal!$I:$I,TB_LOCC,GL_Journal!$J:$J,TB_CCC,GL_Journal!$D:$D,"&lt;"&amp;TB_From)))</f>
        <v/>
      </c>
      <c r="D220" s="43">
        <f>IF($A220="","",SUMIFS(GL_Journal!$S:$S,GL_Journal!$G:$G,"&gt;="&amp;$K220,GL_Journal!$G:$G,"&lt;="&amp;$L220,GL_Journal!$I:$I,TB_LOCC,GL_Journal!$J:$J,TB_CCC,GL_Journal!$D:$D,"&gt;="&amp;TB_From,GL_Journal!$D:$D,"&lt;="&amp;TB_To))</f>
        <v/>
      </c>
      <c r="E220" s="43">
        <f>IF($A220="","",SUMIFS(GL_Journal!$T:$T,GL_Journal!$G:$G,"&gt;="&amp;$K220,GL_Journal!$G:$G,"&lt;="&amp;$L220,GL_Journal!$I:$I,TB_LOCC,GL_Journal!$J:$J,TB_CCC,GL_Journal!$D:$D,"&gt;="&amp;TB_From,GL_Journal!$D:$D,"&lt;="&amp;TB_To))</f>
        <v/>
      </c>
      <c r="F220" s="43">
        <f>IF($A220="","",MAX($H220,0))</f>
        <v/>
      </c>
      <c r="G220" s="43">
        <f>IF($A220="","",MAX(-$H220,0))</f>
        <v/>
      </c>
      <c r="H220" s="47">
        <f>IF($A220="","",$C220+$D220-$E220)</f>
        <v/>
      </c>
      <c r="I220" s="44">
        <f>IF($A220="","",INDEX(COA!$E:$E,ROW()-10))</f>
        <v/>
      </c>
      <c r="J220" s="44">
        <f>IF($A220="","",INDEX(COA!$F:$F,ROW()-10))</f>
        <v/>
      </c>
      <c r="K220" s="32">
        <f>IF($A220="","",INDEX(COA!$P:$P,ROW()-10))</f>
        <v/>
      </c>
      <c r="L220" s="32">
        <f>IF($A220="","",INDEX(COA!$Q:$Q,ROW()-10))</f>
        <v/>
      </c>
      <c r="M220" s="32" t="inlineStr"/>
    </row>
    <row r="221">
      <c r="A221" s="44">
        <f>IF(INDEX(COA!$A:$A,ROW()-10)="","",INDEX(COA!$A:$A,ROW()-10))</f>
        <v/>
      </c>
      <c r="B221" s="32">
        <f>IF($A221="","",INDEX(COA!$B:$B,ROW()-10))</f>
        <v/>
      </c>
      <c r="C221" s="47">
        <f>IF($A221="","",(SUMIFS(GL_Journal!$S:$S,GL_Journal!$G:$G,"&gt;="&amp;$K221,GL_Journal!$G:$G,"&lt;="&amp;$L221,GL_Journal!$I:$I,TB_LOCC,GL_Journal!$J:$J,TB_CCC,GL_Journal!$D:$D,"&lt;"&amp;TB_From)-SUMIFS(GL_Journal!$T:$T,GL_Journal!$G:$G,"&gt;="&amp;$K221,GL_Journal!$G:$G,"&lt;="&amp;$L221,GL_Journal!$I:$I,TB_LOCC,GL_Journal!$J:$J,TB_CCC,GL_Journal!$D:$D,"&lt;"&amp;TB_From)))</f>
        <v/>
      </c>
      <c r="D221" s="43">
        <f>IF($A221="","",SUMIFS(GL_Journal!$S:$S,GL_Journal!$G:$G,"&gt;="&amp;$K221,GL_Journal!$G:$G,"&lt;="&amp;$L221,GL_Journal!$I:$I,TB_LOCC,GL_Journal!$J:$J,TB_CCC,GL_Journal!$D:$D,"&gt;="&amp;TB_From,GL_Journal!$D:$D,"&lt;="&amp;TB_To))</f>
        <v/>
      </c>
      <c r="E221" s="43">
        <f>IF($A221="","",SUMIFS(GL_Journal!$T:$T,GL_Journal!$G:$G,"&gt;="&amp;$K221,GL_Journal!$G:$G,"&lt;="&amp;$L221,GL_Journal!$I:$I,TB_LOCC,GL_Journal!$J:$J,TB_CCC,GL_Journal!$D:$D,"&gt;="&amp;TB_From,GL_Journal!$D:$D,"&lt;="&amp;TB_To))</f>
        <v/>
      </c>
      <c r="F221" s="43">
        <f>IF($A221="","",MAX($H221,0))</f>
        <v/>
      </c>
      <c r="G221" s="43">
        <f>IF($A221="","",MAX(-$H221,0))</f>
        <v/>
      </c>
      <c r="H221" s="47">
        <f>IF($A221="","",$C221+$D221-$E221)</f>
        <v/>
      </c>
      <c r="I221" s="44">
        <f>IF($A221="","",INDEX(COA!$E:$E,ROW()-10))</f>
        <v/>
      </c>
      <c r="J221" s="44">
        <f>IF($A221="","",INDEX(COA!$F:$F,ROW()-10))</f>
        <v/>
      </c>
      <c r="K221" s="32">
        <f>IF($A221="","",INDEX(COA!$P:$P,ROW()-10))</f>
        <v/>
      </c>
      <c r="L221" s="32">
        <f>IF($A221="","",INDEX(COA!$Q:$Q,ROW()-10))</f>
        <v/>
      </c>
      <c r="M221" s="32" t="inlineStr"/>
    </row>
    <row r="222">
      <c r="A222" s="44">
        <f>IF(INDEX(COA!$A:$A,ROW()-10)="","",INDEX(COA!$A:$A,ROW()-10))</f>
        <v/>
      </c>
      <c r="B222" s="32">
        <f>IF($A222="","",INDEX(COA!$B:$B,ROW()-10))</f>
        <v/>
      </c>
      <c r="C222" s="47">
        <f>IF($A222="","",(SUMIFS(GL_Journal!$S:$S,GL_Journal!$G:$G,"&gt;="&amp;$K222,GL_Journal!$G:$G,"&lt;="&amp;$L222,GL_Journal!$I:$I,TB_LOCC,GL_Journal!$J:$J,TB_CCC,GL_Journal!$D:$D,"&lt;"&amp;TB_From)-SUMIFS(GL_Journal!$T:$T,GL_Journal!$G:$G,"&gt;="&amp;$K222,GL_Journal!$G:$G,"&lt;="&amp;$L222,GL_Journal!$I:$I,TB_LOCC,GL_Journal!$J:$J,TB_CCC,GL_Journal!$D:$D,"&lt;"&amp;TB_From)))</f>
        <v/>
      </c>
      <c r="D222" s="43">
        <f>IF($A222="","",SUMIFS(GL_Journal!$S:$S,GL_Journal!$G:$G,"&gt;="&amp;$K222,GL_Journal!$G:$G,"&lt;="&amp;$L222,GL_Journal!$I:$I,TB_LOCC,GL_Journal!$J:$J,TB_CCC,GL_Journal!$D:$D,"&gt;="&amp;TB_From,GL_Journal!$D:$D,"&lt;="&amp;TB_To))</f>
        <v/>
      </c>
      <c r="E222" s="43">
        <f>IF($A222="","",SUMIFS(GL_Journal!$T:$T,GL_Journal!$G:$G,"&gt;="&amp;$K222,GL_Journal!$G:$G,"&lt;="&amp;$L222,GL_Journal!$I:$I,TB_LOCC,GL_Journal!$J:$J,TB_CCC,GL_Journal!$D:$D,"&gt;="&amp;TB_From,GL_Journal!$D:$D,"&lt;="&amp;TB_To))</f>
        <v/>
      </c>
      <c r="F222" s="43">
        <f>IF($A222="","",MAX($H222,0))</f>
        <v/>
      </c>
      <c r="G222" s="43">
        <f>IF($A222="","",MAX(-$H222,0))</f>
        <v/>
      </c>
      <c r="H222" s="47">
        <f>IF($A222="","",$C222+$D222-$E222)</f>
        <v/>
      </c>
      <c r="I222" s="44">
        <f>IF($A222="","",INDEX(COA!$E:$E,ROW()-10))</f>
        <v/>
      </c>
      <c r="J222" s="44">
        <f>IF($A222="","",INDEX(COA!$F:$F,ROW()-10))</f>
        <v/>
      </c>
      <c r="K222" s="32">
        <f>IF($A222="","",INDEX(COA!$P:$P,ROW()-10))</f>
        <v/>
      </c>
      <c r="L222" s="32">
        <f>IF($A222="","",INDEX(COA!$Q:$Q,ROW()-10))</f>
        <v/>
      </c>
      <c r="M222" s="32" t="inlineStr"/>
    </row>
    <row r="223">
      <c r="A223" s="44">
        <f>IF(INDEX(COA!$A:$A,ROW()-10)="","",INDEX(COA!$A:$A,ROW()-10))</f>
        <v/>
      </c>
      <c r="B223" s="32">
        <f>IF($A223="","",INDEX(COA!$B:$B,ROW()-10))</f>
        <v/>
      </c>
      <c r="C223" s="47">
        <f>IF($A223="","",(SUMIFS(GL_Journal!$S:$S,GL_Journal!$G:$G,"&gt;="&amp;$K223,GL_Journal!$G:$G,"&lt;="&amp;$L223,GL_Journal!$I:$I,TB_LOCC,GL_Journal!$J:$J,TB_CCC,GL_Journal!$D:$D,"&lt;"&amp;TB_From)-SUMIFS(GL_Journal!$T:$T,GL_Journal!$G:$G,"&gt;="&amp;$K223,GL_Journal!$G:$G,"&lt;="&amp;$L223,GL_Journal!$I:$I,TB_LOCC,GL_Journal!$J:$J,TB_CCC,GL_Journal!$D:$D,"&lt;"&amp;TB_From)))</f>
        <v/>
      </c>
      <c r="D223" s="43">
        <f>IF($A223="","",SUMIFS(GL_Journal!$S:$S,GL_Journal!$G:$G,"&gt;="&amp;$K223,GL_Journal!$G:$G,"&lt;="&amp;$L223,GL_Journal!$I:$I,TB_LOCC,GL_Journal!$J:$J,TB_CCC,GL_Journal!$D:$D,"&gt;="&amp;TB_From,GL_Journal!$D:$D,"&lt;="&amp;TB_To))</f>
        <v/>
      </c>
      <c r="E223" s="43">
        <f>IF($A223="","",SUMIFS(GL_Journal!$T:$T,GL_Journal!$G:$G,"&gt;="&amp;$K223,GL_Journal!$G:$G,"&lt;="&amp;$L223,GL_Journal!$I:$I,TB_LOCC,GL_Journal!$J:$J,TB_CCC,GL_Journal!$D:$D,"&gt;="&amp;TB_From,GL_Journal!$D:$D,"&lt;="&amp;TB_To))</f>
        <v/>
      </c>
      <c r="F223" s="43">
        <f>IF($A223="","",MAX($H223,0))</f>
        <v/>
      </c>
      <c r="G223" s="43">
        <f>IF($A223="","",MAX(-$H223,0))</f>
        <v/>
      </c>
      <c r="H223" s="47">
        <f>IF($A223="","",$C223+$D223-$E223)</f>
        <v/>
      </c>
      <c r="I223" s="44">
        <f>IF($A223="","",INDEX(COA!$E:$E,ROW()-10))</f>
        <v/>
      </c>
      <c r="J223" s="44">
        <f>IF($A223="","",INDEX(COA!$F:$F,ROW()-10))</f>
        <v/>
      </c>
      <c r="K223" s="32">
        <f>IF($A223="","",INDEX(COA!$P:$P,ROW()-10))</f>
        <v/>
      </c>
      <c r="L223" s="32">
        <f>IF($A223="","",INDEX(COA!$Q:$Q,ROW()-10))</f>
        <v/>
      </c>
      <c r="M223" s="32" t="inlineStr"/>
    </row>
    <row r="224">
      <c r="A224" s="44">
        <f>IF(INDEX(COA!$A:$A,ROW()-10)="","",INDEX(COA!$A:$A,ROW()-10))</f>
        <v/>
      </c>
      <c r="B224" s="32">
        <f>IF($A224="","",INDEX(COA!$B:$B,ROW()-10))</f>
        <v/>
      </c>
      <c r="C224" s="47">
        <f>IF($A224="","",(SUMIFS(GL_Journal!$S:$S,GL_Journal!$G:$G,"&gt;="&amp;$K224,GL_Journal!$G:$G,"&lt;="&amp;$L224,GL_Journal!$I:$I,TB_LOCC,GL_Journal!$J:$J,TB_CCC,GL_Journal!$D:$D,"&lt;"&amp;TB_From)-SUMIFS(GL_Journal!$T:$T,GL_Journal!$G:$G,"&gt;="&amp;$K224,GL_Journal!$G:$G,"&lt;="&amp;$L224,GL_Journal!$I:$I,TB_LOCC,GL_Journal!$J:$J,TB_CCC,GL_Journal!$D:$D,"&lt;"&amp;TB_From)))</f>
        <v/>
      </c>
      <c r="D224" s="43">
        <f>IF($A224="","",SUMIFS(GL_Journal!$S:$S,GL_Journal!$G:$G,"&gt;="&amp;$K224,GL_Journal!$G:$G,"&lt;="&amp;$L224,GL_Journal!$I:$I,TB_LOCC,GL_Journal!$J:$J,TB_CCC,GL_Journal!$D:$D,"&gt;="&amp;TB_From,GL_Journal!$D:$D,"&lt;="&amp;TB_To))</f>
        <v/>
      </c>
      <c r="E224" s="43">
        <f>IF($A224="","",SUMIFS(GL_Journal!$T:$T,GL_Journal!$G:$G,"&gt;="&amp;$K224,GL_Journal!$G:$G,"&lt;="&amp;$L224,GL_Journal!$I:$I,TB_LOCC,GL_Journal!$J:$J,TB_CCC,GL_Journal!$D:$D,"&gt;="&amp;TB_From,GL_Journal!$D:$D,"&lt;="&amp;TB_To))</f>
        <v/>
      </c>
      <c r="F224" s="43">
        <f>IF($A224="","",MAX($H224,0))</f>
        <v/>
      </c>
      <c r="G224" s="43">
        <f>IF($A224="","",MAX(-$H224,0))</f>
        <v/>
      </c>
      <c r="H224" s="47">
        <f>IF($A224="","",$C224+$D224-$E224)</f>
        <v/>
      </c>
      <c r="I224" s="44">
        <f>IF($A224="","",INDEX(COA!$E:$E,ROW()-10))</f>
        <v/>
      </c>
      <c r="J224" s="44">
        <f>IF($A224="","",INDEX(COA!$F:$F,ROW()-10))</f>
        <v/>
      </c>
      <c r="K224" s="32">
        <f>IF($A224="","",INDEX(COA!$P:$P,ROW()-10))</f>
        <v/>
      </c>
      <c r="L224" s="32">
        <f>IF($A224="","",INDEX(COA!$Q:$Q,ROW()-10))</f>
        <v/>
      </c>
      <c r="M224" s="32" t="inlineStr"/>
    </row>
    <row r="225">
      <c r="A225" s="44">
        <f>IF(INDEX(COA!$A:$A,ROW()-10)="","",INDEX(COA!$A:$A,ROW()-10))</f>
        <v/>
      </c>
      <c r="B225" s="32">
        <f>IF($A225="","",INDEX(COA!$B:$B,ROW()-10))</f>
        <v/>
      </c>
      <c r="C225" s="47">
        <f>IF($A225="","",(SUMIFS(GL_Journal!$S:$S,GL_Journal!$G:$G,"&gt;="&amp;$K225,GL_Journal!$G:$G,"&lt;="&amp;$L225,GL_Journal!$I:$I,TB_LOCC,GL_Journal!$J:$J,TB_CCC,GL_Journal!$D:$D,"&lt;"&amp;TB_From)-SUMIFS(GL_Journal!$T:$T,GL_Journal!$G:$G,"&gt;="&amp;$K225,GL_Journal!$G:$G,"&lt;="&amp;$L225,GL_Journal!$I:$I,TB_LOCC,GL_Journal!$J:$J,TB_CCC,GL_Journal!$D:$D,"&lt;"&amp;TB_From)))</f>
        <v/>
      </c>
      <c r="D225" s="43">
        <f>IF($A225="","",SUMIFS(GL_Journal!$S:$S,GL_Journal!$G:$G,"&gt;="&amp;$K225,GL_Journal!$G:$G,"&lt;="&amp;$L225,GL_Journal!$I:$I,TB_LOCC,GL_Journal!$J:$J,TB_CCC,GL_Journal!$D:$D,"&gt;="&amp;TB_From,GL_Journal!$D:$D,"&lt;="&amp;TB_To))</f>
        <v/>
      </c>
      <c r="E225" s="43">
        <f>IF($A225="","",SUMIFS(GL_Journal!$T:$T,GL_Journal!$G:$G,"&gt;="&amp;$K225,GL_Journal!$G:$G,"&lt;="&amp;$L225,GL_Journal!$I:$I,TB_LOCC,GL_Journal!$J:$J,TB_CCC,GL_Journal!$D:$D,"&gt;="&amp;TB_From,GL_Journal!$D:$D,"&lt;="&amp;TB_To))</f>
        <v/>
      </c>
      <c r="F225" s="43">
        <f>IF($A225="","",MAX($H225,0))</f>
        <v/>
      </c>
      <c r="G225" s="43">
        <f>IF($A225="","",MAX(-$H225,0))</f>
        <v/>
      </c>
      <c r="H225" s="47">
        <f>IF($A225="","",$C225+$D225-$E225)</f>
        <v/>
      </c>
      <c r="I225" s="44">
        <f>IF($A225="","",INDEX(COA!$E:$E,ROW()-10))</f>
        <v/>
      </c>
      <c r="J225" s="44">
        <f>IF($A225="","",INDEX(COA!$F:$F,ROW()-10))</f>
        <v/>
      </c>
      <c r="K225" s="32">
        <f>IF($A225="","",INDEX(COA!$P:$P,ROW()-10))</f>
        <v/>
      </c>
      <c r="L225" s="32">
        <f>IF($A225="","",INDEX(COA!$Q:$Q,ROW()-10))</f>
        <v/>
      </c>
      <c r="M225" s="32" t="inlineStr"/>
    </row>
    <row r="226">
      <c r="A226" s="44">
        <f>IF(INDEX(COA!$A:$A,ROW()-10)="","",INDEX(COA!$A:$A,ROW()-10))</f>
        <v/>
      </c>
      <c r="B226" s="32">
        <f>IF($A226="","",INDEX(COA!$B:$B,ROW()-10))</f>
        <v/>
      </c>
      <c r="C226" s="47">
        <f>IF($A226="","",(SUMIFS(GL_Journal!$S:$S,GL_Journal!$G:$G,"&gt;="&amp;$K226,GL_Journal!$G:$G,"&lt;="&amp;$L226,GL_Journal!$I:$I,TB_LOCC,GL_Journal!$J:$J,TB_CCC,GL_Journal!$D:$D,"&lt;"&amp;TB_From)-SUMIFS(GL_Journal!$T:$T,GL_Journal!$G:$G,"&gt;="&amp;$K226,GL_Journal!$G:$G,"&lt;="&amp;$L226,GL_Journal!$I:$I,TB_LOCC,GL_Journal!$J:$J,TB_CCC,GL_Journal!$D:$D,"&lt;"&amp;TB_From)))</f>
        <v/>
      </c>
      <c r="D226" s="43">
        <f>IF($A226="","",SUMIFS(GL_Journal!$S:$S,GL_Journal!$G:$G,"&gt;="&amp;$K226,GL_Journal!$G:$G,"&lt;="&amp;$L226,GL_Journal!$I:$I,TB_LOCC,GL_Journal!$J:$J,TB_CCC,GL_Journal!$D:$D,"&gt;="&amp;TB_From,GL_Journal!$D:$D,"&lt;="&amp;TB_To))</f>
        <v/>
      </c>
      <c r="E226" s="43">
        <f>IF($A226="","",SUMIFS(GL_Journal!$T:$T,GL_Journal!$G:$G,"&gt;="&amp;$K226,GL_Journal!$G:$G,"&lt;="&amp;$L226,GL_Journal!$I:$I,TB_LOCC,GL_Journal!$J:$J,TB_CCC,GL_Journal!$D:$D,"&gt;="&amp;TB_From,GL_Journal!$D:$D,"&lt;="&amp;TB_To))</f>
        <v/>
      </c>
      <c r="F226" s="43">
        <f>IF($A226="","",MAX($H226,0))</f>
        <v/>
      </c>
      <c r="G226" s="43">
        <f>IF($A226="","",MAX(-$H226,0))</f>
        <v/>
      </c>
      <c r="H226" s="47">
        <f>IF($A226="","",$C226+$D226-$E226)</f>
        <v/>
      </c>
      <c r="I226" s="44">
        <f>IF($A226="","",INDEX(COA!$E:$E,ROW()-10))</f>
        <v/>
      </c>
      <c r="J226" s="44">
        <f>IF($A226="","",INDEX(COA!$F:$F,ROW()-10))</f>
        <v/>
      </c>
      <c r="K226" s="32">
        <f>IF($A226="","",INDEX(COA!$P:$P,ROW()-10))</f>
        <v/>
      </c>
      <c r="L226" s="32">
        <f>IF($A226="","",INDEX(COA!$Q:$Q,ROW()-10))</f>
        <v/>
      </c>
      <c r="M226" s="32" t="inlineStr"/>
    </row>
    <row r="227">
      <c r="A227" s="44">
        <f>IF(INDEX(COA!$A:$A,ROW()-10)="","",INDEX(COA!$A:$A,ROW()-10))</f>
        <v/>
      </c>
      <c r="B227" s="32">
        <f>IF($A227="","",INDEX(COA!$B:$B,ROW()-10))</f>
        <v/>
      </c>
      <c r="C227" s="47">
        <f>IF($A227="","",(SUMIFS(GL_Journal!$S:$S,GL_Journal!$G:$G,"&gt;="&amp;$K227,GL_Journal!$G:$G,"&lt;="&amp;$L227,GL_Journal!$I:$I,TB_LOCC,GL_Journal!$J:$J,TB_CCC,GL_Journal!$D:$D,"&lt;"&amp;TB_From)-SUMIFS(GL_Journal!$T:$T,GL_Journal!$G:$G,"&gt;="&amp;$K227,GL_Journal!$G:$G,"&lt;="&amp;$L227,GL_Journal!$I:$I,TB_LOCC,GL_Journal!$J:$J,TB_CCC,GL_Journal!$D:$D,"&lt;"&amp;TB_From)))</f>
        <v/>
      </c>
      <c r="D227" s="43">
        <f>IF($A227="","",SUMIFS(GL_Journal!$S:$S,GL_Journal!$G:$G,"&gt;="&amp;$K227,GL_Journal!$G:$G,"&lt;="&amp;$L227,GL_Journal!$I:$I,TB_LOCC,GL_Journal!$J:$J,TB_CCC,GL_Journal!$D:$D,"&gt;="&amp;TB_From,GL_Journal!$D:$D,"&lt;="&amp;TB_To))</f>
        <v/>
      </c>
      <c r="E227" s="43">
        <f>IF($A227="","",SUMIFS(GL_Journal!$T:$T,GL_Journal!$G:$G,"&gt;="&amp;$K227,GL_Journal!$G:$G,"&lt;="&amp;$L227,GL_Journal!$I:$I,TB_LOCC,GL_Journal!$J:$J,TB_CCC,GL_Journal!$D:$D,"&gt;="&amp;TB_From,GL_Journal!$D:$D,"&lt;="&amp;TB_To))</f>
        <v/>
      </c>
      <c r="F227" s="43">
        <f>IF($A227="","",MAX($H227,0))</f>
        <v/>
      </c>
      <c r="G227" s="43">
        <f>IF($A227="","",MAX(-$H227,0))</f>
        <v/>
      </c>
      <c r="H227" s="47">
        <f>IF($A227="","",$C227+$D227-$E227)</f>
        <v/>
      </c>
      <c r="I227" s="44">
        <f>IF($A227="","",INDEX(COA!$E:$E,ROW()-10))</f>
        <v/>
      </c>
      <c r="J227" s="44">
        <f>IF($A227="","",INDEX(COA!$F:$F,ROW()-10))</f>
        <v/>
      </c>
      <c r="K227" s="32">
        <f>IF($A227="","",INDEX(COA!$P:$P,ROW()-10))</f>
        <v/>
      </c>
      <c r="L227" s="32">
        <f>IF($A227="","",INDEX(COA!$Q:$Q,ROW()-10))</f>
        <v/>
      </c>
      <c r="M227" s="32" t="inlineStr"/>
    </row>
    <row r="228">
      <c r="A228" s="44">
        <f>IF(INDEX(COA!$A:$A,ROW()-10)="","",INDEX(COA!$A:$A,ROW()-10))</f>
        <v/>
      </c>
      <c r="B228" s="32">
        <f>IF($A228="","",INDEX(COA!$B:$B,ROW()-10))</f>
        <v/>
      </c>
      <c r="C228" s="47">
        <f>IF($A228="","",(SUMIFS(GL_Journal!$S:$S,GL_Journal!$G:$G,"&gt;="&amp;$K228,GL_Journal!$G:$G,"&lt;="&amp;$L228,GL_Journal!$I:$I,TB_LOCC,GL_Journal!$J:$J,TB_CCC,GL_Journal!$D:$D,"&lt;"&amp;TB_From)-SUMIFS(GL_Journal!$T:$T,GL_Journal!$G:$G,"&gt;="&amp;$K228,GL_Journal!$G:$G,"&lt;="&amp;$L228,GL_Journal!$I:$I,TB_LOCC,GL_Journal!$J:$J,TB_CCC,GL_Journal!$D:$D,"&lt;"&amp;TB_From)))</f>
        <v/>
      </c>
      <c r="D228" s="43">
        <f>IF($A228="","",SUMIFS(GL_Journal!$S:$S,GL_Journal!$G:$G,"&gt;="&amp;$K228,GL_Journal!$G:$G,"&lt;="&amp;$L228,GL_Journal!$I:$I,TB_LOCC,GL_Journal!$J:$J,TB_CCC,GL_Journal!$D:$D,"&gt;="&amp;TB_From,GL_Journal!$D:$D,"&lt;="&amp;TB_To))</f>
        <v/>
      </c>
      <c r="E228" s="43">
        <f>IF($A228="","",SUMIFS(GL_Journal!$T:$T,GL_Journal!$G:$G,"&gt;="&amp;$K228,GL_Journal!$G:$G,"&lt;="&amp;$L228,GL_Journal!$I:$I,TB_LOCC,GL_Journal!$J:$J,TB_CCC,GL_Journal!$D:$D,"&gt;="&amp;TB_From,GL_Journal!$D:$D,"&lt;="&amp;TB_To))</f>
        <v/>
      </c>
      <c r="F228" s="43">
        <f>IF($A228="","",MAX($H228,0))</f>
        <v/>
      </c>
      <c r="G228" s="43">
        <f>IF($A228="","",MAX(-$H228,0))</f>
        <v/>
      </c>
      <c r="H228" s="47">
        <f>IF($A228="","",$C228+$D228-$E228)</f>
        <v/>
      </c>
      <c r="I228" s="44">
        <f>IF($A228="","",INDEX(COA!$E:$E,ROW()-10))</f>
        <v/>
      </c>
      <c r="J228" s="44">
        <f>IF($A228="","",INDEX(COA!$F:$F,ROW()-10))</f>
        <v/>
      </c>
      <c r="K228" s="32">
        <f>IF($A228="","",INDEX(COA!$P:$P,ROW()-10))</f>
        <v/>
      </c>
      <c r="L228" s="32">
        <f>IF($A228="","",INDEX(COA!$Q:$Q,ROW()-10))</f>
        <v/>
      </c>
      <c r="M228" s="32" t="inlineStr"/>
    </row>
    <row r="229">
      <c r="A229" s="44">
        <f>IF(INDEX(COA!$A:$A,ROW()-10)="","",INDEX(COA!$A:$A,ROW()-10))</f>
        <v/>
      </c>
      <c r="B229" s="32">
        <f>IF($A229="","",INDEX(COA!$B:$B,ROW()-10))</f>
        <v/>
      </c>
      <c r="C229" s="47">
        <f>IF($A229="","",(SUMIFS(GL_Journal!$S:$S,GL_Journal!$G:$G,"&gt;="&amp;$K229,GL_Journal!$G:$G,"&lt;="&amp;$L229,GL_Journal!$I:$I,TB_LOCC,GL_Journal!$J:$J,TB_CCC,GL_Journal!$D:$D,"&lt;"&amp;TB_From)-SUMIFS(GL_Journal!$T:$T,GL_Journal!$G:$G,"&gt;="&amp;$K229,GL_Journal!$G:$G,"&lt;="&amp;$L229,GL_Journal!$I:$I,TB_LOCC,GL_Journal!$J:$J,TB_CCC,GL_Journal!$D:$D,"&lt;"&amp;TB_From)))</f>
        <v/>
      </c>
      <c r="D229" s="43">
        <f>IF($A229="","",SUMIFS(GL_Journal!$S:$S,GL_Journal!$G:$G,"&gt;="&amp;$K229,GL_Journal!$G:$G,"&lt;="&amp;$L229,GL_Journal!$I:$I,TB_LOCC,GL_Journal!$J:$J,TB_CCC,GL_Journal!$D:$D,"&gt;="&amp;TB_From,GL_Journal!$D:$D,"&lt;="&amp;TB_To))</f>
        <v/>
      </c>
      <c r="E229" s="43">
        <f>IF($A229="","",SUMIFS(GL_Journal!$T:$T,GL_Journal!$G:$G,"&gt;="&amp;$K229,GL_Journal!$G:$G,"&lt;="&amp;$L229,GL_Journal!$I:$I,TB_LOCC,GL_Journal!$J:$J,TB_CCC,GL_Journal!$D:$D,"&gt;="&amp;TB_From,GL_Journal!$D:$D,"&lt;="&amp;TB_To))</f>
        <v/>
      </c>
      <c r="F229" s="43">
        <f>IF($A229="","",MAX($H229,0))</f>
        <v/>
      </c>
      <c r="G229" s="43">
        <f>IF($A229="","",MAX(-$H229,0))</f>
        <v/>
      </c>
      <c r="H229" s="47">
        <f>IF($A229="","",$C229+$D229-$E229)</f>
        <v/>
      </c>
      <c r="I229" s="44">
        <f>IF($A229="","",INDEX(COA!$E:$E,ROW()-10))</f>
        <v/>
      </c>
      <c r="J229" s="44">
        <f>IF($A229="","",INDEX(COA!$F:$F,ROW()-10))</f>
        <v/>
      </c>
      <c r="K229" s="32">
        <f>IF($A229="","",INDEX(COA!$P:$P,ROW()-10))</f>
        <v/>
      </c>
      <c r="L229" s="32">
        <f>IF($A229="","",INDEX(COA!$Q:$Q,ROW()-10))</f>
        <v/>
      </c>
      <c r="M229" s="32" t="inlineStr"/>
    </row>
    <row r="230">
      <c r="A230" s="44">
        <f>IF(INDEX(COA!$A:$A,ROW()-10)="","",INDEX(COA!$A:$A,ROW()-10))</f>
        <v/>
      </c>
      <c r="B230" s="32">
        <f>IF($A230="","",INDEX(COA!$B:$B,ROW()-10))</f>
        <v/>
      </c>
      <c r="C230" s="47">
        <f>IF($A230="","",(SUMIFS(GL_Journal!$S:$S,GL_Journal!$G:$G,"&gt;="&amp;$K230,GL_Journal!$G:$G,"&lt;="&amp;$L230,GL_Journal!$I:$I,TB_LOCC,GL_Journal!$J:$J,TB_CCC,GL_Journal!$D:$D,"&lt;"&amp;TB_From)-SUMIFS(GL_Journal!$T:$T,GL_Journal!$G:$G,"&gt;="&amp;$K230,GL_Journal!$G:$G,"&lt;="&amp;$L230,GL_Journal!$I:$I,TB_LOCC,GL_Journal!$J:$J,TB_CCC,GL_Journal!$D:$D,"&lt;"&amp;TB_From)))</f>
        <v/>
      </c>
      <c r="D230" s="43">
        <f>IF($A230="","",SUMIFS(GL_Journal!$S:$S,GL_Journal!$G:$G,"&gt;="&amp;$K230,GL_Journal!$G:$G,"&lt;="&amp;$L230,GL_Journal!$I:$I,TB_LOCC,GL_Journal!$J:$J,TB_CCC,GL_Journal!$D:$D,"&gt;="&amp;TB_From,GL_Journal!$D:$D,"&lt;="&amp;TB_To))</f>
        <v/>
      </c>
      <c r="E230" s="43">
        <f>IF($A230="","",SUMIFS(GL_Journal!$T:$T,GL_Journal!$G:$G,"&gt;="&amp;$K230,GL_Journal!$G:$G,"&lt;="&amp;$L230,GL_Journal!$I:$I,TB_LOCC,GL_Journal!$J:$J,TB_CCC,GL_Journal!$D:$D,"&gt;="&amp;TB_From,GL_Journal!$D:$D,"&lt;="&amp;TB_To))</f>
        <v/>
      </c>
      <c r="F230" s="43">
        <f>IF($A230="","",MAX($H230,0))</f>
        <v/>
      </c>
      <c r="G230" s="43">
        <f>IF($A230="","",MAX(-$H230,0))</f>
        <v/>
      </c>
      <c r="H230" s="47">
        <f>IF($A230="","",$C230+$D230-$E230)</f>
        <v/>
      </c>
      <c r="I230" s="44">
        <f>IF($A230="","",INDEX(COA!$E:$E,ROW()-10))</f>
        <v/>
      </c>
      <c r="J230" s="44">
        <f>IF($A230="","",INDEX(COA!$F:$F,ROW()-10))</f>
        <v/>
      </c>
      <c r="K230" s="32">
        <f>IF($A230="","",INDEX(COA!$P:$P,ROW()-10))</f>
        <v/>
      </c>
      <c r="L230" s="32">
        <f>IF($A230="","",INDEX(COA!$Q:$Q,ROW()-10))</f>
        <v/>
      </c>
      <c r="M230" s="32" t="inlineStr"/>
    </row>
    <row r="231">
      <c r="A231" s="44">
        <f>IF(INDEX(COA!$A:$A,ROW()-10)="","",INDEX(COA!$A:$A,ROW()-10))</f>
        <v/>
      </c>
      <c r="B231" s="32">
        <f>IF($A231="","",INDEX(COA!$B:$B,ROW()-10))</f>
        <v/>
      </c>
      <c r="C231" s="47">
        <f>IF($A231="","",(SUMIFS(GL_Journal!$S:$S,GL_Journal!$G:$G,"&gt;="&amp;$K231,GL_Journal!$G:$G,"&lt;="&amp;$L231,GL_Journal!$I:$I,TB_LOCC,GL_Journal!$J:$J,TB_CCC,GL_Journal!$D:$D,"&lt;"&amp;TB_From)-SUMIFS(GL_Journal!$T:$T,GL_Journal!$G:$G,"&gt;="&amp;$K231,GL_Journal!$G:$G,"&lt;="&amp;$L231,GL_Journal!$I:$I,TB_LOCC,GL_Journal!$J:$J,TB_CCC,GL_Journal!$D:$D,"&lt;"&amp;TB_From)))</f>
        <v/>
      </c>
      <c r="D231" s="43">
        <f>IF($A231="","",SUMIFS(GL_Journal!$S:$S,GL_Journal!$G:$G,"&gt;="&amp;$K231,GL_Journal!$G:$G,"&lt;="&amp;$L231,GL_Journal!$I:$I,TB_LOCC,GL_Journal!$J:$J,TB_CCC,GL_Journal!$D:$D,"&gt;="&amp;TB_From,GL_Journal!$D:$D,"&lt;="&amp;TB_To))</f>
        <v/>
      </c>
      <c r="E231" s="43">
        <f>IF($A231="","",SUMIFS(GL_Journal!$T:$T,GL_Journal!$G:$G,"&gt;="&amp;$K231,GL_Journal!$G:$G,"&lt;="&amp;$L231,GL_Journal!$I:$I,TB_LOCC,GL_Journal!$J:$J,TB_CCC,GL_Journal!$D:$D,"&gt;="&amp;TB_From,GL_Journal!$D:$D,"&lt;="&amp;TB_To))</f>
        <v/>
      </c>
      <c r="F231" s="43">
        <f>IF($A231="","",MAX($H231,0))</f>
        <v/>
      </c>
      <c r="G231" s="43">
        <f>IF($A231="","",MAX(-$H231,0))</f>
        <v/>
      </c>
      <c r="H231" s="47">
        <f>IF($A231="","",$C231+$D231-$E231)</f>
        <v/>
      </c>
      <c r="I231" s="44">
        <f>IF($A231="","",INDEX(COA!$E:$E,ROW()-10))</f>
        <v/>
      </c>
      <c r="J231" s="44">
        <f>IF($A231="","",INDEX(COA!$F:$F,ROW()-10))</f>
        <v/>
      </c>
      <c r="K231" s="32">
        <f>IF($A231="","",INDEX(COA!$P:$P,ROW()-10))</f>
        <v/>
      </c>
      <c r="L231" s="32">
        <f>IF($A231="","",INDEX(COA!$Q:$Q,ROW()-10))</f>
        <v/>
      </c>
      <c r="M231" s="32" t="inlineStr"/>
    </row>
    <row r="232">
      <c r="A232" s="44">
        <f>IF(INDEX(COA!$A:$A,ROW()-10)="","",INDEX(COA!$A:$A,ROW()-10))</f>
        <v/>
      </c>
      <c r="B232" s="32">
        <f>IF($A232="","",INDEX(COA!$B:$B,ROW()-10))</f>
        <v/>
      </c>
      <c r="C232" s="47">
        <f>IF($A232="","",(SUMIFS(GL_Journal!$S:$S,GL_Journal!$G:$G,"&gt;="&amp;$K232,GL_Journal!$G:$G,"&lt;="&amp;$L232,GL_Journal!$I:$I,TB_LOCC,GL_Journal!$J:$J,TB_CCC,GL_Journal!$D:$D,"&lt;"&amp;TB_From)-SUMIFS(GL_Journal!$T:$T,GL_Journal!$G:$G,"&gt;="&amp;$K232,GL_Journal!$G:$G,"&lt;="&amp;$L232,GL_Journal!$I:$I,TB_LOCC,GL_Journal!$J:$J,TB_CCC,GL_Journal!$D:$D,"&lt;"&amp;TB_From)))</f>
        <v/>
      </c>
      <c r="D232" s="43">
        <f>IF($A232="","",SUMIFS(GL_Journal!$S:$S,GL_Journal!$G:$G,"&gt;="&amp;$K232,GL_Journal!$G:$G,"&lt;="&amp;$L232,GL_Journal!$I:$I,TB_LOCC,GL_Journal!$J:$J,TB_CCC,GL_Journal!$D:$D,"&gt;="&amp;TB_From,GL_Journal!$D:$D,"&lt;="&amp;TB_To))</f>
        <v/>
      </c>
      <c r="E232" s="43">
        <f>IF($A232="","",SUMIFS(GL_Journal!$T:$T,GL_Journal!$G:$G,"&gt;="&amp;$K232,GL_Journal!$G:$G,"&lt;="&amp;$L232,GL_Journal!$I:$I,TB_LOCC,GL_Journal!$J:$J,TB_CCC,GL_Journal!$D:$D,"&gt;="&amp;TB_From,GL_Journal!$D:$D,"&lt;="&amp;TB_To))</f>
        <v/>
      </c>
      <c r="F232" s="43">
        <f>IF($A232="","",MAX($H232,0))</f>
        <v/>
      </c>
      <c r="G232" s="43">
        <f>IF($A232="","",MAX(-$H232,0))</f>
        <v/>
      </c>
      <c r="H232" s="47">
        <f>IF($A232="","",$C232+$D232-$E232)</f>
        <v/>
      </c>
      <c r="I232" s="44">
        <f>IF($A232="","",INDEX(COA!$E:$E,ROW()-10))</f>
        <v/>
      </c>
      <c r="J232" s="44">
        <f>IF($A232="","",INDEX(COA!$F:$F,ROW()-10))</f>
        <v/>
      </c>
      <c r="K232" s="32">
        <f>IF($A232="","",INDEX(COA!$P:$P,ROW()-10))</f>
        <v/>
      </c>
      <c r="L232" s="32">
        <f>IF($A232="","",INDEX(COA!$Q:$Q,ROW()-10))</f>
        <v/>
      </c>
      <c r="M232" s="32" t="inlineStr"/>
    </row>
    <row r="233">
      <c r="A233" s="44">
        <f>IF(INDEX(COA!$A:$A,ROW()-10)="","",INDEX(COA!$A:$A,ROW()-10))</f>
        <v/>
      </c>
      <c r="B233" s="32">
        <f>IF($A233="","",INDEX(COA!$B:$B,ROW()-10))</f>
        <v/>
      </c>
      <c r="C233" s="47">
        <f>IF($A233="","",(SUMIFS(GL_Journal!$S:$S,GL_Journal!$G:$G,"&gt;="&amp;$K233,GL_Journal!$G:$G,"&lt;="&amp;$L233,GL_Journal!$I:$I,TB_LOCC,GL_Journal!$J:$J,TB_CCC,GL_Journal!$D:$D,"&lt;"&amp;TB_From)-SUMIFS(GL_Journal!$T:$T,GL_Journal!$G:$G,"&gt;="&amp;$K233,GL_Journal!$G:$G,"&lt;="&amp;$L233,GL_Journal!$I:$I,TB_LOCC,GL_Journal!$J:$J,TB_CCC,GL_Journal!$D:$D,"&lt;"&amp;TB_From)))</f>
        <v/>
      </c>
      <c r="D233" s="43">
        <f>IF($A233="","",SUMIFS(GL_Journal!$S:$S,GL_Journal!$G:$G,"&gt;="&amp;$K233,GL_Journal!$G:$G,"&lt;="&amp;$L233,GL_Journal!$I:$I,TB_LOCC,GL_Journal!$J:$J,TB_CCC,GL_Journal!$D:$D,"&gt;="&amp;TB_From,GL_Journal!$D:$D,"&lt;="&amp;TB_To))</f>
        <v/>
      </c>
      <c r="E233" s="43">
        <f>IF($A233="","",SUMIFS(GL_Journal!$T:$T,GL_Journal!$G:$G,"&gt;="&amp;$K233,GL_Journal!$G:$G,"&lt;="&amp;$L233,GL_Journal!$I:$I,TB_LOCC,GL_Journal!$J:$J,TB_CCC,GL_Journal!$D:$D,"&gt;="&amp;TB_From,GL_Journal!$D:$D,"&lt;="&amp;TB_To))</f>
        <v/>
      </c>
      <c r="F233" s="43">
        <f>IF($A233="","",MAX($H233,0))</f>
        <v/>
      </c>
      <c r="G233" s="43">
        <f>IF($A233="","",MAX(-$H233,0))</f>
        <v/>
      </c>
      <c r="H233" s="47">
        <f>IF($A233="","",$C233+$D233-$E233)</f>
        <v/>
      </c>
      <c r="I233" s="44">
        <f>IF($A233="","",INDEX(COA!$E:$E,ROW()-10))</f>
        <v/>
      </c>
      <c r="J233" s="44">
        <f>IF($A233="","",INDEX(COA!$F:$F,ROW()-10))</f>
        <v/>
      </c>
      <c r="K233" s="32">
        <f>IF($A233="","",INDEX(COA!$P:$P,ROW()-10))</f>
        <v/>
      </c>
      <c r="L233" s="32">
        <f>IF($A233="","",INDEX(COA!$Q:$Q,ROW()-10))</f>
        <v/>
      </c>
      <c r="M233" s="32" t="inlineStr"/>
    </row>
    <row r="234">
      <c r="A234" s="44">
        <f>IF(INDEX(COA!$A:$A,ROW()-10)="","",INDEX(COA!$A:$A,ROW()-10))</f>
        <v/>
      </c>
      <c r="B234" s="32">
        <f>IF($A234="","",INDEX(COA!$B:$B,ROW()-10))</f>
        <v/>
      </c>
      <c r="C234" s="47">
        <f>IF($A234="","",(SUMIFS(GL_Journal!$S:$S,GL_Journal!$G:$G,"&gt;="&amp;$K234,GL_Journal!$G:$G,"&lt;="&amp;$L234,GL_Journal!$I:$I,TB_LOCC,GL_Journal!$J:$J,TB_CCC,GL_Journal!$D:$D,"&lt;"&amp;TB_From)-SUMIFS(GL_Journal!$T:$T,GL_Journal!$G:$G,"&gt;="&amp;$K234,GL_Journal!$G:$G,"&lt;="&amp;$L234,GL_Journal!$I:$I,TB_LOCC,GL_Journal!$J:$J,TB_CCC,GL_Journal!$D:$D,"&lt;"&amp;TB_From)))</f>
        <v/>
      </c>
      <c r="D234" s="43">
        <f>IF($A234="","",SUMIFS(GL_Journal!$S:$S,GL_Journal!$G:$G,"&gt;="&amp;$K234,GL_Journal!$G:$G,"&lt;="&amp;$L234,GL_Journal!$I:$I,TB_LOCC,GL_Journal!$J:$J,TB_CCC,GL_Journal!$D:$D,"&gt;="&amp;TB_From,GL_Journal!$D:$D,"&lt;="&amp;TB_To))</f>
        <v/>
      </c>
      <c r="E234" s="43">
        <f>IF($A234="","",SUMIFS(GL_Journal!$T:$T,GL_Journal!$G:$G,"&gt;="&amp;$K234,GL_Journal!$G:$G,"&lt;="&amp;$L234,GL_Journal!$I:$I,TB_LOCC,GL_Journal!$J:$J,TB_CCC,GL_Journal!$D:$D,"&gt;="&amp;TB_From,GL_Journal!$D:$D,"&lt;="&amp;TB_To))</f>
        <v/>
      </c>
      <c r="F234" s="43">
        <f>IF($A234="","",MAX($H234,0))</f>
        <v/>
      </c>
      <c r="G234" s="43">
        <f>IF($A234="","",MAX(-$H234,0))</f>
        <v/>
      </c>
      <c r="H234" s="47">
        <f>IF($A234="","",$C234+$D234-$E234)</f>
        <v/>
      </c>
      <c r="I234" s="44">
        <f>IF($A234="","",INDEX(COA!$E:$E,ROW()-10))</f>
        <v/>
      </c>
      <c r="J234" s="44">
        <f>IF($A234="","",INDEX(COA!$F:$F,ROW()-10))</f>
        <v/>
      </c>
      <c r="K234" s="32">
        <f>IF($A234="","",INDEX(COA!$P:$P,ROW()-10))</f>
        <v/>
      </c>
      <c r="L234" s="32">
        <f>IF($A234="","",INDEX(COA!$Q:$Q,ROW()-10))</f>
        <v/>
      </c>
      <c r="M234" s="32" t="inlineStr"/>
    </row>
    <row r="235">
      <c r="A235" s="44">
        <f>IF(INDEX(COA!$A:$A,ROW()-10)="","",INDEX(COA!$A:$A,ROW()-10))</f>
        <v/>
      </c>
      <c r="B235" s="32">
        <f>IF($A235="","",INDEX(COA!$B:$B,ROW()-10))</f>
        <v/>
      </c>
      <c r="C235" s="47">
        <f>IF($A235="","",(SUMIFS(GL_Journal!$S:$S,GL_Journal!$G:$G,"&gt;="&amp;$K235,GL_Journal!$G:$G,"&lt;="&amp;$L235,GL_Journal!$I:$I,TB_LOCC,GL_Journal!$J:$J,TB_CCC,GL_Journal!$D:$D,"&lt;"&amp;TB_From)-SUMIFS(GL_Journal!$T:$T,GL_Journal!$G:$G,"&gt;="&amp;$K235,GL_Journal!$G:$G,"&lt;="&amp;$L235,GL_Journal!$I:$I,TB_LOCC,GL_Journal!$J:$J,TB_CCC,GL_Journal!$D:$D,"&lt;"&amp;TB_From)))</f>
        <v/>
      </c>
      <c r="D235" s="43">
        <f>IF($A235="","",SUMIFS(GL_Journal!$S:$S,GL_Journal!$G:$G,"&gt;="&amp;$K235,GL_Journal!$G:$G,"&lt;="&amp;$L235,GL_Journal!$I:$I,TB_LOCC,GL_Journal!$J:$J,TB_CCC,GL_Journal!$D:$D,"&gt;="&amp;TB_From,GL_Journal!$D:$D,"&lt;="&amp;TB_To))</f>
        <v/>
      </c>
      <c r="E235" s="43">
        <f>IF($A235="","",SUMIFS(GL_Journal!$T:$T,GL_Journal!$G:$G,"&gt;="&amp;$K235,GL_Journal!$G:$G,"&lt;="&amp;$L235,GL_Journal!$I:$I,TB_LOCC,GL_Journal!$J:$J,TB_CCC,GL_Journal!$D:$D,"&gt;="&amp;TB_From,GL_Journal!$D:$D,"&lt;="&amp;TB_To))</f>
        <v/>
      </c>
      <c r="F235" s="43">
        <f>IF($A235="","",MAX($H235,0))</f>
        <v/>
      </c>
      <c r="G235" s="43">
        <f>IF($A235="","",MAX(-$H235,0))</f>
        <v/>
      </c>
      <c r="H235" s="47">
        <f>IF($A235="","",$C235+$D235-$E235)</f>
        <v/>
      </c>
      <c r="I235" s="44">
        <f>IF($A235="","",INDEX(COA!$E:$E,ROW()-10))</f>
        <v/>
      </c>
      <c r="J235" s="44">
        <f>IF($A235="","",INDEX(COA!$F:$F,ROW()-10))</f>
        <v/>
      </c>
      <c r="K235" s="32">
        <f>IF($A235="","",INDEX(COA!$P:$P,ROW()-10))</f>
        <v/>
      </c>
      <c r="L235" s="32">
        <f>IF($A235="","",INDEX(COA!$Q:$Q,ROW()-10))</f>
        <v/>
      </c>
      <c r="M235" s="32" t="inlineStr"/>
    </row>
    <row r="236">
      <c r="A236" s="44">
        <f>IF(INDEX(COA!$A:$A,ROW()-10)="","",INDEX(COA!$A:$A,ROW()-10))</f>
        <v/>
      </c>
      <c r="B236" s="32">
        <f>IF($A236="","",INDEX(COA!$B:$B,ROW()-10))</f>
        <v/>
      </c>
      <c r="C236" s="47">
        <f>IF($A236="","",(SUMIFS(GL_Journal!$S:$S,GL_Journal!$G:$G,"&gt;="&amp;$K236,GL_Journal!$G:$G,"&lt;="&amp;$L236,GL_Journal!$I:$I,TB_LOCC,GL_Journal!$J:$J,TB_CCC,GL_Journal!$D:$D,"&lt;"&amp;TB_From)-SUMIFS(GL_Journal!$T:$T,GL_Journal!$G:$G,"&gt;="&amp;$K236,GL_Journal!$G:$G,"&lt;="&amp;$L236,GL_Journal!$I:$I,TB_LOCC,GL_Journal!$J:$J,TB_CCC,GL_Journal!$D:$D,"&lt;"&amp;TB_From)))</f>
        <v/>
      </c>
      <c r="D236" s="43">
        <f>IF($A236="","",SUMIFS(GL_Journal!$S:$S,GL_Journal!$G:$G,"&gt;="&amp;$K236,GL_Journal!$G:$G,"&lt;="&amp;$L236,GL_Journal!$I:$I,TB_LOCC,GL_Journal!$J:$J,TB_CCC,GL_Journal!$D:$D,"&gt;="&amp;TB_From,GL_Journal!$D:$D,"&lt;="&amp;TB_To))</f>
        <v/>
      </c>
      <c r="E236" s="43">
        <f>IF($A236="","",SUMIFS(GL_Journal!$T:$T,GL_Journal!$G:$G,"&gt;="&amp;$K236,GL_Journal!$G:$G,"&lt;="&amp;$L236,GL_Journal!$I:$I,TB_LOCC,GL_Journal!$J:$J,TB_CCC,GL_Journal!$D:$D,"&gt;="&amp;TB_From,GL_Journal!$D:$D,"&lt;="&amp;TB_To))</f>
        <v/>
      </c>
      <c r="F236" s="43">
        <f>IF($A236="","",MAX($H236,0))</f>
        <v/>
      </c>
      <c r="G236" s="43">
        <f>IF($A236="","",MAX(-$H236,0))</f>
        <v/>
      </c>
      <c r="H236" s="47">
        <f>IF($A236="","",$C236+$D236-$E236)</f>
        <v/>
      </c>
      <c r="I236" s="44">
        <f>IF($A236="","",INDEX(COA!$E:$E,ROW()-10))</f>
        <v/>
      </c>
      <c r="J236" s="44">
        <f>IF($A236="","",INDEX(COA!$F:$F,ROW()-10))</f>
        <v/>
      </c>
      <c r="K236" s="32">
        <f>IF($A236="","",INDEX(COA!$P:$P,ROW()-10))</f>
        <v/>
      </c>
      <c r="L236" s="32">
        <f>IF($A236="","",INDEX(COA!$Q:$Q,ROW()-10))</f>
        <v/>
      </c>
      <c r="M236" s="32" t="inlineStr"/>
    </row>
    <row r="237">
      <c r="A237" s="44">
        <f>IF(INDEX(COA!$A:$A,ROW()-10)="","",INDEX(COA!$A:$A,ROW()-10))</f>
        <v/>
      </c>
      <c r="B237" s="32">
        <f>IF($A237="","",INDEX(COA!$B:$B,ROW()-10))</f>
        <v/>
      </c>
      <c r="C237" s="47">
        <f>IF($A237="","",(SUMIFS(GL_Journal!$S:$S,GL_Journal!$G:$G,"&gt;="&amp;$K237,GL_Journal!$G:$G,"&lt;="&amp;$L237,GL_Journal!$I:$I,TB_LOCC,GL_Journal!$J:$J,TB_CCC,GL_Journal!$D:$D,"&lt;"&amp;TB_From)-SUMIFS(GL_Journal!$T:$T,GL_Journal!$G:$G,"&gt;="&amp;$K237,GL_Journal!$G:$G,"&lt;="&amp;$L237,GL_Journal!$I:$I,TB_LOCC,GL_Journal!$J:$J,TB_CCC,GL_Journal!$D:$D,"&lt;"&amp;TB_From)))</f>
        <v/>
      </c>
      <c r="D237" s="43">
        <f>IF($A237="","",SUMIFS(GL_Journal!$S:$S,GL_Journal!$G:$G,"&gt;="&amp;$K237,GL_Journal!$G:$G,"&lt;="&amp;$L237,GL_Journal!$I:$I,TB_LOCC,GL_Journal!$J:$J,TB_CCC,GL_Journal!$D:$D,"&gt;="&amp;TB_From,GL_Journal!$D:$D,"&lt;="&amp;TB_To))</f>
        <v/>
      </c>
      <c r="E237" s="43">
        <f>IF($A237="","",SUMIFS(GL_Journal!$T:$T,GL_Journal!$G:$G,"&gt;="&amp;$K237,GL_Journal!$G:$G,"&lt;="&amp;$L237,GL_Journal!$I:$I,TB_LOCC,GL_Journal!$J:$J,TB_CCC,GL_Journal!$D:$D,"&gt;="&amp;TB_From,GL_Journal!$D:$D,"&lt;="&amp;TB_To))</f>
        <v/>
      </c>
      <c r="F237" s="43">
        <f>IF($A237="","",MAX($H237,0))</f>
        <v/>
      </c>
      <c r="G237" s="43">
        <f>IF($A237="","",MAX(-$H237,0))</f>
        <v/>
      </c>
      <c r="H237" s="47">
        <f>IF($A237="","",$C237+$D237-$E237)</f>
        <v/>
      </c>
      <c r="I237" s="44">
        <f>IF($A237="","",INDEX(COA!$E:$E,ROW()-10))</f>
        <v/>
      </c>
      <c r="J237" s="44">
        <f>IF($A237="","",INDEX(COA!$F:$F,ROW()-10))</f>
        <v/>
      </c>
      <c r="K237" s="32">
        <f>IF($A237="","",INDEX(COA!$P:$P,ROW()-10))</f>
        <v/>
      </c>
      <c r="L237" s="32">
        <f>IF($A237="","",INDEX(COA!$Q:$Q,ROW()-10))</f>
        <v/>
      </c>
      <c r="M237" s="32" t="inlineStr"/>
    </row>
    <row r="238">
      <c r="A238" s="44">
        <f>IF(INDEX(COA!$A:$A,ROW()-10)="","",INDEX(COA!$A:$A,ROW()-10))</f>
        <v/>
      </c>
      <c r="B238" s="32">
        <f>IF($A238="","",INDEX(COA!$B:$B,ROW()-10))</f>
        <v/>
      </c>
      <c r="C238" s="47">
        <f>IF($A238="","",(SUMIFS(GL_Journal!$S:$S,GL_Journal!$G:$G,"&gt;="&amp;$K238,GL_Journal!$G:$G,"&lt;="&amp;$L238,GL_Journal!$I:$I,TB_LOCC,GL_Journal!$J:$J,TB_CCC,GL_Journal!$D:$D,"&lt;"&amp;TB_From)-SUMIFS(GL_Journal!$T:$T,GL_Journal!$G:$G,"&gt;="&amp;$K238,GL_Journal!$G:$G,"&lt;="&amp;$L238,GL_Journal!$I:$I,TB_LOCC,GL_Journal!$J:$J,TB_CCC,GL_Journal!$D:$D,"&lt;"&amp;TB_From)))</f>
        <v/>
      </c>
      <c r="D238" s="43">
        <f>IF($A238="","",SUMIFS(GL_Journal!$S:$S,GL_Journal!$G:$G,"&gt;="&amp;$K238,GL_Journal!$G:$G,"&lt;="&amp;$L238,GL_Journal!$I:$I,TB_LOCC,GL_Journal!$J:$J,TB_CCC,GL_Journal!$D:$D,"&gt;="&amp;TB_From,GL_Journal!$D:$D,"&lt;="&amp;TB_To))</f>
        <v/>
      </c>
      <c r="E238" s="43">
        <f>IF($A238="","",SUMIFS(GL_Journal!$T:$T,GL_Journal!$G:$G,"&gt;="&amp;$K238,GL_Journal!$G:$G,"&lt;="&amp;$L238,GL_Journal!$I:$I,TB_LOCC,GL_Journal!$J:$J,TB_CCC,GL_Journal!$D:$D,"&gt;="&amp;TB_From,GL_Journal!$D:$D,"&lt;="&amp;TB_To))</f>
        <v/>
      </c>
      <c r="F238" s="43">
        <f>IF($A238="","",MAX($H238,0))</f>
        <v/>
      </c>
      <c r="G238" s="43">
        <f>IF($A238="","",MAX(-$H238,0))</f>
        <v/>
      </c>
      <c r="H238" s="47">
        <f>IF($A238="","",$C238+$D238-$E238)</f>
        <v/>
      </c>
      <c r="I238" s="44">
        <f>IF($A238="","",INDEX(COA!$E:$E,ROW()-10))</f>
        <v/>
      </c>
      <c r="J238" s="44">
        <f>IF($A238="","",INDEX(COA!$F:$F,ROW()-10))</f>
        <v/>
      </c>
      <c r="K238" s="32">
        <f>IF($A238="","",INDEX(COA!$P:$P,ROW()-10))</f>
        <v/>
      </c>
      <c r="L238" s="32">
        <f>IF($A238="","",INDEX(COA!$Q:$Q,ROW()-10))</f>
        <v/>
      </c>
      <c r="M238" s="32" t="inlineStr"/>
    </row>
    <row r="239">
      <c r="A239" s="44">
        <f>IF(INDEX(COA!$A:$A,ROW()-10)="","",INDEX(COA!$A:$A,ROW()-10))</f>
        <v/>
      </c>
      <c r="B239" s="32">
        <f>IF($A239="","",INDEX(COA!$B:$B,ROW()-10))</f>
        <v/>
      </c>
      <c r="C239" s="47">
        <f>IF($A239="","",(SUMIFS(GL_Journal!$S:$S,GL_Journal!$G:$G,"&gt;="&amp;$K239,GL_Journal!$G:$G,"&lt;="&amp;$L239,GL_Journal!$I:$I,TB_LOCC,GL_Journal!$J:$J,TB_CCC,GL_Journal!$D:$D,"&lt;"&amp;TB_From)-SUMIFS(GL_Journal!$T:$T,GL_Journal!$G:$G,"&gt;="&amp;$K239,GL_Journal!$G:$G,"&lt;="&amp;$L239,GL_Journal!$I:$I,TB_LOCC,GL_Journal!$J:$J,TB_CCC,GL_Journal!$D:$D,"&lt;"&amp;TB_From)))</f>
        <v/>
      </c>
      <c r="D239" s="43">
        <f>IF($A239="","",SUMIFS(GL_Journal!$S:$S,GL_Journal!$G:$G,"&gt;="&amp;$K239,GL_Journal!$G:$G,"&lt;="&amp;$L239,GL_Journal!$I:$I,TB_LOCC,GL_Journal!$J:$J,TB_CCC,GL_Journal!$D:$D,"&gt;="&amp;TB_From,GL_Journal!$D:$D,"&lt;="&amp;TB_To))</f>
        <v/>
      </c>
      <c r="E239" s="43">
        <f>IF($A239="","",SUMIFS(GL_Journal!$T:$T,GL_Journal!$G:$G,"&gt;="&amp;$K239,GL_Journal!$G:$G,"&lt;="&amp;$L239,GL_Journal!$I:$I,TB_LOCC,GL_Journal!$J:$J,TB_CCC,GL_Journal!$D:$D,"&gt;="&amp;TB_From,GL_Journal!$D:$D,"&lt;="&amp;TB_To))</f>
        <v/>
      </c>
      <c r="F239" s="43">
        <f>IF($A239="","",MAX($H239,0))</f>
        <v/>
      </c>
      <c r="G239" s="43">
        <f>IF($A239="","",MAX(-$H239,0))</f>
        <v/>
      </c>
      <c r="H239" s="47">
        <f>IF($A239="","",$C239+$D239-$E239)</f>
        <v/>
      </c>
      <c r="I239" s="44">
        <f>IF($A239="","",INDEX(COA!$E:$E,ROW()-10))</f>
        <v/>
      </c>
      <c r="J239" s="44">
        <f>IF($A239="","",INDEX(COA!$F:$F,ROW()-10))</f>
        <v/>
      </c>
      <c r="K239" s="32">
        <f>IF($A239="","",INDEX(COA!$P:$P,ROW()-10))</f>
        <v/>
      </c>
      <c r="L239" s="32">
        <f>IF($A239="","",INDEX(COA!$Q:$Q,ROW()-10))</f>
        <v/>
      </c>
      <c r="M239" s="32" t="inlineStr"/>
    </row>
    <row r="240">
      <c r="A240" s="44">
        <f>IF(INDEX(COA!$A:$A,ROW()-10)="","",INDEX(COA!$A:$A,ROW()-10))</f>
        <v/>
      </c>
      <c r="B240" s="32">
        <f>IF($A240="","",INDEX(COA!$B:$B,ROW()-10))</f>
        <v/>
      </c>
      <c r="C240" s="47">
        <f>IF($A240="","",(SUMIFS(GL_Journal!$S:$S,GL_Journal!$G:$G,"&gt;="&amp;$K240,GL_Journal!$G:$G,"&lt;="&amp;$L240,GL_Journal!$I:$I,TB_LOCC,GL_Journal!$J:$J,TB_CCC,GL_Journal!$D:$D,"&lt;"&amp;TB_From)-SUMIFS(GL_Journal!$T:$T,GL_Journal!$G:$G,"&gt;="&amp;$K240,GL_Journal!$G:$G,"&lt;="&amp;$L240,GL_Journal!$I:$I,TB_LOCC,GL_Journal!$J:$J,TB_CCC,GL_Journal!$D:$D,"&lt;"&amp;TB_From)))</f>
        <v/>
      </c>
      <c r="D240" s="43">
        <f>IF($A240="","",SUMIFS(GL_Journal!$S:$S,GL_Journal!$G:$G,"&gt;="&amp;$K240,GL_Journal!$G:$G,"&lt;="&amp;$L240,GL_Journal!$I:$I,TB_LOCC,GL_Journal!$J:$J,TB_CCC,GL_Journal!$D:$D,"&gt;="&amp;TB_From,GL_Journal!$D:$D,"&lt;="&amp;TB_To))</f>
        <v/>
      </c>
      <c r="E240" s="43">
        <f>IF($A240="","",SUMIFS(GL_Journal!$T:$T,GL_Journal!$G:$G,"&gt;="&amp;$K240,GL_Journal!$G:$G,"&lt;="&amp;$L240,GL_Journal!$I:$I,TB_LOCC,GL_Journal!$J:$J,TB_CCC,GL_Journal!$D:$D,"&gt;="&amp;TB_From,GL_Journal!$D:$D,"&lt;="&amp;TB_To))</f>
        <v/>
      </c>
      <c r="F240" s="43">
        <f>IF($A240="","",MAX($H240,0))</f>
        <v/>
      </c>
      <c r="G240" s="43">
        <f>IF($A240="","",MAX(-$H240,0))</f>
        <v/>
      </c>
      <c r="H240" s="47">
        <f>IF($A240="","",$C240+$D240-$E240)</f>
        <v/>
      </c>
      <c r="I240" s="44">
        <f>IF($A240="","",INDEX(COA!$E:$E,ROW()-10))</f>
        <v/>
      </c>
      <c r="J240" s="44">
        <f>IF($A240="","",INDEX(COA!$F:$F,ROW()-10))</f>
        <v/>
      </c>
      <c r="K240" s="32">
        <f>IF($A240="","",INDEX(COA!$P:$P,ROW()-10))</f>
        <v/>
      </c>
      <c r="L240" s="32">
        <f>IF($A240="","",INDEX(COA!$Q:$Q,ROW()-10))</f>
        <v/>
      </c>
      <c r="M240" s="32" t="inlineStr"/>
    </row>
    <row r="241">
      <c r="A241" s="44">
        <f>IF(INDEX(COA!$A:$A,ROW()-10)="","",INDEX(COA!$A:$A,ROW()-10))</f>
        <v/>
      </c>
      <c r="B241" s="32">
        <f>IF($A241="","",INDEX(COA!$B:$B,ROW()-10))</f>
        <v/>
      </c>
      <c r="C241" s="47">
        <f>IF($A241="","",(SUMIFS(GL_Journal!$S:$S,GL_Journal!$G:$G,"&gt;="&amp;$K241,GL_Journal!$G:$G,"&lt;="&amp;$L241,GL_Journal!$I:$I,TB_LOCC,GL_Journal!$J:$J,TB_CCC,GL_Journal!$D:$D,"&lt;"&amp;TB_From)-SUMIFS(GL_Journal!$T:$T,GL_Journal!$G:$G,"&gt;="&amp;$K241,GL_Journal!$G:$G,"&lt;="&amp;$L241,GL_Journal!$I:$I,TB_LOCC,GL_Journal!$J:$J,TB_CCC,GL_Journal!$D:$D,"&lt;"&amp;TB_From)))</f>
        <v/>
      </c>
      <c r="D241" s="43">
        <f>IF($A241="","",SUMIFS(GL_Journal!$S:$S,GL_Journal!$G:$G,"&gt;="&amp;$K241,GL_Journal!$G:$G,"&lt;="&amp;$L241,GL_Journal!$I:$I,TB_LOCC,GL_Journal!$J:$J,TB_CCC,GL_Journal!$D:$D,"&gt;="&amp;TB_From,GL_Journal!$D:$D,"&lt;="&amp;TB_To))</f>
        <v/>
      </c>
      <c r="E241" s="43">
        <f>IF($A241="","",SUMIFS(GL_Journal!$T:$T,GL_Journal!$G:$G,"&gt;="&amp;$K241,GL_Journal!$G:$G,"&lt;="&amp;$L241,GL_Journal!$I:$I,TB_LOCC,GL_Journal!$J:$J,TB_CCC,GL_Journal!$D:$D,"&gt;="&amp;TB_From,GL_Journal!$D:$D,"&lt;="&amp;TB_To))</f>
        <v/>
      </c>
      <c r="F241" s="43">
        <f>IF($A241="","",MAX($H241,0))</f>
        <v/>
      </c>
      <c r="G241" s="43">
        <f>IF($A241="","",MAX(-$H241,0))</f>
        <v/>
      </c>
      <c r="H241" s="47">
        <f>IF($A241="","",$C241+$D241-$E241)</f>
        <v/>
      </c>
      <c r="I241" s="44">
        <f>IF($A241="","",INDEX(COA!$E:$E,ROW()-10))</f>
        <v/>
      </c>
      <c r="J241" s="44">
        <f>IF($A241="","",INDEX(COA!$F:$F,ROW()-10))</f>
        <v/>
      </c>
      <c r="K241" s="32">
        <f>IF($A241="","",INDEX(COA!$P:$P,ROW()-10))</f>
        <v/>
      </c>
      <c r="L241" s="32">
        <f>IF($A241="","",INDEX(COA!$Q:$Q,ROW()-10))</f>
        <v/>
      </c>
      <c r="M241" s="32" t="inlineStr"/>
    </row>
    <row r="242">
      <c r="A242" s="44">
        <f>IF(INDEX(COA!$A:$A,ROW()-10)="","",INDEX(COA!$A:$A,ROW()-10))</f>
        <v/>
      </c>
      <c r="B242" s="32">
        <f>IF($A242="","",INDEX(COA!$B:$B,ROW()-10))</f>
        <v/>
      </c>
      <c r="C242" s="47">
        <f>IF($A242="","",(SUMIFS(GL_Journal!$S:$S,GL_Journal!$G:$G,"&gt;="&amp;$K242,GL_Journal!$G:$G,"&lt;="&amp;$L242,GL_Journal!$I:$I,TB_LOCC,GL_Journal!$J:$J,TB_CCC,GL_Journal!$D:$D,"&lt;"&amp;TB_From)-SUMIFS(GL_Journal!$T:$T,GL_Journal!$G:$G,"&gt;="&amp;$K242,GL_Journal!$G:$G,"&lt;="&amp;$L242,GL_Journal!$I:$I,TB_LOCC,GL_Journal!$J:$J,TB_CCC,GL_Journal!$D:$D,"&lt;"&amp;TB_From)))</f>
        <v/>
      </c>
      <c r="D242" s="43">
        <f>IF($A242="","",SUMIFS(GL_Journal!$S:$S,GL_Journal!$G:$G,"&gt;="&amp;$K242,GL_Journal!$G:$G,"&lt;="&amp;$L242,GL_Journal!$I:$I,TB_LOCC,GL_Journal!$J:$J,TB_CCC,GL_Journal!$D:$D,"&gt;="&amp;TB_From,GL_Journal!$D:$D,"&lt;="&amp;TB_To))</f>
        <v/>
      </c>
      <c r="E242" s="43">
        <f>IF($A242="","",SUMIFS(GL_Journal!$T:$T,GL_Journal!$G:$G,"&gt;="&amp;$K242,GL_Journal!$G:$G,"&lt;="&amp;$L242,GL_Journal!$I:$I,TB_LOCC,GL_Journal!$J:$J,TB_CCC,GL_Journal!$D:$D,"&gt;="&amp;TB_From,GL_Journal!$D:$D,"&lt;="&amp;TB_To))</f>
        <v/>
      </c>
      <c r="F242" s="43">
        <f>IF($A242="","",MAX($H242,0))</f>
        <v/>
      </c>
      <c r="G242" s="43">
        <f>IF($A242="","",MAX(-$H242,0))</f>
        <v/>
      </c>
      <c r="H242" s="47">
        <f>IF($A242="","",$C242+$D242-$E242)</f>
        <v/>
      </c>
      <c r="I242" s="44">
        <f>IF($A242="","",INDEX(COA!$E:$E,ROW()-10))</f>
        <v/>
      </c>
      <c r="J242" s="44">
        <f>IF($A242="","",INDEX(COA!$F:$F,ROW()-10))</f>
        <v/>
      </c>
      <c r="K242" s="32">
        <f>IF($A242="","",INDEX(COA!$P:$P,ROW()-10))</f>
        <v/>
      </c>
      <c r="L242" s="32">
        <f>IF($A242="","",INDEX(COA!$Q:$Q,ROW()-10))</f>
        <v/>
      </c>
      <c r="M242" s="32" t="inlineStr"/>
    </row>
    <row r="243">
      <c r="A243" s="44">
        <f>IF(INDEX(COA!$A:$A,ROW()-10)="","",INDEX(COA!$A:$A,ROW()-10))</f>
        <v/>
      </c>
      <c r="B243" s="32">
        <f>IF($A243="","",INDEX(COA!$B:$B,ROW()-10))</f>
        <v/>
      </c>
      <c r="C243" s="47">
        <f>IF($A243="","",(SUMIFS(GL_Journal!$S:$S,GL_Journal!$G:$G,"&gt;="&amp;$K243,GL_Journal!$G:$G,"&lt;="&amp;$L243,GL_Journal!$I:$I,TB_LOCC,GL_Journal!$J:$J,TB_CCC,GL_Journal!$D:$D,"&lt;"&amp;TB_From)-SUMIFS(GL_Journal!$T:$T,GL_Journal!$G:$G,"&gt;="&amp;$K243,GL_Journal!$G:$G,"&lt;="&amp;$L243,GL_Journal!$I:$I,TB_LOCC,GL_Journal!$J:$J,TB_CCC,GL_Journal!$D:$D,"&lt;"&amp;TB_From)))</f>
        <v/>
      </c>
      <c r="D243" s="43">
        <f>IF($A243="","",SUMIFS(GL_Journal!$S:$S,GL_Journal!$G:$G,"&gt;="&amp;$K243,GL_Journal!$G:$G,"&lt;="&amp;$L243,GL_Journal!$I:$I,TB_LOCC,GL_Journal!$J:$J,TB_CCC,GL_Journal!$D:$D,"&gt;="&amp;TB_From,GL_Journal!$D:$D,"&lt;="&amp;TB_To))</f>
        <v/>
      </c>
      <c r="E243" s="43">
        <f>IF($A243="","",SUMIFS(GL_Journal!$T:$T,GL_Journal!$G:$G,"&gt;="&amp;$K243,GL_Journal!$G:$G,"&lt;="&amp;$L243,GL_Journal!$I:$I,TB_LOCC,GL_Journal!$J:$J,TB_CCC,GL_Journal!$D:$D,"&gt;="&amp;TB_From,GL_Journal!$D:$D,"&lt;="&amp;TB_To))</f>
        <v/>
      </c>
      <c r="F243" s="43">
        <f>IF($A243="","",MAX($H243,0))</f>
        <v/>
      </c>
      <c r="G243" s="43">
        <f>IF($A243="","",MAX(-$H243,0))</f>
        <v/>
      </c>
      <c r="H243" s="47">
        <f>IF($A243="","",$C243+$D243-$E243)</f>
        <v/>
      </c>
      <c r="I243" s="44">
        <f>IF($A243="","",INDEX(COA!$E:$E,ROW()-10))</f>
        <v/>
      </c>
      <c r="J243" s="44">
        <f>IF($A243="","",INDEX(COA!$F:$F,ROW()-10))</f>
        <v/>
      </c>
      <c r="K243" s="32">
        <f>IF($A243="","",INDEX(COA!$P:$P,ROW()-10))</f>
        <v/>
      </c>
      <c r="L243" s="32">
        <f>IF($A243="","",INDEX(COA!$Q:$Q,ROW()-10))</f>
        <v/>
      </c>
      <c r="M243" s="32" t="inlineStr"/>
    </row>
    <row r="244">
      <c r="A244" s="44">
        <f>IF(INDEX(COA!$A:$A,ROW()-10)="","",INDEX(COA!$A:$A,ROW()-10))</f>
        <v/>
      </c>
      <c r="B244" s="32">
        <f>IF($A244="","",INDEX(COA!$B:$B,ROW()-10))</f>
        <v/>
      </c>
      <c r="C244" s="47">
        <f>IF($A244="","",(SUMIFS(GL_Journal!$S:$S,GL_Journal!$G:$G,"&gt;="&amp;$K244,GL_Journal!$G:$G,"&lt;="&amp;$L244,GL_Journal!$I:$I,TB_LOCC,GL_Journal!$J:$J,TB_CCC,GL_Journal!$D:$D,"&lt;"&amp;TB_From)-SUMIFS(GL_Journal!$T:$T,GL_Journal!$G:$G,"&gt;="&amp;$K244,GL_Journal!$G:$G,"&lt;="&amp;$L244,GL_Journal!$I:$I,TB_LOCC,GL_Journal!$J:$J,TB_CCC,GL_Journal!$D:$D,"&lt;"&amp;TB_From)))</f>
        <v/>
      </c>
      <c r="D244" s="43">
        <f>IF($A244="","",SUMIFS(GL_Journal!$S:$S,GL_Journal!$G:$G,"&gt;="&amp;$K244,GL_Journal!$G:$G,"&lt;="&amp;$L244,GL_Journal!$I:$I,TB_LOCC,GL_Journal!$J:$J,TB_CCC,GL_Journal!$D:$D,"&gt;="&amp;TB_From,GL_Journal!$D:$D,"&lt;="&amp;TB_To))</f>
        <v/>
      </c>
      <c r="E244" s="43">
        <f>IF($A244="","",SUMIFS(GL_Journal!$T:$T,GL_Journal!$G:$G,"&gt;="&amp;$K244,GL_Journal!$G:$G,"&lt;="&amp;$L244,GL_Journal!$I:$I,TB_LOCC,GL_Journal!$J:$J,TB_CCC,GL_Journal!$D:$D,"&gt;="&amp;TB_From,GL_Journal!$D:$D,"&lt;="&amp;TB_To))</f>
        <v/>
      </c>
      <c r="F244" s="43">
        <f>IF($A244="","",MAX($H244,0))</f>
        <v/>
      </c>
      <c r="G244" s="43">
        <f>IF($A244="","",MAX(-$H244,0))</f>
        <v/>
      </c>
      <c r="H244" s="47">
        <f>IF($A244="","",$C244+$D244-$E244)</f>
        <v/>
      </c>
      <c r="I244" s="44">
        <f>IF($A244="","",INDEX(COA!$E:$E,ROW()-10))</f>
        <v/>
      </c>
      <c r="J244" s="44">
        <f>IF($A244="","",INDEX(COA!$F:$F,ROW()-10))</f>
        <v/>
      </c>
      <c r="K244" s="32">
        <f>IF($A244="","",INDEX(COA!$P:$P,ROW()-10))</f>
        <v/>
      </c>
      <c r="L244" s="32">
        <f>IF($A244="","",INDEX(COA!$Q:$Q,ROW()-10))</f>
        <v/>
      </c>
      <c r="M244" s="32" t="inlineStr"/>
    </row>
    <row r="245">
      <c r="A245" s="44">
        <f>IF(INDEX(COA!$A:$A,ROW()-10)="","",INDEX(COA!$A:$A,ROW()-10))</f>
        <v/>
      </c>
      <c r="B245" s="32">
        <f>IF($A245="","",INDEX(COA!$B:$B,ROW()-10))</f>
        <v/>
      </c>
      <c r="C245" s="47">
        <f>IF($A245="","",(SUMIFS(GL_Journal!$S:$S,GL_Journal!$G:$G,"&gt;="&amp;$K245,GL_Journal!$G:$G,"&lt;="&amp;$L245,GL_Journal!$I:$I,TB_LOCC,GL_Journal!$J:$J,TB_CCC,GL_Journal!$D:$D,"&lt;"&amp;TB_From)-SUMIFS(GL_Journal!$T:$T,GL_Journal!$G:$G,"&gt;="&amp;$K245,GL_Journal!$G:$G,"&lt;="&amp;$L245,GL_Journal!$I:$I,TB_LOCC,GL_Journal!$J:$J,TB_CCC,GL_Journal!$D:$D,"&lt;"&amp;TB_From)))</f>
        <v/>
      </c>
      <c r="D245" s="43">
        <f>IF($A245="","",SUMIFS(GL_Journal!$S:$S,GL_Journal!$G:$G,"&gt;="&amp;$K245,GL_Journal!$G:$G,"&lt;="&amp;$L245,GL_Journal!$I:$I,TB_LOCC,GL_Journal!$J:$J,TB_CCC,GL_Journal!$D:$D,"&gt;="&amp;TB_From,GL_Journal!$D:$D,"&lt;="&amp;TB_To))</f>
        <v/>
      </c>
      <c r="E245" s="43">
        <f>IF($A245="","",SUMIFS(GL_Journal!$T:$T,GL_Journal!$G:$G,"&gt;="&amp;$K245,GL_Journal!$G:$G,"&lt;="&amp;$L245,GL_Journal!$I:$I,TB_LOCC,GL_Journal!$J:$J,TB_CCC,GL_Journal!$D:$D,"&gt;="&amp;TB_From,GL_Journal!$D:$D,"&lt;="&amp;TB_To))</f>
        <v/>
      </c>
      <c r="F245" s="43">
        <f>IF($A245="","",MAX($H245,0))</f>
        <v/>
      </c>
      <c r="G245" s="43">
        <f>IF($A245="","",MAX(-$H245,0))</f>
        <v/>
      </c>
      <c r="H245" s="47">
        <f>IF($A245="","",$C245+$D245-$E245)</f>
        <v/>
      </c>
      <c r="I245" s="44">
        <f>IF($A245="","",INDEX(COA!$E:$E,ROW()-10))</f>
        <v/>
      </c>
      <c r="J245" s="44">
        <f>IF($A245="","",INDEX(COA!$F:$F,ROW()-10))</f>
        <v/>
      </c>
      <c r="K245" s="32">
        <f>IF($A245="","",INDEX(COA!$P:$P,ROW()-10))</f>
        <v/>
      </c>
      <c r="L245" s="32">
        <f>IF($A245="","",INDEX(COA!$Q:$Q,ROW()-10))</f>
        <v/>
      </c>
      <c r="M245" s="32" t="inlineStr"/>
    </row>
    <row r="246">
      <c r="A246" s="44">
        <f>IF(INDEX(COA!$A:$A,ROW()-10)="","",INDEX(COA!$A:$A,ROW()-10))</f>
        <v/>
      </c>
      <c r="B246" s="32">
        <f>IF($A246="","",INDEX(COA!$B:$B,ROW()-10))</f>
        <v/>
      </c>
      <c r="C246" s="47">
        <f>IF($A246="","",(SUMIFS(GL_Journal!$S:$S,GL_Journal!$G:$G,"&gt;="&amp;$K246,GL_Journal!$G:$G,"&lt;="&amp;$L246,GL_Journal!$I:$I,TB_LOCC,GL_Journal!$J:$J,TB_CCC,GL_Journal!$D:$D,"&lt;"&amp;TB_From)-SUMIFS(GL_Journal!$T:$T,GL_Journal!$G:$G,"&gt;="&amp;$K246,GL_Journal!$G:$G,"&lt;="&amp;$L246,GL_Journal!$I:$I,TB_LOCC,GL_Journal!$J:$J,TB_CCC,GL_Journal!$D:$D,"&lt;"&amp;TB_From)))</f>
        <v/>
      </c>
      <c r="D246" s="43">
        <f>IF($A246="","",SUMIFS(GL_Journal!$S:$S,GL_Journal!$G:$G,"&gt;="&amp;$K246,GL_Journal!$G:$G,"&lt;="&amp;$L246,GL_Journal!$I:$I,TB_LOCC,GL_Journal!$J:$J,TB_CCC,GL_Journal!$D:$D,"&gt;="&amp;TB_From,GL_Journal!$D:$D,"&lt;="&amp;TB_To))</f>
        <v/>
      </c>
      <c r="E246" s="43">
        <f>IF($A246="","",SUMIFS(GL_Journal!$T:$T,GL_Journal!$G:$G,"&gt;="&amp;$K246,GL_Journal!$G:$G,"&lt;="&amp;$L246,GL_Journal!$I:$I,TB_LOCC,GL_Journal!$J:$J,TB_CCC,GL_Journal!$D:$D,"&gt;="&amp;TB_From,GL_Journal!$D:$D,"&lt;="&amp;TB_To))</f>
        <v/>
      </c>
      <c r="F246" s="43">
        <f>IF($A246="","",MAX($H246,0))</f>
        <v/>
      </c>
      <c r="G246" s="43">
        <f>IF($A246="","",MAX(-$H246,0))</f>
        <v/>
      </c>
      <c r="H246" s="47">
        <f>IF($A246="","",$C246+$D246-$E246)</f>
        <v/>
      </c>
      <c r="I246" s="44">
        <f>IF($A246="","",INDEX(COA!$E:$E,ROW()-10))</f>
        <v/>
      </c>
      <c r="J246" s="44">
        <f>IF($A246="","",INDEX(COA!$F:$F,ROW()-10))</f>
        <v/>
      </c>
      <c r="K246" s="32">
        <f>IF($A246="","",INDEX(COA!$P:$P,ROW()-10))</f>
        <v/>
      </c>
      <c r="L246" s="32">
        <f>IF($A246="","",INDEX(COA!$Q:$Q,ROW()-10))</f>
        <v/>
      </c>
      <c r="M246" s="32" t="inlineStr"/>
    </row>
    <row r="247">
      <c r="A247" s="44">
        <f>IF(INDEX(COA!$A:$A,ROW()-10)="","",INDEX(COA!$A:$A,ROW()-10))</f>
        <v/>
      </c>
      <c r="B247" s="32">
        <f>IF($A247="","",INDEX(COA!$B:$B,ROW()-10))</f>
        <v/>
      </c>
      <c r="C247" s="47">
        <f>IF($A247="","",(SUMIFS(GL_Journal!$S:$S,GL_Journal!$G:$G,"&gt;="&amp;$K247,GL_Journal!$G:$G,"&lt;="&amp;$L247,GL_Journal!$I:$I,TB_LOCC,GL_Journal!$J:$J,TB_CCC,GL_Journal!$D:$D,"&lt;"&amp;TB_From)-SUMIFS(GL_Journal!$T:$T,GL_Journal!$G:$G,"&gt;="&amp;$K247,GL_Journal!$G:$G,"&lt;="&amp;$L247,GL_Journal!$I:$I,TB_LOCC,GL_Journal!$J:$J,TB_CCC,GL_Journal!$D:$D,"&lt;"&amp;TB_From)))</f>
        <v/>
      </c>
      <c r="D247" s="43">
        <f>IF($A247="","",SUMIFS(GL_Journal!$S:$S,GL_Journal!$G:$G,"&gt;="&amp;$K247,GL_Journal!$G:$G,"&lt;="&amp;$L247,GL_Journal!$I:$I,TB_LOCC,GL_Journal!$J:$J,TB_CCC,GL_Journal!$D:$D,"&gt;="&amp;TB_From,GL_Journal!$D:$D,"&lt;="&amp;TB_To))</f>
        <v/>
      </c>
      <c r="E247" s="43">
        <f>IF($A247="","",SUMIFS(GL_Journal!$T:$T,GL_Journal!$G:$G,"&gt;="&amp;$K247,GL_Journal!$G:$G,"&lt;="&amp;$L247,GL_Journal!$I:$I,TB_LOCC,GL_Journal!$J:$J,TB_CCC,GL_Journal!$D:$D,"&gt;="&amp;TB_From,GL_Journal!$D:$D,"&lt;="&amp;TB_To))</f>
        <v/>
      </c>
      <c r="F247" s="43">
        <f>IF($A247="","",MAX($H247,0))</f>
        <v/>
      </c>
      <c r="G247" s="43">
        <f>IF($A247="","",MAX(-$H247,0))</f>
        <v/>
      </c>
      <c r="H247" s="47">
        <f>IF($A247="","",$C247+$D247-$E247)</f>
        <v/>
      </c>
      <c r="I247" s="44">
        <f>IF($A247="","",INDEX(COA!$E:$E,ROW()-10))</f>
        <v/>
      </c>
      <c r="J247" s="44">
        <f>IF($A247="","",INDEX(COA!$F:$F,ROW()-10))</f>
        <v/>
      </c>
      <c r="K247" s="32">
        <f>IF($A247="","",INDEX(COA!$P:$P,ROW()-10))</f>
        <v/>
      </c>
      <c r="L247" s="32">
        <f>IF($A247="","",INDEX(COA!$Q:$Q,ROW()-10))</f>
        <v/>
      </c>
      <c r="M247" s="32" t="inlineStr"/>
    </row>
    <row r="248">
      <c r="A248" s="44">
        <f>IF(INDEX(COA!$A:$A,ROW()-10)="","",INDEX(COA!$A:$A,ROW()-10))</f>
        <v/>
      </c>
      <c r="B248" s="32">
        <f>IF($A248="","",INDEX(COA!$B:$B,ROW()-10))</f>
        <v/>
      </c>
      <c r="C248" s="47">
        <f>IF($A248="","",(SUMIFS(GL_Journal!$S:$S,GL_Journal!$G:$G,"&gt;="&amp;$K248,GL_Journal!$G:$G,"&lt;="&amp;$L248,GL_Journal!$I:$I,TB_LOCC,GL_Journal!$J:$J,TB_CCC,GL_Journal!$D:$D,"&lt;"&amp;TB_From)-SUMIFS(GL_Journal!$T:$T,GL_Journal!$G:$G,"&gt;="&amp;$K248,GL_Journal!$G:$G,"&lt;="&amp;$L248,GL_Journal!$I:$I,TB_LOCC,GL_Journal!$J:$J,TB_CCC,GL_Journal!$D:$D,"&lt;"&amp;TB_From)))</f>
        <v/>
      </c>
      <c r="D248" s="43">
        <f>IF($A248="","",SUMIFS(GL_Journal!$S:$S,GL_Journal!$G:$G,"&gt;="&amp;$K248,GL_Journal!$G:$G,"&lt;="&amp;$L248,GL_Journal!$I:$I,TB_LOCC,GL_Journal!$J:$J,TB_CCC,GL_Journal!$D:$D,"&gt;="&amp;TB_From,GL_Journal!$D:$D,"&lt;="&amp;TB_To))</f>
        <v/>
      </c>
      <c r="E248" s="43">
        <f>IF($A248="","",SUMIFS(GL_Journal!$T:$T,GL_Journal!$G:$G,"&gt;="&amp;$K248,GL_Journal!$G:$G,"&lt;="&amp;$L248,GL_Journal!$I:$I,TB_LOCC,GL_Journal!$J:$J,TB_CCC,GL_Journal!$D:$D,"&gt;="&amp;TB_From,GL_Journal!$D:$D,"&lt;="&amp;TB_To))</f>
        <v/>
      </c>
      <c r="F248" s="43">
        <f>IF($A248="","",MAX($H248,0))</f>
        <v/>
      </c>
      <c r="G248" s="43">
        <f>IF($A248="","",MAX(-$H248,0))</f>
        <v/>
      </c>
      <c r="H248" s="47">
        <f>IF($A248="","",$C248+$D248-$E248)</f>
        <v/>
      </c>
      <c r="I248" s="44">
        <f>IF($A248="","",INDEX(COA!$E:$E,ROW()-10))</f>
        <v/>
      </c>
      <c r="J248" s="44">
        <f>IF($A248="","",INDEX(COA!$F:$F,ROW()-10))</f>
        <v/>
      </c>
      <c r="K248" s="32">
        <f>IF($A248="","",INDEX(COA!$P:$P,ROW()-10))</f>
        <v/>
      </c>
      <c r="L248" s="32">
        <f>IF($A248="","",INDEX(COA!$Q:$Q,ROW()-10))</f>
        <v/>
      </c>
      <c r="M248" s="32" t="inlineStr"/>
    </row>
    <row r="249">
      <c r="A249" s="44">
        <f>IF(INDEX(COA!$A:$A,ROW()-10)="","",INDEX(COA!$A:$A,ROW()-10))</f>
        <v/>
      </c>
      <c r="B249" s="32">
        <f>IF($A249="","",INDEX(COA!$B:$B,ROW()-10))</f>
        <v/>
      </c>
      <c r="C249" s="47">
        <f>IF($A249="","",(SUMIFS(GL_Journal!$S:$S,GL_Journal!$G:$G,"&gt;="&amp;$K249,GL_Journal!$G:$G,"&lt;="&amp;$L249,GL_Journal!$I:$I,TB_LOCC,GL_Journal!$J:$J,TB_CCC,GL_Journal!$D:$D,"&lt;"&amp;TB_From)-SUMIFS(GL_Journal!$T:$T,GL_Journal!$G:$G,"&gt;="&amp;$K249,GL_Journal!$G:$G,"&lt;="&amp;$L249,GL_Journal!$I:$I,TB_LOCC,GL_Journal!$J:$J,TB_CCC,GL_Journal!$D:$D,"&lt;"&amp;TB_From)))</f>
        <v/>
      </c>
      <c r="D249" s="43">
        <f>IF($A249="","",SUMIFS(GL_Journal!$S:$S,GL_Journal!$G:$G,"&gt;="&amp;$K249,GL_Journal!$G:$G,"&lt;="&amp;$L249,GL_Journal!$I:$I,TB_LOCC,GL_Journal!$J:$J,TB_CCC,GL_Journal!$D:$D,"&gt;="&amp;TB_From,GL_Journal!$D:$D,"&lt;="&amp;TB_To))</f>
        <v/>
      </c>
      <c r="E249" s="43">
        <f>IF($A249="","",SUMIFS(GL_Journal!$T:$T,GL_Journal!$G:$G,"&gt;="&amp;$K249,GL_Journal!$G:$G,"&lt;="&amp;$L249,GL_Journal!$I:$I,TB_LOCC,GL_Journal!$J:$J,TB_CCC,GL_Journal!$D:$D,"&gt;="&amp;TB_From,GL_Journal!$D:$D,"&lt;="&amp;TB_To))</f>
        <v/>
      </c>
      <c r="F249" s="43">
        <f>IF($A249="","",MAX($H249,0))</f>
        <v/>
      </c>
      <c r="G249" s="43">
        <f>IF($A249="","",MAX(-$H249,0))</f>
        <v/>
      </c>
      <c r="H249" s="47">
        <f>IF($A249="","",$C249+$D249-$E249)</f>
        <v/>
      </c>
      <c r="I249" s="44">
        <f>IF($A249="","",INDEX(COA!$E:$E,ROW()-10))</f>
        <v/>
      </c>
      <c r="J249" s="44">
        <f>IF($A249="","",INDEX(COA!$F:$F,ROW()-10))</f>
        <v/>
      </c>
      <c r="K249" s="32">
        <f>IF($A249="","",INDEX(COA!$P:$P,ROW()-10))</f>
        <v/>
      </c>
      <c r="L249" s="32">
        <f>IF($A249="","",INDEX(COA!$Q:$Q,ROW()-10))</f>
        <v/>
      </c>
      <c r="M249" s="32" t="inlineStr"/>
    </row>
    <row r="250">
      <c r="A250" s="44">
        <f>IF(INDEX(COA!$A:$A,ROW()-10)="","",INDEX(COA!$A:$A,ROW()-10))</f>
        <v/>
      </c>
      <c r="B250" s="32">
        <f>IF($A250="","",INDEX(COA!$B:$B,ROW()-10))</f>
        <v/>
      </c>
      <c r="C250" s="47">
        <f>IF($A250="","",(SUMIFS(GL_Journal!$S:$S,GL_Journal!$G:$G,"&gt;="&amp;$K250,GL_Journal!$G:$G,"&lt;="&amp;$L250,GL_Journal!$I:$I,TB_LOCC,GL_Journal!$J:$J,TB_CCC,GL_Journal!$D:$D,"&lt;"&amp;TB_From)-SUMIFS(GL_Journal!$T:$T,GL_Journal!$G:$G,"&gt;="&amp;$K250,GL_Journal!$G:$G,"&lt;="&amp;$L250,GL_Journal!$I:$I,TB_LOCC,GL_Journal!$J:$J,TB_CCC,GL_Journal!$D:$D,"&lt;"&amp;TB_From)))</f>
        <v/>
      </c>
      <c r="D250" s="43">
        <f>IF($A250="","",SUMIFS(GL_Journal!$S:$S,GL_Journal!$G:$G,"&gt;="&amp;$K250,GL_Journal!$G:$G,"&lt;="&amp;$L250,GL_Journal!$I:$I,TB_LOCC,GL_Journal!$J:$J,TB_CCC,GL_Journal!$D:$D,"&gt;="&amp;TB_From,GL_Journal!$D:$D,"&lt;="&amp;TB_To))</f>
        <v/>
      </c>
      <c r="E250" s="43">
        <f>IF($A250="","",SUMIFS(GL_Journal!$T:$T,GL_Journal!$G:$G,"&gt;="&amp;$K250,GL_Journal!$G:$G,"&lt;="&amp;$L250,GL_Journal!$I:$I,TB_LOCC,GL_Journal!$J:$J,TB_CCC,GL_Journal!$D:$D,"&gt;="&amp;TB_From,GL_Journal!$D:$D,"&lt;="&amp;TB_To))</f>
        <v/>
      </c>
      <c r="F250" s="43">
        <f>IF($A250="","",MAX($H250,0))</f>
        <v/>
      </c>
      <c r="G250" s="43">
        <f>IF($A250="","",MAX(-$H250,0))</f>
        <v/>
      </c>
      <c r="H250" s="47">
        <f>IF($A250="","",$C250+$D250-$E250)</f>
        <v/>
      </c>
      <c r="I250" s="44">
        <f>IF($A250="","",INDEX(COA!$E:$E,ROW()-10))</f>
        <v/>
      </c>
      <c r="J250" s="44">
        <f>IF($A250="","",INDEX(COA!$F:$F,ROW()-10))</f>
        <v/>
      </c>
      <c r="K250" s="32">
        <f>IF($A250="","",INDEX(COA!$P:$P,ROW()-10))</f>
        <v/>
      </c>
      <c r="L250" s="32">
        <f>IF($A250="","",INDEX(COA!$Q:$Q,ROW()-10))</f>
        <v/>
      </c>
      <c r="M250" s="32" t="inlineStr"/>
    </row>
    <row r="251">
      <c r="A251" s="44">
        <f>IF(INDEX(COA!$A:$A,ROW()-10)="","",INDEX(COA!$A:$A,ROW()-10))</f>
        <v/>
      </c>
      <c r="B251" s="32">
        <f>IF($A251="","",INDEX(COA!$B:$B,ROW()-10))</f>
        <v/>
      </c>
      <c r="C251" s="47">
        <f>IF($A251="","",(SUMIFS(GL_Journal!$S:$S,GL_Journal!$G:$G,"&gt;="&amp;$K251,GL_Journal!$G:$G,"&lt;="&amp;$L251,GL_Journal!$I:$I,TB_LOCC,GL_Journal!$J:$J,TB_CCC,GL_Journal!$D:$D,"&lt;"&amp;TB_From)-SUMIFS(GL_Journal!$T:$T,GL_Journal!$G:$G,"&gt;="&amp;$K251,GL_Journal!$G:$G,"&lt;="&amp;$L251,GL_Journal!$I:$I,TB_LOCC,GL_Journal!$J:$J,TB_CCC,GL_Journal!$D:$D,"&lt;"&amp;TB_From)))</f>
        <v/>
      </c>
      <c r="D251" s="43">
        <f>IF($A251="","",SUMIFS(GL_Journal!$S:$S,GL_Journal!$G:$G,"&gt;="&amp;$K251,GL_Journal!$G:$G,"&lt;="&amp;$L251,GL_Journal!$I:$I,TB_LOCC,GL_Journal!$J:$J,TB_CCC,GL_Journal!$D:$D,"&gt;="&amp;TB_From,GL_Journal!$D:$D,"&lt;="&amp;TB_To))</f>
        <v/>
      </c>
      <c r="E251" s="43">
        <f>IF($A251="","",SUMIFS(GL_Journal!$T:$T,GL_Journal!$G:$G,"&gt;="&amp;$K251,GL_Journal!$G:$G,"&lt;="&amp;$L251,GL_Journal!$I:$I,TB_LOCC,GL_Journal!$J:$J,TB_CCC,GL_Journal!$D:$D,"&gt;="&amp;TB_From,GL_Journal!$D:$D,"&lt;="&amp;TB_To))</f>
        <v/>
      </c>
      <c r="F251" s="43">
        <f>IF($A251="","",MAX($H251,0))</f>
        <v/>
      </c>
      <c r="G251" s="43">
        <f>IF($A251="","",MAX(-$H251,0))</f>
        <v/>
      </c>
      <c r="H251" s="47">
        <f>IF($A251="","",$C251+$D251-$E251)</f>
        <v/>
      </c>
      <c r="I251" s="44">
        <f>IF($A251="","",INDEX(COA!$E:$E,ROW()-10))</f>
        <v/>
      </c>
      <c r="J251" s="44">
        <f>IF($A251="","",INDEX(COA!$F:$F,ROW()-10))</f>
        <v/>
      </c>
      <c r="K251" s="32">
        <f>IF($A251="","",INDEX(COA!$P:$P,ROW()-10))</f>
        <v/>
      </c>
      <c r="L251" s="32">
        <f>IF($A251="","",INDEX(COA!$Q:$Q,ROW()-10))</f>
        <v/>
      </c>
      <c r="M251" s="32" t="inlineStr"/>
    </row>
    <row r="252">
      <c r="A252" s="44">
        <f>IF(INDEX(COA!$A:$A,ROW()-10)="","",INDEX(COA!$A:$A,ROW()-10))</f>
        <v/>
      </c>
      <c r="B252" s="32">
        <f>IF($A252="","",INDEX(COA!$B:$B,ROW()-10))</f>
        <v/>
      </c>
      <c r="C252" s="47">
        <f>IF($A252="","",(SUMIFS(GL_Journal!$S:$S,GL_Journal!$G:$G,"&gt;="&amp;$K252,GL_Journal!$G:$G,"&lt;="&amp;$L252,GL_Journal!$I:$I,TB_LOCC,GL_Journal!$J:$J,TB_CCC,GL_Journal!$D:$D,"&lt;"&amp;TB_From)-SUMIFS(GL_Journal!$T:$T,GL_Journal!$G:$G,"&gt;="&amp;$K252,GL_Journal!$G:$G,"&lt;="&amp;$L252,GL_Journal!$I:$I,TB_LOCC,GL_Journal!$J:$J,TB_CCC,GL_Journal!$D:$D,"&lt;"&amp;TB_From)))</f>
        <v/>
      </c>
      <c r="D252" s="43">
        <f>IF($A252="","",SUMIFS(GL_Journal!$S:$S,GL_Journal!$G:$G,"&gt;="&amp;$K252,GL_Journal!$G:$G,"&lt;="&amp;$L252,GL_Journal!$I:$I,TB_LOCC,GL_Journal!$J:$J,TB_CCC,GL_Journal!$D:$D,"&gt;="&amp;TB_From,GL_Journal!$D:$D,"&lt;="&amp;TB_To))</f>
        <v/>
      </c>
      <c r="E252" s="43">
        <f>IF($A252="","",SUMIFS(GL_Journal!$T:$T,GL_Journal!$G:$G,"&gt;="&amp;$K252,GL_Journal!$G:$G,"&lt;="&amp;$L252,GL_Journal!$I:$I,TB_LOCC,GL_Journal!$J:$J,TB_CCC,GL_Journal!$D:$D,"&gt;="&amp;TB_From,GL_Journal!$D:$D,"&lt;="&amp;TB_To))</f>
        <v/>
      </c>
      <c r="F252" s="43">
        <f>IF($A252="","",MAX($H252,0))</f>
        <v/>
      </c>
      <c r="G252" s="43">
        <f>IF($A252="","",MAX(-$H252,0))</f>
        <v/>
      </c>
      <c r="H252" s="47">
        <f>IF($A252="","",$C252+$D252-$E252)</f>
        <v/>
      </c>
      <c r="I252" s="44">
        <f>IF($A252="","",INDEX(COA!$E:$E,ROW()-10))</f>
        <v/>
      </c>
      <c r="J252" s="44">
        <f>IF($A252="","",INDEX(COA!$F:$F,ROW()-10))</f>
        <v/>
      </c>
      <c r="K252" s="32">
        <f>IF($A252="","",INDEX(COA!$P:$P,ROW()-10))</f>
        <v/>
      </c>
      <c r="L252" s="32">
        <f>IF($A252="","",INDEX(COA!$Q:$Q,ROW()-10))</f>
        <v/>
      </c>
      <c r="M252" s="32" t="inlineStr"/>
    </row>
    <row r="253">
      <c r="A253" s="44">
        <f>IF(INDEX(COA!$A:$A,ROW()-10)="","",INDEX(COA!$A:$A,ROW()-10))</f>
        <v/>
      </c>
      <c r="B253" s="32">
        <f>IF($A253="","",INDEX(COA!$B:$B,ROW()-10))</f>
        <v/>
      </c>
      <c r="C253" s="47">
        <f>IF($A253="","",(SUMIFS(GL_Journal!$S:$S,GL_Journal!$G:$G,"&gt;="&amp;$K253,GL_Journal!$G:$G,"&lt;="&amp;$L253,GL_Journal!$I:$I,TB_LOCC,GL_Journal!$J:$J,TB_CCC,GL_Journal!$D:$D,"&lt;"&amp;TB_From)-SUMIFS(GL_Journal!$T:$T,GL_Journal!$G:$G,"&gt;="&amp;$K253,GL_Journal!$G:$G,"&lt;="&amp;$L253,GL_Journal!$I:$I,TB_LOCC,GL_Journal!$J:$J,TB_CCC,GL_Journal!$D:$D,"&lt;"&amp;TB_From)))</f>
        <v/>
      </c>
      <c r="D253" s="43">
        <f>IF($A253="","",SUMIFS(GL_Journal!$S:$S,GL_Journal!$G:$G,"&gt;="&amp;$K253,GL_Journal!$G:$G,"&lt;="&amp;$L253,GL_Journal!$I:$I,TB_LOCC,GL_Journal!$J:$J,TB_CCC,GL_Journal!$D:$D,"&gt;="&amp;TB_From,GL_Journal!$D:$D,"&lt;="&amp;TB_To))</f>
        <v/>
      </c>
      <c r="E253" s="43">
        <f>IF($A253="","",SUMIFS(GL_Journal!$T:$T,GL_Journal!$G:$G,"&gt;="&amp;$K253,GL_Journal!$G:$G,"&lt;="&amp;$L253,GL_Journal!$I:$I,TB_LOCC,GL_Journal!$J:$J,TB_CCC,GL_Journal!$D:$D,"&gt;="&amp;TB_From,GL_Journal!$D:$D,"&lt;="&amp;TB_To))</f>
        <v/>
      </c>
      <c r="F253" s="43">
        <f>IF($A253="","",MAX($H253,0))</f>
        <v/>
      </c>
      <c r="G253" s="43">
        <f>IF($A253="","",MAX(-$H253,0))</f>
        <v/>
      </c>
      <c r="H253" s="47">
        <f>IF($A253="","",$C253+$D253-$E253)</f>
        <v/>
      </c>
      <c r="I253" s="44">
        <f>IF($A253="","",INDEX(COA!$E:$E,ROW()-10))</f>
        <v/>
      </c>
      <c r="J253" s="44">
        <f>IF($A253="","",INDEX(COA!$F:$F,ROW()-10))</f>
        <v/>
      </c>
      <c r="K253" s="32">
        <f>IF($A253="","",INDEX(COA!$P:$P,ROW()-10))</f>
        <v/>
      </c>
      <c r="L253" s="32">
        <f>IF($A253="","",INDEX(COA!$Q:$Q,ROW()-10))</f>
        <v/>
      </c>
      <c r="M253" s="32" t="inlineStr"/>
    </row>
    <row r="254">
      <c r="A254" s="44">
        <f>IF(INDEX(COA!$A:$A,ROW()-10)="","",INDEX(COA!$A:$A,ROW()-10))</f>
        <v/>
      </c>
      <c r="B254" s="32">
        <f>IF($A254="","",INDEX(COA!$B:$B,ROW()-10))</f>
        <v/>
      </c>
      <c r="C254" s="47">
        <f>IF($A254="","",(SUMIFS(GL_Journal!$S:$S,GL_Journal!$G:$G,"&gt;="&amp;$K254,GL_Journal!$G:$G,"&lt;="&amp;$L254,GL_Journal!$I:$I,TB_LOCC,GL_Journal!$J:$J,TB_CCC,GL_Journal!$D:$D,"&lt;"&amp;TB_From)-SUMIFS(GL_Journal!$T:$T,GL_Journal!$G:$G,"&gt;="&amp;$K254,GL_Journal!$G:$G,"&lt;="&amp;$L254,GL_Journal!$I:$I,TB_LOCC,GL_Journal!$J:$J,TB_CCC,GL_Journal!$D:$D,"&lt;"&amp;TB_From)))</f>
        <v/>
      </c>
      <c r="D254" s="43">
        <f>IF($A254="","",SUMIFS(GL_Journal!$S:$S,GL_Journal!$G:$G,"&gt;="&amp;$K254,GL_Journal!$G:$G,"&lt;="&amp;$L254,GL_Journal!$I:$I,TB_LOCC,GL_Journal!$J:$J,TB_CCC,GL_Journal!$D:$D,"&gt;="&amp;TB_From,GL_Journal!$D:$D,"&lt;="&amp;TB_To))</f>
        <v/>
      </c>
      <c r="E254" s="43">
        <f>IF($A254="","",SUMIFS(GL_Journal!$T:$T,GL_Journal!$G:$G,"&gt;="&amp;$K254,GL_Journal!$G:$G,"&lt;="&amp;$L254,GL_Journal!$I:$I,TB_LOCC,GL_Journal!$J:$J,TB_CCC,GL_Journal!$D:$D,"&gt;="&amp;TB_From,GL_Journal!$D:$D,"&lt;="&amp;TB_To))</f>
        <v/>
      </c>
      <c r="F254" s="43">
        <f>IF($A254="","",MAX($H254,0))</f>
        <v/>
      </c>
      <c r="G254" s="43">
        <f>IF($A254="","",MAX(-$H254,0))</f>
        <v/>
      </c>
      <c r="H254" s="47">
        <f>IF($A254="","",$C254+$D254-$E254)</f>
        <v/>
      </c>
      <c r="I254" s="44">
        <f>IF($A254="","",INDEX(COA!$E:$E,ROW()-10))</f>
        <v/>
      </c>
      <c r="J254" s="44">
        <f>IF($A254="","",INDEX(COA!$F:$F,ROW()-10))</f>
        <v/>
      </c>
      <c r="K254" s="32">
        <f>IF($A254="","",INDEX(COA!$P:$P,ROW()-10))</f>
        <v/>
      </c>
      <c r="L254" s="32">
        <f>IF($A254="","",INDEX(COA!$Q:$Q,ROW()-10))</f>
        <v/>
      </c>
      <c r="M254" s="32" t="inlineStr"/>
    </row>
    <row r="255">
      <c r="A255" s="44">
        <f>IF(INDEX(COA!$A:$A,ROW()-10)="","",INDEX(COA!$A:$A,ROW()-10))</f>
        <v/>
      </c>
      <c r="B255" s="32">
        <f>IF($A255="","",INDEX(COA!$B:$B,ROW()-10))</f>
        <v/>
      </c>
      <c r="C255" s="47">
        <f>IF($A255="","",(SUMIFS(GL_Journal!$S:$S,GL_Journal!$G:$G,"&gt;="&amp;$K255,GL_Journal!$G:$G,"&lt;="&amp;$L255,GL_Journal!$I:$I,TB_LOCC,GL_Journal!$J:$J,TB_CCC,GL_Journal!$D:$D,"&lt;"&amp;TB_From)-SUMIFS(GL_Journal!$T:$T,GL_Journal!$G:$G,"&gt;="&amp;$K255,GL_Journal!$G:$G,"&lt;="&amp;$L255,GL_Journal!$I:$I,TB_LOCC,GL_Journal!$J:$J,TB_CCC,GL_Journal!$D:$D,"&lt;"&amp;TB_From)))</f>
        <v/>
      </c>
      <c r="D255" s="43">
        <f>IF($A255="","",SUMIFS(GL_Journal!$S:$S,GL_Journal!$G:$G,"&gt;="&amp;$K255,GL_Journal!$G:$G,"&lt;="&amp;$L255,GL_Journal!$I:$I,TB_LOCC,GL_Journal!$J:$J,TB_CCC,GL_Journal!$D:$D,"&gt;="&amp;TB_From,GL_Journal!$D:$D,"&lt;="&amp;TB_To))</f>
        <v/>
      </c>
      <c r="E255" s="43">
        <f>IF($A255="","",SUMIFS(GL_Journal!$T:$T,GL_Journal!$G:$G,"&gt;="&amp;$K255,GL_Journal!$G:$G,"&lt;="&amp;$L255,GL_Journal!$I:$I,TB_LOCC,GL_Journal!$J:$J,TB_CCC,GL_Journal!$D:$D,"&gt;="&amp;TB_From,GL_Journal!$D:$D,"&lt;="&amp;TB_To))</f>
        <v/>
      </c>
      <c r="F255" s="43">
        <f>IF($A255="","",MAX($H255,0))</f>
        <v/>
      </c>
      <c r="G255" s="43">
        <f>IF($A255="","",MAX(-$H255,0))</f>
        <v/>
      </c>
      <c r="H255" s="47">
        <f>IF($A255="","",$C255+$D255-$E255)</f>
        <v/>
      </c>
      <c r="I255" s="44">
        <f>IF($A255="","",INDEX(COA!$E:$E,ROW()-10))</f>
        <v/>
      </c>
      <c r="J255" s="44">
        <f>IF($A255="","",INDEX(COA!$F:$F,ROW()-10))</f>
        <v/>
      </c>
      <c r="K255" s="32">
        <f>IF($A255="","",INDEX(COA!$P:$P,ROW()-10))</f>
        <v/>
      </c>
      <c r="L255" s="32">
        <f>IF($A255="","",INDEX(COA!$Q:$Q,ROW()-10))</f>
        <v/>
      </c>
      <c r="M255" s="32" t="inlineStr"/>
    </row>
    <row r="256">
      <c r="A256" s="44">
        <f>IF(INDEX(COA!$A:$A,ROW()-10)="","",INDEX(COA!$A:$A,ROW()-10))</f>
        <v/>
      </c>
      <c r="B256" s="32">
        <f>IF($A256="","",INDEX(COA!$B:$B,ROW()-10))</f>
        <v/>
      </c>
      <c r="C256" s="47">
        <f>IF($A256="","",(SUMIFS(GL_Journal!$S:$S,GL_Journal!$G:$G,"&gt;="&amp;$K256,GL_Journal!$G:$G,"&lt;="&amp;$L256,GL_Journal!$I:$I,TB_LOCC,GL_Journal!$J:$J,TB_CCC,GL_Journal!$D:$D,"&lt;"&amp;TB_From)-SUMIFS(GL_Journal!$T:$T,GL_Journal!$G:$G,"&gt;="&amp;$K256,GL_Journal!$G:$G,"&lt;="&amp;$L256,GL_Journal!$I:$I,TB_LOCC,GL_Journal!$J:$J,TB_CCC,GL_Journal!$D:$D,"&lt;"&amp;TB_From)))</f>
        <v/>
      </c>
      <c r="D256" s="43">
        <f>IF($A256="","",SUMIFS(GL_Journal!$S:$S,GL_Journal!$G:$G,"&gt;="&amp;$K256,GL_Journal!$G:$G,"&lt;="&amp;$L256,GL_Journal!$I:$I,TB_LOCC,GL_Journal!$J:$J,TB_CCC,GL_Journal!$D:$D,"&gt;="&amp;TB_From,GL_Journal!$D:$D,"&lt;="&amp;TB_To))</f>
        <v/>
      </c>
      <c r="E256" s="43">
        <f>IF($A256="","",SUMIFS(GL_Journal!$T:$T,GL_Journal!$G:$G,"&gt;="&amp;$K256,GL_Journal!$G:$G,"&lt;="&amp;$L256,GL_Journal!$I:$I,TB_LOCC,GL_Journal!$J:$J,TB_CCC,GL_Journal!$D:$D,"&gt;="&amp;TB_From,GL_Journal!$D:$D,"&lt;="&amp;TB_To))</f>
        <v/>
      </c>
      <c r="F256" s="43">
        <f>IF($A256="","",MAX($H256,0))</f>
        <v/>
      </c>
      <c r="G256" s="43">
        <f>IF($A256="","",MAX(-$H256,0))</f>
        <v/>
      </c>
      <c r="H256" s="47">
        <f>IF($A256="","",$C256+$D256-$E256)</f>
        <v/>
      </c>
      <c r="I256" s="44">
        <f>IF($A256="","",INDEX(COA!$E:$E,ROW()-10))</f>
        <v/>
      </c>
      <c r="J256" s="44">
        <f>IF($A256="","",INDEX(COA!$F:$F,ROW()-10))</f>
        <v/>
      </c>
      <c r="K256" s="32">
        <f>IF($A256="","",INDEX(COA!$P:$P,ROW()-10))</f>
        <v/>
      </c>
      <c r="L256" s="32">
        <f>IF($A256="","",INDEX(COA!$Q:$Q,ROW()-10))</f>
        <v/>
      </c>
      <c r="M256" s="32" t="inlineStr"/>
    </row>
    <row r="257">
      <c r="A257" s="44">
        <f>IF(INDEX(COA!$A:$A,ROW()-10)="","",INDEX(COA!$A:$A,ROW()-10))</f>
        <v/>
      </c>
      <c r="B257" s="32">
        <f>IF($A257="","",INDEX(COA!$B:$B,ROW()-10))</f>
        <v/>
      </c>
      <c r="C257" s="47">
        <f>IF($A257="","",(SUMIFS(GL_Journal!$S:$S,GL_Journal!$G:$G,"&gt;="&amp;$K257,GL_Journal!$G:$G,"&lt;="&amp;$L257,GL_Journal!$I:$I,TB_LOCC,GL_Journal!$J:$J,TB_CCC,GL_Journal!$D:$D,"&lt;"&amp;TB_From)-SUMIFS(GL_Journal!$T:$T,GL_Journal!$G:$G,"&gt;="&amp;$K257,GL_Journal!$G:$G,"&lt;="&amp;$L257,GL_Journal!$I:$I,TB_LOCC,GL_Journal!$J:$J,TB_CCC,GL_Journal!$D:$D,"&lt;"&amp;TB_From)))</f>
        <v/>
      </c>
      <c r="D257" s="43">
        <f>IF($A257="","",SUMIFS(GL_Journal!$S:$S,GL_Journal!$G:$G,"&gt;="&amp;$K257,GL_Journal!$G:$G,"&lt;="&amp;$L257,GL_Journal!$I:$I,TB_LOCC,GL_Journal!$J:$J,TB_CCC,GL_Journal!$D:$D,"&gt;="&amp;TB_From,GL_Journal!$D:$D,"&lt;="&amp;TB_To))</f>
        <v/>
      </c>
      <c r="E257" s="43">
        <f>IF($A257="","",SUMIFS(GL_Journal!$T:$T,GL_Journal!$G:$G,"&gt;="&amp;$K257,GL_Journal!$G:$G,"&lt;="&amp;$L257,GL_Journal!$I:$I,TB_LOCC,GL_Journal!$J:$J,TB_CCC,GL_Journal!$D:$D,"&gt;="&amp;TB_From,GL_Journal!$D:$D,"&lt;="&amp;TB_To))</f>
        <v/>
      </c>
      <c r="F257" s="43">
        <f>IF($A257="","",MAX($H257,0))</f>
        <v/>
      </c>
      <c r="G257" s="43">
        <f>IF($A257="","",MAX(-$H257,0))</f>
        <v/>
      </c>
      <c r="H257" s="47">
        <f>IF($A257="","",$C257+$D257-$E257)</f>
        <v/>
      </c>
      <c r="I257" s="44">
        <f>IF($A257="","",INDEX(COA!$E:$E,ROW()-10))</f>
        <v/>
      </c>
      <c r="J257" s="44">
        <f>IF($A257="","",INDEX(COA!$F:$F,ROW()-10))</f>
        <v/>
      </c>
      <c r="K257" s="32">
        <f>IF($A257="","",INDEX(COA!$P:$P,ROW()-10))</f>
        <v/>
      </c>
      <c r="L257" s="32">
        <f>IF($A257="","",INDEX(COA!$Q:$Q,ROW()-10))</f>
        <v/>
      </c>
      <c r="M257" s="32" t="inlineStr"/>
    </row>
    <row r="258">
      <c r="A258" s="44">
        <f>IF(INDEX(COA!$A:$A,ROW()-10)="","",INDEX(COA!$A:$A,ROW()-10))</f>
        <v/>
      </c>
      <c r="B258" s="32">
        <f>IF($A258="","",INDEX(COA!$B:$B,ROW()-10))</f>
        <v/>
      </c>
      <c r="C258" s="47">
        <f>IF($A258="","",(SUMIFS(GL_Journal!$S:$S,GL_Journal!$G:$G,"&gt;="&amp;$K258,GL_Journal!$G:$G,"&lt;="&amp;$L258,GL_Journal!$I:$I,TB_LOCC,GL_Journal!$J:$J,TB_CCC,GL_Journal!$D:$D,"&lt;"&amp;TB_From)-SUMIFS(GL_Journal!$T:$T,GL_Journal!$G:$G,"&gt;="&amp;$K258,GL_Journal!$G:$G,"&lt;="&amp;$L258,GL_Journal!$I:$I,TB_LOCC,GL_Journal!$J:$J,TB_CCC,GL_Journal!$D:$D,"&lt;"&amp;TB_From)))</f>
        <v/>
      </c>
      <c r="D258" s="43">
        <f>IF($A258="","",SUMIFS(GL_Journal!$S:$S,GL_Journal!$G:$G,"&gt;="&amp;$K258,GL_Journal!$G:$G,"&lt;="&amp;$L258,GL_Journal!$I:$I,TB_LOCC,GL_Journal!$J:$J,TB_CCC,GL_Journal!$D:$D,"&gt;="&amp;TB_From,GL_Journal!$D:$D,"&lt;="&amp;TB_To))</f>
        <v/>
      </c>
      <c r="E258" s="43">
        <f>IF($A258="","",SUMIFS(GL_Journal!$T:$T,GL_Journal!$G:$G,"&gt;="&amp;$K258,GL_Journal!$G:$G,"&lt;="&amp;$L258,GL_Journal!$I:$I,TB_LOCC,GL_Journal!$J:$J,TB_CCC,GL_Journal!$D:$D,"&gt;="&amp;TB_From,GL_Journal!$D:$D,"&lt;="&amp;TB_To))</f>
        <v/>
      </c>
      <c r="F258" s="43">
        <f>IF($A258="","",MAX($H258,0))</f>
        <v/>
      </c>
      <c r="G258" s="43">
        <f>IF($A258="","",MAX(-$H258,0))</f>
        <v/>
      </c>
      <c r="H258" s="47">
        <f>IF($A258="","",$C258+$D258-$E258)</f>
        <v/>
      </c>
      <c r="I258" s="44">
        <f>IF($A258="","",INDEX(COA!$E:$E,ROW()-10))</f>
        <v/>
      </c>
      <c r="J258" s="44">
        <f>IF($A258="","",INDEX(COA!$F:$F,ROW()-10))</f>
        <v/>
      </c>
      <c r="K258" s="32">
        <f>IF($A258="","",INDEX(COA!$P:$P,ROW()-10))</f>
        <v/>
      </c>
      <c r="L258" s="32">
        <f>IF($A258="","",INDEX(COA!$Q:$Q,ROW()-10))</f>
        <v/>
      </c>
      <c r="M258" s="32" t="inlineStr"/>
    </row>
    <row r="259">
      <c r="A259" s="44">
        <f>IF(INDEX(COA!$A:$A,ROW()-10)="","",INDEX(COA!$A:$A,ROW()-10))</f>
        <v/>
      </c>
      <c r="B259" s="32">
        <f>IF($A259="","",INDEX(COA!$B:$B,ROW()-10))</f>
        <v/>
      </c>
      <c r="C259" s="47">
        <f>IF($A259="","",(SUMIFS(GL_Journal!$S:$S,GL_Journal!$G:$G,"&gt;="&amp;$K259,GL_Journal!$G:$G,"&lt;="&amp;$L259,GL_Journal!$I:$I,TB_LOCC,GL_Journal!$J:$J,TB_CCC,GL_Journal!$D:$D,"&lt;"&amp;TB_From)-SUMIFS(GL_Journal!$T:$T,GL_Journal!$G:$G,"&gt;="&amp;$K259,GL_Journal!$G:$G,"&lt;="&amp;$L259,GL_Journal!$I:$I,TB_LOCC,GL_Journal!$J:$J,TB_CCC,GL_Journal!$D:$D,"&lt;"&amp;TB_From)))</f>
        <v/>
      </c>
      <c r="D259" s="43">
        <f>IF($A259="","",SUMIFS(GL_Journal!$S:$S,GL_Journal!$G:$G,"&gt;="&amp;$K259,GL_Journal!$G:$G,"&lt;="&amp;$L259,GL_Journal!$I:$I,TB_LOCC,GL_Journal!$J:$J,TB_CCC,GL_Journal!$D:$D,"&gt;="&amp;TB_From,GL_Journal!$D:$D,"&lt;="&amp;TB_To))</f>
        <v/>
      </c>
      <c r="E259" s="43">
        <f>IF($A259="","",SUMIFS(GL_Journal!$T:$T,GL_Journal!$G:$G,"&gt;="&amp;$K259,GL_Journal!$G:$G,"&lt;="&amp;$L259,GL_Journal!$I:$I,TB_LOCC,GL_Journal!$J:$J,TB_CCC,GL_Journal!$D:$D,"&gt;="&amp;TB_From,GL_Journal!$D:$D,"&lt;="&amp;TB_To))</f>
        <v/>
      </c>
      <c r="F259" s="43">
        <f>IF($A259="","",MAX($H259,0))</f>
        <v/>
      </c>
      <c r="G259" s="43">
        <f>IF($A259="","",MAX(-$H259,0))</f>
        <v/>
      </c>
      <c r="H259" s="47">
        <f>IF($A259="","",$C259+$D259-$E259)</f>
        <v/>
      </c>
      <c r="I259" s="44">
        <f>IF($A259="","",INDEX(COA!$E:$E,ROW()-10))</f>
        <v/>
      </c>
      <c r="J259" s="44">
        <f>IF($A259="","",INDEX(COA!$F:$F,ROW()-10))</f>
        <v/>
      </c>
      <c r="K259" s="32">
        <f>IF($A259="","",INDEX(COA!$P:$P,ROW()-10))</f>
        <v/>
      </c>
      <c r="L259" s="32">
        <f>IF($A259="","",INDEX(COA!$Q:$Q,ROW()-10))</f>
        <v/>
      </c>
      <c r="M259" s="32" t="inlineStr"/>
    </row>
    <row r="260">
      <c r="A260" s="44">
        <f>IF(INDEX(COA!$A:$A,ROW()-10)="","",INDEX(COA!$A:$A,ROW()-10))</f>
        <v/>
      </c>
      <c r="B260" s="32">
        <f>IF($A260="","",INDEX(COA!$B:$B,ROW()-10))</f>
        <v/>
      </c>
      <c r="C260" s="47">
        <f>IF($A260="","",(SUMIFS(GL_Journal!$S:$S,GL_Journal!$G:$G,"&gt;="&amp;$K260,GL_Journal!$G:$G,"&lt;="&amp;$L260,GL_Journal!$I:$I,TB_LOCC,GL_Journal!$J:$J,TB_CCC,GL_Journal!$D:$D,"&lt;"&amp;TB_From)-SUMIFS(GL_Journal!$T:$T,GL_Journal!$G:$G,"&gt;="&amp;$K260,GL_Journal!$G:$G,"&lt;="&amp;$L260,GL_Journal!$I:$I,TB_LOCC,GL_Journal!$J:$J,TB_CCC,GL_Journal!$D:$D,"&lt;"&amp;TB_From)))</f>
        <v/>
      </c>
      <c r="D260" s="43">
        <f>IF($A260="","",SUMIFS(GL_Journal!$S:$S,GL_Journal!$G:$G,"&gt;="&amp;$K260,GL_Journal!$G:$G,"&lt;="&amp;$L260,GL_Journal!$I:$I,TB_LOCC,GL_Journal!$J:$J,TB_CCC,GL_Journal!$D:$D,"&gt;="&amp;TB_From,GL_Journal!$D:$D,"&lt;="&amp;TB_To))</f>
        <v/>
      </c>
      <c r="E260" s="43">
        <f>IF($A260="","",SUMIFS(GL_Journal!$T:$T,GL_Journal!$G:$G,"&gt;="&amp;$K260,GL_Journal!$G:$G,"&lt;="&amp;$L260,GL_Journal!$I:$I,TB_LOCC,GL_Journal!$J:$J,TB_CCC,GL_Journal!$D:$D,"&gt;="&amp;TB_From,GL_Journal!$D:$D,"&lt;="&amp;TB_To))</f>
        <v/>
      </c>
      <c r="F260" s="43">
        <f>IF($A260="","",MAX($H260,0))</f>
        <v/>
      </c>
      <c r="G260" s="43">
        <f>IF($A260="","",MAX(-$H260,0))</f>
        <v/>
      </c>
      <c r="H260" s="47">
        <f>IF($A260="","",$C260+$D260-$E260)</f>
        <v/>
      </c>
      <c r="I260" s="44">
        <f>IF($A260="","",INDEX(COA!$E:$E,ROW()-10))</f>
        <v/>
      </c>
      <c r="J260" s="44">
        <f>IF($A260="","",INDEX(COA!$F:$F,ROW()-10))</f>
        <v/>
      </c>
      <c r="K260" s="32">
        <f>IF($A260="","",INDEX(COA!$P:$P,ROW()-10))</f>
        <v/>
      </c>
      <c r="L260" s="32">
        <f>IF($A260="","",INDEX(COA!$Q:$Q,ROW()-10))</f>
        <v/>
      </c>
      <c r="M260" s="32" t="inlineStr"/>
    </row>
    <row r="261">
      <c r="A261" s="44">
        <f>IF(INDEX(COA!$A:$A,ROW()-10)="","",INDEX(COA!$A:$A,ROW()-10))</f>
        <v/>
      </c>
      <c r="B261" s="32">
        <f>IF($A261="","",INDEX(COA!$B:$B,ROW()-10))</f>
        <v/>
      </c>
      <c r="C261" s="47">
        <f>IF($A261="","",(SUMIFS(GL_Journal!$S:$S,GL_Journal!$G:$G,"&gt;="&amp;$K261,GL_Journal!$G:$G,"&lt;="&amp;$L261,GL_Journal!$I:$I,TB_LOCC,GL_Journal!$J:$J,TB_CCC,GL_Journal!$D:$D,"&lt;"&amp;TB_From)-SUMIFS(GL_Journal!$T:$T,GL_Journal!$G:$G,"&gt;="&amp;$K261,GL_Journal!$G:$G,"&lt;="&amp;$L261,GL_Journal!$I:$I,TB_LOCC,GL_Journal!$J:$J,TB_CCC,GL_Journal!$D:$D,"&lt;"&amp;TB_From)))</f>
        <v/>
      </c>
      <c r="D261" s="43">
        <f>IF($A261="","",SUMIFS(GL_Journal!$S:$S,GL_Journal!$G:$G,"&gt;="&amp;$K261,GL_Journal!$G:$G,"&lt;="&amp;$L261,GL_Journal!$I:$I,TB_LOCC,GL_Journal!$J:$J,TB_CCC,GL_Journal!$D:$D,"&gt;="&amp;TB_From,GL_Journal!$D:$D,"&lt;="&amp;TB_To))</f>
        <v/>
      </c>
      <c r="E261" s="43">
        <f>IF($A261="","",SUMIFS(GL_Journal!$T:$T,GL_Journal!$G:$G,"&gt;="&amp;$K261,GL_Journal!$G:$G,"&lt;="&amp;$L261,GL_Journal!$I:$I,TB_LOCC,GL_Journal!$J:$J,TB_CCC,GL_Journal!$D:$D,"&gt;="&amp;TB_From,GL_Journal!$D:$D,"&lt;="&amp;TB_To))</f>
        <v/>
      </c>
      <c r="F261" s="43">
        <f>IF($A261="","",MAX($H261,0))</f>
        <v/>
      </c>
      <c r="G261" s="43">
        <f>IF($A261="","",MAX(-$H261,0))</f>
        <v/>
      </c>
      <c r="H261" s="47">
        <f>IF($A261="","",$C261+$D261-$E261)</f>
        <v/>
      </c>
      <c r="I261" s="44">
        <f>IF($A261="","",INDEX(COA!$E:$E,ROW()-10))</f>
        <v/>
      </c>
      <c r="J261" s="44">
        <f>IF($A261="","",INDEX(COA!$F:$F,ROW()-10))</f>
        <v/>
      </c>
      <c r="K261" s="32">
        <f>IF($A261="","",INDEX(COA!$P:$P,ROW()-10))</f>
        <v/>
      </c>
      <c r="L261" s="32">
        <f>IF($A261="","",INDEX(COA!$Q:$Q,ROW()-10))</f>
        <v/>
      </c>
      <c r="M261" s="32" t="inlineStr"/>
    </row>
    <row r="262">
      <c r="A262" s="44">
        <f>IF(INDEX(COA!$A:$A,ROW()-10)="","",INDEX(COA!$A:$A,ROW()-10))</f>
        <v/>
      </c>
      <c r="B262" s="32">
        <f>IF($A262="","",INDEX(COA!$B:$B,ROW()-10))</f>
        <v/>
      </c>
      <c r="C262" s="47">
        <f>IF($A262="","",(SUMIFS(GL_Journal!$S:$S,GL_Journal!$G:$G,"&gt;="&amp;$K262,GL_Journal!$G:$G,"&lt;="&amp;$L262,GL_Journal!$I:$I,TB_LOCC,GL_Journal!$J:$J,TB_CCC,GL_Journal!$D:$D,"&lt;"&amp;TB_From)-SUMIFS(GL_Journal!$T:$T,GL_Journal!$G:$G,"&gt;="&amp;$K262,GL_Journal!$G:$G,"&lt;="&amp;$L262,GL_Journal!$I:$I,TB_LOCC,GL_Journal!$J:$J,TB_CCC,GL_Journal!$D:$D,"&lt;"&amp;TB_From)))</f>
        <v/>
      </c>
      <c r="D262" s="43">
        <f>IF($A262="","",SUMIFS(GL_Journal!$S:$S,GL_Journal!$G:$G,"&gt;="&amp;$K262,GL_Journal!$G:$G,"&lt;="&amp;$L262,GL_Journal!$I:$I,TB_LOCC,GL_Journal!$J:$J,TB_CCC,GL_Journal!$D:$D,"&gt;="&amp;TB_From,GL_Journal!$D:$D,"&lt;="&amp;TB_To))</f>
        <v/>
      </c>
      <c r="E262" s="43">
        <f>IF($A262="","",SUMIFS(GL_Journal!$T:$T,GL_Journal!$G:$G,"&gt;="&amp;$K262,GL_Journal!$G:$G,"&lt;="&amp;$L262,GL_Journal!$I:$I,TB_LOCC,GL_Journal!$J:$J,TB_CCC,GL_Journal!$D:$D,"&gt;="&amp;TB_From,GL_Journal!$D:$D,"&lt;="&amp;TB_To))</f>
        <v/>
      </c>
      <c r="F262" s="43">
        <f>IF($A262="","",MAX($H262,0))</f>
        <v/>
      </c>
      <c r="G262" s="43">
        <f>IF($A262="","",MAX(-$H262,0))</f>
        <v/>
      </c>
      <c r="H262" s="47">
        <f>IF($A262="","",$C262+$D262-$E262)</f>
        <v/>
      </c>
      <c r="I262" s="44">
        <f>IF($A262="","",INDEX(COA!$E:$E,ROW()-10))</f>
        <v/>
      </c>
      <c r="J262" s="44">
        <f>IF($A262="","",INDEX(COA!$F:$F,ROW()-10))</f>
        <v/>
      </c>
      <c r="K262" s="32">
        <f>IF($A262="","",INDEX(COA!$P:$P,ROW()-10))</f>
        <v/>
      </c>
      <c r="L262" s="32">
        <f>IF($A262="","",INDEX(COA!$Q:$Q,ROW()-10))</f>
        <v/>
      </c>
      <c r="M262" s="32" t="inlineStr"/>
    </row>
    <row r="263">
      <c r="A263" s="44">
        <f>IF(INDEX(COA!$A:$A,ROW()-10)="","",INDEX(COA!$A:$A,ROW()-10))</f>
        <v/>
      </c>
      <c r="B263" s="32">
        <f>IF($A263="","",INDEX(COA!$B:$B,ROW()-10))</f>
        <v/>
      </c>
      <c r="C263" s="47">
        <f>IF($A263="","",(SUMIFS(GL_Journal!$S:$S,GL_Journal!$G:$G,"&gt;="&amp;$K263,GL_Journal!$G:$G,"&lt;="&amp;$L263,GL_Journal!$I:$I,TB_LOCC,GL_Journal!$J:$J,TB_CCC,GL_Journal!$D:$D,"&lt;"&amp;TB_From)-SUMIFS(GL_Journal!$T:$T,GL_Journal!$G:$G,"&gt;="&amp;$K263,GL_Journal!$G:$G,"&lt;="&amp;$L263,GL_Journal!$I:$I,TB_LOCC,GL_Journal!$J:$J,TB_CCC,GL_Journal!$D:$D,"&lt;"&amp;TB_From)))</f>
        <v/>
      </c>
      <c r="D263" s="43">
        <f>IF($A263="","",SUMIFS(GL_Journal!$S:$S,GL_Journal!$G:$G,"&gt;="&amp;$K263,GL_Journal!$G:$G,"&lt;="&amp;$L263,GL_Journal!$I:$I,TB_LOCC,GL_Journal!$J:$J,TB_CCC,GL_Journal!$D:$D,"&gt;="&amp;TB_From,GL_Journal!$D:$D,"&lt;="&amp;TB_To))</f>
        <v/>
      </c>
      <c r="E263" s="43">
        <f>IF($A263="","",SUMIFS(GL_Journal!$T:$T,GL_Journal!$G:$G,"&gt;="&amp;$K263,GL_Journal!$G:$G,"&lt;="&amp;$L263,GL_Journal!$I:$I,TB_LOCC,GL_Journal!$J:$J,TB_CCC,GL_Journal!$D:$D,"&gt;="&amp;TB_From,GL_Journal!$D:$D,"&lt;="&amp;TB_To))</f>
        <v/>
      </c>
      <c r="F263" s="43">
        <f>IF($A263="","",MAX($H263,0))</f>
        <v/>
      </c>
      <c r="G263" s="43">
        <f>IF($A263="","",MAX(-$H263,0))</f>
        <v/>
      </c>
      <c r="H263" s="47">
        <f>IF($A263="","",$C263+$D263-$E263)</f>
        <v/>
      </c>
      <c r="I263" s="44">
        <f>IF($A263="","",INDEX(COA!$E:$E,ROW()-10))</f>
        <v/>
      </c>
      <c r="J263" s="44">
        <f>IF($A263="","",INDEX(COA!$F:$F,ROW()-10))</f>
        <v/>
      </c>
      <c r="K263" s="32">
        <f>IF($A263="","",INDEX(COA!$P:$P,ROW()-10))</f>
        <v/>
      </c>
      <c r="L263" s="32">
        <f>IF($A263="","",INDEX(COA!$Q:$Q,ROW()-10))</f>
        <v/>
      </c>
      <c r="M263" s="32" t="inlineStr"/>
    </row>
    <row r="264">
      <c r="A264" s="44">
        <f>IF(INDEX(COA!$A:$A,ROW()-10)="","",INDEX(COA!$A:$A,ROW()-10))</f>
        <v/>
      </c>
      <c r="B264" s="32">
        <f>IF($A264="","",INDEX(COA!$B:$B,ROW()-10))</f>
        <v/>
      </c>
      <c r="C264" s="47">
        <f>IF($A264="","",(SUMIFS(GL_Journal!$S:$S,GL_Journal!$G:$G,"&gt;="&amp;$K264,GL_Journal!$G:$G,"&lt;="&amp;$L264,GL_Journal!$I:$I,TB_LOCC,GL_Journal!$J:$J,TB_CCC,GL_Journal!$D:$D,"&lt;"&amp;TB_From)-SUMIFS(GL_Journal!$T:$T,GL_Journal!$G:$G,"&gt;="&amp;$K264,GL_Journal!$G:$G,"&lt;="&amp;$L264,GL_Journal!$I:$I,TB_LOCC,GL_Journal!$J:$J,TB_CCC,GL_Journal!$D:$D,"&lt;"&amp;TB_From)))</f>
        <v/>
      </c>
      <c r="D264" s="43">
        <f>IF($A264="","",SUMIFS(GL_Journal!$S:$S,GL_Journal!$G:$G,"&gt;="&amp;$K264,GL_Journal!$G:$G,"&lt;="&amp;$L264,GL_Journal!$I:$I,TB_LOCC,GL_Journal!$J:$J,TB_CCC,GL_Journal!$D:$D,"&gt;="&amp;TB_From,GL_Journal!$D:$D,"&lt;="&amp;TB_To))</f>
        <v/>
      </c>
      <c r="E264" s="43">
        <f>IF($A264="","",SUMIFS(GL_Journal!$T:$T,GL_Journal!$G:$G,"&gt;="&amp;$K264,GL_Journal!$G:$G,"&lt;="&amp;$L264,GL_Journal!$I:$I,TB_LOCC,GL_Journal!$J:$J,TB_CCC,GL_Journal!$D:$D,"&gt;="&amp;TB_From,GL_Journal!$D:$D,"&lt;="&amp;TB_To))</f>
        <v/>
      </c>
      <c r="F264" s="43">
        <f>IF($A264="","",MAX($H264,0))</f>
        <v/>
      </c>
      <c r="G264" s="43">
        <f>IF($A264="","",MAX(-$H264,0))</f>
        <v/>
      </c>
      <c r="H264" s="47">
        <f>IF($A264="","",$C264+$D264-$E264)</f>
        <v/>
      </c>
      <c r="I264" s="44">
        <f>IF($A264="","",INDEX(COA!$E:$E,ROW()-10))</f>
        <v/>
      </c>
      <c r="J264" s="44">
        <f>IF($A264="","",INDEX(COA!$F:$F,ROW()-10))</f>
        <v/>
      </c>
      <c r="K264" s="32">
        <f>IF($A264="","",INDEX(COA!$P:$P,ROW()-10))</f>
        <v/>
      </c>
      <c r="L264" s="32">
        <f>IF($A264="","",INDEX(COA!$Q:$Q,ROW()-10))</f>
        <v/>
      </c>
      <c r="M264" s="32" t="inlineStr"/>
    </row>
  </sheetData>
  <sheetProtection selectLockedCells="0" selectUnlockedCells="0" sheet="1" objects="0" insertRows="1" insertHyperlinks="1" autoFilter="0" scenarios="0" formatColumns="0" deleteColumns="1" insertColumns="1" pivotTables="1" deleteRows="1" formatCells="0" formatRows="0" sort="1"/>
  <autoFilter ref="A14:M264"/>
  <mergeCells count="1">
    <mergeCell ref="C11:E11"/>
  </mergeCells>
  <conditionalFormatting sqref="M15:M264">
    <cfRule type="expression" priority="1" dxfId="3">
      <formula>LEN(M15)&gt;0</formula>
    </cfRule>
  </conditionalFormatting>
  <conditionalFormatting sqref="C11">
    <cfRule type="expression" priority="2" dxfId="3">
      <formula>LEFT(C11,1)="✖"</formula>
    </cfRule>
    <cfRule type="expression" priority="3" dxfId="1">
      <formula>LEFT(C11,1)="✔"</formula>
    </cfRule>
  </conditionalFormatting>
  <pageMargins left="0.75" right="0.75" top="1" bottom="1" header="0.5" footer="0.5"/>
  <pageSetup orientation="landscape" fitToHeight="0" fitToWidth="1"/>
</worksheet>
</file>

<file path=xl/worksheets/sheet42.xml><?xml version="1.0" encoding="utf-8"?>
<worksheet xmlns="http://schemas.openxmlformats.org/spreadsheetml/2006/main">
  <sheetPr>
    <tabColor rgb="00C00000"/>
    <outlinePr summaryBelow="1" summaryRight="1"/>
    <pageSetUpPr fitToPage="1"/>
  </sheetPr>
  <dimension ref="A1:P50"/>
  <sheetViews>
    <sheetView rightToLeft="1" workbookViewId="0">
      <pane xSplit="1" ySplit="11" topLeftCell="B12" activePane="bottomRight" state="frozen"/>
      <selection pane="topRight"/>
      <selection pane="bottomLeft"/>
      <selection pane="bottomRight" activeCell="A1" sqref="A1"/>
    </sheetView>
  </sheetViews>
  <sheetFormatPr baseColWidth="8" defaultRowHeight="15"/>
  <cols>
    <col width="44" customWidth="1" min="1" max="1"/>
    <col width="9" customWidth="1" min="2" max="2"/>
    <col width="9" customWidth="1" min="3" max="3"/>
    <col width="8" customWidth="1" min="4" max="4"/>
    <col width="16" customWidth="1" min="5" max="5"/>
    <col width="11" customWidth="1" min="6" max="6"/>
    <col width="16" customWidth="1" min="7" max="7"/>
    <col width="14"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s>
  <sheetData>
    <row r="1">
      <c r="A1" s="22" t="inlineStr">
        <is>
          <t>قائمة الدخل (Income Statement) - تقرير الأرباح والخسائر المجمع ومقارنة الفروع</t>
        </is>
      </c>
      <c r="B1" s="1" t="n"/>
      <c r="C1" s="1" t="n"/>
      <c r="D1" s="1" t="n"/>
      <c r="E1" s="1" t="n"/>
      <c r="F1" s="1" t="n"/>
      <c r="G1" s="1" t="n"/>
      <c r="H1" s="1" t="n"/>
      <c r="I1" s="1" t="n"/>
      <c r="J1" s="1" t="n"/>
      <c r="K1" s="1" t="n"/>
      <c r="L1" s="1" t="n"/>
      <c r="M1" s="1" t="n"/>
      <c r="N1" s="1" t="n"/>
      <c r="O1" s="1" t="n"/>
      <c r="P1" s="1" t="n"/>
    </row>
    <row r="2">
      <c r="A2" s="26" t="inlineStr">
        <is>
          <t>تُقرأ من دفتر اليومية العام فقط (لا توجد خلايا إدخال للأرقام). أعمدة الفروع تتجاهل فلتر الفرع. التحويلات الداخلية (نقدية/مخزون) لا تمر بحسابات الإيراد أو المصروف فلا تتكرر في المجمّع.</t>
        </is>
      </c>
    </row>
    <row r="4">
      <c r="A4" s="53" t="inlineStr">
        <is>
          <t>من تاريخ</t>
        </is>
      </c>
      <c r="B4" s="31">
        <f>S_From</f>
        <v/>
      </c>
      <c r="D4" s="32" t="inlineStr">
        <is>
          <t>معيار الفرع</t>
        </is>
      </c>
      <c r="E4" s="32">
        <f>IF(IS_Branch="ALL","&lt;&gt;",IS_Branch)</f>
        <v/>
      </c>
    </row>
    <row r="5">
      <c r="A5" s="53" t="inlineStr">
        <is>
          <t>إلى تاريخ</t>
        </is>
      </c>
      <c r="B5" s="31">
        <f>S_To</f>
        <v/>
      </c>
      <c r="D5" s="32" t="inlineStr">
        <is>
          <t>معيار مركز التكلفة</t>
        </is>
      </c>
      <c r="E5" s="32">
        <f>IF(IS_CC="ALL","&lt;&gt;",IS_CC)</f>
        <v/>
      </c>
    </row>
    <row r="6">
      <c r="A6" s="53" t="inlineStr">
        <is>
          <t>الفرع (ALL = الكل)</t>
        </is>
      </c>
      <c r="B6" s="29">
        <f>S_Branch</f>
        <v/>
      </c>
      <c r="D6" s="32" t="inlineStr">
        <is>
          <t>فترة المقارنة</t>
        </is>
      </c>
      <c r="E6" s="32">
        <f>YEAR(S_PFrom)&amp;"-"&amp;TEXT(MONTH(S_PFrom),"00")&amp;"-"&amp;TEXT(DAY(S_PFrom),"00")&amp;" → "&amp;YEAR(S_PTo)&amp;"-"&amp;TEXT(MONTH(S_PTo),"00")&amp;"-"&amp;TEXT(DAY(S_PTo),"00")</f>
        <v/>
      </c>
    </row>
    <row r="7">
      <c r="A7" s="53" t="inlineStr">
        <is>
          <t>مركز التكلفة (ALL = الكل)</t>
        </is>
      </c>
      <c r="B7" s="29">
        <f>S_CC</f>
        <v/>
      </c>
    </row>
    <row r="8">
      <c r="A8" s="53" t="inlineStr">
        <is>
          <t>حالة النتائج</t>
        </is>
      </c>
      <c r="B8" s="3">
        <f>IF(CK_Critical&gt;0,"⚠ نتائج أولية: توجد "&amp;CK_Critical&amp;" بنود إقفال حرجة غير مكتملة (انظر Close_Checklist)","✔ لا توجد بنود حرجة مفتوحة في فترة قائمة الإقفال")</f>
        <v/>
      </c>
    </row>
    <row r="11" ht="36" customHeight="1">
      <c r="A11" s="54" t="inlineStr">
        <is>
          <t>البند</t>
        </is>
      </c>
      <c r="B11" s="54" t="inlineStr">
        <is>
          <t>من حساب</t>
        </is>
      </c>
      <c r="C11" s="54" t="inlineStr">
        <is>
          <t>إلى حساب</t>
        </is>
      </c>
      <c r="D11" s="54" t="inlineStr">
        <is>
          <t>الطبيعة</t>
        </is>
      </c>
      <c r="E11" s="54" t="inlineStr">
        <is>
          <t>الفترة الحالية</t>
        </is>
      </c>
      <c r="F11" s="54" t="inlineStr">
        <is>
          <t>% من صافي المبيعات</t>
        </is>
      </c>
      <c r="G11" s="54" t="inlineStr">
        <is>
          <t>الفترة السابقة</t>
        </is>
      </c>
      <c r="H11" s="54" t="inlineStr">
        <is>
          <t>التغيّر</t>
        </is>
      </c>
      <c r="I11" s="63">
        <f>IF(COUNTIF(Locations!$J:$J,1)=0,"",INDEX(Locations!$A:$A,MATCH(1,Locations!$J:$J,0)))</f>
        <v/>
      </c>
      <c r="J11" s="63">
        <f>IF(COUNTIF(Locations!$J:$J,2)=0,"",INDEX(Locations!$A:$A,MATCH(2,Locations!$J:$J,0)))</f>
        <v/>
      </c>
      <c r="K11" s="63">
        <f>IF(COUNTIF(Locations!$J:$J,3)=0,"",INDEX(Locations!$A:$A,MATCH(3,Locations!$J:$J,0)))</f>
        <v/>
      </c>
      <c r="L11" s="63">
        <f>IF(COUNTIF(Locations!$J:$J,4)=0,"",INDEX(Locations!$A:$A,MATCH(4,Locations!$J:$J,0)))</f>
        <v/>
      </c>
      <c r="M11" s="63">
        <f>IF(COUNTIF(Locations!$J:$J,5)=0,"",INDEX(Locations!$A:$A,MATCH(5,Locations!$J:$J,0)))</f>
        <v/>
      </c>
      <c r="N11" s="63">
        <f>IF(COUNTIF(Locations!$J:$J,6)=0,"",INDEX(Locations!$A:$A,MATCH(6,Locations!$J:$J,0)))</f>
        <v/>
      </c>
      <c r="O11" s="64" t="inlineStr">
        <is>
          <t>المخازن/المطبخ/الإدارة (غير الفروع)</t>
        </is>
      </c>
      <c r="P11" s="64" t="inlineStr">
        <is>
          <t>الإجمالي المجمع (كل المواقع)</t>
        </is>
      </c>
    </row>
    <row r="12">
      <c r="A12" s="53" t="inlineStr">
        <is>
          <t>الإيرادات</t>
        </is>
      </c>
      <c r="B12" s="14" t="n"/>
      <c r="C12" s="14" t="n"/>
      <c r="D12" s="14" t="n"/>
      <c r="E12" s="14" t="n"/>
      <c r="F12" s="14" t="n"/>
      <c r="G12" s="14" t="n"/>
      <c r="H12" s="14" t="n"/>
      <c r="I12" s="14" t="n"/>
      <c r="J12" s="14" t="n"/>
      <c r="K12" s="14" t="n"/>
      <c r="L12" s="14" t="n"/>
      <c r="M12" s="14" t="n"/>
      <c r="N12" s="14" t="n"/>
      <c r="O12" s="14" t="n"/>
      <c r="P12" s="14" t="n"/>
    </row>
    <row r="13">
      <c r="A13" s="65" t="inlineStr">
        <is>
          <t>مبيعات الفطير</t>
        </is>
      </c>
      <c r="B13" s="8" t="n">
        <v>4101</v>
      </c>
      <c r="C13" s="8" t="n">
        <v>4101</v>
      </c>
      <c r="D13" s="8" t="inlineStr">
        <is>
          <t>دائن</t>
        </is>
      </c>
      <c r="E13" s="55">
        <f>SUMIFS(GL_Journal!$T:$T,GL_Journal!$G:$G,"&gt;=4101",GL_Journal!$G:$G,"&lt;=4101",GL_Journal!$D:$D,"&gt;="&amp;IS_From,GL_Journal!$D:$D,"&lt;="&amp;IS_To,GL_Journal!$I:$I,IS_LOCC,GL_Journal!$J:$J,IS_CCC,GL_Journal!$AE:$AE,0)-SUMIFS(GL_Journal!$S:$S,GL_Journal!$G:$G,"&gt;=4101",GL_Journal!$G:$G,"&lt;=4101",GL_Journal!$D:$D,"&gt;="&amp;IS_From,GL_Journal!$D:$D,"&lt;="&amp;IS_To,GL_Journal!$I:$I,IS_LOCC,GL_Journal!$J:$J,IS_CCC,GL_Journal!$AE:$AE,0)</f>
        <v/>
      </c>
      <c r="F13" s="66">
        <f>IF(E$20=0,"",E13/E$20)</f>
        <v/>
      </c>
      <c r="G13" s="55">
        <f>SUMIFS(GL_Journal!$T:$T,GL_Journal!$G:$G,"&gt;=4101",GL_Journal!$G:$G,"&lt;=4101",GL_Journal!$D:$D,"&gt;="&amp;S_PFrom,GL_Journal!$D:$D,"&lt;="&amp;S_PTo,GL_Journal!$I:$I,IS_LOCC,GL_Journal!$J:$J,IS_CCC,GL_Journal!$AE:$AE,0)-SUMIFS(GL_Journal!$S:$S,GL_Journal!$G:$G,"&gt;=4101",GL_Journal!$G:$G,"&lt;=4101",GL_Journal!$D:$D,"&gt;="&amp;S_PFrom,GL_Journal!$D:$D,"&lt;="&amp;S_PTo,GL_Journal!$I:$I,IS_LOCC,GL_Journal!$J:$J,IS_CCC,GL_Journal!$AE:$AE,0)</f>
        <v/>
      </c>
      <c r="H13" s="55">
        <f>E13-G13</f>
        <v/>
      </c>
      <c r="I13" s="55">
        <f>SUMIFS(GL_Journal!$T:$T,GL_Journal!$G:$G,"&gt;=4101",GL_Journal!$G:$G,"&lt;=4101",GL_Journal!$D:$D,"&gt;="&amp;IS_From,GL_Journal!$D:$D,"&lt;="&amp;IS_To,GL_Journal!$I:$I,I$11,GL_Journal!$J:$J,IS_CCC,GL_Journal!$AE:$AE,0)-SUMIFS(GL_Journal!$S:$S,GL_Journal!$G:$G,"&gt;=4101",GL_Journal!$G:$G,"&lt;=4101",GL_Journal!$D:$D,"&gt;="&amp;IS_From,GL_Journal!$D:$D,"&lt;="&amp;IS_To,GL_Journal!$I:$I,I$11,GL_Journal!$J:$J,IS_CCC,GL_Journal!$AE:$AE,0)</f>
        <v/>
      </c>
      <c r="J13" s="55">
        <f>SUMIFS(GL_Journal!$T:$T,GL_Journal!$G:$G,"&gt;=4101",GL_Journal!$G:$G,"&lt;=4101",GL_Journal!$D:$D,"&gt;="&amp;IS_From,GL_Journal!$D:$D,"&lt;="&amp;IS_To,GL_Journal!$I:$I,J$11,GL_Journal!$J:$J,IS_CCC,GL_Journal!$AE:$AE,0)-SUMIFS(GL_Journal!$S:$S,GL_Journal!$G:$G,"&gt;=4101",GL_Journal!$G:$G,"&lt;=4101",GL_Journal!$D:$D,"&gt;="&amp;IS_From,GL_Journal!$D:$D,"&lt;="&amp;IS_To,GL_Journal!$I:$I,J$11,GL_Journal!$J:$J,IS_CCC,GL_Journal!$AE:$AE,0)</f>
        <v/>
      </c>
      <c r="K13" s="55">
        <f>SUMIFS(GL_Journal!$T:$T,GL_Journal!$G:$G,"&gt;=4101",GL_Journal!$G:$G,"&lt;=4101",GL_Journal!$D:$D,"&gt;="&amp;IS_From,GL_Journal!$D:$D,"&lt;="&amp;IS_To,GL_Journal!$I:$I,K$11,GL_Journal!$J:$J,IS_CCC,GL_Journal!$AE:$AE,0)-SUMIFS(GL_Journal!$S:$S,GL_Journal!$G:$G,"&gt;=4101",GL_Journal!$G:$G,"&lt;=4101",GL_Journal!$D:$D,"&gt;="&amp;IS_From,GL_Journal!$D:$D,"&lt;="&amp;IS_To,GL_Journal!$I:$I,K$11,GL_Journal!$J:$J,IS_CCC,GL_Journal!$AE:$AE,0)</f>
        <v/>
      </c>
      <c r="L13" s="55">
        <f>SUMIFS(GL_Journal!$T:$T,GL_Journal!$G:$G,"&gt;=4101",GL_Journal!$G:$G,"&lt;=4101",GL_Journal!$D:$D,"&gt;="&amp;IS_From,GL_Journal!$D:$D,"&lt;="&amp;IS_To,GL_Journal!$I:$I,L$11,GL_Journal!$J:$J,IS_CCC,GL_Journal!$AE:$AE,0)-SUMIFS(GL_Journal!$S:$S,GL_Journal!$G:$G,"&gt;=4101",GL_Journal!$G:$G,"&lt;=4101",GL_Journal!$D:$D,"&gt;="&amp;IS_From,GL_Journal!$D:$D,"&lt;="&amp;IS_To,GL_Journal!$I:$I,L$11,GL_Journal!$J:$J,IS_CCC,GL_Journal!$AE:$AE,0)</f>
        <v/>
      </c>
      <c r="M13" s="55">
        <f>SUMIFS(GL_Journal!$T:$T,GL_Journal!$G:$G,"&gt;=4101",GL_Journal!$G:$G,"&lt;=4101",GL_Journal!$D:$D,"&gt;="&amp;IS_From,GL_Journal!$D:$D,"&lt;="&amp;IS_To,GL_Journal!$I:$I,M$11,GL_Journal!$J:$J,IS_CCC,GL_Journal!$AE:$AE,0)-SUMIFS(GL_Journal!$S:$S,GL_Journal!$G:$G,"&gt;=4101",GL_Journal!$G:$G,"&lt;=4101",GL_Journal!$D:$D,"&gt;="&amp;IS_From,GL_Journal!$D:$D,"&lt;="&amp;IS_To,GL_Journal!$I:$I,M$11,GL_Journal!$J:$J,IS_CCC,GL_Journal!$AE:$AE,0)</f>
        <v/>
      </c>
      <c r="N13" s="55">
        <f>SUMIFS(GL_Journal!$T:$T,GL_Journal!$G:$G,"&gt;=4101",GL_Journal!$G:$G,"&lt;=4101",GL_Journal!$D:$D,"&gt;="&amp;IS_From,GL_Journal!$D:$D,"&lt;="&amp;IS_To,GL_Journal!$I:$I,N$11,GL_Journal!$J:$J,IS_CCC,GL_Journal!$AE:$AE,0)-SUMIFS(GL_Journal!$S:$S,GL_Journal!$G:$G,"&gt;=4101",GL_Journal!$G:$G,"&lt;=4101",GL_Journal!$D:$D,"&gt;="&amp;IS_From,GL_Journal!$D:$D,"&lt;="&amp;IS_To,GL_Journal!$I:$I,N$11,GL_Journal!$J:$J,IS_CCC,GL_Journal!$AE:$AE,0)</f>
        <v/>
      </c>
      <c r="O13" s="55">
        <f>P13-SUM(I13:N13)</f>
        <v/>
      </c>
      <c r="P13" s="55">
        <f>SUMIFS(GL_Journal!$T:$T,GL_Journal!$G:$G,"&gt;=4101",GL_Journal!$G:$G,"&lt;=4101",GL_Journal!$D:$D,"&gt;="&amp;IS_From,GL_Journal!$D:$D,"&lt;="&amp;IS_To,GL_Journal!$I:$I,"&lt;&gt;",GL_Journal!$J:$J,IS_CCC,GL_Journal!$AE:$AE,0)-SUMIFS(GL_Journal!$S:$S,GL_Journal!$G:$G,"&gt;=4101",GL_Journal!$G:$G,"&lt;=4101",GL_Journal!$D:$D,"&gt;="&amp;IS_From,GL_Journal!$D:$D,"&lt;="&amp;IS_To,GL_Journal!$I:$I,"&lt;&gt;",GL_Journal!$J:$J,IS_CCC,GL_Journal!$AE:$AE,0)</f>
        <v/>
      </c>
    </row>
    <row r="14">
      <c r="A14" s="65" t="inlineStr">
        <is>
          <t>مبيعات البيتزا</t>
        </is>
      </c>
      <c r="B14" s="8" t="n">
        <v>4102</v>
      </c>
      <c r="C14" s="8" t="n">
        <v>4102</v>
      </c>
      <c r="D14" s="8" t="inlineStr">
        <is>
          <t>دائن</t>
        </is>
      </c>
      <c r="E14" s="55">
        <f>SUMIFS(GL_Journal!$T:$T,GL_Journal!$G:$G,"&gt;=4102",GL_Journal!$G:$G,"&lt;=4102",GL_Journal!$D:$D,"&gt;="&amp;IS_From,GL_Journal!$D:$D,"&lt;="&amp;IS_To,GL_Journal!$I:$I,IS_LOCC,GL_Journal!$J:$J,IS_CCC,GL_Journal!$AE:$AE,0)-SUMIFS(GL_Journal!$S:$S,GL_Journal!$G:$G,"&gt;=4102",GL_Journal!$G:$G,"&lt;=4102",GL_Journal!$D:$D,"&gt;="&amp;IS_From,GL_Journal!$D:$D,"&lt;="&amp;IS_To,GL_Journal!$I:$I,IS_LOCC,GL_Journal!$J:$J,IS_CCC,GL_Journal!$AE:$AE,0)</f>
        <v/>
      </c>
      <c r="F14" s="66">
        <f>IF(E$20=0,"",E14/E$20)</f>
        <v/>
      </c>
      <c r="G14" s="55">
        <f>SUMIFS(GL_Journal!$T:$T,GL_Journal!$G:$G,"&gt;=4102",GL_Journal!$G:$G,"&lt;=4102",GL_Journal!$D:$D,"&gt;="&amp;S_PFrom,GL_Journal!$D:$D,"&lt;="&amp;S_PTo,GL_Journal!$I:$I,IS_LOCC,GL_Journal!$J:$J,IS_CCC,GL_Journal!$AE:$AE,0)-SUMIFS(GL_Journal!$S:$S,GL_Journal!$G:$G,"&gt;=4102",GL_Journal!$G:$G,"&lt;=4102",GL_Journal!$D:$D,"&gt;="&amp;S_PFrom,GL_Journal!$D:$D,"&lt;="&amp;S_PTo,GL_Journal!$I:$I,IS_LOCC,GL_Journal!$J:$J,IS_CCC,GL_Journal!$AE:$AE,0)</f>
        <v/>
      </c>
      <c r="H14" s="55">
        <f>E14-G14</f>
        <v/>
      </c>
      <c r="I14" s="55">
        <f>SUMIFS(GL_Journal!$T:$T,GL_Journal!$G:$G,"&gt;=4102",GL_Journal!$G:$G,"&lt;=4102",GL_Journal!$D:$D,"&gt;="&amp;IS_From,GL_Journal!$D:$D,"&lt;="&amp;IS_To,GL_Journal!$I:$I,I$11,GL_Journal!$J:$J,IS_CCC,GL_Journal!$AE:$AE,0)-SUMIFS(GL_Journal!$S:$S,GL_Journal!$G:$G,"&gt;=4102",GL_Journal!$G:$G,"&lt;=4102",GL_Journal!$D:$D,"&gt;="&amp;IS_From,GL_Journal!$D:$D,"&lt;="&amp;IS_To,GL_Journal!$I:$I,I$11,GL_Journal!$J:$J,IS_CCC,GL_Journal!$AE:$AE,0)</f>
        <v/>
      </c>
      <c r="J14" s="55">
        <f>SUMIFS(GL_Journal!$T:$T,GL_Journal!$G:$G,"&gt;=4102",GL_Journal!$G:$G,"&lt;=4102",GL_Journal!$D:$D,"&gt;="&amp;IS_From,GL_Journal!$D:$D,"&lt;="&amp;IS_To,GL_Journal!$I:$I,J$11,GL_Journal!$J:$J,IS_CCC,GL_Journal!$AE:$AE,0)-SUMIFS(GL_Journal!$S:$S,GL_Journal!$G:$G,"&gt;=4102",GL_Journal!$G:$G,"&lt;=4102",GL_Journal!$D:$D,"&gt;="&amp;IS_From,GL_Journal!$D:$D,"&lt;="&amp;IS_To,GL_Journal!$I:$I,J$11,GL_Journal!$J:$J,IS_CCC,GL_Journal!$AE:$AE,0)</f>
        <v/>
      </c>
      <c r="K14" s="55">
        <f>SUMIFS(GL_Journal!$T:$T,GL_Journal!$G:$G,"&gt;=4102",GL_Journal!$G:$G,"&lt;=4102",GL_Journal!$D:$D,"&gt;="&amp;IS_From,GL_Journal!$D:$D,"&lt;="&amp;IS_To,GL_Journal!$I:$I,K$11,GL_Journal!$J:$J,IS_CCC,GL_Journal!$AE:$AE,0)-SUMIFS(GL_Journal!$S:$S,GL_Journal!$G:$G,"&gt;=4102",GL_Journal!$G:$G,"&lt;=4102",GL_Journal!$D:$D,"&gt;="&amp;IS_From,GL_Journal!$D:$D,"&lt;="&amp;IS_To,GL_Journal!$I:$I,K$11,GL_Journal!$J:$J,IS_CCC,GL_Journal!$AE:$AE,0)</f>
        <v/>
      </c>
      <c r="L14" s="55">
        <f>SUMIFS(GL_Journal!$T:$T,GL_Journal!$G:$G,"&gt;=4102",GL_Journal!$G:$G,"&lt;=4102",GL_Journal!$D:$D,"&gt;="&amp;IS_From,GL_Journal!$D:$D,"&lt;="&amp;IS_To,GL_Journal!$I:$I,L$11,GL_Journal!$J:$J,IS_CCC,GL_Journal!$AE:$AE,0)-SUMIFS(GL_Journal!$S:$S,GL_Journal!$G:$G,"&gt;=4102",GL_Journal!$G:$G,"&lt;=4102",GL_Journal!$D:$D,"&gt;="&amp;IS_From,GL_Journal!$D:$D,"&lt;="&amp;IS_To,GL_Journal!$I:$I,L$11,GL_Journal!$J:$J,IS_CCC,GL_Journal!$AE:$AE,0)</f>
        <v/>
      </c>
      <c r="M14" s="55">
        <f>SUMIFS(GL_Journal!$T:$T,GL_Journal!$G:$G,"&gt;=4102",GL_Journal!$G:$G,"&lt;=4102",GL_Journal!$D:$D,"&gt;="&amp;IS_From,GL_Journal!$D:$D,"&lt;="&amp;IS_To,GL_Journal!$I:$I,M$11,GL_Journal!$J:$J,IS_CCC,GL_Journal!$AE:$AE,0)-SUMIFS(GL_Journal!$S:$S,GL_Journal!$G:$G,"&gt;=4102",GL_Journal!$G:$G,"&lt;=4102",GL_Journal!$D:$D,"&gt;="&amp;IS_From,GL_Journal!$D:$D,"&lt;="&amp;IS_To,GL_Journal!$I:$I,M$11,GL_Journal!$J:$J,IS_CCC,GL_Journal!$AE:$AE,0)</f>
        <v/>
      </c>
      <c r="N14" s="55">
        <f>SUMIFS(GL_Journal!$T:$T,GL_Journal!$G:$G,"&gt;=4102",GL_Journal!$G:$G,"&lt;=4102",GL_Journal!$D:$D,"&gt;="&amp;IS_From,GL_Journal!$D:$D,"&lt;="&amp;IS_To,GL_Journal!$I:$I,N$11,GL_Journal!$J:$J,IS_CCC,GL_Journal!$AE:$AE,0)-SUMIFS(GL_Journal!$S:$S,GL_Journal!$G:$G,"&gt;=4102",GL_Journal!$G:$G,"&lt;=4102",GL_Journal!$D:$D,"&gt;="&amp;IS_From,GL_Journal!$D:$D,"&lt;="&amp;IS_To,GL_Journal!$I:$I,N$11,GL_Journal!$J:$J,IS_CCC,GL_Journal!$AE:$AE,0)</f>
        <v/>
      </c>
      <c r="O14" s="55">
        <f>P14-SUM(I14:N14)</f>
        <v/>
      </c>
      <c r="P14" s="55">
        <f>SUMIFS(GL_Journal!$T:$T,GL_Journal!$G:$G,"&gt;=4102",GL_Journal!$G:$G,"&lt;=4102",GL_Journal!$D:$D,"&gt;="&amp;IS_From,GL_Journal!$D:$D,"&lt;="&amp;IS_To,GL_Journal!$I:$I,"&lt;&gt;",GL_Journal!$J:$J,IS_CCC,GL_Journal!$AE:$AE,0)-SUMIFS(GL_Journal!$S:$S,GL_Journal!$G:$G,"&gt;=4102",GL_Journal!$G:$G,"&lt;=4102",GL_Journal!$D:$D,"&gt;="&amp;IS_From,GL_Journal!$D:$D,"&lt;="&amp;IS_To,GL_Journal!$I:$I,"&lt;&gt;",GL_Journal!$J:$J,IS_CCC,GL_Journal!$AE:$AE,0)</f>
        <v/>
      </c>
    </row>
    <row r="15">
      <c r="A15" s="65" t="inlineStr">
        <is>
          <t>مبيعات المكرونات</t>
        </is>
      </c>
      <c r="B15" s="8" t="n">
        <v>4103</v>
      </c>
      <c r="C15" s="8" t="n">
        <v>4103</v>
      </c>
      <c r="D15" s="8" t="inlineStr">
        <is>
          <t>دائن</t>
        </is>
      </c>
      <c r="E15" s="55">
        <f>SUMIFS(GL_Journal!$T:$T,GL_Journal!$G:$G,"&gt;=4103",GL_Journal!$G:$G,"&lt;=4103",GL_Journal!$D:$D,"&gt;="&amp;IS_From,GL_Journal!$D:$D,"&lt;="&amp;IS_To,GL_Journal!$I:$I,IS_LOCC,GL_Journal!$J:$J,IS_CCC,GL_Journal!$AE:$AE,0)-SUMIFS(GL_Journal!$S:$S,GL_Journal!$G:$G,"&gt;=4103",GL_Journal!$G:$G,"&lt;=4103",GL_Journal!$D:$D,"&gt;="&amp;IS_From,GL_Journal!$D:$D,"&lt;="&amp;IS_To,GL_Journal!$I:$I,IS_LOCC,GL_Journal!$J:$J,IS_CCC,GL_Journal!$AE:$AE,0)</f>
        <v/>
      </c>
      <c r="F15" s="66">
        <f>IF(E$20=0,"",E15/E$20)</f>
        <v/>
      </c>
      <c r="G15" s="55">
        <f>SUMIFS(GL_Journal!$T:$T,GL_Journal!$G:$G,"&gt;=4103",GL_Journal!$G:$G,"&lt;=4103",GL_Journal!$D:$D,"&gt;="&amp;S_PFrom,GL_Journal!$D:$D,"&lt;="&amp;S_PTo,GL_Journal!$I:$I,IS_LOCC,GL_Journal!$J:$J,IS_CCC,GL_Journal!$AE:$AE,0)-SUMIFS(GL_Journal!$S:$S,GL_Journal!$G:$G,"&gt;=4103",GL_Journal!$G:$G,"&lt;=4103",GL_Journal!$D:$D,"&gt;="&amp;S_PFrom,GL_Journal!$D:$D,"&lt;="&amp;S_PTo,GL_Journal!$I:$I,IS_LOCC,GL_Journal!$J:$J,IS_CCC,GL_Journal!$AE:$AE,0)</f>
        <v/>
      </c>
      <c r="H15" s="55">
        <f>E15-G15</f>
        <v/>
      </c>
      <c r="I15" s="55">
        <f>SUMIFS(GL_Journal!$T:$T,GL_Journal!$G:$G,"&gt;=4103",GL_Journal!$G:$G,"&lt;=4103",GL_Journal!$D:$D,"&gt;="&amp;IS_From,GL_Journal!$D:$D,"&lt;="&amp;IS_To,GL_Journal!$I:$I,I$11,GL_Journal!$J:$J,IS_CCC,GL_Journal!$AE:$AE,0)-SUMIFS(GL_Journal!$S:$S,GL_Journal!$G:$G,"&gt;=4103",GL_Journal!$G:$G,"&lt;=4103",GL_Journal!$D:$D,"&gt;="&amp;IS_From,GL_Journal!$D:$D,"&lt;="&amp;IS_To,GL_Journal!$I:$I,I$11,GL_Journal!$J:$J,IS_CCC,GL_Journal!$AE:$AE,0)</f>
        <v/>
      </c>
      <c r="J15" s="55">
        <f>SUMIFS(GL_Journal!$T:$T,GL_Journal!$G:$G,"&gt;=4103",GL_Journal!$G:$G,"&lt;=4103",GL_Journal!$D:$D,"&gt;="&amp;IS_From,GL_Journal!$D:$D,"&lt;="&amp;IS_To,GL_Journal!$I:$I,J$11,GL_Journal!$J:$J,IS_CCC,GL_Journal!$AE:$AE,0)-SUMIFS(GL_Journal!$S:$S,GL_Journal!$G:$G,"&gt;=4103",GL_Journal!$G:$G,"&lt;=4103",GL_Journal!$D:$D,"&gt;="&amp;IS_From,GL_Journal!$D:$D,"&lt;="&amp;IS_To,GL_Journal!$I:$I,J$11,GL_Journal!$J:$J,IS_CCC,GL_Journal!$AE:$AE,0)</f>
        <v/>
      </c>
      <c r="K15" s="55">
        <f>SUMIFS(GL_Journal!$T:$T,GL_Journal!$G:$G,"&gt;=4103",GL_Journal!$G:$G,"&lt;=4103",GL_Journal!$D:$D,"&gt;="&amp;IS_From,GL_Journal!$D:$D,"&lt;="&amp;IS_To,GL_Journal!$I:$I,K$11,GL_Journal!$J:$J,IS_CCC,GL_Journal!$AE:$AE,0)-SUMIFS(GL_Journal!$S:$S,GL_Journal!$G:$G,"&gt;=4103",GL_Journal!$G:$G,"&lt;=4103",GL_Journal!$D:$D,"&gt;="&amp;IS_From,GL_Journal!$D:$D,"&lt;="&amp;IS_To,GL_Journal!$I:$I,K$11,GL_Journal!$J:$J,IS_CCC,GL_Journal!$AE:$AE,0)</f>
        <v/>
      </c>
      <c r="L15" s="55">
        <f>SUMIFS(GL_Journal!$T:$T,GL_Journal!$G:$G,"&gt;=4103",GL_Journal!$G:$G,"&lt;=4103",GL_Journal!$D:$D,"&gt;="&amp;IS_From,GL_Journal!$D:$D,"&lt;="&amp;IS_To,GL_Journal!$I:$I,L$11,GL_Journal!$J:$J,IS_CCC,GL_Journal!$AE:$AE,0)-SUMIFS(GL_Journal!$S:$S,GL_Journal!$G:$G,"&gt;=4103",GL_Journal!$G:$G,"&lt;=4103",GL_Journal!$D:$D,"&gt;="&amp;IS_From,GL_Journal!$D:$D,"&lt;="&amp;IS_To,GL_Journal!$I:$I,L$11,GL_Journal!$J:$J,IS_CCC,GL_Journal!$AE:$AE,0)</f>
        <v/>
      </c>
      <c r="M15" s="55">
        <f>SUMIFS(GL_Journal!$T:$T,GL_Journal!$G:$G,"&gt;=4103",GL_Journal!$G:$G,"&lt;=4103",GL_Journal!$D:$D,"&gt;="&amp;IS_From,GL_Journal!$D:$D,"&lt;="&amp;IS_To,GL_Journal!$I:$I,M$11,GL_Journal!$J:$J,IS_CCC,GL_Journal!$AE:$AE,0)-SUMIFS(GL_Journal!$S:$S,GL_Journal!$G:$G,"&gt;=4103",GL_Journal!$G:$G,"&lt;=4103",GL_Journal!$D:$D,"&gt;="&amp;IS_From,GL_Journal!$D:$D,"&lt;="&amp;IS_To,GL_Journal!$I:$I,M$11,GL_Journal!$J:$J,IS_CCC,GL_Journal!$AE:$AE,0)</f>
        <v/>
      </c>
      <c r="N15" s="55">
        <f>SUMIFS(GL_Journal!$T:$T,GL_Journal!$G:$G,"&gt;=4103",GL_Journal!$G:$G,"&lt;=4103",GL_Journal!$D:$D,"&gt;="&amp;IS_From,GL_Journal!$D:$D,"&lt;="&amp;IS_To,GL_Journal!$I:$I,N$11,GL_Journal!$J:$J,IS_CCC,GL_Journal!$AE:$AE,0)-SUMIFS(GL_Journal!$S:$S,GL_Journal!$G:$G,"&gt;=4103",GL_Journal!$G:$G,"&lt;=4103",GL_Journal!$D:$D,"&gt;="&amp;IS_From,GL_Journal!$D:$D,"&lt;="&amp;IS_To,GL_Journal!$I:$I,N$11,GL_Journal!$J:$J,IS_CCC,GL_Journal!$AE:$AE,0)</f>
        <v/>
      </c>
      <c r="O15" s="55">
        <f>P15-SUM(I15:N15)</f>
        <v/>
      </c>
      <c r="P15" s="55">
        <f>SUMIFS(GL_Journal!$T:$T,GL_Journal!$G:$G,"&gt;=4103",GL_Journal!$G:$G,"&lt;=4103",GL_Journal!$D:$D,"&gt;="&amp;IS_From,GL_Journal!$D:$D,"&lt;="&amp;IS_To,GL_Journal!$I:$I,"&lt;&gt;",GL_Journal!$J:$J,IS_CCC,GL_Journal!$AE:$AE,0)-SUMIFS(GL_Journal!$S:$S,GL_Journal!$G:$G,"&gt;=4103",GL_Journal!$G:$G,"&lt;=4103",GL_Journal!$D:$D,"&gt;="&amp;IS_From,GL_Journal!$D:$D,"&lt;="&amp;IS_To,GL_Journal!$I:$I,"&lt;&gt;",GL_Journal!$J:$J,IS_CCC,GL_Journal!$AE:$AE,0)</f>
        <v/>
      </c>
    </row>
    <row r="16">
      <c r="A16" s="65" t="inlineStr">
        <is>
          <t>مبيعات أخرى</t>
        </is>
      </c>
      <c r="B16" s="8" t="n">
        <v>4104</v>
      </c>
      <c r="C16" s="8" t="n">
        <v>4104</v>
      </c>
      <c r="D16" s="8" t="inlineStr">
        <is>
          <t>دائن</t>
        </is>
      </c>
      <c r="E16" s="55">
        <f>SUMIFS(GL_Journal!$T:$T,GL_Journal!$G:$G,"&gt;=4104",GL_Journal!$G:$G,"&lt;=4104",GL_Journal!$D:$D,"&gt;="&amp;IS_From,GL_Journal!$D:$D,"&lt;="&amp;IS_To,GL_Journal!$I:$I,IS_LOCC,GL_Journal!$J:$J,IS_CCC,GL_Journal!$AE:$AE,0)-SUMIFS(GL_Journal!$S:$S,GL_Journal!$G:$G,"&gt;=4104",GL_Journal!$G:$G,"&lt;=4104",GL_Journal!$D:$D,"&gt;="&amp;IS_From,GL_Journal!$D:$D,"&lt;="&amp;IS_To,GL_Journal!$I:$I,IS_LOCC,GL_Journal!$J:$J,IS_CCC,GL_Journal!$AE:$AE,0)</f>
        <v/>
      </c>
      <c r="F16" s="66">
        <f>IF(E$20=0,"",E16/E$20)</f>
        <v/>
      </c>
      <c r="G16" s="55">
        <f>SUMIFS(GL_Journal!$T:$T,GL_Journal!$G:$G,"&gt;=4104",GL_Journal!$G:$G,"&lt;=4104",GL_Journal!$D:$D,"&gt;="&amp;S_PFrom,GL_Journal!$D:$D,"&lt;="&amp;S_PTo,GL_Journal!$I:$I,IS_LOCC,GL_Journal!$J:$J,IS_CCC,GL_Journal!$AE:$AE,0)-SUMIFS(GL_Journal!$S:$S,GL_Journal!$G:$G,"&gt;=4104",GL_Journal!$G:$G,"&lt;=4104",GL_Journal!$D:$D,"&gt;="&amp;S_PFrom,GL_Journal!$D:$D,"&lt;="&amp;S_PTo,GL_Journal!$I:$I,IS_LOCC,GL_Journal!$J:$J,IS_CCC,GL_Journal!$AE:$AE,0)</f>
        <v/>
      </c>
      <c r="H16" s="55">
        <f>E16-G16</f>
        <v/>
      </c>
      <c r="I16" s="55">
        <f>SUMIFS(GL_Journal!$T:$T,GL_Journal!$G:$G,"&gt;=4104",GL_Journal!$G:$G,"&lt;=4104",GL_Journal!$D:$D,"&gt;="&amp;IS_From,GL_Journal!$D:$D,"&lt;="&amp;IS_To,GL_Journal!$I:$I,I$11,GL_Journal!$J:$J,IS_CCC,GL_Journal!$AE:$AE,0)-SUMIFS(GL_Journal!$S:$S,GL_Journal!$G:$G,"&gt;=4104",GL_Journal!$G:$G,"&lt;=4104",GL_Journal!$D:$D,"&gt;="&amp;IS_From,GL_Journal!$D:$D,"&lt;="&amp;IS_To,GL_Journal!$I:$I,I$11,GL_Journal!$J:$J,IS_CCC,GL_Journal!$AE:$AE,0)</f>
        <v/>
      </c>
      <c r="J16" s="55">
        <f>SUMIFS(GL_Journal!$T:$T,GL_Journal!$G:$G,"&gt;=4104",GL_Journal!$G:$G,"&lt;=4104",GL_Journal!$D:$D,"&gt;="&amp;IS_From,GL_Journal!$D:$D,"&lt;="&amp;IS_To,GL_Journal!$I:$I,J$11,GL_Journal!$J:$J,IS_CCC,GL_Journal!$AE:$AE,0)-SUMIFS(GL_Journal!$S:$S,GL_Journal!$G:$G,"&gt;=4104",GL_Journal!$G:$G,"&lt;=4104",GL_Journal!$D:$D,"&gt;="&amp;IS_From,GL_Journal!$D:$D,"&lt;="&amp;IS_To,GL_Journal!$I:$I,J$11,GL_Journal!$J:$J,IS_CCC,GL_Journal!$AE:$AE,0)</f>
        <v/>
      </c>
      <c r="K16" s="55">
        <f>SUMIFS(GL_Journal!$T:$T,GL_Journal!$G:$G,"&gt;=4104",GL_Journal!$G:$G,"&lt;=4104",GL_Journal!$D:$D,"&gt;="&amp;IS_From,GL_Journal!$D:$D,"&lt;="&amp;IS_To,GL_Journal!$I:$I,K$11,GL_Journal!$J:$J,IS_CCC,GL_Journal!$AE:$AE,0)-SUMIFS(GL_Journal!$S:$S,GL_Journal!$G:$G,"&gt;=4104",GL_Journal!$G:$G,"&lt;=4104",GL_Journal!$D:$D,"&gt;="&amp;IS_From,GL_Journal!$D:$D,"&lt;="&amp;IS_To,GL_Journal!$I:$I,K$11,GL_Journal!$J:$J,IS_CCC,GL_Journal!$AE:$AE,0)</f>
        <v/>
      </c>
      <c r="L16" s="55">
        <f>SUMIFS(GL_Journal!$T:$T,GL_Journal!$G:$G,"&gt;=4104",GL_Journal!$G:$G,"&lt;=4104",GL_Journal!$D:$D,"&gt;="&amp;IS_From,GL_Journal!$D:$D,"&lt;="&amp;IS_To,GL_Journal!$I:$I,L$11,GL_Journal!$J:$J,IS_CCC,GL_Journal!$AE:$AE,0)-SUMIFS(GL_Journal!$S:$S,GL_Journal!$G:$G,"&gt;=4104",GL_Journal!$G:$G,"&lt;=4104",GL_Journal!$D:$D,"&gt;="&amp;IS_From,GL_Journal!$D:$D,"&lt;="&amp;IS_To,GL_Journal!$I:$I,L$11,GL_Journal!$J:$J,IS_CCC,GL_Journal!$AE:$AE,0)</f>
        <v/>
      </c>
      <c r="M16" s="55">
        <f>SUMIFS(GL_Journal!$T:$T,GL_Journal!$G:$G,"&gt;=4104",GL_Journal!$G:$G,"&lt;=4104",GL_Journal!$D:$D,"&gt;="&amp;IS_From,GL_Journal!$D:$D,"&lt;="&amp;IS_To,GL_Journal!$I:$I,M$11,GL_Journal!$J:$J,IS_CCC,GL_Journal!$AE:$AE,0)-SUMIFS(GL_Journal!$S:$S,GL_Journal!$G:$G,"&gt;=4104",GL_Journal!$G:$G,"&lt;=4104",GL_Journal!$D:$D,"&gt;="&amp;IS_From,GL_Journal!$D:$D,"&lt;="&amp;IS_To,GL_Journal!$I:$I,M$11,GL_Journal!$J:$J,IS_CCC,GL_Journal!$AE:$AE,0)</f>
        <v/>
      </c>
      <c r="N16" s="55">
        <f>SUMIFS(GL_Journal!$T:$T,GL_Journal!$G:$G,"&gt;=4104",GL_Journal!$G:$G,"&lt;=4104",GL_Journal!$D:$D,"&gt;="&amp;IS_From,GL_Journal!$D:$D,"&lt;="&amp;IS_To,GL_Journal!$I:$I,N$11,GL_Journal!$J:$J,IS_CCC,GL_Journal!$AE:$AE,0)-SUMIFS(GL_Journal!$S:$S,GL_Journal!$G:$G,"&gt;=4104",GL_Journal!$G:$G,"&lt;=4104",GL_Journal!$D:$D,"&gt;="&amp;IS_From,GL_Journal!$D:$D,"&lt;="&amp;IS_To,GL_Journal!$I:$I,N$11,GL_Journal!$J:$J,IS_CCC,GL_Journal!$AE:$AE,0)</f>
        <v/>
      </c>
      <c r="O16" s="55">
        <f>P16-SUM(I16:N16)</f>
        <v/>
      </c>
      <c r="P16" s="55">
        <f>SUMIFS(GL_Journal!$T:$T,GL_Journal!$G:$G,"&gt;=4104",GL_Journal!$G:$G,"&lt;=4104",GL_Journal!$D:$D,"&gt;="&amp;IS_From,GL_Journal!$D:$D,"&lt;="&amp;IS_To,GL_Journal!$I:$I,"&lt;&gt;",GL_Journal!$J:$J,IS_CCC,GL_Journal!$AE:$AE,0)-SUMIFS(GL_Journal!$S:$S,GL_Journal!$G:$G,"&gt;=4104",GL_Journal!$G:$G,"&lt;=4104",GL_Journal!$D:$D,"&gt;="&amp;IS_From,GL_Journal!$D:$D,"&lt;="&amp;IS_To,GL_Journal!$I:$I,"&lt;&gt;",GL_Journal!$J:$J,IS_CCC,GL_Journal!$AE:$AE,0)</f>
        <v/>
      </c>
    </row>
    <row r="17">
      <c r="A17" s="67" t="inlineStr">
        <is>
          <t>إجمالي المبيعات (Gross Sales)</t>
        </is>
      </c>
      <c r="B17" s="68" t="n"/>
      <c r="C17" s="68" t="n"/>
      <c r="D17" s="68" t="n"/>
      <c r="E17" s="69">
        <f>E13+E14+E15+E16</f>
        <v/>
      </c>
      <c r="F17" s="70">
        <f>IF(E$20=0,"",E17/E$20)</f>
        <v/>
      </c>
      <c r="G17" s="69">
        <f>G13+G14+G15+G16</f>
        <v/>
      </c>
      <c r="H17" s="69">
        <f>E17-G17</f>
        <v/>
      </c>
      <c r="I17" s="69">
        <f>I13+I14+I15+I16</f>
        <v/>
      </c>
      <c r="J17" s="69">
        <f>J13+J14+J15+J16</f>
        <v/>
      </c>
      <c r="K17" s="69">
        <f>K13+K14+K15+K16</f>
        <v/>
      </c>
      <c r="L17" s="69">
        <f>L13+L14+L15+L16</f>
        <v/>
      </c>
      <c r="M17" s="69">
        <f>M13+M14+M15+M16</f>
        <v/>
      </c>
      <c r="N17" s="69">
        <f>N13+N14+N15+N16</f>
        <v/>
      </c>
      <c r="O17" s="69">
        <f>O13+O14+O15+O16</f>
        <v/>
      </c>
      <c r="P17" s="69">
        <f>P13+P14+P15+P16</f>
        <v/>
      </c>
    </row>
    <row r="18">
      <c r="A18" s="65" t="inlineStr">
        <is>
          <t>(-) خصومات المبيعات والعروض</t>
        </is>
      </c>
      <c r="B18" s="8" t="n">
        <v>4901</v>
      </c>
      <c r="C18" s="8" t="n">
        <v>4901</v>
      </c>
      <c r="D18" s="8" t="inlineStr">
        <is>
          <t>دائن</t>
        </is>
      </c>
      <c r="E18" s="55">
        <f>SUMIFS(GL_Journal!$T:$T,GL_Journal!$G:$G,"&gt;=4901",GL_Journal!$G:$G,"&lt;=4901",GL_Journal!$D:$D,"&gt;="&amp;IS_From,GL_Journal!$D:$D,"&lt;="&amp;IS_To,GL_Journal!$I:$I,IS_LOCC,GL_Journal!$J:$J,IS_CCC,GL_Journal!$AE:$AE,0)-SUMIFS(GL_Journal!$S:$S,GL_Journal!$G:$G,"&gt;=4901",GL_Journal!$G:$G,"&lt;=4901",GL_Journal!$D:$D,"&gt;="&amp;IS_From,GL_Journal!$D:$D,"&lt;="&amp;IS_To,GL_Journal!$I:$I,IS_LOCC,GL_Journal!$J:$J,IS_CCC,GL_Journal!$AE:$AE,0)</f>
        <v/>
      </c>
      <c r="F18" s="66">
        <f>IF(E$20=0,"",E18/E$20)</f>
        <v/>
      </c>
      <c r="G18" s="55">
        <f>SUMIFS(GL_Journal!$T:$T,GL_Journal!$G:$G,"&gt;=4901",GL_Journal!$G:$G,"&lt;=4901",GL_Journal!$D:$D,"&gt;="&amp;S_PFrom,GL_Journal!$D:$D,"&lt;="&amp;S_PTo,GL_Journal!$I:$I,IS_LOCC,GL_Journal!$J:$J,IS_CCC,GL_Journal!$AE:$AE,0)-SUMIFS(GL_Journal!$S:$S,GL_Journal!$G:$G,"&gt;=4901",GL_Journal!$G:$G,"&lt;=4901",GL_Journal!$D:$D,"&gt;="&amp;S_PFrom,GL_Journal!$D:$D,"&lt;="&amp;S_PTo,GL_Journal!$I:$I,IS_LOCC,GL_Journal!$J:$J,IS_CCC,GL_Journal!$AE:$AE,0)</f>
        <v/>
      </c>
      <c r="H18" s="55">
        <f>E18-G18</f>
        <v/>
      </c>
      <c r="I18" s="55">
        <f>SUMIFS(GL_Journal!$T:$T,GL_Journal!$G:$G,"&gt;=4901",GL_Journal!$G:$G,"&lt;=4901",GL_Journal!$D:$D,"&gt;="&amp;IS_From,GL_Journal!$D:$D,"&lt;="&amp;IS_To,GL_Journal!$I:$I,I$11,GL_Journal!$J:$J,IS_CCC,GL_Journal!$AE:$AE,0)-SUMIFS(GL_Journal!$S:$S,GL_Journal!$G:$G,"&gt;=4901",GL_Journal!$G:$G,"&lt;=4901",GL_Journal!$D:$D,"&gt;="&amp;IS_From,GL_Journal!$D:$D,"&lt;="&amp;IS_To,GL_Journal!$I:$I,I$11,GL_Journal!$J:$J,IS_CCC,GL_Journal!$AE:$AE,0)</f>
        <v/>
      </c>
      <c r="J18" s="55">
        <f>SUMIFS(GL_Journal!$T:$T,GL_Journal!$G:$G,"&gt;=4901",GL_Journal!$G:$G,"&lt;=4901",GL_Journal!$D:$D,"&gt;="&amp;IS_From,GL_Journal!$D:$D,"&lt;="&amp;IS_To,GL_Journal!$I:$I,J$11,GL_Journal!$J:$J,IS_CCC,GL_Journal!$AE:$AE,0)-SUMIFS(GL_Journal!$S:$S,GL_Journal!$G:$G,"&gt;=4901",GL_Journal!$G:$G,"&lt;=4901",GL_Journal!$D:$D,"&gt;="&amp;IS_From,GL_Journal!$D:$D,"&lt;="&amp;IS_To,GL_Journal!$I:$I,J$11,GL_Journal!$J:$J,IS_CCC,GL_Journal!$AE:$AE,0)</f>
        <v/>
      </c>
      <c r="K18" s="55">
        <f>SUMIFS(GL_Journal!$T:$T,GL_Journal!$G:$G,"&gt;=4901",GL_Journal!$G:$G,"&lt;=4901",GL_Journal!$D:$D,"&gt;="&amp;IS_From,GL_Journal!$D:$D,"&lt;="&amp;IS_To,GL_Journal!$I:$I,K$11,GL_Journal!$J:$J,IS_CCC,GL_Journal!$AE:$AE,0)-SUMIFS(GL_Journal!$S:$S,GL_Journal!$G:$G,"&gt;=4901",GL_Journal!$G:$G,"&lt;=4901",GL_Journal!$D:$D,"&gt;="&amp;IS_From,GL_Journal!$D:$D,"&lt;="&amp;IS_To,GL_Journal!$I:$I,K$11,GL_Journal!$J:$J,IS_CCC,GL_Journal!$AE:$AE,0)</f>
        <v/>
      </c>
      <c r="L18" s="55">
        <f>SUMIFS(GL_Journal!$T:$T,GL_Journal!$G:$G,"&gt;=4901",GL_Journal!$G:$G,"&lt;=4901",GL_Journal!$D:$D,"&gt;="&amp;IS_From,GL_Journal!$D:$D,"&lt;="&amp;IS_To,GL_Journal!$I:$I,L$11,GL_Journal!$J:$J,IS_CCC,GL_Journal!$AE:$AE,0)-SUMIFS(GL_Journal!$S:$S,GL_Journal!$G:$G,"&gt;=4901",GL_Journal!$G:$G,"&lt;=4901",GL_Journal!$D:$D,"&gt;="&amp;IS_From,GL_Journal!$D:$D,"&lt;="&amp;IS_To,GL_Journal!$I:$I,L$11,GL_Journal!$J:$J,IS_CCC,GL_Journal!$AE:$AE,0)</f>
        <v/>
      </c>
      <c r="M18" s="55">
        <f>SUMIFS(GL_Journal!$T:$T,GL_Journal!$G:$G,"&gt;=4901",GL_Journal!$G:$G,"&lt;=4901",GL_Journal!$D:$D,"&gt;="&amp;IS_From,GL_Journal!$D:$D,"&lt;="&amp;IS_To,GL_Journal!$I:$I,M$11,GL_Journal!$J:$J,IS_CCC,GL_Journal!$AE:$AE,0)-SUMIFS(GL_Journal!$S:$S,GL_Journal!$G:$G,"&gt;=4901",GL_Journal!$G:$G,"&lt;=4901",GL_Journal!$D:$D,"&gt;="&amp;IS_From,GL_Journal!$D:$D,"&lt;="&amp;IS_To,GL_Journal!$I:$I,M$11,GL_Journal!$J:$J,IS_CCC,GL_Journal!$AE:$AE,0)</f>
        <v/>
      </c>
      <c r="N18" s="55">
        <f>SUMIFS(GL_Journal!$T:$T,GL_Journal!$G:$G,"&gt;=4901",GL_Journal!$G:$G,"&lt;=4901",GL_Journal!$D:$D,"&gt;="&amp;IS_From,GL_Journal!$D:$D,"&lt;="&amp;IS_To,GL_Journal!$I:$I,N$11,GL_Journal!$J:$J,IS_CCC,GL_Journal!$AE:$AE,0)-SUMIFS(GL_Journal!$S:$S,GL_Journal!$G:$G,"&gt;=4901",GL_Journal!$G:$G,"&lt;=4901",GL_Journal!$D:$D,"&gt;="&amp;IS_From,GL_Journal!$D:$D,"&lt;="&amp;IS_To,GL_Journal!$I:$I,N$11,GL_Journal!$J:$J,IS_CCC,GL_Journal!$AE:$AE,0)</f>
        <v/>
      </c>
      <c r="O18" s="55">
        <f>P18-SUM(I18:N18)</f>
        <v/>
      </c>
      <c r="P18" s="55">
        <f>SUMIFS(GL_Journal!$T:$T,GL_Journal!$G:$G,"&gt;=4901",GL_Journal!$G:$G,"&lt;=4901",GL_Journal!$D:$D,"&gt;="&amp;IS_From,GL_Journal!$D:$D,"&lt;="&amp;IS_To,GL_Journal!$I:$I,"&lt;&gt;",GL_Journal!$J:$J,IS_CCC,GL_Journal!$AE:$AE,0)-SUMIFS(GL_Journal!$S:$S,GL_Journal!$G:$G,"&gt;=4901",GL_Journal!$G:$G,"&lt;=4901",GL_Journal!$D:$D,"&gt;="&amp;IS_From,GL_Journal!$D:$D,"&lt;="&amp;IS_To,GL_Journal!$I:$I,"&lt;&gt;",GL_Journal!$J:$J,IS_CCC,GL_Journal!$AE:$AE,0)</f>
        <v/>
      </c>
    </row>
    <row r="19">
      <c r="A19" s="65" t="inlineStr">
        <is>
          <t>(-) مرتجعات وإلغاءات المبيعات</t>
        </is>
      </c>
      <c r="B19" s="8" t="n">
        <v>4902</v>
      </c>
      <c r="C19" s="8" t="n">
        <v>4902</v>
      </c>
      <c r="D19" s="8" t="inlineStr">
        <is>
          <t>دائن</t>
        </is>
      </c>
      <c r="E19" s="55">
        <f>SUMIFS(GL_Journal!$T:$T,GL_Journal!$G:$G,"&gt;=4902",GL_Journal!$G:$G,"&lt;=4902",GL_Journal!$D:$D,"&gt;="&amp;IS_From,GL_Journal!$D:$D,"&lt;="&amp;IS_To,GL_Journal!$I:$I,IS_LOCC,GL_Journal!$J:$J,IS_CCC,GL_Journal!$AE:$AE,0)-SUMIFS(GL_Journal!$S:$S,GL_Journal!$G:$G,"&gt;=4902",GL_Journal!$G:$G,"&lt;=4902",GL_Journal!$D:$D,"&gt;="&amp;IS_From,GL_Journal!$D:$D,"&lt;="&amp;IS_To,GL_Journal!$I:$I,IS_LOCC,GL_Journal!$J:$J,IS_CCC,GL_Journal!$AE:$AE,0)</f>
        <v/>
      </c>
      <c r="F19" s="66">
        <f>IF(E$20=0,"",E19/E$20)</f>
        <v/>
      </c>
      <c r="G19" s="55">
        <f>SUMIFS(GL_Journal!$T:$T,GL_Journal!$G:$G,"&gt;=4902",GL_Journal!$G:$G,"&lt;=4902",GL_Journal!$D:$D,"&gt;="&amp;S_PFrom,GL_Journal!$D:$D,"&lt;="&amp;S_PTo,GL_Journal!$I:$I,IS_LOCC,GL_Journal!$J:$J,IS_CCC,GL_Journal!$AE:$AE,0)-SUMIFS(GL_Journal!$S:$S,GL_Journal!$G:$G,"&gt;=4902",GL_Journal!$G:$G,"&lt;=4902",GL_Journal!$D:$D,"&gt;="&amp;S_PFrom,GL_Journal!$D:$D,"&lt;="&amp;S_PTo,GL_Journal!$I:$I,IS_LOCC,GL_Journal!$J:$J,IS_CCC,GL_Journal!$AE:$AE,0)</f>
        <v/>
      </c>
      <c r="H19" s="55">
        <f>E19-G19</f>
        <v/>
      </c>
      <c r="I19" s="55">
        <f>SUMIFS(GL_Journal!$T:$T,GL_Journal!$G:$G,"&gt;=4902",GL_Journal!$G:$G,"&lt;=4902",GL_Journal!$D:$D,"&gt;="&amp;IS_From,GL_Journal!$D:$D,"&lt;="&amp;IS_To,GL_Journal!$I:$I,I$11,GL_Journal!$J:$J,IS_CCC,GL_Journal!$AE:$AE,0)-SUMIFS(GL_Journal!$S:$S,GL_Journal!$G:$G,"&gt;=4902",GL_Journal!$G:$G,"&lt;=4902",GL_Journal!$D:$D,"&gt;="&amp;IS_From,GL_Journal!$D:$D,"&lt;="&amp;IS_To,GL_Journal!$I:$I,I$11,GL_Journal!$J:$J,IS_CCC,GL_Journal!$AE:$AE,0)</f>
        <v/>
      </c>
      <c r="J19" s="55">
        <f>SUMIFS(GL_Journal!$T:$T,GL_Journal!$G:$G,"&gt;=4902",GL_Journal!$G:$G,"&lt;=4902",GL_Journal!$D:$D,"&gt;="&amp;IS_From,GL_Journal!$D:$D,"&lt;="&amp;IS_To,GL_Journal!$I:$I,J$11,GL_Journal!$J:$J,IS_CCC,GL_Journal!$AE:$AE,0)-SUMIFS(GL_Journal!$S:$S,GL_Journal!$G:$G,"&gt;=4902",GL_Journal!$G:$G,"&lt;=4902",GL_Journal!$D:$D,"&gt;="&amp;IS_From,GL_Journal!$D:$D,"&lt;="&amp;IS_To,GL_Journal!$I:$I,J$11,GL_Journal!$J:$J,IS_CCC,GL_Journal!$AE:$AE,0)</f>
        <v/>
      </c>
      <c r="K19" s="55">
        <f>SUMIFS(GL_Journal!$T:$T,GL_Journal!$G:$G,"&gt;=4902",GL_Journal!$G:$G,"&lt;=4902",GL_Journal!$D:$D,"&gt;="&amp;IS_From,GL_Journal!$D:$D,"&lt;="&amp;IS_To,GL_Journal!$I:$I,K$11,GL_Journal!$J:$J,IS_CCC,GL_Journal!$AE:$AE,0)-SUMIFS(GL_Journal!$S:$S,GL_Journal!$G:$G,"&gt;=4902",GL_Journal!$G:$G,"&lt;=4902",GL_Journal!$D:$D,"&gt;="&amp;IS_From,GL_Journal!$D:$D,"&lt;="&amp;IS_To,GL_Journal!$I:$I,K$11,GL_Journal!$J:$J,IS_CCC,GL_Journal!$AE:$AE,0)</f>
        <v/>
      </c>
      <c r="L19" s="55">
        <f>SUMIFS(GL_Journal!$T:$T,GL_Journal!$G:$G,"&gt;=4902",GL_Journal!$G:$G,"&lt;=4902",GL_Journal!$D:$D,"&gt;="&amp;IS_From,GL_Journal!$D:$D,"&lt;="&amp;IS_To,GL_Journal!$I:$I,L$11,GL_Journal!$J:$J,IS_CCC,GL_Journal!$AE:$AE,0)-SUMIFS(GL_Journal!$S:$S,GL_Journal!$G:$G,"&gt;=4902",GL_Journal!$G:$G,"&lt;=4902",GL_Journal!$D:$D,"&gt;="&amp;IS_From,GL_Journal!$D:$D,"&lt;="&amp;IS_To,GL_Journal!$I:$I,L$11,GL_Journal!$J:$J,IS_CCC,GL_Journal!$AE:$AE,0)</f>
        <v/>
      </c>
      <c r="M19" s="55">
        <f>SUMIFS(GL_Journal!$T:$T,GL_Journal!$G:$G,"&gt;=4902",GL_Journal!$G:$G,"&lt;=4902",GL_Journal!$D:$D,"&gt;="&amp;IS_From,GL_Journal!$D:$D,"&lt;="&amp;IS_To,GL_Journal!$I:$I,M$11,GL_Journal!$J:$J,IS_CCC,GL_Journal!$AE:$AE,0)-SUMIFS(GL_Journal!$S:$S,GL_Journal!$G:$G,"&gt;=4902",GL_Journal!$G:$G,"&lt;=4902",GL_Journal!$D:$D,"&gt;="&amp;IS_From,GL_Journal!$D:$D,"&lt;="&amp;IS_To,GL_Journal!$I:$I,M$11,GL_Journal!$J:$J,IS_CCC,GL_Journal!$AE:$AE,0)</f>
        <v/>
      </c>
      <c r="N19" s="55">
        <f>SUMIFS(GL_Journal!$T:$T,GL_Journal!$G:$G,"&gt;=4902",GL_Journal!$G:$G,"&lt;=4902",GL_Journal!$D:$D,"&gt;="&amp;IS_From,GL_Journal!$D:$D,"&lt;="&amp;IS_To,GL_Journal!$I:$I,N$11,GL_Journal!$J:$J,IS_CCC,GL_Journal!$AE:$AE,0)-SUMIFS(GL_Journal!$S:$S,GL_Journal!$G:$G,"&gt;=4902",GL_Journal!$G:$G,"&lt;=4902",GL_Journal!$D:$D,"&gt;="&amp;IS_From,GL_Journal!$D:$D,"&lt;="&amp;IS_To,GL_Journal!$I:$I,N$11,GL_Journal!$J:$J,IS_CCC,GL_Journal!$AE:$AE,0)</f>
        <v/>
      </c>
      <c r="O19" s="55">
        <f>P19-SUM(I19:N19)</f>
        <v/>
      </c>
      <c r="P19" s="55">
        <f>SUMIFS(GL_Journal!$T:$T,GL_Journal!$G:$G,"&gt;=4902",GL_Journal!$G:$G,"&lt;=4902",GL_Journal!$D:$D,"&gt;="&amp;IS_From,GL_Journal!$D:$D,"&lt;="&amp;IS_To,GL_Journal!$I:$I,"&lt;&gt;",GL_Journal!$J:$J,IS_CCC,GL_Journal!$AE:$AE,0)-SUMIFS(GL_Journal!$S:$S,GL_Journal!$G:$G,"&gt;=4902",GL_Journal!$G:$G,"&lt;=4902",GL_Journal!$D:$D,"&gt;="&amp;IS_From,GL_Journal!$D:$D,"&lt;="&amp;IS_To,GL_Journal!$I:$I,"&lt;&gt;",GL_Journal!$J:$J,IS_CCC,GL_Journal!$AE:$AE,0)</f>
        <v/>
      </c>
    </row>
    <row r="20">
      <c r="A20" s="67" t="inlineStr">
        <is>
          <t>صافي المبيعات (Net Sales)</t>
        </is>
      </c>
      <c r="B20" s="68" t="n"/>
      <c r="C20" s="68" t="n"/>
      <c r="D20" s="68" t="n"/>
      <c r="E20" s="69">
        <f>E17+E18+E19</f>
        <v/>
      </c>
      <c r="F20" s="70">
        <f>IF(E$20=0,"",E20/E$20)</f>
        <v/>
      </c>
      <c r="G20" s="69">
        <f>G17+G18+G19</f>
        <v/>
      </c>
      <c r="H20" s="69">
        <f>E20-G20</f>
        <v/>
      </c>
      <c r="I20" s="69">
        <f>I17+I18+I19</f>
        <v/>
      </c>
      <c r="J20" s="69">
        <f>J17+J18+J19</f>
        <v/>
      </c>
      <c r="K20" s="69">
        <f>K17+K18+K19</f>
        <v/>
      </c>
      <c r="L20" s="69">
        <f>L17+L18+L19</f>
        <v/>
      </c>
      <c r="M20" s="69">
        <f>M17+M18+M19</f>
        <v/>
      </c>
      <c r="N20" s="69">
        <f>N17+N18+N19</f>
        <v/>
      </c>
      <c r="O20" s="69">
        <f>O17+O18+O19</f>
        <v/>
      </c>
      <c r="P20" s="69">
        <f>P17+P18+P19</f>
        <v/>
      </c>
    </row>
    <row r="21">
      <c r="A21" s="53" t="inlineStr">
        <is>
          <t>تكلفة المبيعات</t>
        </is>
      </c>
      <c r="B21" s="14" t="n"/>
      <c r="C21" s="14" t="n"/>
      <c r="D21" s="14" t="n"/>
      <c r="E21" s="14" t="n"/>
      <c r="F21" s="14" t="n"/>
      <c r="G21" s="14" t="n"/>
      <c r="H21" s="14" t="n"/>
      <c r="I21" s="14" t="n"/>
      <c r="J21" s="14" t="n"/>
      <c r="K21" s="14" t="n"/>
      <c r="L21" s="14" t="n"/>
      <c r="M21" s="14" t="n"/>
      <c r="N21" s="14" t="n"/>
      <c r="O21" s="14" t="n"/>
      <c r="P21" s="14" t="n"/>
    </row>
    <row r="22">
      <c r="A22" s="65" t="inlineStr">
        <is>
          <t>تكلفة المواد والعبوات</t>
        </is>
      </c>
      <c r="B22" s="8" t="n">
        <v>5100</v>
      </c>
      <c r="C22" s="8" t="n">
        <v>5199</v>
      </c>
      <c r="D22" s="8" t="inlineStr">
        <is>
          <t>مدين</t>
        </is>
      </c>
      <c r="E22" s="55">
        <f>SUMIFS(GL_Journal!$S:$S,GL_Journal!$G:$G,"&gt;=5100",GL_Journal!$G:$G,"&lt;=5199",GL_Journal!$D:$D,"&gt;="&amp;IS_From,GL_Journal!$D:$D,"&lt;="&amp;IS_To,GL_Journal!$I:$I,IS_LOCC,GL_Journal!$J:$J,IS_CCC,GL_Journal!$AE:$AE,0)-SUMIFS(GL_Journal!$T:$T,GL_Journal!$G:$G,"&gt;=5100",GL_Journal!$G:$G,"&lt;=5199",GL_Journal!$D:$D,"&gt;="&amp;IS_From,GL_Journal!$D:$D,"&lt;="&amp;IS_To,GL_Journal!$I:$I,IS_LOCC,GL_Journal!$J:$J,IS_CCC,GL_Journal!$AE:$AE,0)</f>
        <v/>
      </c>
      <c r="F22" s="66">
        <f>IF(E$20=0,"",E22/E$20)</f>
        <v/>
      </c>
      <c r="G22" s="55">
        <f>SUMIFS(GL_Journal!$S:$S,GL_Journal!$G:$G,"&gt;=5100",GL_Journal!$G:$G,"&lt;=5199",GL_Journal!$D:$D,"&gt;="&amp;S_PFrom,GL_Journal!$D:$D,"&lt;="&amp;S_PTo,GL_Journal!$I:$I,IS_LOCC,GL_Journal!$J:$J,IS_CCC,GL_Journal!$AE:$AE,0)-SUMIFS(GL_Journal!$T:$T,GL_Journal!$G:$G,"&gt;=5100",GL_Journal!$G:$G,"&lt;=5199",GL_Journal!$D:$D,"&gt;="&amp;S_PFrom,GL_Journal!$D:$D,"&lt;="&amp;S_PTo,GL_Journal!$I:$I,IS_LOCC,GL_Journal!$J:$J,IS_CCC,GL_Journal!$AE:$AE,0)</f>
        <v/>
      </c>
      <c r="H22" s="55">
        <f>E22-G22</f>
        <v/>
      </c>
      <c r="I22" s="55">
        <f>SUMIFS(GL_Journal!$S:$S,GL_Journal!$G:$G,"&gt;=5100",GL_Journal!$G:$G,"&lt;=5199",GL_Journal!$D:$D,"&gt;="&amp;IS_From,GL_Journal!$D:$D,"&lt;="&amp;IS_To,GL_Journal!$I:$I,I$11,GL_Journal!$J:$J,IS_CCC,GL_Journal!$AE:$AE,0)-SUMIFS(GL_Journal!$T:$T,GL_Journal!$G:$G,"&gt;=5100",GL_Journal!$G:$G,"&lt;=5199",GL_Journal!$D:$D,"&gt;="&amp;IS_From,GL_Journal!$D:$D,"&lt;="&amp;IS_To,GL_Journal!$I:$I,I$11,GL_Journal!$J:$J,IS_CCC,GL_Journal!$AE:$AE,0)</f>
        <v/>
      </c>
      <c r="J22" s="55">
        <f>SUMIFS(GL_Journal!$S:$S,GL_Journal!$G:$G,"&gt;=5100",GL_Journal!$G:$G,"&lt;=5199",GL_Journal!$D:$D,"&gt;="&amp;IS_From,GL_Journal!$D:$D,"&lt;="&amp;IS_To,GL_Journal!$I:$I,J$11,GL_Journal!$J:$J,IS_CCC,GL_Journal!$AE:$AE,0)-SUMIFS(GL_Journal!$T:$T,GL_Journal!$G:$G,"&gt;=5100",GL_Journal!$G:$G,"&lt;=5199",GL_Journal!$D:$D,"&gt;="&amp;IS_From,GL_Journal!$D:$D,"&lt;="&amp;IS_To,GL_Journal!$I:$I,J$11,GL_Journal!$J:$J,IS_CCC,GL_Journal!$AE:$AE,0)</f>
        <v/>
      </c>
      <c r="K22" s="55">
        <f>SUMIFS(GL_Journal!$S:$S,GL_Journal!$G:$G,"&gt;=5100",GL_Journal!$G:$G,"&lt;=5199",GL_Journal!$D:$D,"&gt;="&amp;IS_From,GL_Journal!$D:$D,"&lt;="&amp;IS_To,GL_Journal!$I:$I,K$11,GL_Journal!$J:$J,IS_CCC,GL_Journal!$AE:$AE,0)-SUMIFS(GL_Journal!$T:$T,GL_Journal!$G:$G,"&gt;=5100",GL_Journal!$G:$G,"&lt;=5199",GL_Journal!$D:$D,"&gt;="&amp;IS_From,GL_Journal!$D:$D,"&lt;="&amp;IS_To,GL_Journal!$I:$I,K$11,GL_Journal!$J:$J,IS_CCC,GL_Journal!$AE:$AE,0)</f>
        <v/>
      </c>
      <c r="L22" s="55">
        <f>SUMIFS(GL_Journal!$S:$S,GL_Journal!$G:$G,"&gt;=5100",GL_Journal!$G:$G,"&lt;=5199",GL_Journal!$D:$D,"&gt;="&amp;IS_From,GL_Journal!$D:$D,"&lt;="&amp;IS_To,GL_Journal!$I:$I,L$11,GL_Journal!$J:$J,IS_CCC,GL_Journal!$AE:$AE,0)-SUMIFS(GL_Journal!$T:$T,GL_Journal!$G:$G,"&gt;=5100",GL_Journal!$G:$G,"&lt;=5199",GL_Journal!$D:$D,"&gt;="&amp;IS_From,GL_Journal!$D:$D,"&lt;="&amp;IS_To,GL_Journal!$I:$I,L$11,GL_Journal!$J:$J,IS_CCC,GL_Journal!$AE:$AE,0)</f>
        <v/>
      </c>
      <c r="M22" s="55">
        <f>SUMIFS(GL_Journal!$S:$S,GL_Journal!$G:$G,"&gt;=5100",GL_Journal!$G:$G,"&lt;=5199",GL_Journal!$D:$D,"&gt;="&amp;IS_From,GL_Journal!$D:$D,"&lt;="&amp;IS_To,GL_Journal!$I:$I,M$11,GL_Journal!$J:$J,IS_CCC,GL_Journal!$AE:$AE,0)-SUMIFS(GL_Journal!$T:$T,GL_Journal!$G:$G,"&gt;=5100",GL_Journal!$G:$G,"&lt;=5199",GL_Journal!$D:$D,"&gt;="&amp;IS_From,GL_Journal!$D:$D,"&lt;="&amp;IS_To,GL_Journal!$I:$I,M$11,GL_Journal!$J:$J,IS_CCC,GL_Journal!$AE:$AE,0)</f>
        <v/>
      </c>
      <c r="N22" s="55">
        <f>SUMIFS(GL_Journal!$S:$S,GL_Journal!$G:$G,"&gt;=5100",GL_Journal!$G:$G,"&lt;=5199",GL_Journal!$D:$D,"&gt;="&amp;IS_From,GL_Journal!$D:$D,"&lt;="&amp;IS_To,GL_Journal!$I:$I,N$11,GL_Journal!$J:$J,IS_CCC,GL_Journal!$AE:$AE,0)-SUMIFS(GL_Journal!$T:$T,GL_Journal!$G:$G,"&gt;=5100",GL_Journal!$G:$G,"&lt;=5199",GL_Journal!$D:$D,"&gt;="&amp;IS_From,GL_Journal!$D:$D,"&lt;="&amp;IS_To,GL_Journal!$I:$I,N$11,GL_Journal!$J:$J,IS_CCC,GL_Journal!$AE:$AE,0)</f>
        <v/>
      </c>
      <c r="O22" s="55">
        <f>P22-SUM(I22:N22)</f>
        <v/>
      </c>
      <c r="P22" s="55">
        <f>SUMIFS(GL_Journal!$S:$S,GL_Journal!$G:$G,"&gt;=5100",GL_Journal!$G:$G,"&lt;=5199",GL_Journal!$D:$D,"&gt;="&amp;IS_From,GL_Journal!$D:$D,"&lt;="&amp;IS_To,GL_Journal!$I:$I,"&lt;&gt;",GL_Journal!$J:$J,IS_CCC,GL_Journal!$AE:$AE,0)-SUMIFS(GL_Journal!$T:$T,GL_Journal!$G:$G,"&gt;=5100",GL_Journal!$G:$G,"&lt;=5199",GL_Journal!$D:$D,"&gt;="&amp;IS_From,GL_Journal!$D:$D,"&lt;="&amp;IS_To,GL_Journal!$I:$I,"&lt;&gt;",GL_Journal!$J:$J,IS_CCC,GL_Journal!$AE:$AE,0)</f>
        <v/>
      </c>
    </row>
    <row r="23">
      <c r="A23" s="65" t="inlineStr">
        <is>
          <t>الهالك</t>
        </is>
      </c>
      <c r="B23" s="8" t="n">
        <v>5200</v>
      </c>
      <c r="C23" s="8" t="n">
        <v>5299</v>
      </c>
      <c r="D23" s="8" t="inlineStr">
        <is>
          <t>مدين</t>
        </is>
      </c>
      <c r="E23" s="55">
        <f>SUMIFS(GL_Journal!$S:$S,GL_Journal!$G:$G,"&gt;=5200",GL_Journal!$G:$G,"&lt;=5299",GL_Journal!$D:$D,"&gt;="&amp;IS_From,GL_Journal!$D:$D,"&lt;="&amp;IS_To,GL_Journal!$I:$I,IS_LOCC,GL_Journal!$J:$J,IS_CCC,GL_Journal!$AE:$AE,0)-SUMIFS(GL_Journal!$T:$T,GL_Journal!$G:$G,"&gt;=5200",GL_Journal!$G:$G,"&lt;=5299",GL_Journal!$D:$D,"&gt;="&amp;IS_From,GL_Journal!$D:$D,"&lt;="&amp;IS_To,GL_Journal!$I:$I,IS_LOCC,GL_Journal!$J:$J,IS_CCC,GL_Journal!$AE:$AE,0)</f>
        <v/>
      </c>
      <c r="F23" s="66">
        <f>IF(E$20=0,"",E23/E$20)</f>
        <v/>
      </c>
      <c r="G23" s="55">
        <f>SUMIFS(GL_Journal!$S:$S,GL_Journal!$G:$G,"&gt;=5200",GL_Journal!$G:$G,"&lt;=5299",GL_Journal!$D:$D,"&gt;="&amp;S_PFrom,GL_Journal!$D:$D,"&lt;="&amp;S_PTo,GL_Journal!$I:$I,IS_LOCC,GL_Journal!$J:$J,IS_CCC,GL_Journal!$AE:$AE,0)-SUMIFS(GL_Journal!$T:$T,GL_Journal!$G:$G,"&gt;=5200",GL_Journal!$G:$G,"&lt;=5299",GL_Journal!$D:$D,"&gt;="&amp;S_PFrom,GL_Journal!$D:$D,"&lt;="&amp;S_PTo,GL_Journal!$I:$I,IS_LOCC,GL_Journal!$J:$J,IS_CCC,GL_Journal!$AE:$AE,0)</f>
        <v/>
      </c>
      <c r="H23" s="55">
        <f>E23-G23</f>
        <v/>
      </c>
      <c r="I23" s="55">
        <f>SUMIFS(GL_Journal!$S:$S,GL_Journal!$G:$G,"&gt;=5200",GL_Journal!$G:$G,"&lt;=5299",GL_Journal!$D:$D,"&gt;="&amp;IS_From,GL_Journal!$D:$D,"&lt;="&amp;IS_To,GL_Journal!$I:$I,I$11,GL_Journal!$J:$J,IS_CCC,GL_Journal!$AE:$AE,0)-SUMIFS(GL_Journal!$T:$T,GL_Journal!$G:$G,"&gt;=5200",GL_Journal!$G:$G,"&lt;=5299",GL_Journal!$D:$D,"&gt;="&amp;IS_From,GL_Journal!$D:$D,"&lt;="&amp;IS_To,GL_Journal!$I:$I,I$11,GL_Journal!$J:$J,IS_CCC,GL_Journal!$AE:$AE,0)</f>
        <v/>
      </c>
      <c r="J23" s="55">
        <f>SUMIFS(GL_Journal!$S:$S,GL_Journal!$G:$G,"&gt;=5200",GL_Journal!$G:$G,"&lt;=5299",GL_Journal!$D:$D,"&gt;="&amp;IS_From,GL_Journal!$D:$D,"&lt;="&amp;IS_To,GL_Journal!$I:$I,J$11,GL_Journal!$J:$J,IS_CCC,GL_Journal!$AE:$AE,0)-SUMIFS(GL_Journal!$T:$T,GL_Journal!$G:$G,"&gt;=5200",GL_Journal!$G:$G,"&lt;=5299",GL_Journal!$D:$D,"&gt;="&amp;IS_From,GL_Journal!$D:$D,"&lt;="&amp;IS_To,GL_Journal!$I:$I,J$11,GL_Journal!$J:$J,IS_CCC,GL_Journal!$AE:$AE,0)</f>
        <v/>
      </c>
      <c r="K23" s="55">
        <f>SUMIFS(GL_Journal!$S:$S,GL_Journal!$G:$G,"&gt;=5200",GL_Journal!$G:$G,"&lt;=5299",GL_Journal!$D:$D,"&gt;="&amp;IS_From,GL_Journal!$D:$D,"&lt;="&amp;IS_To,GL_Journal!$I:$I,K$11,GL_Journal!$J:$J,IS_CCC,GL_Journal!$AE:$AE,0)-SUMIFS(GL_Journal!$T:$T,GL_Journal!$G:$G,"&gt;=5200",GL_Journal!$G:$G,"&lt;=5299",GL_Journal!$D:$D,"&gt;="&amp;IS_From,GL_Journal!$D:$D,"&lt;="&amp;IS_To,GL_Journal!$I:$I,K$11,GL_Journal!$J:$J,IS_CCC,GL_Journal!$AE:$AE,0)</f>
        <v/>
      </c>
      <c r="L23" s="55">
        <f>SUMIFS(GL_Journal!$S:$S,GL_Journal!$G:$G,"&gt;=5200",GL_Journal!$G:$G,"&lt;=5299",GL_Journal!$D:$D,"&gt;="&amp;IS_From,GL_Journal!$D:$D,"&lt;="&amp;IS_To,GL_Journal!$I:$I,L$11,GL_Journal!$J:$J,IS_CCC,GL_Journal!$AE:$AE,0)-SUMIFS(GL_Journal!$T:$T,GL_Journal!$G:$G,"&gt;=5200",GL_Journal!$G:$G,"&lt;=5299",GL_Journal!$D:$D,"&gt;="&amp;IS_From,GL_Journal!$D:$D,"&lt;="&amp;IS_To,GL_Journal!$I:$I,L$11,GL_Journal!$J:$J,IS_CCC,GL_Journal!$AE:$AE,0)</f>
        <v/>
      </c>
      <c r="M23" s="55">
        <f>SUMIFS(GL_Journal!$S:$S,GL_Journal!$G:$G,"&gt;=5200",GL_Journal!$G:$G,"&lt;=5299",GL_Journal!$D:$D,"&gt;="&amp;IS_From,GL_Journal!$D:$D,"&lt;="&amp;IS_To,GL_Journal!$I:$I,M$11,GL_Journal!$J:$J,IS_CCC,GL_Journal!$AE:$AE,0)-SUMIFS(GL_Journal!$T:$T,GL_Journal!$G:$G,"&gt;=5200",GL_Journal!$G:$G,"&lt;=5299",GL_Journal!$D:$D,"&gt;="&amp;IS_From,GL_Journal!$D:$D,"&lt;="&amp;IS_To,GL_Journal!$I:$I,M$11,GL_Journal!$J:$J,IS_CCC,GL_Journal!$AE:$AE,0)</f>
        <v/>
      </c>
      <c r="N23" s="55">
        <f>SUMIFS(GL_Journal!$S:$S,GL_Journal!$G:$G,"&gt;=5200",GL_Journal!$G:$G,"&lt;=5299",GL_Journal!$D:$D,"&gt;="&amp;IS_From,GL_Journal!$D:$D,"&lt;="&amp;IS_To,GL_Journal!$I:$I,N$11,GL_Journal!$J:$J,IS_CCC,GL_Journal!$AE:$AE,0)-SUMIFS(GL_Journal!$T:$T,GL_Journal!$G:$G,"&gt;=5200",GL_Journal!$G:$G,"&lt;=5299",GL_Journal!$D:$D,"&gt;="&amp;IS_From,GL_Journal!$D:$D,"&lt;="&amp;IS_To,GL_Journal!$I:$I,N$11,GL_Journal!$J:$J,IS_CCC,GL_Journal!$AE:$AE,0)</f>
        <v/>
      </c>
      <c r="O23" s="55">
        <f>P23-SUM(I23:N23)</f>
        <v/>
      </c>
      <c r="P23" s="55">
        <f>SUMIFS(GL_Journal!$S:$S,GL_Journal!$G:$G,"&gt;=5200",GL_Journal!$G:$G,"&lt;=5299",GL_Journal!$D:$D,"&gt;="&amp;IS_From,GL_Journal!$D:$D,"&lt;="&amp;IS_To,GL_Journal!$I:$I,"&lt;&gt;",GL_Journal!$J:$J,IS_CCC,GL_Journal!$AE:$AE,0)-SUMIFS(GL_Journal!$T:$T,GL_Journal!$G:$G,"&gt;=5200",GL_Journal!$G:$G,"&lt;=5299",GL_Journal!$D:$D,"&gt;="&amp;IS_From,GL_Journal!$D:$D,"&lt;="&amp;IS_To,GL_Journal!$I:$I,"&lt;&gt;",GL_Journal!$J:$J,IS_CCC,GL_Journal!$AE:$AE,0)</f>
        <v/>
      </c>
    </row>
    <row r="24">
      <c r="A24" s="65" t="inlineStr">
        <is>
          <t>الضيافة والمجانيات</t>
        </is>
      </c>
      <c r="B24" s="8" t="n">
        <v>5300</v>
      </c>
      <c r="C24" s="8" t="n">
        <v>5399</v>
      </c>
      <c r="D24" s="8" t="inlineStr">
        <is>
          <t>مدين</t>
        </is>
      </c>
      <c r="E24" s="55">
        <f>SUMIFS(GL_Journal!$S:$S,GL_Journal!$G:$G,"&gt;=5300",GL_Journal!$G:$G,"&lt;=5399",GL_Journal!$D:$D,"&gt;="&amp;IS_From,GL_Journal!$D:$D,"&lt;="&amp;IS_To,GL_Journal!$I:$I,IS_LOCC,GL_Journal!$J:$J,IS_CCC,GL_Journal!$AE:$AE,0)-SUMIFS(GL_Journal!$T:$T,GL_Journal!$G:$G,"&gt;=5300",GL_Journal!$G:$G,"&lt;=5399",GL_Journal!$D:$D,"&gt;="&amp;IS_From,GL_Journal!$D:$D,"&lt;="&amp;IS_To,GL_Journal!$I:$I,IS_LOCC,GL_Journal!$J:$J,IS_CCC,GL_Journal!$AE:$AE,0)</f>
        <v/>
      </c>
      <c r="F24" s="66">
        <f>IF(E$20=0,"",E24/E$20)</f>
        <v/>
      </c>
      <c r="G24" s="55">
        <f>SUMIFS(GL_Journal!$S:$S,GL_Journal!$G:$G,"&gt;=5300",GL_Journal!$G:$G,"&lt;=5399",GL_Journal!$D:$D,"&gt;="&amp;S_PFrom,GL_Journal!$D:$D,"&lt;="&amp;S_PTo,GL_Journal!$I:$I,IS_LOCC,GL_Journal!$J:$J,IS_CCC,GL_Journal!$AE:$AE,0)-SUMIFS(GL_Journal!$T:$T,GL_Journal!$G:$G,"&gt;=5300",GL_Journal!$G:$G,"&lt;=5399",GL_Journal!$D:$D,"&gt;="&amp;S_PFrom,GL_Journal!$D:$D,"&lt;="&amp;S_PTo,GL_Journal!$I:$I,IS_LOCC,GL_Journal!$J:$J,IS_CCC,GL_Journal!$AE:$AE,0)</f>
        <v/>
      </c>
      <c r="H24" s="55">
        <f>E24-G24</f>
        <v/>
      </c>
      <c r="I24" s="55">
        <f>SUMIFS(GL_Journal!$S:$S,GL_Journal!$G:$G,"&gt;=5300",GL_Journal!$G:$G,"&lt;=5399",GL_Journal!$D:$D,"&gt;="&amp;IS_From,GL_Journal!$D:$D,"&lt;="&amp;IS_To,GL_Journal!$I:$I,I$11,GL_Journal!$J:$J,IS_CCC,GL_Journal!$AE:$AE,0)-SUMIFS(GL_Journal!$T:$T,GL_Journal!$G:$G,"&gt;=5300",GL_Journal!$G:$G,"&lt;=5399",GL_Journal!$D:$D,"&gt;="&amp;IS_From,GL_Journal!$D:$D,"&lt;="&amp;IS_To,GL_Journal!$I:$I,I$11,GL_Journal!$J:$J,IS_CCC,GL_Journal!$AE:$AE,0)</f>
        <v/>
      </c>
      <c r="J24" s="55">
        <f>SUMIFS(GL_Journal!$S:$S,GL_Journal!$G:$G,"&gt;=5300",GL_Journal!$G:$G,"&lt;=5399",GL_Journal!$D:$D,"&gt;="&amp;IS_From,GL_Journal!$D:$D,"&lt;="&amp;IS_To,GL_Journal!$I:$I,J$11,GL_Journal!$J:$J,IS_CCC,GL_Journal!$AE:$AE,0)-SUMIFS(GL_Journal!$T:$T,GL_Journal!$G:$G,"&gt;=5300",GL_Journal!$G:$G,"&lt;=5399",GL_Journal!$D:$D,"&gt;="&amp;IS_From,GL_Journal!$D:$D,"&lt;="&amp;IS_To,GL_Journal!$I:$I,J$11,GL_Journal!$J:$J,IS_CCC,GL_Journal!$AE:$AE,0)</f>
        <v/>
      </c>
      <c r="K24" s="55">
        <f>SUMIFS(GL_Journal!$S:$S,GL_Journal!$G:$G,"&gt;=5300",GL_Journal!$G:$G,"&lt;=5399",GL_Journal!$D:$D,"&gt;="&amp;IS_From,GL_Journal!$D:$D,"&lt;="&amp;IS_To,GL_Journal!$I:$I,K$11,GL_Journal!$J:$J,IS_CCC,GL_Journal!$AE:$AE,0)-SUMIFS(GL_Journal!$T:$T,GL_Journal!$G:$G,"&gt;=5300",GL_Journal!$G:$G,"&lt;=5399",GL_Journal!$D:$D,"&gt;="&amp;IS_From,GL_Journal!$D:$D,"&lt;="&amp;IS_To,GL_Journal!$I:$I,K$11,GL_Journal!$J:$J,IS_CCC,GL_Journal!$AE:$AE,0)</f>
        <v/>
      </c>
      <c r="L24" s="55">
        <f>SUMIFS(GL_Journal!$S:$S,GL_Journal!$G:$G,"&gt;=5300",GL_Journal!$G:$G,"&lt;=5399",GL_Journal!$D:$D,"&gt;="&amp;IS_From,GL_Journal!$D:$D,"&lt;="&amp;IS_To,GL_Journal!$I:$I,L$11,GL_Journal!$J:$J,IS_CCC,GL_Journal!$AE:$AE,0)-SUMIFS(GL_Journal!$T:$T,GL_Journal!$G:$G,"&gt;=5300",GL_Journal!$G:$G,"&lt;=5399",GL_Journal!$D:$D,"&gt;="&amp;IS_From,GL_Journal!$D:$D,"&lt;="&amp;IS_To,GL_Journal!$I:$I,L$11,GL_Journal!$J:$J,IS_CCC,GL_Journal!$AE:$AE,0)</f>
        <v/>
      </c>
      <c r="M24" s="55">
        <f>SUMIFS(GL_Journal!$S:$S,GL_Journal!$G:$G,"&gt;=5300",GL_Journal!$G:$G,"&lt;=5399",GL_Journal!$D:$D,"&gt;="&amp;IS_From,GL_Journal!$D:$D,"&lt;="&amp;IS_To,GL_Journal!$I:$I,M$11,GL_Journal!$J:$J,IS_CCC,GL_Journal!$AE:$AE,0)-SUMIFS(GL_Journal!$T:$T,GL_Journal!$G:$G,"&gt;=5300",GL_Journal!$G:$G,"&lt;=5399",GL_Journal!$D:$D,"&gt;="&amp;IS_From,GL_Journal!$D:$D,"&lt;="&amp;IS_To,GL_Journal!$I:$I,M$11,GL_Journal!$J:$J,IS_CCC,GL_Journal!$AE:$AE,0)</f>
        <v/>
      </c>
      <c r="N24" s="55">
        <f>SUMIFS(GL_Journal!$S:$S,GL_Journal!$G:$G,"&gt;=5300",GL_Journal!$G:$G,"&lt;=5399",GL_Journal!$D:$D,"&gt;="&amp;IS_From,GL_Journal!$D:$D,"&lt;="&amp;IS_To,GL_Journal!$I:$I,N$11,GL_Journal!$J:$J,IS_CCC,GL_Journal!$AE:$AE,0)-SUMIFS(GL_Journal!$T:$T,GL_Journal!$G:$G,"&gt;=5300",GL_Journal!$G:$G,"&lt;=5399",GL_Journal!$D:$D,"&gt;="&amp;IS_From,GL_Journal!$D:$D,"&lt;="&amp;IS_To,GL_Journal!$I:$I,N$11,GL_Journal!$J:$J,IS_CCC,GL_Journal!$AE:$AE,0)</f>
        <v/>
      </c>
      <c r="O24" s="55">
        <f>P24-SUM(I24:N24)</f>
        <v/>
      </c>
      <c r="P24" s="55">
        <f>SUMIFS(GL_Journal!$S:$S,GL_Journal!$G:$G,"&gt;=5300",GL_Journal!$G:$G,"&lt;=5399",GL_Journal!$D:$D,"&gt;="&amp;IS_From,GL_Journal!$D:$D,"&lt;="&amp;IS_To,GL_Journal!$I:$I,"&lt;&gt;",GL_Journal!$J:$J,IS_CCC,GL_Journal!$AE:$AE,0)-SUMIFS(GL_Journal!$T:$T,GL_Journal!$G:$G,"&gt;=5300",GL_Journal!$G:$G,"&lt;=5399",GL_Journal!$D:$D,"&gt;="&amp;IS_From,GL_Journal!$D:$D,"&lt;="&amp;IS_To,GL_Journal!$I:$I,"&lt;&gt;",GL_Journal!$J:$J,IS_CCC,GL_Journal!$AE:$AE,0)</f>
        <v/>
      </c>
    </row>
    <row r="25">
      <c r="A25" s="65" t="inlineStr">
        <is>
          <t>فروق الجرد والتكلفة</t>
        </is>
      </c>
      <c r="B25" s="8" t="n">
        <v>5400</v>
      </c>
      <c r="C25" s="8" t="n">
        <v>5499</v>
      </c>
      <c r="D25" s="8" t="inlineStr">
        <is>
          <t>مدين</t>
        </is>
      </c>
      <c r="E25" s="55">
        <f>SUMIFS(GL_Journal!$S:$S,GL_Journal!$G:$G,"&gt;=5400",GL_Journal!$G:$G,"&lt;=5499",GL_Journal!$D:$D,"&gt;="&amp;IS_From,GL_Journal!$D:$D,"&lt;="&amp;IS_To,GL_Journal!$I:$I,IS_LOCC,GL_Journal!$J:$J,IS_CCC,GL_Journal!$AE:$AE,0)-SUMIFS(GL_Journal!$T:$T,GL_Journal!$G:$G,"&gt;=5400",GL_Journal!$G:$G,"&lt;=5499",GL_Journal!$D:$D,"&gt;="&amp;IS_From,GL_Journal!$D:$D,"&lt;="&amp;IS_To,GL_Journal!$I:$I,IS_LOCC,GL_Journal!$J:$J,IS_CCC,GL_Journal!$AE:$AE,0)</f>
        <v/>
      </c>
      <c r="F25" s="66">
        <f>IF(E$20=0,"",E25/E$20)</f>
        <v/>
      </c>
      <c r="G25" s="55">
        <f>SUMIFS(GL_Journal!$S:$S,GL_Journal!$G:$G,"&gt;=5400",GL_Journal!$G:$G,"&lt;=5499",GL_Journal!$D:$D,"&gt;="&amp;S_PFrom,GL_Journal!$D:$D,"&lt;="&amp;S_PTo,GL_Journal!$I:$I,IS_LOCC,GL_Journal!$J:$J,IS_CCC,GL_Journal!$AE:$AE,0)-SUMIFS(GL_Journal!$T:$T,GL_Journal!$G:$G,"&gt;=5400",GL_Journal!$G:$G,"&lt;=5499",GL_Journal!$D:$D,"&gt;="&amp;S_PFrom,GL_Journal!$D:$D,"&lt;="&amp;S_PTo,GL_Journal!$I:$I,IS_LOCC,GL_Journal!$J:$J,IS_CCC,GL_Journal!$AE:$AE,0)</f>
        <v/>
      </c>
      <c r="H25" s="55">
        <f>E25-G25</f>
        <v/>
      </c>
      <c r="I25" s="55">
        <f>SUMIFS(GL_Journal!$S:$S,GL_Journal!$G:$G,"&gt;=5400",GL_Journal!$G:$G,"&lt;=5499",GL_Journal!$D:$D,"&gt;="&amp;IS_From,GL_Journal!$D:$D,"&lt;="&amp;IS_To,GL_Journal!$I:$I,I$11,GL_Journal!$J:$J,IS_CCC,GL_Journal!$AE:$AE,0)-SUMIFS(GL_Journal!$T:$T,GL_Journal!$G:$G,"&gt;=5400",GL_Journal!$G:$G,"&lt;=5499",GL_Journal!$D:$D,"&gt;="&amp;IS_From,GL_Journal!$D:$D,"&lt;="&amp;IS_To,GL_Journal!$I:$I,I$11,GL_Journal!$J:$J,IS_CCC,GL_Journal!$AE:$AE,0)</f>
        <v/>
      </c>
      <c r="J25" s="55">
        <f>SUMIFS(GL_Journal!$S:$S,GL_Journal!$G:$G,"&gt;=5400",GL_Journal!$G:$G,"&lt;=5499",GL_Journal!$D:$D,"&gt;="&amp;IS_From,GL_Journal!$D:$D,"&lt;="&amp;IS_To,GL_Journal!$I:$I,J$11,GL_Journal!$J:$J,IS_CCC,GL_Journal!$AE:$AE,0)-SUMIFS(GL_Journal!$T:$T,GL_Journal!$G:$G,"&gt;=5400",GL_Journal!$G:$G,"&lt;=5499",GL_Journal!$D:$D,"&gt;="&amp;IS_From,GL_Journal!$D:$D,"&lt;="&amp;IS_To,GL_Journal!$I:$I,J$11,GL_Journal!$J:$J,IS_CCC,GL_Journal!$AE:$AE,0)</f>
        <v/>
      </c>
      <c r="K25" s="55">
        <f>SUMIFS(GL_Journal!$S:$S,GL_Journal!$G:$G,"&gt;=5400",GL_Journal!$G:$G,"&lt;=5499",GL_Journal!$D:$D,"&gt;="&amp;IS_From,GL_Journal!$D:$D,"&lt;="&amp;IS_To,GL_Journal!$I:$I,K$11,GL_Journal!$J:$J,IS_CCC,GL_Journal!$AE:$AE,0)-SUMIFS(GL_Journal!$T:$T,GL_Journal!$G:$G,"&gt;=5400",GL_Journal!$G:$G,"&lt;=5499",GL_Journal!$D:$D,"&gt;="&amp;IS_From,GL_Journal!$D:$D,"&lt;="&amp;IS_To,GL_Journal!$I:$I,K$11,GL_Journal!$J:$J,IS_CCC,GL_Journal!$AE:$AE,0)</f>
        <v/>
      </c>
      <c r="L25" s="55">
        <f>SUMIFS(GL_Journal!$S:$S,GL_Journal!$G:$G,"&gt;=5400",GL_Journal!$G:$G,"&lt;=5499",GL_Journal!$D:$D,"&gt;="&amp;IS_From,GL_Journal!$D:$D,"&lt;="&amp;IS_To,GL_Journal!$I:$I,L$11,GL_Journal!$J:$J,IS_CCC,GL_Journal!$AE:$AE,0)-SUMIFS(GL_Journal!$T:$T,GL_Journal!$G:$G,"&gt;=5400",GL_Journal!$G:$G,"&lt;=5499",GL_Journal!$D:$D,"&gt;="&amp;IS_From,GL_Journal!$D:$D,"&lt;="&amp;IS_To,GL_Journal!$I:$I,L$11,GL_Journal!$J:$J,IS_CCC,GL_Journal!$AE:$AE,0)</f>
        <v/>
      </c>
      <c r="M25" s="55">
        <f>SUMIFS(GL_Journal!$S:$S,GL_Journal!$G:$G,"&gt;=5400",GL_Journal!$G:$G,"&lt;=5499",GL_Journal!$D:$D,"&gt;="&amp;IS_From,GL_Journal!$D:$D,"&lt;="&amp;IS_To,GL_Journal!$I:$I,M$11,GL_Journal!$J:$J,IS_CCC,GL_Journal!$AE:$AE,0)-SUMIFS(GL_Journal!$T:$T,GL_Journal!$G:$G,"&gt;=5400",GL_Journal!$G:$G,"&lt;=5499",GL_Journal!$D:$D,"&gt;="&amp;IS_From,GL_Journal!$D:$D,"&lt;="&amp;IS_To,GL_Journal!$I:$I,M$11,GL_Journal!$J:$J,IS_CCC,GL_Journal!$AE:$AE,0)</f>
        <v/>
      </c>
      <c r="N25" s="55">
        <f>SUMIFS(GL_Journal!$S:$S,GL_Journal!$G:$G,"&gt;=5400",GL_Journal!$G:$G,"&lt;=5499",GL_Journal!$D:$D,"&gt;="&amp;IS_From,GL_Journal!$D:$D,"&lt;="&amp;IS_To,GL_Journal!$I:$I,N$11,GL_Journal!$J:$J,IS_CCC,GL_Journal!$AE:$AE,0)-SUMIFS(GL_Journal!$T:$T,GL_Journal!$G:$G,"&gt;=5400",GL_Journal!$G:$G,"&lt;=5499",GL_Journal!$D:$D,"&gt;="&amp;IS_From,GL_Journal!$D:$D,"&lt;="&amp;IS_To,GL_Journal!$I:$I,N$11,GL_Journal!$J:$J,IS_CCC,GL_Journal!$AE:$AE,0)</f>
        <v/>
      </c>
      <c r="O25" s="55">
        <f>P25-SUM(I25:N25)</f>
        <v/>
      </c>
      <c r="P25" s="55">
        <f>SUMIFS(GL_Journal!$S:$S,GL_Journal!$G:$G,"&gt;=5400",GL_Journal!$G:$G,"&lt;=5499",GL_Journal!$D:$D,"&gt;="&amp;IS_From,GL_Journal!$D:$D,"&lt;="&amp;IS_To,GL_Journal!$I:$I,"&lt;&gt;",GL_Journal!$J:$J,IS_CCC,GL_Journal!$AE:$AE,0)-SUMIFS(GL_Journal!$T:$T,GL_Journal!$G:$G,"&gt;=5400",GL_Journal!$G:$G,"&lt;=5499",GL_Journal!$D:$D,"&gt;="&amp;IS_From,GL_Journal!$D:$D,"&lt;="&amp;IS_To,GL_Journal!$I:$I,"&lt;&gt;",GL_Journal!$J:$J,IS_CCC,GL_Journal!$AE:$AE,0)</f>
        <v/>
      </c>
    </row>
    <row r="26">
      <c r="A26" s="67" t="inlineStr">
        <is>
          <t>إجمالي تكلفة المبيعات</t>
        </is>
      </c>
      <c r="B26" s="68" t="n"/>
      <c r="C26" s="68" t="n"/>
      <c r="D26" s="68" t="n"/>
      <c r="E26" s="69">
        <f>E22+E23+E24+E25</f>
        <v/>
      </c>
      <c r="F26" s="70">
        <f>IF(E$20=0,"",E26/E$20)</f>
        <v/>
      </c>
      <c r="G26" s="69">
        <f>G22+G23+G24+G25</f>
        <v/>
      </c>
      <c r="H26" s="69">
        <f>E26-G26</f>
        <v/>
      </c>
      <c r="I26" s="69">
        <f>I22+I23+I24+I25</f>
        <v/>
      </c>
      <c r="J26" s="69">
        <f>J22+J23+J24+J25</f>
        <v/>
      </c>
      <c r="K26" s="69">
        <f>K22+K23+K24+K25</f>
        <v/>
      </c>
      <c r="L26" s="69">
        <f>L22+L23+L24+L25</f>
        <v/>
      </c>
      <c r="M26" s="69">
        <f>M22+M23+M24+M25</f>
        <v/>
      </c>
      <c r="N26" s="69">
        <f>N22+N23+N24+N25</f>
        <v/>
      </c>
      <c r="O26" s="69">
        <f>O22+O23+O24+O25</f>
        <v/>
      </c>
      <c r="P26" s="69">
        <f>P22+P23+P24+P25</f>
        <v/>
      </c>
    </row>
    <row r="27">
      <c r="A27" s="71" t="inlineStr">
        <is>
          <t>مجمل الربح (Gross Profit)</t>
        </is>
      </c>
      <c r="B27" s="72" t="n"/>
      <c r="C27" s="72" t="n"/>
      <c r="D27" s="72" t="n"/>
      <c r="E27" s="73">
        <f>E20-E26</f>
        <v/>
      </c>
      <c r="F27" s="74">
        <f>IF(E$20=0,"",E27/E$20)</f>
        <v/>
      </c>
      <c r="G27" s="73">
        <f>G20-G26</f>
        <v/>
      </c>
      <c r="H27" s="73">
        <f>E27-G27</f>
        <v/>
      </c>
      <c r="I27" s="73">
        <f>I20-I26</f>
        <v/>
      </c>
      <c r="J27" s="73">
        <f>J20-J26</f>
        <v/>
      </c>
      <c r="K27" s="73">
        <f>K20-K26</f>
        <v/>
      </c>
      <c r="L27" s="73">
        <f>L20-L26</f>
        <v/>
      </c>
      <c r="M27" s="73">
        <f>M20-M26</f>
        <v/>
      </c>
      <c r="N27" s="73">
        <f>N20-N26</f>
        <v/>
      </c>
      <c r="O27" s="73">
        <f>O20-O26</f>
        <v/>
      </c>
      <c r="P27" s="73">
        <f>P20-P26</f>
        <v/>
      </c>
    </row>
    <row r="28">
      <c r="A28" s="53" t="inlineStr">
        <is>
          <t>المصروفات التشغيلية والإدارية</t>
        </is>
      </c>
      <c r="B28" s="14" t="n"/>
      <c r="C28" s="14" t="n"/>
      <c r="D28" s="14" t="n"/>
      <c r="E28" s="14" t="n"/>
      <c r="F28" s="14" t="n"/>
      <c r="G28" s="14" t="n"/>
      <c r="H28" s="14" t="n"/>
      <c r="I28" s="14" t="n"/>
      <c r="J28" s="14" t="n"/>
      <c r="K28" s="14" t="n"/>
      <c r="L28" s="14" t="n"/>
      <c r="M28" s="14" t="n"/>
      <c r="N28" s="14" t="n"/>
      <c r="O28" s="14" t="n"/>
      <c r="P28" s="14" t="n"/>
    </row>
    <row r="29">
      <c r="A29" s="65" t="inlineStr">
        <is>
          <t>الرواتب والأجور</t>
        </is>
      </c>
      <c r="B29" s="8" t="n">
        <v>6100</v>
      </c>
      <c r="C29" s="8" t="n">
        <v>6199</v>
      </c>
      <c r="D29" s="8" t="inlineStr">
        <is>
          <t>مدين</t>
        </is>
      </c>
      <c r="E29" s="55">
        <f>SUMIFS(GL_Journal!$S:$S,GL_Journal!$G:$G,"&gt;=6100",GL_Journal!$G:$G,"&lt;=6199",GL_Journal!$D:$D,"&gt;="&amp;IS_From,GL_Journal!$D:$D,"&lt;="&amp;IS_To,GL_Journal!$I:$I,IS_LOCC,GL_Journal!$J:$J,IS_CCC,GL_Journal!$AE:$AE,0)-SUMIFS(GL_Journal!$T:$T,GL_Journal!$G:$G,"&gt;=6100",GL_Journal!$G:$G,"&lt;=6199",GL_Journal!$D:$D,"&gt;="&amp;IS_From,GL_Journal!$D:$D,"&lt;="&amp;IS_To,GL_Journal!$I:$I,IS_LOCC,GL_Journal!$J:$J,IS_CCC,GL_Journal!$AE:$AE,0)</f>
        <v/>
      </c>
      <c r="F29" s="66">
        <f>IF(E$20=0,"",E29/E$20)</f>
        <v/>
      </c>
      <c r="G29" s="55">
        <f>SUMIFS(GL_Journal!$S:$S,GL_Journal!$G:$G,"&gt;=6100",GL_Journal!$G:$G,"&lt;=6199",GL_Journal!$D:$D,"&gt;="&amp;S_PFrom,GL_Journal!$D:$D,"&lt;="&amp;S_PTo,GL_Journal!$I:$I,IS_LOCC,GL_Journal!$J:$J,IS_CCC,GL_Journal!$AE:$AE,0)-SUMIFS(GL_Journal!$T:$T,GL_Journal!$G:$G,"&gt;=6100",GL_Journal!$G:$G,"&lt;=6199",GL_Journal!$D:$D,"&gt;="&amp;S_PFrom,GL_Journal!$D:$D,"&lt;="&amp;S_PTo,GL_Journal!$I:$I,IS_LOCC,GL_Journal!$J:$J,IS_CCC,GL_Journal!$AE:$AE,0)</f>
        <v/>
      </c>
      <c r="H29" s="55">
        <f>E29-G29</f>
        <v/>
      </c>
      <c r="I29" s="55">
        <f>SUMIFS(GL_Journal!$S:$S,GL_Journal!$G:$G,"&gt;=6100",GL_Journal!$G:$G,"&lt;=6199",GL_Journal!$D:$D,"&gt;="&amp;IS_From,GL_Journal!$D:$D,"&lt;="&amp;IS_To,GL_Journal!$I:$I,I$11,GL_Journal!$J:$J,IS_CCC,GL_Journal!$AE:$AE,0)-SUMIFS(GL_Journal!$T:$T,GL_Journal!$G:$G,"&gt;=6100",GL_Journal!$G:$G,"&lt;=6199",GL_Journal!$D:$D,"&gt;="&amp;IS_From,GL_Journal!$D:$D,"&lt;="&amp;IS_To,GL_Journal!$I:$I,I$11,GL_Journal!$J:$J,IS_CCC,GL_Journal!$AE:$AE,0)</f>
        <v/>
      </c>
      <c r="J29" s="55">
        <f>SUMIFS(GL_Journal!$S:$S,GL_Journal!$G:$G,"&gt;=6100",GL_Journal!$G:$G,"&lt;=6199",GL_Journal!$D:$D,"&gt;="&amp;IS_From,GL_Journal!$D:$D,"&lt;="&amp;IS_To,GL_Journal!$I:$I,J$11,GL_Journal!$J:$J,IS_CCC,GL_Journal!$AE:$AE,0)-SUMIFS(GL_Journal!$T:$T,GL_Journal!$G:$G,"&gt;=6100",GL_Journal!$G:$G,"&lt;=6199",GL_Journal!$D:$D,"&gt;="&amp;IS_From,GL_Journal!$D:$D,"&lt;="&amp;IS_To,GL_Journal!$I:$I,J$11,GL_Journal!$J:$J,IS_CCC,GL_Journal!$AE:$AE,0)</f>
        <v/>
      </c>
      <c r="K29" s="55">
        <f>SUMIFS(GL_Journal!$S:$S,GL_Journal!$G:$G,"&gt;=6100",GL_Journal!$G:$G,"&lt;=6199",GL_Journal!$D:$D,"&gt;="&amp;IS_From,GL_Journal!$D:$D,"&lt;="&amp;IS_To,GL_Journal!$I:$I,K$11,GL_Journal!$J:$J,IS_CCC,GL_Journal!$AE:$AE,0)-SUMIFS(GL_Journal!$T:$T,GL_Journal!$G:$G,"&gt;=6100",GL_Journal!$G:$G,"&lt;=6199",GL_Journal!$D:$D,"&gt;="&amp;IS_From,GL_Journal!$D:$D,"&lt;="&amp;IS_To,GL_Journal!$I:$I,K$11,GL_Journal!$J:$J,IS_CCC,GL_Journal!$AE:$AE,0)</f>
        <v/>
      </c>
      <c r="L29" s="55">
        <f>SUMIFS(GL_Journal!$S:$S,GL_Journal!$G:$G,"&gt;=6100",GL_Journal!$G:$G,"&lt;=6199",GL_Journal!$D:$D,"&gt;="&amp;IS_From,GL_Journal!$D:$D,"&lt;="&amp;IS_To,GL_Journal!$I:$I,L$11,GL_Journal!$J:$J,IS_CCC,GL_Journal!$AE:$AE,0)-SUMIFS(GL_Journal!$T:$T,GL_Journal!$G:$G,"&gt;=6100",GL_Journal!$G:$G,"&lt;=6199",GL_Journal!$D:$D,"&gt;="&amp;IS_From,GL_Journal!$D:$D,"&lt;="&amp;IS_To,GL_Journal!$I:$I,L$11,GL_Journal!$J:$J,IS_CCC,GL_Journal!$AE:$AE,0)</f>
        <v/>
      </c>
      <c r="M29" s="55">
        <f>SUMIFS(GL_Journal!$S:$S,GL_Journal!$G:$G,"&gt;=6100",GL_Journal!$G:$G,"&lt;=6199",GL_Journal!$D:$D,"&gt;="&amp;IS_From,GL_Journal!$D:$D,"&lt;="&amp;IS_To,GL_Journal!$I:$I,M$11,GL_Journal!$J:$J,IS_CCC,GL_Journal!$AE:$AE,0)-SUMIFS(GL_Journal!$T:$T,GL_Journal!$G:$G,"&gt;=6100",GL_Journal!$G:$G,"&lt;=6199",GL_Journal!$D:$D,"&gt;="&amp;IS_From,GL_Journal!$D:$D,"&lt;="&amp;IS_To,GL_Journal!$I:$I,M$11,GL_Journal!$J:$J,IS_CCC,GL_Journal!$AE:$AE,0)</f>
        <v/>
      </c>
      <c r="N29" s="55">
        <f>SUMIFS(GL_Journal!$S:$S,GL_Journal!$G:$G,"&gt;=6100",GL_Journal!$G:$G,"&lt;=6199",GL_Journal!$D:$D,"&gt;="&amp;IS_From,GL_Journal!$D:$D,"&lt;="&amp;IS_To,GL_Journal!$I:$I,N$11,GL_Journal!$J:$J,IS_CCC,GL_Journal!$AE:$AE,0)-SUMIFS(GL_Journal!$T:$T,GL_Journal!$G:$G,"&gt;=6100",GL_Journal!$G:$G,"&lt;=6199",GL_Journal!$D:$D,"&gt;="&amp;IS_From,GL_Journal!$D:$D,"&lt;="&amp;IS_To,GL_Journal!$I:$I,N$11,GL_Journal!$J:$J,IS_CCC,GL_Journal!$AE:$AE,0)</f>
        <v/>
      </c>
      <c r="O29" s="55">
        <f>P29-SUM(I29:N29)</f>
        <v/>
      </c>
      <c r="P29" s="55">
        <f>SUMIFS(GL_Journal!$S:$S,GL_Journal!$G:$G,"&gt;=6100",GL_Journal!$G:$G,"&lt;=6199",GL_Journal!$D:$D,"&gt;="&amp;IS_From,GL_Journal!$D:$D,"&lt;="&amp;IS_To,GL_Journal!$I:$I,"&lt;&gt;",GL_Journal!$J:$J,IS_CCC,GL_Journal!$AE:$AE,0)-SUMIFS(GL_Journal!$T:$T,GL_Journal!$G:$G,"&gt;=6100",GL_Journal!$G:$G,"&lt;=6199",GL_Journal!$D:$D,"&gt;="&amp;IS_From,GL_Journal!$D:$D,"&lt;="&amp;IS_To,GL_Journal!$I:$I,"&lt;&gt;",GL_Journal!$J:$J,IS_CCC,GL_Journal!$AE:$AE,0)</f>
        <v/>
      </c>
    </row>
    <row r="30">
      <c r="A30" s="65" t="inlineStr">
        <is>
          <t>الإيجارات</t>
        </is>
      </c>
      <c r="B30" s="8" t="n">
        <v>6200</v>
      </c>
      <c r="C30" s="8" t="n">
        <v>6299</v>
      </c>
      <c r="D30" s="8" t="inlineStr">
        <is>
          <t>مدين</t>
        </is>
      </c>
      <c r="E30" s="55">
        <f>SUMIFS(GL_Journal!$S:$S,GL_Journal!$G:$G,"&gt;=6200",GL_Journal!$G:$G,"&lt;=6299",GL_Journal!$D:$D,"&gt;="&amp;IS_From,GL_Journal!$D:$D,"&lt;="&amp;IS_To,GL_Journal!$I:$I,IS_LOCC,GL_Journal!$J:$J,IS_CCC,GL_Journal!$AE:$AE,0)-SUMIFS(GL_Journal!$T:$T,GL_Journal!$G:$G,"&gt;=6200",GL_Journal!$G:$G,"&lt;=6299",GL_Journal!$D:$D,"&gt;="&amp;IS_From,GL_Journal!$D:$D,"&lt;="&amp;IS_To,GL_Journal!$I:$I,IS_LOCC,GL_Journal!$J:$J,IS_CCC,GL_Journal!$AE:$AE,0)</f>
        <v/>
      </c>
      <c r="F30" s="66">
        <f>IF(E$20=0,"",E30/E$20)</f>
        <v/>
      </c>
      <c r="G30" s="55">
        <f>SUMIFS(GL_Journal!$S:$S,GL_Journal!$G:$G,"&gt;=6200",GL_Journal!$G:$G,"&lt;=6299",GL_Journal!$D:$D,"&gt;="&amp;S_PFrom,GL_Journal!$D:$D,"&lt;="&amp;S_PTo,GL_Journal!$I:$I,IS_LOCC,GL_Journal!$J:$J,IS_CCC,GL_Journal!$AE:$AE,0)-SUMIFS(GL_Journal!$T:$T,GL_Journal!$G:$G,"&gt;=6200",GL_Journal!$G:$G,"&lt;=6299",GL_Journal!$D:$D,"&gt;="&amp;S_PFrom,GL_Journal!$D:$D,"&lt;="&amp;S_PTo,GL_Journal!$I:$I,IS_LOCC,GL_Journal!$J:$J,IS_CCC,GL_Journal!$AE:$AE,0)</f>
        <v/>
      </c>
      <c r="H30" s="55">
        <f>E30-G30</f>
        <v/>
      </c>
      <c r="I30" s="55">
        <f>SUMIFS(GL_Journal!$S:$S,GL_Journal!$G:$G,"&gt;=6200",GL_Journal!$G:$G,"&lt;=6299",GL_Journal!$D:$D,"&gt;="&amp;IS_From,GL_Journal!$D:$D,"&lt;="&amp;IS_To,GL_Journal!$I:$I,I$11,GL_Journal!$J:$J,IS_CCC,GL_Journal!$AE:$AE,0)-SUMIFS(GL_Journal!$T:$T,GL_Journal!$G:$G,"&gt;=6200",GL_Journal!$G:$G,"&lt;=6299",GL_Journal!$D:$D,"&gt;="&amp;IS_From,GL_Journal!$D:$D,"&lt;="&amp;IS_To,GL_Journal!$I:$I,I$11,GL_Journal!$J:$J,IS_CCC,GL_Journal!$AE:$AE,0)</f>
        <v/>
      </c>
      <c r="J30" s="55">
        <f>SUMIFS(GL_Journal!$S:$S,GL_Journal!$G:$G,"&gt;=6200",GL_Journal!$G:$G,"&lt;=6299",GL_Journal!$D:$D,"&gt;="&amp;IS_From,GL_Journal!$D:$D,"&lt;="&amp;IS_To,GL_Journal!$I:$I,J$11,GL_Journal!$J:$J,IS_CCC,GL_Journal!$AE:$AE,0)-SUMIFS(GL_Journal!$T:$T,GL_Journal!$G:$G,"&gt;=6200",GL_Journal!$G:$G,"&lt;=6299",GL_Journal!$D:$D,"&gt;="&amp;IS_From,GL_Journal!$D:$D,"&lt;="&amp;IS_To,GL_Journal!$I:$I,J$11,GL_Journal!$J:$J,IS_CCC,GL_Journal!$AE:$AE,0)</f>
        <v/>
      </c>
      <c r="K30" s="55">
        <f>SUMIFS(GL_Journal!$S:$S,GL_Journal!$G:$G,"&gt;=6200",GL_Journal!$G:$G,"&lt;=6299",GL_Journal!$D:$D,"&gt;="&amp;IS_From,GL_Journal!$D:$D,"&lt;="&amp;IS_To,GL_Journal!$I:$I,K$11,GL_Journal!$J:$J,IS_CCC,GL_Journal!$AE:$AE,0)-SUMIFS(GL_Journal!$T:$T,GL_Journal!$G:$G,"&gt;=6200",GL_Journal!$G:$G,"&lt;=6299",GL_Journal!$D:$D,"&gt;="&amp;IS_From,GL_Journal!$D:$D,"&lt;="&amp;IS_To,GL_Journal!$I:$I,K$11,GL_Journal!$J:$J,IS_CCC,GL_Journal!$AE:$AE,0)</f>
        <v/>
      </c>
      <c r="L30" s="55">
        <f>SUMIFS(GL_Journal!$S:$S,GL_Journal!$G:$G,"&gt;=6200",GL_Journal!$G:$G,"&lt;=6299",GL_Journal!$D:$D,"&gt;="&amp;IS_From,GL_Journal!$D:$D,"&lt;="&amp;IS_To,GL_Journal!$I:$I,L$11,GL_Journal!$J:$J,IS_CCC,GL_Journal!$AE:$AE,0)-SUMIFS(GL_Journal!$T:$T,GL_Journal!$G:$G,"&gt;=6200",GL_Journal!$G:$G,"&lt;=6299",GL_Journal!$D:$D,"&gt;="&amp;IS_From,GL_Journal!$D:$D,"&lt;="&amp;IS_To,GL_Journal!$I:$I,L$11,GL_Journal!$J:$J,IS_CCC,GL_Journal!$AE:$AE,0)</f>
        <v/>
      </c>
      <c r="M30" s="55">
        <f>SUMIFS(GL_Journal!$S:$S,GL_Journal!$G:$G,"&gt;=6200",GL_Journal!$G:$G,"&lt;=6299",GL_Journal!$D:$D,"&gt;="&amp;IS_From,GL_Journal!$D:$D,"&lt;="&amp;IS_To,GL_Journal!$I:$I,M$11,GL_Journal!$J:$J,IS_CCC,GL_Journal!$AE:$AE,0)-SUMIFS(GL_Journal!$T:$T,GL_Journal!$G:$G,"&gt;=6200",GL_Journal!$G:$G,"&lt;=6299",GL_Journal!$D:$D,"&gt;="&amp;IS_From,GL_Journal!$D:$D,"&lt;="&amp;IS_To,GL_Journal!$I:$I,M$11,GL_Journal!$J:$J,IS_CCC,GL_Journal!$AE:$AE,0)</f>
        <v/>
      </c>
      <c r="N30" s="55">
        <f>SUMIFS(GL_Journal!$S:$S,GL_Journal!$G:$G,"&gt;=6200",GL_Journal!$G:$G,"&lt;=6299",GL_Journal!$D:$D,"&gt;="&amp;IS_From,GL_Journal!$D:$D,"&lt;="&amp;IS_To,GL_Journal!$I:$I,N$11,GL_Journal!$J:$J,IS_CCC,GL_Journal!$AE:$AE,0)-SUMIFS(GL_Journal!$T:$T,GL_Journal!$G:$G,"&gt;=6200",GL_Journal!$G:$G,"&lt;=6299",GL_Journal!$D:$D,"&gt;="&amp;IS_From,GL_Journal!$D:$D,"&lt;="&amp;IS_To,GL_Journal!$I:$I,N$11,GL_Journal!$J:$J,IS_CCC,GL_Journal!$AE:$AE,0)</f>
        <v/>
      </c>
      <c r="O30" s="55">
        <f>P30-SUM(I30:N30)</f>
        <v/>
      </c>
      <c r="P30" s="55">
        <f>SUMIFS(GL_Journal!$S:$S,GL_Journal!$G:$G,"&gt;=6200",GL_Journal!$G:$G,"&lt;=6299",GL_Journal!$D:$D,"&gt;="&amp;IS_From,GL_Journal!$D:$D,"&lt;="&amp;IS_To,GL_Journal!$I:$I,"&lt;&gt;",GL_Journal!$J:$J,IS_CCC,GL_Journal!$AE:$AE,0)-SUMIFS(GL_Journal!$T:$T,GL_Journal!$G:$G,"&gt;=6200",GL_Journal!$G:$G,"&lt;=6299",GL_Journal!$D:$D,"&gt;="&amp;IS_From,GL_Journal!$D:$D,"&lt;="&amp;IS_To,GL_Journal!$I:$I,"&lt;&gt;",GL_Journal!$J:$J,IS_CCC,GL_Journal!$AE:$AE,0)</f>
        <v/>
      </c>
    </row>
    <row r="31">
      <c r="A31" s="65" t="inlineStr">
        <is>
          <t>المرافق والاتصالات</t>
        </is>
      </c>
      <c r="B31" s="8" t="n">
        <v>6300</v>
      </c>
      <c r="C31" s="8" t="n">
        <v>6399</v>
      </c>
      <c r="D31" s="8" t="inlineStr">
        <is>
          <t>مدين</t>
        </is>
      </c>
      <c r="E31" s="55">
        <f>SUMIFS(GL_Journal!$S:$S,GL_Journal!$G:$G,"&gt;=6300",GL_Journal!$G:$G,"&lt;=6399",GL_Journal!$D:$D,"&gt;="&amp;IS_From,GL_Journal!$D:$D,"&lt;="&amp;IS_To,GL_Journal!$I:$I,IS_LOCC,GL_Journal!$J:$J,IS_CCC,GL_Journal!$AE:$AE,0)-SUMIFS(GL_Journal!$T:$T,GL_Journal!$G:$G,"&gt;=6300",GL_Journal!$G:$G,"&lt;=6399",GL_Journal!$D:$D,"&gt;="&amp;IS_From,GL_Journal!$D:$D,"&lt;="&amp;IS_To,GL_Journal!$I:$I,IS_LOCC,GL_Journal!$J:$J,IS_CCC,GL_Journal!$AE:$AE,0)</f>
        <v/>
      </c>
      <c r="F31" s="66">
        <f>IF(E$20=0,"",E31/E$20)</f>
        <v/>
      </c>
      <c r="G31" s="55">
        <f>SUMIFS(GL_Journal!$S:$S,GL_Journal!$G:$G,"&gt;=6300",GL_Journal!$G:$G,"&lt;=6399",GL_Journal!$D:$D,"&gt;="&amp;S_PFrom,GL_Journal!$D:$D,"&lt;="&amp;S_PTo,GL_Journal!$I:$I,IS_LOCC,GL_Journal!$J:$J,IS_CCC,GL_Journal!$AE:$AE,0)-SUMIFS(GL_Journal!$T:$T,GL_Journal!$G:$G,"&gt;=6300",GL_Journal!$G:$G,"&lt;=6399",GL_Journal!$D:$D,"&gt;="&amp;S_PFrom,GL_Journal!$D:$D,"&lt;="&amp;S_PTo,GL_Journal!$I:$I,IS_LOCC,GL_Journal!$J:$J,IS_CCC,GL_Journal!$AE:$AE,0)</f>
        <v/>
      </c>
      <c r="H31" s="55">
        <f>E31-G31</f>
        <v/>
      </c>
      <c r="I31" s="55">
        <f>SUMIFS(GL_Journal!$S:$S,GL_Journal!$G:$G,"&gt;=6300",GL_Journal!$G:$G,"&lt;=6399",GL_Journal!$D:$D,"&gt;="&amp;IS_From,GL_Journal!$D:$D,"&lt;="&amp;IS_To,GL_Journal!$I:$I,I$11,GL_Journal!$J:$J,IS_CCC,GL_Journal!$AE:$AE,0)-SUMIFS(GL_Journal!$T:$T,GL_Journal!$G:$G,"&gt;=6300",GL_Journal!$G:$G,"&lt;=6399",GL_Journal!$D:$D,"&gt;="&amp;IS_From,GL_Journal!$D:$D,"&lt;="&amp;IS_To,GL_Journal!$I:$I,I$11,GL_Journal!$J:$J,IS_CCC,GL_Journal!$AE:$AE,0)</f>
        <v/>
      </c>
      <c r="J31" s="55">
        <f>SUMIFS(GL_Journal!$S:$S,GL_Journal!$G:$G,"&gt;=6300",GL_Journal!$G:$G,"&lt;=6399",GL_Journal!$D:$D,"&gt;="&amp;IS_From,GL_Journal!$D:$D,"&lt;="&amp;IS_To,GL_Journal!$I:$I,J$11,GL_Journal!$J:$J,IS_CCC,GL_Journal!$AE:$AE,0)-SUMIFS(GL_Journal!$T:$T,GL_Journal!$G:$G,"&gt;=6300",GL_Journal!$G:$G,"&lt;=6399",GL_Journal!$D:$D,"&gt;="&amp;IS_From,GL_Journal!$D:$D,"&lt;="&amp;IS_To,GL_Journal!$I:$I,J$11,GL_Journal!$J:$J,IS_CCC,GL_Journal!$AE:$AE,0)</f>
        <v/>
      </c>
      <c r="K31" s="55">
        <f>SUMIFS(GL_Journal!$S:$S,GL_Journal!$G:$G,"&gt;=6300",GL_Journal!$G:$G,"&lt;=6399",GL_Journal!$D:$D,"&gt;="&amp;IS_From,GL_Journal!$D:$D,"&lt;="&amp;IS_To,GL_Journal!$I:$I,K$11,GL_Journal!$J:$J,IS_CCC,GL_Journal!$AE:$AE,0)-SUMIFS(GL_Journal!$T:$T,GL_Journal!$G:$G,"&gt;=6300",GL_Journal!$G:$G,"&lt;=6399",GL_Journal!$D:$D,"&gt;="&amp;IS_From,GL_Journal!$D:$D,"&lt;="&amp;IS_To,GL_Journal!$I:$I,K$11,GL_Journal!$J:$J,IS_CCC,GL_Journal!$AE:$AE,0)</f>
        <v/>
      </c>
      <c r="L31" s="55">
        <f>SUMIFS(GL_Journal!$S:$S,GL_Journal!$G:$G,"&gt;=6300",GL_Journal!$G:$G,"&lt;=6399",GL_Journal!$D:$D,"&gt;="&amp;IS_From,GL_Journal!$D:$D,"&lt;="&amp;IS_To,GL_Journal!$I:$I,L$11,GL_Journal!$J:$J,IS_CCC,GL_Journal!$AE:$AE,0)-SUMIFS(GL_Journal!$T:$T,GL_Journal!$G:$G,"&gt;=6300",GL_Journal!$G:$G,"&lt;=6399",GL_Journal!$D:$D,"&gt;="&amp;IS_From,GL_Journal!$D:$D,"&lt;="&amp;IS_To,GL_Journal!$I:$I,L$11,GL_Journal!$J:$J,IS_CCC,GL_Journal!$AE:$AE,0)</f>
        <v/>
      </c>
      <c r="M31" s="55">
        <f>SUMIFS(GL_Journal!$S:$S,GL_Journal!$G:$G,"&gt;=6300",GL_Journal!$G:$G,"&lt;=6399",GL_Journal!$D:$D,"&gt;="&amp;IS_From,GL_Journal!$D:$D,"&lt;="&amp;IS_To,GL_Journal!$I:$I,M$11,GL_Journal!$J:$J,IS_CCC,GL_Journal!$AE:$AE,0)-SUMIFS(GL_Journal!$T:$T,GL_Journal!$G:$G,"&gt;=6300",GL_Journal!$G:$G,"&lt;=6399",GL_Journal!$D:$D,"&gt;="&amp;IS_From,GL_Journal!$D:$D,"&lt;="&amp;IS_To,GL_Journal!$I:$I,M$11,GL_Journal!$J:$J,IS_CCC,GL_Journal!$AE:$AE,0)</f>
        <v/>
      </c>
      <c r="N31" s="55">
        <f>SUMIFS(GL_Journal!$S:$S,GL_Journal!$G:$G,"&gt;=6300",GL_Journal!$G:$G,"&lt;=6399",GL_Journal!$D:$D,"&gt;="&amp;IS_From,GL_Journal!$D:$D,"&lt;="&amp;IS_To,GL_Journal!$I:$I,N$11,GL_Journal!$J:$J,IS_CCC,GL_Journal!$AE:$AE,0)-SUMIFS(GL_Journal!$T:$T,GL_Journal!$G:$G,"&gt;=6300",GL_Journal!$G:$G,"&lt;=6399",GL_Journal!$D:$D,"&gt;="&amp;IS_From,GL_Journal!$D:$D,"&lt;="&amp;IS_To,GL_Journal!$I:$I,N$11,GL_Journal!$J:$J,IS_CCC,GL_Journal!$AE:$AE,0)</f>
        <v/>
      </c>
      <c r="O31" s="55">
        <f>P31-SUM(I31:N31)</f>
        <v/>
      </c>
      <c r="P31" s="55">
        <f>SUMIFS(GL_Journal!$S:$S,GL_Journal!$G:$G,"&gt;=6300",GL_Journal!$G:$G,"&lt;=6399",GL_Journal!$D:$D,"&gt;="&amp;IS_From,GL_Journal!$D:$D,"&lt;="&amp;IS_To,GL_Journal!$I:$I,"&lt;&gt;",GL_Journal!$J:$J,IS_CCC,GL_Journal!$AE:$AE,0)-SUMIFS(GL_Journal!$T:$T,GL_Journal!$G:$G,"&gt;=6300",GL_Journal!$G:$G,"&lt;=6399",GL_Journal!$D:$D,"&gt;="&amp;IS_From,GL_Journal!$D:$D,"&lt;="&amp;IS_To,GL_Journal!$I:$I,"&lt;&gt;",GL_Journal!$J:$J,IS_CCC,GL_Journal!$AE:$AE,0)</f>
        <v/>
      </c>
    </row>
    <row r="32">
      <c r="A32" s="65" t="inlineStr">
        <is>
          <t>التسويق</t>
        </is>
      </c>
      <c r="B32" s="8" t="n">
        <v>6400</v>
      </c>
      <c r="C32" s="8" t="n">
        <v>6499</v>
      </c>
      <c r="D32" s="8" t="inlineStr">
        <is>
          <t>مدين</t>
        </is>
      </c>
      <c r="E32" s="55">
        <f>SUMIFS(GL_Journal!$S:$S,GL_Journal!$G:$G,"&gt;=6400",GL_Journal!$G:$G,"&lt;=6499",GL_Journal!$D:$D,"&gt;="&amp;IS_From,GL_Journal!$D:$D,"&lt;="&amp;IS_To,GL_Journal!$I:$I,IS_LOCC,GL_Journal!$J:$J,IS_CCC,GL_Journal!$AE:$AE,0)-SUMIFS(GL_Journal!$T:$T,GL_Journal!$G:$G,"&gt;=6400",GL_Journal!$G:$G,"&lt;=6499",GL_Journal!$D:$D,"&gt;="&amp;IS_From,GL_Journal!$D:$D,"&lt;="&amp;IS_To,GL_Journal!$I:$I,IS_LOCC,GL_Journal!$J:$J,IS_CCC,GL_Journal!$AE:$AE,0)</f>
        <v/>
      </c>
      <c r="F32" s="66">
        <f>IF(E$20=0,"",E32/E$20)</f>
        <v/>
      </c>
      <c r="G32" s="55">
        <f>SUMIFS(GL_Journal!$S:$S,GL_Journal!$G:$G,"&gt;=6400",GL_Journal!$G:$G,"&lt;=6499",GL_Journal!$D:$D,"&gt;="&amp;S_PFrom,GL_Journal!$D:$D,"&lt;="&amp;S_PTo,GL_Journal!$I:$I,IS_LOCC,GL_Journal!$J:$J,IS_CCC,GL_Journal!$AE:$AE,0)-SUMIFS(GL_Journal!$T:$T,GL_Journal!$G:$G,"&gt;=6400",GL_Journal!$G:$G,"&lt;=6499",GL_Journal!$D:$D,"&gt;="&amp;S_PFrom,GL_Journal!$D:$D,"&lt;="&amp;S_PTo,GL_Journal!$I:$I,IS_LOCC,GL_Journal!$J:$J,IS_CCC,GL_Journal!$AE:$AE,0)</f>
        <v/>
      </c>
      <c r="H32" s="55">
        <f>E32-G32</f>
        <v/>
      </c>
      <c r="I32" s="55">
        <f>SUMIFS(GL_Journal!$S:$S,GL_Journal!$G:$G,"&gt;=6400",GL_Journal!$G:$G,"&lt;=6499",GL_Journal!$D:$D,"&gt;="&amp;IS_From,GL_Journal!$D:$D,"&lt;="&amp;IS_To,GL_Journal!$I:$I,I$11,GL_Journal!$J:$J,IS_CCC,GL_Journal!$AE:$AE,0)-SUMIFS(GL_Journal!$T:$T,GL_Journal!$G:$G,"&gt;=6400",GL_Journal!$G:$G,"&lt;=6499",GL_Journal!$D:$D,"&gt;="&amp;IS_From,GL_Journal!$D:$D,"&lt;="&amp;IS_To,GL_Journal!$I:$I,I$11,GL_Journal!$J:$J,IS_CCC,GL_Journal!$AE:$AE,0)</f>
        <v/>
      </c>
      <c r="J32" s="55">
        <f>SUMIFS(GL_Journal!$S:$S,GL_Journal!$G:$G,"&gt;=6400",GL_Journal!$G:$G,"&lt;=6499",GL_Journal!$D:$D,"&gt;="&amp;IS_From,GL_Journal!$D:$D,"&lt;="&amp;IS_To,GL_Journal!$I:$I,J$11,GL_Journal!$J:$J,IS_CCC,GL_Journal!$AE:$AE,0)-SUMIFS(GL_Journal!$T:$T,GL_Journal!$G:$G,"&gt;=6400",GL_Journal!$G:$G,"&lt;=6499",GL_Journal!$D:$D,"&gt;="&amp;IS_From,GL_Journal!$D:$D,"&lt;="&amp;IS_To,GL_Journal!$I:$I,J$11,GL_Journal!$J:$J,IS_CCC,GL_Journal!$AE:$AE,0)</f>
        <v/>
      </c>
      <c r="K32" s="55">
        <f>SUMIFS(GL_Journal!$S:$S,GL_Journal!$G:$G,"&gt;=6400",GL_Journal!$G:$G,"&lt;=6499",GL_Journal!$D:$D,"&gt;="&amp;IS_From,GL_Journal!$D:$D,"&lt;="&amp;IS_To,GL_Journal!$I:$I,K$11,GL_Journal!$J:$J,IS_CCC,GL_Journal!$AE:$AE,0)-SUMIFS(GL_Journal!$T:$T,GL_Journal!$G:$G,"&gt;=6400",GL_Journal!$G:$G,"&lt;=6499",GL_Journal!$D:$D,"&gt;="&amp;IS_From,GL_Journal!$D:$D,"&lt;="&amp;IS_To,GL_Journal!$I:$I,K$11,GL_Journal!$J:$J,IS_CCC,GL_Journal!$AE:$AE,0)</f>
        <v/>
      </c>
      <c r="L32" s="55">
        <f>SUMIFS(GL_Journal!$S:$S,GL_Journal!$G:$G,"&gt;=6400",GL_Journal!$G:$G,"&lt;=6499",GL_Journal!$D:$D,"&gt;="&amp;IS_From,GL_Journal!$D:$D,"&lt;="&amp;IS_To,GL_Journal!$I:$I,L$11,GL_Journal!$J:$J,IS_CCC,GL_Journal!$AE:$AE,0)-SUMIFS(GL_Journal!$T:$T,GL_Journal!$G:$G,"&gt;=6400",GL_Journal!$G:$G,"&lt;=6499",GL_Journal!$D:$D,"&gt;="&amp;IS_From,GL_Journal!$D:$D,"&lt;="&amp;IS_To,GL_Journal!$I:$I,L$11,GL_Journal!$J:$J,IS_CCC,GL_Journal!$AE:$AE,0)</f>
        <v/>
      </c>
      <c r="M32" s="55">
        <f>SUMIFS(GL_Journal!$S:$S,GL_Journal!$G:$G,"&gt;=6400",GL_Journal!$G:$G,"&lt;=6499",GL_Journal!$D:$D,"&gt;="&amp;IS_From,GL_Journal!$D:$D,"&lt;="&amp;IS_To,GL_Journal!$I:$I,M$11,GL_Journal!$J:$J,IS_CCC,GL_Journal!$AE:$AE,0)-SUMIFS(GL_Journal!$T:$T,GL_Journal!$G:$G,"&gt;=6400",GL_Journal!$G:$G,"&lt;=6499",GL_Journal!$D:$D,"&gt;="&amp;IS_From,GL_Journal!$D:$D,"&lt;="&amp;IS_To,GL_Journal!$I:$I,M$11,GL_Journal!$J:$J,IS_CCC,GL_Journal!$AE:$AE,0)</f>
        <v/>
      </c>
      <c r="N32" s="55">
        <f>SUMIFS(GL_Journal!$S:$S,GL_Journal!$G:$G,"&gt;=6400",GL_Journal!$G:$G,"&lt;=6499",GL_Journal!$D:$D,"&gt;="&amp;IS_From,GL_Journal!$D:$D,"&lt;="&amp;IS_To,GL_Journal!$I:$I,N$11,GL_Journal!$J:$J,IS_CCC,GL_Journal!$AE:$AE,0)-SUMIFS(GL_Journal!$T:$T,GL_Journal!$G:$G,"&gt;=6400",GL_Journal!$G:$G,"&lt;=6499",GL_Journal!$D:$D,"&gt;="&amp;IS_From,GL_Journal!$D:$D,"&lt;="&amp;IS_To,GL_Journal!$I:$I,N$11,GL_Journal!$J:$J,IS_CCC,GL_Journal!$AE:$AE,0)</f>
        <v/>
      </c>
      <c r="O32" s="55">
        <f>P32-SUM(I32:N32)</f>
        <v/>
      </c>
      <c r="P32" s="55">
        <f>SUMIFS(GL_Journal!$S:$S,GL_Journal!$G:$G,"&gt;=6400",GL_Journal!$G:$G,"&lt;=6499",GL_Journal!$D:$D,"&gt;="&amp;IS_From,GL_Journal!$D:$D,"&lt;="&amp;IS_To,GL_Journal!$I:$I,"&lt;&gt;",GL_Journal!$J:$J,IS_CCC,GL_Journal!$AE:$AE,0)-SUMIFS(GL_Journal!$T:$T,GL_Journal!$G:$G,"&gt;=6400",GL_Journal!$G:$G,"&lt;=6499",GL_Journal!$D:$D,"&gt;="&amp;IS_From,GL_Journal!$D:$D,"&lt;="&amp;IS_To,GL_Journal!$I:$I,"&lt;&gt;",GL_Journal!$J:$J,IS_CCC,GL_Journal!$AE:$AE,0)</f>
        <v/>
      </c>
    </row>
    <row r="33">
      <c r="A33" s="65" t="inlineStr">
        <is>
          <t>الصيانة</t>
        </is>
      </c>
      <c r="B33" s="8" t="n">
        <v>6500</v>
      </c>
      <c r="C33" s="8" t="n">
        <v>6599</v>
      </c>
      <c r="D33" s="8" t="inlineStr">
        <is>
          <t>مدين</t>
        </is>
      </c>
      <c r="E33" s="55">
        <f>SUMIFS(GL_Journal!$S:$S,GL_Journal!$G:$G,"&gt;=6500",GL_Journal!$G:$G,"&lt;=6599",GL_Journal!$D:$D,"&gt;="&amp;IS_From,GL_Journal!$D:$D,"&lt;="&amp;IS_To,GL_Journal!$I:$I,IS_LOCC,GL_Journal!$J:$J,IS_CCC,GL_Journal!$AE:$AE,0)-SUMIFS(GL_Journal!$T:$T,GL_Journal!$G:$G,"&gt;=6500",GL_Journal!$G:$G,"&lt;=6599",GL_Journal!$D:$D,"&gt;="&amp;IS_From,GL_Journal!$D:$D,"&lt;="&amp;IS_To,GL_Journal!$I:$I,IS_LOCC,GL_Journal!$J:$J,IS_CCC,GL_Journal!$AE:$AE,0)</f>
        <v/>
      </c>
      <c r="F33" s="66">
        <f>IF(E$20=0,"",E33/E$20)</f>
        <v/>
      </c>
      <c r="G33" s="55">
        <f>SUMIFS(GL_Journal!$S:$S,GL_Journal!$G:$G,"&gt;=6500",GL_Journal!$G:$G,"&lt;=6599",GL_Journal!$D:$D,"&gt;="&amp;S_PFrom,GL_Journal!$D:$D,"&lt;="&amp;S_PTo,GL_Journal!$I:$I,IS_LOCC,GL_Journal!$J:$J,IS_CCC,GL_Journal!$AE:$AE,0)-SUMIFS(GL_Journal!$T:$T,GL_Journal!$G:$G,"&gt;=6500",GL_Journal!$G:$G,"&lt;=6599",GL_Journal!$D:$D,"&gt;="&amp;S_PFrom,GL_Journal!$D:$D,"&lt;="&amp;S_PTo,GL_Journal!$I:$I,IS_LOCC,GL_Journal!$J:$J,IS_CCC,GL_Journal!$AE:$AE,0)</f>
        <v/>
      </c>
      <c r="H33" s="55">
        <f>E33-G33</f>
        <v/>
      </c>
      <c r="I33" s="55">
        <f>SUMIFS(GL_Journal!$S:$S,GL_Journal!$G:$G,"&gt;=6500",GL_Journal!$G:$G,"&lt;=6599",GL_Journal!$D:$D,"&gt;="&amp;IS_From,GL_Journal!$D:$D,"&lt;="&amp;IS_To,GL_Journal!$I:$I,I$11,GL_Journal!$J:$J,IS_CCC,GL_Journal!$AE:$AE,0)-SUMIFS(GL_Journal!$T:$T,GL_Journal!$G:$G,"&gt;=6500",GL_Journal!$G:$G,"&lt;=6599",GL_Journal!$D:$D,"&gt;="&amp;IS_From,GL_Journal!$D:$D,"&lt;="&amp;IS_To,GL_Journal!$I:$I,I$11,GL_Journal!$J:$J,IS_CCC,GL_Journal!$AE:$AE,0)</f>
        <v/>
      </c>
      <c r="J33" s="55">
        <f>SUMIFS(GL_Journal!$S:$S,GL_Journal!$G:$G,"&gt;=6500",GL_Journal!$G:$G,"&lt;=6599",GL_Journal!$D:$D,"&gt;="&amp;IS_From,GL_Journal!$D:$D,"&lt;="&amp;IS_To,GL_Journal!$I:$I,J$11,GL_Journal!$J:$J,IS_CCC,GL_Journal!$AE:$AE,0)-SUMIFS(GL_Journal!$T:$T,GL_Journal!$G:$G,"&gt;=6500",GL_Journal!$G:$G,"&lt;=6599",GL_Journal!$D:$D,"&gt;="&amp;IS_From,GL_Journal!$D:$D,"&lt;="&amp;IS_To,GL_Journal!$I:$I,J$11,GL_Journal!$J:$J,IS_CCC,GL_Journal!$AE:$AE,0)</f>
        <v/>
      </c>
      <c r="K33" s="55">
        <f>SUMIFS(GL_Journal!$S:$S,GL_Journal!$G:$G,"&gt;=6500",GL_Journal!$G:$G,"&lt;=6599",GL_Journal!$D:$D,"&gt;="&amp;IS_From,GL_Journal!$D:$D,"&lt;="&amp;IS_To,GL_Journal!$I:$I,K$11,GL_Journal!$J:$J,IS_CCC,GL_Journal!$AE:$AE,0)-SUMIFS(GL_Journal!$T:$T,GL_Journal!$G:$G,"&gt;=6500",GL_Journal!$G:$G,"&lt;=6599",GL_Journal!$D:$D,"&gt;="&amp;IS_From,GL_Journal!$D:$D,"&lt;="&amp;IS_To,GL_Journal!$I:$I,K$11,GL_Journal!$J:$J,IS_CCC,GL_Journal!$AE:$AE,0)</f>
        <v/>
      </c>
      <c r="L33" s="55">
        <f>SUMIFS(GL_Journal!$S:$S,GL_Journal!$G:$G,"&gt;=6500",GL_Journal!$G:$G,"&lt;=6599",GL_Journal!$D:$D,"&gt;="&amp;IS_From,GL_Journal!$D:$D,"&lt;="&amp;IS_To,GL_Journal!$I:$I,L$11,GL_Journal!$J:$J,IS_CCC,GL_Journal!$AE:$AE,0)-SUMIFS(GL_Journal!$T:$T,GL_Journal!$G:$G,"&gt;=6500",GL_Journal!$G:$G,"&lt;=6599",GL_Journal!$D:$D,"&gt;="&amp;IS_From,GL_Journal!$D:$D,"&lt;="&amp;IS_To,GL_Journal!$I:$I,L$11,GL_Journal!$J:$J,IS_CCC,GL_Journal!$AE:$AE,0)</f>
        <v/>
      </c>
      <c r="M33" s="55">
        <f>SUMIFS(GL_Journal!$S:$S,GL_Journal!$G:$G,"&gt;=6500",GL_Journal!$G:$G,"&lt;=6599",GL_Journal!$D:$D,"&gt;="&amp;IS_From,GL_Journal!$D:$D,"&lt;="&amp;IS_To,GL_Journal!$I:$I,M$11,GL_Journal!$J:$J,IS_CCC,GL_Journal!$AE:$AE,0)-SUMIFS(GL_Journal!$T:$T,GL_Journal!$G:$G,"&gt;=6500",GL_Journal!$G:$G,"&lt;=6599",GL_Journal!$D:$D,"&gt;="&amp;IS_From,GL_Journal!$D:$D,"&lt;="&amp;IS_To,GL_Journal!$I:$I,M$11,GL_Journal!$J:$J,IS_CCC,GL_Journal!$AE:$AE,0)</f>
        <v/>
      </c>
      <c r="N33" s="55">
        <f>SUMIFS(GL_Journal!$S:$S,GL_Journal!$G:$G,"&gt;=6500",GL_Journal!$G:$G,"&lt;=6599",GL_Journal!$D:$D,"&gt;="&amp;IS_From,GL_Journal!$D:$D,"&lt;="&amp;IS_To,GL_Journal!$I:$I,N$11,GL_Journal!$J:$J,IS_CCC,GL_Journal!$AE:$AE,0)-SUMIFS(GL_Journal!$T:$T,GL_Journal!$G:$G,"&gt;=6500",GL_Journal!$G:$G,"&lt;=6599",GL_Journal!$D:$D,"&gt;="&amp;IS_From,GL_Journal!$D:$D,"&lt;="&amp;IS_To,GL_Journal!$I:$I,N$11,GL_Journal!$J:$J,IS_CCC,GL_Journal!$AE:$AE,0)</f>
        <v/>
      </c>
      <c r="O33" s="55">
        <f>P33-SUM(I33:N33)</f>
        <v/>
      </c>
      <c r="P33" s="55">
        <f>SUMIFS(GL_Journal!$S:$S,GL_Journal!$G:$G,"&gt;=6500",GL_Journal!$G:$G,"&lt;=6599",GL_Journal!$D:$D,"&gt;="&amp;IS_From,GL_Journal!$D:$D,"&lt;="&amp;IS_To,GL_Journal!$I:$I,"&lt;&gt;",GL_Journal!$J:$J,IS_CCC,GL_Journal!$AE:$AE,0)-SUMIFS(GL_Journal!$T:$T,GL_Journal!$G:$G,"&gt;=6500",GL_Journal!$G:$G,"&lt;=6599",GL_Journal!$D:$D,"&gt;="&amp;IS_From,GL_Journal!$D:$D,"&lt;="&amp;IS_To,GL_Journal!$I:$I,"&lt;&gt;",GL_Journal!$J:$J,IS_CCC,GL_Journal!$AE:$AE,0)</f>
        <v/>
      </c>
    </row>
    <row r="34">
      <c r="A34" s="65" t="inlineStr">
        <is>
          <t>مصروفات التشغيل (نقل/نظافة/مستلزمات)</t>
        </is>
      </c>
      <c r="B34" s="8" t="n">
        <v>6600</v>
      </c>
      <c r="C34" s="8" t="n">
        <v>6699</v>
      </c>
      <c r="D34" s="8" t="inlineStr">
        <is>
          <t>مدين</t>
        </is>
      </c>
      <c r="E34" s="55">
        <f>SUMIFS(GL_Journal!$S:$S,GL_Journal!$G:$G,"&gt;=6600",GL_Journal!$G:$G,"&lt;=6699",GL_Journal!$D:$D,"&gt;="&amp;IS_From,GL_Journal!$D:$D,"&lt;="&amp;IS_To,GL_Journal!$I:$I,IS_LOCC,GL_Journal!$J:$J,IS_CCC,GL_Journal!$AE:$AE,0)-SUMIFS(GL_Journal!$T:$T,GL_Journal!$G:$G,"&gt;=6600",GL_Journal!$G:$G,"&lt;=6699",GL_Journal!$D:$D,"&gt;="&amp;IS_From,GL_Journal!$D:$D,"&lt;="&amp;IS_To,GL_Journal!$I:$I,IS_LOCC,GL_Journal!$J:$J,IS_CCC,GL_Journal!$AE:$AE,0)</f>
        <v/>
      </c>
      <c r="F34" s="66">
        <f>IF(E$20=0,"",E34/E$20)</f>
        <v/>
      </c>
      <c r="G34" s="55">
        <f>SUMIFS(GL_Journal!$S:$S,GL_Journal!$G:$G,"&gt;=6600",GL_Journal!$G:$G,"&lt;=6699",GL_Journal!$D:$D,"&gt;="&amp;S_PFrom,GL_Journal!$D:$D,"&lt;="&amp;S_PTo,GL_Journal!$I:$I,IS_LOCC,GL_Journal!$J:$J,IS_CCC,GL_Journal!$AE:$AE,0)-SUMIFS(GL_Journal!$T:$T,GL_Journal!$G:$G,"&gt;=6600",GL_Journal!$G:$G,"&lt;=6699",GL_Journal!$D:$D,"&gt;="&amp;S_PFrom,GL_Journal!$D:$D,"&lt;="&amp;S_PTo,GL_Journal!$I:$I,IS_LOCC,GL_Journal!$J:$J,IS_CCC,GL_Journal!$AE:$AE,0)</f>
        <v/>
      </c>
      <c r="H34" s="55">
        <f>E34-G34</f>
        <v/>
      </c>
      <c r="I34" s="55">
        <f>SUMIFS(GL_Journal!$S:$S,GL_Journal!$G:$G,"&gt;=6600",GL_Journal!$G:$G,"&lt;=6699",GL_Journal!$D:$D,"&gt;="&amp;IS_From,GL_Journal!$D:$D,"&lt;="&amp;IS_To,GL_Journal!$I:$I,I$11,GL_Journal!$J:$J,IS_CCC,GL_Journal!$AE:$AE,0)-SUMIFS(GL_Journal!$T:$T,GL_Journal!$G:$G,"&gt;=6600",GL_Journal!$G:$G,"&lt;=6699",GL_Journal!$D:$D,"&gt;="&amp;IS_From,GL_Journal!$D:$D,"&lt;="&amp;IS_To,GL_Journal!$I:$I,I$11,GL_Journal!$J:$J,IS_CCC,GL_Journal!$AE:$AE,0)</f>
        <v/>
      </c>
      <c r="J34" s="55">
        <f>SUMIFS(GL_Journal!$S:$S,GL_Journal!$G:$G,"&gt;=6600",GL_Journal!$G:$G,"&lt;=6699",GL_Journal!$D:$D,"&gt;="&amp;IS_From,GL_Journal!$D:$D,"&lt;="&amp;IS_To,GL_Journal!$I:$I,J$11,GL_Journal!$J:$J,IS_CCC,GL_Journal!$AE:$AE,0)-SUMIFS(GL_Journal!$T:$T,GL_Journal!$G:$G,"&gt;=6600",GL_Journal!$G:$G,"&lt;=6699",GL_Journal!$D:$D,"&gt;="&amp;IS_From,GL_Journal!$D:$D,"&lt;="&amp;IS_To,GL_Journal!$I:$I,J$11,GL_Journal!$J:$J,IS_CCC,GL_Journal!$AE:$AE,0)</f>
        <v/>
      </c>
      <c r="K34" s="55">
        <f>SUMIFS(GL_Journal!$S:$S,GL_Journal!$G:$G,"&gt;=6600",GL_Journal!$G:$G,"&lt;=6699",GL_Journal!$D:$D,"&gt;="&amp;IS_From,GL_Journal!$D:$D,"&lt;="&amp;IS_To,GL_Journal!$I:$I,K$11,GL_Journal!$J:$J,IS_CCC,GL_Journal!$AE:$AE,0)-SUMIFS(GL_Journal!$T:$T,GL_Journal!$G:$G,"&gt;=6600",GL_Journal!$G:$G,"&lt;=6699",GL_Journal!$D:$D,"&gt;="&amp;IS_From,GL_Journal!$D:$D,"&lt;="&amp;IS_To,GL_Journal!$I:$I,K$11,GL_Journal!$J:$J,IS_CCC,GL_Journal!$AE:$AE,0)</f>
        <v/>
      </c>
      <c r="L34" s="55">
        <f>SUMIFS(GL_Journal!$S:$S,GL_Journal!$G:$G,"&gt;=6600",GL_Journal!$G:$G,"&lt;=6699",GL_Journal!$D:$D,"&gt;="&amp;IS_From,GL_Journal!$D:$D,"&lt;="&amp;IS_To,GL_Journal!$I:$I,L$11,GL_Journal!$J:$J,IS_CCC,GL_Journal!$AE:$AE,0)-SUMIFS(GL_Journal!$T:$T,GL_Journal!$G:$G,"&gt;=6600",GL_Journal!$G:$G,"&lt;=6699",GL_Journal!$D:$D,"&gt;="&amp;IS_From,GL_Journal!$D:$D,"&lt;="&amp;IS_To,GL_Journal!$I:$I,L$11,GL_Journal!$J:$J,IS_CCC,GL_Journal!$AE:$AE,0)</f>
        <v/>
      </c>
      <c r="M34" s="55">
        <f>SUMIFS(GL_Journal!$S:$S,GL_Journal!$G:$G,"&gt;=6600",GL_Journal!$G:$G,"&lt;=6699",GL_Journal!$D:$D,"&gt;="&amp;IS_From,GL_Journal!$D:$D,"&lt;="&amp;IS_To,GL_Journal!$I:$I,M$11,GL_Journal!$J:$J,IS_CCC,GL_Journal!$AE:$AE,0)-SUMIFS(GL_Journal!$T:$T,GL_Journal!$G:$G,"&gt;=6600",GL_Journal!$G:$G,"&lt;=6699",GL_Journal!$D:$D,"&gt;="&amp;IS_From,GL_Journal!$D:$D,"&lt;="&amp;IS_To,GL_Journal!$I:$I,M$11,GL_Journal!$J:$J,IS_CCC,GL_Journal!$AE:$AE,0)</f>
        <v/>
      </c>
      <c r="N34" s="55">
        <f>SUMIFS(GL_Journal!$S:$S,GL_Journal!$G:$G,"&gt;=6600",GL_Journal!$G:$G,"&lt;=6699",GL_Journal!$D:$D,"&gt;="&amp;IS_From,GL_Journal!$D:$D,"&lt;="&amp;IS_To,GL_Journal!$I:$I,N$11,GL_Journal!$J:$J,IS_CCC,GL_Journal!$AE:$AE,0)-SUMIFS(GL_Journal!$T:$T,GL_Journal!$G:$G,"&gt;=6600",GL_Journal!$G:$G,"&lt;=6699",GL_Journal!$D:$D,"&gt;="&amp;IS_From,GL_Journal!$D:$D,"&lt;="&amp;IS_To,GL_Journal!$I:$I,N$11,GL_Journal!$J:$J,IS_CCC,GL_Journal!$AE:$AE,0)</f>
        <v/>
      </c>
      <c r="O34" s="55">
        <f>P34-SUM(I34:N34)</f>
        <v/>
      </c>
      <c r="P34" s="55">
        <f>SUMIFS(GL_Journal!$S:$S,GL_Journal!$G:$G,"&gt;=6600",GL_Journal!$G:$G,"&lt;=6699",GL_Journal!$D:$D,"&gt;="&amp;IS_From,GL_Journal!$D:$D,"&lt;="&amp;IS_To,GL_Journal!$I:$I,"&lt;&gt;",GL_Journal!$J:$J,IS_CCC,GL_Journal!$AE:$AE,0)-SUMIFS(GL_Journal!$T:$T,GL_Journal!$G:$G,"&gt;=6600",GL_Journal!$G:$G,"&lt;=6699",GL_Journal!$D:$D,"&gt;="&amp;IS_From,GL_Journal!$D:$D,"&lt;="&amp;IS_To,GL_Journal!$I:$I,"&lt;&gt;",GL_Journal!$J:$J,IS_CCC,GL_Journal!$AE:$AE,0)</f>
        <v/>
      </c>
    </row>
    <row r="35">
      <c r="A35" s="65" t="inlineStr">
        <is>
          <t>العمولات والرسوم (منصات/بنوك)</t>
        </is>
      </c>
      <c r="B35" s="8" t="n">
        <v>6700</v>
      </c>
      <c r="C35" s="8" t="n">
        <v>6799</v>
      </c>
      <c r="D35" s="8" t="inlineStr">
        <is>
          <t>مدين</t>
        </is>
      </c>
      <c r="E35" s="55">
        <f>SUMIFS(GL_Journal!$S:$S,GL_Journal!$G:$G,"&gt;=6700",GL_Journal!$G:$G,"&lt;=6799",GL_Journal!$D:$D,"&gt;="&amp;IS_From,GL_Journal!$D:$D,"&lt;="&amp;IS_To,GL_Journal!$I:$I,IS_LOCC,GL_Journal!$J:$J,IS_CCC,GL_Journal!$AE:$AE,0)-SUMIFS(GL_Journal!$T:$T,GL_Journal!$G:$G,"&gt;=6700",GL_Journal!$G:$G,"&lt;=6799",GL_Journal!$D:$D,"&gt;="&amp;IS_From,GL_Journal!$D:$D,"&lt;="&amp;IS_To,GL_Journal!$I:$I,IS_LOCC,GL_Journal!$J:$J,IS_CCC,GL_Journal!$AE:$AE,0)</f>
        <v/>
      </c>
      <c r="F35" s="66">
        <f>IF(E$20=0,"",E35/E$20)</f>
        <v/>
      </c>
      <c r="G35" s="55">
        <f>SUMIFS(GL_Journal!$S:$S,GL_Journal!$G:$G,"&gt;=6700",GL_Journal!$G:$G,"&lt;=6799",GL_Journal!$D:$D,"&gt;="&amp;S_PFrom,GL_Journal!$D:$D,"&lt;="&amp;S_PTo,GL_Journal!$I:$I,IS_LOCC,GL_Journal!$J:$J,IS_CCC,GL_Journal!$AE:$AE,0)-SUMIFS(GL_Journal!$T:$T,GL_Journal!$G:$G,"&gt;=6700",GL_Journal!$G:$G,"&lt;=6799",GL_Journal!$D:$D,"&gt;="&amp;S_PFrom,GL_Journal!$D:$D,"&lt;="&amp;S_PTo,GL_Journal!$I:$I,IS_LOCC,GL_Journal!$J:$J,IS_CCC,GL_Journal!$AE:$AE,0)</f>
        <v/>
      </c>
      <c r="H35" s="55">
        <f>E35-G35</f>
        <v/>
      </c>
      <c r="I35" s="55">
        <f>SUMIFS(GL_Journal!$S:$S,GL_Journal!$G:$G,"&gt;=6700",GL_Journal!$G:$G,"&lt;=6799",GL_Journal!$D:$D,"&gt;="&amp;IS_From,GL_Journal!$D:$D,"&lt;="&amp;IS_To,GL_Journal!$I:$I,I$11,GL_Journal!$J:$J,IS_CCC,GL_Journal!$AE:$AE,0)-SUMIFS(GL_Journal!$T:$T,GL_Journal!$G:$G,"&gt;=6700",GL_Journal!$G:$G,"&lt;=6799",GL_Journal!$D:$D,"&gt;="&amp;IS_From,GL_Journal!$D:$D,"&lt;="&amp;IS_To,GL_Journal!$I:$I,I$11,GL_Journal!$J:$J,IS_CCC,GL_Journal!$AE:$AE,0)</f>
        <v/>
      </c>
      <c r="J35" s="55">
        <f>SUMIFS(GL_Journal!$S:$S,GL_Journal!$G:$G,"&gt;=6700",GL_Journal!$G:$G,"&lt;=6799",GL_Journal!$D:$D,"&gt;="&amp;IS_From,GL_Journal!$D:$D,"&lt;="&amp;IS_To,GL_Journal!$I:$I,J$11,GL_Journal!$J:$J,IS_CCC,GL_Journal!$AE:$AE,0)-SUMIFS(GL_Journal!$T:$T,GL_Journal!$G:$G,"&gt;=6700",GL_Journal!$G:$G,"&lt;=6799",GL_Journal!$D:$D,"&gt;="&amp;IS_From,GL_Journal!$D:$D,"&lt;="&amp;IS_To,GL_Journal!$I:$I,J$11,GL_Journal!$J:$J,IS_CCC,GL_Journal!$AE:$AE,0)</f>
        <v/>
      </c>
      <c r="K35" s="55">
        <f>SUMIFS(GL_Journal!$S:$S,GL_Journal!$G:$G,"&gt;=6700",GL_Journal!$G:$G,"&lt;=6799",GL_Journal!$D:$D,"&gt;="&amp;IS_From,GL_Journal!$D:$D,"&lt;="&amp;IS_To,GL_Journal!$I:$I,K$11,GL_Journal!$J:$J,IS_CCC,GL_Journal!$AE:$AE,0)-SUMIFS(GL_Journal!$T:$T,GL_Journal!$G:$G,"&gt;=6700",GL_Journal!$G:$G,"&lt;=6799",GL_Journal!$D:$D,"&gt;="&amp;IS_From,GL_Journal!$D:$D,"&lt;="&amp;IS_To,GL_Journal!$I:$I,K$11,GL_Journal!$J:$J,IS_CCC,GL_Journal!$AE:$AE,0)</f>
        <v/>
      </c>
      <c r="L35" s="55">
        <f>SUMIFS(GL_Journal!$S:$S,GL_Journal!$G:$G,"&gt;=6700",GL_Journal!$G:$G,"&lt;=6799",GL_Journal!$D:$D,"&gt;="&amp;IS_From,GL_Journal!$D:$D,"&lt;="&amp;IS_To,GL_Journal!$I:$I,L$11,GL_Journal!$J:$J,IS_CCC,GL_Journal!$AE:$AE,0)-SUMIFS(GL_Journal!$T:$T,GL_Journal!$G:$G,"&gt;=6700",GL_Journal!$G:$G,"&lt;=6799",GL_Journal!$D:$D,"&gt;="&amp;IS_From,GL_Journal!$D:$D,"&lt;="&amp;IS_To,GL_Journal!$I:$I,L$11,GL_Journal!$J:$J,IS_CCC,GL_Journal!$AE:$AE,0)</f>
        <v/>
      </c>
      <c r="M35" s="55">
        <f>SUMIFS(GL_Journal!$S:$S,GL_Journal!$G:$G,"&gt;=6700",GL_Journal!$G:$G,"&lt;=6799",GL_Journal!$D:$D,"&gt;="&amp;IS_From,GL_Journal!$D:$D,"&lt;="&amp;IS_To,GL_Journal!$I:$I,M$11,GL_Journal!$J:$J,IS_CCC,GL_Journal!$AE:$AE,0)-SUMIFS(GL_Journal!$T:$T,GL_Journal!$G:$G,"&gt;=6700",GL_Journal!$G:$G,"&lt;=6799",GL_Journal!$D:$D,"&gt;="&amp;IS_From,GL_Journal!$D:$D,"&lt;="&amp;IS_To,GL_Journal!$I:$I,M$11,GL_Journal!$J:$J,IS_CCC,GL_Journal!$AE:$AE,0)</f>
        <v/>
      </c>
      <c r="N35" s="55">
        <f>SUMIFS(GL_Journal!$S:$S,GL_Journal!$G:$G,"&gt;=6700",GL_Journal!$G:$G,"&lt;=6799",GL_Journal!$D:$D,"&gt;="&amp;IS_From,GL_Journal!$D:$D,"&lt;="&amp;IS_To,GL_Journal!$I:$I,N$11,GL_Journal!$J:$J,IS_CCC,GL_Journal!$AE:$AE,0)-SUMIFS(GL_Journal!$T:$T,GL_Journal!$G:$G,"&gt;=6700",GL_Journal!$G:$G,"&lt;=6799",GL_Journal!$D:$D,"&gt;="&amp;IS_From,GL_Journal!$D:$D,"&lt;="&amp;IS_To,GL_Journal!$I:$I,N$11,GL_Journal!$J:$J,IS_CCC,GL_Journal!$AE:$AE,0)</f>
        <v/>
      </c>
      <c r="O35" s="55">
        <f>P35-SUM(I35:N35)</f>
        <v/>
      </c>
      <c r="P35" s="55">
        <f>SUMIFS(GL_Journal!$S:$S,GL_Journal!$G:$G,"&gt;=6700",GL_Journal!$G:$G,"&lt;=6799",GL_Journal!$D:$D,"&gt;="&amp;IS_From,GL_Journal!$D:$D,"&lt;="&amp;IS_To,GL_Journal!$I:$I,"&lt;&gt;",GL_Journal!$J:$J,IS_CCC,GL_Journal!$AE:$AE,0)-SUMIFS(GL_Journal!$T:$T,GL_Journal!$G:$G,"&gt;=6700",GL_Journal!$G:$G,"&lt;=6799",GL_Journal!$D:$D,"&gt;="&amp;IS_From,GL_Journal!$D:$D,"&lt;="&amp;IS_To,GL_Journal!$I:$I,"&lt;&gt;",GL_Journal!$J:$J,IS_CCC,GL_Journal!$AE:$AE,0)</f>
        <v/>
      </c>
    </row>
    <row r="36">
      <c r="A36" s="65" t="inlineStr">
        <is>
          <t>الإهلاك</t>
        </is>
      </c>
      <c r="B36" s="8" t="n">
        <v>6800</v>
      </c>
      <c r="C36" s="8" t="n">
        <v>6899</v>
      </c>
      <c r="D36" s="8" t="inlineStr">
        <is>
          <t>مدين</t>
        </is>
      </c>
      <c r="E36" s="55">
        <f>SUMIFS(GL_Journal!$S:$S,GL_Journal!$G:$G,"&gt;=6800",GL_Journal!$G:$G,"&lt;=6899",GL_Journal!$D:$D,"&gt;="&amp;IS_From,GL_Journal!$D:$D,"&lt;="&amp;IS_To,GL_Journal!$I:$I,IS_LOCC,GL_Journal!$J:$J,IS_CCC,GL_Journal!$AE:$AE,0)-SUMIFS(GL_Journal!$T:$T,GL_Journal!$G:$G,"&gt;=6800",GL_Journal!$G:$G,"&lt;=6899",GL_Journal!$D:$D,"&gt;="&amp;IS_From,GL_Journal!$D:$D,"&lt;="&amp;IS_To,GL_Journal!$I:$I,IS_LOCC,GL_Journal!$J:$J,IS_CCC,GL_Journal!$AE:$AE,0)</f>
        <v/>
      </c>
      <c r="F36" s="66">
        <f>IF(E$20=0,"",E36/E$20)</f>
        <v/>
      </c>
      <c r="G36" s="55">
        <f>SUMIFS(GL_Journal!$S:$S,GL_Journal!$G:$G,"&gt;=6800",GL_Journal!$G:$G,"&lt;=6899",GL_Journal!$D:$D,"&gt;="&amp;S_PFrom,GL_Journal!$D:$D,"&lt;="&amp;S_PTo,GL_Journal!$I:$I,IS_LOCC,GL_Journal!$J:$J,IS_CCC,GL_Journal!$AE:$AE,0)-SUMIFS(GL_Journal!$T:$T,GL_Journal!$G:$G,"&gt;=6800",GL_Journal!$G:$G,"&lt;=6899",GL_Journal!$D:$D,"&gt;="&amp;S_PFrom,GL_Journal!$D:$D,"&lt;="&amp;S_PTo,GL_Journal!$I:$I,IS_LOCC,GL_Journal!$J:$J,IS_CCC,GL_Journal!$AE:$AE,0)</f>
        <v/>
      </c>
      <c r="H36" s="55">
        <f>E36-G36</f>
        <v/>
      </c>
      <c r="I36" s="55">
        <f>SUMIFS(GL_Journal!$S:$S,GL_Journal!$G:$G,"&gt;=6800",GL_Journal!$G:$G,"&lt;=6899",GL_Journal!$D:$D,"&gt;="&amp;IS_From,GL_Journal!$D:$D,"&lt;="&amp;IS_To,GL_Journal!$I:$I,I$11,GL_Journal!$J:$J,IS_CCC,GL_Journal!$AE:$AE,0)-SUMIFS(GL_Journal!$T:$T,GL_Journal!$G:$G,"&gt;=6800",GL_Journal!$G:$G,"&lt;=6899",GL_Journal!$D:$D,"&gt;="&amp;IS_From,GL_Journal!$D:$D,"&lt;="&amp;IS_To,GL_Journal!$I:$I,I$11,GL_Journal!$J:$J,IS_CCC,GL_Journal!$AE:$AE,0)</f>
        <v/>
      </c>
      <c r="J36" s="55">
        <f>SUMIFS(GL_Journal!$S:$S,GL_Journal!$G:$G,"&gt;=6800",GL_Journal!$G:$G,"&lt;=6899",GL_Journal!$D:$D,"&gt;="&amp;IS_From,GL_Journal!$D:$D,"&lt;="&amp;IS_To,GL_Journal!$I:$I,J$11,GL_Journal!$J:$J,IS_CCC,GL_Journal!$AE:$AE,0)-SUMIFS(GL_Journal!$T:$T,GL_Journal!$G:$G,"&gt;=6800",GL_Journal!$G:$G,"&lt;=6899",GL_Journal!$D:$D,"&gt;="&amp;IS_From,GL_Journal!$D:$D,"&lt;="&amp;IS_To,GL_Journal!$I:$I,J$11,GL_Journal!$J:$J,IS_CCC,GL_Journal!$AE:$AE,0)</f>
        <v/>
      </c>
      <c r="K36" s="55">
        <f>SUMIFS(GL_Journal!$S:$S,GL_Journal!$G:$G,"&gt;=6800",GL_Journal!$G:$G,"&lt;=6899",GL_Journal!$D:$D,"&gt;="&amp;IS_From,GL_Journal!$D:$D,"&lt;="&amp;IS_To,GL_Journal!$I:$I,K$11,GL_Journal!$J:$J,IS_CCC,GL_Journal!$AE:$AE,0)-SUMIFS(GL_Journal!$T:$T,GL_Journal!$G:$G,"&gt;=6800",GL_Journal!$G:$G,"&lt;=6899",GL_Journal!$D:$D,"&gt;="&amp;IS_From,GL_Journal!$D:$D,"&lt;="&amp;IS_To,GL_Journal!$I:$I,K$11,GL_Journal!$J:$J,IS_CCC,GL_Journal!$AE:$AE,0)</f>
        <v/>
      </c>
      <c r="L36" s="55">
        <f>SUMIFS(GL_Journal!$S:$S,GL_Journal!$G:$G,"&gt;=6800",GL_Journal!$G:$G,"&lt;=6899",GL_Journal!$D:$D,"&gt;="&amp;IS_From,GL_Journal!$D:$D,"&lt;="&amp;IS_To,GL_Journal!$I:$I,L$11,GL_Journal!$J:$J,IS_CCC,GL_Journal!$AE:$AE,0)-SUMIFS(GL_Journal!$T:$T,GL_Journal!$G:$G,"&gt;=6800",GL_Journal!$G:$G,"&lt;=6899",GL_Journal!$D:$D,"&gt;="&amp;IS_From,GL_Journal!$D:$D,"&lt;="&amp;IS_To,GL_Journal!$I:$I,L$11,GL_Journal!$J:$J,IS_CCC,GL_Journal!$AE:$AE,0)</f>
        <v/>
      </c>
      <c r="M36" s="55">
        <f>SUMIFS(GL_Journal!$S:$S,GL_Journal!$G:$G,"&gt;=6800",GL_Journal!$G:$G,"&lt;=6899",GL_Journal!$D:$D,"&gt;="&amp;IS_From,GL_Journal!$D:$D,"&lt;="&amp;IS_To,GL_Journal!$I:$I,M$11,GL_Journal!$J:$J,IS_CCC,GL_Journal!$AE:$AE,0)-SUMIFS(GL_Journal!$T:$T,GL_Journal!$G:$G,"&gt;=6800",GL_Journal!$G:$G,"&lt;=6899",GL_Journal!$D:$D,"&gt;="&amp;IS_From,GL_Journal!$D:$D,"&lt;="&amp;IS_To,GL_Journal!$I:$I,M$11,GL_Journal!$J:$J,IS_CCC,GL_Journal!$AE:$AE,0)</f>
        <v/>
      </c>
      <c r="N36" s="55">
        <f>SUMIFS(GL_Journal!$S:$S,GL_Journal!$G:$G,"&gt;=6800",GL_Journal!$G:$G,"&lt;=6899",GL_Journal!$D:$D,"&gt;="&amp;IS_From,GL_Journal!$D:$D,"&lt;="&amp;IS_To,GL_Journal!$I:$I,N$11,GL_Journal!$J:$J,IS_CCC,GL_Journal!$AE:$AE,0)-SUMIFS(GL_Journal!$T:$T,GL_Journal!$G:$G,"&gt;=6800",GL_Journal!$G:$G,"&lt;=6899",GL_Journal!$D:$D,"&gt;="&amp;IS_From,GL_Journal!$D:$D,"&lt;="&amp;IS_To,GL_Journal!$I:$I,N$11,GL_Journal!$J:$J,IS_CCC,GL_Journal!$AE:$AE,0)</f>
        <v/>
      </c>
      <c r="O36" s="55">
        <f>P36-SUM(I36:N36)</f>
        <v/>
      </c>
      <c r="P36" s="55">
        <f>SUMIFS(GL_Journal!$S:$S,GL_Journal!$G:$G,"&gt;=6800",GL_Journal!$G:$G,"&lt;=6899",GL_Journal!$D:$D,"&gt;="&amp;IS_From,GL_Journal!$D:$D,"&lt;="&amp;IS_To,GL_Journal!$I:$I,"&lt;&gt;",GL_Journal!$J:$J,IS_CCC,GL_Journal!$AE:$AE,0)-SUMIFS(GL_Journal!$T:$T,GL_Journal!$G:$G,"&gt;=6800",GL_Journal!$G:$G,"&lt;=6899",GL_Journal!$D:$D,"&gt;="&amp;IS_From,GL_Journal!$D:$D,"&lt;="&amp;IS_To,GL_Journal!$I:$I,"&lt;&gt;",GL_Journal!$J:$J,IS_CCC,GL_Journal!$AE:$AE,0)</f>
        <v/>
      </c>
    </row>
    <row r="37">
      <c r="A37" s="65" t="inlineStr">
        <is>
          <t>مصروفات إدارية وأخرى (تشمل عجز الخزينة)</t>
        </is>
      </c>
      <c r="B37" s="8" t="n">
        <v>6900</v>
      </c>
      <c r="C37" s="8" t="n">
        <v>6999</v>
      </c>
      <c r="D37" s="8" t="inlineStr">
        <is>
          <t>مدين</t>
        </is>
      </c>
      <c r="E37" s="55">
        <f>SUMIFS(GL_Journal!$S:$S,GL_Journal!$G:$G,"&gt;=6900",GL_Journal!$G:$G,"&lt;=6999",GL_Journal!$D:$D,"&gt;="&amp;IS_From,GL_Journal!$D:$D,"&lt;="&amp;IS_To,GL_Journal!$I:$I,IS_LOCC,GL_Journal!$J:$J,IS_CCC,GL_Journal!$AE:$AE,0)-SUMIFS(GL_Journal!$T:$T,GL_Journal!$G:$G,"&gt;=6900",GL_Journal!$G:$G,"&lt;=6999",GL_Journal!$D:$D,"&gt;="&amp;IS_From,GL_Journal!$D:$D,"&lt;="&amp;IS_To,GL_Journal!$I:$I,IS_LOCC,GL_Journal!$J:$J,IS_CCC,GL_Journal!$AE:$AE,0)</f>
        <v/>
      </c>
      <c r="F37" s="66">
        <f>IF(E$20=0,"",E37/E$20)</f>
        <v/>
      </c>
      <c r="G37" s="55">
        <f>SUMIFS(GL_Journal!$S:$S,GL_Journal!$G:$G,"&gt;=6900",GL_Journal!$G:$G,"&lt;=6999",GL_Journal!$D:$D,"&gt;="&amp;S_PFrom,GL_Journal!$D:$D,"&lt;="&amp;S_PTo,GL_Journal!$I:$I,IS_LOCC,GL_Journal!$J:$J,IS_CCC,GL_Journal!$AE:$AE,0)-SUMIFS(GL_Journal!$T:$T,GL_Journal!$G:$G,"&gt;=6900",GL_Journal!$G:$G,"&lt;=6999",GL_Journal!$D:$D,"&gt;="&amp;S_PFrom,GL_Journal!$D:$D,"&lt;="&amp;S_PTo,GL_Journal!$I:$I,IS_LOCC,GL_Journal!$J:$J,IS_CCC,GL_Journal!$AE:$AE,0)</f>
        <v/>
      </c>
      <c r="H37" s="55">
        <f>E37-G37</f>
        <v/>
      </c>
      <c r="I37" s="55">
        <f>SUMIFS(GL_Journal!$S:$S,GL_Journal!$G:$G,"&gt;=6900",GL_Journal!$G:$G,"&lt;=6999",GL_Journal!$D:$D,"&gt;="&amp;IS_From,GL_Journal!$D:$D,"&lt;="&amp;IS_To,GL_Journal!$I:$I,I$11,GL_Journal!$J:$J,IS_CCC,GL_Journal!$AE:$AE,0)-SUMIFS(GL_Journal!$T:$T,GL_Journal!$G:$G,"&gt;=6900",GL_Journal!$G:$G,"&lt;=6999",GL_Journal!$D:$D,"&gt;="&amp;IS_From,GL_Journal!$D:$D,"&lt;="&amp;IS_To,GL_Journal!$I:$I,I$11,GL_Journal!$J:$J,IS_CCC,GL_Journal!$AE:$AE,0)</f>
        <v/>
      </c>
      <c r="J37" s="55">
        <f>SUMIFS(GL_Journal!$S:$S,GL_Journal!$G:$G,"&gt;=6900",GL_Journal!$G:$G,"&lt;=6999",GL_Journal!$D:$D,"&gt;="&amp;IS_From,GL_Journal!$D:$D,"&lt;="&amp;IS_To,GL_Journal!$I:$I,J$11,GL_Journal!$J:$J,IS_CCC,GL_Journal!$AE:$AE,0)-SUMIFS(GL_Journal!$T:$T,GL_Journal!$G:$G,"&gt;=6900",GL_Journal!$G:$G,"&lt;=6999",GL_Journal!$D:$D,"&gt;="&amp;IS_From,GL_Journal!$D:$D,"&lt;="&amp;IS_To,GL_Journal!$I:$I,J$11,GL_Journal!$J:$J,IS_CCC,GL_Journal!$AE:$AE,0)</f>
        <v/>
      </c>
      <c r="K37" s="55">
        <f>SUMIFS(GL_Journal!$S:$S,GL_Journal!$G:$G,"&gt;=6900",GL_Journal!$G:$G,"&lt;=6999",GL_Journal!$D:$D,"&gt;="&amp;IS_From,GL_Journal!$D:$D,"&lt;="&amp;IS_To,GL_Journal!$I:$I,K$11,GL_Journal!$J:$J,IS_CCC,GL_Journal!$AE:$AE,0)-SUMIFS(GL_Journal!$T:$T,GL_Journal!$G:$G,"&gt;=6900",GL_Journal!$G:$G,"&lt;=6999",GL_Journal!$D:$D,"&gt;="&amp;IS_From,GL_Journal!$D:$D,"&lt;="&amp;IS_To,GL_Journal!$I:$I,K$11,GL_Journal!$J:$J,IS_CCC,GL_Journal!$AE:$AE,0)</f>
        <v/>
      </c>
      <c r="L37" s="55">
        <f>SUMIFS(GL_Journal!$S:$S,GL_Journal!$G:$G,"&gt;=6900",GL_Journal!$G:$G,"&lt;=6999",GL_Journal!$D:$D,"&gt;="&amp;IS_From,GL_Journal!$D:$D,"&lt;="&amp;IS_To,GL_Journal!$I:$I,L$11,GL_Journal!$J:$J,IS_CCC,GL_Journal!$AE:$AE,0)-SUMIFS(GL_Journal!$T:$T,GL_Journal!$G:$G,"&gt;=6900",GL_Journal!$G:$G,"&lt;=6999",GL_Journal!$D:$D,"&gt;="&amp;IS_From,GL_Journal!$D:$D,"&lt;="&amp;IS_To,GL_Journal!$I:$I,L$11,GL_Journal!$J:$J,IS_CCC,GL_Journal!$AE:$AE,0)</f>
        <v/>
      </c>
      <c r="M37" s="55">
        <f>SUMIFS(GL_Journal!$S:$S,GL_Journal!$G:$G,"&gt;=6900",GL_Journal!$G:$G,"&lt;=6999",GL_Journal!$D:$D,"&gt;="&amp;IS_From,GL_Journal!$D:$D,"&lt;="&amp;IS_To,GL_Journal!$I:$I,M$11,GL_Journal!$J:$J,IS_CCC,GL_Journal!$AE:$AE,0)-SUMIFS(GL_Journal!$T:$T,GL_Journal!$G:$G,"&gt;=6900",GL_Journal!$G:$G,"&lt;=6999",GL_Journal!$D:$D,"&gt;="&amp;IS_From,GL_Journal!$D:$D,"&lt;="&amp;IS_To,GL_Journal!$I:$I,M$11,GL_Journal!$J:$J,IS_CCC,GL_Journal!$AE:$AE,0)</f>
        <v/>
      </c>
      <c r="N37" s="55">
        <f>SUMIFS(GL_Journal!$S:$S,GL_Journal!$G:$G,"&gt;=6900",GL_Journal!$G:$G,"&lt;=6999",GL_Journal!$D:$D,"&gt;="&amp;IS_From,GL_Journal!$D:$D,"&lt;="&amp;IS_To,GL_Journal!$I:$I,N$11,GL_Journal!$J:$J,IS_CCC,GL_Journal!$AE:$AE,0)-SUMIFS(GL_Journal!$T:$T,GL_Journal!$G:$G,"&gt;=6900",GL_Journal!$G:$G,"&lt;=6999",GL_Journal!$D:$D,"&gt;="&amp;IS_From,GL_Journal!$D:$D,"&lt;="&amp;IS_To,GL_Journal!$I:$I,N$11,GL_Journal!$J:$J,IS_CCC,GL_Journal!$AE:$AE,0)</f>
        <v/>
      </c>
      <c r="O37" s="55">
        <f>P37-SUM(I37:N37)</f>
        <v/>
      </c>
      <c r="P37" s="55">
        <f>SUMIFS(GL_Journal!$S:$S,GL_Journal!$G:$G,"&gt;=6900",GL_Journal!$G:$G,"&lt;=6999",GL_Journal!$D:$D,"&gt;="&amp;IS_From,GL_Journal!$D:$D,"&lt;="&amp;IS_To,GL_Journal!$I:$I,"&lt;&gt;",GL_Journal!$J:$J,IS_CCC,GL_Journal!$AE:$AE,0)-SUMIFS(GL_Journal!$T:$T,GL_Journal!$G:$G,"&gt;=6900",GL_Journal!$G:$G,"&lt;=6999",GL_Journal!$D:$D,"&gt;="&amp;IS_From,GL_Journal!$D:$D,"&lt;="&amp;IS_To,GL_Journal!$I:$I,"&lt;&gt;",GL_Journal!$J:$J,IS_CCC,GL_Journal!$AE:$AE,0)</f>
        <v/>
      </c>
    </row>
    <row r="38">
      <c r="A38" s="67" t="inlineStr">
        <is>
          <t>إجمالي المصروفات التشغيلية</t>
        </is>
      </c>
      <c r="B38" s="68" t="n"/>
      <c r="C38" s="68" t="n"/>
      <c r="D38" s="68" t="n"/>
      <c r="E38" s="69">
        <f>E29+E30+E31+E32+E33+E34+E35+E36+E37</f>
        <v/>
      </c>
      <c r="F38" s="70">
        <f>IF(E$20=0,"",E38/E$20)</f>
        <v/>
      </c>
      <c r="G38" s="69">
        <f>G29+G30+G31+G32+G33+G34+G35+G36+G37</f>
        <v/>
      </c>
      <c r="H38" s="69">
        <f>E38-G38</f>
        <v/>
      </c>
      <c r="I38" s="69">
        <f>I29+I30+I31+I32+I33+I34+I35+I36+I37</f>
        <v/>
      </c>
      <c r="J38" s="69">
        <f>J29+J30+J31+J32+J33+J34+J35+J36+J37</f>
        <v/>
      </c>
      <c r="K38" s="69">
        <f>K29+K30+K31+K32+K33+K34+K35+K36+K37</f>
        <v/>
      </c>
      <c r="L38" s="69">
        <f>L29+L30+L31+L32+L33+L34+L35+L36+L37</f>
        <v/>
      </c>
      <c r="M38" s="69">
        <f>M29+M30+M31+M32+M33+M34+M35+M36+M37</f>
        <v/>
      </c>
      <c r="N38" s="69">
        <f>N29+N30+N31+N32+N33+N34+N35+N36+N37</f>
        <v/>
      </c>
      <c r="O38" s="69">
        <f>O29+O30+O31+O32+O33+O34+O35+O36+O37</f>
        <v/>
      </c>
      <c r="P38" s="69">
        <f>P29+P30+P31+P32+P33+P34+P35+P36+P37</f>
        <v/>
      </c>
    </row>
    <row r="39">
      <c r="A39" s="71" t="inlineStr">
        <is>
          <t>الربح التشغيلي (Operating Profit)</t>
        </is>
      </c>
      <c r="B39" s="72" t="n"/>
      <c r="C39" s="72" t="n"/>
      <c r="D39" s="72" t="n"/>
      <c r="E39" s="73">
        <f>E27-E38</f>
        <v/>
      </c>
      <c r="F39" s="74">
        <f>IF(E$20=0,"",E39/E$20)</f>
        <v/>
      </c>
      <c r="G39" s="73">
        <f>G27-G38</f>
        <v/>
      </c>
      <c r="H39" s="73">
        <f>E39-G39</f>
        <v/>
      </c>
      <c r="I39" s="73">
        <f>I27-I38</f>
        <v/>
      </c>
      <c r="J39" s="73">
        <f>J27-J38</f>
        <v/>
      </c>
      <c r="K39" s="73">
        <f>K27-K38</f>
        <v/>
      </c>
      <c r="L39" s="73">
        <f>L27-L38</f>
        <v/>
      </c>
      <c r="M39" s="73">
        <f>M27-M38</f>
        <v/>
      </c>
      <c r="N39" s="73">
        <f>N27-N38</f>
        <v/>
      </c>
      <c r="O39" s="73">
        <f>O27-O38</f>
        <v/>
      </c>
      <c r="P39" s="73">
        <f>P27-P38</f>
        <v/>
      </c>
    </row>
    <row r="40">
      <c r="A40" s="65" t="inlineStr">
        <is>
          <t>إيرادات أخرى (تشمل زيادة الخزينة)</t>
        </is>
      </c>
      <c r="B40" s="8" t="n">
        <v>4200</v>
      </c>
      <c r="C40" s="8" t="n">
        <v>4299</v>
      </c>
      <c r="D40" s="8" t="inlineStr">
        <is>
          <t>دائن</t>
        </is>
      </c>
      <c r="E40" s="55">
        <f>SUMIFS(GL_Journal!$T:$T,GL_Journal!$G:$G,"&gt;=4200",GL_Journal!$G:$G,"&lt;=4299",GL_Journal!$D:$D,"&gt;="&amp;IS_From,GL_Journal!$D:$D,"&lt;="&amp;IS_To,GL_Journal!$I:$I,IS_LOCC,GL_Journal!$J:$J,IS_CCC,GL_Journal!$AE:$AE,0)-SUMIFS(GL_Journal!$S:$S,GL_Journal!$G:$G,"&gt;=4200",GL_Journal!$G:$G,"&lt;=4299",GL_Journal!$D:$D,"&gt;="&amp;IS_From,GL_Journal!$D:$D,"&lt;="&amp;IS_To,GL_Journal!$I:$I,IS_LOCC,GL_Journal!$J:$J,IS_CCC,GL_Journal!$AE:$AE,0)</f>
        <v/>
      </c>
      <c r="F40" s="66">
        <f>IF(E$20=0,"",E40/E$20)</f>
        <v/>
      </c>
      <c r="G40" s="55">
        <f>SUMIFS(GL_Journal!$T:$T,GL_Journal!$G:$G,"&gt;=4200",GL_Journal!$G:$G,"&lt;=4299",GL_Journal!$D:$D,"&gt;="&amp;S_PFrom,GL_Journal!$D:$D,"&lt;="&amp;S_PTo,GL_Journal!$I:$I,IS_LOCC,GL_Journal!$J:$J,IS_CCC,GL_Journal!$AE:$AE,0)-SUMIFS(GL_Journal!$S:$S,GL_Journal!$G:$G,"&gt;=4200",GL_Journal!$G:$G,"&lt;=4299",GL_Journal!$D:$D,"&gt;="&amp;S_PFrom,GL_Journal!$D:$D,"&lt;="&amp;S_PTo,GL_Journal!$I:$I,IS_LOCC,GL_Journal!$J:$J,IS_CCC,GL_Journal!$AE:$AE,0)</f>
        <v/>
      </c>
      <c r="H40" s="55">
        <f>E40-G40</f>
        <v/>
      </c>
      <c r="I40" s="55">
        <f>SUMIFS(GL_Journal!$T:$T,GL_Journal!$G:$G,"&gt;=4200",GL_Journal!$G:$G,"&lt;=4299",GL_Journal!$D:$D,"&gt;="&amp;IS_From,GL_Journal!$D:$D,"&lt;="&amp;IS_To,GL_Journal!$I:$I,I$11,GL_Journal!$J:$J,IS_CCC,GL_Journal!$AE:$AE,0)-SUMIFS(GL_Journal!$S:$S,GL_Journal!$G:$G,"&gt;=4200",GL_Journal!$G:$G,"&lt;=4299",GL_Journal!$D:$D,"&gt;="&amp;IS_From,GL_Journal!$D:$D,"&lt;="&amp;IS_To,GL_Journal!$I:$I,I$11,GL_Journal!$J:$J,IS_CCC,GL_Journal!$AE:$AE,0)</f>
        <v/>
      </c>
      <c r="J40" s="55">
        <f>SUMIFS(GL_Journal!$T:$T,GL_Journal!$G:$G,"&gt;=4200",GL_Journal!$G:$G,"&lt;=4299",GL_Journal!$D:$D,"&gt;="&amp;IS_From,GL_Journal!$D:$D,"&lt;="&amp;IS_To,GL_Journal!$I:$I,J$11,GL_Journal!$J:$J,IS_CCC,GL_Journal!$AE:$AE,0)-SUMIFS(GL_Journal!$S:$S,GL_Journal!$G:$G,"&gt;=4200",GL_Journal!$G:$G,"&lt;=4299",GL_Journal!$D:$D,"&gt;="&amp;IS_From,GL_Journal!$D:$D,"&lt;="&amp;IS_To,GL_Journal!$I:$I,J$11,GL_Journal!$J:$J,IS_CCC,GL_Journal!$AE:$AE,0)</f>
        <v/>
      </c>
      <c r="K40" s="55">
        <f>SUMIFS(GL_Journal!$T:$T,GL_Journal!$G:$G,"&gt;=4200",GL_Journal!$G:$G,"&lt;=4299",GL_Journal!$D:$D,"&gt;="&amp;IS_From,GL_Journal!$D:$D,"&lt;="&amp;IS_To,GL_Journal!$I:$I,K$11,GL_Journal!$J:$J,IS_CCC,GL_Journal!$AE:$AE,0)-SUMIFS(GL_Journal!$S:$S,GL_Journal!$G:$G,"&gt;=4200",GL_Journal!$G:$G,"&lt;=4299",GL_Journal!$D:$D,"&gt;="&amp;IS_From,GL_Journal!$D:$D,"&lt;="&amp;IS_To,GL_Journal!$I:$I,K$11,GL_Journal!$J:$J,IS_CCC,GL_Journal!$AE:$AE,0)</f>
        <v/>
      </c>
      <c r="L40" s="55">
        <f>SUMIFS(GL_Journal!$T:$T,GL_Journal!$G:$G,"&gt;=4200",GL_Journal!$G:$G,"&lt;=4299",GL_Journal!$D:$D,"&gt;="&amp;IS_From,GL_Journal!$D:$D,"&lt;="&amp;IS_To,GL_Journal!$I:$I,L$11,GL_Journal!$J:$J,IS_CCC,GL_Journal!$AE:$AE,0)-SUMIFS(GL_Journal!$S:$S,GL_Journal!$G:$G,"&gt;=4200",GL_Journal!$G:$G,"&lt;=4299",GL_Journal!$D:$D,"&gt;="&amp;IS_From,GL_Journal!$D:$D,"&lt;="&amp;IS_To,GL_Journal!$I:$I,L$11,GL_Journal!$J:$J,IS_CCC,GL_Journal!$AE:$AE,0)</f>
        <v/>
      </c>
      <c r="M40" s="55">
        <f>SUMIFS(GL_Journal!$T:$T,GL_Journal!$G:$G,"&gt;=4200",GL_Journal!$G:$G,"&lt;=4299",GL_Journal!$D:$D,"&gt;="&amp;IS_From,GL_Journal!$D:$D,"&lt;="&amp;IS_To,GL_Journal!$I:$I,M$11,GL_Journal!$J:$J,IS_CCC,GL_Journal!$AE:$AE,0)-SUMIFS(GL_Journal!$S:$S,GL_Journal!$G:$G,"&gt;=4200",GL_Journal!$G:$G,"&lt;=4299",GL_Journal!$D:$D,"&gt;="&amp;IS_From,GL_Journal!$D:$D,"&lt;="&amp;IS_To,GL_Journal!$I:$I,M$11,GL_Journal!$J:$J,IS_CCC,GL_Journal!$AE:$AE,0)</f>
        <v/>
      </c>
      <c r="N40" s="55">
        <f>SUMIFS(GL_Journal!$T:$T,GL_Journal!$G:$G,"&gt;=4200",GL_Journal!$G:$G,"&lt;=4299",GL_Journal!$D:$D,"&gt;="&amp;IS_From,GL_Journal!$D:$D,"&lt;="&amp;IS_To,GL_Journal!$I:$I,N$11,GL_Journal!$J:$J,IS_CCC,GL_Journal!$AE:$AE,0)-SUMIFS(GL_Journal!$S:$S,GL_Journal!$G:$G,"&gt;=4200",GL_Journal!$G:$G,"&lt;=4299",GL_Journal!$D:$D,"&gt;="&amp;IS_From,GL_Journal!$D:$D,"&lt;="&amp;IS_To,GL_Journal!$I:$I,N$11,GL_Journal!$J:$J,IS_CCC,GL_Journal!$AE:$AE,0)</f>
        <v/>
      </c>
      <c r="O40" s="55">
        <f>P40-SUM(I40:N40)</f>
        <v/>
      </c>
      <c r="P40" s="55">
        <f>SUMIFS(GL_Journal!$T:$T,GL_Journal!$G:$G,"&gt;=4200",GL_Journal!$G:$G,"&lt;=4299",GL_Journal!$D:$D,"&gt;="&amp;IS_From,GL_Journal!$D:$D,"&lt;="&amp;IS_To,GL_Journal!$I:$I,"&lt;&gt;",GL_Journal!$J:$J,IS_CCC,GL_Journal!$AE:$AE,0)-SUMIFS(GL_Journal!$S:$S,GL_Journal!$G:$G,"&gt;=4200",GL_Journal!$G:$G,"&lt;=4299",GL_Journal!$D:$D,"&gt;="&amp;IS_From,GL_Journal!$D:$D,"&lt;="&amp;IS_To,GL_Journal!$I:$I,"&lt;&gt;",GL_Journal!$J:$J,IS_CCC,GL_Journal!$AE:$AE,0)</f>
        <v/>
      </c>
    </row>
    <row r="41">
      <c r="A41" s="71" t="inlineStr">
        <is>
          <t>صافي الربح (Net Profit)</t>
        </is>
      </c>
      <c r="B41" s="72" t="n"/>
      <c r="C41" s="72" t="n"/>
      <c r="D41" s="72" t="n"/>
      <c r="E41" s="73">
        <f>E39+E40</f>
        <v/>
      </c>
      <c r="F41" s="74">
        <f>IF(E$20=0,"",E41/E$20)</f>
        <v/>
      </c>
      <c r="G41" s="73">
        <f>G39+G40</f>
        <v/>
      </c>
      <c r="H41" s="73">
        <f>E41-G41</f>
        <v/>
      </c>
      <c r="I41" s="73">
        <f>I39+I40</f>
        <v/>
      </c>
      <c r="J41" s="73">
        <f>J39+J40</f>
        <v/>
      </c>
      <c r="K41" s="73">
        <f>K39+K40</f>
        <v/>
      </c>
      <c r="L41" s="73">
        <f>L39+L40</f>
        <v/>
      </c>
      <c r="M41" s="73">
        <f>M39+M40</f>
        <v/>
      </c>
      <c r="N41" s="73">
        <f>N39+N40</f>
        <v/>
      </c>
      <c r="O41" s="73">
        <f>O39+O40</f>
        <v/>
      </c>
      <c r="P41" s="73">
        <f>P39+P40</f>
        <v/>
      </c>
    </row>
    <row r="43">
      <c r="A43" s="27" t="inlineStr">
        <is>
          <t>هوامش الربحية (على صافي المبيعات)</t>
        </is>
      </c>
    </row>
    <row r="44">
      <c r="A44" s="21" t="inlineStr">
        <is>
          <t>نسبة تكلفة المبيعات (Food Cost %)</t>
        </is>
      </c>
      <c r="E44" s="66">
        <f>IF(E20=0,"",E26/E20)</f>
        <v/>
      </c>
      <c r="G44" s="66">
        <f>IF(G20=0,"",G26/G20)</f>
        <v/>
      </c>
      <c r="I44" s="66">
        <f>IF(I20=0,"",I26/I20)</f>
        <v/>
      </c>
      <c r="J44" s="66">
        <f>IF(J20=0,"",J26/J20)</f>
        <v/>
      </c>
      <c r="K44" s="66">
        <f>IF(K20=0,"",K26/K20)</f>
        <v/>
      </c>
      <c r="L44" s="66">
        <f>IF(L20=0,"",L26/L20)</f>
        <v/>
      </c>
      <c r="M44" s="66">
        <f>IF(M20=0,"",M26/M20)</f>
        <v/>
      </c>
      <c r="N44" s="66">
        <f>IF(N20=0,"",N26/N20)</f>
        <v/>
      </c>
      <c r="O44" s="66">
        <f>IF(O20=0,"",O26/O20)</f>
        <v/>
      </c>
      <c r="P44" s="66">
        <f>IF(P20=0,"",P26/P20)</f>
        <v/>
      </c>
    </row>
    <row r="45">
      <c r="A45" s="21" t="inlineStr">
        <is>
          <t>هامش مجمل الربح</t>
        </is>
      </c>
      <c r="E45" s="66">
        <f>IF(E20=0,"",E27/E20)</f>
        <v/>
      </c>
      <c r="G45" s="66">
        <f>IF(G20=0,"",G27/G20)</f>
        <v/>
      </c>
      <c r="I45" s="66">
        <f>IF(I20=0,"",I27/I20)</f>
        <v/>
      </c>
      <c r="J45" s="66">
        <f>IF(J20=0,"",J27/J20)</f>
        <v/>
      </c>
      <c r="K45" s="66">
        <f>IF(K20=0,"",K27/K20)</f>
        <v/>
      </c>
      <c r="L45" s="66">
        <f>IF(L20=0,"",L27/L20)</f>
        <v/>
      </c>
      <c r="M45" s="66">
        <f>IF(M20=0,"",M27/M20)</f>
        <v/>
      </c>
      <c r="N45" s="66">
        <f>IF(N20=0,"",N27/N20)</f>
        <v/>
      </c>
      <c r="O45" s="66">
        <f>IF(O20=0,"",O27/O20)</f>
        <v/>
      </c>
      <c r="P45" s="66">
        <f>IF(P20=0,"",P27/P20)</f>
        <v/>
      </c>
    </row>
    <row r="46">
      <c r="A46" s="21" t="inlineStr">
        <is>
          <t>هامش الربح التشغيلي</t>
        </is>
      </c>
      <c r="E46" s="66">
        <f>IF(E20=0,"",E39/E20)</f>
        <v/>
      </c>
      <c r="G46" s="66">
        <f>IF(G20=0,"",G39/G20)</f>
        <v/>
      </c>
      <c r="I46" s="66">
        <f>IF(I20=0,"",I39/I20)</f>
        <v/>
      </c>
      <c r="J46" s="66">
        <f>IF(J20=0,"",J39/J20)</f>
        <v/>
      </c>
      <c r="K46" s="66">
        <f>IF(K20=0,"",K39/K20)</f>
        <v/>
      </c>
      <c r="L46" s="66">
        <f>IF(L20=0,"",L39/L20)</f>
        <v/>
      </c>
      <c r="M46" s="66">
        <f>IF(M20=0,"",M39/M20)</f>
        <v/>
      </c>
      <c r="N46" s="66">
        <f>IF(N20=0,"",N39/N20)</f>
        <v/>
      </c>
      <c r="O46" s="66">
        <f>IF(O20=0,"",O39/O20)</f>
        <v/>
      </c>
      <c r="P46" s="66">
        <f>IF(P20=0,"",P39/P20)</f>
        <v/>
      </c>
    </row>
    <row r="47">
      <c r="A47" s="21" t="inlineStr">
        <is>
          <t>هامش صافي الربح</t>
        </is>
      </c>
      <c r="E47" s="66">
        <f>IF(E20=0,"",E41/E20)</f>
        <v/>
      </c>
      <c r="G47" s="66">
        <f>IF(G20=0,"",G41/G20)</f>
        <v/>
      </c>
      <c r="I47" s="66">
        <f>IF(I20=0,"",I41/I20)</f>
        <v/>
      </c>
      <c r="J47" s="66">
        <f>IF(J20=0,"",J41/J20)</f>
        <v/>
      </c>
      <c r="K47" s="66">
        <f>IF(K20=0,"",K41/K20)</f>
        <v/>
      </c>
      <c r="L47" s="66">
        <f>IF(L20=0,"",L41/L20)</f>
        <v/>
      </c>
      <c r="M47" s="66">
        <f>IF(M20=0,"",M41/M20)</f>
        <v/>
      </c>
      <c r="N47" s="66">
        <f>IF(N20=0,"",N41/N20)</f>
        <v/>
      </c>
      <c r="O47" s="66">
        <f>IF(O20=0,"",O41/O20)</f>
        <v/>
      </c>
      <c r="P47" s="66">
        <f>IF(P20=0,"",P41/P20)</f>
        <v/>
      </c>
    </row>
    <row r="49">
      <c r="A49" s="26" t="inlineStr">
        <is>
          <t>فحص: مجموع الفروع + غير الفروع = الإجمالي المجمع (صافي الربح)</t>
        </is>
      </c>
      <c r="E49">
        <f>IF(ABS(SUM(I41:O41)-P41)&lt;=S_Tol,"✔","✖")</f>
        <v/>
      </c>
    </row>
    <row r="50">
      <c r="A50" s="26" t="inlineStr">
        <is>
          <t>فحص: صافي ربح قائمة الدخل = (إيرادات - تكاليف - مصروفات) من الأستاذ مباشرة</t>
        </is>
      </c>
      <c r="E50">
        <f>IF(ABS(P41-(SUMIFS(GL_Journal!$T:$T,GL_Journal!$G:$G,"&gt;=4000",GL_Journal!$G:$G,"&lt;=4999",GL_Journal!$D:$D,"&gt;="&amp;IS_From,GL_Journal!$D:$D,"&lt;="&amp;IS_To,GL_Journal!$J:$J,IS_CCC,GL_Journal!$AE:$AE,0)-SUMIFS(GL_Journal!$S:$S,GL_Journal!$G:$G,"&gt;=4000",GL_Journal!$G:$G,"&lt;=4999",GL_Journal!$D:$D,"&gt;="&amp;IS_From,GL_Journal!$D:$D,"&lt;="&amp;IS_To,GL_Journal!$J:$J,IS_CCC,GL_Journal!$AE:$AE,0)-(SUMIFS(GL_Journal!$S:$S,GL_Journal!$G:$G,"&gt;=5000",GL_Journal!$G:$G,"&lt;=6999",GL_Journal!$D:$D,"&gt;="&amp;IS_From,GL_Journal!$D:$D,"&lt;="&amp;IS_To,GL_Journal!$J:$J,IS_CCC,GL_Journal!$AE:$AE,0)-SUMIFS(GL_Journal!$T:$T,GL_Journal!$G:$G,"&gt;=5000",GL_Journal!$G:$G,"&lt;=6999",GL_Journal!$D:$D,"&gt;="&amp;IS_From,GL_Journal!$D:$D,"&lt;="&amp;IS_To,GL_Journal!$J:$J,IS_CCC,GL_Journal!$AE:$AE,0))))&lt;=S_Tol,"✔","✖")</f>
        <v/>
      </c>
    </row>
  </sheetData>
  <sheetProtection selectLockedCells="0" selectUnlockedCells="0" sheet="1" objects="0" insertRows="1" insertHyperlinks="1" autoFilter="0" scenarios="0" formatColumns="0" deleteColumns="1" insertColumns="1" pivotTables="1" deleteRows="1" formatCells="0" formatRows="0" sort="1"/>
  <conditionalFormatting sqref="B8">
    <cfRule type="expression" priority="1" dxfId="0">
      <formula>LEFT(B8,1)="⚠"</formula>
    </cfRule>
  </conditionalFormatting>
  <pageMargins left="0.75" right="0.75" top="1" bottom="1" header="0.5" footer="0.5"/>
  <pageSetup orientation="landscape" fitToHeight="0" fitToWidth="1"/>
</worksheet>
</file>

<file path=xl/worksheets/sheet43.xml><?xml version="1.0" encoding="utf-8"?>
<worksheet xmlns="http://schemas.openxmlformats.org/spreadsheetml/2006/main">
  <sheetPr>
    <tabColor rgb="00C00000"/>
    <outlinePr summaryBelow="1" summaryRight="1"/>
    <pageSetUpPr/>
  </sheetPr>
  <dimension ref="A1:F34"/>
  <sheetViews>
    <sheetView rightToLeft="1" workbookViewId="0">
      <pane ySplit="7" topLeftCell="A8" activePane="bottomLeft" state="frozen"/>
      <selection pane="bottomLeft" activeCell="A1" sqref="A1"/>
    </sheetView>
  </sheetViews>
  <sheetFormatPr baseColWidth="8" defaultRowHeight="15"/>
  <cols>
    <col width="50" customWidth="1" min="1" max="1"/>
    <col width="16" customWidth="1" min="2" max="2"/>
    <col width="16" customWidth="1" min="3" max="3"/>
    <col width="16" customWidth="1" min="4" max="4"/>
    <col width="16" customWidth="1" min="5" max="5"/>
  </cols>
  <sheetData>
    <row r="1">
      <c r="A1" s="22" t="inlineStr">
        <is>
          <t>الميزانية العمومية (Balance Sheet)</t>
        </is>
      </c>
      <c r="B1" s="1" t="n"/>
      <c r="C1" s="1" t="n"/>
      <c r="D1" s="1" t="n"/>
      <c r="E1" s="1" t="n"/>
      <c r="F1" s="1" t="n"/>
    </row>
    <row r="2">
      <c r="A2" s="26" t="inlineStr">
        <is>
          <t>تُسحب أرصدتها من الأستاذ العام حتى تاريخ الأرصدة. ربح الفترة الجارية = كل الإيرادات - التكاليف - المصروفات المتراكمة غير المقفلة سنويًا. الميزانية شاملة كل المواقع.</t>
        </is>
      </c>
    </row>
    <row r="4">
      <c r="A4" s="53" t="inlineStr">
        <is>
          <t>تاريخ الأرصدة</t>
        </is>
      </c>
      <c r="B4" s="31">
        <f>S_To</f>
        <v/>
      </c>
    </row>
    <row r="5">
      <c r="A5" s="53" t="inlineStr">
        <is>
          <t>حالة النتائج</t>
        </is>
      </c>
      <c r="B5" s="3">
        <f>IS_Banner</f>
        <v/>
      </c>
    </row>
    <row r="7">
      <c r="A7" s="75" t="inlineStr">
        <is>
          <t>البند</t>
        </is>
      </c>
      <c r="B7" s="75" t="inlineStr">
        <is>
          <t>من حساب</t>
        </is>
      </c>
      <c r="C7" s="75" t="inlineStr">
        <is>
          <t>إلى حساب</t>
        </is>
      </c>
      <c r="D7" s="75" t="inlineStr">
        <is>
          <t>المبلغ</t>
        </is>
      </c>
    </row>
    <row r="8">
      <c r="A8" s="53" t="inlineStr">
        <is>
          <t>الأصول (Assets)</t>
        </is>
      </c>
      <c r="B8" s="14" t="n"/>
      <c r="C8" s="14" t="n"/>
      <c r="D8" s="14" t="n"/>
    </row>
    <row r="9">
      <c r="A9" s="65" t="inlineStr">
        <is>
          <t>النقدية والخزائن</t>
        </is>
      </c>
      <c r="B9" s="8" t="n">
        <v>1100</v>
      </c>
      <c r="C9" s="8" t="n">
        <v>1199</v>
      </c>
      <c r="D9" s="55">
        <f>SUMIFS(GL_Journal!$S:$S,GL_Journal!$G:$G,"&gt;=1100",GL_Journal!$G:$G,"&lt;=1199",GL_Journal!$D:$D,"&lt;="&amp;BS_AsOf)-SUMIFS(GL_Journal!$T:$T,GL_Journal!$G:$G,"&gt;=1100",GL_Journal!$G:$G,"&lt;=1199",GL_Journal!$D:$D,"&lt;="&amp;BS_AsOf)</f>
        <v/>
      </c>
    </row>
    <row r="10">
      <c r="A10" s="65" t="inlineStr">
        <is>
          <t>البنوك</t>
        </is>
      </c>
      <c r="B10" s="8" t="n">
        <v>1200</v>
      </c>
      <c r="C10" s="8" t="n">
        <v>1299</v>
      </c>
      <c r="D10" s="55">
        <f>SUMIFS(GL_Journal!$S:$S,GL_Journal!$G:$G,"&gt;=1200",GL_Journal!$G:$G,"&lt;=1299",GL_Journal!$D:$D,"&lt;="&amp;BS_AsOf)-SUMIFS(GL_Journal!$T:$T,GL_Journal!$G:$G,"&gt;=1200",GL_Journal!$G:$G,"&lt;=1299",GL_Journal!$D:$D,"&lt;="&amp;BS_AsOf)</f>
        <v/>
      </c>
    </row>
    <row r="11">
      <c r="A11" s="65" t="inlineStr">
        <is>
          <t>العملاء ومستحقات المنصات والبطاقات</t>
        </is>
      </c>
      <c r="B11" s="8" t="n">
        <v>1300</v>
      </c>
      <c r="C11" s="8" t="n">
        <v>1399</v>
      </c>
      <c r="D11" s="55">
        <f>SUMIFS(GL_Journal!$S:$S,GL_Journal!$G:$G,"&gt;=1300",GL_Journal!$G:$G,"&lt;=1399",GL_Journal!$D:$D,"&lt;="&amp;BS_AsOf)-SUMIFS(GL_Journal!$T:$T,GL_Journal!$G:$G,"&gt;=1300",GL_Journal!$G:$G,"&lt;=1399",GL_Journal!$D:$D,"&lt;="&amp;BS_AsOf)</f>
        <v/>
      </c>
    </row>
    <row r="12">
      <c r="A12" s="65" t="inlineStr">
        <is>
          <t>المخزون</t>
        </is>
      </c>
      <c r="B12" s="8" t="n">
        <v>1400</v>
      </c>
      <c r="C12" s="8" t="n">
        <v>1499</v>
      </c>
      <c r="D12" s="55">
        <f>SUMIFS(GL_Journal!$S:$S,GL_Journal!$G:$G,"&gt;=1400",GL_Journal!$G:$G,"&lt;=1499",GL_Journal!$D:$D,"&lt;="&amp;BS_AsOf)-SUMIFS(GL_Journal!$T:$T,GL_Journal!$G:$G,"&gt;=1400",GL_Journal!$G:$G,"&lt;=1499",GL_Journal!$D:$D,"&lt;="&amp;BS_AsOf)</f>
        <v/>
      </c>
    </row>
    <row r="13">
      <c r="A13" s="65" t="inlineStr">
        <is>
          <t>السلف والعهد</t>
        </is>
      </c>
      <c r="B13" s="8" t="n">
        <v>1500</v>
      </c>
      <c r="C13" s="8" t="n">
        <v>1599</v>
      </c>
      <c r="D13" s="55">
        <f>SUMIFS(GL_Journal!$S:$S,GL_Journal!$G:$G,"&gt;=1500",GL_Journal!$G:$G,"&lt;=1599",GL_Journal!$D:$D,"&lt;="&amp;BS_AsOf)-SUMIFS(GL_Journal!$T:$T,GL_Journal!$G:$G,"&gt;=1500",GL_Journal!$G:$G,"&lt;=1599",GL_Journal!$D:$D,"&lt;="&amp;BS_AsOf)</f>
        <v/>
      </c>
    </row>
    <row r="14">
      <c r="A14" s="65" t="inlineStr">
        <is>
          <t>المصروفات المقدمة والضرائب المدينة</t>
        </is>
      </c>
      <c r="B14" s="8" t="n">
        <v>1600</v>
      </c>
      <c r="C14" s="8" t="n">
        <v>1699</v>
      </c>
      <c r="D14" s="55">
        <f>SUMIFS(GL_Journal!$S:$S,GL_Journal!$G:$G,"&gt;=1600",GL_Journal!$G:$G,"&lt;=1699",GL_Journal!$D:$D,"&lt;="&amp;BS_AsOf)-SUMIFS(GL_Journal!$T:$T,GL_Journal!$G:$G,"&gt;=1600",GL_Journal!$G:$G,"&lt;=1699",GL_Journal!$D:$D,"&lt;="&amp;BS_AsOf)</f>
        <v/>
      </c>
    </row>
    <row r="15">
      <c r="A15" s="65" t="inlineStr">
        <is>
          <t>الأصول الثابتة (بالتكلفة)</t>
        </is>
      </c>
      <c r="B15" s="8" t="n">
        <v>1700</v>
      </c>
      <c r="C15" s="8" t="n">
        <v>1789</v>
      </c>
      <c r="D15" s="55">
        <f>SUMIFS(GL_Journal!$S:$S,GL_Journal!$G:$G,"&gt;=1700",GL_Journal!$G:$G,"&lt;=1789",GL_Journal!$D:$D,"&lt;="&amp;BS_AsOf)-SUMIFS(GL_Journal!$T:$T,GL_Journal!$G:$G,"&gt;=1700",GL_Journal!$G:$G,"&lt;=1789",GL_Journal!$D:$D,"&lt;="&amp;BS_AsOf)</f>
        <v/>
      </c>
    </row>
    <row r="16">
      <c r="A16" s="65" t="inlineStr">
        <is>
          <t>(-) مجمع الإهلاك</t>
        </is>
      </c>
      <c r="B16" s="8" t="n">
        <v>1790</v>
      </c>
      <c r="C16" s="8" t="n">
        <v>1799</v>
      </c>
      <c r="D16" s="55">
        <f>SUMIFS(GL_Journal!$S:$S,GL_Journal!$G:$G,"&gt;=1790",GL_Journal!$G:$G,"&lt;=1799",GL_Journal!$D:$D,"&lt;="&amp;BS_AsOf)-SUMIFS(GL_Journal!$T:$T,GL_Journal!$G:$G,"&gt;=1790",GL_Journal!$G:$G,"&lt;=1799",GL_Journal!$D:$D,"&lt;="&amp;BS_AsOf)</f>
        <v/>
      </c>
    </row>
    <row r="17">
      <c r="A17" s="67" t="inlineStr">
        <is>
          <t>إجمالي الأصول</t>
        </is>
      </c>
      <c r="B17" s="76" t="n"/>
      <c r="C17" s="76" t="n"/>
      <c r="D17" s="56">
        <f>SUM(D9:D16)</f>
        <v/>
      </c>
    </row>
    <row r="18">
      <c r="A18" s="53" t="inlineStr">
        <is>
          <t>الالتزامات (Liabilities)</t>
        </is>
      </c>
      <c r="B18" s="14" t="n"/>
      <c r="C18" s="14" t="n"/>
      <c r="D18" s="14" t="n"/>
    </row>
    <row r="19">
      <c r="A19" s="65" t="inlineStr">
        <is>
          <t>الموردون</t>
        </is>
      </c>
      <c r="B19" s="8" t="n">
        <v>2100</v>
      </c>
      <c r="C19" s="8" t="n">
        <v>2199</v>
      </c>
      <c r="D19" s="55">
        <f>SUMIFS(GL_Journal!$T:$T,GL_Journal!$G:$G,"&gt;=2100",GL_Journal!$G:$G,"&lt;=2199",GL_Journal!$D:$D,"&lt;="&amp;BS_AsOf)-SUMIFS(GL_Journal!$S:$S,GL_Journal!$G:$G,"&gt;=2100",GL_Journal!$G:$G,"&lt;=2199",GL_Journal!$D:$D,"&lt;="&amp;BS_AsOf)</f>
        <v/>
      </c>
    </row>
    <row r="20">
      <c r="A20" s="65" t="inlineStr">
        <is>
          <t>المصروفات والرواتب المستحقة</t>
        </is>
      </c>
      <c r="B20" s="8" t="n">
        <v>2200</v>
      </c>
      <c r="C20" s="8" t="n">
        <v>2299</v>
      </c>
      <c r="D20" s="55">
        <f>SUMIFS(GL_Journal!$T:$T,GL_Journal!$G:$G,"&gt;=2200",GL_Journal!$G:$G,"&lt;=2299",GL_Journal!$D:$D,"&lt;="&amp;BS_AsOf)-SUMIFS(GL_Journal!$S:$S,GL_Journal!$G:$G,"&gt;=2200",GL_Journal!$G:$G,"&lt;=2299",GL_Journal!$D:$D,"&lt;="&amp;BS_AsOf)</f>
        <v/>
      </c>
    </row>
    <row r="21">
      <c r="A21" s="65" t="inlineStr">
        <is>
          <t>الضرائب المستحقة</t>
        </is>
      </c>
      <c r="B21" s="8" t="n">
        <v>2300</v>
      </c>
      <c r="C21" s="8" t="n">
        <v>2399</v>
      </c>
      <c r="D21" s="55">
        <f>SUMIFS(GL_Journal!$T:$T,GL_Journal!$G:$G,"&gt;=2300",GL_Journal!$G:$G,"&lt;=2399",GL_Journal!$D:$D,"&lt;="&amp;BS_AsOf)-SUMIFS(GL_Journal!$S:$S,GL_Journal!$G:$G,"&gt;=2300",GL_Journal!$G:$G,"&lt;=2399",GL_Journal!$D:$D,"&lt;="&amp;BS_AsOf)</f>
        <v/>
      </c>
    </row>
    <row r="22">
      <c r="A22" s="65" t="inlineStr">
        <is>
          <t>التزامات أخرى</t>
        </is>
      </c>
      <c r="B22" s="8" t="n">
        <v>2400</v>
      </c>
      <c r="C22" s="8" t="n">
        <v>2499</v>
      </c>
      <c r="D22" s="55">
        <f>SUMIFS(GL_Journal!$T:$T,GL_Journal!$G:$G,"&gt;=2400",GL_Journal!$G:$G,"&lt;=2499",GL_Journal!$D:$D,"&lt;="&amp;BS_AsOf)-SUMIFS(GL_Journal!$S:$S,GL_Journal!$G:$G,"&gt;=2400",GL_Journal!$G:$G,"&lt;=2499",GL_Journal!$D:$D,"&lt;="&amp;BS_AsOf)</f>
        <v/>
      </c>
    </row>
    <row r="23">
      <c r="A23" s="65" t="inlineStr">
        <is>
          <t>الحسابات المعلقة</t>
        </is>
      </c>
      <c r="B23" s="8" t="n">
        <v>2900</v>
      </c>
      <c r="C23" s="8" t="n">
        <v>2999</v>
      </c>
      <c r="D23" s="55">
        <f>SUMIFS(GL_Journal!$T:$T,GL_Journal!$G:$G,"&gt;=2900",GL_Journal!$G:$G,"&lt;=2999",GL_Journal!$D:$D,"&lt;="&amp;BS_AsOf)-SUMIFS(GL_Journal!$S:$S,GL_Journal!$G:$G,"&gt;=2900",GL_Journal!$G:$G,"&lt;=2999",GL_Journal!$D:$D,"&lt;="&amp;BS_AsOf)</f>
        <v/>
      </c>
    </row>
    <row r="24">
      <c r="A24" s="67" t="inlineStr">
        <is>
          <t>إجمالي الالتزامات</t>
        </is>
      </c>
      <c r="B24" s="76" t="n"/>
      <c r="C24" s="76" t="n"/>
      <c r="D24" s="56">
        <f>SUM(D19:D23)</f>
        <v/>
      </c>
    </row>
    <row r="25">
      <c r="A25" s="53" t="inlineStr">
        <is>
          <t>حقوق الملكية (Equity)</t>
        </is>
      </c>
      <c r="B25" s="14" t="n"/>
      <c r="C25" s="14" t="n"/>
      <c r="D25" s="14" t="n"/>
    </row>
    <row r="26">
      <c r="A26" s="65" t="inlineStr">
        <is>
          <t>رأس المال</t>
        </is>
      </c>
      <c r="B26" s="8" t="n">
        <v>3100</v>
      </c>
      <c r="C26" s="8" t="n">
        <v>3199</v>
      </c>
      <c r="D26" s="55">
        <f>SUMIFS(GL_Journal!$T:$T,GL_Journal!$G:$G,"&gt;=3100",GL_Journal!$G:$G,"&lt;=3199",GL_Journal!$D:$D,"&lt;="&amp;BS_AsOf)-SUMIFS(GL_Journal!$S:$S,GL_Journal!$G:$G,"&gt;=3100",GL_Journal!$G:$G,"&lt;=3199",GL_Journal!$D:$D,"&lt;="&amp;BS_AsOf)</f>
        <v/>
      </c>
    </row>
    <row r="27">
      <c r="A27" s="65" t="inlineStr">
        <is>
          <t>جاري المالك</t>
        </is>
      </c>
      <c r="B27" s="8" t="n">
        <v>3200</v>
      </c>
      <c r="C27" s="8" t="n">
        <v>3299</v>
      </c>
      <c r="D27" s="55">
        <f>SUMIFS(GL_Journal!$T:$T,GL_Journal!$G:$G,"&gt;=3200",GL_Journal!$G:$G,"&lt;=3299",GL_Journal!$D:$D,"&lt;="&amp;BS_AsOf)-SUMIFS(GL_Journal!$S:$S,GL_Journal!$G:$G,"&gt;=3200",GL_Journal!$G:$G,"&lt;=3299",GL_Journal!$D:$D,"&lt;="&amp;BS_AsOf)</f>
        <v/>
      </c>
    </row>
    <row r="28">
      <c r="A28" s="65" t="inlineStr">
        <is>
          <t>أرباح محتجزة</t>
        </is>
      </c>
      <c r="B28" s="8" t="n">
        <v>3300</v>
      </c>
      <c r="C28" s="8" t="n">
        <v>3399</v>
      </c>
      <c r="D28" s="55">
        <f>SUMIFS(GL_Journal!$T:$T,GL_Journal!$G:$G,"&gt;=3300",GL_Journal!$G:$G,"&lt;=3399",GL_Journal!$D:$D,"&lt;="&amp;BS_AsOf)-SUMIFS(GL_Journal!$S:$S,GL_Journal!$G:$G,"&gt;=3300",GL_Journal!$G:$G,"&lt;=3399",GL_Journal!$D:$D,"&lt;="&amp;BS_AsOf)</f>
        <v/>
      </c>
    </row>
    <row r="29">
      <c r="A29" s="65" t="inlineStr">
        <is>
          <t>(-) المسحوبات والتوزيعات</t>
        </is>
      </c>
      <c r="B29" s="8" t="n">
        <v>3400</v>
      </c>
      <c r="C29" s="8" t="n">
        <v>3499</v>
      </c>
      <c r="D29" s="55">
        <f>SUMIFS(GL_Journal!$T:$T,GL_Journal!$G:$G,"&gt;=3400",GL_Journal!$G:$G,"&lt;=3499",GL_Journal!$D:$D,"&lt;="&amp;BS_AsOf)-SUMIFS(GL_Journal!$S:$S,GL_Journal!$G:$G,"&gt;=3400",GL_Journal!$G:$G,"&lt;=3499",GL_Journal!$D:$D,"&lt;="&amp;BS_AsOf)</f>
        <v/>
      </c>
    </row>
    <row r="30">
      <c r="A30" s="65" t="inlineStr">
        <is>
          <t>ملخص الدخل (إقفال)</t>
        </is>
      </c>
      <c r="B30" s="8" t="n">
        <v>3500</v>
      </c>
      <c r="C30" s="8" t="n">
        <v>3599</v>
      </c>
      <c r="D30" s="55">
        <f>SUMIFS(GL_Journal!$T:$T,GL_Journal!$G:$G,"&gt;=3500",GL_Journal!$G:$G,"&lt;=3599",GL_Journal!$D:$D,"&lt;="&amp;BS_AsOf)-SUMIFS(GL_Journal!$S:$S,GL_Journal!$G:$G,"&gt;=3500",GL_Journal!$G:$G,"&lt;=3599",GL_Journal!$D:$D,"&lt;="&amp;BS_AsOf)</f>
        <v/>
      </c>
    </row>
    <row r="31">
      <c r="A31" s="65" t="inlineStr">
        <is>
          <t>ربح (خسارة) الفترة الجارية غير المقفلة</t>
        </is>
      </c>
      <c r="D31" s="55">
        <f>SUMIFS(GL_Journal!$T:$T,GL_Journal!$G:$G,"&gt;=4000",GL_Journal!$G:$G,"&lt;=4999",GL_Journal!$D:$D,"&lt;="&amp;BS_AsOf)-SUMIFS(GL_Journal!$S:$S,GL_Journal!$G:$G,"&gt;=4000",GL_Journal!$G:$G,"&lt;=4999",GL_Journal!$D:$D,"&lt;="&amp;BS_AsOf)-(SUMIFS(GL_Journal!$S:$S,GL_Journal!$G:$G,"&gt;=5000",GL_Journal!$G:$G,"&lt;=6999",GL_Journal!$D:$D,"&lt;="&amp;BS_AsOf)-SUMIFS(GL_Journal!$T:$T,GL_Journal!$G:$G,"&gt;=5000",GL_Journal!$G:$G,"&lt;=6999",GL_Journal!$D:$D,"&lt;="&amp;BS_AsOf))</f>
        <v/>
      </c>
    </row>
    <row r="32">
      <c r="A32" s="67" t="inlineStr">
        <is>
          <t>إجمالي حقوق الملكية</t>
        </is>
      </c>
      <c r="B32" s="76" t="n"/>
      <c r="C32" s="76" t="n"/>
      <c r="D32" s="56">
        <f>SUM(D26:D31)</f>
        <v/>
      </c>
    </row>
    <row r="33">
      <c r="A33" s="67" t="inlineStr">
        <is>
          <t>إجمالي الالتزامات وحقوق الملكية</t>
        </is>
      </c>
      <c r="B33" s="76" t="n"/>
      <c r="C33" s="76" t="n"/>
      <c r="D33" s="56">
        <f>D24+D32</f>
        <v/>
      </c>
    </row>
    <row r="34">
      <c r="A34" s="67" t="inlineStr">
        <is>
          <t>الفرق (الأصول - الالتزامات - حقوق الملكية)</t>
        </is>
      </c>
      <c r="B34" s="76" t="n"/>
      <c r="C34" s="76" t="n"/>
      <c r="D34" s="56">
        <f>ROUND(D17-D33,2)</f>
        <v/>
      </c>
      <c r="E34">
        <f>IF(ABS(D34)&lt;=S_Tol,"✔ الميزانية متوازنة","✖ الميزانية غير متوازنة - يمنع الإقفال")</f>
        <v/>
      </c>
    </row>
  </sheetData>
  <sheetProtection selectLockedCells="0" selectUnlockedCells="0" sheet="1" objects="0" insertRows="1" insertHyperlinks="1" autoFilter="0" scenarios="0" formatColumns="0" deleteColumns="1" insertColumns="1" pivotTables="1" deleteRows="1" formatCells="0" formatRows="0" sort="1"/>
  <pageMargins left="0.75" right="0.75" top="1" bottom="1" header="0.5" footer="0.5"/>
</worksheet>
</file>

<file path=xl/worksheets/sheet44.xml><?xml version="1.0" encoding="utf-8"?>
<worksheet xmlns="http://schemas.openxmlformats.org/spreadsheetml/2006/main">
  <sheetPr>
    <tabColor rgb="00C00000"/>
    <outlinePr summaryBelow="1" summaryRight="1"/>
    <pageSetUpPr/>
  </sheetPr>
  <dimension ref="A1:H56"/>
  <sheetViews>
    <sheetView rightToLeft="1" workbookViewId="0">
      <pane ySplit="9" topLeftCell="A10" activePane="bottomLeft" state="frozen"/>
      <selection pane="bottomLeft" activeCell="A1" sqref="A1"/>
    </sheetView>
  </sheetViews>
  <sheetFormatPr baseColWidth="8" defaultRowHeight="15"/>
  <cols>
    <col width="7" customWidth="1" min="1" max="1"/>
    <col width="18" customWidth="1" min="2" max="2"/>
    <col width="52" customWidth="1" min="3" max="3"/>
    <col width="14" customWidth="1" min="4" max="4"/>
    <col width="24" customWidth="1" min="5" max="5"/>
    <col width="9" customWidth="1" min="6" max="6"/>
    <col width="9" customWidth="1" min="7" max="7"/>
    <col width="60" customWidth="1" min="8" max="8"/>
  </cols>
  <sheetData>
    <row r="1">
      <c r="A1" s="22" t="inlineStr">
        <is>
          <t>قائمة الإقفال اليومي والشهري (Close Checklist) - أخطاء تمنع الإقفال وملاحظات للمراجعة</t>
        </is>
      </c>
      <c r="B1" s="1" t="n"/>
      <c r="C1" s="1" t="n"/>
      <c r="D1" s="1" t="n"/>
      <c r="E1" s="1" t="n"/>
      <c r="F1" s="1" t="n"/>
      <c r="G1" s="1" t="n"/>
      <c r="H1" s="1" t="n"/>
    </row>
    <row r="2">
      <c r="A2" s="26" t="inlineStr">
        <is>
          <t>تعمل على فترة Settings. البنود (آلية) تحسب نفسها؛ البنود (يدوية) تؤكدها من ورقة Close_Confirm. الإقفال غير مسموح إلا بلا أي بند حرج مفتوح.</t>
        </is>
      </c>
    </row>
    <row r="4">
      <c r="A4" s="53" t="inlineStr">
        <is>
          <t>الفترة</t>
        </is>
      </c>
      <c r="B4" s="32">
        <f>YEAR(S_From)&amp;"-"&amp;TEXT(MONTH(S_From),"00")&amp;"-"&amp;TEXT(DAY(S_From),"00")&amp;" → "&amp;YEAR(S_To)&amp;"-"&amp;TEXT(MONTH(S_To),"00")&amp;"-"&amp;TEXT(DAY(S_To),"00")</f>
        <v/>
      </c>
    </row>
    <row r="5">
      <c r="A5" s="53" t="inlineStr">
        <is>
          <t>بنود حرجة مفتوحة (تمنع الإقفال)</t>
        </is>
      </c>
      <c r="B5" s="3">
        <f>COUNTIF(E10:E56,"✖*")</f>
        <v/>
      </c>
    </row>
    <row r="6">
      <c r="A6" s="53" t="inlineStr">
        <is>
          <t>بنود للمراجعة</t>
        </is>
      </c>
      <c r="B6" s="3">
        <f>COUNTIF(E10:E56,"⚠*")</f>
        <v/>
      </c>
    </row>
    <row r="7">
      <c r="A7" s="53" t="inlineStr">
        <is>
          <t>جاهزية الإقفال</t>
        </is>
      </c>
      <c r="B7" s="3">
        <f>IF(CK_Critical=0,"✔ جاهزة للإقفال","✖ غير جاهزة: عالج البنود الحرجة")</f>
        <v/>
      </c>
    </row>
    <row r="9">
      <c r="A9" s="75" t="inlineStr">
        <is>
          <t>رقم</t>
        </is>
      </c>
      <c r="B9" s="75" t="inlineStr">
        <is>
          <t>المجال</t>
        </is>
      </c>
      <c r="C9" s="75" t="inlineStr">
        <is>
          <t>الفحص</t>
        </is>
      </c>
      <c r="D9" s="75" t="inlineStr">
        <is>
          <t>القيمة</t>
        </is>
      </c>
      <c r="E9" s="75" t="inlineStr">
        <is>
          <t>الحالة</t>
        </is>
      </c>
      <c r="F9" s="75" t="inlineStr">
        <is>
          <t>النوع</t>
        </is>
      </c>
      <c r="G9" s="75" t="inlineStr">
        <is>
          <t>الأهمية</t>
        </is>
      </c>
      <c r="H9" s="75" t="inlineStr">
        <is>
          <t>كيف تعالجه</t>
        </is>
      </c>
    </row>
    <row r="10">
      <c r="A10" s="8" t="inlineStr">
        <is>
          <t>A01</t>
        </is>
      </c>
      <c r="B10" s="8" t="inlineStr">
        <is>
          <t>المستندات</t>
        </is>
      </c>
      <c r="C10" s="8" t="inlineStr">
        <is>
          <t>مستندات مرحلة/معتمدة بها أخطاء فحص في الفترة</t>
        </is>
      </c>
      <c r="D10" s="77">
        <f>COUNTIFS(Sales_Daily!$AV:$AV,1,Sales_Daily!$B:$B,"&gt;="&amp;S_From,Sales_Daily!$B:$B,"&lt;="&amp;S_To,Sales_Daily!$S:$S,"&lt;&gt;"&amp;ST_DRAFT,Sales_Daily!$S:$S,"&lt;&gt;"&amp;ST_CANC,Sales_Daily!$S:$S,"&lt;&gt;"&amp;ST_REV,Sales_Daily!$AX:$AX,1)+COUNTIFS(Platform_Settlements!$X:$X,1,Platform_Settlements!$B:$B,"&gt;="&amp;S_From,Platform_Settlements!$B:$B,"&lt;="&amp;S_To,Platform_Settlements!$L:$L,"&lt;&gt;"&amp;ST_DRAFT,Platform_Settlements!$L:$L,"&lt;&gt;"&amp;ST_CANC,Platform_Settlements!$L:$L,"&lt;&gt;"&amp;ST_REV,Platform_Settlements!$Z:$Z,1)+COUNTIFS(Cash_Vouchers!$AJ:$AJ,1,Cash_Vouchers!$B:$B,"&gt;="&amp;S_From,Cash_Vouchers!$B:$B,"&lt;="&amp;S_To,Cash_Vouchers!$N:$N,"&lt;&gt;"&amp;ST_DRAFT,Cash_Vouchers!$N:$N,"&lt;&gt;"&amp;ST_CANC,Cash_Vouchers!$N:$N,"&lt;&gt;"&amp;ST_REV,Cash_Vouchers!$AL:$AL,1)+COUNTIFS(Expenses!$AB:$AB,1,Expenses!$B:$B,"&gt;="&amp;S_From,Expenses!$B:$B,"&lt;="&amp;S_To,Expenses!$M:$M,"&lt;&gt;"&amp;ST_DRAFT,Expenses!$M:$M,"&lt;&gt;"&amp;ST_CANC,Expenses!$M:$M,"&lt;&gt;"&amp;ST_REV,Expenses!$AD:$AD,1)+COUNTIFS(Supplier_Invoices!$AD:$AD,1,Supplier_Invoices!$E:$E,"&gt;="&amp;S_From,Supplier_Invoices!$E:$E,"&lt;="&amp;S_To,Supplier_Invoices!$O:$O,"&lt;&gt;"&amp;ST_DRAFT,Supplier_Invoices!$O:$O,"&lt;&gt;"&amp;ST_CANC,Supplier_Invoices!$O:$O,"&lt;&gt;"&amp;ST_REV,Supplier_Invoices!$AF:$AF,1)+COUNTIFS(Supplier_Payments!$S:$S,1,Supplier_Payments!$B:$B,"&gt;="&amp;S_From,Supplier_Payments!$B:$B,"&lt;="&amp;S_To,Supplier_Payments!$I:$I,"&lt;&gt;"&amp;ST_DRAFT,Supplier_Payments!$I:$I,"&lt;&gt;"&amp;ST_CANC,Supplier_Payments!$I:$I,"&lt;&gt;"&amp;ST_REV,Supplier_Payments!$U:$U,1)+COUNTIFS(Manual_JE!$U:$U,1,Manual_JE!$B:$B,"&gt;="&amp;S_From,Manual_JE!$B:$B,"&lt;="&amp;S_To,Manual_JE!$M:$M,"&lt;&gt;"&amp;ST_DRAFT,Manual_JE!$M:$M,"&lt;&gt;"&amp;ST_CANC,Manual_JE!$M:$M,"&lt;&gt;"&amp;ST_REV,Manual_JE!$AF:$AF,1)</f>
        <v/>
      </c>
      <c r="E10" s="8">
        <f>IF(ROUND(D10,2)=0,"✔ سليم",IF(G10="حرج","✖ خطأ يمنع الإقفال","⚠ مراجعة"))</f>
        <v/>
      </c>
      <c r="F10" s="8" t="inlineStr">
        <is>
          <t>آلي</t>
        </is>
      </c>
      <c r="G10" s="8" t="inlineStr">
        <is>
          <t>حرج</t>
        </is>
      </c>
      <c r="H10" s="78" t="inlineStr">
        <is>
          <t>افتح الورقة المصدرية وراجع عمود (فحص المستند) وصحّح أو اعكس المستند</t>
        </is>
      </c>
    </row>
    <row r="11">
      <c r="A11" s="8" t="inlineStr">
        <is>
          <t>A02</t>
        </is>
      </c>
      <c r="B11" s="8" t="inlineStr">
        <is>
          <t>المستندات</t>
        </is>
      </c>
      <c r="C11" s="8" t="inlineStr">
        <is>
          <t>مستندات (مسودة) في الفترة لم تُعتمد</t>
        </is>
      </c>
      <c r="D11" s="77">
        <f>COUNTIFS(Sales_Daily!$AV:$AV,1,Sales_Daily!$B:$B,"&gt;="&amp;S_From,Sales_Daily!$B:$B,"&lt;="&amp;S_To,Sales_Daily!$S:$S,ST_DRAFT)+COUNTIFS(Platform_Settlements!$X:$X,1,Platform_Settlements!$B:$B,"&gt;="&amp;S_From,Platform_Settlements!$B:$B,"&lt;="&amp;S_To,Platform_Settlements!$L:$L,ST_DRAFT)+COUNTIFS(Cash_Vouchers!$AJ:$AJ,1,Cash_Vouchers!$B:$B,"&gt;="&amp;S_From,Cash_Vouchers!$B:$B,"&lt;="&amp;S_To,Cash_Vouchers!$N:$N,ST_DRAFT)+COUNTIFS(Expenses!$AB:$AB,1,Expenses!$B:$B,"&gt;="&amp;S_From,Expenses!$B:$B,"&lt;="&amp;S_To,Expenses!$M:$M,ST_DRAFT)+COUNTIFS(Supplier_Invoices!$AD:$AD,1,Supplier_Invoices!$E:$E,"&gt;="&amp;S_From,Supplier_Invoices!$E:$E,"&lt;="&amp;S_To,Supplier_Invoices!$O:$O,ST_DRAFT)+COUNTIFS(Supplier_Payments!$S:$S,1,Supplier_Payments!$B:$B,"&gt;="&amp;S_From,Supplier_Payments!$B:$B,"&lt;="&amp;S_To,Supplier_Payments!$I:$I,ST_DRAFT)+COUNTIFS(Manual_JE!$U:$U,1,Manual_JE!$B:$B,"&gt;="&amp;S_From,Manual_JE!$B:$B,"&lt;="&amp;S_To,Manual_JE!$M:$M,ST_DRAFT)</f>
        <v/>
      </c>
      <c r="E11" s="8">
        <f>IF(ROUND(D11,2)=0,"✔ سليم",IF(G11="حرج","✖ خطأ يمنع الإقفال","⚠ مراجعة"))</f>
        <v/>
      </c>
      <c r="F11" s="8" t="inlineStr">
        <is>
          <t>آلي</t>
        </is>
      </c>
      <c r="G11" s="8" t="inlineStr">
        <is>
          <t>حرج</t>
        </is>
      </c>
      <c r="H11" s="78" t="inlineStr">
        <is>
          <t>اعتمدها وسجلها أو اجعلها (ملغى) بتوقيع المسؤول</t>
        </is>
      </c>
    </row>
    <row r="12">
      <c r="A12" s="8" t="inlineStr">
        <is>
          <t>A03</t>
        </is>
      </c>
      <c r="B12" s="8" t="inlineStr">
        <is>
          <t>المستندات</t>
        </is>
      </c>
      <c r="C12" s="8" t="inlineStr">
        <is>
          <t>مستندات (معتمد) لم يُرحّلها المحاسب بعد</t>
        </is>
      </c>
      <c r="D12" s="77">
        <f>COUNTIFS(Sales_Daily!$AV:$AV,1,Sales_Daily!$B:$B,"&gt;="&amp;S_From,Sales_Daily!$B:$B,"&lt;="&amp;S_To,Sales_Daily!$S:$S,ST_APPR)+COUNTIFS(Platform_Settlements!$X:$X,1,Platform_Settlements!$B:$B,"&gt;="&amp;S_From,Platform_Settlements!$B:$B,"&lt;="&amp;S_To,Platform_Settlements!$L:$L,ST_APPR)+COUNTIFS(Cash_Vouchers!$AJ:$AJ,1,Cash_Vouchers!$B:$B,"&gt;="&amp;S_From,Cash_Vouchers!$B:$B,"&lt;="&amp;S_To,Cash_Vouchers!$N:$N,ST_APPR)+COUNTIFS(Expenses!$AB:$AB,1,Expenses!$B:$B,"&gt;="&amp;S_From,Expenses!$B:$B,"&lt;="&amp;S_To,Expenses!$M:$M,ST_APPR)+COUNTIFS(Supplier_Invoices!$AD:$AD,1,Supplier_Invoices!$E:$E,"&gt;="&amp;S_From,Supplier_Invoices!$E:$E,"&lt;="&amp;S_To,Supplier_Invoices!$O:$O,ST_APPR)+COUNTIFS(Supplier_Payments!$S:$S,1,Supplier_Payments!$B:$B,"&gt;="&amp;S_From,Supplier_Payments!$B:$B,"&lt;="&amp;S_To,Supplier_Payments!$I:$I,ST_APPR)+COUNTIFS(Manual_JE!$U:$U,1,Manual_JE!$B:$B,"&gt;="&amp;S_From,Manual_JE!$B:$B,"&lt;="&amp;S_To,Manual_JE!$M:$M,ST_APPR)</f>
        <v/>
      </c>
      <c r="E12" s="8">
        <f>IF(ROUND(D12,2)=0,"✔ سليم",IF(G12="حرج","✖ خطأ يمنع الإقفال","⚠ مراجعة"))</f>
        <v/>
      </c>
      <c r="F12" s="8" t="inlineStr">
        <is>
          <t>آلي</t>
        </is>
      </c>
      <c r="G12" s="8" t="inlineStr">
        <is>
          <t>حرج</t>
        </is>
      </c>
      <c r="H12" s="78" t="inlineStr">
        <is>
          <t>ترحيل المستندات بتغيير الحالة إلى (مرحل) بواسطة المحاسب</t>
        </is>
      </c>
    </row>
    <row r="13">
      <c r="A13" s="8" t="inlineStr">
        <is>
          <t>A04</t>
        </is>
      </c>
      <c r="B13" s="8" t="inlineStr">
        <is>
          <t>المستندات</t>
        </is>
      </c>
      <c r="C13" s="8" t="inlineStr">
        <is>
          <t>مستندات بلا حالة</t>
        </is>
      </c>
      <c r="D13" s="77">
        <f>COUNTIFS(Sales_Daily!$AV:$AV,1,Sales_Daily!$B:$B,"&gt;="&amp;S_From,Sales_Daily!$B:$B,"&lt;="&amp;S_To,Sales_Daily!$S:$S,"")+COUNTIFS(Platform_Settlements!$X:$X,1,Platform_Settlements!$B:$B,"&gt;="&amp;S_From,Platform_Settlements!$B:$B,"&lt;="&amp;S_To,Platform_Settlements!$L:$L,"")+COUNTIFS(Cash_Vouchers!$AJ:$AJ,1,Cash_Vouchers!$B:$B,"&gt;="&amp;S_From,Cash_Vouchers!$B:$B,"&lt;="&amp;S_To,Cash_Vouchers!$N:$N,"")+COUNTIFS(Expenses!$AB:$AB,1,Expenses!$B:$B,"&gt;="&amp;S_From,Expenses!$B:$B,"&lt;="&amp;S_To,Expenses!$M:$M,"")+COUNTIFS(Supplier_Invoices!$AD:$AD,1,Supplier_Invoices!$E:$E,"&gt;="&amp;S_From,Supplier_Invoices!$E:$E,"&lt;="&amp;S_To,Supplier_Invoices!$O:$O,"")+COUNTIFS(Supplier_Payments!$S:$S,1,Supplier_Payments!$B:$B,"&gt;="&amp;S_From,Supplier_Payments!$B:$B,"&lt;="&amp;S_To,Supplier_Payments!$I:$I,"")+COUNTIFS(Manual_JE!$U:$U,1,Manual_JE!$B:$B,"&gt;="&amp;S_From,Manual_JE!$B:$B,"&lt;="&amp;S_To,Manual_JE!$M:$M,"")</f>
        <v/>
      </c>
      <c r="E13" s="8">
        <f>IF(ROUND(D13,2)=0,"✔ سليم",IF(G13="حرج","✖ خطأ يمنع الإقفال","⚠ مراجعة"))</f>
        <v/>
      </c>
      <c r="F13" s="8" t="inlineStr">
        <is>
          <t>آلي</t>
        </is>
      </c>
      <c r="G13" s="8" t="inlineStr">
        <is>
          <t>حرج</t>
        </is>
      </c>
      <c r="H13" s="78" t="inlineStr">
        <is>
          <t>حدد حالة المستند</t>
        </is>
      </c>
    </row>
    <row r="14">
      <c r="A14" s="8" t="inlineStr">
        <is>
          <t>A05</t>
        </is>
      </c>
      <c r="B14" s="8" t="inlineStr">
        <is>
          <t>المستندات</t>
        </is>
      </c>
      <c r="C14" s="8" t="inlineStr">
        <is>
          <t>أرقام مستندات مكررة في السجل المركزي</t>
        </is>
      </c>
      <c r="D14" s="77">
        <f>COUNTIF(Doc_Register!$H:$H,"مكرر")</f>
        <v/>
      </c>
      <c r="E14" s="8">
        <f>IF(ROUND(D14,2)=0,"✔ سليم",IF(G14="حرج","✖ خطأ يمنع الإقفال","⚠ مراجعة"))</f>
        <v/>
      </c>
      <c r="F14" s="8" t="inlineStr">
        <is>
          <t>آلي</t>
        </is>
      </c>
      <c r="G14" s="8" t="inlineStr">
        <is>
          <t>حرج</t>
        </is>
      </c>
      <c r="H14" s="78" t="inlineStr">
        <is>
          <t>راجع Doc_Register وصحّح الرقم المكرر بموافقة المحاسب</t>
        </is>
      </c>
    </row>
    <row r="15">
      <c r="A15" s="8" t="inlineStr">
        <is>
          <t>A06</t>
        </is>
      </c>
      <c r="B15" s="8" t="inlineStr">
        <is>
          <t>الموردون</t>
        </is>
      </c>
      <c r="C15" s="8" t="inlineStr">
        <is>
          <t>فواتير موردين مكررة (نفس المورد ونفس الرقم)</t>
        </is>
      </c>
      <c r="D15" s="77">
        <f>COUNTIFS(Supplier_Invoices!$Z:$Z,1,Supplier_Invoices!$E:$E,"&gt;="&amp;S_From,Supplier_Invoices!$E:$E,"&lt;="&amp;S_To)</f>
        <v/>
      </c>
      <c r="E15" s="8">
        <f>IF(ROUND(D15,2)=0,"✔ سليم",IF(G15="حرج","✖ خطأ يمنع الإقفال","⚠ مراجعة"))</f>
        <v/>
      </c>
      <c r="F15" s="8" t="inlineStr">
        <is>
          <t>آلي</t>
        </is>
      </c>
      <c r="G15" s="8" t="inlineStr">
        <is>
          <t>حرج</t>
        </is>
      </c>
      <c r="H15" s="78" t="inlineStr">
        <is>
          <t>ألغِ المستند المكرر (ملغى) أو تحقق إن كان فاتورة مختلفة</t>
        </is>
      </c>
    </row>
    <row r="16">
      <c r="A16" s="8" t="inlineStr">
        <is>
          <t>A07</t>
        </is>
      </c>
      <c r="B16" s="8" t="inlineStr">
        <is>
          <t>اليومية</t>
        </is>
      </c>
      <c r="C16" s="8" t="inlineStr">
        <is>
          <t>قيود يدوية غير متوازنة</t>
        </is>
      </c>
      <c r="D16" s="77">
        <f>SUMIFS(Manual_JE!$Z:$Z,Manual_JE!$B:$B,"&gt;="&amp;S_From,Manual_JE!$B:$B,"&lt;="&amp;S_To)</f>
        <v/>
      </c>
      <c r="E16" s="8">
        <f>IF(ROUND(D16,2)=0,"✔ سليم",IF(G16="حرج","✖ خطأ يمنع الإقفال","⚠ مراجعة"))</f>
        <v/>
      </c>
      <c r="F16" s="8" t="inlineStr">
        <is>
          <t>آلي</t>
        </is>
      </c>
      <c r="G16" s="8" t="inlineStr">
        <is>
          <t>حرج</t>
        </is>
      </c>
      <c r="H16" s="78" t="inlineStr">
        <is>
          <t>صحّح الأسطر حتى يتساوى المدين والدائن، ولا يُرحَّل غير المتوازن</t>
        </is>
      </c>
    </row>
    <row r="17">
      <c r="A17" s="8" t="inlineStr">
        <is>
          <t>A08</t>
        </is>
      </c>
      <c r="B17" s="8" t="inlineStr">
        <is>
          <t>اليومية</t>
        </is>
      </c>
      <c r="C17" s="8" t="inlineStr">
        <is>
          <t>أسطر مرحّلة لم تؤثر على الدفاتر (محجوبة بخطأ)</t>
        </is>
      </c>
      <c r="D17" s="77">
        <f>COUNTIFS(GL_Journal!$A:$A,1,GL_Journal!$R:$R,0,GL_Journal!$O:$O,ST_POST,GL_Journal!$D:$D,"&gt;="&amp;S_From,GL_Journal!$D:$D,"&lt;="&amp;S_To)</f>
        <v/>
      </c>
      <c r="E17" s="8">
        <f>IF(ROUND(D17,2)=0,"✔ سليم",IF(G17="حرج","✖ خطأ يمنع الإقفال","⚠ مراجعة"))</f>
        <v/>
      </c>
      <c r="F17" s="8" t="inlineStr">
        <is>
          <t>آلي</t>
        </is>
      </c>
      <c r="G17" s="8" t="inlineStr">
        <is>
          <t>حرج</t>
        </is>
      </c>
      <c r="H17" s="78" t="inlineStr">
        <is>
          <t>سببها في GL_Journal عمود (سبب عدم الترحيل)</t>
        </is>
      </c>
    </row>
    <row r="18">
      <c r="A18" s="8" t="inlineStr">
        <is>
          <t>A09</t>
        </is>
      </c>
      <c r="B18" s="8" t="inlineStr">
        <is>
          <t>الأرصدة</t>
        </is>
      </c>
      <c r="C18" s="8" t="inlineStr">
        <is>
          <t>فرق ميزان المراجعة (مدين - دائن)</t>
        </is>
      </c>
      <c r="D18" s="77">
        <f>ABS(TB_Diff)</f>
        <v/>
      </c>
      <c r="E18" s="8">
        <f>IF(ROUND(D18,2)=0,"✔ سليم",IF(G18="حرج","✖ خطأ يمنع الإقفال","⚠ مراجعة"))</f>
        <v/>
      </c>
      <c r="F18" s="8" t="inlineStr">
        <is>
          <t>آلي</t>
        </is>
      </c>
      <c r="G18" s="8" t="inlineStr">
        <is>
          <t>حرج</t>
        </is>
      </c>
      <c r="H18" s="78" t="inlineStr">
        <is>
          <t>راجع GL_Journal؛ أي فرق يعني حساب خارج الدليل أو قيدًا محجوبًا</t>
        </is>
      </c>
    </row>
    <row r="19">
      <c r="A19" s="8" t="inlineStr">
        <is>
          <t>A10</t>
        </is>
      </c>
      <c r="B19" s="8" t="inlineStr">
        <is>
          <t>الأرصدة</t>
        </is>
      </c>
      <c r="C19" s="8" t="inlineStr">
        <is>
          <t>فرق إجمالي الأستاذ العام (مدين - دائن)</t>
        </is>
      </c>
      <c r="D19" s="77">
        <f>ABS(GL_TotalDiff)</f>
        <v/>
      </c>
      <c r="E19" s="8">
        <f>IF(ROUND(D19,2)=0,"✔ سليم",IF(G19="حرج","✖ خطأ يمنع الإقفال","⚠ مراجعة"))</f>
        <v/>
      </c>
      <c r="F19" s="8" t="inlineStr">
        <is>
          <t>آلي</t>
        </is>
      </c>
      <c r="G19" s="8" t="inlineStr">
        <is>
          <t>حرج</t>
        </is>
      </c>
      <c r="H19" s="78" t="inlineStr">
        <is>
          <t>نفس البند السابق</t>
        </is>
      </c>
    </row>
    <row r="20">
      <c r="A20" s="8" t="inlineStr">
        <is>
          <t>A11</t>
        </is>
      </c>
      <c r="B20" s="8" t="inlineStr">
        <is>
          <t>الأرصدة</t>
        </is>
      </c>
      <c r="C20" s="8" t="inlineStr">
        <is>
          <t>فرق الميزانية (الأصول - الالتزامات - الملكية)</t>
        </is>
      </c>
      <c r="D20" s="77">
        <f>ABS(BS_Diff)</f>
        <v/>
      </c>
      <c r="E20" s="8">
        <f>IF(ROUND(D20,2)=0,"✔ سليم",IF(G20="حرج","✖ خطأ يمنع الإقفال","⚠ مراجعة"))</f>
        <v/>
      </c>
      <c r="F20" s="8" t="inlineStr">
        <is>
          <t>آلي</t>
        </is>
      </c>
      <c r="G20" s="8" t="inlineStr">
        <is>
          <t>حرج</t>
        </is>
      </c>
      <c r="H20" s="78" t="inlineStr">
        <is>
          <t>الميزانية تقرأ من الأستاذ؛ الفرق يعني خطأ في المصدر</t>
        </is>
      </c>
    </row>
    <row r="21">
      <c r="A21" s="8" t="inlineStr">
        <is>
          <t>A12</t>
        </is>
      </c>
      <c r="B21" s="8" t="inlineStr">
        <is>
          <t>الأرصدة</t>
        </is>
      </c>
      <c r="C21" s="8" t="inlineStr">
        <is>
          <t>فرق أرصدة الموردين (دفتر فرعي - حساب 2101)</t>
        </is>
      </c>
      <c r="D21" s="77">
        <f>ABS(SB_Diff)</f>
        <v/>
      </c>
      <c r="E21" s="8">
        <f>IF(ROUND(D21,2)=0,"✔ سليم",IF(G21="حرج","✖ خطأ يمنع الإقفال","⚠ مراجعة"))</f>
        <v/>
      </c>
      <c r="F21" s="8" t="inlineStr">
        <is>
          <t>آلي</t>
        </is>
      </c>
      <c r="G21" s="8" t="inlineStr">
        <is>
          <t>حرج</t>
        </is>
      </c>
      <c r="H21" s="78" t="inlineStr">
        <is>
          <t>حركات على 2101 بدون كود مورد صحيح في Manual_JE</t>
        </is>
      </c>
    </row>
    <row r="22">
      <c r="A22" s="8" t="inlineStr">
        <is>
          <t>A13</t>
        </is>
      </c>
      <c r="B22" s="8" t="inlineStr">
        <is>
          <t>الأرصدة</t>
        </is>
      </c>
      <c r="C22" s="8" t="inlineStr">
        <is>
          <t>فرق أرصدة العملاء (دفتر فرعي - حساب 1301)</t>
        </is>
      </c>
      <c r="D22" s="77">
        <f>ABS(CB_Diff)</f>
        <v/>
      </c>
      <c r="E22" s="8">
        <f>IF(ROUND(D22,2)=0,"✔ سليم",IF(G22="حرج","✖ خطأ يمنع الإقفال","⚠ مراجعة"))</f>
        <v/>
      </c>
      <c r="F22" s="8" t="inlineStr">
        <is>
          <t>آلي</t>
        </is>
      </c>
      <c r="G22" s="8" t="inlineStr">
        <is>
          <t>حرج</t>
        </is>
      </c>
      <c r="H22" s="78" t="inlineStr">
        <is>
          <t>حركات على 1301 بدون كود عميل</t>
        </is>
      </c>
    </row>
    <row r="23">
      <c r="A23" s="8" t="inlineStr">
        <is>
          <t>A14</t>
        </is>
      </c>
      <c r="B23" s="8" t="inlineStr">
        <is>
          <t>الأرصدة</t>
        </is>
      </c>
      <c r="C23" s="8" t="inlineStr">
        <is>
          <t>فرق التدفقات النقدية مع أرصدة النقدية</t>
        </is>
      </c>
      <c r="D23" s="77">
        <f>ABS(CF_Diff)</f>
        <v/>
      </c>
      <c r="E23" s="8">
        <f>IF(ROUND(D23,2)=0,"✔ سليم",IF(G23="حرج","✖ خطأ يمنع الإقفال","⚠ مراجعة"))</f>
        <v/>
      </c>
      <c r="F23" s="8" t="inlineStr">
        <is>
          <t>آلي</t>
        </is>
      </c>
      <c r="G23" s="8" t="inlineStr">
        <is>
          <t>حرج</t>
        </is>
      </c>
      <c r="H23" s="78" t="inlineStr">
        <is>
          <t>تحقق من تصنيف التدفق للأسطر النقدية</t>
        </is>
      </c>
    </row>
    <row r="24">
      <c r="A24" s="8" t="inlineStr">
        <is>
          <t>A15</t>
        </is>
      </c>
      <c r="B24" s="8" t="inlineStr">
        <is>
          <t>الخزينة</t>
        </is>
      </c>
      <c r="C24" s="8" t="inlineStr">
        <is>
          <t>تحويلات نقدية داخلية صافيها لا يساوي صفرًا</t>
        </is>
      </c>
      <c r="D24" s="77">
        <f>ABS(CF_InternalNet)</f>
        <v/>
      </c>
      <c r="E24" s="8">
        <f>IF(ROUND(D24,2)=0,"✔ سليم",IF(G24="حرج","✖ خطأ يمنع الإقفال","⚠ مراجعة"))</f>
        <v/>
      </c>
      <c r="F24" s="8" t="inlineStr">
        <is>
          <t>آلي</t>
        </is>
      </c>
      <c r="G24" s="8" t="inlineStr">
        <is>
          <t>حرج</t>
        </is>
      </c>
      <c r="H24" s="78" t="inlineStr">
        <is>
          <t>سند تحويل غير مكتمل أو بسطر واحد</t>
        </is>
      </c>
    </row>
    <row r="25">
      <c r="A25" s="8" t="inlineStr">
        <is>
          <t>A16</t>
        </is>
      </c>
      <c r="B25" s="8" t="inlineStr">
        <is>
          <t>المبيعات</t>
        </is>
      </c>
      <c r="C25" s="8" t="inlineStr">
        <is>
          <t>صفوف مطابقة مبيعات بها فرق غير موضح أو ناقصة</t>
        </is>
      </c>
      <c r="D25" s="77">
        <f>COUNTIFS(Daily_Recon!$L:$L,"?*",Daily_Recon!$A:$A,"&gt;="&amp;S_From,Daily_Recon!$A:$A,"&lt;="&amp;S_To)</f>
        <v/>
      </c>
      <c r="E25" s="8">
        <f>IF(ROUND(D25,2)=0,"✔ سليم",IF(G25="حرج","✖ خطأ يمنع الإقفال","⚠ مراجعة"))</f>
        <v/>
      </c>
      <c r="F25" s="8" t="inlineStr">
        <is>
          <t>آلي</t>
        </is>
      </c>
      <c r="G25" s="8" t="inlineStr">
        <is>
          <t>حرج</t>
        </is>
      </c>
      <c r="H25" s="78" t="inlineStr">
        <is>
          <t>اكتب سبب الفرق والمسؤول وحالة المعالجة في Daily_Recon</t>
        </is>
      </c>
    </row>
    <row r="26">
      <c r="A26" s="8" t="inlineStr">
        <is>
          <t>A17</t>
        </is>
      </c>
      <c r="B26" s="8" t="inlineStr">
        <is>
          <t>المبيعات</t>
        </is>
      </c>
      <c r="C26" s="8" t="inlineStr">
        <is>
          <t>فروق مطابقة مبيعات ما زالت مفتوحة</t>
        </is>
      </c>
      <c r="D26" s="77">
        <f>COUNTIFS(Daily_Recon!$M:$M,1,Daily_Recon!$A:$A,"&gt;="&amp;S_From,Daily_Recon!$A:$A,"&lt;="&amp;S_To)</f>
        <v/>
      </c>
      <c r="E26" s="8">
        <f>IF(ROUND(D26,2)=0,"✔ سليم",IF(G26="حرج","✖ خطأ يمنع الإقفال","⚠ مراجعة"))</f>
        <v/>
      </c>
      <c r="F26" s="8" t="inlineStr">
        <is>
          <t>آلي</t>
        </is>
      </c>
      <c r="G26" s="8" t="inlineStr">
        <is>
          <t>مراجعة</t>
        </is>
      </c>
      <c r="H26" s="78" t="inlineStr">
        <is>
          <t>سوّها أو اعتمدها بموافقة الإدارة</t>
        </is>
      </c>
    </row>
    <row r="27">
      <c r="A27" s="8" t="inlineStr">
        <is>
          <t>A18</t>
        </is>
      </c>
      <c r="B27" s="8" t="inlineStr">
        <is>
          <t>المبيعات</t>
        </is>
      </c>
      <c r="C27" s="8" t="inlineStr">
        <is>
          <t>أيام مبيعات مرحلة بدون مطابقة يومية</t>
        </is>
      </c>
      <c r="D27" s="77">
        <f>COUNTIFS(Sales_Daily!$AU:$AU,"لا",Sales_Daily!$B:$B,"&gt;="&amp;S_From,Sales_Daily!$B:$B,"&lt;="&amp;S_To,Sales_Daily!$S:$S,ST_POST)</f>
        <v/>
      </c>
      <c r="E27" s="8">
        <f>IF(ROUND(D27,2)=0,"✔ سليم",IF(G27="حرج","✖ خطأ يمنع الإقفال","⚠ مراجعة"))</f>
        <v/>
      </c>
      <c r="F27" s="8" t="inlineStr">
        <is>
          <t>آلي</t>
        </is>
      </c>
      <c r="G27" s="8" t="inlineStr">
        <is>
          <t>مراجعة</t>
        </is>
      </c>
      <c r="H27" s="78" t="inlineStr">
        <is>
          <t>سجل صف مطابقة لليوم والفرع في Daily_Recon</t>
        </is>
      </c>
    </row>
    <row r="28">
      <c r="A28" s="8" t="inlineStr">
        <is>
          <t>A19</t>
        </is>
      </c>
      <c r="B28" s="8" t="inlineStr">
        <is>
          <t>الخزينة</t>
        </is>
      </c>
      <c r="C28" s="8" t="inlineStr">
        <is>
          <t>صفوف إقفال خزينة بها أخطاء أو فروق بلا تسوية</t>
        </is>
      </c>
      <c r="D28" s="77">
        <f>COUNTIFS(Cash_Close!$O:$O,"?*",Cash_Close!$A:$A,"&gt;="&amp;S_From,Cash_Close!$A:$A,"&lt;="&amp;S_To)</f>
        <v/>
      </c>
      <c r="E28" s="8">
        <f>IF(ROUND(D28,2)=0,"✔ سليم",IF(G28="حرج","✖ خطأ يمنع الإقفال","⚠ مراجعة"))</f>
        <v/>
      </c>
      <c r="F28" s="8" t="inlineStr">
        <is>
          <t>آلي</t>
        </is>
      </c>
      <c r="G28" s="8" t="inlineStr">
        <is>
          <t>حرج</t>
        </is>
      </c>
      <c r="H28" s="78" t="inlineStr">
        <is>
          <t>سجل سند عجز/زيادة (نموذج 30) واربطه برقمه في Cash_Close</t>
        </is>
      </c>
    </row>
    <row r="29">
      <c r="A29" s="8" t="inlineStr">
        <is>
          <t>A20</t>
        </is>
      </c>
      <c r="B29" s="8" t="inlineStr">
        <is>
          <t>الخزينة</t>
        </is>
      </c>
      <c r="C29" s="8" t="inlineStr">
        <is>
          <t>فروق خزينة مفتوحة بعد التسوية</t>
        </is>
      </c>
      <c r="D29" s="77">
        <f>COUNTIFS(Cash_Close!$P:$P,1,Cash_Close!$A:$A,"&gt;="&amp;S_From,Cash_Close!$A:$A,"&lt;="&amp;S_To)</f>
        <v/>
      </c>
      <c r="E29" s="8">
        <f>IF(ROUND(D29,2)=0,"✔ سليم",IF(G29="حرج","✖ خطأ يمنع الإقفال","⚠ مراجعة"))</f>
        <v/>
      </c>
      <c r="F29" s="8" t="inlineStr">
        <is>
          <t>آلي</t>
        </is>
      </c>
      <c r="G29" s="8" t="inlineStr">
        <is>
          <t>حرج</t>
        </is>
      </c>
      <c r="H29" s="78" t="inlineStr">
        <is>
          <t>الفرق المتبقي لا يساوي صفرًا</t>
        </is>
      </c>
    </row>
    <row r="30">
      <c r="A30" s="8" t="inlineStr">
        <is>
          <t>A21</t>
        </is>
      </c>
      <c r="B30" s="8" t="inlineStr">
        <is>
          <t>الخزينة</t>
        </is>
      </c>
      <c r="C30" s="8" t="inlineStr">
        <is>
          <t>خزائن/بنوك برصيد سالب</t>
        </is>
      </c>
      <c r="D30" s="77">
        <f>TR_Negative</f>
        <v/>
      </c>
      <c r="E30" s="8">
        <f>IF(ROUND(D30,2)=0,"✔ سليم",IF(G30="حرج","✖ خطأ يمنع الإقفال","⚠ مراجعة"))</f>
        <v/>
      </c>
      <c r="F30" s="8" t="inlineStr">
        <is>
          <t>آلي</t>
        </is>
      </c>
      <c r="G30" s="8" t="inlineStr">
        <is>
          <t>مراجعة</t>
        </is>
      </c>
      <c r="H30" s="78" t="inlineStr">
        <is>
          <t>رصيد سالب غير منطقي؛ غالبًا مستند ناقص أو تاريخ خاطئ</t>
        </is>
      </c>
    </row>
    <row r="31">
      <c r="A31" s="8" t="inlineStr">
        <is>
          <t>A22</t>
        </is>
      </c>
      <c r="B31" s="8" t="inlineStr">
        <is>
          <t>الحسابات المعلقة</t>
        </is>
      </c>
      <c r="C31" s="8" t="inlineStr">
        <is>
          <t>رصيد الحساب المعلق 2901 غير صفر</t>
        </is>
      </c>
      <c r="D31" s="77">
        <f>ABS(-(SUMIFS(GL_Journal!$S:$S,GL_Journal!$G:$G,ACC_SUSPENSE,GL_Journal!$D:$D,"&lt;="&amp;S_To)-SUMIFS(GL_Journal!$T:$T,GL_Journal!$G:$G,ACC_SUSPENSE,GL_Journal!$D:$D,"&lt;="&amp;S_To)))</f>
        <v/>
      </c>
      <c r="E31" s="8">
        <f>IF(ROUND(D31,2)=0,"✔ سليم",IF(G31="حرج","✖ خطأ يمنع الإقفال","⚠ مراجعة"))</f>
        <v/>
      </c>
      <c r="F31" s="8" t="inlineStr">
        <is>
          <t>آلي</t>
        </is>
      </c>
      <c r="G31" s="8" t="inlineStr">
        <is>
          <t>حرج</t>
        </is>
      </c>
      <c r="H31" s="78" t="inlineStr">
        <is>
          <t>صفّر الحساب المعلق بقيد تسوية</t>
        </is>
      </c>
    </row>
    <row r="32">
      <c r="A32" s="8" t="inlineStr">
        <is>
          <t>A23</t>
        </is>
      </c>
      <c r="B32" s="8" t="inlineStr">
        <is>
          <t>الحسابات المعلقة</t>
        </is>
      </c>
      <c r="C32" s="8" t="inlineStr">
        <is>
          <t>فروق تسوية المنصات 1309 غير صفرية</t>
        </is>
      </c>
      <c r="D32" s="77">
        <f>ABS((SUMIFS(GL_Journal!$S:$S,GL_Journal!$G:$G,ACC_PLT_DIFF,GL_Journal!$D:$D,"&lt;="&amp;S_To)-SUMIFS(GL_Journal!$T:$T,GL_Journal!$G:$G,ACC_PLT_DIFF,GL_Journal!$D:$D,"&lt;="&amp;S_To)))</f>
        <v/>
      </c>
      <c r="E32" s="8">
        <f>IF(ROUND(D32,2)=0,"✔ سليم",IF(G32="حرج","✖ خطأ يمنع الإقفال","⚠ مراجعة"))</f>
        <v/>
      </c>
      <c r="F32" s="8" t="inlineStr">
        <is>
          <t>آلي</t>
        </is>
      </c>
      <c r="G32" s="8" t="inlineStr">
        <is>
          <t>مراجعة</t>
        </is>
      </c>
      <c r="H32" s="78" t="inlineStr">
        <is>
          <t>تسوية الفرق مع المنصة أو قيد شطب معتمد</t>
        </is>
      </c>
    </row>
    <row r="33">
      <c r="A33" s="8" t="inlineStr">
        <is>
          <t>A24</t>
        </is>
      </c>
      <c r="B33" s="8" t="inlineStr">
        <is>
          <t>المنصات</t>
        </is>
      </c>
      <c r="C33" s="8" t="inlineStr">
        <is>
          <t>منصات/بطاقات بمستحقات ومضى على آخر تسوية أكثر من الحد</t>
        </is>
      </c>
      <c r="D33" s="77">
        <f>COUNTIFS(Payment_Methods!$N:$N,1)</f>
        <v/>
      </c>
      <c r="E33" s="8">
        <f>IF(ROUND(D33,2)=0,"✔ سليم",IF(G33="حرج","✖ خطأ يمنع الإقفال","⚠ مراجعة"))</f>
        <v/>
      </c>
      <c r="F33" s="8" t="inlineStr">
        <is>
          <t>آلي</t>
        </is>
      </c>
      <c r="G33" s="8" t="inlineStr">
        <is>
          <t>مراجعة</t>
        </is>
      </c>
      <c r="H33" s="78" t="inlineStr">
        <is>
          <t>اطلب كشف التسوية من المنصة</t>
        </is>
      </c>
    </row>
    <row r="34">
      <c r="A34" s="8" t="inlineStr">
        <is>
          <t>A25</t>
        </is>
      </c>
      <c r="B34" s="8" t="inlineStr">
        <is>
          <t>التكلفة</t>
        </is>
      </c>
      <c r="C34" s="8" t="inlineStr">
        <is>
          <t>قيد تسوية تكلفة المبيعات الدوري غير موجود لهذه الفترة</t>
        </is>
      </c>
      <c r="D34" s="77">
        <f>IF(S_CogsMethod="PERIODIC",IF(COUNTIFS(Manual_JE!$D:$D,"تسوية تكلفة المبيعات",Manual_JE!$AG:$AG,1,Manual_JE!$B:$B,"&gt;="&amp;S_From,Manual_JE!$B:$B,"&lt;="&amp;S_To)=0,1,0),0)</f>
        <v/>
      </c>
      <c r="E34" s="8">
        <f>IF(ROUND(D34,2)=0,"✔ سليم",IF(G34="حرج","✖ خطأ يمنع الإقفال","⚠ مراجعة"))</f>
        <v/>
      </c>
      <c r="F34" s="8" t="inlineStr">
        <is>
          <t>آلي</t>
        </is>
      </c>
      <c r="G34" s="8" t="inlineStr">
        <is>
          <t>حرج</t>
        </is>
      </c>
      <c r="H34" s="78" t="inlineStr">
        <is>
          <t>سجل قيد المثال 17/26 بعد الجرد، وإلا يظهر الربح مبالغًا فيه</t>
        </is>
      </c>
    </row>
    <row r="35">
      <c r="A35" s="8" t="inlineStr">
        <is>
          <t>A26</t>
        </is>
      </c>
      <c r="B35" s="8" t="inlineStr">
        <is>
          <t>الإيراد</t>
        </is>
      </c>
      <c r="C35" s="8" t="inlineStr">
        <is>
          <t>إيراد من مصدر غير المبيعات (مثلًا سند/مصروف)</t>
        </is>
      </c>
      <c r="D35" s="77">
        <f>COUNTIFS(GL_Journal!$R:$R,1,GL_Journal!$G:$G,"&gt;=4101",GL_Journal!$G:$G,"&lt;=4104",GL_Journal!$F:$F,"CV")+COUNTIFS(GL_Journal!$R:$R,1,GL_Journal!$G:$G,"&gt;=4101",GL_Journal!$G:$G,"&lt;=4104",GL_Journal!$F:$F,"EXP")+COUNTIFS(GL_Journal!$R:$R,1,GL_Journal!$G:$G,"&gt;=4101",GL_Journal!$G:$G,"&lt;=4104",GL_Journal!$F:$F,"SINV")+COUNTIFS(GL_Journal!$R:$R,1,GL_Journal!$G:$G,"&gt;=4101",GL_Journal!$G:$G,"&lt;=4104",GL_Journal!$F:$F,"SPAY")+COUNTIFS(GL_Journal!$R:$R,1,GL_Journal!$G:$G,"&gt;=4101",GL_Journal!$G:$G,"&lt;=4104",GL_Journal!$F:$F,"PLT")</f>
        <v/>
      </c>
      <c r="E35" s="8">
        <f>IF(ROUND(D35,2)=0,"✔ سليم",IF(G35="حرج","✖ خطأ يمنع الإقفال","⚠ مراجعة"))</f>
        <v/>
      </c>
      <c r="F35" s="8" t="inlineStr">
        <is>
          <t>آلي</t>
        </is>
      </c>
      <c r="G35" s="8" t="inlineStr">
        <is>
          <t>حرج</t>
        </is>
      </c>
      <c r="H35" s="78" t="inlineStr">
        <is>
          <t>الإيراد لا يسجل إلا من Sales_Daily؛ التحويلات الداخلية ليست إيرادًا</t>
        </is>
      </c>
    </row>
    <row r="36">
      <c r="A36" s="8" t="inlineStr">
        <is>
          <t>A27</t>
        </is>
      </c>
      <c r="B36" s="8" t="inlineStr">
        <is>
          <t>البيانات الأساسية</t>
        </is>
      </c>
      <c r="C36" s="8" t="inlineStr">
        <is>
          <t>أخطاء في البيانات الأساسية (حسابات/مواقع/خزائن/موردون...)</t>
        </is>
      </c>
      <c r="D36" s="77">
        <f>COUNTIF(COA!$T$5:$T$254,"?*")+COUNTIF(Locations!$K$5:$K$34,"?*")+COUNTIF(Treasuries!$J$5:$J$34,"?*")+COUNTIF(Payment_Methods!$K$5:$K$19,"?*")+COUNTIF(Cost_Centers!$E$5:$E$34,"?*")+COUNTIF(Suppliers!$J$5:$J$154,"?*")+COUNTIF(Customers!$H$5:$H$104,"?*")+COUNTIF(Employees!$K$5:$K$104,"?*")+COUNTIF(Users!$H$5:$H$44,"?*")</f>
        <v/>
      </c>
      <c r="E36" s="8">
        <f>IF(ROUND(D36,2)=0,"✔ سليم",IF(G36="حرج","✖ خطأ يمنع الإقفال","⚠ مراجعة"))</f>
        <v/>
      </c>
      <c r="F36" s="8" t="inlineStr">
        <is>
          <t>آلي</t>
        </is>
      </c>
      <c r="G36" s="8" t="inlineStr">
        <is>
          <t>حرج</t>
        </is>
      </c>
      <c r="H36" s="78" t="inlineStr">
        <is>
          <t>افتح الورقة المعنية وراجع عمود (فحص)</t>
        </is>
      </c>
    </row>
    <row r="37">
      <c r="A37" s="8" t="inlineStr">
        <is>
          <t>A28</t>
        </is>
      </c>
      <c r="B37" s="8" t="inlineStr">
        <is>
          <t>الإقفال</t>
        </is>
      </c>
      <c r="C37" s="8" t="inlineStr">
        <is>
          <t>الفترة المختارة ليست شهرًا كاملًا</t>
        </is>
      </c>
      <c r="D37" s="77">
        <f>IF(AND(DAY(S_From)=1,S_To=EOMONTH(S_From,0)),0,1)</f>
        <v/>
      </c>
      <c r="E37" s="8">
        <f>IF(ROUND(D37,2)=0,"✔ سليم",IF(G37="حرج","✖ خطأ يمنع الإقفال","⚠ مراجعة"))</f>
        <v/>
      </c>
      <c r="F37" s="8" t="inlineStr">
        <is>
          <t>آلي</t>
        </is>
      </c>
      <c r="G37" s="8" t="inlineStr">
        <is>
          <t>حرج</t>
        </is>
      </c>
      <c r="H37" s="78" t="inlineStr">
        <is>
          <t>اضبط Settings على أول وآخر يوم في الشهر قبل الإقفال</t>
        </is>
      </c>
    </row>
    <row r="38">
      <c r="A38" s="8" t="inlineStr">
        <is>
          <t>A29</t>
        </is>
      </c>
      <c r="B38" s="8" t="inlineStr">
        <is>
          <t>الإقفال</t>
        </is>
      </c>
      <c r="C38" s="8" t="inlineStr">
        <is>
          <t>فترات مقفلة تغيّرت أرقامها بعد الإقفال</t>
        </is>
      </c>
      <c r="D38" s="77">
        <f>COUNTIF(Period_Close!$O$5:$O$64,"?*")</f>
        <v/>
      </c>
      <c r="E38" s="8">
        <f>IF(ROUND(D38,2)=0,"✔ سليم",IF(G38="حرج","✖ خطأ يمنع الإقفال","⚠ مراجعة"))</f>
        <v/>
      </c>
      <c r="F38" s="8" t="inlineStr">
        <is>
          <t>آلي</t>
        </is>
      </c>
      <c r="G38" s="8" t="inlineStr">
        <is>
          <t>حرج</t>
        </is>
      </c>
      <c r="H38" s="78" t="inlineStr">
        <is>
          <t>راجع القيود المرحلة بأثر رجعي في الفترة المقفلة</t>
        </is>
      </c>
    </row>
    <row r="39">
      <c r="A39" s="8" t="inlineStr">
        <is>
          <t>A30</t>
        </is>
      </c>
      <c r="B39" s="8" t="inlineStr">
        <is>
          <t>الإقفال</t>
        </is>
      </c>
      <c r="C39" s="8" t="inlineStr">
        <is>
          <t>أخطاء في سجل الإقفال/التأكيدات</t>
        </is>
      </c>
      <c r="D39" s="77">
        <f>COUNTIF(Period_Close!$P$5:$P$64,"?*")+COUNTIF(Close_Confirm!$G$5:$G$304,"?*")</f>
        <v/>
      </c>
      <c r="E39" s="8">
        <f>IF(ROUND(D39,2)=0,"✔ سليم",IF(G39="حرج","✖ خطأ يمنع الإقفال","⚠ مراجعة"))</f>
        <v/>
      </c>
      <c r="F39" s="8" t="inlineStr">
        <is>
          <t>آلي</t>
        </is>
      </c>
      <c r="G39" s="8" t="inlineStr">
        <is>
          <t>حرج</t>
        </is>
      </c>
      <c r="H39" s="78" t="inlineStr">
        <is>
          <t>راجع Period_Close وClose_Confirm</t>
        </is>
      </c>
    </row>
    <row r="40">
      <c r="A40" s="8" t="inlineStr">
        <is>
          <t>A31</t>
        </is>
      </c>
      <c r="B40" s="8" t="inlineStr">
        <is>
          <t>المستندات</t>
        </is>
      </c>
      <c r="C40" s="8" t="inlineStr">
        <is>
          <t>مستندات مرحلة بدون مرجع/مرفق ورقي</t>
        </is>
      </c>
      <c r="D40" s="77">
        <f>COUNTIFS(Sales_Daily!$AV:$AV,1,Sales_Daily!$B:$B,"&gt;="&amp;S_From,Sales_Daily!$B:$B,"&lt;="&amp;S_To,Sales_Daily!$S:$S,ST_POST,Sales_Daily!$W:$W,"")+COUNTIFS(Platform_Settlements!$X:$X,1,Platform_Settlements!$B:$B,"&gt;="&amp;S_From,Platform_Settlements!$B:$B,"&lt;="&amp;S_To,Platform_Settlements!$L:$L,ST_POST,Platform_Settlements!$P:$P,"")+COUNTIFS(Cash_Vouchers!$AJ:$AJ,1,Cash_Vouchers!$B:$B,"&gt;="&amp;S_From,Cash_Vouchers!$B:$B,"&lt;="&amp;S_To,Cash_Vouchers!$N:$N,ST_POST,Cash_Vouchers!$R:$R,"")+COUNTIFS(Expenses!$AB:$AB,1,Expenses!$B:$B,"&gt;="&amp;S_From,Expenses!$B:$B,"&lt;="&amp;S_To,Expenses!$M:$M,ST_POST,Expenses!$Q:$Q,"")+COUNTIFS(Supplier_Invoices!$AD:$AD,1,Supplier_Invoices!$E:$E,"&gt;="&amp;S_From,Supplier_Invoices!$E:$E,"&lt;="&amp;S_To,Supplier_Invoices!$O:$O,ST_POST,Supplier_Invoices!$S:$S,"")+COUNTIFS(Supplier_Payments!$S:$S,1,Supplier_Payments!$B:$B,"&gt;="&amp;S_From,Supplier_Payments!$B:$B,"&lt;="&amp;S_To,Supplier_Payments!$I:$I,ST_POST,Supplier_Payments!$M:$M,"")</f>
        <v/>
      </c>
      <c r="E40" s="8">
        <f>IF(ROUND(D40,2)=0,"✔ سليم",IF(G40="حرج","✖ خطأ يمنع الإقفال","⚠ مراجعة"))</f>
        <v/>
      </c>
      <c r="F40" s="8" t="inlineStr">
        <is>
          <t>آلي</t>
        </is>
      </c>
      <c r="G40" s="8" t="inlineStr">
        <is>
          <t>مراجعة</t>
        </is>
      </c>
      <c r="H40" s="78" t="inlineStr">
        <is>
          <t>اكتب رقم المرفق أو مرجع الدوسيه الورقي</t>
        </is>
      </c>
    </row>
    <row r="41">
      <c r="A41" s="8" t="inlineStr">
        <is>
          <t>A32</t>
        </is>
      </c>
      <c r="B41" s="8" t="inlineStr">
        <is>
          <t>الموردون</t>
        </is>
      </c>
      <c r="C41" s="8" t="inlineStr">
        <is>
          <t>مبالغ موردين متأخرة السداد</t>
        </is>
      </c>
      <c r="D41" s="77">
        <f>ROUND(SB_Overdue,2)</f>
        <v/>
      </c>
      <c r="E41" s="8">
        <f>IF(ROUND(D41,2)=0,"✔ سليم",IF(G41="حرج","✖ خطأ يمنع الإقفال","⚠ مراجعة"))</f>
        <v/>
      </c>
      <c r="F41" s="8" t="inlineStr">
        <is>
          <t>آلي</t>
        </is>
      </c>
      <c r="G41" s="8" t="inlineStr">
        <is>
          <t>مراجعة</t>
        </is>
      </c>
      <c r="H41" s="78" t="inlineStr">
        <is>
          <t>راجع Supplier_Balances وجدول السداد</t>
        </is>
      </c>
    </row>
    <row r="42">
      <c r="A42" s="8" t="inlineStr">
        <is>
          <t>A33</t>
        </is>
      </c>
      <c r="B42" s="8" t="inlineStr">
        <is>
          <t>الموردون</t>
        </is>
      </c>
      <c r="C42" s="8" t="inlineStr">
        <is>
          <t>موردون برصيد مدين (دفع زيادة)</t>
        </is>
      </c>
      <c r="D42" s="77">
        <f>SB_Negative</f>
        <v/>
      </c>
      <c r="E42" s="8">
        <f>IF(ROUND(D42,2)=0,"✔ سليم",IF(G42="حرج","✖ خطأ يمنع الإقفال","⚠ مراجعة"))</f>
        <v/>
      </c>
      <c r="F42" s="8" t="inlineStr">
        <is>
          <t>آلي</t>
        </is>
      </c>
      <c r="G42" s="8" t="inlineStr">
        <is>
          <t>مراجعة</t>
        </is>
      </c>
      <c r="H42" s="78" t="inlineStr">
        <is>
          <t>تحقق من الدفعات أو المرتجعات</t>
        </is>
      </c>
    </row>
    <row r="43">
      <c r="A43" s="8" t="inlineStr">
        <is>
          <t>M01</t>
        </is>
      </c>
      <c r="B43" s="8" t="inlineStr">
        <is>
          <t>مراجعة بشرية</t>
        </is>
      </c>
      <c r="C43" s="8" t="inlineStr">
        <is>
          <t>مطابقة الخزائن: عدّ فعلي لكل الخزائن وتوقيع كشوف الإقفال اليومية للشهر كله (Cash_Close)</t>
        </is>
      </c>
      <c r="D43" s="52">
        <f>IF(COUNTIFS(Close_Confirm!$A:$A,S_PeriodID,Close_Confirm!$B:$B,A43,Close_Confirm!$C:$C,"نعم")&gt;0,0,IF(COUNTIFS(Close_Confirm!$A:$A,S_PeriodID,Close_Confirm!$B:$B,A43,Close_Confirm!$C:$C,"لا ينطبق",Close_Confirm!$F:$F,"?*")&gt;0,0,1))</f>
        <v/>
      </c>
      <c r="E43" s="8">
        <f>IF(D43=0,"✔ تم","✖ بانتظار التأكيد")</f>
        <v/>
      </c>
      <c r="F43" s="8" t="inlineStr">
        <is>
          <t>يدوي</t>
        </is>
      </c>
      <c r="G43" s="8" t="inlineStr">
        <is>
          <t>حرج</t>
        </is>
      </c>
      <c r="H43" s="8" t="inlineStr">
        <is>
          <t>سجل التأكيد في Close_Confirm (الفترة + رقم البند + اسمك + التاريخ)</t>
        </is>
      </c>
    </row>
    <row r="44">
      <c r="A44" s="8" t="inlineStr">
        <is>
          <t>M02</t>
        </is>
      </c>
      <c r="B44" s="8" t="inlineStr">
        <is>
          <t>مراجعة بشرية</t>
        </is>
      </c>
      <c r="C44" s="8" t="inlineStr">
        <is>
          <t>مطابقة البنوك: مطابقة أرصدة حسابات البنوك مع كشوف الحساب البنكية</t>
        </is>
      </c>
      <c r="D44" s="52">
        <f>IF(COUNTIFS(Close_Confirm!$A:$A,S_PeriodID,Close_Confirm!$B:$B,A44,Close_Confirm!$C:$C,"نعم")&gt;0,0,IF(COUNTIFS(Close_Confirm!$A:$A,S_PeriodID,Close_Confirm!$B:$B,A44,Close_Confirm!$C:$C,"لا ينطبق",Close_Confirm!$F:$F,"?*")&gt;0,0,1))</f>
        <v/>
      </c>
      <c r="E44" s="8">
        <f>IF(D44=0,"✔ تم","✖ بانتظار التأكيد")</f>
        <v/>
      </c>
      <c r="F44" s="8" t="inlineStr">
        <is>
          <t>يدوي</t>
        </is>
      </c>
      <c r="G44" s="8" t="inlineStr">
        <is>
          <t>حرج</t>
        </is>
      </c>
      <c r="H44" s="8" t="inlineStr">
        <is>
          <t>سجل التأكيد في Close_Confirm (الفترة + رقم البند + اسمك + التاريخ)</t>
        </is>
      </c>
    </row>
    <row r="45">
      <c r="A45" s="8" t="inlineStr">
        <is>
          <t>M03</t>
        </is>
      </c>
      <c r="B45" s="8" t="inlineStr">
        <is>
          <t>مراجعة بشرية</t>
        </is>
      </c>
      <c r="C45" s="8" t="inlineStr">
        <is>
          <t>مطابقة مستحقات منصات التوصيل: مطابقة الرصيد 1303/1304 مع كشوف المنصات وتسوية الفروق في 1309</t>
        </is>
      </c>
      <c r="D45" s="52">
        <f>IF(COUNTIFS(Close_Confirm!$A:$A,S_PeriodID,Close_Confirm!$B:$B,A45,Close_Confirm!$C:$C,"نعم")&gt;0,0,IF(COUNTIFS(Close_Confirm!$A:$A,S_PeriodID,Close_Confirm!$B:$B,A45,Close_Confirm!$C:$C,"لا ينطبق",Close_Confirm!$F:$F,"?*")&gt;0,0,1))</f>
        <v/>
      </c>
      <c r="E45" s="8">
        <f>IF(D45=0,"✔ تم","✖ بانتظار التأكيد")</f>
        <v/>
      </c>
      <c r="F45" s="8" t="inlineStr">
        <is>
          <t>يدوي</t>
        </is>
      </c>
      <c r="G45" s="8" t="inlineStr">
        <is>
          <t>حرج</t>
        </is>
      </c>
      <c r="H45" s="8" t="inlineStr">
        <is>
          <t>سجل التأكيد في Close_Confirm (الفترة + رقم البند + اسمك + التاريخ)</t>
        </is>
      </c>
    </row>
    <row r="46">
      <c r="A46" s="8" t="inlineStr">
        <is>
          <t>M04</t>
        </is>
      </c>
      <c r="B46" s="8" t="inlineStr">
        <is>
          <t>مراجعة بشرية</t>
        </is>
      </c>
      <c r="C46" s="8" t="inlineStr">
        <is>
          <t>مطابقة الموردين: مطابقة أرصدة الموردين الرئيسيين بكشوف حساباتهم</t>
        </is>
      </c>
      <c r="D46" s="52">
        <f>IF(COUNTIFS(Close_Confirm!$A:$A,S_PeriodID,Close_Confirm!$B:$B,A46,Close_Confirm!$C:$C,"نعم")&gt;0,0,IF(COUNTIFS(Close_Confirm!$A:$A,S_PeriodID,Close_Confirm!$B:$B,A46,Close_Confirm!$C:$C,"لا ينطبق",Close_Confirm!$F:$F,"?*")&gt;0,0,1))</f>
        <v/>
      </c>
      <c r="E46" s="8">
        <f>IF(D46=0,"✔ تم","✖ بانتظار التأكيد")</f>
        <v/>
      </c>
      <c r="F46" s="8" t="inlineStr">
        <is>
          <t>يدوي</t>
        </is>
      </c>
      <c r="G46" s="8" t="inlineStr">
        <is>
          <t>حرج</t>
        </is>
      </c>
      <c r="H46" s="8" t="inlineStr">
        <is>
          <t>سجل التأكيد في Close_Confirm (الفترة + رقم البند + اسمك + التاريخ)</t>
        </is>
      </c>
    </row>
    <row r="47">
      <c r="A47" s="8" t="inlineStr">
        <is>
          <t>M05</t>
        </is>
      </c>
      <c r="B47" s="8" t="inlineStr">
        <is>
          <t>مراجعة بشرية</t>
        </is>
      </c>
      <c r="C47" s="8" t="inlineStr">
        <is>
          <t>جرد المخزون واعتماد فروقه: جرد فعلي في المخزن والمطبخ والفروع واعتماد محضر الفروق (المرحلة 2: آلي)</t>
        </is>
      </c>
      <c r="D47" s="52">
        <f>IF(COUNTIFS(Close_Confirm!$A:$A,S_PeriodID,Close_Confirm!$B:$B,A47,Close_Confirm!$C:$C,"نعم")&gt;0,0,IF(COUNTIFS(Close_Confirm!$A:$A,S_PeriodID,Close_Confirm!$B:$B,A47,Close_Confirm!$C:$C,"لا ينطبق",Close_Confirm!$F:$F,"?*")&gt;0,0,1))</f>
        <v/>
      </c>
      <c r="E47" s="8">
        <f>IF(D47=0,"✔ تم","✖ بانتظار التأكيد")</f>
        <v/>
      </c>
      <c r="F47" s="8" t="inlineStr">
        <is>
          <t>يدوي</t>
        </is>
      </c>
      <c r="G47" s="8" t="inlineStr">
        <is>
          <t>حرج</t>
        </is>
      </c>
      <c r="H47" s="8" t="inlineStr">
        <is>
          <t>سجل التأكيد في Close_Confirm (الفترة + رقم البند + اسمك + التاريخ)</t>
        </is>
      </c>
    </row>
    <row r="48">
      <c r="A48" s="8" t="inlineStr">
        <is>
          <t>M06</t>
        </is>
      </c>
      <c r="B48" s="8" t="inlineStr">
        <is>
          <t>مراجعة بشرية</t>
        </is>
      </c>
      <c r="C48" s="8" t="inlineStr">
        <is>
          <t>مراجعة الهالك: مراجعة تقارير الهالك الطبيعي/غير الطبيعي واعتمادها</t>
        </is>
      </c>
      <c r="D48" s="52">
        <f>IF(COUNTIFS(Close_Confirm!$A:$A,S_PeriodID,Close_Confirm!$B:$B,A48,Close_Confirm!$C:$C,"نعم")&gt;0,0,IF(COUNTIFS(Close_Confirm!$A:$A,S_PeriodID,Close_Confirm!$B:$B,A48,Close_Confirm!$C:$C,"لا ينطبق",Close_Confirm!$F:$F,"?*")&gt;0,0,1))</f>
        <v/>
      </c>
      <c r="E48" s="8">
        <f>IF(D48=0,"✔ تم","✖ بانتظار التأكيد")</f>
        <v/>
      </c>
      <c r="F48" s="8" t="inlineStr">
        <is>
          <t>يدوي</t>
        </is>
      </c>
      <c r="G48" s="8" t="inlineStr">
        <is>
          <t>حرج</t>
        </is>
      </c>
      <c r="H48" s="8" t="inlineStr">
        <is>
          <t>سجل التأكيد في Close_Confirm (الفترة + رقم البند + اسمك + التاريخ)</t>
        </is>
      </c>
    </row>
    <row r="49">
      <c r="A49" s="8" t="inlineStr">
        <is>
          <t>M07</t>
        </is>
      </c>
      <c r="B49" s="8" t="inlineStr">
        <is>
          <t>مراجعة بشرية</t>
        </is>
      </c>
      <c r="C49" s="8" t="inlineStr">
        <is>
          <t>مراجعة التحويلات المفتوحة: تحويلات نقدية أو مخزنية لم يوقع المستلم عليها</t>
        </is>
      </c>
      <c r="D49" s="52">
        <f>IF(COUNTIFS(Close_Confirm!$A:$A,S_PeriodID,Close_Confirm!$B:$B,A49,Close_Confirm!$C:$C,"نعم")&gt;0,0,IF(COUNTIFS(Close_Confirm!$A:$A,S_PeriodID,Close_Confirm!$B:$B,A49,Close_Confirm!$C:$C,"لا ينطبق",Close_Confirm!$F:$F,"?*")&gt;0,0,1))</f>
        <v/>
      </c>
      <c r="E49" s="8">
        <f>IF(D49=0,"✔ تم","✖ بانتظار التأكيد")</f>
        <v/>
      </c>
      <c r="F49" s="8" t="inlineStr">
        <is>
          <t>يدوي</t>
        </is>
      </c>
      <c r="G49" s="8" t="inlineStr">
        <is>
          <t>حرج</t>
        </is>
      </c>
      <c r="H49" s="8" t="inlineStr">
        <is>
          <t>سجل التأكيد في Close_Confirm (الفترة + رقم البند + اسمك + التاريخ)</t>
        </is>
      </c>
    </row>
    <row r="50">
      <c r="A50" s="8" t="inlineStr">
        <is>
          <t>M08</t>
        </is>
      </c>
      <c r="B50" s="8" t="inlineStr">
        <is>
          <t>مراجعة بشرية</t>
        </is>
      </c>
      <c r="C50" s="8" t="inlineStr">
        <is>
          <t>مراجعة الرواتب والسلف والعهد: اعتماد كشف الرواتب وتسوية العهد (المرحلة 3: آلي)</t>
        </is>
      </c>
      <c r="D50" s="52">
        <f>IF(COUNTIFS(Close_Confirm!$A:$A,S_PeriodID,Close_Confirm!$B:$B,A50,Close_Confirm!$C:$C,"نعم")&gt;0,0,IF(COUNTIFS(Close_Confirm!$A:$A,S_PeriodID,Close_Confirm!$B:$B,A50,Close_Confirm!$C:$C,"لا ينطبق",Close_Confirm!$F:$F,"?*")&gt;0,0,1))</f>
        <v/>
      </c>
      <c r="E50" s="8">
        <f>IF(D50=0,"✔ تم","✖ بانتظار التأكيد")</f>
        <v/>
      </c>
      <c r="F50" s="8" t="inlineStr">
        <is>
          <t>يدوي</t>
        </is>
      </c>
      <c r="G50" s="8" t="inlineStr">
        <is>
          <t>حرج</t>
        </is>
      </c>
      <c r="H50" s="8" t="inlineStr">
        <is>
          <t>سجل التأكيد في Close_Confirm (الفترة + رقم البند + اسمك + التاريخ)</t>
        </is>
      </c>
    </row>
    <row r="51">
      <c r="A51" s="8" t="inlineStr">
        <is>
          <t>M09</t>
        </is>
      </c>
      <c r="B51" s="8" t="inlineStr">
        <is>
          <t>مراجعة بشرية</t>
        </is>
      </c>
      <c r="C51" s="8" t="inlineStr">
        <is>
          <t>إثبات المصروفات المستحقة: كهرباء/غاز/إنترنت/خدمات لم تصل فواتيرها بعد</t>
        </is>
      </c>
      <c r="D51" s="52">
        <f>IF(COUNTIFS(Close_Confirm!$A:$A,S_PeriodID,Close_Confirm!$B:$B,A51,Close_Confirm!$C:$C,"نعم")&gt;0,0,IF(COUNTIFS(Close_Confirm!$A:$A,S_PeriodID,Close_Confirm!$B:$B,A51,Close_Confirm!$C:$C,"لا ينطبق",Close_Confirm!$F:$F,"?*")&gt;0,0,1))</f>
        <v/>
      </c>
      <c r="E51" s="8">
        <f>IF(D51=0,"✔ تم","✖ بانتظار التأكيد")</f>
        <v/>
      </c>
      <c r="F51" s="8" t="inlineStr">
        <is>
          <t>يدوي</t>
        </is>
      </c>
      <c r="G51" s="8" t="inlineStr">
        <is>
          <t>حرج</t>
        </is>
      </c>
      <c r="H51" s="8" t="inlineStr">
        <is>
          <t>سجل التأكيد في Close_Confirm (الفترة + رقم البند + اسمك + التاريخ)</t>
        </is>
      </c>
    </row>
    <row r="52">
      <c r="A52" s="8" t="inlineStr">
        <is>
          <t>M10</t>
        </is>
      </c>
      <c r="B52" s="8" t="inlineStr">
        <is>
          <t>مراجعة بشرية</t>
        </is>
      </c>
      <c r="C52" s="8" t="inlineStr">
        <is>
          <t>مراجعة المصروفات المدفوعة مقدمًا: إطفاء حصة الشهر من الإيجار والتأمين المدفوع مقدمًا</t>
        </is>
      </c>
      <c r="D52" s="52">
        <f>IF(COUNTIFS(Close_Confirm!$A:$A,S_PeriodID,Close_Confirm!$B:$B,A52,Close_Confirm!$C:$C,"نعم")&gt;0,0,IF(COUNTIFS(Close_Confirm!$A:$A,S_PeriodID,Close_Confirm!$B:$B,A52,Close_Confirm!$C:$C,"لا ينطبق",Close_Confirm!$F:$F,"?*")&gt;0,0,1))</f>
        <v/>
      </c>
      <c r="E52" s="8">
        <f>IF(D52=0,"✔ تم","✖ بانتظار التأكيد")</f>
        <v/>
      </c>
      <c r="F52" s="8" t="inlineStr">
        <is>
          <t>يدوي</t>
        </is>
      </c>
      <c r="G52" s="8" t="inlineStr">
        <is>
          <t>حرج</t>
        </is>
      </c>
      <c r="H52" s="8" t="inlineStr">
        <is>
          <t>سجل التأكيد في Close_Confirm (الفترة + رقم البند + اسمك + التاريخ)</t>
        </is>
      </c>
    </row>
    <row r="53">
      <c r="A53" s="8" t="inlineStr">
        <is>
          <t>M11</t>
        </is>
      </c>
      <c r="B53" s="8" t="inlineStr">
        <is>
          <t>مراجعة بشرية</t>
        </is>
      </c>
      <c r="C53" s="8" t="inlineStr">
        <is>
          <t>احتساب الإهلاك: إثبات إهلاك الشهر للأصول الثابتة</t>
        </is>
      </c>
      <c r="D53" s="52">
        <f>IF(COUNTIFS(Close_Confirm!$A:$A,S_PeriodID,Close_Confirm!$B:$B,A53,Close_Confirm!$C:$C,"نعم")&gt;0,0,IF(COUNTIFS(Close_Confirm!$A:$A,S_PeriodID,Close_Confirm!$B:$B,A53,Close_Confirm!$C:$C,"لا ينطبق",Close_Confirm!$F:$F,"?*")&gt;0,0,1))</f>
        <v/>
      </c>
      <c r="E53" s="8">
        <f>IF(D53=0,"✔ تم","✖ بانتظار التأكيد")</f>
        <v/>
      </c>
      <c r="F53" s="8" t="inlineStr">
        <is>
          <t>يدوي</t>
        </is>
      </c>
      <c r="G53" s="8" t="inlineStr">
        <is>
          <t>حرج</t>
        </is>
      </c>
      <c r="H53" s="8" t="inlineStr">
        <is>
          <t>سجل التأكيد في Close_Confirm (الفترة + رقم البند + اسمك + التاريخ)</t>
        </is>
      </c>
    </row>
    <row r="54">
      <c r="A54" s="8" t="inlineStr">
        <is>
          <t>M12</t>
        </is>
      </c>
      <c r="B54" s="8" t="inlineStr">
        <is>
          <t>مراجعة بشرية</t>
        </is>
      </c>
      <c r="C54" s="8" t="inlineStr">
        <is>
          <t>عمولة المنصات المقدّرة غير المسواة: قيد استحقاق بالنسبة التقديرية عن مبيعات المنصات غير المسواة</t>
        </is>
      </c>
      <c r="D54" s="52">
        <f>IF(COUNTIFS(Close_Confirm!$A:$A,S_PeriodID,Close_Confirm!$B:$B,A54,Close_Confirm!$C:$C,"نعم")&gt;0,0,IF(COUNTIFS(Close_Confirm!$A:$A,S_PeriodID,Close_Confirm!$B:$B,A54,Close_Confirm!$C:$C,"لا ينطبق",Close_Confirm!$F:$F,"?*")&gt;0,0,1))</f>
        <v/>
      </c>
      <c r="E54" s="8">
        <f>IF(D54=0,"✔ تم","✖ بانتظار التأكيد")</f>
        <v/>
      </c>
      <c r="F54" s="8" t="inlineStr">
        <is>
          <t>يدوي</t>
        </is>
      </c>
      <c r="G54" s="8" t="inlineStr">
        <is>
          <t>حرج</t>
        </is>
      </c>
      <c r="H54" s="8" t="inlineStr">
        <is>
          <t>سجل التأكيد في Close_Confirm (الفترة + رقم البند + اسمك + التاريخ)</t>
        </is>
      </c>
    </row>
    <row r="55">
      <c r="A55" s="8" t="inlineStr">
        <is>
          <t>M13</t>
        </is>
      </c>
      <c r="B55" s="8" t="inlineStr">
        <is>
          <t>مراجعة بشرية</t>
        </is>
      </c>
      <c r="C55" s="8" t="inlineStr">
        <is>
          <t>مراجعة ميزان المراجعة والحسابات المعلقة: مراجعة بشرية للأرصدة غير المعتادة</t>
        </is>
      </c>
      <c r="D55" s="52">
        <f>IF(COUNTIFS(Close_Confirm!$A:$A,S_PeriodID,Close_Confirm!$B:$B,A55,Close_Confirm!$C:$C,"نعم")&gt;0,0,IF(COUNTIFS(Close_Confirm!$A:$A,S_PeriodID,Close_Confirm!$B:$B,A55,Close_Confirm!$C:$C,"لا ينطبق",Close_Confirm!$F:$F,"?*")&gt;0,0,1))</f>
        <v/>
      </c>
      <c r="E55" s="8">
        <f>IF(D55=0,"✔ تم","✖ بانتظار التأكيد")</f>
        <v/>
      </c>
      <c r="F55" s="8" t="inlineStr">
        <is>
          <t>يدوي</t>
        </is>
      </c>
      <c r="G55" s="8" t="inlineStr">
        <is>
          <t>حرج</t>
        </is>
      </c>
      <c r="H55" s="8" t="inlineStr">
        <is>
          <t>سجل التأكيد في Close_Confirm (الفترة + رقم البند + اسمك + التاريخ)</t>
        </is>
      </c>
    </row>
    <row r="56">
      <c r="A56" s="8" t="inlineStr">
        <is>
          <t>M14</t>
        </is>
      </c>
      <c r="B56" s="8" t="inlineStr">
        <is>
          <t>مراجعة بشرية</t>
        </is>
      </c>
      <c r="C56" s="8" t="inlineStr">
        <is>
          <t>اعتماد قائمة الدخل والميزانية: توقيع المدير المالي على نتائج الفترة</t>
        </is>
      </c>
      <c r="D56" s="52">
        <f>IF(COUNTIFS(Close_Confirm!$A:$A,S_PeriodID,Close_Confirm!$B:$B,A56,Close_Confirm!$C:$C,"نعم")&gt;0,0,IF(COUNTIFS(Close_Confirm!$A:$A,S_PeriodID,Close_Confirm!$B:$B,A56,Close_Confirm!$C:$C,"لا ينطبق",Close_Confirm!$F:$F,"?*")&gt;0,0,1))</f>
        <v/>
      </c>
      <c r="E56" s="8">
        <f>IF(D56=0,"✔ تم","✖ بانتظار التأكيد")</f>
        <v/>
      </c>
      <c r="F56" s="8" t="inlineStr">
        <is>
          <t>يدوي</t>
        </is>
      </c>
      <c r="G56" s="8" t="inlineStr">
        <is>
          <t>حرج</t>
        </is>
      </c>
      <c r="H56" s="8" t="inlineStr">
        <is>
          <t>سجل التأكيد في Close_Confirm (الفترة + رقم البند + اسمك + التاريخ)</t>
        </is>
      </c>
    </row>
  </sheetData>
  <sheetProtection selectLockedCells="0" selectUnlockedCells="0" sheet="1" objects="0" insertRows="1" insertHyperlinks="1" autoFilter="0" scenarios="0" formatColumns="0" deleteColumns="1" insertColumns="1" pivotTables="1" deleteRows="1" formatCells="0" formatRows="0" sort="1"/>
  <autoFilter ref="A9:H56"/>
  <conditionalFormatting sqref="E10:E56">
    <cfRule type="expression" priority="1" dxfId="3">
      <formula>LEFT(E10,1)="✖"</formula>
    </cfRule>
    <cfRule type="expression" priority="2" dxfId="0">
      <formula>LEFT(E10,1)="⚠"</formula>
    </cfRule>
    <cfRule type="expression" priority="3" dxfId="1">
      <formula>LEFT(E10,1)="✔"</formula>
    </cfRule>
  </conditionalFormatting>
  <conditionalFormatting sqref="B7">
    <cfRule type="expression" priority="4" dxfId="3">
      <formula>LEFT(B7,1)="✖"</formula>
    </cfRule>
    <cfRule type="expression" priority="5" dxfId="1">
      <formula>LEFT(B7,1)="✔"</formula>
    </cfRule>
  </conditionalFormatting>
  <pageMargins left="0.75" right="0.75" top="1" bottom="1" header="0.5" footer="0.5"/>
</worksheet>
</file>

<file path=xl/worksheets/sheet45.xml><?xml version="1.0" encoding="utf-8"?>
<worksheet xmlns="http://schemas.openxmlformats.org/spreadsheetml/2006/main">
  <sheetPr>
    <tabColor rgb="00C00000"/>
    <outlinePr summaryBelow="1" summaryRight="1"/>
    <pageSetUpPr fitToPage="1"/>
  </sheetPr>
  <dimension ref="A1:H30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9" customWidth="1" min="2" max="2"/>
    <col width="14" customWidth="1" min="3" max="3"/>
    <col width="24" customWidth="1" min="4" max="4"/>
    <col width="12" customWidth="1" min="5" max="5"/>
    <col width="40" customWidth="1" min="6" max="6"/>
    <col width="36" customWidth="1" min="7" max="7"/>
  </cols>
  <sheetData>
    <row r="1" ht="26" customHeight="1">
      <c r="A1" s="22" t="inlineStr">
        <is>
          <t>تأكيدات الإقفال اليدوية (Close Confirmations)</t>
        </is>
      </c>
      <c r="B1" s="1" t="n"/>
      <c r="C1" s="1" t="n"/>
      <c r="D1" s="1" t="n"/>
      <c r="E1" s="1" t="n"/>
      <c r="F1" s="1" t="n"/>
      <c r="G1" s="1" t="n"/>
      <c r="H1" s="1" t="n"/>
    </row>
    <row r="2">
      <c r="A2" s="35" t="inlineStr">
        <is>
          <t>لكل فترة وبند يدوي من Close_Checklist: سجّل التأكيد واسم المؤكِّد وتاريخه. (لا ينطبق) تتطلب كتابة السبب في الملاحظات.</t>
        </is>
      </c>
    </row>
    <row r="3">
      <c r="A3" s="36" t="inlineStr">
        <is>
          <t>خلايا الإدخال</t>
        </is>
      </c>
      <c r="B3" s="37" t="inlineStr">
        <is>
          <t>معادلات (لا تعدّل)</t>
        </is>
      </c>
    </row>
    <row r="4" ht="34" customHeight="1">
      <c r="A4" s="24" t="inlineStr">
        <is>
          <t>رقم الفترة (yyyymm)</t>
        </is>
      </c>
      <c r="B4" s="24" t="inlineStr">
        <is>
          <t>رقم البند</t>
        </is>
      </c>
      <c r="C4" s="24" t="inlineStr">
        <is>
          <t>التأكيد</t>
        </is>
      </c>
      <c r="D4" s="24" t="inlineStr">
        <is>
          <t>المؤكِّد</t>
        </is>
      </c>
      <c r="E4" s="24" t="inlineStr">
        <is>
          <t>تاريخ التأكيد</t>
        </is>
      </c>
      <c r="F4" s="24" t="inlineStr">
        <is>
          <t>ملاحظات / سبب عدم الانطباق</t>
        </is>
      </c>
      <c r="G4" s="38" t="inlineStr">
        <is>
          <t>فحص</t>
        </is>
      </c>
    </row>
    <row r="5">
      <c r="A5" s="39" t="n"/>
      <c r="B5" s="39" t="n"/>
      <c r="C5" s="29" t="n"/>
      <c r="D5" s="29" t="n"/>
      <c r="E5" s="31" t="n"/>
      <c r="F5" s="29" t="n"/>
      <c r="G5" s="32">
        <f>IF(COUNTA($A5:$F5)=0,"",IF(OR($A5="",$B5=""),"الفترة أو البند ناقص",IF(COUNTIFS($A:$A,$A5,$B:$B,$B5)&gt;1,"تأكيد مكرر لنفس الفترة والبند",IF($D5="","اسم المؤكِّد ناقص",IF(NOT(ISNUMBER($E5)),"تاريخ التأكيد ناقص",IF(AND($C5="لا ينطبق",$F5=""),"اكتب سبب عدم الانطباق",""))))))</f>
        <v/>
      </c>
    </row>
    <row r="6">
      <c r="A6" s="39" t="n"/>
      <c r="B6" s="39" t="n"/>
      <c r="C6" s="29" t="n"/>
      <c r="D6" s="29" t="n"/>
      <c r="E6" s="31" t="n"/>
      <c r="F6" s="29" t="n"/>
      <c r="G6" s="32">
        <f>IF(COUNTA($A6:$F6)=0,"",IF(OR($A6="",$B6=""),"الفترة أو البند ناقص",IF(COUNTIFS($A:$A,$A6,$B:$B,$B6)&gt;1,"تأكيد مكرر لنفس الفترة والبند",IF($D6="","اسم المؤكِّد ناقص",IF(NOT(ISNUMBER($E6)),"تاريخ التأكيد ناقص",IF(AND($C6="لا ينطبق",$F6=""),"اكتب سبب عدم الانطباق",""))))))</f>
        <v/>
      </c>
    </row>
    <row r="7">
      <c r="A7" s="39" t="n"/>
      <c r="B7" s="39" t="n"/>
      <c r="C7" s="29" t="n"/>
      <c r="D7" s="29" t="n"/>
      <c r="E7" s="31" t="n"/>
      <c r="F7" s="29" t="n"/>
      <c r="G7" s="32">
        <f>IF(COUNTA($A7:$F7)=0,"",IF(OR($A7="",$B7=""),"الفترة أو البند ناقص",IF(COUNTIFS($A:$A,$A7,$B:$B,$B7)&gt;1,"تأكيد مكرر لنفس الفترة والبند",IF($D7="","اسم المؤكِّد ناقص",IF(NOT(ISNUMBER($E7)),"تاريخ التأكيد ناقص",IF(AND($C7="لا ينطبق",$F7=""),"اكتب سبب عدم الانطباق",""))))))</f>
        <v/>
      </c>
    </row>
    <row r="8">
      <c r="A8" s="39" t="n"/>
      <c r="B8" s="39" t="n"/>
      <c r="C8" s="29" t="n"/>
      <c r="D8" s="29" t="n"/>
      <c r="E8" s="31" t="n"/>
      <c r="F8" s="29" t="n"/>
      <c r="G8" s="32">
        <f>IF(COUNTA($A8:$F8)=0,"",IF(OR($A8="",$B8=""),"الفترة أو البند ناقص",IF(COUNTIFS($A:$A,$A8,$B:$B,$B8)&gt;1,"تأكيد مكرر لنفس الفترة والبند",IF($D8="","اسم المؤكِّد ناقص",IF(NOT(ISNUMBER($E8)),"تاريخ التأكيد ناقص",IF(AND($C8="لا ينطبق",$F8=""),"اكتب سبب عدم الانطباق",""))))))</f>
        <v/>
      </c>
    </row>
    <row r="9">
      <c r="A9" s="39" t="n"/>
      <c r="B9" s="39" t="n"/>
      <c r="C9" s="29" t="n"/>
      <c r="D9" s="29" t="n"/>
      <c r="E9" s="31" t="n"/>
      <c r="F9" s="29" t="n"/>
      <c r="G9" s="32">
        <f>IF(COUNTA($A9:$F9)=0,"",IF(OR($A9="",$B9=""),"الفترة أو البند ناقص",IF(COUNTIFS($A:$A,$A9,$B:$B,$B9)&gt;1,"تأكيد مكرر لنفس الفترة والبند",IF($D9="","اسم المؤكِّد ناقص",IF(NOT(ISNUMBER($E9)),"تاريخ التأكيد ناقص",IF(AND($C9="لا ينطبق",$F9=""),"اكتب سبب عدم الانطباق",""))))))</f>
        <v/>
      </c>
    </row>
    <row r="10">
      <c r="A10" s="39" t="n"/>
      <c r="B10" s="39" t="n"/>
      <c r="C10" s="29" t="n"/>
      <c r="D10" s="29" t="n"/>
      <c r="E10" s="31" t="n"/>
      <c r="F10" s="29" t="n"/>
      <c r="G10" s="32">
        <f>IF(COUNTA($A10:$F10)=0,"",IF(OR($A10="",$B10=""),"الفترة أو البند ناقص",IF(COUNTIFS($A:$A,$A10,$B:$B,$B10)&gt;1,"تأكيد مكرر لنفس الفترة والبند",IF($D10="","اسم المؤكِّد ناقص",IF(NOT(ISNUMBER($E10)),"تاريخ التأكيد ناقص",IF(AND($C10="لا ينطبق",$F10=""),"اكتب سبب عدم الانطباق",""))))))</f>
        <v/>
      </c>
    </row>
    <row r="11">
      <c r="A11" s="39" t="n"/>
      <c r="B11" s="39" t="n"/>
      <c r="C11" s="29" t="n"/>
      <c r="D11" s="29" t="n"/>
      <c r="E11" s="31" t="n"/>
      <c r="F11" s="29" t="n"/>
      <c r="G11" s="32">
        <f>IF(COUNTA($A11:$F11)=0,"",IF(OR($A11="",$B11=""),"الفترة أو البند ناقص",IF(COUNTIFS($A:$A,$A11,$B:$B,$B11)&gt;1,"تأكيد مكرر لنفس الفترة والبند",IF($D11="","اسم المؤكِّد ناقص",IF(NOT(ISNUMBER($E11)),"تاريخ التأكيد ناقص",IF(AND($C11="لا ينطبق",$F11=""),"اكتب سبب عدم الانطباق",""))))))</f>
        <v/>
      </c>
    </row>
    <row r="12">
      <c r="A12" s="39" t="n"/>
      <c r="B12" s="39" t="n"/>
      <c r="C12" s="29" t="n"/>
      <c r="D12" s="29" t="n"/>
      <c r="E12" s="31" t="n"/>
      <c r="F12" s="29" t="n"/>
      <c r="G12" s="32">
        <f>IF(COUNTA($A12:$F12)=0,"",IF(OR($A12="",$B12=""),"الفترة أو البند ناقص",IF(COUNTIFS($A:$A,$A12,$B:$B,$B12)&gt;1,"تأكيد مكرر لنفس الفترة والبند",IF($D12="","اسم المؤكِّد ناقص",IF(NOT(ISNUMBER($E12)),"تاريخ التأكيد ناقص",IF(AND($C12="لا ينطبق",$F12=""),"اكتب سبب عدم الانطباق",""))))))</f>
        <v/>
      </c>
    </row>
    <row r="13">
      <c r="A13" s="39" t="n"/>
      <c r="B13" s="39" t="n"/>
      <c r="C13" s="29" t="n"/>
      <c r="D13" s="29" t="n"/>
      <c r="E13" s="31" t="n"/>
      <c r="F13" s="29" t="n"/>
      <c r="G13" s="32">
        <f>IF(COUNTA($A13:$F13)=0,"",IF(OR($A13="",$B13=""),"الفترة أو البند ناقص",IF(COUNTIFS($A:$A,$A13,$B:$B,$B13)&gt;1,"تأكيد مكرر لنفس الفترة والبند",IF($D13="","اسم المؤكِّد ناقص",IF(NOT(ISNUMBER($E13)),"تاريخ التأكيد ناقص",IF(AND($C13="لا ينطبق",$F13=""),"اكتب سبب عدم الانطباق",""))))))</f>
        <v/>
      </c>
    </row>
    <row r="14">
      <c r="A14" s="39" t="n"/>
      <c r="B14" s="39" t="n"/>
      <c r="C14" s="29" t="n"/>
      <c r="D14" s="29" t="n"/>
      <c r="E14" s="31" t="n"/>
      <c r="F14" s="29" t="n"/>
      <c r="G14" s="32">
        <f>IF(COUNTA($A14:$F14)=0,"",IF(OR($A14="",$B14=""),"الفترة أو البند ناقص",IF(COUNTIFS($A:$A,$A14,$B:$B,$B14)&gt;1,"تأكيد مكرر لنفس الفترة والبند",IF($D14="","اسم المؤكِّد ناقص",IF(NOT(ISNUMBER($E14)),"تاريخ التأكيد ناقص",IF(AND($C14="لا ينطبق",$F14=""),"اكتب سبب عدم الانطباق",""))))))</f>
        <v/>
      </c>
    </row>
    <row r="15">
      <c r="A15" s="39" t="n"/>
      <c r="B15" s="39" t="n"/>
      <c r="C15" s="29" t="n"/>
      <c r="D15" s="29" t="n"/>
      <c r="E15" s="31" t="n"/>
      <c r="F15" s="29" t="n"/>
      <c r="G15" s="32">
        <f>IF(COUNTA($A15:$F15)=0,"",IF(OR($A15="",$B15=""),"الفترة أو البند ناقص",IF(COUNTIFS($A:$A,$A15,$B:$B,$B15)&gt;1,"تأكيد مكرر لنفس الفترة والبند",IF($D15="","اسم المؤكِّد ناقص",IF(NOT(ISNUMBER($E15)),"تاريخ التأكيد ناقص",IF(AND($C15="لا ينطبق",$F15=""),"اكتب سبب عدم الانطباق",""))))))</f>
        <v/>
      </c>
    </row>
    <row r="16">
      <c r="A16" s="39" t="n"/>
      <c r="B16" s="39" t="n"/>
      <c r="C16" s="29" t="n"/>
      <c r="D16" s="29" t="n"/>
      <c r="E16" s="31" t="n"/>
      <c r="F16" s="29" t="n"/>
      <c r="G16" s="32">
        <f>IF(COUNTA($A16:$F16)=0,"",IF(OR($A16="",$B16=""),"الفترة أو البند ناقص",IF(COUNTIFS($A:$A,$A16,$B:$B,$B16)&gt;1,"تأكيد مكرر لنفس الفترة والبند",IF($D16="","اسم المؤكِّد ناقص",IF(NOT(ISNUMBER($E16)),"تاريخ التأكيد ناقص",IF(AND($C16="لا ينطبق",$F16=""),"اكتب سبب عدم الانطباق",""))))))</f>
        <v/>
      </c>
    </row>
    <row r="17">
      <c r="A17" s="39" t="n"/>
      <c r="B17" s="39" t="n"/>
      <c r="C17" s="29" t="n"/>
      <c r="D17" s="29" t="n"/>
      <c r="E17" s="31" t="n"/>
      <c r="F17" s="29" t="n"/>
      <c r="G17" s="32">
        <f>IF(COUNTA($A17:$F17)=0,"",IF(OR($A17="",$B17=""),"الفترة أو البند ناقص",IF(COUNTIFS($A:$A,$A17,$B:$B,$B17)&gt;1,"تأكيد مكرر لنفس الفترة والبند",IF($D17="","اسم المؤكِّد ناقص",IF(NOT(ISNUMBER($E17)),"تاريخ التأكيد ناقص",IF(AND($C17="لا ينطبق",$F17=""),"اكتب سبب عدم الانطباق",""))))))</f>
        <v/>
      </c>
    </row>
    <row r="18">
      <c r="A18" s="39" t="n"/>
      <c r="B18" s="39" t="n"/>
      <c r="C18" s="29" t="n"/>
      <c r="D18" s="29" t="n"/>
      <c r="E18" s="31" t="n"/>
      <c r="F18" s="29" t="n"/>
      <c r="G18" s="32">
        <f>IF(COUNTA($A18:$F18)=0,"",IF(OR($A18="",$B18=""),"الفترة أو البند ناقص",IF(COUNTIFS($A:$A,$A18,$B:$B,$B18)&gt;1,"تأكيد مكرر لنفس الفترة والبند",IF($D18="","اسم المؤكِّد ناقص",IF(NOT(ISNUMBER($E18)),"تاريخ التأكيد ناقص",IF(AND($C18="لا ينطبق",$F18=""),"اكتب سبب عدم الانطباق",""))))))</f>
        <v/>
      </c>
    </row>
    <row r="19">
      <c r="A19" s="39" t="n"/>
      <c r="B19" s="39" t="n"/>
      <c r="C19" s="29" t="n"/>
      <c r="D19" s="29" t="n"/>
      <c r="E19" s="31" t="n"/>
      <c r="F19" s="29" t="n"/>
      <c r="G19" s="32">
        <f>IF(COUNTA($A19:$F19)=0,"",IF(OR($A19="",$B19=""),"الفترة أو البند ناقص",IF(COUNTIFS($A:$A,$A19,$B:$B,$B19)&gt;1,"تأكيد مكرر لنفس الفترة والبند",IF($D19="","اسم المؤكِّد ناقص",IF(NOT(ISNUMBER($E19)),"تاريخ التأكيد ناقص",IF(AND($C19="لا ينطبق",$F19=""),"اكتب سبب عدم الانطباق",""))))))</f>
        <v/>
      </c>
    </row>
    <row r="20">
      <c r="A20" s="39" t="n"/>
      <c r="B20" s="39" t="n"/>
      <c r="C20" s="29" t="n"/>
      <c r="D20" s="29" t="n"/>
      <c r="E20" s="31" t="n"/>
      <c r="F20" s="29" t="n"/>
      <c r="G20" s="32">
        <f>IF(COUNTA($A20:$F20)=0,"",IF(OR($A20="",$B20=""),"الفترة أو البند ناقص",IF(COUNTIFS($A:$A,$A20,$B:$B,$B20)&gt;1,"تأكيد مكرر لنفس الفترة والبند",IF($D20="","اسم المؤكِّد ناقص",IF(NOT(ISNUMBER($E20)),"تاريخ التأكيد ناقص",IF(AND($C20="لا ينطبق",$F20=""),"اكتب سبب عدم الانطباق",""))))))</f>
        <v/>
      </c>
    </row>
    <row r="21">
      <c r="A21" s="39" t="n"/>
      <c r="B21" s="39" t="n"/>
      <c r="C21" s="29" t="n"/>
      <c r="D21" s="29" t="n"/>
      <c r="E21" s="31" t="n"/>
      <c r="F21" s="29" t="n"/>
      <c r="G21" s="32">
        <f>IF(COUNTA($A21:$F21)=0,"",IF(OR($A21="",$B21=""),"الفترة أو البند ناقص",IF(COUNTIFS($A:$A,$A21,$B:$B,$B21)&gt;1,"تأكيد مكرر لنفس الفترة والبند",IF($D21="","اسم المؤكِّد ناقص",IF(NOT(ISNUMBER($E21)),"تاريخ التأكيد ناقص",IF(AND($C21="لا ينطبق",$F21=""),"اكتب سبب عدم الانطباق",""))))))</f>
        <v/>
      </c>
    </row>
    <row r="22">
      <c r="A22" s="39" t="n"/>
      <c r="B22" s="39" t="n"/>
      <c r="C22" s="29" t="n"/>
      <c r="D22" s="29" t="n"/>
      <c r="E22" s="31" t="n"/>
      <c r="F22" s="29" t="n"/>
      <c r="G22" s="32">
        <f>IF(COUNTA($A22:$F22)=0,"",IF(OR($A22="",$B22=""),"الفترة أو البند ناقص",IF(COUNTIFS($A:$A,$A22,$B:$B,$B22)&gt;1,"تأكيد مكرر لنفس الفترة والبند",IF($D22="","اسم المؤكِّد ناقص",IF(NOT(ISNUMBER($E22)),"تاريخ التأكيد ناقص",IF(AND($C22="لا ينطبق",$F22=""),"اكتب سبب عدم الانطباق",""))))))</f>
        <v/>
      </c>
    </row>
    <row r="23">
      <c r="A23" s="39" t="n"/>
      <c r="B23" s="39" t="n"/>
      <c r="C23" s="29" t="n"/>
      <c r="D23" s="29" t="n"/>
      <c r="E23" s="31" t="n"/>
      <c r="F23" s="29" t="n"/>
      <c r="G23" s="32">
        <f>IF(COUNTA($A23:$F23)=0,"",IF(OR($A23="",$B23=""),"الفترة أو البند ناقص",IF(COUNTIFS($A:$A,$A23,$B:$B,$B23)&gt;1,"تأكيد مكرر لنفس الفترة والبند",IF($D23="","اسم المؤكِّد ناقص",IF(NOT(ISNUMBER($E23)),"تاريخ التأكيد ناقص",IF(AND($C23="لا ينطبق",$F23=""),"اكتب سبب عدم الانطباق",""))))))</f>
        <v/>
      </c>
    </row>
    <row r="24">
      <c r="A24" s="39" t="n"/>
      <c r="B24" s="39" t="n"/>
      <c r="C24" s="29" t="n"/>
      <c r="D24" s="29" t="n"/>
      <c r="E24" s="31" t="n"/>
      <c r="F24" s="29" t="n"/>
      <c r="G24" s="32">
        <f>IF(COUNTA($A24:$F24)=0,"",IF(OR($A24="",$B24=""),"الفترة أو البند ناقص",IF(COUNTIFS($A:$A,$A24,$B:$B,$B24)&gt;1,"تأكيد مكرر لنفس الفترة والبند",IF($D24="","اسم المؤكِّد ناقص",IF(NOT(ISNUMBER($E24)),"تاريخ التأكيد ناقص",IF(AND($C24="لا ينطبق",$F24=""),"اكتب سبب عدم الانطباق",""))))))</f>
        <v/>
      </c>
    </row>
    <row r="25">
      <c r="A25" s="39" t="n"/>
      <c r="B25" s="39" t="n"/>
      <c r="C25" s="29" t="n"/>
      <c r="D25" s="29" t="n"/>
      <c r="E25" s="31" t="n"/>
      <c r="F25" s="29" t="n"/>
      <c r="G25" s="32">
        <f>IF(COUNTA($A25:$F25)=0,"",IF(OR($A25="",$B25=""),"الفترة أو البند ناقص",IF(COUNTIFS($A:$A,$A25,$B:$B,$B25)&gt;1,"تأكيد مكرر لنفس الفترة والبند",IF($D25="","اسم المؤكِّد ناقص",IF(NOT(ISNUMBER($E25)),"تاريخ التأكيد ناقص",IF(AND($C25="لا ينطبق",$F25=""),"اكتب سبب عدم الانطباق",""))))))</f>
        <v/>
      </c>
    </row>
    <row r="26">
      <c r="A26" s="39" t="n"/>
      <c r="B26" s="39" t="n"/>
      <c r="C26" s="29" t="n"/>
      <c r="D26" s="29" t="n"/>
      <c r="E26" s="31" t="n"/>
      <c r="F26" s="29" t="n"/>
      <c r="G26" s="32">
        <f>IF(COUNTA($A26:$F26)=0,"",IF(OR($A26="",$B26=""),"الفترة أو البند ناقص",IF(COUNTIFS($A:$A,$A26,$B:$B,$B26)&gt;1,"تأكيد مكرر لنفس الفترة والبند",IF($D26="","اسم المؤكِّد ناقص",IF(NOT(ISNUMBER($E26)),"تاريخ التأكيد ناقص",IF(AND($C26="لا ينطبق",$F26=""),"اكتب سبب عدم الانطباق",""))))))</f>
        <v/>
      </c>
    </row>
    <row r="27">
      <c r="A27" s="39" t="n"/>
      <c r="B27" s="39" t="n"/>
      <c r="C27" s="29" t="n"/>
      <c r="D27" s="29" t="n"/>
      <c r="E27" s="31" t="n"/>
      <c r="F27" s="29" t="n"/>
      <c r="G27" s="32">
        <f>IF(COUNTA($A27:$F27)=0,"",IF(OR($A27="",$B27=""),"الفترة أو البند ناقص",IF(COUNTIFS($A:$A,$A27,$B:$B,$B27)&gt;1,"تأكيد مكرر لنفس الفترة والبند",IF($D27="","اسم المؤكِّد ناقص",IF(NOT(ISNUMBER($E27)),"تاريخ التأكيد ناقص",IF(AND($C27="لا ينطبق",$F27=""),"اكتب سبب عدم الانطباق",""))))))</f>
        <v/>
      </c>
    </row>
    <row r="28">
      <c r="A28" s="39" t="n"/>
      <c r="B28" s="39" t="n"/>
      <c r="C28" s="29" t="n"/>
      <c r="D28" s="29" t="n"/>
      <c r="E28" s="31" t="n"/>
      <c r="F28" s="29" t="n"/>
      <c r="G28" s="32">
        <f>IF(COUNTA($A28:$F28)=0,"",IF(OR($A28="",$B28=""),"الفترة أو البند ناقص",IF(COUNTIFS($A:$A,$A28,$B:$B,$B28)&gt;1,"تأكيد مكرر لنفس الفترة والبند",IF($D28="","اسم المؤكِّد ناقص",IF(NOT(ISNUMBER($E28)),"تاريخ التأكيد ناقص",IF(AND($C28="لا ينطبق",$F28=""),"اكتب سبب عدم الانطباق",""))))))</f>
        <v/>
      </c>
    </row>
    <row r="29">
      <c r="A29" s="39" t="n"/>
      <c r="B29" s="39" t="n"/>
      <c r="C29" s="29" t="n"/>
      <c r="D29" s="29" t="n"/>
      <c r="E29" s="31" t="n"/>
      <c r="F29" s="29" t="n"/>
      <c r="G29" s="32">
        <f>IF(COUNTA($A29:$F29)=0,"",IF(OR($A29="",$B29=""),"الفترة أو البند ناقص",IF(COUNTIFS($A:$A,$A29,$B:$B,$B29)&gt;1,"تأكيد مكرر لنفس الفترة والبند",IF($D29="","اسم المؤكِّد ناقص",IF(NOT(ISNUMBER($E29)),"تاريخ التأكيد ناقص",IF(AND($C29="لا ينطبق",$F29=""),"اكتب سبب عدم الانطباق",""))))))</f>
        <v/>
      </c>
    </row>
    <row r="30">
      <c r="A30" s="39" t="n"/>
      <c r="B30" s="39" t="n"/>
      <c r="C30" s="29" t="n"/>
      <c r="D30" s="29" t="n"/>
      <c r="E30" s="31" t="n"/>
      <c r="F30" s="29" t="n"/>
      <c r="G30" s="32">
        <f>IF(COUNTA($A30:$F30)=0,"",IF(OR($A30="",$B30=""),"الفترة أو البند ناقص",IF(COUNTIFS($A:$A,$A30,$B:$B,$B30)&gt;1,"تأكيد مكرر لنفس الفترة والبند",IF($D30="","اسم المؤكِّد ناقص",IF(NOT(ISNUMBER($E30)),"تاريخ التأكيد ناقص",IF(AND($C30="لا ينطبق",$F30=""),"اكتب سبب عدم الانطباق",""))))))</f>
        <v/>
      </c>
    </row>
    <row r="31">
      <c r="A31" s="39" t="n"/>
      <c r="B31" s="39" t="n"/>
      <c r="C31" s="29" t="n"/>
      <c r="D31" s="29" t="n"/>
      <c r="E31" s="31" t="n"/>
      <c r="F31" s="29" t="n"/>
      <c r="G31" s="32">
        <f>IF(COUNTA($A31:$F31)=0,"",IF(OR($A31="",$B31=""),"الفترة أو البند ناقص",IF(COUNTIFS($A:$A,$A31,$B:$B,$B31)&gt;1,"تأكيد مكرر لنفس الفترة والبند",IF($D31="","اسم المؤكِّد ناقص",IF(NOT(ISNUMBER($E31)),"تاريخ التأكيد ناقص",IF(AND($C31="لا ينطبق",$F31=""),"اكتب سبب عدم الانطباق",""))))))</f>
        <v/>
      </c>
    </row>
    <row r="32">
      <c r="A32" s="39" t="n"/>
      <c r="B32" s="39" t="n"/>
      <c r="C32" s="29" t="n"/>
      <c r="D32" s="29" t="n"/>
      <c r="E32" s="31" t="n"/>
      <c r="F32" s="29" t="n"/>
      <c r="G32" s="32">
        <f>IF(COUNTA($A32:$F32)=0,"",IF(OR($A32="",$B32=""),"الفترة أو البند ناقص",IF(COUNTIFS($A:$A,$A32,$B:$B,$B32)&gt;1,"تأكيد مكرر لنفس الفترة والبند",IF($D32="","اسم المؤكِّد ناقص",IF(NOT(ISNUMBER($E32)),"تاريخ التأكيد ناقص",IF(AND($C32="لا ينطبق",$F32=""),"اكتب سبب عدم الانطباق",""))))))</f>
        <v/>
      </c>
    </row>
    <row r="33">
      <c r="A33" s="39" t="n"/>
      <c r="B33" s="39" t="n"/>
      <c r="C33" s="29" t="n"/>
      <c r="D33" s="29" t="n"/>
      <c r="E33" s="31" t="n"/>
      <c r="F33" s="29" t="n"/>
      <c r="G33" s="32">
        <f>IF(COUNTA($A33:$F33)=0,"",IF(OR($A33="",$B33=""),"الفترة أو البند ناقص",IF(COUNTIFS($A:$A,$A33,$B:$B,$B33)&gt;1,"تأكيد مكرر لنفس الفترة والبند",IF($D33="","اسم المؤكِّد ناقص",IF(NOT(ISNUMBER($E33)),"تاريخ التأكيد ناقص",IF(AND($C33="لا ينطبق",$F33=""),"اكتب سبب عدم الانطباق",""))))))</f>
        <v/>
      </c>
    </row>
    <row r="34">
      <c r="A34" s="39" t="n"/>
      <c r="B34" s="39" t="n"/>
      <c r="C34" s="29" t="n"/>
      <c r="D34" s="29" t="n"/>
      <c r="E34" s="31" t="n"/>
      <c r="F34" s="29" t="n"/>
      <c r="G34" s="32">
        <f>IF(COUNTA($A34:$F34)=0,"",IF(OR($A34="",$B34=""),"الفترة أو البند ناقص",IF(COUNTIFS($A:$A,$A34,$B:$B,$B34)&gt;1,"تأكيد مكرر لنفس الفترة والبند",IF($D34="","اسم المؤكِّد ناقص",IF(NOT(ISNUMBER($E34)),"تاريخ التأكيد ناقص",IF(AND($C34="لا ينطبق",$F34=""),"اكتب سبب عدم الانطباق",""))))))</f>
        <v/>
      </c>
    </row>
    <row r="35">
      <c r="A35" s="39" t="n"/>
      <c r="B35" s="39" t="n"/>
      <c r="C35" s="29" t="n"/>
      <c r="D35" s="29" t="n"/>
      <c r="E35" s="31" t="n"/>
      <c r="F35" s="29" t="n"/>
      <c r="G35" s="32">
        <f>IF(COUNTA($A35:$F35)=0,"",IF(OR($A35="",$B35=""),"الفترة أو البند ناقص",IF(COUNTIFS($A:$A,$A35,$B:$B,$B35)&gt;1,"تأكيد مكرر لنفس الفترة والبند",IF($D35="","اسم المؤكِّد ناقص",IF(NOT(ISNUMBER($E35)),"تاريخ التأكيد ناقص",IF(AND($C35="لا ينطبق",$F35=""),"اكتب سبب عدم الانطباق",""))))))</f>
        <v/>
      </c>
    </row>
    <row r="36">
      <c r="A36" s="39" t="n"/>
      <c r="B36" s="39" t="n"/>
      <c r="C36" s="29" t="n"/>
      <c r="D36" s="29" t="n"/>
      <c r="E36" s="31" t="n"/>
      <c r="F36" s="29" t="n"/>
      <c r="G36" s="32">
        <f>IF(COUNTA($A36:$F36)=0,"",IF(OR($A36="",$B36=""),"الفترة أو البند ناقص",IF(COUNTIFS($A:$A,$A36,$B:$B,$B36)&gt;1,"تأكيد مكرر لنفس الفترة والبند",IF($D36="","اسم المؤكِّد ناقص",IF(NOT(ISNUMBER($E36)),"تاريخ التأكيد ناقص",IF(AND($C36="لا ينطبق",$F36=""),"اكتب سبب عدم الانطباق",""))))))</f>
        <v/>
      </c>
    </row>
    <row r="37">
      <c r="A37" s="39" t="n"/>
      <c r="B37" s="39" t="n"/>
      <c r="C37" s="29" t="n"/>
      <c r="D37" s="29" t="n"/>
      <c r="E37" s="31" t="n"/>
      <c r="F37" s="29" t="n"/>
      <c r="G37" s="32">
        <f>IF(COUNTA($A37:$F37)=0,"",IF(OR($A37="",$B37=""),"الفترة أو البند ناقص",IF(COUNTIFS($A:$A,$A37,$B:$B,$B37)&gt;1,"تأكيد مكرر لنفس الفترة والبند",IF($D37="","اسم المؤكِّد ناقص",IF(NOT(ISNUMBER($E37)),"تاريخ التأكيد ناقص",IF(AND($C37="لا ينطبق",$F37=""),"اكتب سبب عدم الانطباق",""))))))</f>
        <v/>
      </c>
    </row>
    <row r="38">
      <c r="A38" s="39" t="n"/>
      <c r="B38" s="39" t="n"/>
      <c r="C38" s="29" t="n"/>
      <c r="D38" s="29" t="n"/>
      <c r="E38" s="31" t="n"/>
      <c r="F38" s="29" t="n"/>
      <c r="G38" s="32">
        <f>IF(COUNTA($A38:$F38)=0,"",IF(OR($A38="",$B38=""),"الفترة أو البند ناقص",IF(COUNTIFS($A:$A,$A38,$B:$B,$B38)&gt;1,"تأكيد مكرر لنفس الفترة والبند",IF($D38="","اسم المؤكِّد ناقص",IF(NOT(ISNUMBER($E38)),"تاريخ التأكيد ناقص",IF(AND($C38="لا ينطبق",$F38=""),"اكتب سبب عدم الانطباق",""))))))</f>
        <v/>
      </c>
    </row>
    <row r="39">
      <c r="A39" s="39" t="n"/>
      <c r="B39" s="39" t="n"/>
      <c r="C39" s="29" t="n"/>
      <c r="D39" s="29" t="n"/>
      <c r="E39" s="31" t="n"/>
      <c r="F39" s="29" t="n"/>
      <c r="G39" s="32">
        <f>IF(COUNTA($A39:$F39)=0,"",IF(OR($A39="",$B39=""),"الفترة أو البند ناقص",IF(COUNTIFS($A:$A,$A39,$B:$B,$B39)&gt;1,"تأكيد مكرر لنفس الفترة والبند",IF($D39="","اسم المؤكِّد ناقص",IF(NOT(ISNUMBER($E39)),"تاريخ التأكيد ناقص",IF(AND($C39="لا ينطبق",$F39=""),"اكتب سبب عدم الانطباق",""))))))</f>
        <v/>
      </c>
    </row>
    <row r="40">
      <c r="A40" s="39" t="n"/>
      <c r="B40" s="39" t="n"/>
      <c r="C40" s="29" t="n"/>
      <c r="D40" s="29" t="n"/>
      <c r="E40" s="31" t="n"/>
      <c r="F40" s="29" t="n"/>
      <c r="G40" s="32">
        <f>IF(COUNTA($A40:$F40)=0,"",IF(OR($A40="",$B40=""),"الفترة أو البند ناقص",IF(COUNTIFS($A:$A,$A40,$B:$B,$B40)&gt;1,"تأكيد مكرر لنفس الفترة والبند",IF($D40="","اسم المؤكِّد ناقص",IF(NOT(ISNUMBER($E40)),"تاريخ التأكيد ناقص",IF(AND($C40="لا ينطبق",$F40=""),"اكتب سبب عدم الانطباق",""))))))</f>
        <v/>
      </c>
    </row>
    <row r="41">
      <c r="A41" s="39" t="n"/>
      <c r="B41" s="39" t="n"/>
      <c r="C41" s="29" t="n"/>
      <c r="D41" s="29" t="n"/>
      <c r="E41" s="31" t="n"/>
      <c r="F41" s="29" t="n"/>
      <c r="G41" s="32">
        <f>IF(COUNTA($A41:$F41)=0,"",IF(OR($A41="",$B41=""),"الفترة أو البند ناقص",IF(COUNTIFS($A:$A,$A41,$B:$B,$B41)&gt;1,"تأكيد مكرر لنفس الفترة والبند",IF($D41="","اسم المؤكِّد ناقص",IF(NOT(ISNUMBER($E41)),"تاريخ التأكيد ناقص",IF(AND($C41="لا ينطبق",$F41=""),"اكتب سبب عدم الانطباق",""))))))</f>
        <v/>
      </c>
    </row>
    <row r="42">
      <c r="A42" s="39" t="n"/>
      <c r="B42" s="39" t="n"/>
      <c r="C42" s="29" t="n"/>
      <c r="D42" s="29" t="n"/>
      <c r="E42" s="31" t="n"/>
      <c r="F42" s="29" t="n"/>
      <c r="G42" s="32">
        <f>IF(COUNTA($A42:$F42)=0,"",IF(OR($A42="",$B42=""),"الفترة أو البند ناقص",IF(COUNTIFS($A:$A,$A42,$B:$B,$B42)&gt;1,"تأكيد مكرر لنفس الفترة والبند",IF($D42="","اسم المؤكِّد ناقص",IF(NOT(ISNUMBER($E42)),"تاريخ التأكيد ناقص",IF(AND($C42="لا ينطبق",$F42=""),"اكتب سبب عدم الانطباق",""))))))</f>
        <v/>
      </c>
    </row>
    <row r="43">
      <c r="A43" s="39" t="n"/>
      <c r="B43" s="39" t="n"/>
      <c r="C43" s="29" t="n"/>
      <c r="D43" s="29" t="n"/>
      <c r="E43" s="31" t="n"/>
      <c r="F43" s="29" t="n"/>
      <c r="G43" s="32">
        <f>IF(COUNTA($A43:$F43)=0,"",IF(OR($A43="",$B43=""),"الفترة أو البند ناقص",IF(COUNTIFS($A:$A,$A43,$B:$B,$B43)&gt;1,"تأكيد مكرر لنفس الفترة والبند",IF($D43="","اسم المؤكِّد ناقص",IF(NOT(ISNUMBER($E43)),"تاريخ التأكيد ناقص",IF(AND($C43="لا ينطبق",$F43=""),"اكتب سبب عدم الانطباق",""))))))</f>
        <v/>
      </c>
    </row>
    <row r="44">
      <c r="A44" s="39" t="n"/>
      <c r="B44" s="39" t="n"/>
      <c r="C44" s="29" t="n"/>
      <c r="D44" s="29" t="n"/>
      <c r="E44" s="31" t="n"/>
      <c r="F44" s="29" t="n"/>
      <c r="G44" s="32">
        <f>IF(COUNTA($A44:$F44)=0,"",IF(OR($A44="",$B44=""),"الفترة أو البند ناقص",IF(COUNTIFS($A:$A,$A44,$B:$B,$B44)&gt;1,"تأكيد مكرر لنفس الفترة والبند",IF($D44="","اسم المؤكِّد ناقص",IF(NOT(ISNUMBER($E44)),"تاريخ التأكيد ناقص",IF(AND($C44="لا ينطبق",$F44=""),"اكتب سبب عدم الانطباق",""))))))</f>
        <v/>
      </c>
    </row>
    <row r="45">
      <c r="A45" s="39" t="n"/>
      <c r="B45" s="39" t="n"/>
      <c r="C45" s="29" t="n"/>
      <c r="D45" s="29" t="n"/>
      <c r="E45" s="31" t="n"/>
      <c r="F45" s="29" t="n"/>
      <c r="G45" s="32">
        <f>IF(COUNTA($A45:$F45)=0,"",IF(OR($A45="",$B45=""),"الفترة أو البند ناقص",IF(COUNTIFS($A:$A,$A45,$B:$B,$B45)&gt;1,"تأكيد مكرر لنفس الفترة والبند",IF($D45="","اسم المؤكِّد ناقص",IF(NOT(ISNUMBER($E45)),"تاريخ التأكيد ناقص",IF(AND($C45="لا ينطبق",$F45=""),"اكتب سبب عدم الانطباق",""))))))</f>
        <v/>
      </c>
    </row>
    <row r="46">
      <c r="A46" s="39" t="n"/>
      <c r="B46" s="39" t="n"/>
      <c r="C46" s="29" t="n"/>
      <c r="D46" s="29" t="n"/>
      <c r="E46" s="31" t="n"/>
      <c r="F46" s="29" t="n"/>
      <c r="G46" s="32">
        <f>IF(COUNTA($A46:$F46)=0,"",IF(OR($A46="",$B46=""),"الفترة أو البند ناقص",IF(COUNTIFS($A:$A,$A46,$B:$B,$B46)&gt;1,"تأكيد مكرر لنفس الفترة والبند",IF($D46="","اسم المؤكِّد ناقص",IF(NOT(ISNUMBER($E46)),"تاريخ التأكيد ناقص",IF(AND($C46="لا ينطبق",$F46=""),"اكتب سبب عدم الانطباق",""))))))</f>
        <v/>
      </c>
    </row>
    <row r="47">
      <c r="A47" s="39" t="n"/>
      <c r="B47" s="39" t="n"/>
      <c r="C47" s="29" t="n"/>
      <c r="D47" s="29" t="n"/>
      <c r="E47" s="31" t="n"/>
      <c r="F47" s="29" t="n"/>
      <c r="G47" s="32">
        <f>IF(COUNTA($A47:$F47)=0,"",IF(OR($A47="",$B47=""),"الفترة أو البند ناقص",IF(COUNTIFS($A:$A,$A47,$B:$B,$B47)&gt;1,"تأكيد مكرر لنفس الفترة والبند",IF($D47="","اسم المؤكِّد ناقص",IF(NOT(ISNUMBER($E47)),"تاريخ التأكيد ناقص",IF(AND($C47="لا ينطبق",$F47=""),"اكتب سبب عدم الانطباق",""))))))</f>
        <v/>
      </c>
    </row>
    <row r="48">
      <c r="A48" s="39" t="n"/>
      <c r="B48" s="39" t="n"/>
      <c r="C48" s="29" t="n"/>
      <c r="D48" s="29" t="n"/>
      <c r="E48" s="31" t="n"/>
      <c r="F48" s="29" t="n"/>
      <c r="G48" s="32">
        <f>IF(COUNTA($A48:$F48)=0,"",IF(OR($A48="",$B48=""),"الفترة أو البند ناقص",IF(COUNTIFS($A:$A,$A48,$B:$B,$B48)&gt;1,"تأكيد مكرر لنفس الفترة والبند",IF($D48="","اسم المؤكِّد ناقص",IF(NOT(ISNUMBER($E48)),"تاريخ التأكيد ناقص",IF(AND($C48="لا ينطبق",$F48=""),"اكتب سبب عدم الانطباق",""))))))</f>
        <v/>
      </c>
    </row>
    <row r="49">
      <c r="A49" s="39" t="n"/>
      <c r="B49" s="39" t="n"/>
      <c r="C49" s="29" t="n"/>
      <c r="D49" s="29" t="n"/>
      <c r="E49" s="31" t="n"/>
      <c r="F49" s="29" t="n"/>
      <c r="G49" s="32">
        <f>IF(COUNTA($A49:$F49)=0,"",IF(OR($A49="",$B49=""),"الفترة أو البند ناقص",IF(COUNTIFS($A:$A,$A49,$B:$B,$B49)&gt;1,"تأكيد مكرر لنفس الفترة والبند",IF($D49="","اسم المؤكِّد ناقص",IF(NOT(ISNUMBER($E49)),"تاريخ التأكيد ناقص",IF(AND($C49="لا ينطبق",$F49=""),"اكتب سبب عدم الانطباق",""))))))</f>
        <v/>
      </c>
    </row>
    <row r="50">
      <c r="A50" s="39" t="n"/>
      <c r="B50" s="39" t="n"/>
      <c r="C50" s="29" t="n"/>
      <c r="D50" s="29" t="n"/>
      <c r="E50" s="31" t="n"/>
      <c r="F50" s="29" t="n"/>
      <c r="G50" s="32">
        <f>IF(COUNTA($A50:$F50)=0,"",IF(OR($A50="",$B50=""),"الفترة أو البند ناقص",IF(COUNTIFS($A:$A,$A50,$B:$B,$B50)&gt;1,"تأكيد مكرر لنفس الفترة والبند",IF($D50="","اسم المؤكِّد ناقص",IF(NOT(ISNUMBER($E50)),"تاريخ التأكيد ناقص",IF(AND($C50="لا ينطبق",$F50=""),"اكتب سبب عدم الانطباق",""))))))</f>
        <v/>
      </c>
    </row>
    <row r="51">
      <c r="A51" s="39" t="n"/>
      <c r="B51" s="39" t="n"/>
      <c r="C51" s="29" t="n"/>
      <c r="D51" s="29" t="n"/>
      <c r="E51" s="31" t="n"/>
      <c r="F51" s="29" t="n"/>
      <c r="G51" s="32">
        <f>IF(COUNTA($A51:$F51)=0,"",IF(OR($A51="",$B51=""),"الفترة أو البند ناقص",IF(COUNTIFS($A:$A,$A51,$B:$B,$B51)&gt;1,"تأكيد مكرر لنفس الفترة والبند",IF($D51="","اسم المؤكِّد ناقص",IF(NOT(ISNUMBER($E51)),"تاريخ التأكيد ناقص",IF(AND($C51="لا ينطبق",$F51=""),"اكتب سبب عدم الانطباق",""))))))</f>
        <v/>
      </c>
    </row>
    <row r="52">
      <c r="A52" s="39" t="n"/>
      <c r="B52" s="39" t="n"/>
      <c r="C52" s="29" t="n"/>
      <c r="D52" s="29" t="n"/>
      <c r="E52" s="31" t="n"/>
      <c r="F52" s="29" t="n"/>
      <c r="G52" s="32">
        <f>IF(COUNTA($A52:$F52)=0,"",IF(OR($A52="",$B52=""),"الفترة أو البند ناقص",IF(COUNTIFS($A:$A,$A52,$B:$B,$B52)&gt;1,"تأكيد مكرر لنفس الفترة والبند",IF($D52="","اسم المؤكِّد ناقص",IF(NOT(ISNUMBER($E52)),"تاريخ التأكيد ناقص",IF(AND($C52="لا ينطبق",$F52=""),"اكتب سبب عدم الانطباق",""))))))</f>
        <v/>
      </c>
    </row>
    <row r="53">
      <c r="A53" s="39" t="n"/>
      <c r="B53" s="39" t="n"/>
      <c r="C53" s="29" t="n"/>
      <c r="D53" s="29" t="n"/>
      <c r="E53" s="31" t="n"/>
      <c r="F53" s="29" t="n"/>
      <c r="G53" s="32">
        <f>IF(COUNTA($A53:$F53)=0,"",IF(OR($A53="",$B53=""),"الفترة أو البند ناقص",IF(COUNTIFS($A:$A,$A53,$B:$B,$B53)&gt;1,"تأكيد مكرر لنفس الفترة والبند",IF($D53="","اسم المؤكِّد ناقص",IF(NOT(ISNUMBER($E53)),"تاريخ التأكيد ناقص",IF(AND($C53="لا ينطبق",$F53=""),"اكتب سبب عدم الانطباق",""))))))</f>
        <v/>
      </c>
    </row>
    <row r="54">
      <c r="A54" s="39" t="n"/>
      <c r="B54" s="39" t="n"/>
      <c r="C54" s="29" t="n"/>
      <c r="D54" s="29" t="n"/>
      <c r="E54" s="31" t="n"/>
      <c r="F54" s="29" t="n"/>
      <c r="G54" s="32">
        <f>IF(COUNTA($A54:$F54)=0,"",IF(OR($A54="",$B54=""),"الفترة أو البند ناقص",IF(COUNTIFS($A:$A,$A54,$B:$B,$B54)&gt;1,"تأكيد مكرر لنفس الفترة والبند",IF($D54="","اسم المؤكِّد ناقص",IF(NOT(ISNUMBER($E54)),"تاريخ التأكيد ناقص",IF(AND($C54="لا ينطبق",$F54=""),"اكتب سبب عدم الانطباق",""))))))</f>
        <v/>
      </c>
    </row>
    <row r="55">
      <c r="A55" s="39" t="n"/>
      <c r="B55" s="39" t="n"/>
      <c r="C55" s="29" t="n"/>
      <c r="D55" s="29" t="n"/>
      <c r="E55" s="31" t="n"/>
      <c r="F55" s="29" t="n"/>
      <c r="G55" s="32">
        <f>IF(COUNTA($A55:$F55)=0,"",IF(OR($A55="",$B55=""),"الفترة أو البند ناقص",IF(COUNTIFS($A:$A,$A55,$B:$B,$B55)&gt;1,"تأكيد مكرر لنفس الفترة والبند",IF($D55="","اسم المؤكِّد ناقص",IF(NOT(ISNUMBER($E55)),"تاريخ التأكيد ناقص",IF(AND($C55="لا ينطبق",$F55=""),"اكتب سبب عدم الانطباق",""))))))</f>
        <v/>
      </c>
    </row>
    <row r="56">
      <c r="A56" s="39" t="n"/>
      <c r="B56" s="39" t="n"/>
      <c r="C56" s="29" t="n"/>
      <c r="D56" s="29" t="n"/>
      <c r="E56" s="31" t="n"/>
      <c r="F56" s="29" t="n"/>
      <c r="G56" s="32">
        <f>IF(COUNTA($A56:$F56)=0,"",IF(OR($A56="",$B56=""),"الفترة أو البند ناقص",IF(COUNTIFS($A:$A,$A56,$B:$B,$B56)&gt;1,"تأكيد مكرر لنفس الفترة والبند",IF($D56="","اسم المؤكِّد ناقص",IF(NOT(ISNUMBER($E56)),"تاريخ التأكيد ناقص",IF(AND($C56="لا ينطبق",$F56=""),"اكتب سبب عدم الانطباق",""))))))</f>
        <v/>
      </c>
    </row>
    <row r="57">
      <c r="A57" s="39" t="n"/>
      <c r="B57" s="39" t="n"/>
      <c r="C57" s="29" t="n"/>
      <c r="D57" s="29" t="n"/>
      <c r="E57" s="31" t="n"/>
      <c r="F57" s="29" t="n"/>
      <c r="G57" s="32">
        <f>IF(COUNTA($A57:$F57)=0,"",IF(OR($A57="",$B57=""),"الفترة أو البند ناقص",IF(COUNTIFS($A:$A,$A57,$B:$B,$B57)&gt;1,"تأكيد مكرر لنفس الفترة والبند",IF($D57="","اسم المؤكِّد ناقص",IF(NOT(ISNUMBER($E57)),"تاريخ التأكيد ناقص",IF(AND($C57="لا ينطبق",$F57=""),"اكتب سبب عدم الانطباق",""))))))</f>
        <v/>
      </c>
    </row>
    <row r="58">
      <c r="A58" s="39" t="n"/>
      <c r="B58" s="39" t="n"/>
      <c r="C58" s="29" t="n"/>
      <c r="D58" s="29" t="n"/>
      <c r="E58" s="31" t="n"/>
      <c r="F58" s="29" t="n"/>
      <c r="G58" s="32">
        <f>IF(COUNTA($A58:$F58)=0,"",IF(OR($A58="",$B58=""),"الفترة أو البند ناقص",IF(COUNTIFS($A:$A,$A58,$B:$B,$B58)&gt;1,"تأكيد مكرر لنفس الفترة والبند",IF($D58="","اسم المؤكِّد ناقص",IF(NOT(ISNUMBER($E58)),"تاريخ التأكيد ناقص",IF(AND($C58="لا ينطبق",$F58=""),"اكتب سبب عدم الانطباق",""))))))</f>
        <v/>
      </c>
    </row>
    <row r="59">
      <c r="A59" s="39" t="n"/>
      <c r="B59" s="39" t="n"/>
      <c r="C59" s="29" t="n"/>
      <c r="D59" s="29" t="n"/>
      <c r="E59" s="31" t="n"/>
      <c r="F59" s="29" t="n"/>
      <c r="G59" s="32">
        <f>IF(COUNTA($A59:$F59)=0,"",IF(OR($A59="",$B59=""),"الفترة أو البند ناقص",IF(COUNTIFS($A:$A,$A59,$B:$B,$B59)&gt;1,"تأكيد مكرر لنفس الفترة والبند",IF($D59="","اسم المؤكِّد ناقص",IF(NOT(ISNUMBER($E59)),"تاريخ التأكيد ناقص",IF(AND($C59="لا ينطبق",$F59=""),"اكتب سبب عدم الانطباق",""))))))</f>
        <v/>
      </c>
    </row>
    <row r="60">
      <c r="A60" s="39" t="n"/>
      <c r="B60" s="39" t="n"/>
      <c r="C60" s="29" t="n"/>
      <c r="D60" s="29" t="n"/>
      <c r="E60" s="31" t="n"/>
      <c r="F60" s="29" t="n"/>
      <c r="G60" s="32">
        <f>IF(COUNTA($A60:$F60)=0,"",IF(OR($A60="",$B60=""),"الفترة أو البند ناقص",IF(COUNTIFS($A:$A,$A60,$B:$B,$B60)&gt;1,"تأكيد مكرر لنفس الفترة والبند",IF($D60="","اسم المؤكِّد ناقص",IF(NOT(ISNUMBER($E60)),"تاريخ التأكيد ناقص",IF(AND($C60="لا ينطبق",$F60=""),"اكتب سبب عدم الانطباق",""))))))</f>
        <v/>
      </c>
    </row>
    <row r="61">
      <c r="A61" s="39" t="n"/>
      <c r="B61" s="39" t="n"/>
      <c r="C61" s="29" t="n"/>
      <c r="D61" s="29" t="n"/>
      <c r="E61" s="31" t="n"/>
      <c r="F61" s="29" t="n"/>
      <c r="G61" s="32">
        <f>IF(COUNTA($A61:$F61)=0,"",IF(OR($A61="",$B61=""),"الفترة أو البند ناقص",IF(COUNTIFS($A:$A,$A61,$B:$B,$B61)&gt;1,"تأكيد مكرر لنفس الفترة والبند",IF($D61="","اسم المؤكِّد ناقص",IF(NOT(ISNUMBER($E61)),"تاريخ التأكيد ناقص",IF(AND($C61="لا ينطبق",$F61=""),"اكتب سبب عدم الانطباق",""))))))</f>
        <v/>
      </c>
    </row>
    <row r="62">
      <c r="A62" s="39" t="n"/>
      <c r="B62" s="39" t="n"/>
      <c r="C62" s="29" t="n"/>
      <c r="D62" s="29" t="n"/>
      <c r="E62" s="31" t="n"/>
      <c r="F62" s="29" t="n"/>
      <c r="G62" s="32">
        <f>IF(COUNTA($A62:$F62)=0,"",IF(OR($A62="",$B62=""),"الفترة أو البند ناقص",IF(COUNTIFS($A:$A,$A62,$B:$B,$B62)&gt;1,"تأكيد مكرر لنفس الفترة والبند",IF($D62="","اسم المؤكِّد ناقص",IF(NOT(ISNUMBER($E62)),"تاريخ التأكيد ناقص",IF(AND($C62="لا ينطبق",$F62=""),"اكتب سبب عدم الانطباق",""))))))</f>
        <v/>
      </c>
    </row>
    <row r="63">
      <c r="A63" s="39" t="n"/>
      <c r="B63" s="39" t="n"/>
      <c r="C63" s="29" t="n"/>
      <c r="D63" s="29" t="n"/>
      <c r="E63" s="31" t="n"/>
      <c r="F63" s="29" t="n"/>
      <c r="G63" s="32">
        <f>IF(COUNTA($A63:$F63)=0,"",IF(OR($A63="",$B63=""),"الفترة أو البند ناقص",IF(COUNTIFS($A:$A,$A63,$B:$B,$B63)&gt;1,"تأكيد مكرر لنفس الفترة والبند",IF($D63="","اسم المؤكِّد ناقص",IF(NOT(ISNUMBER($E63)),"تاريخ التأكيد ناقص",IF(AND($C63="لا ينطبق",$F63=""),"اكتب سبب عدم الانطباق",""))))))</f>
        <v/>
      </c>
    </row>
    <row r="64">
      <c r="A64" s="39" t="n"/>
      <c r="B64" s="39" t="n"/>
      <c r="C64" s="29" t="n"/>
      <c r="D64" s="29" t="n"/>
      <c r="E64" s="31" t="n"/>
      <c r="F64" s="29" t="n"/>
      <c r="G64" s="32">
        <f>IF(COUNTA($A64:$F64)=0,"",IF(OR($A64="",$B64=""),"الفترة أو البند ناقص",IF(COUNTIFS($A:$A,$A64,$B:$B,$B64)&gt;1,"تأكيد مكرر لنفس الفترة والبند",IF($D64="","اسم المؤكِّد ناقص",IF(NOT(ISNUMBER($E64)),"تاريخ التأكيد ناقص",IF(AND($C64="لا ينطبق",$F64=""),"اكتب سبب عدم الانطباق",""))))))</f>
        <v/>
      </c>
    </row>
    <row r="65">
      <c r="A65" s="39" t="n"/>
      <c r="B65" s="39" t="n"/>
      <c r="C65" s="29" t="n"/>
      <c r="D65" s="29" t="n"/>
      <c r="E65" s="31" t="n"/>
      <c r="F65" s="29" t="n"/>
      <c r="G65" s="32">
        <f>IF(COUNTA($A65:$F65)=0,"",IF(OR($A65="",$B65=""),"الفترة أو البند ناقص",IF(COUNTIFS($A:$A,$A65,$B:$B,$B65)&gt;1,"تأكيد مكرر لنفس الفترة والبند",IF($D65="","اسم المؤكِّد ناقص",IF(NOT(ISNUMBER($E65)),"تاريخ التأكيد ناقص",IF(AND($C65="لا ينطبق",$F65=""),"اكتب سبب عدم الانطباق",""))))))</f>
        <v/>
      </c>
    </row>
    <row r="66">
      <c r="A66" s="39" t="n"/>
      <c r="B66" s="39" t="n"/>
      <c r="C66" s="29" t="n"/>
      <c r="D66" s="29" t="n"/>
      <c r="E66" s="31" t="n"/>
      <c r="F66" s="29" t="n"/>
      <c r="G66" s="32">
        <f>IF(COUNTA($A66:$F66)=0,"",IF(OR($A66="",$B66=""),"الفترة أو البند ناقص",IF(COUNTIFS($A:$A,$A66,$B:$B,$B66)&gt;1,"تأكيد مكرر لنفس الفترة والبند",IF($D66="","اسم المؤكِّد ناقص",IF(NOT(ISNUMBER($E66)),"تاريخ التأكيد ناقص",IF(AND($C66="لا ينطبق",$F66=""),"اكتب سبب عدم الانطباق",""))))))</f>
        <v/>
      </c>
    </row>
    <row r="67">
      <c r="A67" s="39" t="n"/>
      <c r="B67" s="39" t="n"/>
      <c r="C67" s="29" t="n"/>
      <c r="D67" s="29" t="n"/>
      <c r="E67" s="31" t="n"/>
      <c r="F67" s="29" t="n"/>
      <c r="G67" s="32">
        <f>IF(COUNTA($A67:$F67)=0,"",IF(OR($A67="",$B67=""),"الفترة أو البند ناقص",IF(COUNTIFS($A:$A,$A67,$B:$B,$B67)&gt;1,"تأكيد مكرر لنفس الفترة والبند",IF($D67="","اسم المؤكِّد ناقص",IF(NOT(ISNUMBER($E67)),"تاريخ التأكيد ناقص",IF(AND($C67="لا ينطبق",$F67=""),"اكتب سبب عدم الانطباق",""))))))</f>
        <v/>
      </c>
    </row>
    <row r="68">
      <c r="A68" s="39" t="n"/>
      <c r="B68" s="39" t="n"/>
      <c r="C68" s="29" t="n"/>
      <c r="D68" s="29" t="n"/>
      <c r="E68" s="31" t="n"/>
      <c r="F68" s="29" t="n"/>
      <c r="G68" s="32">
        <f>IF(COUNTA($A68:$F68)=0,"",IF(OR($A68="",$B68=""),"الفترة أو البند ناقص",IF(COUNTIFS($A:$A,$A68,$B:$B,$B68)&gt;1,"تأكيد مكرر لنفس الفترة والبند",IF($D68="","اسم المؤكِّد ناقص",IF(NOT(ISNUMBER($E68)),"تاريخ التأكيد ناقص",IF(AND($C68="لا ينطبق",$F68=""),"اكتب سبب عدم الانطباق",""))))))</f>
        <v/>
      </c>
    </row>
    <row r="69">
      <c r="A69" s="39" t="n"/>
      <c r="B69" s="39" t="n"/>
      <c r="C69" s="29" t="n"/>
      <c r="D69" s="29" t="n"/>
      <c r="E69" s="31" t="n"/>
      <c r="F69" s="29" t="n"/>
      <c r="G69" s="32">
        <f>IF(COUNTA($A69:$F69)=0,"",IF(OR($A69="",$B69=""),"الفترة أو البند ناقص",IF(COUNTIFS($A:$A,$A69,$B:$B,$B69)&gt;1,"تأكيد مكرر لنفس الفترة والبند",IF($D69="","اسم المؤكِّد ناقص",IF(NOT(ISNUMBER($E69)),"تاريخ التأكيد ناقص",IF(AND($C69="لا ينطبق",$F69=""),"اكتب سبب عدم الانطباق",""))))))</f>
        <v/>
      </c>
    </row>
    <row r="70">
      <c r="A70" s="39" t="n"/>
      <c r="B70" s="39" t="n"/>
      <c r="C70" s="29" t="n"/>
      <c r="D70" s="29" t="n"/>
      <c r="E70" s="31" t="n"/>
      <c r="F70" s="29" t="n"/>
      <c r="G70" s="32">
        <f>IF(COUNTA($A70:$F70)=0,"",IF(OR($A70="",$B70=""),"الفترة أو البند ناقص",IF(COUNTIFS($A:$A,$A70,$B:$B,$B70)&gt;1,"تأكيد مكرر لنفس الفترة والبند",IF($D70="","اسم المؤكِّد ناقص",IF(NOT(ISNUMBER($E70)),"تاريخ التأكيد ناقص",IF(AND($C70="لا ينطبق",$F70=""),"اكتب سبب عدم الانطباق",""))))))</f>
        <v/>
      </c>
    </row>
    <row r="71">
      <c r="A71" s="39" t="n"/>
      <c r="B71" s="39" t="n"/>
      <c r="C71" s="29" t="n"/>
      <c r="D71" s="29" t="n"/>
      <c r="E71" s="31" t="n"/>
      <c r="F71" s="29" t="n"/>
      <c r="G71" s="32">
        <f>IF(COUNTA($A71:$F71)=0,"",IF(OR($A71="",$B71=""),"الفترة أو البند ناقص",IF(COUNTIFS($A:$A,$A71,$B:$B,$B71)&gt;1,"تأكيد مكرر لنفس الفترة والبند",IF($D71="","اسم المؤكِّد ناقص",IF(NOT(ISNUMBER($E71)),"تاريخ التأكيد ناقص",IF(AND($C71="لا ينطبق",$F71=""),"اكتب سبب عدم الانطباق",""))))))</f>
        <v/>
      </c>
    </row>
    <row r="72">
      <c r="A72" s="39" t="n"/>
      <c r="B72" s="39" t="n"/>
      <c r="C72" s="29" t="n"/>
      <c r="D72" s="29" t="n"/>
      <c r="E72" s="31" t="n"/>
      <c r="F72" s="29" t="n"/>
      <c r="G72" s="32">
        <f>IF(COUNTA($A72:$F72)=0,"",IF(OR($A72="",$B72=""),"الفترة أو البند ناقص",IF(COUNTIFS($A:$A,$A72,$B:$B,$B72)&gt;1,"تأكيد مكرر لنفس الفترة والبند",IF($D72="","اسم المؤكِّد ناقص",IF(NOT(ISNUMBER($E72)),"تاريخ التأكيد ناقص",IF(AND($C72="لا ينطبق",$F72=""),"اكتب سبب عدم الانطباق",""))))))</f>
        <v/>
      </c>
    </row>
    <row r="73">
      <c r="A73" s="39" t="n"/>
      <c r="B73" s="39" t="n"/>
      <c r="C73" s="29" t="n"/>
      <c r="D73" s="29" t="n"/>
      <c r="E73" s="31" t="n"/>
      <c r="F73" s="29" t="n"/>
      <c r="G73" s="32">
        <f>IF(COUNTA($A73:$F73)=0,"",IF(OR($A73="",$B73=""),"الفترة أو البند ناقص",IF(COUNTIFS($A:$A,$A73,$B:$B,$B73)&gt;1,"تأكيد مكرر لنفس الفترة والبند",IF($D73="","اسم المؤكِّد ناقص",IF(NOT(ISNUMBER($E73)),"تاريخ التأكيد ناقص",IF(AND($C73="لا ينطبق",$F73=""),"اكتب سبب عدم الانطباق",""))))))</f>
        <v/>
      </c>
    </row>
    <row r="74">
      <c r="A74" s="39" t="n"/>
      <c r="B74" s="39" t="n"/>
      <c r="C74" s="29" t="n"/>
      <c r="D74" s="29" t="n"/>
      <c r="E74" s="31" t="n"/>
      <c r="F74" s="29" t="n"/>
      <c r="G74" s="32">
        <f>IF(COUNTA($A74:$F74)=0,"",IF(OR($A74="",$B74=""),"الفترة أو البند ناقص",IF(COUNTIFS($A:$A,$A74,$B:$B,$B74)&gt;1,"تأكيد مكرر لنفس الفترة والبند",IF($D74="","اسم المؤكِّد ناقص",IF(NOT(ISNUMBER($E74)),"تاريخ التأكيد ناقص",IF(AND($C74="لا ينطبق",$F74=""),"اكتب سبب عدم الانطباق",""))))))</f>
        <v/>
      </c>
    </row>
    <row r="75">
      <c r="A75" s="39" t="n"/>
      <c r="B75" s="39" t="n"/>
      <c r="C75" s="29" t="n"/>
      <c r="D75" s="29" t="n"/>
      <c r="E75" s="31" t="n"/>
      <c r="F75" s="29" t="n"/>
      <c r="G75" s="32">
        <f>IF(COUNTA($A75:$F75)=0,"",IF(OR($A75="",$B75=""),"الفترة أو البند ناقص",IF(COUNTIFS($A:$A,$A75,$B:$B,$B75)&gt;1,"تأكيد مكرر لنفس الفترة والبند",IF($D75="","اسم المؤكِّد ناقص",IF(NOT(ISNUMBER($E75)),"تاريخ التأكيد ناقص",IF(AND($C75="لا ينطبق",$F75=""),"اكتب سبب عدم الانطباق",""))))))</f>
        <v/>
      </c>
    </row>
    <row r="76">
      <c r="A76" s="39" t="n"/>
      <c r="B76" s="39" t="n"/>
      <c r="C76" s="29" t="n"/>
      <c r="D76" s="29" t="n"/>
      <c r="E76" s="31" t="n"/>
      <c r="F76" s="29" t="n"/>
      <c r="G76" s="32">
        <f>IF(COUNTA($A76:$F76)=0,"",IF(OR($A76="",$B76=""),"الفترة أو البند ناقص",IF(COUNTIFS($A:$A,$A76,$B:$B,$B76)&gt;1,"تأكيد مكرر لنفس الفترة والبند",IF($D76="","اسم المؤكِّد ناقص",IF(NOT(ISNUMBER($E76)),"تاريخ التأكيد ناقص",IF(AND($C76="لا ينطبق",$F76=""),"اكتب سبب عدم الانطباق",""))))))</f>
        <v/>
      </c>
    </row>
    <row r="77">
      <c r="A77" s="39" t="n"/>
      <c r="B77" s="39" t="n"/>
      <c r="C77" s="29" t="n"/>
      <c r="D77" s="29" t="n"/>
      <c r="E77" s="31" t="n"/>
      <c r="F77" s="29" t="n"/>
      <c r="G77" s="32">
        <f>IF(COUNTA($A77:$F77)=0,"",IF(OR($A77="",$B77=""),"الفترة أو البند ناقص",IF(COUNTIFS($A:$A,$A77,$B:$B,$B77)&gt;1,"تأكيد مكرر لنفس الفترة والبند",IF($D77="","اسم المؤكِّد ناقص",IF(NOT(ISNUMBER($E77)),"تاريخ التأكيد ناقص",IF(AND($C77="لا ينطبق",$F77=""),"اكتب سبب عدم الانطباق",""))))))</f>
        <v/>
      </c>
    </row>
    <row r="78">
      <c r="A78" s="39" t="n"/>
      <c r="B78" s="39" t="n"/>
      <c r="C78" s="29" t="n"/>
      <c r="D78" s="29" t="n"/>
      <c r="E78" s="31" t="n"/>
      <c r="F78" s="29" t="n"/>
      <c r="G78" s="32">
        <f>IF(COUNTA($A78:$F78)=0,"",IF(OR($A78="",$B78=""),"الفترة أو البند ناقص",IF(COUNTIFS($A:$A,$A78,$B:$B,$B78)&gt;1,"تأكيد مكرر لنفس الفترة والبند",IF($D78="","اسم المؤكِّد ناقص",IF(NOT(ISNUMBER($E78)),"تاريخ التأكيد ناقص",IF(AND($C78="لا ينطبق",$F78=""),"اكتب سبب عدم الانطباق",""))))))</f>
        <v/>
      </c>
    </row>
    <row r="79">
      <c r="A79" s="39" t="n"/>
      <c r="B79" s="39" t="n"/>
      <c r="C79" s="29" t="n"/>
      <c r="D79" s="29" t="n"/>
      <c r="E79" s="31" t="n"/>
      <c r="F79" s="29" t="n"/>
      <c r="G79" s="32">
        <f>IF(COUNTA($A79:$F79)=0,"",IF(OR($A79="",$B79=""),"الفترة أو البند ناقص",IF(COUNTIFS($A:$A,$A79,$B:$B,$B79)&gt;1,"تأكيد مكرر لنفس الفترة والبند",IF($D79="","اسم المؤكِّد ناقص",IF(NOT(ISNUMBER($E79)),"تاريخ التأكيد ناقص",IF(AND($C79="لا ينطبق",$F79=""),"اكتب سبب عدم الانطباق",""))))))</f>
        <v/>
      </c>
    </row>
    <row r="80">
      <c r="A80" s="39" t="n"/>
      <c r="B80" s="39" t="n"/>
      <c r="C80" s="29" t="n"/>
      <c r="D80" s="29" t="n"/>
      <c r="E80" s="31" t="n"/>
      <c r="F80" s="29" t="n"/>
      <c r="G80" s="32">
        <f>IF(COUNTA($A80:$F80)=0,"",IF(OR($A80="",$B80=""),"الفترة أو البند ناقص",IF(COUNTIFS($A:$A,$A80,$B:$B,$B80)&gt;1,"تأكيد مكرر لنفس الفترة والبند",IF($D80="","اسم المؤكِّد ناقص",IF(NOT(ISNUMBER($E80)),"تاريخ التأكيد ناقص",IF(AND($C80="لا ينطبق",$F80=""),"اكتب سبب عدم الانطباق",""))))))</f>
        <v/>
      </c>
    </row>
    <row r="81">
      <c r="A81" s="39" t="n"/>
      <c r="B81" s="39" t="n"/>
      <c r="C81" s="29" t="n"/>
      <c r="D81" s="29" t="n"/>
      <c r="E81" s="31" t="n"/>
      <c r="F81" s="29" t="n"/>
      <c r="G81" s="32">
        <f>IF(COUNTA($A81:$F81)=0,"",IF(OR($A81="",$B81=""),"الفترة أو البند ناقص",IF(COUNTIFS($A:$A,$A81,$B:$B,$B81)&gt;1,"تأكيد مكرر لنفس الفترة والبند",IF($D81="","اسم المؤكِّد ناقص",IF(NOT(ISNUMBER($E81)),"تاريخ التأكيد ناقص",IF(AND($C81="لا ينطبق",$F81=""),"اكتب سبب عدم الانطباق",""))))))</f>
        <v/>
      </c>
    </row>
    <row r="82">
      <c r="A82" s="39" t="n"/>
      <c r="B82" s="39" t="n"/>
      <c r="C82" s="29" t="n"/>
      <c r="D82" s="29" t="n"/>
      <c r="E82" s="31" t="n"/>
      <c r="F82" s="29" t="n"/>
      <c r="G82" s="32">
        <f>IF(COUNTA($A82:$F82)=0,"",IF(OR($A82="",$B82=""),"الفترة أو البند ناقص",IF(COUNTIFS($A:$A,$A82,$B:$B,$B82)&gt;1,"تأكيد مكرر لنفس الفترة والبند",IF($D82="","اسم المؤكِّد ناقص",IF(NOT(ISNUMBER($E82)),"تاريخ التأكيد ناقص",IF(AND($C82="لا ينطبق",$F82=""),"اكتب سبب عدم الانطباق",""))))))</f>
        <v/>
      </c>
    </row>
    <row r="83">
      <c r="A83" s="39" t="n"/>
      <c r="B83" s="39" t="n"/>
      <c r="C83" s="29" t="n"/>
      <c r="D83" s="29" t="n"/>
      <c r="E83" s="31" t="n"/>
      <c r="F83" s="29" t="n"/>
      <c r="G83" s="32">
        <f>IF(COUNTA($A83:$F83)=0,"",IF(OR($A83="",$B83=""),"الفترة أو البند ناقص",IF(COUNTIFS($A:$A,$A83,$B:$B,$B83)&gt;1,"تأكيد مكرر لنفس الفترة والبند",IF($D83="","اسم المؤكِّد ناقص",IF(NOT(ISNUMBER($E83)),"تاريخ التأكيد ناقص",IF(AND($C83="لا ينطبق",$F83=""),"اكتب سبب عدم الانطباق",""))))))</f>
        <v/>
      </c>
    </row>
    <row r="84">
      <c r="A84" s="39" t="n"/>
      <c r="B84" s="39" t="n"/>
      <c r="C84" s="29" t="n"/>
      <c r="D84" s="29" t="n"/>
      <c r="E84" s="31" t="n"/>
      <c r="F84" s="29" t="n"/>
      <c r="G84" s="32">
        <f>IF(COUNTA($A84:$F84)=0,"",IF(OR($A84="",$B84=""),"الفترة أو البند ناقص",IF(COUNTIFS($A:$A,$A84,$B:$B,$B84)&gt;1,"تأكيد مكرر لنفس الفترة والبند",IF($D84="","اسم المؤكِّد ناقص",IF(NOT(ISNUMBER($E84)),"تاريخ التأكيد ناقص",IF(AND($C84="لا ينطبق",$F84=""),"اكتب سبب عدم الانطباق",""))))))</f>
        <v/>
      </c>
    </row>
    <row r="85">
      <c r="A85" s="39" t="n"/>
      <c r="B85" s="39" t="n"/>
      <c r="C85" s="29" t="n"/>
      <c r="D85" s="29" t="n"/>
      <c r="E85" s="31" t="n"/>
      <c r="F85" s="29" t="n"/>
      <c r="G85" s="32">
        <f>IF(COUNTA($A85:$F85)=0,"",IF(OR($A85="",$B85=""),"الفترة أو البند ناقص",IF(COUNTIFS($A:$A,$A85,$B:$B,$B85)&gt;1,"تأكيد مكرر لنفس الفترة والبند",IF($D85="","اسم المؤكِّد ناقص",IF(NOT(ISNUMBER($E85)),"تاريخ التأكيد ناقص",IF(AND($C85="لا ينطبق",$F85=""),"اكتب سبب عدم الانطباق",""))))))</f>
        <v/>
      </c>
    </row>
    <row r="86">
      <c r="A86" s="39" t="n"/>
      <c r="B86" s="39" t="n"/>
      <c r="C86" s="29" t="n"/>
      <c r="D86" s="29" t="n"/>
      <c r="E86" s="31" t="n"/>
      <c r="F86" s="29" t="n"/>
      <c r="G86" s="32">
        <f>IF(COUNTA($A86:$F86)=0,"",IF(OR($A86="",$B86=""),"الفترة أو البند ناقص",IF(COUNTIFS($A:$A,$A86,$B:$B,$B86)&gt;1,"تأكيد مكرر لنفس الفترة والبند",IF($D86="","اسم المؤكِّد ناقص",IF(NOT(ISNUMBER($E86)),"تاريخ التأكيد ناقص",IF(AND($C86="لا ينطبق",$F86=""),"اكتب سبب عدم الانطباق",""))))))</f>
        <v/>
      </c>
    </row>
    <row r="87">
      <c r="A87" s="39" t="n"/>
      <c r="B87" s="39" t="n"/>
      <c r="C87" s="29" t="n"/>
      <c r="D87" s="29" t="n"/>
      <c r="E87" s="31" t="n"/>
      <c r="F87" s="29" t="n"/>
      <c r="G87" s="32">
        <f>IF(COUNTA($A87:$F87)=0,"",IF(OR($A87="",$B87=""),"الفترة أو البند ناقص",IF(COUNTIFS($A:$A,$A87,$B:$B,$B87)&gt;1,"تأكيد مكرر لنفس الفترة والبند",IF($D87="","اسم المؤكِّد ناقص",IF(NOT(ISNUMBER($E87)),"تاريخ التأكيد ناقص",IF(AND($C87="لا ينطبق",$F87=""),"اكتب سبب عدم الانطباق",""))))))</f>
        <v/>
      </c>
    </row>
    <row r="88">
      <c r="A88" s="39" t="n"/>
      <c r="B88" s="39" t="n"/>
      <c r="C88" s="29" t="n"/>
      <c r="D88" s="29" t="n"/>
      <c r="E88" s="31" t="n"/>
      <c r="F88" s="29" t="n"/>
      <c r="G88" s="32">
        <f>IF(COUNTA($A88:$F88)=0,"",IF(OR($A88="",$B88=""),"الفترة أو البند ناقص",IF(COUNTIFS($A:$A,$A88,$B:$B,$B88)&gt;1,"تأكيد مكرر لنفس الفترة والبند",IF($D88="","اسم المؤكِّد ناقص",IF(NOT(ISNUMBER($E88)),"تاريخ التأكيد ناقص",IF(AND($C88="لا ينطبق",$F88=""),"اكتب سبب عدم الانطباق",""))))))</f>
        <v/>
      </c>
    </row>
    <row r="89">
      <c r="A89" s="39" t="n"/>
      <c r="B89" s="39" t="n"/>
      <c r="C89" s="29" t="n"/>
      <c r="D89" s="29" t="n"/>
      <c r="E89" s="31" t="n"/>
      <c r="F89" s="29" t="n"/>
      <c r="G89" s="32">
        <f>IF(COUNTA($A89:$F89)=0,"",IF(OR($A89="",$B89=""),"الفترة أو البند ناقص",IF(COUNTIFS($A:$A,$A89,$B:$B,$B89)&gt;1,"تأكيد مكرر لنفس الفترة والبند",IF($D89="","اسم المؤكِّد ناقص",IF(NOT(ISNUMBER($E89)),"تاريخ التأكيد ناقص",IF(AND($C89="لا ينطبق",$F89=""),"اكتب سبب عدم الانطباق",""))))))</f>
        <v/>
      </c>
    </row>
    <row r="90">
      <c r="A90" s="39" t="n"/>
      <c r="B90" s="39" t="n"/>
      <c r="C90" s="29" t="n"/>
      <c r="D90" s="29" t="n"/>
      <c r="E90" s="31" t="n"/>
      <c r="F90" s="29" t="n"/>
      <c r="G90" s="32">
        <f>IF(COUNTA($A90:$F90)=0,"",IF(OR($A90="",$B90=""),"الفترة أو البند ناقص",IF(COUNTIFS($A:$A,$A90,$B:$B,$B90)&gt;1,"تأكيد مكرر لنفس الفترة والبند",IF($D90="","اسم المؤكِّد ناقص",IF(NOT(ISNUMBER($E90)),"تاريخ التأكيد ناقص",IF(AND($C90="لا ينطبق",$F90=""),"اكتب سبب عدم الانطباق",""))))))</f>
        <v/>
      </c>
    </row>
    <row r="91">
      <c r="A91" s="39" t="n"/>
      <c r="B91" s="39" t="n"/>
      <c r="C91" s="29" t="n"/>
      <c r="D91" s="29" t="n"/>
      <c r="E91" s="31" t="n"/>
      <c r="F91" s="29" t="n"/>
      <c r="G91" s="32">
        <f>IF(COUNTA($A91:$F91)=0,"",IF(OR($A91="",$B91=""),"الفترة أو البند ناقص",IF(COUNTIFS($A:$A,$A91,$B:$B,$B91)&gt;1,"تأكيد مكرر لنفس الفترة والبند",IF($D91="","اسم المؤكِّد ناقص",IF(NOT(ISNUMBER($E91)),"تاريخ التأكيد ناقص",IF(AND($C91="لا ينطبق",$F91=""),"اكتب سبب عدم الانطباق",""))))))</f>
        <v/>
      </c>
    </row>
    <row r="92">
      <c r="A92" s="39" t="n"/>
      <c r="B92" s="39" t="n"/>
      <c r="C92" s="29" t="n"/>
      <c r="D92" s="29" t="n"/>
      <c r="E92" s="31" t="n"/>
      <c r="F92" s="29" t="n"/>
      <c r="G92" s="32">
        <f>IF(COUNTA($A92:$F92)=0,"",IF(OR($A92="",$B92=""),"الفترة أو البند ناقص",IF(COUNTIFS($A:$A,$A92,$B:$B,$B92)&gt;1,"تأكيد مكرر لنفس الفترة والبند",IF($D92="","اسم المؤكِّد ناقص",IF(NOT(ISNUMBER($E92)),"تاريخ التأكيد ناقص",IF(AND($C92="لا ينطبق",$F92=""),"اكتب سبب عدم الانطباق",""))))))</f>
        <v/>
      </c>
    </row>
    <row r="93">
      <c r="A93" s="39" t="n"/>
      <c r="B93" s="39" t="n"/>
      <c r="C93" s="29" t="n"/>
      <c r="D93" s="29" t="n"/>
      <c r="E93" s="31" t="n"/>
      <c r="F93" s="29" t="n"/>
      <c r="G93" s="32">
        <f>IF(COUNTA($A93:$F93)=0,"",IF(OR($A93="",$B93=""),"الفترة أو البند ناقص",IF(COUNTIFS($A:$A,$A93,$B:$B,$B93)&gt;1,"تأكيد مكرر لنفس الفترة والبند",IF($D93="","اسم المؤكِّد ناقص",IF(NOT(ISNUMBER($E93)),"تاريخ التأكيد ناقص",IF(AND($C93="لا ينطبق",$F93=""),"اكتب سبب عدم الانطباق",""))))))</f>
        <v/>
      </c>
    </row>
    <row r="94">
      <c r="A94" s="39" t="n"/>
      <c r="B94" s="39" t="n"/>
      <c r="C94" s="29" t="n"/>
      <c r="D94" s="29" t="n"/>
      <c r="E94" s="31" t="n"/>
      <c r="F94" s="29" t="n"/>
      <c r="G94" s="32">
        <f>IF(COUNTA($A94:$F94)=0,"",IF(OR($A94="",$B94=""),"الفترة أو البند ناقص",IF(COUNTIFS($A:$A,$A94,$B:$B,$B94)&gt;1,"تأكيد مكرر لنفس الفترة والبند",IF($D94="","اسم المؤكِّد ناقص",IF(NOT(ISNUMBER($E94)),"تاريخ التأكيد ناقص",IF(AND($C94="لا ينطبق",$F94=""),"اكتب سبب عدم الانطباق",""))))))</f>
        <v/>
      </c>
    </row>
    <row r="95">
      <c r="A95" s="39" t="n"/>
      <c r="B95" s="39" t="n"/>
      <c r="C95" s="29" t="n"/>
      <c r="D95" s="29" t="n"/>
      <c r="E95" s="31" t="n"/>
      <c r="F95" s="29" t="n"/>
      <c r="G95" s="32">
        <f>IF(COUNTA($A95:$F95)=0,"",IF(OR($A95="",$B95=""),"الفترة أو البند ناقص",IF(COUNTIFS($A:$A,$A95,$B:$B,$B95)&gt;1,"تأكيد مكرر لنفس الفترة والبند",IF($D95="","اسم المؤكِّد ناقص",IF(NOT(ISNUMBER($E95)),"تاريخ التأكيد ناقص",IF(AND($C95="لا ينطبق",$F95=""),"اكتب سبب عدم الانطباق",""))))))</f>
        <v/>
      </c>
    </row>
    <row r="96">
      <c r="A96" s="39" t="n"/>
      <c r="B96" s="39" t="n"/>
      <c r="C96" s="29" t="n"/>
      <c r="D96" s="29" t="n"/>
      <c r="E96" s="31" t="n"/>
      <c r="F96" s="29" t="n"/>
      <c r="G96" s="32">
        <f>IF(COUNTA($A96:$F96)=0,"",IF(OR($A96="",$B96=""),"الفترة أو البند ناقص",IF(COUNTIFS($A:$A,$A96,$B:$B,$B96)&gt;1,"تأكيد مكرر لنفس الفترة والبند",IF($D96="","اسم المؤكِّد ناقص",IF(NOT(ISNUMBER($E96)),"تاريخ التأكيد ناقص",IF(AND($C96="لا ينطبق",$F96=""),"اكتب سبب عدم الانطباق",""))))))</f>
        <v/>
      </c>
    </row>
    <row r="97">
      <c r="A97" s="39" t="n"/>
      <c r="B97" s="39" t="n"/>
      <c r="C97" s="29" t="n"/>
      <c r="D97" s="29" t="n"/>
      <c r="E97" s="31" t="n"/>
      <c r="F97" s="29" t="n"/>
      <c r="G97" s="32">
        <f>IF(COUNTA($A97:$F97)=0,"",IF(OR($A97="",$B97=""),"الفترة أو البند ناقص",IF(COUNTIFS($A:$A,$A97,$B:$B,$B97)&gt;1,"تأكيد مكرر لنفس الفترة والبند",IF($D97="","اسم المؤكِّد ناقص",IF(NOT(ISNUMBER($E97)),"تاريخ التأكيد ناقص",IF(AND($C97="لا ينطبق",$F97=""),"اكتب سبب عدم الانطباق",""))))))</f>
        <v/>
      </c>
    </row>
    <row r="98">
      <c r="A98" s="39" t="n"/>
      <c r="B98" s="39" t="n"/>
      <c r="C98" s="29" t="n"/>
      <c r="D98" s="29" t="n"/>
      <c r="E98" s="31" t="n"/>
      <c r="F98" s="29" t="n"/>
      <c r="G98" s="32">
        <f>IF(COUNTA($A98:$F98)=0,"",IF(OR($A98="",$B98=""),"الفترة أو البند ناقص",IF(COUNTIFS($A:$A,$A98,$B:$B,$B98)&gt;1,"تأكيد مكرر لنفس الفترة والبند",IF($D98="","اسم المؤكِّد ناقص",IF(NOT(ISNUMBER($E98)),"تاريخ التأكيد ناقص",IF(AND($C98="لا ينطبق",$F98=""),"اكتب سبب عدم الانطباق",""))))))</f>
        <v/>
      </c>
    </row>
    <row r="99">
      <c r="A99" s="39" t="n"/>
      <c r="B99" s="39" t="n"/>
      <c r="C99" s="29" t="n"/>
      <c r="D99" s="29" t="n"/>
      <c r="E99" s="31" t="n"/>
      <c r="F99" s="29" t="n"/>
      <c r="G99" s="32">
        <f>IF(COUNTA($A99:$F99)=0,"",IF(OR($A99="",$B99=""),"الفترة أو البند ناقص",IF(COUNTIFS($A:$A,$A99,$B:$B,$B99)&gt;1,"تأكيد مكرر لنفس الفترة والبند",IF($D99="","اسم المؤكِّد ناقص",IF(NOT(ISNUMBER($E99)),"تاريخ التأكيد ناقص",IF(AND($C99="لا ينطبق",$F99=""),"اكتب سبب عدم الانطباق",""))))))</f>
        <v/>
      </c>
    </row>
    <row r="100">
      <c r="A100" s="39" t="n"/>
      <c r="B100" s="39" t="n"/>
      <c r="C100" s="29" t="n"/>
      <c r="D100" s="29" t="n"/>
      <c r="E100" s="31" t="n"/>
      <c r="F100" s="29" t="n"/>
      <c r="G100" s="32">
        <f>IF(COUNTA($A100:$F100)=0,"",IF(OR($A100="",$B100=""),"الفترة أو البند ناقص",IF(COUNTIFS($A:$A,$A100,$B:$B,$B100)&gt;1,"تأكيد مكرر لنفس الفترة والبند",IF($D100="","اسم المؤكِّد ناقص",IF(NOT(ISNUMBER($E100)),"تاريخ التأكيد ناقص",IF(AND($C100="لا ينطبق",$F100=""),"اكتب سبب عدم الانطباق",""))))))</f>
        <v/>
      </c>
    </row>
    <row r="101">
      <c r="A101" s="39" t="n"/>
      <c r="B101" s="39" t="n"/>
      <c r="C101" s="29" t="n"/>
      <c r="D101" s="29" t="n"/>
      <c r="E101" s="31" t="n"/>
      <c r="F101" s="29" t="n"/>
      <c r="G101" s="32">
        <f>IF(COUNTA($A101:$F101)=0,"",IF(OR($A101="",$B101=""),"الفترة أو البند ناقص",IF(COUNTIFS($A:$A,$A101,$B:$B,$B101)&gt;1,"تأكيد مكرر لنفس الفترة والبند",IF($D101="","اسم المؤكِّد ناقص",IF(NOT(ISNUMBER($E101)),"تاريخ التأكيد ناقص",IF(AND($C101="لا ينطبق",$F101=""),"اكتب سبب عدم الانطباق",""))))))</f>
        <v/>
      </c>
    </row>
    <row r="102">
      <c r="A102" s="39" t="n"/>
      <c r="B102" s="39" t="n"/>
      <c r="C102" s="29" t="n"/>
      <c r="D102" s="29" t="n"/>
      <c r="E102" s="31" t="n"/>
      <c r="F102" s="29" t="n"/>
      <c r="G102" s="32">
        <f>IF(COUNTA($A102:$F102)=0,"",IF(OR($A102="",$B102=""),"الفترة أو البند ناقص",IF(COUNTIFS($A:$A,$A102,$B:$B,$B102)&gt;1,"تأكيد مكرر لنفس الفترة والبند",IF($D102="","اسم المؤكِّد ناقص",IF(NOT(ISNUMBER($E102)),"تاريخ التأكيد ناقص",IF(AND($C102="لا ينطبق",$F102=""),"اكتب سبب عدم الانطباق",""))))))</f>
        <v/>
      </c>
    </row>
    <row r="103">
      <c r="A103" s="39" t="n"/>
      <c r="B103" s="39" t="n"/>
      <c r="C103" s="29" t="n"/>
      <c r="D103" s="29" t="n"/>
      <c r="E103" s="31" t="n"/>
      <c r="F103" s="29" t="n"/>
      <c r="G103" s="32">
        <f>IF(COUNTA($A103:$F103)=0,"",IF(OR($A103="",$B103=""),"الفترة أو البند ناقص",IF(COUNTIFS($A:$A,$A103,$B:$B,$B103)&gt;1,"تأكيد مكرر لنفس الفترة والبند",IF($D103="","اسم المؤكِّد ناقص",IF(NOT(ISNUMBER($E103)),"تاريخ التأكيد ناقص",IF(AND($C103="لا ينطبق",$F103=""),"اكتب سبب عدم الانطباق",""))))))</f>
        <v/>
      </c>
    </row>
    <row r="104">
      <c r="A104" s="39" t="n"/>
      <c r="B104" s="39" t="n"/>
      <c r="C104" s="29" t="n"/>
      <c r="D104" s="29" t="n"/>
      <c r="E104" s="31" t="n"/>
      <c r="F104" s="29" t="n"/>
      <c r="G104" s="32">
        <f>IF(COUNTA($A104:$F104)=0,"",IF(OR($A104="",$B104=""),"الفترة أو البند ناقص",IF(COUNTIFS($A:$A,$A104,$B:$B,$B104)&gt;1,"تأكيد مكرر لنفس الفترة والبند",IF($D104="","اسم المؤكِّد ناقص",IF(NOT(ISNUMBER($E104)),"تاريخ التأكيد ناقص",IF(AND($C104="لا ينطبق",$F104=""),"اكتب سبب عدم الانطباق",""))))))</f>
        <v/>
      </c>
    </row>
    <row r="105">
      <c r="A105" s="39" t="n"/>
      <c r="B105" s="39" t="n"/>
      <c r="C105" s="29" t="n"/>
      <c r="D105" s="29" t="n"/>
      <c r="E105" s="31" t="n"/>
      <c r="F105" s="29" t="n"/>
      <c r="G105" s="32">
        <f>IF(COUNTA($A105:$F105)=0,"",IF(OR($A105="",$B105=""),"الفترة أو البند ناقص",IF(COUNTIFS($A:$A,$A105,$B:$B,$B105)&gt;1,"تأكيد مكرر لنفس الفترة والبند",IF($D105="","اسم المؤكِّد ناقص",IF(NOT(ISNUMBER($E105)),"تاريخ التأكيد ناقص",IF(AND($C105="لا ينطبق",$F105=""),"اكتب سبب عدم الانطباق",""))))))</f>
        <v/>
      </c>
    </row>
    <row r="106">
      <c r="A106" s="39" t="n"/>
      <c r="B106" s="39" t="n"/>
      <c r="C106" s="29" t="n"/>
      <c r="D106" s="29" t="n"/>
      <c r="E106" s="31" t="n"/>
      <c r="F106" s="29" t="n"/>
      <c r="G106" s="32">
        <f>IF(COUNTA($A106:$F106)=0,"",IF(OR($A106="",$B106=""),"الفترة أو البند ناقص",IF(COUNTIFS($A:$A,$A106,$B:$B,$B106)&gt;1,"تأكيد مكرر لنفس الفترة والبند",IF($D106="","اسم المؤكِّد ناقص",IF(NOT(ISNUMBER($E106)),"تاريخ التأكيد ناقص",IF(AND($C106="لا ينطبق",$F106=""),"اكتب سبب عدم الانطباق",""))))))</f>
        <v/>
      </c>
    </row>
    <row r="107">
      <c r="A107" s="39" t="n"/>
      <c r="B107" s="39" t="n"/>
      <c r="C107" s="29" t="n"/>
      <c r="D107" s="29" t="n"/>
      <c r="E107" s="31" t="n"/>
      <c r="F107" s="29" t="n"/>
      <c r="G107" s="32">
        <f>IF(COUNTA($A107:$F107)=0,"",IF(OR($A107="",$B107=""),"الفترة أو البند ناقص",IF(COUNTIFS($A:$A,$A107,$B:$B,$B107)&gt;1,"تأكيد مكرر لنفس الفترة والبند",IF($D107="","اسم المؤكِّد ناقص",IF(NOT(ISNUMBER($E107)),"تاريخ التأكيد ناقص",IF(AND($C107="لا ينطبق",$F107=""),"اكتب سبب عدم الانطباق",""))))))</f>
        <v/>
      </c>
    </row>
    <row r="108">
      <c r="A108" s="39" t="n"/>
      <c r="B108" s="39" t="n"/>
      <c r="C108" s="29" t="n"/>
      <c r="D108" s="29" t="n"/>
      <c r="E108" s="31" t="n"/>
      <c r="F108" s="29" t="n"/>
      <c r="G108" s="32">
        <f>IF(COUNTA($A108:$F108)=0,"",IF(OR($A108="",$B108=""),"الفترة أو البند ناقص",IF(COUNTIFS($A:$A,$A108,$B:$B,$B108)&gt;1,"تأكيد مكرر لنفس الفترة والبند",IF($D108="","اسم المؤكِّد ناقص",IF(NOT(ISNUMBER($E108)),"تاريخ التأكيد ناقص",IF(AND($C108="لا ينطبق",$F108=""),"اكتب سبب عدم الانطباق",""))))))</f>
        <v/>
      </c>
    </row>
    <row r="109">
      <c r="A109" s="39" t="n"/>
      <c r="B109" s="39" t="n"/>
      <c r="C109" s="29" t="n"/>
      <c r="D109" s="29" t="n"/>
      <c r="E109" s="31" t="n"/>
      <c r="F109" s="29" t="n"/>
      <c r="G109" s="32">
        <f>IF(COUNTA($A109:$F109)=0,"",IF(OR($A109="",$B109=""),"الفترة أو البند ناقص",IF(COUNTIFS($A:$A,$A109,$B:$B,$B109)&gt;1,"تأكيد مكرر لنفس الفترة والبند",IF($D109="","اسم المؤكِّد ناقص",IF(NOT(ISNUMBER($E109)),"تاريخ التأكيد ناقص",IF(AND($C109="لا ينطبق",$F109=""),"اكتب سبب عدم الانطباق",""))))))</f>
        <v/>
      </c>
    </row>
    <row r="110">
      <c r="A110" s="39" t="n"/>
      <c r="B110" s="39" t="n"/>
      <c r="C110" s="29" t="n"/>
      <c r="D110" s="29" t="n"/>
      <c r="E110" s="31" t="n"/>
      <c r="F110" s="29" t="n"/>
      <c r="G110" s="32">
        <f>IF(COUNTA($A110:$F110)=0,"",IF(OR($A110="",$B110=""),"الفترة أو البند ناقص",IF(COUNTIFS($A:$A,$A110,$B:$B,$B110)&gt;1,"تأكيد مكرر لنفس الفترة والبند",IF($D110="","اسم المؤكِّد ناقص",IF(NOT(ISNUMBER($E110)),"تاريخ التأكيد ناقص",IF(AND($C110="لا ينطبق",$F110=""),"اكتب سبب عدم الانطباق",""))))))</f>
        <v/>
      </c>
    </row>
    <row r="111">
      <c r="A111" s="39" t="n"/>
      <c r="B111" s="39" t="n"/>
      <c r="C111" s="29" t="n"/>
      <c r="D111" s="29" t="n"/>
      <c r="E111" s="31" t="n"/>
      <c r="F111" s="29" t="n"/>
      <c r="G111" s="32">
        <f>IF(COUNTA($A111:$F111)=0,"",IF(OR($A111="",$B111=""),"الفترة أو البند ناقص",IF(COUNTIFS($A:$A,$A111,$B:$B,$B111)&gt;1,"تأكيد مكرر لنفس الفترة والبند",IF($D111="","اسم المؤكِّد ناقص",IF(NOT(ISNUMBER($E111)),"تاريخ التأكيد ناقص",IF(AND($C111="لا ينطبق",$F111=""),"اكتب سبب عدم الانطباق",""))))))</f>
        <v/>
      </c>
    </row>
    <row r="112">
      <c r="A112" s="39" t="n"/>
      <c r="B112" s="39" t="n"/>
      <c r="C112" s="29" t="n"/>
      <c r="D112" s="29" t="n"/>
      <c r="E112" s="31" t="n"/>
      <c r="F112" s="29" t="n"/>
      <c r="G112" s="32">
        <f>IF(COUNTA($A112:$F112)=0,"",IF(OR($A112="",$B112=""),"الفترة أو البند ناقص",IF(COUNTIFS($A:$A,$A112,$B:$B,$B112)&gt;1,"تأكيد مكرر لنفس الفترة والبند",IF($D112="","اسم المؤكِّد ناقص",IF(NOT(ISNUMBER($E112)),"تاريخ التأكيد ناقص",IF(AND($C112="لا ينطبق",$F112=""),"اكتب سبب عدم الانطباق",""))))))</f>
        <v/>
      </c>
    </row>
    <row r="113">
      <c r="A113" s="39" t="n"/>
      <c r="B113" s="39" t="n"/>
      <c r="C113" s="29" t="n"/>
      <c r="D113" s="29" t="n"/>
      <c r="E113" s="31" t="n"/>
      <c r="F113" s="29" t="n"/>
      <c r="G113" s="32">
        <f>IF(COUNTA($A113:$F113)=0,"",IF(OR($A113="",$B113=""),"الفترة أو البند ناقص",IF(COUNTIFS($A:$A,$A113,$B:$B,$B113)&gt;1,"تأكيد مكرر لنفس الفترة والبند",IF($D113="","اسم المؤكِّد ناقص",IF(NOT(ISNUMBER($E113)),"تاريخ التأكيد ناقص",IF(AND($C113="لا ينطبق",$F113=""),"اكتب سبب عدم الانطباق",""))))))</f>
        <v/>
      </c>
    </row>
    <row r="114">
      <c r="A114" s="39" t="n"/>
      <c r="B114" s="39" t="n"/>
      <c r="C114" s="29" t="n"/>
      <c r="D114" s="29" t="n"/>
      <c r="E114" s="31" t="n"/>
      <c r="F114" s="29" t="n"/>
      <c r="G114" s="32">
        <f>IF(COUNTA($A114:$F114)=0,"",IF(OR($A114="",$B114=""),"الفترة أو البند ناقص",IF(COUNTIFS($A:$A,$A114,$B:$B,$B114)&gt;1,"تأكيد مكرر لنفس الفترة والبند",IF($D114="","اسم المؤكِّد ناقص",IF(NOT(ISNUMBER($E114)),"تاريخ التأكيد ناقص",IF(AND($C114="لا ينطبق",$F114=""),"اكتب سبب عدم الانطباق",""))))))</f>
        <v/>
      </c>
    </row>
    <row r="115">
      <c r="A115" s="39" t="n"/>
      <c r="B115" s="39" t="n"/>
      <c r="C115" s="29" t="n"/>
      <c r="D115" s="29" t="n"/>
      <c r="E115" s="31" t="n"/>
      <c r="F115" s="29" t="n"/>
      <c r="G115" s="32">
        <f>IF(COUNTA($A115:$F115)=0,"",IF(OR($A115="",$B115=""),"الفترة أو البند ناقص",IF(COUNTIFS($A:$A,$A115,$B:$B,$B115)&gt;1,"تأكيد مكرر لنفس الفترة والبند",IF($D115="","اسم المؤكِّد ناقص",IF(NOT(ISNUMBER($E115)),"تاريخ التأكيد ناقص",IF(AND($C115="لا ينطبق",$F115=""),"اكتب سبب عدم الانطباق",""))))))</f>
        <v/>
      </c>
    </row>
    <row r="116">
      <c r="A116" s="39" t="n"/>
      <c r="B116" s="39" t="n"/>
      <c r="C116" s="29" t="n"/>
      <c r="D116" s="29" t="n"/>
      <c r="E116" s="31" t="n"/>
      <c r="F116" s="29" t="n"/>
      <c r="G116" s="32">
        <f>IF(COUNTA($A116:$F116)=0,"",IF(OR($A116="",$B116=""),"الفترة أو البند ناقص",IF(COUNTIFS($A:$A,$A116,$B:$B,$B116)&gt;1,"تأكيد مكرر لنفس الفترة والبند",IF($D116="","اسم المؤكِّد ناقص",IF(NOT(ISNUMBER($E116)),"تاريخ التأكيد ناقص",IF(AND($C116="لا ينطبق",$F116=""),"اكتب سبب عدم الانطباق",""))))))</f>
        <v/>
      </c>
    </row>
    <row r="117">
      <c r="A117" s="39" t="n"/>
      <c r="B117" s="39" t="n"/>
      <c r="C117" s="29" t="n"/>
      <c r="D117" s="29" t="n"/>
      <c r="E117" s="31" t="n"/>
      <c r="F117" s="29" t="n"/>
      <c r="G117" s="32">
        <f>IF(COUNTA($A117:$F117)=0,"",IF(OR($A117="",$B117=""),"الفترة أو البند ناقص",IF(COUNTIFS($A:$A,$A117,$B:$B,$B117)&gt;1,"تأكيد مكرر لنفس الفترة والبند",IF($D117="","اسم المؤكِّد ناقص",IF(NOT(ISNUMBER($E117)),"تاريخ التأكيد ناقص",IF(AND($C117="لا ينطبق",$F117=""),"اكتب سبب عدم الانطباق",""))))))</f>
        <v/>
      </c>
    </row>
    <row r="118">
      <c r="A118" s="39" t="n"/>
      <c r="B118" s="39" t="n"/>
      <c r="C118" s="29" t="n"/>
      <c r="D118" s="29" t="n"/>
      <c r="E118" s="31" t="n"/>
      <c r="F118" s="29" t="n"/>
      <c r="G118" s="32">
        <f>IF(COUNTA($A118:$F118)=0,"",IF(OR($A118="",$B118=""),"الفترة أو البند ناقص",IF(COUNTIFS($A:$A,$A118,$B:$B,$B118)&gt;1,"تأكيد مكرر لنفس الفترة والبند",IF($D118="","اسم المؤكِّد ناقص",IF(NOT(ISNUMBER($E118)),"تاريخ التأكيد ناقص",IF(AND($C118="لا ينطبق",$F118=""),"اكتب سبب عدم الانطباق",""))))))</f>
        <v/>
      </c>
    </row>
    <row r="119">
      <c r="A119" s="39" t="n"/>
      <c r="B119" s="39" t="n"/>
      <c r="C119" s="29" t="n"/>
      <c r="D119" s="29" t="n"/>
      <c r="E119" s="31" t="n"/>
      <c r="F119" s="29" t="n"/>
      <c r="G119" s="32">
        <f>IF(COUNTA($A119:$F119)=0,"",IF(OR($A119="",$B119=""),"الفترة أو البند ناقص",IF(COUNTIFS($A:$A,$A119,$B:$B,$B119)&gt;1,"تأكيد مكرر لنفس الفترة والبند",IF($D119="","اسم المؤكِّد ناقص",IF(NOT(ISNUMBER($E119)),"تاريخ التأكيد ناقص",IF(AND($C119="لا ينطبق",$F119=""),"اكتب سبب عدم الانطباق",""))))))</f>
        <v/>
      </c>
    </row>
    <row r="120">
      <c r="A120" s="39" t="n"/>
      <c r="B120" s="39" t="n"/>
      <c r="C120" s="29" t="n"/>
      <c r="D120" s="29" t="n"/>
      <c r="E120" s="31" t="n"/>
      <c r="F120" s="29" t="n"/>
      <c r="G120" s="32">
        <f>IF(COUNTA($A120:$F120)=0,"",IF(OR($A120="",$B120=""),"الفترة أو البند ناقص",IF(COUNTIFS($A:$A,$A120,$B:$B,$B120)&gt;1,"تأكيد مكرر لنفس الفترة والبند",IF($D120="","اسم المؤكِّد ناقص",IF(NOT(ISNUMBER($E120)),"تاريخ التأكيد ناقص",IF(AND($C120="لا ينطبق",$F120=""),"اكتب سبب عدم الانطباق",""))))))</f>
        <v/>
      </c>
    </row>
    <row r="121">
      <c r="A121" s="39" t="n"/>
      <c r="B121" s="39" t="n"/>
      <c r="C121" s="29" t="n"/>
      <c r="D121" s="29" t="n"/>
      <c r="E121" s="31" t="n"/>
      <c r="F121" s="29" t="n"/>
      <c r="G121" s="32">
        <f>IF(COUNTA($A121:$F121)=0,"",IF(OR($A121="",$B121=""),"الفترة أو البند ناقص",IF(COUNTIFS($A:$A,$A121,$B:$B,$B121)&gt;1,"تأكيد مكرر لنفس الفترة والبند",IF($D121="","اسم المؤكِّد ناقص",IF(NOT(ISNUMBER($E121)),"تاريخ التأكيد ناقص",IF(AND($C121="لا ينطبق",$F121=""),"اكتب سبب عدم الانطباق",""))))))</f>
        <v/>
      </c>
    </row>
    <row r="122">
      <c r="A122" s="39" t="n"/>
      <c r="B122" s="39" t="n"/>
      <c r="C122" s="29" t="n"/>
      <c r="D122" s="29" t="n"/>
      <c r="E122" s="31" t="n"/>
      <c r="F122" s="29" t="n"/>
      <c r="G122" s="32">
        <f>IF(COUNTA($A122:$F122)=0,"",IF(OR($A122="",$B122=""),"الفترة أو البند ناقص",IF(COUNTIFS($A:$A,$A122,$B:$B,$B122)&gt;1,"تأكيد مكرر لنفس الفترة والبند",IF($D122="","اسم المؤكِّد ناقص",IF(NOT(ISNUMBER($E122)),"تاريخ التأكيد ناقص",IF(AND($C122="لا ينطبق",$F122=""),"اكتب سبب عدم الانطباق",""))))))</f>
        <v/>
      </c>
    </row>
    <row r="123">
      <c r="A123" s="39" t="n"/>
      <c r="B123" s="39" t="n"/>
      <c r="C123" s="29" t="n"/>
      <c r="D123" s="29" t="n"/>
      <c r="E123" s="31" t="n"/>
      <c r="F123" s="29" t="n"/>
      <c r="G123" s="32">
        <f>IF(COUNTA($A123:$F123)=0,"",IF(OR($A123="",$B123=""),"الفترة أو البند ناقص",IF(COUNTIFS($A:$A,$A123,$B:$B,$B123)&gt;1,"تأكيد مكرر لنفس الفترة والبند",IF($D123="","اسم المؤكِّد ناقص",IF(NOT(ISNUMBER($E123)),"تاريخ التأكيد ناقص",IF(AND($C123="لا ينطبق",$F123=""),"اكتب سبب عدم الانطباق",""))))))</f>
        <v/>
      </c>
    </row>
    <row r="124">
      <c r="A124" s="39" t="n"/>
      <c r="B124" s="39" t="n"/>
      <c r="C124" s="29" t="n"/>
      <c r="D124" s="29" t="n"/>
      <c r="E124" s="31" t="n"/>
      <c r="F124" s="29" t="n"/>
      <c r="G124" s="32">
        <f>IF(COUNTA($A124:$F124)=0,"",IF(OR($A124="",$B124=""),"الفترة أو البند ناقص",IF(COUNTIFS($A:$A,$A124,$B:$B,$B124)&gt;1,"تأكيد مكرر لنفس الفترة والبند",IF($D124="","اسم المؤكِّد ناقص",IF(NOT(ISNUMBER($E124)),"تاريخ التأكيد ناقص",IF(AND($C124="لا ينطبق",$F124=""),"اكتب سبب عدم الانطباق",""))))))</f>
        <v/>
      </c>
    </row>
    <row r="125">
      <c r="A125" s="39" t="n"/>
      <c r="B125" s="39" t="n"/>
      <c r="C125" s="29" t="n"/>
      <c r="D125" s="29" t="n"/>
      <c r="E125" s="31" t="n"/>
      <c r="F125" s="29" t="n"/>
      <c r="G125" s="32">
        <f>IF(COUNTA($A125:$F125)=0,"",IF(OR($A125="",$B125=""),"الفترة أو البند ناقص",IF(COUNTIFS($A:$A,$A125,$B:$B,$B125)&gt;1,"تأكيد مكرر لنفس الفترة والبند",IF($D125="","اسم المؤكِّد ناقص",IF(NOT(ISNUMBER($E125)),"تاريخ التأكيد ناقص",IF(AND($C125="لا ينطبق",$F125=""),"اكتب سبب عدم الانطباق",""))))))</f>
        <v/>
      </c>
    </row>
    <row r="126">
      <c r="A126" s="39" t="n"/>
      <c r="B126" s="39" t="n"/>
      <c r="C126" s="29" t="n"/>
      <c r="D126" s="29" t="n"/>
      <c r="E126" s="31" t="n"/>
      <c r="F126" s="29" t="n"/>
      <c r="G126" s="32">
        <f>IF(COUNTA($A126:$F126)=0,"",IF(OR($A126="",$B126=""),"الفترة أو البند ناقص",IF(COUNTIFS($A:$A,$A126,$B:$B,$B126)&gt;1,"تأكيد مكرر لنفس الفترة والبند",IF($D126="","اسم المؤكِّد ناقص",IF(NOT(ISNUMBER($E126)),"تاريخ التأكيد ناقص",IF(AND($C126="لا ينطبق",$F126=""),"اكتب سبب عدم الانطباق",""))))))</f>
        <v/>
      </c>
    </row>
    <row r="127">
      <c r="A127" s="39" t="n"/>
      <c r="B127" s="39" t="n"/>
      <c r="C127" s="29" t="n"/>
      <c r="D127" s="29" t="n"/>
      <c r="E127" s="31" t="n"/>
      <c r="F127" s="29" t="n"/>
      <c r="G127" s="32">
        <f>IF(COUNTA($A127:$F127)=0,"",IF(OR($A127="",$B127=""),"الفترة أو البند ناقص",IF(COUNTIFS($A:$A,$A127,$B:$B,$B127)&gt;1,"تأكيد مكرر لنفس الفترة والبند",IF($D127="","اسم المؤكِّد ناقص",IF(NOT(ISNUMBER($E127)),"تاريخ التأكيد ناقص",IF(AND($C127="لا ينطبق",$F127=""),"اكتب سبب عدم الانطباق",""))))))</f>
        <v/>
      </c>
    </row>
    <row r="128">
      <c r="A128" s="39" t="n"/>
      <c r="B128" s="39" t="n"/>
      <c r="C128" s="29" t="n"/>
      <c r="D128" s="29" t="n"/>
      <c r="E128" s="31" t="n"/>
      <c r="F128" s="29" t="n"/>
      <c r="G128" s="32">
        <f>IF(COUNTA($A128:$F128)=0,"",IF(OR($A128="",$B128=""),"الفترة أو البند ناقص",IF(COUNTIFS($A:$A,$A128,$B:$B,$B128)&gt;1,"تأكيد مكرر لنفس الفترة والبند",IF($D128="","اسم المؤكِّد ناقص",IF(NOT(ISNUMBER($E128)),"تاريخ التأكيد ناقص",IF(AND($C128="لا ينطبق",$F128=""),"اكتب سبب عدم الانطباق",""))))))</f>
        <v/>
      </c>
    </row>
    <row r="129">
      <c r="A129" s="39" t="n"/>
      <c r="B129" s="39" t="n"/>
      <c r="C129" s="29" t="n"/>
      <c r="D129" s="29" t="n"/>
      <c r="E129" s="31" t="n"/>
      <c r="F129" s="29" t="n"/>
      <c r="G129" s="32">
        <f>IF(COUNTA($A129:$F129)=0,"",IF(OR($A129="",$B129=""),"الفترة أو البند ناقص",IF(COUNTIFS($A:$A,$A129,$B:$B,$B129)&gt;1,"تأكيد مكرر لنفس الفترة والبند",IF($D129="","اسم المؤكِّد ناقص",IF(NOT(ISNUMBER($E129)),"تاريخ التأكيد ناقص",IF(AND($C129="لا ينطبق",$F129=""),"اكتب سبب عدم الانطباق",""))))))</f>
        <v/>
      </c>
    </row>
    <row r="130">
      <c r="A130" s="39" t="n"/>
      <c r="B130" s="39" t="n"/>
      <c r="C130" s="29" t="n"/>
      <c r="D130" s="29" t="n"/>
      <c r="E130" s="31" t="n"/>
      <c r="F130" s="29" t="n"/>
      <c r="G130" s="32">
        <f>IF(COUNTA($A130:$F130)=0,"",IF(OR($A130="",$B130=""),"الفترة أو البند ناقص",IF(COUNTIFS($A:$A,$A130,$B:$B,$B130)&gt;1,"تأكيد مكرر لنفس الفترة والبند",IF($D130="","اسم المؤكِّد ناقص",IF(NOT(ISNUMBER($E130)),"تاريخ التأكيد ناقص",IF(AND($C130="لا ينطبق",$F130=""),"اكتب سبب عدم الانطباق",""))))))</f>
        <v/>
      </c>
    </row>
    <row r="131">
      <c r="A131" s="39" t="n"/>
      <c r="B131" s="39" t="n"/>
      <c r="C131" s="29" t="n"/>
      <c r="D131" s="29" t="n"/>
      <c r="E131" s="31" t="n"/>
      <c r="F131" s="29" t="n"/>
      <c r="G131" s="32">
        <f>IF(COUNTA($A131:$F131)=0,"",IF(OR($A131="",$B131=""),"الفترة أو البند ناقص",IF(COUNTIFS($A:$A,$A131,$B:$B,$B131)&gt;1,"تأكيد مكرر لنفس الفترة والبند",IF($D131="","اسم المؤكِّد ناقص",IF(NOT(ISNUMBER($E131)),"تاريخ التأكيد ناقص",IF(AND($C131="لا ينطبق",$F131=""),"اكتب سبب عدم الانطباق",""))))))</f>
        <v/>
      </c>
    </row>
    <row r="132">
      <c r="A132" s="39" t="n"/>
      <c r="B132" s="39" t="n"/>
      <c r="C132" s="29" t="n"/>
      <c r="D132" s="29" t="n"/>
      <c r="E132" s="31" t="n"/>
      <c r="F132" s="29" t="n"/>
      <c r="G132" s="32">
        <f>IF(COUNTA($A132:$F132)=0,"",IF(OR($A132="",$B132=""),"الفترة أو البند ناقص",IF(COUNTIFS($A:$A,$A132,$B:$B,$B132)&gt;1,"تأكيد مكرر لنفس الفترة والبند",IF($D132="","اسم المؤكِّد ناقص",IF(NOT(ISNUMBER($E132)),"تاريخ التأكيد ناقص",IF(AND($C132="لا ينطبق",$F132=""),"اكتب سبب عدم الانطباق",""))))))</f>
        <v/>
      </c>
    </row>
    <row r="133">
      <c r="A133" s="39" t="n"/>
      <c r="B133" s="39" t="n"/>
      <c r="C133" s="29" t="n"/>
      <c r="D133" s="29" t="n"/>
      <c r="E133" s="31" t="n"/>
      <c r="F133" s="29" t="n"/>
      <c r="G133" s="32">
        <f>IF(COUNTA($A133:$F133)=0,"",IF(OR($A133="",$B133=""),"الفترة أو البند ناقص",IF(COUNTIFS($A:$A,$A133,$B:$B,$B133)&gt;1,"تأكيد مكرر لنفس الفترة والبند",IF($D133="","اسم المؤكِّد ناقص",IF(NOT(ISNUMBER($E133)),"تاريخ التأكيد ناقص",IF(AND($C133="لا ينطبق",$F133=""),"اكتب سبب عدم الانطباق",""))))))</f>
        <v/>
      </c>
    </row>
    <row r="134">
      <c r="A134" s="39" t="n"/>
      <c r="B134" s="39" t="n"/>
      <c r="C134" s="29" t="n"/>
      <c r="D134" s="29" t="n"/>
      <c r="E134" s="31" t="n"/>
      <c r="F134" s="29" t="n"/>
      <c r="G134" s="32">
        <f>IF(COUNTA($A134:$F134)=0,"",IF(OR($A134="",$B134=""),"الفترة أو البند ناقص",IF(COUNTIFS($A:$A,$A134,$B:$B,$B134)&gt;1,"تأكيد مكرر لنفس الفترة والبند",IF($D134="","اسم المؤكِّد ناقص",IF(NOT(ISNUMBER($E134)),"تاريخ التأكيد ناقص",IF(AND($C134="لا ينطبق",$F134=""),"اكتب سبب عدم الانطباق",""))))))</f>
        <v/>
      </c>
    </row>
    <row r="135">
      <c r="A135" s="39" t="n"/>
      <c r="B135" s="39" t="n"/>
      <c r="C135" s="29" t="n"/>
      <c r="D135" s="29" t="n"/>
      <c r="E135" s="31" t="n"/>
      <c r="F135" s="29" t="n"/>
      <c r="G135" s="32">
        <f>IF(COUNTA($A135:$F135)=0,"",IF(OR($A135="",$B135=""),"الفترة أو البند ناقص",IF(COUNTIFS($A:$A,$A135,$B:$B,$B135)&gt;1,"تأكيد مكرر لنفس الفترة والبند",IF($D135="","اسم المؤكِّد ناقص",IF(NOT(ISNUMBER($E135)),"تاريخ التأكيد ناقص",IF(AND($C135="لا ينطبق",$F135=""),"اكتب سبب عدم الانطباق",""))))))</f>
        <v/>
      </c>
    </row>
    <row r="136">
      <c r="A136" s="39" t="n"/>
      <c r="B136" s="39" t="n"/>
      <c r="C136" s="29" t="n"/>
      <c r="D136" s="29" t="n"/>
      <c r="E136" s="31" t="n"/>
      <c r="F136" s="29" t="n"/>
      <c r="G136" s="32">
        <f>IF(COUNTA($A136:$F136)=0,"",IF(OR($A136="",$B136=""),"الفترة أو البند ناقص",IF(COUNTIFS($A:$A,$A136,$B:$B,$B136)&gt;1,"تأكيد مكرر لنفس الفترة والبند",IF($D136="","اسم المؤكِّد ناقص",IF(NOT(ISNUMBER($E136)),"تاريخ التأكيد ناقص",IF(AND($C136="لا ينطبق",$F136=""),"اكتب سبب عدم الانطباق",""))))))</f>
        <v/>
      </c>
    </row>
    <row r="137">
      <c r="A137" s="39" t="n"/>
      <c r="B137" s="39" t="n"/>
      <c r="C137" s="29" t="n"/>
      <c r="D137" s="29" t="n"/>
      <c r="E137" s="31" t="n"/>
      <c r="F137" s="29" t="n"/>
      <c r="G137" s="32">
        <f>IF(COUNTA($A137:$F137)=0,"",IF(OR($A137="",$B137=""),"الفترة أو البند ناقص",IF(COUNTIFS($A:$A,$A137,$B:$B,$B137)&gt;1,"تأكيد مكرر لنفس الفترة والبند",IF($D137="","اسم المؤكِّد ناقص",IF(NOT(ISNUMBER($E137)),"تاريخ التأكيد ناقص",IF(AND($C137="لا ينطبق",$F137=""),"اكتب سبب عدم الانطباق",""))))))</f>
        <v/>
      </c>
    </row>
    <row r="138">
      <c r="A138" s="39" t="n"/>
      <c r="B138" s="39" t="n"/>
      <c r="C138" s="29" t="n"/>
      <c r="D138" s="29" t="n"/>
      <c r="E138" s="31" t="n"/>
      <c r="F138" s="29" t="n"/>
      <c r="G138" s="32">
        <f>IF(COUNTA($A138:$F138)=0,"",IF(OR($A138="",$B138=""),"الفترة أو البند ناقص",IF(COUNTIFS($A:$A,$A138,$B:$B,$B138)&gt;1,"تأكيد مكرر لنفس الفترة والبند",IF($D138="","اسم المؤكِّد ناقص",IF(NOT(ISNUMBER($E138)),"تاريخ التأكيد ناقص",IF(AND($C138="لا ينطبق",$F138=""),"اكتب سبب عدم الانطباق",""))))))</f>
        <v/>
      </c>
    </row>
    <row r="139">
      <c r="A139" s="39" t="n"/>
      <c r="B139" s="39" t="n"/>
      <c r="C139" s="29" t="n"/>
      <c r="D139" s="29" t="n"/>
      <c r="E139" s="31" t="n"/>
      <c r="F139" s="29" t="n"/>
      <c r="G139" s="32">
        <f>IF(COUNTA($A139:$F139)=0,"",IF(OR($A139="",$B139=""),"الفترة أو البند ناقص",IF(COUNTIFS($A:$A,$A139,$B:$B,$B139)&gt;1,"تأكيد مكرر لنفس الفترة والبند",IF($D139="","اسم المؤكِّد ناقص",IF(NOT(ISNUMBER($E139)),"تاريخ التأكيد ناقص",IF(AND($C139="لا ينطبق",$F139=""),"اكتب سبب عدم الانطباق",""))))))</f>
        <v/>
      </c>
    </row>
    <row r="140">
      <c r="A140" s="39" t="n"/>
      <c r="B140" s="39" t="n"/>
      <c r="C140" s="29" t="n"/>
      <c r="D140" s="29" t="n"/>
      <c r="E140" s="31" t="n"/>
      <c r="F140" s="29" t="n"/>
      <c r="G140" s="32">
        <f>IF(COUNTA($A140:$F140)=0,"",IF(OR($A140="",$B140=""),"الفترة أو البند ناقص",IF(COUNTIFS($A:$A,$A140,$B:$B,$B140)&gt;1,"تأكيد مكرر لنفس الفترة والبند",IF($D140="","اسم المؤكِّد ناقص",IF(NOT(ISNUMBER($E140)),"تاريخ التأكيد ناقص",IF(AND($C140="لا ينطبق",$F140=""),"اكتب سبب عدم الانطباق",""))))))</f>
        <v/>
      </c>
    </row>
    <row r="141">
      <c r="A141" s="39" t="n"/>
      <c r="B141" s="39" t="n"/>
      <c r="C141" s="29" t="n"/>
      <c r="D141" s="29" t="n"/>
      <c r="E141" s="31" t="n"/>
      <c r="F141" s="29" t="n"/>
      <c r="G141" s="32">
        <f>IF(COUNTA($A141:$F141)=0,"",IF(OR($A141="",$B141=""),"الفترة أو البند ناقص",IF(COUNTIFS($A:$A,$A141,$B:$B,$B141)&gt;1,"تأكيد مكرر لنفس الفترة والبند",IF($D141="","اسم المؤكِّد ناقص",IF(NOT(ISNUMBER($E141)),"تاريخ التأكيد ناقص",IF(AND($C141="لا ينطبق",$F141=""),"اكتب سبب عدم الانطباق",""))))))</f>
        <v/>
      </c>
    </row>
    <row r="142">
      <c r="A142" s="39" t="n"/>
      <c r="B142" s="39" t="n"/>
      <c r="C142" s="29" t="n"/>
      <c r="D142" s="29" t="n"/>
      <c r="E142" s="31" t="n"/>
      <c r="F142" s="29" t="n"/>
      <c r="G142" s="32">
        <f>IF(COUNTA($A142:$F142)=0,"",IF(OR($A142="",$B142=""),"الفترة أو البند ناقص",IF(COUNTIFS($A:$A,$A142,$B:$B,$B142)&gt;1,"تأكيد مكرر لنفس الفترة والبند",IF($D142="","اسم المؤكِّد ناقص",IF(NOT(ISNUMBER($E142)),"تاريخ التأكيد ناقص",IF(AND($C142="لا ينطبق",$F142=""),"اكتب سبب عدم الانطباق",""))))))</f>
        <v/>
      </c>
    </row>
    <row r="143">
      <c r="A143" s="39" t="n"/>
      <c r="B143" s="39" t="n"/>
      <c r="C143" s="29" t="n"/>
      <c r="D143" s="29" t="n"/>
      <c r="E143" s="31" t="n"/>
      <c r="F143" s="29" t="n"/>
      <c r="G143" s="32">
        <f>IF(COUNTA($A143:$F143)=0,"",IF(OR($A143="",$B143=""),"الفترة أو البند ناقص",IF(COUNTIFS($A:$A,$A143,$B:$B,$B143)&gt;1,"تأكيد مكرر لنفس الفترة والبند",IF($D143="","اسم المؤكِّد ناقص",IF(NOT(ISNUMBER($E143)),"تاريخ التأكيد ناقص",IF(AND($C143="لا ينطبق",$F143=""),"اكتب سبب عدم الانطباق",""))))))</f>
        <v/>
      </c>
    </row>
    <row r="144">
      <c r="A144" s="39" t="n"/>
      <c r="B144" s="39" t="n"/>
      <c r="C144" s="29" t="n"/>
      <c r="D144" s="29" t="n"/>
      <c r="E144" s="31" t="n"/>
      <c r="F144" s="29" t="n"/>
      <c r="G144" s="32">
        <f>IF(COUNTA($A144:$F144)=0,"",IF(OR($A144="",$B144=""),"الفترة أو البند ناقص",IF(COUNTIFS($A:$A,$A144,$B:$B,$B144)&gt;1,"تأكيد مكرر لنفس الفترة والبند",IF($D144="","اسم المؤكِّد ناقص",IF(NOT(ISNUMBER($E144)),"تاريخ التأكيد ناقص",IF(AND($C144="لا ينطبق",$F144=""),"اكتب سبب عدم الانطباق",""))))))</f>
        <v/>
      </c>
    </row>
    <row r="145">
      <c r="A145" s="39" t="n"/>
      <c r="B145" s="39" t="n"/>
      <c r="C145" s="29" t="n"/>
      <c r="D145" s="29" t="n"/>
      <c r="E145" s="31" t="n"/>
      <c r="F145" s="29" t="n"/>
      <c r="G145" s="32">
        <f>IF(COUNTA($A145:$F145)=0,"",IF(OR($A145="",$B145=""),"الفترة أو البند ناقص",IF(COUNTIFS($A:$A,$A145,$B:$B,$B145)&gt;1,"تأكيد مكرر لنفس الفترة والبند",IF($D145="","اسم المؤكِّد ناقص",IF(NOT(ISNUMBER($E145)),"تاريخ التأكيد ناقص",IF(AND($C145="لا ينطبق",$F145=""),"اكتب سبب عدم الانطباق",""))))))</f>
        <v/>
      </c>
    </row>
    <row r="146">
      <c r="A146" s="39" t="n"/>
      <c r="B146" s="39" t="n"/>
      <c r="C146" s="29" t="n"/>
      <c r="D146" s="29" t="n"/>
      <c r="E146" s="31" t="n"/>
      <c r="F146" s="29" t="n"/>
      <c r="G146" s="32">
        <f>IF(COUNTA($A146:$F146)=0,"",IF(OR($A146="",$B146=""),"الفترة أو البند ناقص",IF(COUNTIFS($A:$A,$A146,$B:$B,$B146)&gt;1,"تأكيد مكرر لنفس الفترة والبند",IF($D146="","اسم المؤكِّد ناقص",IF(NOT(ISNUMBER($E146)),"تاريخ التأكيد ناقص",IF(AND($C146="لا ينطبق",$F146=""),"اكتب سبب عدم الانطباق",""))))))</f>
        <v/>
      </c>
    </row>
    <row r="147">
      <c r="A147" s="39" t="n"/>
      <c r="B147" s="39" t="n"/>
      <c r="C147" s="29" t="n"/>
      <c r="D147" s="29" t="n"/>
      <c r="E147" s="31" t="n"/>
      <c r="F147" s="29" t="n"/>
      <c r="G147" s="32">
        <f>IF(COUNTA($A147:$F147)=0,"",IF(OR($A147="",$B147=""),"الفترة أو البند ناقص",IF(COUNTIFS($A:$A,$A147,$B:$B,$B147)&gt;1,"تأكيد مكرر لنفس الفترة والبند",IF($D147="","اسم المؤكِّد ناقص",IF(NOT(ISNUMBER($E147)),"تاريخ التأكيد ناقص",IF(AND($C147="لا ينطبق",$F147=""),"اكتب سبب عدم الانطباق",""))))))</f>
        <v/>
      </c>
    </row>
    <row r="148">
      <c r="A148" s="39" t="n"/>
      <c r="B148" s="39" t="n"/>
      <c r="C148" s="29" t="n"/>
      <c r="D148" s="29" t="n"/>
      <c r="E148" s="31" t="n"/>
      <c r="F148" s="29" t="n"/>
      <c r="G148" s="32">
        <f>IF(COUNTA($A148:$F148)=0,"",IF(OR($A148="",$B148=""),"الفترة أو البند ناقص",IF(COUNTIFS($A:$A,$A148,$B:$B,$B148)&gt;1,"تأكيد مكرر لنفس الفترة والبند",IF($D148="","اسم المؤكِّد ناقص",IF(NOT(ISNUMBER($E148)),"تاريخ التأكيد ناقص",IF(AND($C148="لا ينطبق",$F148=""),"اكتب سبب عدم الانطباق",""))))))</f>
        <v/>
      </c>
    </row>
    <row r="149">
      <c r="A149" s="39" t="n"/>
      <c r="B149" s="39" t="n"/>
      <c r="C149" s="29" t="n"/>
      <c r="D149" s="29" t="n"/>
      <c r="E149" s="31" t="n"/>
      <c r="F149" s="29" t="n"/>
      <c r="G149" s="32">
        <f>IF(COUNTA($A149:$F149)=0,"",IF(OR($A149="",$B149=""),"الفترة أو البند ناقص",IF(COUNTIFS($A:$A,$A149,$B:$B,$B149)&gt;1,"تأكيد مكرر لنفس الفترة والبند",IF($D149="","اسم المؤكِّد ناقص",IF(NOT(ISNUMBER($E149)),"تاريخ التأكيد ناقص",IF(AND($C149="لا ينطبق",$F149=""),"اكتب سبب عدم الانطباق",""))))))</f>
        <v/>
      </c>
    </row>
    <row r="150">
      <c r="A150" s="39" t="n"/>
      <c r="B150" s="39" t="n"/>
      <c r="C150" s="29" t="n"/>
      <c r="D150" s="29" t="n"/>
      <c r="E150" s="31" t="n"/>
      <c r="F150" s="29" t="n"/>
      <c r="G150" s="32">
        <f>IF(COUNTA($A150:$F150)=0,"",IF(OR($A150="",$B150=""),"الفترة أو البند ناقص",IF(COUNTIFS($A:$A,$A150,$B:$B,$B150)&gt;1,"تأكيد مكرر لنفس الفترة والبند",IF($D150="","اسم المؤكِّد ناقص",IF(NOT(ISNUMBER($E150)),"تاريخ التأكيد ناقص",IF(AND($C150="لا ينطبق",$F150=""),"اكتب سبب عدم الانطباق",""))))))</f>
        <v/>
      </c>
    </row>
    <row r="151">
      <c r="A151" s="39" t="n"/>
      <c r="B151" s="39" t="n"/>
      <c r="C151" s="29" t="n"/>
      <c r="D151" s="29" t="n"/>
      <c r="E151" s="31" t="n"/>
      <c r="F151" s="29" t="n"/>
      <c r="G151" s="32">
        <f>IF(COUNTA($A151:$F151)=0,"",IF(OR($A151="",$B151=""),"الفترة أو البند ناقص",IF(COUNTIFS($A:$A,$A151,$B:$B,$B151)&gt;1,"تأكيد مكرر لنفس الفترة والبند",IF($D151="","اسم المؤكِّد ناقص",IF(NOT(ISNUMBER($E151)),"تاريخ التأكيد ناقص",IF(AND($C151="لا ينطبق",$F151=""),"اكتب سبب عدم الانطباق",""))))))</f>
        <v/>
      </c>
    </row>
    <row r="152">
      <c r="A152" s="39" t="n"/>
      <c r="B152" s="39" t="n"/>
      <c r="C152" s="29" t="n"/>
      <c r="D152" s="29" t="n"/>
      <c r="E152" s="31" t="n"/>
      <c r="F152" s="29" t="n"/>
      <c r="G152" s="32">
        <f>IF(COUNTA($A152:$F152)=0,"",IF(OR($A152="",$B152=""),"الفترة أو البند ناقص",IF(COUNTIFS($A:$A,$A152,$B:$B,$B152)&gt;1,"تأكيد مكرر لنفس الفترة والبند",IF($D152="","اسم المؤكِّد ناقص",IF(NOT(ISNUMBER($E152)),"تاريخ التأكيد ناقص",IF(AND($C152="لا ينطبق",$F152=""),"اكتب سبب عدم الانطباق",""))))))</f>
        <v/>
      </c>
    </row>
    <row r="153">
      <c r="A153" s="39" t="n"/>
      <c r="B153" s="39" t="n"/>
      <c r="C153" s="29" t="n"/>
      <c r="D153" s="29" t="n"/>
      <c r="E153" s="31" t="n"/>
      <c r="F153" s="29" t="n"/>
      <c r="G153" s="32">
        <f>IF(COUNTA($A153:$F153)=0,"",IF(OR($A153="",$B153=""),"الفترة أو البند ناقص",IF(COUNTIFS($A:$A,$A153,$B:$B,$B153)&gt;1,"تأكيد مكرر لنفس الفترة والبند",IF($D153="","اسم المؤكِّد ناقص",IF(NOT(ISNUMBER($E153)),"تاريخ التأكيد ناقص",IF(AND($C153="لا ينطبق",$F153=""),"اكتب سبب عدم الانطباق",""))))))</f>
        <v/>
      </c>
    </row>
    <row r="154">
      <c r="A154" s="39" t="n"/>
      <c r="B154" s="39" t="n"/>
      <c r="C154" s="29" t="n"/>
      <c r="D154" s="29" t="n"/>
      <c r="E154" s="31" t="n"/>
      <c r="F154" s="29" t="n"/>
      <c r="G154" s="32">
        <f>IF(COUNTA($A154:$F154)=0,"",IF(OR($A154="",$B154=""),"الفترة أو البند ناقص",IF(COUNTIFS($A:$A,$A154,$B:$B,$B154)&gt;1,"تأكيد مكرر لنفس الفترة والبند",IF($D154="","اسم المؤكِّد ناقص",IF(NOT(ISNUMBER($E154)),"تاريخ التأكيد ناقص",IF(AND($C154="لا ينطبق",$F154=""),"اكتب سبب عدم الانطباق",""))))))</f>
        <v/>
      </c>
    </row>
    <row r="155">
      <c r="A155" s="39" t="n"/>
      <c r="B155" s="39" t="n"/>
      <c r="C155" s="29" t="n"/>
      <c r="D155" s="29" t="n"/>
      <c r="E155" s="31" t="n"/>
      <c r="F155" s="29" t="n"/>
      <c r="G155" s="32">
        <f>IF(COUNTA($A155:$F155)=0,"",IF(OR($A155="",$B155=""),"الفترة أو البند ناقص",IF(COUNTIFS($A:$A,$A155,$B:$B,$B155)&gt;1,"تأكيد مكرر لنفس الفترة والبند",IF($D155="","اسم المؤكِّد ناقص",IF(NOT(ISNUMBER($E155)),"تاريخ التأكيد ناقص",IF(AND($C155="لا ينطبق",$F155=""),"اكتب سبب عدم الانطباق",""))))))</f>
        <v/>
      </c>
    </row>
    <row r="156">
      <c r="A156" s="39" t="n"/>
      <c r="B156" s="39" t="n"/>
      <c r="C156" s="29" t="n"/>
      <c r="D156" s="29" t="n"/>
      <c r="E156" s="31" t="n"/>
      <c r="F156" s="29" t="n"/>
      <c r="G156" s="32">
        <f>IF(COUNTA($A156:$F156)=0,"",IF(OR($A156="",$B156=""),"الفترة أو البند ناقص",IF(COUNTIFS($A:$A,$A156,$B:$B,$B156)&gt;1,"تأكيد مكرر لنفس الفترة والبند",IF($D156="","اسم المؤكِّد ناقص",IF(NOT(ISNUMBER($E156)),"تاريخ التأكيد ناقص",IF(AND($C156="لا ينطبق",$F156=""),"اكتب سبب عدم الانطباق",""))))))</f>
        <v/>
      </c>
    </row>
    <row r="157">
      <c r="A157" s="39" t="n"/>
      <c r="B157" s="39" t="n"/>
      <c r="C157" s="29" t="n"/>
      <c r="D157" s="29" t="n"/>
      <c r="E157" s="31" t="n"/>
      <c r="F157" s="29" t="n"/>
      <c r="G157" s="32">
        <f>IF(COUNTA($A157:$F157)=0,"",IF(OR($A157="",$B157=""),"الفترة أو البند ناقص",IF(COUNTIFS($A:$A,$A157,$B:$B,$B157)&gt;1,"تأكيد مكرر لنفس الفترة والبند",IF($D157="","اسم المؤكِّد ناقص",IF(NOT(ISNUMBER($E157)),"تاريخ التأكيد ناقص",IF(AND($C157="لا ينطبق",$F157=""),"اكتب سبب عدم الانطباق",""))))))</f>
        <v/>
      </c>
    </row>
    <row r="158">
      <c r="A158" s="39" t="n"/>
      <c r="B158" s="39" t="n"/>
      <c r="C158" s="29" t="n"/>
      <c r="D158" s="29" t="n"/>
      <c r="E158" s="31" t="n"/>
      <c r="F158" s="29" t="n"/>
      <c r="G158" s="32">
        <f>IF(COUNTA($A158:$F158)=0,"",IF(OR($A158="",$B158=""),"الفترة أو البند ناقص",IF(COUNTIFS($A:$A,$A158,$B:$B,$B158)&gt;1,"تأكيد مكرر لنفس الفترة والبند",IF($D158="","اسم المؤكِّد ناقص",IF(NOT(ISNUMBER($E158)),"تاريخ التأكيد ناقص",IF(AND($C158="لا ينطبق",$F158=""),"اكتب سبب عدم الانطباق",""))))))</f>
        <v/>
      </c>
    </row>
    <row r="159">
      <c r="A159" s="39" t="n"/>
      <c r="B159" s="39" t="n"/>
      <c r="C159" s="29" t="n"/>
      <c r="D159" s="29" t="n"/>
      <c r="E159" s="31" t="n"/>
      <c r="F159" s="29" t="n"/>
      <c r="G159" s="32">
        <f>IF(COUNTA($A159:$F159)=0,"",IF(OR($A159="",$B159=""),"الفترة أو البند ناقص",IF(COUNTIFS($A:$A,$A159,$B:$B,$B159)&gt;1,"تأكيد مكرر لنفس الفترة والبند",IF($D159="","اسم المؤكِّد ناقص",IF(NOT(ISNUMBER($E159)),"تاريخ التأكيد ناقص",IF(AND($C159="لا ينطبق",$F159=""),"اكتب سبب عدم الانطباق",""))))))</f>
        <v/>
      </c>
    </row>
    <row r="160">
      <c r="A160" s="39" t="n"/>
      <c r="B160" s="39" t="n"/>
      <c r="C160" s="29" t="n"/>
      <c r="D160" s="29" t="n"/>
      <c r="E160" s="31" t="n"/>
      <c r="F160" s="29" t="n"/>
      <c r="G160" s="32">
        <f>IF(COUNTA($A160:$F160)=0,"",IF(OR($A160="",$B160=""),"الفترة أو البند ناقص",IF(COUNTIFS($A:$A,$A160,$B:$B,$B160)&gt;1,"تأكيد مكرر لنفس الفترة والبند",IF($D160="","اسم المؤكِّد ناقص",IF(NOT(ISNUMBER($E160)),"تاريخ التأكيد ناقص",IF(AND($C160="لا ينطبق",$F160=""),"اكتب سبب عدم الانطباق",""))))))</f>
        <v/>
      </c>
    </row>
    <row r="161">
      <c r="A161" s="39" t="n"/>
      <c r="B161" s="39" t="n"/>
      <c r="C161" s="29" t="n"/>
      <c r="D161" s="29" t="n"/>
      <c r="E161" s="31" t="n"/>
      <c r="F161" s="29" t="n"/>
      <c r="G161" s="32">
        <f>IF(COUNTA($A161:$F161)=0,"",IF(OR($A161="",$B161=""),"الفترة أو البند ناقص",IF(COUNTIFS($A:$A,$A161,$B:$B,$B161)&gt;1,"تأكيد مكرر لنفس الفترة والبند",IF($D161="","اسم المؤكِّد ناقص",IF(NOT(ISNUMBER($E161)),"تاريخ التأكيد ناقص",IF(AND($C161="لا ينطبق",$F161=""),"اكتب سبب عدم الانطباق",""))))))</f>
        <v/>
      </c>
    </row>
    <row r="162">
      <c r="A162" s="39" t="n"/>
      <c r="B162" s="39" t="n"/>
      <c r="C162" s="29" t="n"/>
      <c r="D162" s="29" t="n"/>
      <c r="E162" s="31" t="n"/>
      <c r="F162" s="29" t="n"/>
      <c r="G162" s="32">
        <f>IF(COUNTA($A162:$F162)=0,"",IF(OR($A162="",$B162=""),"الفترة أو البند ناقص",IF(COUNTIFS($A:$A,$A162,$B:$B,$B162)&gt;1,"تأكيد مكرر لنفس الفترة والبند",IF($D162="","اسم المؤكِّد ناقص",IF(NOT(ISNUMBER($E162)),"تاريخ التأكيد ناقص",IF(AND($C162="لا ينطبق",$F162=""),"اكتب سبب عدم الانطباق",""))))))</f>
        <v/>
      </c>
    </row>
    <row r="163">
      <c r="A163" s="39" t="n"/>
      <c r="B163" s="39" t="n"/>
      <c r="C163" s="29" t="n"/>
      <c r="D163" s="29" t="n"/>
      <c r="E163" s="31" t="n"/>
      <c r="F163" s="29" t="n"/>
      <c r="G163" s="32">
        <f>IF(COUNTA($A163:$F163)=0,"",IF(OR($A163="",$B163=""),"الفترة أو البند ناقص",IF(COUNTIFS($A:$A,$A163,$B:$B,$B163)&gt;1,"تأكيد مكرر لنفس الفترة والبند",IF($D163="","اسم المؤكِّد ناقص",IF(NOT(ISNUMBER($E163)),"تاريخ التأكيد ناقص",IF(AND($C163="لا ينطبق",$F163=""),"اكتب سبب عدم الانطباق",""))))))</f>
        <v/>
      </c>
    </row>
    <row r="164">
      <c r="A164" s="39" t="n"/>
      <c r="B164" s="39" t="n"/>
      <c r="C164" s="29" t="n"/>
      <c r="D164" s="29" t="n"/>
      <c r="E164" s="31" t="n"/>
      <c r="F164" s="29" t="n"/>
      <c r="G164" s="32">
        <f>IF(COUNTA($A164:$F164)=0,"",IF(OR($A164="",$B164=""),"الفترة أو البند ناقص",IF(COUNTIFS($A:$A,$A164,$B:$B,$B164)&gt;1,"تأكيد مكرر لنفس الفترة والبند",IF($D164="","اسم المؤكِّد ناقص",IF(NOT(ISNUMBER($E164)),"تاريخ التأكيد ناقص",IF(AND($C164="لا ينطبق",$F164=""),"اكتب سبب عدم الانطباق",""))))))</f>
        <v/>
      </c>
    </row>
    <row r="165">
      <c r="A165" s="39" t="n"/>
      <c r="B165" s="39" t="n"/>
      <c r="C165" s="29" t="n"/>
      <c r="D165" s="29" t="n"/>
      <c r="E165" s="31" t="n"/>
      <c r="F165" s="29" t="n"/>
      <c r="G165" s="32">
        <f>IF(COUNTA($A165:$F165)=0,"",IF(OR($A165="",$B165=""),"الفترة أو البند ناقص",IF(COUNTIFS($A:$A,$A165,$B:$B,$B165)&gt;1,"تأكيد مكرر لنفس الفترة والبند",IF($D165="","اسم المؤكِّد ناقص",IF(NOT(ISNUMBER($E165)),"تاريخ التأكيد ناقص",IF(AND($C165="لا ينطبق",$F165=""),"اكتب سبب عدم الانطباق",""))))))</f>
        <v/>
      </c>
    </row>
    <row r="166">
      <c r="A166" s="39" t="n"/>
      <c r="B166" s="39" t="n"/>
      <c r="C166" s="29" t="n"/>
      <c r="D166" s="29" t="n"/>
      <c r="E166" s="31" t="n"/>
      <c r="F166" s="29" t="n"/>
      <c r="G166" s="32">
        <f>IF(COUNTA($A166:$F166)=0,"",IF(OR($A166="",$B166=""),"الفترة أو البند ناقص",IF(COUNTIFS($A:$A,$A166,$B:$B,$B166)&gt;1,"تأكيد مكرر لنفس الفترة والبند",IF($D166="","اسم المؤكِّد ناقص",IF(NOT(ISNUMBER($E166)),"تاريخ التأكيد ناقص",IF(AND($C166="لا ينطبق",$F166=""),"اكتب سبب عدم الانطباق",""))))))</f>
        <v/>
      </c>
    </row>
    <row r="167">
      <c r="A167" s="39" t="n"/>
      <c r="B167" s="39" t="n"/>
      <c r="C167" s="29" t="n"/>
      <c r="D167" s="29" t="n"/>
      <c r="E167" s="31" t="n"/>
      <c r="F167" s="29" t="n"/>
      <c r="G167" s="32">
        <f>IF(COUNTA($A167:$F167)=0,"",IF(OR($A167="",$B167=""),"الفترة أو البند ناقص",IF(COUNTIFS($A:$A,$A167,$B:$B,$B167)&gt;1,"تأكيد مكرر لنفس الفترة والبند",IF($D167="","اسم المؤكِّد ناقص",IF(NOT(ISNUMBER($E167)),"تاريخ التأكيد ناقص",IF(AND($C167="لا ينطبق",$F167=""),"اكتب سبب عدم الانطباق",""))))))</f>
        <v/>
      </c>
    </row>
    <row r="168">
      <c r="A168" s="39" t="n"/>
      <c r="B168" s="39" t="n"/>
      <c r="C168" s="29" t="n"/>
      <c r="D168" s="29" t="n"/>
      <c r="E168" s="31" t="n"/>
      <c r="F168" s="29" t="n"/>
      <c r="G168" s="32">
        <f>IF(COUNTA($A168:$F168)=0,"",IF(OR($A168="",$B168=""),"الفترة أو البند ناقص",IF(COUNTIFS($A:$A,$A168,$B:$B,$B168)&gt;1,"تأكيد مكرر لنفس الفترة والبند",IF($D168="","اسم المؤكِّد ناقص",IF(NOT(ISNUMBER($E168)),"تاريخ التأكيد ناقص",IF(AND($C168="لا ينطبق",$F168=""),"اكتب سبب عدم الانطباق",""))))))</f>
        <v/>
      </c>
    </row>
    <row r="169">
      <c r="A169" s="39" t="n"/>
      <c r="B169" s="39" t="n"/>
      <c r="C169" s="29" t="n"/>
      <c r="D169" s="29" t="n"/>
      <c r="E169" s="31" t="n"/>
      <c r="F169" s="29" t="n"/>
      <c r="G169" s="32">
        <f>IF(COUNTA($A169:$F169)=0,"",IF(OR($A169="",$B169=""),"الفترة أو البند ناقص",IF(COUNTIFS($A:$A,$A169,$B:$B,$B169)&gt;1,"تأكيد مكرر لنفس الفترة والبند",IF($D169="","اسم المؤكِّد ناقص",IF(NOT(ISNUMBER($E169)),"تاريخ التأكيد ناقص",IF(AND($C169="لا ينطبق",$F169=""),"اكتب سبب عدم الانطباق",""))))))</f>
        <v/>
      </c>
    </row>
    <row r="170">
      <c r="A170" s="39" t="n"/>
      <c r="B170" s="39" t="n"/>
      <c r="C170" s="29" t="n"/>
      <c r="D170" s="29" t="n"/>
      <c r="E170" s="31" t="n"/>
      <c r="F170" s="29" t="n"/>
      <c r="G170" s="32">
        <f>IF(COUNTA($A170:$F170)=0,"",IF(OR($A170="",$B170=""),"الفترة أو البند ناقص",IF(COUNTIFS($A:$A,$A170,$B:$B,$B170)&gt;1,"تأكيد مكرر لنفس الفترة والبند",IF($D170="","اسم المؤكِّد ناقص",IF(NOT(ISNUMBER($E170)),"تاريخ التأكيد ناقص",IF(AND($C170="لا ينطبق",$F170=""),"اكتب سبب عدم الانطباق",""))))))</f>
        <v/>
      </c>
    </row>
    <row r="171">
      <c r="A171" s="39" t="n"/>
      <c r="B171" s="39" t="n"/>
      <c r="C171" s="29" t="n"/>
      <c r="D171" s="29" t="n"/>
      <c r="E171" s="31" t="n"/>
      <c r="F171" s="29" t="n"/>
      <c r="G171" s="32">
        <f>IF(COUNTA($A171:$F171)=0,"",IF(OR($A171="",$B171=""),"الفترة أو البند ناقص",IF(COUNTIFS($A:$A,$A171,$B:$B,$B171)&gt;1,"تأكيد مكرر لنفس الفترة والبند",IF($D171="","اسم المؤكِّد ناقص",IF(NOT(ISNUMBER($E171)),"تاريخ التأكيد ناقص",IF(AND($C171="لا ينطبق",$F171=""),"اكتب سبب عدم الانطباق",""))))))</f>
        <v/>
      </c>
    </row>
    <row r="172">
      <c r="A172" s="39" t="n"/>
      <c r="B172" s="39" t="n"/>
      <c r="C172" s="29" t="n"/>
      <c r="D172" s="29" t="n"/>
      <c r="E172" s="31" t="n"/>
      <c r="F172" s="29" t="n"/>
      <c r="G172" s="32">
        <f>IF(COUNTA($A172:$F172)=0,"",IF(OR($A172="",$B172=""),"الفترة أو البند ناقص",IF(COUNTIFS($A:$A,$A172,$B:$B,$B172)&gt;1,"تأكيد مكرر لنفس الفترة والبند",IF($D172="","اسم المؤكِّد ناقص",IF(NOT(ISNUMBER($E172)),"تاريخ التأكيد ناقص",IF(AND($C172="لا ينطبق",$F172=""),"اكتب سبب عدم الانطباق",""))))))</f>
        <v/>
      </c>
    </row>
    <row r="173">
      <c r="A173" s="39" t="n"/>
      <c r="B173" s="39" t="n"/>
      <c r="C173" s="29" t="n"/>
      <c r="D173" s="29" t="n"/>
      <c r="E173" s="31" t="n"/>
      <c r="F173" s="29" t="n"/>
      <c r="G173" s="32">
        <f>IF(COUNTA($A173:$F173)=0,"",IF(OR($A173="",$B173=""),"الفترة أو البند ناقص",IF(COUNTIFS($A:$A,$A173,$B:$B,$B173)&gt;1,"تأكيد مكرر لنفس الفترة والبند",IF($D173="","اسم المؤكِّد ناقص",IF(NOT(ISNUMBER($E173)),"تاريخ التأكيد ناقص",IF(AND($C173="لا ينطبق",$F173=""),"اكتب سبب عدم الانطباق",""))))))</f>
        <v/>
      </c>
    </row>
    <row r="174">
      <c r="A174" s="39" t="n"/>
      <c r="B174" s="39" t="n"/>
      <c r="C174" s="29" t="n"/>
      <c r="D174" s="29" t="n"/>
      <c r="E174" s="31" t="n"/>
      <c r="F174" s="29" t="n"/>
      <c r="G174" s="32">
        <f>IF(COUNTA($A174:$F174)=0,"",IF(OR($A174="",$B174=""),"الفترة أو البند ناقص",IF(COUNTIFS($A:$A,$A174,$B:$B,$B174)&gt;1,"تأكيد مكرر لنفس الفترة والبند",IF($D174="","اسم المؤكِّد ناقص",IF(NOT(ISNUMBER($E174)),"تاريخ التأكيد ناقص",IF(AND($C174="لا ينطبق",$F174=""),"اكتب سبب عدم الانطباق",""))))))</f>
        <v/>
      </c>
    </row>
    <row r="175">
      <c r="A175" s="39" t="n"/>
      <c r="B175" s="39" t="n"/>
      <c r="C175" s="29" t="n"/>
      <c r="D175" s="29" t="n"/>
      <c r="E175" s="31" t="n"/>
      <c r="F175" s="29" t="n"/>
      <c r="G175" s="32">
        <f>IF(COUNTA($A175:$F175)=0,"",IF(OR($A175="",$B175=""),"الفترة أو البند ناقص",IF(COUNTIFS($A:$A,$A175,$B:$B,$B175)&gt;1,"تأكيد مكرر لنفس الفترة والبند",IF($D175="","اسم المؤكِّد ناقص",IF(NOT(ISNUMBER($E175)),"تاريخ التأكيد ناقص",IF(AND($C175="لا ينطبق",$F175=""),"اكتب سبب عدم الانطباق",""))))))</f>
        <v/>
      </c>
    </row>
    <row r="176">
      <c r="A176" s="39" t="n"/>
      <c r="B176" s="39" t="n"/>
      <c r="C176" s="29" t="n"/>
      <c r="D176" s="29" t="n"/>
      <c r="E176" s="31" t="n"/>
      <c r="F176" s="29" t="n"/>
      <c r="G176" s="32">
        <f>IF(COUNTA($A176:$F176)=0,"",IF(OR($A176="",$B176=""),"الفترة أو البند ناقص",IF(COUNTIFS($A:$A,$A176,$B:$B,$B176)&gt;1,"تأكيد مكرر لنفس الفترة والبند",IF($D176="","اسم المؤكِّد ناقص",IF(NOT(ISNUMBER($E176)),"تاريخ التأكيد ناقص",IF(AND($C176="لا ينطبق",$F176=""),"اكتب سبب عدم الانطباق",""))))))</f>
        <v/>
      </c>
    </row>
    <row r="177">
      <c r="A177" s="39" t="n"/>
      <c r="B177" s="39" t="n"/>
      <c r="C177" s="29" t="n"/>
      <c r="D177" s="29" t="n"/>
      <c r="E177" s="31" t="n"/>
      <c r="F177" s="29" t="n"/>
      <c r="G177" s="32">
        <f>IF(COUNTA($A177:$F177)=0,"",IF(OR($A177="",$B177=""),"الفترة أو البند ناقص",IF(COUNTIFS($A:$A,$A177,$B:$B,$B177)&gt;1,"تأكيد مكرر لنفس الفترة والبند",IF($D177="","اسم المؤكِّد ناقص",IF(NOT(ISNUMBER($E177)),"تاريخ التأكيد ناقص",IF(AND($C177="لا ينطبق",$F177=""),"اكتب سبب عدم الانطباق",""))))))</f>
        <v/>
      </c>
    </row>
    <row r="178">
      <c r="A178" s="39" t="n"/>
      <c r="B178" s="39" t="n"/>
      <c r="C178" s="29" t="n"/>
      <c r="D178" s="29" t="n"/>
      <c r="E178" s="31" t="n"/>
      <c r="F178" s="29" t="n"/>
      <c r="G178" s="32">
        <f>IF(COUNTA($A178:$F178)=0,"",IF(OR($A178="",$B178=""),"الفترة أو البند ناقص",IF(COUNTIFS($A:$A,$A178,$B:$B,$B178)&gt;1,"تأكيد مكرر لنفس الفترة والبند",IF($D178="","اسم المؤكِّد ناقص",IF(NOT(ISNUMBER($E178)),"تاريخ التأكيد ناقص",IF(AND($C178="لا ينطبق",$F178=""),"اكتب سبب عدم الانطباق",""))))))</f>
        <v/>
      </c>
    </row>
    <row r="179">
      <c r="A179" s="39" t="n"/>
      <c r="B179" s="39" t="n"/>
      <c r="C179" s="29" t="n"/>
      <c r="D179" s="29" t="n"/>
      <c r="E179" s="31" t="n"/>
      <c r="F179" s="29" t="n"/>
      <c r="G179" s="32">
        <f>IF(COUNTA($A179:$F179)=0,"",IF(OR($A179="",$B179=""),"الفترة أو البند ناقص",IF(COUNTIFS($A:$A,$A179,$B:$B,$B179)&gt;1,"تأكيد مكرر لنفس الفترة والبند",IF($D179="","اسم المؤكِّد ناقص",IF(NOT(ISNUMBER($E179)),"تاريخ التأكيد ناقص",IF(AND($C179="لا ينطبق",$F179=""),"اكتب سبب عدم الانطباق",""))))))</f>
        <v/>
      </c>
    </row>
    <row r="180">
      <c r="A180" s="39" t="n"/>
      <c r="B180" s="39" t="n"/>
      <c r="C180" s="29" t="n"/>
      <c r="D180" s="29" t="n"/>
      <c r="E180" s="31" t="n"/>
      <c r="F180" s="29" t="n"/>
      <c r="G180" s="32">
        <f>IF(COUNTA($A180:$F180)=0,"",IF(OR($A180="",$B180=""),"الفترة أو البند ناقص",IF(COUNTIFS($A:$A,$A180,$B:$B,$B180)&gt;1,"تأكيد مكرر لنفس الفترة والبند",IF($D180="","اسم المؤكِّد ناقص",IF(NOT(ISNUMBER($E180)),"تاريخ التأكيد ناقص",IF(AND($C180="لا ينطبق",$F180=""),"اكتب سبب عدم الانطباق",""))))))</f>
        <v/>
      </c>
    </row>
    <row r="181">
      <c r="A181" s="39" t="n"/>
      <c r="B181" s="39" t="n"/>
      <c r="C181" s="29" t="n"/>
      <c r="D181" s="29" t="n"/>
      <c r="E181" s="31" t="n"/>
      <c r="F181" s="29" t="n"/>
      <c r="G181" s="32">
        <f>IF(COUNTA($A181:$F181)=0,"",IF(OR($A181="",$B181=""),"الفترة أو البند ناقص",IF(COUNTIFS($A:$A,$A181,$B:$B,$B181)&gt;1,"تأكيد مكرر لنفس الفترة والبند",IF($D181="","اسم المؤكِّد ناقص",IF(NOT(ISNUMBER($E181)),"تاريخ التأكيد ناقص",IF(AND($C181="لا ينطبق",$F181=""),"اكتب سبب عدم الانطباق",""))))))</f>
        <v/>
      </c>
    </row>
    <row r="182">
      <c r="A182" s="39" t="n"/>
      <c r="B182" s="39" t="n"/>
      <c r="C182" s="29" t="n"/>
      <c r="D182" s="29" t="n"/>
      <c r="E182" s="31" t="n"/>
      <c r="F182" s="29" t="n"/>
      <c r="G182" s="32">
        <f>IF(COUNTA($A182:$F182)=0,"",IF(OR($A182="",$B182=""),"الفترة أو البند ناقص",IF(COUNTIFS($A:$A,$A182,$B:$B,$B182)&gt;1,"تأكيد مكرر لنفس الفترة والبند",IF($D182="","اسم المؤكِّد ناقص",IF(NOT(ISNUMBER($E182)),"تاريخ التأكيد ناقص",IF(AND($C182="لا ينطبق",$F182=""),"اكتب سبب عدم الانطباق",""))))))</f>
        <v/>
      </c>
    </row>
    <row r="183">
      <c r="A183" s="39" t="n"/>
      <c r="B183" s="39" t="n"/>
      <c r="C183" s="29" t="n"/>
      <c r="D183" s="29" t="n"/>
      <c r="E183" s="31" t="n"/>
      <c r="F183" s="29" t="n"/>
      <c r="G183" s="32">
        <f>IF(COUNTA($A183:$F183)=0,"",IF(OR($A183="",$B183=""),"الفترة أو البند ناقص",IF(COUNTIFS($A:$A,$A183,$B:$B,$B183)&gt;1,"تأكيد مكرر لنفس الفترة والبند",IF($D183="","اسم المؤكِّد ناقص",IF(NOT(ISNUMBER($E183)),"تاريخ التأكيد ناقص",IF(AND($C183="لا ينطبق",$F183=""),"اكتب سبب عدم الانطباق",""))))))</f>
        <v/>
      </c>
    </row>
    <row r="184">
      <c r="A184" s="39" t="n"/>
      <c r="B184" s="39" t="n"/>
      <c r="C184" s="29" t="n"/>
      <c r="D184" s="29" t="n"/>
      <c r="E184" s="31" t="n"/>
      <c r="F184" s="29" t="n"/>
      <c r="G184" s="32">
        <f>IF(COUNTA($A184:$F184)=0,"",IF(OR($A184="",$B184=""),"الفترة أو البند ناقص",IF(COUNTIFS($A:$A,$A184,$B:$B,$B184)&gt;1,"تأكيد مكرر لنفس الفترة والبند",IF($D184="","اسم المؤكِّد ناقص",IF(NOT(ISNUMBER($E184)),"تاريخ التأكيد ناقص",IF(AND($C184="لا ينطبق",$F184=""),"اكتب سبب عدم الانطباق",""))))))</f>
        <v/>
      </c>
    </row>
    <row r="185">
      <c r="A185" s="39" t="n"/>
      <c r="B185" s="39" t="n"/>
      <c r="C185" s="29" t="n"/>
      <c r="D185" s="29" t="n"/>
      <c r="E185" s="31" t="n"/>
      <c r="F185" s="29" t="n"/>
      <c r="G185" s="32">
        <f>IF(COUNTA($A185:$F185)=0,"",IF(OR($A185="",$B185=""),"الفترة أو البند ناقص",IF(COUNTIFS($A:$A,$A185,$B:$B,$B185)&gt;1,"تأكيد مكرر لنفس الفترة والبند",IF($D185="","اسم المؤكِّد ناقص",IF(NOT(ISNUMBER($E185)),"تاريخ التأكيد ناقص",IF(AND($C185="لا ينطبق",$F185=""),"اكتب سبب عدم الانطباق",""))))))</f>
        <v/>
      </c>
    </row>
    <row r="186">
      <c r="A186" s="39" t="n"/>
      <c r="B186" s="39" t="n"/>
      <c r="C186" s="29" t="n"/>
      <c r="D186" s="29" t="n"/>
      <c r="E186" s="31" t="n"/>
      <c r="F186" s="29" t="n"/>
      <c r="G186" s="32">
        <f>IF(COUNTA($A186:$F186)=0,"",IF(OR($A186="",$B186=""),"الفترة أو البند ناقص",IF(COUNTIFS($A:$A,$A186,$B:$B,$B186)&gt;1,"تأكيد مكرر لنفس الفترة والبند",IF($D186="","اسم المؤكِّد ناقص",IF(NOT(ISNUMBER($E186)),"تاريخ التأكيد ناقص",IF(AND($C186="لا ينطبق",$F186=""),"اكتب سبب عدم الانطباق",""))))))</f>
        <v/>
      </c>
    </row>
    <row r="187">
      <c r="A187" s="39" t="n"/>
      <c r="B187" s="39" t="n"/>
      <c r="C187" s="29" t="n"/>
      <c r="D187" s="29" t="n"/>
      <c r="E187" s="31" t="n"/>
      <c r="F187" s="29" t="n"/>
      <c r="G187" s="32">
        <f>IF(COUNTA($A187:$F187)=0,"",IF(OR($A187="",$B187=""),"الفترة أو البند ناقص",IF(COUNTIFS($A:$A,$A187,$B:$B,$B187)&gt;1,"تأكيد مكرر لنفس الفترة والبند",IF($D187="","اسم المؤكِّد ناقص",IF(NOT(ISNUMBER($E187)),"تاريخ التأكيد ناقص",IF(AND($C187="لا ينطبق",$F187=""),"اكتب سبب عدم الانطباق",""))))))</f>
        <v/>
      </c>
    </row>
    <row r="188">
      <c r="A188" s="39" t="n"/>
      <c r="B188" s="39" t="n"/>
      <c r="C188" s="29" t="n"/>
      <c r="D188" s="29" t="n"/>
      <c r="E188" s="31" t="n"/>
      <c r="F188" s="29" t="n"/>
      <c r="G188" s="32">
        <f>IF(COUNTA($A188:$F188)=0,"",IF(OR($A188="",$B188=""),"الفترة أو البند ناقص",IF(COUNTIFS($A:$A,$A188,$B:$B,$B188)&gt;1,"تأكيد مكرر لنفس الفترة والبند",IF($D188="","اسم المؤكِّد ناقص",IF(NOT(ISNUMBER($E188)),"تاريخ التأكيد ناقص",IF(AND($C188="لا ينطبق",$F188=""),"اكتب سبب عدم الانطباق",""))))))</f>
        <v/>
      </c>
    </row>
    <row r="189">
      <c r="A189" s="39" t="n"/>
      <c r="B189" s="39" t="n"/>
      <c r="C189" s="29" t="n"/>
      <c r="D189" s="29" t="n"/>
      <c r="E189" s="31" t="n"/>
      <c r="F189" s="29" t="n"/>
      <c r="G189" s="32">
        <f>IF(COUNTA($A189:$F189)=0,"",IF(OR($A189="",$B189=""),"الفترة أو البند ناقص",IF(COUNTIFS($A:$A,$A189,$B:$B,$B189)&gt;1,"تأكيد مكرر لنفس الفترة والبند",IF($D189="","اسم المؤكِّد ناقص",IF(NOT(ISNUMBER($E189)),"تاريخ التأكيد ناقص",IF(AND($C189="لا ينطبق",$F189=""),"اكتب سبب عدم الانطباق",""))))))</f>
        <v/>
      </c>
    </row>
    <row r="190">
      <c r="A190" s="39" t="n"/>
      <c r="B190" s="39" t="n"/>
      <c r="C190" s="29" t="n"/>
      <c r="D190" s="29" t="n"/>
      <c r="E190" s="31" t="n"/>
      <c r="F190" s="29" t="n"/>
      <c r="G190" s="32">
        <f>IF(COUNTA($A190:$F190)=0,"",IF(OR($A190="",$B190=""),"الفترة أو البند ناقص",IF(COUNTIFS($A:$A,$A190,$B:$B,$B190)&gt;1,"تأكيد مكرر لنفس الفترة والبند",IF($D190="","اسم المؤكِّد ناقص",IF(NOT(ISNUMBER($E190)),"تاريخ التأكيد ناقص",IF(AND($C190="لا ينطبق",$F190=""),"اكتب سبب عدم الانطباق",""))))))</f>
        <v/>
      </c>
    </row>
    <row r="191">
      <c r="A191" s="39" t="n"/>
      <c r="B191" s="39" t="n"/>
      <c r="C191" s="29" t="n"/>
      <c r="D191" s="29" t="n"/>
      <c r="E191" s="31" t="n"/>
      <c r="F191" s="29" t="n"/>
      <c r="G191" s="32">
        <f>IF(COUNTA($A191:$F191)=0,"",IF(OR($A191="",$B191=""),"الفترة أو البند ناقص",IF(COUNTIFS($A:$A,$A191,$B:$B,$B191)&gt;1,"تأكيد مكرر لنفس الفترة والبند",IF($D191="","اسم المؤكِّد ناقص",IF(NOT(ISNUMBER($E191)),"تاريخ التأكيد ناقص",IF(AND($C191="لا ينطبق",$F191=""),"اكتب سبب عدم الانطباق",""))))))</f>
        <v/>
      </c>
    </row>
    <row r="192">
      <c r="A192" s="39" t="n"/>
      <c r="B192" s="39" t="n"/>
      <c r="C192" s="29" t="n"/>
      <c r="D192" s="29" t="n"/>
      <c r="E192" s="31" t="n"/>
      <c r="F192" s="29" t="n"/>
      <c r="G192" s="32">
        <f>IF(COUNTA($A192:$F192)=0,"",IF(OR($A192="",$B192=""),"الفترة أو البند ناقص",IF(COUNTIFS($A:$A,$A192,$B:$B,$B192)&gt;1,"تأكيد مكرر لنفس الفترة والبند",IF($D192="","اسم المؤكِّد ناقص",IF(NOT(ISNUMBER($E192)),"تاريخ التأكيد ناقص",IF(AND($C192="لا ينطبق",$F192=""),"اكتب سبب عدم الانطباق",""))))))</f>
        <v/>
      </c>
    </row>
    <row r="193">
      <c r="A193" s="39" t="n"/>
      <c r="B193" s="39" t="n"/>
      <c r="C193" s="29" t="n"/>
      <c r="D193" s="29" t="n"/>
      <c r="E193" s="31" t="n"/>
      <c r="F193" s="29" t="n"/>
      <c r="G193" s="32">
        <f>IF(COUNTA($A193:$F193)=0,"",IF(OR($A193="",$B193=""),"الفترة أو البند ناقص",IF(COUNTIFS($A:$A,$A193,$B:$B,$B193)&gt;1,"تأكيد مكرر لنفس الفترة والبند",IF($D193="","اسم المؤكِّد ناقص",IF(NOT(ISNUMBER($E193)),"تاريخ التأكيد ناقص",IF(AND($C193="لا ينطبق",$F193=""),"اكتب سبب عدم الانطباق",""))))))</f>
        <v/>
      </c>
    </row>
    <row r="194">
      <c r="A194" s="39" t="n"/>
      <c r="B194" s="39" t="n"/>
      <c r="C194" s="29" t="n"/>
      <c r="D194" s="29" t="n"/>
      <c r="E194" s="31" t="n"/>
      <c r="F194" s="29" t="n"/>
      <c r="G194" s="32">
        <f>IF(COUNTA($A194:$F194)=0,"",IF(OR($A194="",$B194=""),"الفترة أو البند ناقص",IF(COUNTIFS($A:$A,$A194,$B:$B,$B194)&gt;1,"تأكيد مكرر لنفس الفترة والبند",IF($D194="","اسم المؤكِّد ناقص",IF(NOT(ISNUMBER($E194)),"تاريخ التأكيد ناقص",IF(AND($C194="لا ينطبق",$F194=""),"اكتب سبب عدم الانطباق",""))))))</f>
        <v/>
      </c>
    </row>
    <row r="195">
      <c r="A195" s="39" t="n"/>
      <c r="B195" s="39" t="n"/>
      <c r="C195" s="29" t="n"/>
      <c r="D195" s="29" t="n"/>
      <c r="E195" s="31" t="n"/>
      <c r="F195" s="29" t="n"/>
      <c r="G195" s="32">
        <f>IF(COUNTA($A195:$F195)=0,"",IF(OR($A195="",$B195=""),"الفترة أو البند ناقص",IF(COUNTIFS($A:$A,$A195,$B:$B,$B195)&gt;1,"تأكيد مكرر لنفس الفترة والبند",IF($D195="","اسم المؤكِّد ناقص",IF(NOT(ISNUMBER($E195)),"تاريخ التأكيد ناقص",IF(AND($C195="لا ينطبق",$F195=""),"اكتب سبب عدم الانطباق",""))))))</f>
        <v/>
      </c>
    </row>
    <row r="196">
      <c r="A196" s="39" t="n"/>
      <c r="B196" s="39" t="n"/>
      <c r="C196" s="29" t="n"/>
      <c r="D196" s="29" t="n"/>
      <c r="E196" s="31" t="n"/>
      <c r="F196" s="29" t="n"/>
      <c r="G196" s="32">
        <f>IF(COUNTA($A196:$F196)=0,"",IF(OR($A196="",$B196=""),"الفترة أو البند ناقص",IF(COUNTIFS($A:$A,$A196,$B:$B,$B196)&gt;1,"تأكيد مكرر لنفس الفترة والبند",IF($D196="","اسم المؤكِّد ناقص",IF(NOT(ISNUMBER($E196)),"تاريخ التأكيد ناقص",IF(AND($C196="لا ينطبق",$F196=""),"اكتب سبب عدم الانطباق",""))))))</f>
        <v/>
      </c>
    </row>
    <row r="197">
      <c r="A197" s="39" t="n"/>
      <c r="B197" s="39" t="n"/>
      <c r="C197" s="29" t="n"/>
      <c r="D197" s="29" t="n"/>
      <c r="E197" s="31" t="n"/>
      <c r="F197" s="29" t="n"/>
      <c r="G197" s="32">
        <f>IF(COUNTA($A197:$F197)=0,"",IF(OR($A197="",$B197=""),"الفترة أو البند ناقص",IF(COUNTIFS($A:$A,$A197,$B:$B,$B197)&gt;1,"تأكيد مكرر لنفس الفترة والبند",IF($D197="","اسم المؤكِّد ناقص",IF(NOT(ISNUMBER($E197)),"تاريخ التأكيد ناقص",IF(AND($C197="لا ينطبق",$F197=""),"اكتب سبب عدم الانطباق",""))))))</f>
        <v/>
      </c>
    </row>
    <row r="198">
      <c r="A198" s="39" t="n"/>
      <c r="B198" s="39" t="n"/>
      <c r="C198" s="29" t="n"/>
      <c r="D198" s="29" t="n"/>
      <c r="E198" s="31" t="n"/>
      <c r="F198" s="29" t="n"/>
      <c r="G198" s="32">
        <f>IF(COUNTA($A198:$F198)=0,"",IF(OR($A198="",$B198=""),"الفترة أو البند ناقص",IF(COUNTIFS($A:$A,$A198,$B:$B,$B198)&gt;1,"تأكيد مكرر لنفس الفترة والبند",IF($D198="","اسم المؤكِّد ناقص",IF(NOT(ISNUMBER($E198)),"تاريخ التأكيد ناقص",IF(AND($C198="لا ينطبق",$F198=""),"اكتب سبب عدم الانطباق",""))))))</f>
        <v/>
      </c>
    </row>
    <row r="199">
      <c r="A199" s="39" t="n"/>
      <c r="B199" s="39" t="n"/>
      <c r="C199" s="29" t="n"/>
      <c r="D199" s="29" t="n"/>
      <c r="E199" s="31" t="n"/>
      <c r="F199" s="29" t="n"/>
      <c r="G199" s="32">
        <f>IF(COUNTA($A199:$F199)=0,"",IF(OR($A199="",$B199=""),"الفترة أو البند ناقص",IF(COUNTIFS($A:$A,$A199,$B:$B,$B199)&gt;1,"تأكيد مكرر لنفس الفترة والبند",IF($D199="","اسم المؤكِّد ناقص",IF(NOT(ISNUMBER($E199)),"تاريخ التأكيد ناقص",IF(AND($C199="لا ينطبق",$F199=""),"اكتب سبب عدم الانطباق",""))))))</f>
        <v/>
      </c>
    </row>
    <row r="200">
      <c r="A200" s="39" t="n"/>
      <c r="B200" s="39" t="n"/>
      <c r="C200" s="29" t="n"/>
      <c r="D200" s="29" t="n"/>
      <c r="E200" s="31" t="n"/>
      <c r="F200" s="29" t="n"/>
      <c r="G200" s="32">
        <f>IF(COUNTA($A200:$F200)=0,"",IF(OR($A200="",$B200=""),"الفترة أو البند ناقص",IF(COUNTIFS($A:$A,$A200,$B:$B,$B200)&gt;1,"تأكيد مكرر لنفس الفترة والبند",IF($D200="","اسم المؤكِّد ناقص",IF(NOT(ISNUMBER($E200)),"تاريخ التأكيد ناقص",IF(AND($C200="لا ينطبق",$F200=""),"اكتب سبب عدم الانطباق",""))))))</f>
        <v/>
      </c>
    </row>
    <row r="201">
      <c r="A201" s="39" t="n"/>
      <c r="B201" s="39" t="n"/>
      <c r="C201" s="29" t="n"/>
      <c r="D201" s="29" t="n"/>
      <c r="E201" s="31" t="n"/>
      <c r="F201" s="29" t="n"/>
      <c r="G201" s="32">
        <f>IF(COUNTA($A201:$F201)=0,"",IF(OR($A201="",$B201=""),"الفترة أو البند ناقص",IF(COUNTIFS($A:$A,$A201,$B:$B,$B201)&gt;1,"تأكيد مكرر لنفس الفترة والبند",IF($D201="","اسم المؤكِّد ناقص",IF(NOT(ISNUMBER($E201)),"تاريخ التأكيد ناقص",IF(AND($C201="لا ينطبق",$F201=""),"اكتب سبب عدم الانطباق",""))))))</f>
        <v/>
      </c>
    </row>
    <row r="202">
      <c r="A202" s="39" t="n"/>
      <c r="B202" s="39" t="n"/>
      <c r="C202" s="29" t="n"/>
      <c r="D202" s="29" t="n"/>
      <c r="E202" s="31" t="n"/>
      <c r="F202" s="29" t="n"/>
      <c r="G202" s="32">
        <f>IF(COUNTA($A202:$F202)=0,"",IF(OR($A202="",$B202=""),"الفترة أو البند ناقص",IF(COUNTIFS($A:$A,$A202,$B:$B,$B202)&gt;1,"تأكيد مكرر لنفس الفترة والبند",IF($D202="","اسم المؤكِّد ناقص",IF(NOT(ISNUMBER($E202)),"تاريخ التأكيد ناقص",IF(AND($C202="لا ينطبق",$F202=""),"اكتب سبب عدم الانطباق",""))))))</f>
        <v/>
      </c>
    </row>
    <row r="203">
      <c r="A203" s="39" t="n"/>
      <c r="B203" s="39" t="n"/>
      <c r="C203" s="29" t="n"/>
      <c r="D203" s="29" t="n"/>
      <c r="E203" s="31" t="n"/>
      <c r="F203" s="29" t="n"/>
      <c r="G203" s="32">
        <f>IF(COUNTA($A203:$F203)=0,"",IF(OR($A203="",$B203=""),"الفترة أو البند ناقص",IF(COUNTIFS($A:$A,$A203,$B:$B,$B203)&gt;1,"تأكيد مكرر لنفس الفترة والبند",IF($D203="","اسم المؤكِّد ناقص",IF(NOT(ISNUMBER($E203)),"تاريخ التأكيد ناقص",IF(AND($C203="لا ينطبق",$F203=""),"اكتب سبب عدم الانطباق",""))))))</f>
        <v/>
      </c>
    </row>
    <row r="204">
      <c r="A204" s="39" t="n"/>
      <c r="B204" s="39" t="n"/>
      <c r="C204" s="29" t="n"/>
      <c r="D204" s="29" t="n"/>
      <c r="E204" s="31" t="n"/>
      <c r="F204" s="29" t="n"/>
      <c r="G204" s="32">
        <f>IF(COUNTA($A204:$F204)=0,"",IF(OR($A204="",$B204=""),"الفترة أو البند ناقص",IF(COUNTIFS($A:$A,$A204,$B:$B,$B204)&gt;1,"تأكيد مكرر لنفس الفترة والبند",IF($D204="","اسم المؤكِّد ناقص",IF(NOT(ISNUMBER($E204)),"تاريخ التأكيد ناقص",IF(AND($C204="لا ينطبق",$F204=""),"اكتب سبب عدم الانطباق",""))))))</f>
        <v/>
      </c>
    </row>
    <row r="205">
      <c r="A205" s="39" t="n"/>
      <c r="B205" s="39" t="n"/>
      <c r="C205" s="29" t="n"/>
      <c r="D205" s="29" t="n"/>
      <c r="E205" s="31" t="n"/>
      <c r="F205" s="29" t="n"/>
      <c r="G205" s="32">
        <f>IF(COUNTA($A205:$F205)=0,"",IF(OR($A205="",$B205=""),"الفترة أو البند ناقص",IF(COUNTIFS($A:$A,$A205,$B:$B,$B205)&gt;1,"تأكيد مكرر لنفس الفترة والبند",IF($D205="","اسم المؤكِّد ناقص",IF(NOT(ISNUMBER($E205)),"تاريخ التأكيد ناقص",IF(AND($C205="لا ينطبق",$F205=""),"اكتب سبب عدم الانطباق",""))))))</f>
        <v/>
      </c>
    </row>
    <row r="206">
      <c r="A206" s="39" t="n"/>
      <c r="B206" s="39" t="n"/>
      <c r="C206" s="29" t="n"/>
      <c r="D206" s="29" t="n"/>
      <c r="E206" s="31" t="n"/>
      <c r="F206" s="29" t="n"/>
      <c r="G206" s="32">
        <f>IF(COUNTA($A206:$F206)=0,"",IF(OR($A206="",$B206=""),"الفترة أو البند ناقص",IF(COUNTIFS($A:$A,$A206,$B:$B,$B206)&gt;1,"تأكيد مكرر لنفس الفترة والبند",IF($D206="","اسم المؤكِّد ناقص",IF(NOT(ISNUMBER($E206)),"تاريخ التأكيد ناقص",IF(AND($C206="لا ينطبق",$F206=""),"اكتب سبب عدم الانطباق",""))))))</f>
        <v/>
      </c>
    </row>
    <row r="207">
      <c r="A207" s="39" t="n"/>
      <c r="B207" s="39" t="n"/>
      <c r="C207" s="29" t="n"/>
      <c r="D207" s="29" t="n"/>
      <c r="E207" s="31" t="n"/>
      <c r="F207" s="29" t="n"/>
      <c r="G207" s="32">
        <f>IF(COUNTA($A207:$F207)=0,"",IF(OR($A207="",$B207=""),"الفترة أو البند ناقص",IF(COUNTIFS($A:$A,$A207,$B:$B,$B207)&gt;1,"تأكيد مكرر لنفس الفترة والبند",IF($D207="","اسم المؤكِّد ناقص",IF(NOT(ISNUMBER($E207)),"تاريخ التأكيد ناقص",IF(AND($C207="لا ينطبق",$F207=""),"اكتب سبب عدم الانطباق",""))))))</f>
        <v/>
      </c>
    </row>
    <row r="208">
      <c r="A208" s="39" t="n"/>
      <c r="B208" s="39" t="n"/>
      <c r="C208" s="29" t="n"/>
      <c r="D208" s="29" t="n"/>
      <c r="E208" s="31" t="n"/>
      <c r="F208" s="29" t="n"/>
      <c r="G208" s="32">
        <f>IF(COUNTA($A208:$F208)=0,"",IF(OR($A208="",$B208=""),"الفترة أو البند ناقص",IF(COUNTIFS($A:$A,$A208,$B:$B,$B208)&gt;1,"تأكيد مكرر لنفس الفترة والبند",IF($D208="","اسم المؤكِّد ناقص",IF(NOT(ISNUMBER($E208)),"تاريخ التأكيد ناقص",IF(AND($C208="لا ينطبق",$F208=""),"اكتب سبب عدم الانطباق",""))))))</f>
        <v/>
      </c>
    </row>
    <row r="209">
      <c r="A209" s="39" t="n"/>
      <c r="B209" s="39" t="n"/>
      <c r="C209" s="29" t="n"/>
      <c r="D209" s="29" t="n"/>
      <c r="E209" s="31" t="n"/>
      <c r="F209" s="29" t="n"/>
      <c r="G209" s="32">
        <f>IF(COUNTA($A209:$F209)=0,"",IF(OR($A209="",$B209=""),"الفترة أو البند ناقص",IF(COUNTIFS($A:$A,$A209,$B:$B,$B209)&gt;1,"تأكيد مكرر لنفس الفترة والبند",IF($D209="","اسم المؤكِّد ناقص",IF(NOT(ISNUMBER($E209)),"تاريخ التأكيد ناقص",IF(AND($C209="لا ينطبق",$F209=""),"اكتب سبب عدم الانطباق",""))))))</f>
        <v/>
      </c>
    </row>
    <row r="210">
      <c r="A210" s="39" t="n"/>
      <c r="B210" s="39" t="n"/>
      <c r="C210" s="29" t="n"/>
      <c r="D210" s="29" t="n"/>
      <c r="E210" s="31" t="n"/>
      <c r="F210" s="29" t="n"/>
      <c r="G210" s="32">
        <f>IF(COUNTA($A210:$F210)=0,"",IF(OR($A210="",$B210=""),"الفترة أو البند ناقص",IF(COUNTIFS($A:$A,$A210,$B:$B,$B210)&gt;1,"تأكيد مكرر لنفس الفترة والبند",IF($D210="","اسم المؤكِّد ناقص",IF(NOT(ISNUMBER($E210)),"تاريخ التأكيد ناقص",IF(AND($C210="لا ينطبق",$F210=""),"اكتب سبب عدم الانطباق",""))))))</f>
        <v/>
      </c>
    </row>
    <row r="211">
      <c r="A211" s="39" t="n"/>
      <c r="B211" s="39" t="n"/>
      <c r="C211" s="29" t="n"/>
      <c r="D211" s="29" t="n"/>
      <c r="E211" s="31" t="n"/>
      <c r="F211" s="29" t="n"/>
      <c r="G211" s="32">
        <f>IF(COUNTA($A211:$F211)=0,"",IF(OR($A211="",$B211=""),"الفترة أو البند ناقص",IF(COUNTIFS($A:$A,$A211,$B:$B,$B211)&gt;1,"تأكيد مكرر لنفس الفترة والبند",IF($D211="","اسم المؤكِّد ناقص",IF(NOT(ISNUMBER($E211)),"تاريخ التأكيد ناقص",IF(AND($C211="لا ينطبق",$F211=""),"اكتب سبب عدم الانطباق",""))))))</f>
        <v/>
      </c>
    </row>
    <row r="212">
      <c r="A212" s="39" t="n"/>
      <c r="B212" s="39" t="n"/>
      <c r="C212" s="29" t="n"/>
      <c r="D212" s="29" t="n"/>
      <c r="E212" s="31" t="n"/>
      <c r="F212" s="29" t="n"/>
      <c r="G212" s="32">
        <f>IF(COUNTA($A212:$F212)=0,"",IF(OR($A212="",$B212=""),"الفترة أو البند ناقص",IF(COUNTIFS($A:$A,$A212,$B:$B,$B212)&gt;1,"تأكيد مكرر لنفس الفترة والبند",IF($D212="","اسم المؤكِّد ناقص",IF(NOT(ISNUMBER($E212)),"تاريخ التأكيد ناقص",IF(AND($C212="لا ينطبق",$F212=""),"اكتب سبب عدم الانطباق",""))))))</f>
        <v/>
      </c>
    </row>
    <row r="213">
      <c r="A213" s="39" t="n"/>
      <c r="B213" s="39" t="n"/>
      <c r="C213" s="29" t="n"/>
      <c r="D213" s="29" t="n"/>
      <c r="E213" s="31" t="n"/>
      <c r="F213" s="29" t="n"/>
      <c r="G213" s="32">
        <f>IF(COUNTA($A213:$F213)=0,"",IF(OR($A213="",$B213=""),"الفترة أو البند ناقص",IF(COUNTIFS($A:$A,$A213,$B:$B,$B213)&gt;1,"تأكيد مكرر لنفس الفترة والبند",IF($D213="","اسم المؤكِّد ناقص",IF(NOT(ISNUMBER($E213)),"تاريخ التأكيد ناقص",IF(AND($C213="لا ينطبق",$F213=""),"اكتب سبب عدم الانطباق",""))))))</f>
        <v/>
      </c>
    </row>
    <row r="214">
      <c r="A214" s="39" t="n"/>
      <c r="B214" s="39" t="n"/>
      <c r="C214" s="29" t="n"/>
      <c r="D214" s="29" t="n"/>
      <c r="E214" s="31" t="n"/>
      <c r="F214" s="29" t="n"/>
      <c r="G214" s="32">
        <f>IF(COUNTA($A214:$F214)=0,"",IF(OR($A214="",$B214=""),"الفترة أو البند ناقص",IF(COUNTIFS($A:$A,$A214,$B:$B,$B214)&gt;1,"تأكيد مكرر لنفس الفترة والبند",IF($D214="","اسم المؤكِّد ناقص",IF(NOT(ISNUMBER($E214)),"تاريخ التأكيد ناقص",IF(AND($C214="لا ينطبق",$F214=""),"اكتب سبب عدم الانطباق",""))))))</f>
        <v/>
      </c>
    </row>
    <row r="215">
      <c r="A215" s="39" t="n"/>
      <c r="B215" s="39" t="n"/>
      <c r="C215" s="29" t="n"/>
      <c r="D215" s="29" t="n"/>
      <c r="E215" s="31" t="n"/>
      <c r="F215" s="29" t="n"/>
      <c r="G215" s="32">
        <f>IF(COUNTA($A215:$F215)=0,"",IF(OR($A215="",$B215=""),"الفترة أو البند ناقص",IF(COUNTIFS($A:$A,$A215,$B:$B,$B215)&gt;1,"تأكيد مكرر لنفس الفترة والبند",IF($D215="","اسم المؤكِّد ناقص",IF(NOT(ISNUMBER($E215)),"تاريخ التأكيد ناقص",IF(AND($C215="لا ينطبق",$F215=""),"اكتب سبب عدم الانطباق",""))))))</f>
        <v/>
      </c>
    </row>
    <row r="216">
      <c r="A216" s="39" t="n"/>
      <c r="B216" s="39" t="n"/>
      <c r="C216" s="29" t="n"/>
      <c r="D216" s="29" t="n"/>
      <c r="E216" s="31" t="n"/>
      <c r="F216" s="29" t="n"/>
      <c r="G216" s="32">
        <f>IF(COUNTA($A216:$F216)=0,"",IF(OR($A216="",$B216=""),"الفترة أو البند ناقص",IF(COUNTIFS($A:$A,$A216,$B:$B,$B216)&gt;1,"تأكيد مكرر لنفس الفترة والبند",IF($D216="","اسم المؤكِّد ناقص",IF(NOT(ISNUMBER($E216)),"تاريخ التأكيد ناقص",IF(AND($C216="لا ينطبق",$F216=""),"اكتب سبب عدم الانطباق",""))))))</f>
        <v/>
      </c>
    </row>
    <row r="217">
      <c r="A217" s="39" t="n"/>
      <c r="B217" s="39" t="n"/>
      <c r="C217" s="29" t="n"/>
      <c r="D217" s="29" t="n"/>
      <c r="E217" s="31" t="n"/>
      <c r="F217" s="29" t="n"/>
      <c r="G217" s="32">
        <f>IF(COUNTA($A217:$F217)=0,"",IF(OR($A217="",$B217=""),"الفترة أو البند ناقص",IF(COUNTIFS($A:$A,$A217,$B:$B,$B217)&gt;1,"تأكيد مكرر لنفس الفترة والبند",IF($D217="","اسم المؤكِّد ناقص",IF(NOT(ISNUMBER($E217)),"تاريخ التأكيد ناقص",IF(AND($C217="لا ينطبق",$F217=""),"اكتب سبب عدم الانطباق",""))))))</f>
        <v/>
      </c>
    </row>
    <row r="218">
      <c r="A218" s="39" t="n"/>
      <c r="B218" s="39" t="n"/>
      <c r="C218" s="29" t="n"/>
      <c r="D218" s="29" t="n"/>
      <c r="E218" s="31" t="n"/>
      <c r="F218" s="29" t="n"/>
      <c r="G218" s="32">
        <f>IF(COUNTA($A218:$F218)=0,"",IF(OR($A218="",$B218=""),"الفترة أو البند ناقص",IF(COUNTIFS($A:$A,$A218,$B:$B,$B218)&gt;1,"تأكيد مكرر لنفس الفترة والبند",IF($D218="","اسم المؤكِّد ناقص",IF(NOT(ISNUMBER($E218)),"تاريخ التأكيد ناقص",IF(AND($C218="لا ينطبق",$F218=""),"اكتب سبب عدم الانطباق",""))))))</f>
        <v/>
      </c>
    </row>
    <row r="219">
      <c r="A219" s="39" t="n"/>
      <c r="B219" s="39" t="n"/>
      <c r="C219" s="29" t="n"/>
      <c r="D219" s="29" t="n"/>
      <c r="E219" s="31" t="n"/>
      <c r="F219" s="29" t="n"/>
      <c r="G219" s="32">
        <f>IF(COUNTA($A219:$F219)=0,"",IF(OR($A219="",$B219=""),"الفترة أو البند ناقص",IF(COUNTIFS($A:$A,$A219,$B:$B,$B219)&gt;1,"تأكيد مكرر لنفس الفترة والبند",IF($D219="","اسم المؤكِّد ناقص",IF(NOT(ISNUMBER($E219)),"تاريخ التأكيد ناقص",IF(AND($C219="لا ينطبق",$F219=""),"اكتب سبب عدم الانطباق",""))))))</f>
        <v/>
      </c>
    </row>
    <row r="220">
      <c r="A220" s="39" t="n"/>
      <c r="B220" s="39" t="n"/>
      <c r="C220" s="29" t="n"/>
      <c r="D220" s="29" t="n"/>
      <c r="E220" s="31" t="n"/>
      <c r="F220" s="29" t="n"/>
      <c r="G220" s="32">
        <f>IF(COUNTA($A220:$F220)=0,"",IF(OR($A220="",$B220=""),"الفترة أو البند ناقص",IF(COUNTIFS($A:$A,$A220,$B:$B,$B220)&gt;1,"تأكيد مكرر لنفس الفترة والبند",IF($D220="","اسم المؤكِّد ناقص",IF(NOT(ISNUMBER($E220)),"تاريخ التأكيد ناقص",IF(AND($C220="لا ينطبق",$F220=""),"اكتب سبب عدم الانطباق",""))))))</f>
        <v/>
      </c>
    </row>
    <row r="221">
      <c r="A221" s="39" t="n"/>
      <c r="B221" s="39" t="n"/>
      <c r="C221" s="29" t="n"/>
      <c r="D221" s="29" t="n"/>
      <c r="E221" s="31" t="n"/>
      <c r="F221" s="29" t="n"/>
      <c r="G221" s="32">
        <f>IF(COUNTA($A221:$F221)=0,"",IF(OR($A221="",$B221=""),"الفترة أو البند ناقص",IF(COUNTIFS($A:$A,$A221,$B:$B,$B221)&gt;1,"تأكيد مكرر لنفس الفترة والبند",IF($D221="","اسم المؤكِّد ناقص",IF(NOT(ISNUMBER($E221)),"تاريخ التأكيد ناقص",IF(AND($C221="لا ينطبق",$F221=""),"اكتب سبب عدم الانطباق",""))))))</f>
        <v/>
      </c>
    </row>
    <row r="222">
      <c r="A222" s="39" t="n"/>
      <c r="B222" s="39" t="n"/>
      <c r="C222" s="29" t="n"/>
      <c r="D222" s="29" t="n"/>
      <c r="E222" s="31" t="n"/>
      <c r="F222" s="29" t="n"/>
      <c r="G222" s="32">
        <f>IF(COUNTA($A222:$F222)=0,"",IF(OR($A222="",$B222=""),"الفترة أو البند ناقص",IF(COUNTIFS($A:$A,$A222,$B:$B,$B222)&gt;1,"تأكيد مكرر لنفس الفترة والبند",IF($D222="","اسم المؤكِّد ناقص",IF(NOT(ISNUMBER($E222)),"تاريخ التأكيد ناقص",IF(AND($C222="لا ينطبق",$F222=""),"اكتب سبب عدم الانطباق",""))))))</f>
        <v/>
      </c>
    </row>
    <row r="223">
      <c r="A223" s="39" t="n"/>
      <c r="B223" s="39" t="n"/>
      <c r="C223" s="29" t="n"/>
      <c r="D223" s="29" t="n"/>
      <c r="E223" s="31" t="n"/>
      <c r="F223" s="29" t="n"/>
      <c r="G223" s="32">
        <f>IF(COUNTA($A223:$F223)=0,"",IF(OR($A223="",$B223=""),"الفترة أو البند ناقص",IF(COUNTIFS($A:$A,$A223,$B:$B,$B223)&gt;1,"تأكيد مكرر لنفس الفترة والبند",IF($D223="","اسم المؤكِّد ناقص",IF(NOT(ISNUMBER($E223)),"تاريخ التأكيد ناقص",IF(AND($C223="لا ينطبق",$F223=""),"اكتب سبب عدم الانطباق",""))))))</f>
        <v/>
      </c>
    </row>
    <row r="224">
      <c r="A224" s="39" t="n"/>
      <c r="B224" s="39" t="n"/>
      <c r="C224" s="29" t="n"/>
      <c r="D224" s="29" t="n"/>
      <c r="E224" s="31" t="n"/>
      <c r="F224" s="29" t="n"/>
      <c r="G224" s="32">
        <f>IF(COUNTA($A224:$F224)=0,"",IF(OR($A224="",$B224=""),"الفترة أو البند ناقص",IF(COUNTIFS($A:$A,$A224,$B:$B,$B224)&gt;1,"تأكيد مكرر لنفس الفترة والبند",IF($D224="","اسم المؤكِّد ناقص",IF(NOT(ISNUMBER($E224)),"تاريخ التأكيد ناقص",IF(AND($C224="لا ينطبق",$F224=""),"اكتب سبب عدم الانطباق",""))))))</f>
        <v/>
      </c>
    </row>
    <row r="225">
      <c r="A225" s="39" t="n"/>
      <c r="B225" s="39" t="n"/>
      <c r="C225" s="29" t="n"/>
      <c r="D225" s="29" t="n"/>
      <c r="E225" s="31" t="n"/>
      <c r="F225" s="29" t="n"/>
      <c r="G225" s="32">
        <f>IF(COUNTA($A225:$F225)=0,"",IF(OR($A225="",$B225=""),"الفترة أو البند ناقص",IF(COUNTIFS($A:$A,$A225,$B:$B,$B225)&gt;1,"تأكيد مكرر لنفس الفترة والبند",IF($D225="","اسم المؤكِّد ناقص",IF(NOT(ISNUMBER($E225)),"تاريخ التأكيد ناقص",IF(AND($C225="لا ينطبق",$F225=""),"اكتب سبب عدم الانطباق",""))))))</f>
        <v/>
      </c>
    </row>
    <row r="226">
      <c r="A226" s="39" t="n"/>
      <c r="B226" s="39" t="n"/>
      <c r="C226" s="29" t="n"/>
      <c r="D226" s="29" t="n"/>
      <c r="E226" s="31" t="n"/>
      <c r="F226" s="29" t="n"/>
      <c r="G226" s="32">
        <f>IF(COUNTA($A226:$F226)=0,"",IF(OR($A226="",$B226=""),"الفترة أو البند ناقص",IF(COUNTIFS($A:$A,$A226,$B:$B,$B226)&gt;1,"تأكيد مكرر لنفس الفترة والبند",IF($D226="","اسم المؤكِّد ناقص",IF(NOT(ISNUMBER($E226)),"تاريخ التأكيد ناقص",IF(AND($C226="لا ينطبق",$F226=""),"اكتب سبب عدم الانطباق",""))))))</f>
        <v/>
      </c>
    </row>
    <row r="227">
      <c r="A227" s="39" t="n"/>
      <c r="B227" s="39" t="n"/>
      <c r="C227" s="29" t="n"/>
      <c r="D227" s="29" t="n"/>
      <c r="E227" s="31" t="n"/>
      <c r="F227" s="29" t="n"/>
      <c r="G227" s="32">
        <f>IF(COUNTA($A227:$F227)=0,"",IF(OR($A227="",$B227=""),"الفترة أو البند ناقص",IF(COUNTIFS($A:$A,$A227,$B:$B,$B227)&gt;1,"تأكيد مكرر لنفس الفترة والبند",IF($D227="","اسم المؤكِّد ناقص",IF(NOT(ISNUMBER($E227)),"تاريخ التأكيد ناقص",IF(AND($C227="لا ينطبق",$F227=""),"اكتب سبب عدم الانطباق",""))))))</f>
        <v/>
      </c>
    </row>
    <row r="228">
      <c r="A228" s="39" t="n"/>
      <c r="B228" s="39" t="n"/>
      <c r="C228" s="29" t="n"/>
      <c r="D228" s="29" t="n"/>
      <c r="E228" s="31" t="n"/>
      <c r="F228" s="29" t="n"/>
      <c r="G228" s="32">
        <f>IF(COUNTA($A228:$F228)=0,"",IF(OR($A228="",$B228=""),"الفترة أو البند ناقص",IF(COUNTIFS($A:$A,$A228,$B:$B,$B228)&gt;1,"تأكيد مكرر لنفس الفترة والبند",IF($D228="","اسم المؤكِّد ناقص",IF(NOT(ISNUMBER($E228)),"تاريخ التأكيد ناقص",IF(AND($C228="لا ينطبق",$F228=""),"اكتب سبب عدم الانطباق",""))))))</f>
        <v/>
      </c>
    </row>
    <row r="229">
      <c r="A229" s="39" t="n"/>
      <c r="B229" s="39" t="n"/>
      <c r="C229" s="29" t="n"/>
      <c r="D229" s="29" t="n"/>
      <c r="E229" s="31" t="n"/>
      <c r="F229" s="29" t="n"/>
      <c r="G229" s="32">
        <f>IF(COUNTA($A229:$F229)=0,"",IF(OR($A229="",$B229=""),"الفترة أو البند ناقص",IF(COUNTIFS($A:$A,$A229,$B:$B,$B229)&gt;1,"تأكيد مكرر لنفس الفترة والبند",IF($D229="","اسم المؤكِّد ناقص",IF(NOT(ISNUMBER($E229)),"تاريخ التأكيد ناقص",IF(AND($C229="لا ينطبق",$F229=""),"اكتب سبب عدم الانطباق",""))))))</f>
        <v/>
      </c>
    </row>
    <row r="230">
      <c r="A230" s="39" t="n"/>
      <c r="B230" s="39" t="n"/>
      <c r="C230" s="29" t="n"/>
      <c r="D230" s="29" t="n"/>
      <c r="E230" s="31" t="n"/>
      <c r="F230" s="29" t="n"/>
      <c r="G230" s="32">
        <f>IF(COUNTA($A230:$F230)=0,"",IF(OR($A230="",$B230=""),"الفترة أو البند ناقص",IF(COUNTIFS($A:$A,$A230,$B:$B,$B230)&gt;1,"تأكيد مكرر لنفس الفترة والبند",IF($D230="","اسم المؤكِّد ناقص",IF(NOT(ISNUMBER($E230)),"تاريخ التأكيد ناقص",IF(AND($C230="لا ينطبق",$F230=""),"اكتب سبب عدم الانطباق",""))))))</f>
        <v/>
      </c>
    </row>
    <row r="231">
      <c r="A231" s="39" t="n"/>
      <c r="B231" s="39" t="n"/>
      <c r="C231" s="29" t="n"/>
      <c r="D231" s="29" t="n"/>
      <c r="E231" s="31" t="n"/>
      <c r="F231" s="29" t="n"/>
      <c r="G231" s="32">
        <f>IF(COUNTA($A231:$F231)=0,"",IF(OR($A231="",$B231=""),"الفترة أو البند ناقص",IF(COUNTIFS($A:$A,$A231,$B:$B,$B231)&gt;1,"تأكيد مكرر لنفس الفترة والبند",IF($D231="","اسم المؤكِّد ناقص",IF(NOT(ISNUMBER($E231)),"تاريخ التأكيد ناقص",IF(AND($C231="لا ينطبق",$F231=""),"اكتب سبب عدم الانطباق",""))))))</f>
        <v/>
      </c>
    </row>
    <row r="232">
      <c r="A232" s="39" t="n"/>
      <c r="B232" s="39" t="n"/>
      <c r="C232" s="29" t="n"/>
      <c r="D232" s="29" t="n"/>
      <c r="E232" s="31" t="n"/>
      <c r="F232" s="29" t="n"/>
      <c r="G232" s="32">
        <f>IF(COUNTA($A232:$F232)=0,"",IF(OR($A232="",$B232=""),"الفترة أو البند ناقص",IF(COUNTIFS($A:$A,$A232,$B:$B,$B232)&gt;1,"تأكيد مكرر لنفس الفترة والبند",IF($D232="","اسم المؤكِّد ناقص",IF(NOT(ISNUMBER($E232)),"تاريخ التأكيد ناقص",IF(AND($C232="لا ينطبق",$F232=""),"اكتب سبب عدم الانطباق",""))))))</f>
        <v/>
      </c>
    </row>
    <row r="233">
      <c r="A233" s="39" t="n"/>
      <c r="B233" s="39" t="n"/>
      <c r="C233" s="29" t="n"/>
      <c r="D233" s="29" t="n"/>
      <c r="E233" s="31" t="n"/>
      <c r="F233" s="29" t="n"/>
      <c r="G233" s="32">
        <f>IF(COUNTA($A233:$F233)=0,"",IF(OR($A233="",$B233=""),"الفترة أو البند ناقص",IF(COUNTIFS($A:$A,$A233,$B:$B,$B233)&gt;1,"تأكيد مكرر لنفس الفترة والبند",IF($D233="","اسم المؤكِّد ناقص",IF(NOT(ISNUMBER($E233)),"تاريخ التأكيد ناقص",IF(AND($C233="لا ينطبق",$F233=""),"اكتب سبب عدم الانطباق",""))))))</f>
        <v/>
      </c>
    </row>
    <row r="234">
      <c r="A234" s="39" t="n"/>
      <c r="B234" s="39" t="n"/>
      <c r="C234" s="29" t="n"/>
      <c r="D234" s="29" t="n"/>
      <c r="E234" s="31" t="n"/>
      <c r="F234" s="29" t="n"/>
      <c r="G234" s="32">
        <f>IF(COUNTA($A234:$F234)=0,"",IF(OR($A234="",$B234=""),"الفترة أو البند ناقص",IF(COUNTIFS($A:$A,$A234,$B:$B,$B234)&gt;1,"تأكيد مكرر لنفس الفترة والبند",IF($D234="","اسم المؤكِّد ناقص",IF(NOT(ISNUMBER($E234)),"تاريخ التأكيد ناقص",IF(AND($C234="لا ينطبق",$F234=""),"اكتب سبب عدم الانطباق",""))))))</f>
        <v/>
      </c>
    </row>
    <row r="235">
      <c r="A235" s="39" t="n"/>
      <c r="B235" s="39" t="n"/>
      <c r="C235" s="29" t="n"/>
      <c r="D235" s="29" t="n"/>
      <c r="E235" s="31" t="n"/>
      <c r="F235" s="29" t="n"/>
      <c r="G235" s="32">
        <f>IF(COUNTA($A235:$F235)=0,"",IF(OR($A235="",$B235=""),"الفترة أو البند ناقص",IF(COUNTIFS($A:$A,$A235,$B:$B,$B235)&gt;1,"تأكيد مكرر لنفس الفترة والبند",IF($D235="","اسم المؤكِّد ناقص",IF(NOT(ISNUMBER($E235)),"تاريخ التأكيد ناقص",IF(AND($C235="لا ينطبق",$F235=""),"اكتب سبب عدم الانطباق",""))))))</f>
        <v/>
      </c>
    </row>
    <row r="236">
      <c r="A236" s="39" t="n"/>
      <c r="B236" s="39" t="n"/>
      <c r="C236" s="29" t="n"/>
      <c r="D236" s="29" t="n"/>
      <c r="E236" s="31" t="n"/>
      <c r="F236" s="29" t="n"/>
      <c r="G236" s="32">
        <f>IF(COUNTA($A236:$F236)=0,"",IF(OR($A236="",$B236=""),"الفترة أو البند ناقص",IF(COUNTIFS($A:$A,$A236,$B:$B,$B236)&gt;1,"تأكيد مكرر لنفس الفترة والبند",IF($D236="","اسم المؤكِّد ناقص",IF(NOT(ISNUMBER($E236)),"تاريخ التأكيد ناقص",IF(AND($C236="لا ينطبق",$F236=""),"اكتب سبب عدم الانطباق",""))))))</f>
        <v/>
      </c>
    </row>
    <row r="237">
      <c r="A237" s="39" t="n"/>
      <c r="B237" s="39" t="n"/>
      <c r="C237" s="29" t="n"/>
      <c r="D237" s="29" t="n"/>
      <c r="E237" s="31" t="n"/>
      <c r="F237" s="29" t="n"/>
      <c r="G237" s="32">
        <f>IF(COUNTA($A237:$F237)=0,"",IF(OR($A237="",$B237=""),"الفترة أو البند ناقص",IF(COUNTIFS($A:$A,$A237,$B:$B,$B237)&gt;1,"تأكيد مكرر لنفس الفترة والبند",IF($D237="","اسم المؤكِّد ناقص",IF(NOT(ISNUMBER($E237)),"تاريخ التأكيد ناقص",IF(AND($C237="لا ينطبق",$F237=""),"اكتب سبب عدم الانطباق",""))))))</f>
        <v/>
      </c>
    </row>
    <row r="238">
      <c r="A238" s="39" t="n"/>
      <c r="B238" s="39" t="n"/>
      <c r="C238" s="29" t="n"/>
      <c r="D238" s="29" t="n"/>
      <c r="E238" s="31" t="n"/>
      <c r="F238" s="29" t="n"/>
      <c r="G238" s="32">
        <f>IF(COUNTA($A238:$F238)=0,"",IF(OR($A238="",$B238=""),"الفترة أو البند ناقص",IF(COUNTIFS($A:$A,$A238,$B:$B,$B238)&gt;1,"تأكيد مكرر لنفس الفترة والبند",IF($D238="","اسم المؤكِّد ناقص",IF(NOT(ISNUMBER($E238)),"تاريخ التأكيد ناقص",IF(AND($C238="لا ينطبق",$F238=""),"اكتب سبب عدم الانطباق",""))))))</f>
        <v/>
      </c>
    </row>
    <row r="239">
      <c r="A239" s="39" t="n"/>
      <c r="B239" s="39" t="n"/>
      <c r="C239" s="29" t="n"/>
      <c r="D239" s="29" t="n"/>
      <c r="E239" s="31" t="n"/>
      <c r="F239" s="29" t="n"/>
      <c r="G239" s="32">
        <f>IF(COUNTA($A239:$F239)=0,"",IF(OR($A239="",$B239=""),"الفترة أو البند ناقص",IF(COUNTIFS($A:$A,$A239,$B:$B,$B239)&gt;1,"تأكيد مكرر لنفس الفترة والبند",IF($D239="","اسم المؤكِّد ناقص",IF(NOT(ISNUMBER($E239)),"تاريخ التأكيد ناقص",IF(AND($C239="لا ينطبق",$F239=""),"اكتب سبب عدم الانطباق",""))))))</f>
        <v/>
      </c>
    </row>
    <row r="240">
      <c r="A240" s="39" t="n"/>
      <c r="B240" s="39" t="n"/>
      <c r="C240" s="29" t="n"/>
      <c r="D240" s="29" t="n"/>
      <c r="E240" s="31" t="n"/>
      <c r="F240" s="29" t="n"/>
      <c r="G240" s="32">
        <f>IF(COUNTA($A240:$F240)=0,"",IF(OR($A240="",$B240=""),"الفترة أو البند ناقص",IF(COUNTIFS($A:$A,$A240,$B:$B,$B240)&gt;1,"تأكيد مكرر لنفس الفترة والبند",IF($D240="","اسم المؤكِّد ناقص",IF(NOT(ISNUMBER($E240)),"تاريخ التأكيد ناقص",IF(AND($C240="لا ينطبق",$F240=""),"اكتب سبب عدم الانطباق",""))))))</f>
        <v/>
      </c>
    </row>
    <row r="241">
      <c r="A241" s="39" t="n"/>
      <c r="B241" s="39" t="n"/>
      <c r="C241" s="29" t="n"/>
      <c r="D241" s="29" t="n"/>
      <c r="E241" s="31" t="n"/>
      <c r="F241" s="29" t="n"/>
      <c r="G241" s="32">
        <f>IF(COUNTA($A241:$F241)=0,"",IF(OR($A241="",$B241=""),"الفترة أو البند ناقص",IF(COUNTIFS($A:$A,$A241,$B:$B,$B241)&gt;1,"تأكيد مكرر لنفس الفترة والبند",IF($D241="","اسم المؤكِّد ناقص",IF(NOT(ISNUMBER($E241)),"تاريخ التأكيد ناقص",IF(AND($C241="لا ينطبق",$F241=""),"اكتب سبب عدم الانطباق",""))))))</f>
        <v/>
      </c>
    </row>
    <row r="242">
      <c r="A242" s="39" t="n"/>
      <c r="B242" s="39" t="n"/>
      <c r="C242" s="29" t="n"/>
      <c r="D242" s="29" t="n"/>
      <c r="E242" s="31" t="n"/>
      <c r="F242" s="29" t="n"/>
      <c r="G242" s="32">
        <f>IF(COUNTA($A242:$F242)=0,"",IF(OR($A242="",$B242=""),"الفترة أو البند ناقص",IF(COUNTIFS($A:$A,$A242,$B:$B,$B242)&gt;1,"تأكيد مكرر لنفس الفترة والبند",IF($D242="","اسم المؤكِّد ناقص",IF(NOT(ISNUMBER($E242)),"تاريخ التأكيد ناقص",IF(AND($C242="لا ينطبق",$F242=""),"اكتب سبب عدم الانطباق",""))))))</f>
        <v/>
      </c>
    </row>
    <row r="243">
      <c r="A243" s="39" t="n"/>
      <c r="B243" s="39" t="n"/>
      <c r="C243" s="29" t="n"/>
      <c r="D243" s="29" t="n"/>
      <c r="E243" s="31" t="n"/>
      <c r="F243" s="29" t="n"/>
      <c r="G243" s="32">
        <f>IF(COUNTA($A243:$F243)=0,"",IF(OR($A243="",$B243=""),"الفترة أو البند ناقص",IF(COUNTIFS($A:$A,$A243,$B:$B,$B243)&gt;1,"تأكيد مكرر لنفس الفترة والبند",IF($D243="","اسم المؤكِّد ناقص",IF(NOT(ISNUMBER($E243)),"تاريخ التأكيد ناقص",IF(AND($C243="لا ينطبق",$F243=""),"اكتب سبب عدم الانطباق",""))))))</f>
        <v/>
      </c>
    </row>
    <row r="244">
      <c r="A244" s="39" t="n"/>
      <c r="B244" s="39" t="n"/>
      <c r="C244" s="29" t="n"/>
      <c r="D244" s="29" t="n"/>
      <c r="E244" s="31" t="n"/>
      <c r="F244" s="29" t="n"/>
      <c r="G244" s="32">
        <f>IF(COUNTA($A244:$F244)=0,"",IF(OR($A244="",$B244=""),"الفترة أو البند ناقص",IF(COUNTIFS($A:$A,$A244,$B:$B,$B244)&gt;1,"تأكيد مكرر لنفس الفترة والبند",IF($D244="","اسم المؤكِّد ناقص",IF(NOT(ISNUMBER($E244)),"تاريخ التأكيد ناقص",IF(AND($C244="لا ينطبق",$F244=""),"اكتب سبب عدم الانطباق",""))))))</f>
        <v/>
      </c>
    </row>
    <row r="245">
      <c r="A245" s="39" t="n"/>
      <c r="B245" s="39" t="n"/>
      <c r="C245" s="29" t="n"/>
      <c r="D245" s="29" t="n"/>
      <c r="E245" s="31" t="n"/>
      <c r="F245" s="29" t="n"/>
      <c r="G245" s="32">
        <f>IF(COUNTA($A245:$F245)=0,"",IF(OR($A245="",$B245=""),"الفترة أو البند ناقص",IF(COUNTIFS($A:$A,$A245,$B:$B,$B245)&gt;1,"تأكيد مكرر لنفس الفترة والبند",IF($D245="","اسم المؤكِّد ناقص",IF(NOT(ISNUMBER($E245)),"تاريخ التأكيد ناقص",IF(AND($C245="لا ينطبق",$F245=""),"اكتب سبب عدم الانطباق",""))))))</f>
        <v/>
      </c>
    </row>
    <row r="246">
      <c r="A246" s="39" t="n"/>
      <c r="B246" s="39" t="n"/>
      <c r="C246" s="29" t="n"/>
      <c r="D246" s="29" t="n"/>
      <c r="E246" s="31" t="n"/>
      <c r="F246" s="29" t="n"/>
      <c r="G246" s="32">
        <f>IF(COUNTA($A246:$F246)=0,"",IF(OR($A246="",$B246=""),"الفترة أو البند ناقص",IF(COUNTIFS($A:$A,$A246,$B:$B,$B246)&gt;1,"تأكيد مكرر لنفس الفترة والبند",IF($D246="","اسم المؤكِّد ناقص",IF(NOT(ISNUMBER($E246)),"تاريخ التأكيد ناقص",IF(AND($C246="لا ينطبق",$F246=""),"اكتب سبب عدم الانطباق",""))))))</f>
        <v/>
      </c>
    </row>
    <row r="247">
      <c r="A247" s="39" t="n"/>
      <c r="B247" s="39" t="n"/>
      <c r="C247" s="29" t="n"/>
      <c r="D247" s="29" t="n"/>
      <c r="E247" s="31" t="n"/>
      <c r="F247" s="29" t="n"/>
      <c r="G247" s="32">
        <f>IF(COUNTA($A247:$F247)=0,"",IF(OR($A247="",$B247=""),"الفترة أو البند ناقص",IF(COUNTIFS($A:$A,$A247,$B:$B,$B247)&gt;1,"تأكيد مكرر لنفس الفترة والبند",IF($D247="","اسم المؤكِّد ناقص",IF(NOT(ISNUMBER($E247)),"تاريخ التأكيد ناقص",IF(AND($C247="لا ينطبق",$F247=""),"اكتب سبب عدم الانطباق",""))))))</f>
        <v/>
      </c>
    </row>
    <row r="248">
      <c r="A248" s="39" t="n"/>
      <c r="B248" s="39" t="n"/>
      <c r="C248" s="29" t="n"/>
      <c r="D248" s="29" t="n"/>
      <c r="E248" s="31" t="n"/>
      <c r="F248" s="29" t="n"/>
      <c r="G248" s="32">
        <f>IF(COUNTA($A248:$F248)=0,"",IF(OR($A248="",$B248=""),"الفترة أو البند ناقص",IF(COUNTIFS($A:$A,$A248,$B:$B,$B248)&gt;1,"تأكيد مكرر لنفس الفترة والبند",IF($D248="","اسم المؤكِّد ناقص",IF(NOT(ISNUMBER($E248)),"تاريخ التأكيد ناقص",IF(AND($C248="لا ينطبق",$F248=""),"اكتب سبب عدم الانطباق",""))))))</f>
        <v/>
      </c>
    </row>
    <row r="249">
      <c r="A249" s="39" t="n"/>
      <c r="B249" s="39" t="n"/>
      <c r="C249" s="29" t="n"/>
      <c r="D249" s="29" t="n"/>
      <c r="E249" s="31" t="n"/>
      <c r="F249" s="29" t="n"/>
      <c r="G249" s="32">
        <f>IF(COUNTA($A249:$F249)=0,"",IF(OR($A249="",$B249=""),"الفترة أو البند ناقص",IF(COUNTIFS($A:$A,$A249,$B:$B,$B249)&gt;1,"تأكيد مكرر لنفس الفترة والبند",IF($D249="","اسم المؤكِّد ناقص",IF(NOT(ISNUMBER($E249)),"تاريخ التأكيد ناقص",IF(AND($C249="لا ينطبق",$F249=""),"اكتب سبب عدم الانطباق",""))))))</f>
        <v/>
      </c>
    </row>
    <row r="250">
      <c r="A250" s="39" t="n"/>
      <c r="B250" s="39" t="n"/>
      <c r="C250" s="29" t="n"/>
      <c r="D250" s="29" t="n"/>
      <c r="E250" s="31" t="n"/>
      <c r="F250" s="29" t="n"/>
      <c r="G250" s="32">
        <f>IF(COUNTA($A250:$F250)=0,"",IF(OR($A250="",$B250=""),"الفترة أو البند ناقص",IF(COUNTIFS($A:$A,$A250,$B:$B,$B250)&gt;1,"تأكيد مكرر لنفس الفترة والبند",IF($D250="","اسم المؤكِّد ناقص",IF(NOT(ISNUMBER($E250)),"تاريخ التأكيد ناقص",IF(AND($C250="لا ينطبق",$F250=""),"اكتب سبب عدم الانطباق",""))))))</f>
        <v/>
      </c>
    </row>
    <row r="251">
      <c r="A251" s="39" t="n"/>
      <c r="B251" s="39" t="n"/>
      <c r="C251" s="29" t="n"/>
      <c r="D251" s="29" t="n"/>
      <c r="E251" s="31" t="n"/>
      <c r="F251" s="29" t="n"/>
      <c r="G251" s="32">
        <f>IF(COUNTA($A251:$F251)=0,"",IF(OR($A251="",$B251=""),"الفترة أو البند ناقص",IF(COUNTIFS($A:$A,$A251,$B:$B,$B251)&gt;1,"تأكيد مكرر لنفس الفترة والبند",IF($D251="","اسم المؤكِّد ناقص",IF(NOT(ISNUMBER($E251)),"تاريخ التأكيد ناقص",IF(AND($C251="لا ينطبق",$F251=""),"اكتب سبب عدم الانطباق",""))))))</f>
        <v/>
      </c>
    </row>
    <row r="252">
      <c r="A252" s="39" t="n"/>
      <c r="B252" s="39" t="n"/>
      <c r="C252" s="29" t="n"/>
      <c r="D252" s="29" t="n"/>
      <c r="E252" s="31" t="n"/>
      <c r="F252" s="29" t="n"/>
      <c r="G252" s="32">
        <f>IF(COUNTA($A252:$F252)=0,"",IF(OR($A252="",$B252=""),"الفترة أو البند ناقص",IF(COUNTIFS($A:$A,$A252,$B:$B,$B252)&gt;1,"تأكيد مكرر لنفس الفترة والبند",IF($D252="","اسم المؤكِّد ناقص",IF(NOT(ISNUMBER($E252)),"تاريخ التأكيد ناقص",IF(AND($C252="لا ينطبق",$F252=""),"اكتب سبب عدم الانطباق",""))))))</f>
        <v/>
      </c>
    </row>
    <row r="253">
      <c r="A253" s="39" t="n"/>
      <c r="B253" s="39" t="n"/>
      <c r="C253" s="29" t="n"/>
      <c r="D253" s="29" t="n"/>
      <c r="E253" s="31" t="n"/>
      <c r="F253" s="29" t="n"/>
      <c r="G253" s="32">
        <f>IF(COUNTA($A253:$F253)=0,"",IF(OR($A253="",$B253=""),"الفترة أو البند ناقص",IF(COUNTIFS($A:$A,$A253,$B:$B,$B253)&gt;1,"تأكيد مكرر لنفس الفترة والبند",IF($D253="","اسم المؤكِّد ناقص",IF(NOT(ISNUMBER($E253)),"تاريخ التأكيد ناقص",IF(AND($C253="لا ينطبق",$F253=""),"اكتب سبب عدم الانطباق",""))))))</f>
        <v/>
      </c>
    </row>
    <row r="254">
      <c r="A254" s="39" t="n"/>
      <c r="B254" s="39" t="n"/>
      <c r="C254" s="29" t="n"/>
      <c r="D254" s="29" t="n"/>
      <c r="E254" s="31" t="n"/>
      <c r="F254" s="29" t="n"/>
      <c r="G254" s="32">
        <f>IF(COUNTA($A254:$F254)=0,"",IF(OR($A254="",$B254=""),"الفترة أو البند ناقص",IF(COUNTIFS($A:$A,$A254,$B:$B,$B254)&gt;1,"تأكيد مكرر لنفس الفترة والبند",IF($D254="","اسم المؤكِّد ناقص",IF(NOT(ISNUMBER($E254)),"تاريخ التأكيد ناقص",IF(AND($C254="لا ينطبق",$F254=""),"اكتب سبب عدم الانطباق",""))))))</f>
        <v/>
      </c>
    </row>
    <row r="255">
      <c r="A255" s="39" t="n"/>
      <c r="B255" s="39" t="n"/>
      <c r="C255" s="29" t="n"/>
      <c r="D255" s="29" t="n"/>
      <c r="E255" s="31" t="n"/>
      <c r="F255" s="29" t="n"/>
      <c r="G255" s="32">
        <f>IF(COUNTA($A255:$F255)=0,"",IF(OR($A255="",$B255=""),"الفترة أو البند ناقص",IF(COUNTIFS($A:$A,$A255,$B:$B,$B255)&gt;1,"تأكيد مكرر لنفس الفترة والبند",IF($D255="","اسم المؤكِّد ناقص",IF(NOT(ISNUMBER($E255)),"تاريخ التأكيد ناقص",IF(AND($C255="لا ينطبق",$F255=""),"اكتب سبب عدم الانطباق",""))))))</f>
        <v/>
      </c>
    </row>
    <row r="256">
      <c r="A256" s="39" t="n"/>
      <c r="B256" s="39" t="n"/>
      <c r="C256" s="29" t="n"/>
      <c r="D256" s="29" t="n"/>
      <c r="E256" s="31" t="n"/>
      <c r="F256" s="29" t="n"/>
      <c r="G256" s="32">
        <f>IF(COUNTA($A256:$F256)=0,"",IF(OR($A256="",$B256=""),"الفترة أو البند ناقص",IF(COUNTIFS($A:$A,$A256,$B:$B,$B256)&gt;1,"تأكيد مكرر لنفس الفترة والبند",IF($D256="","اسم المؤكِّد ناقص",IF(NOT(ISNUMBER($E256)),"تاريخ التأكيد ناقص",IF(AND($C256="لا ينطبق",$F256=""),"اكتب سبب عدم الانطباق",""))))))</f>
        <v/>
      </c>
    </row>
    <row r="257">
      <c r="A257" s="39" t="n"/>
      <c r="B257" s="39" t="n"/>
      <c r="C257" s="29" t="n"/>
      <c r="D257" s="29" t="n"/>
      <c r="E257" s="31" t="n"/>
      <c r="F257" s="29" t="n"/>
      <c r="G257" s="32">
        <f>IF(COUNTA($A257:$F257)=0,"",IF(OR($A257="",$B257=""),"الفترة أو البند ناقص",IF(COUNTIFS($A:$A,$A257,$B:$B,$B257)&gt;1,"تأكيد مكرر لنفس الفترة والبند",IF($D257="","اسم المؤكِّد ناقص",IF(NOT(ISNUMBER($E257)),"تاريخ التأكيد ناقص",IF(AND($C257="لا ينطبق",$F257=""),"اكتب سبب عدم الانطباق",""))))))</f>
        <v/>
      </c>
    </row>
    <row r="258">
      <c r="A258" s="39" t="n"/>
      <c r="B258" s="39" t="n"/>
      <c r="C258" s="29" t="n"/>
      <c r="D258" s="29" t="n"/>
      <c r="E258" s="31" t="n"/>
      <c r="F258" s="29" t="n"/>
      <c r="G258" s="32">
        <f>IF(COUNTA($A258:$F258)=0,"",IF(OR($A258="",$B258=""),"الفترة أو البند ناقص",IF(COUNTIFS($A:$A,$A258,$B:$B,$B258)&gt;1,"تأكيد مكرر لنفس الفترة والبند",IF($D258="","اسم المؤكِّد ناقص",IF(NOT(ISNUMBER($E258)),"تاريخ التأكيد ناقص",IF(AND($C258="لا ينطبق",$F258=""),"اكتب سبب عدم الانطباق",""))))))</f>
        <v/>
      </c>
    </row>
    <row r="259">
      <c r="A259" s="39" t="n"/>
      <c r="B259" s="39" t="n"/>
      <c r="C259" s="29" t="n"/>
      <c r="D259" s="29" t="n"/>
      <c r="E259" s="31" t="n"/>
      <c r="F259" s="29" t="n"/>
      <c r="G259" s="32">
        <f>IF(COUNTA($A259:$F259)=0,"",IF(OR($A259="",$B259=""),"الفترة أو البند ناقص",IF(COUNTIFS($A:$A,$A259,$B:$B,$B259)&gt;1,"تأكيد مكرر لنفس الفترة والبند",IF($D259="","اسم المؤكِّد ناقص",IF(NOT(ISNUMBER($E259)),"تاريخ التأكيد ناقص",IF(AND($C259="لا ينطبق",$F259=""),"اكتب سبب عدم الانطباق",""))))))</f>
        <v/>
      </c>
    </row>
    <row r="260">
      <c r="A260" s="39" t="n"/>
      <c r="B260" s="39" t="n"/>
      <c r="C260" s="29" t="n"/>
      <c r="D260" s="29" t="n"/>
      <c r="E260" s="31" t="n"/>
      <c r="F260" s="29" t="n"/>
      <c r="G260" s="32">
        <f>IF(COUNTA($A260:$F260)=0,"",IF(OR($A260="",$B260=""),"الفترة أو البند ناقص",IF(COUNTIFS($A:$A,$A260,$B:$B,$B260)&gt;1,"تأكيد مكرر لنفس الفترة والبند",IF($D260="","اسم المؤكِّد ناقص",IF(NOT(ISNUMBER($E260)),"تاريخ التأكيد ناقص",IF(AND($C260="لا ينطبق",$F260=""),"اكتب سبب عدم الانطباق",""))))))</f>
        <v/>
      </c>
    </row>
    <row r="261">
      <c r="A261" s="39" t="n"/>
      <c r="B261" s="39" t="n"/>
      <c r="C261" s="29" t="n"/>
      <c r="D261" s="29" t="n"/>
      <c r="E261" s="31" t="n"/>
      <c r="F261" s="29" t="n"/>
      <c r="G261" s="32">
        <f>IF(COUNTA($A261:$F261)=0,"",IF(OR($A261="",$B261=""),"الفترة أو البند ناقص",IF(COUNTIFS($A:$A,$A261,$B:$B,$B261)&gt;1,"تأكيد مكرر لنفس الفترة والبند",IF($D261="","اسم المؤكِّد ناقص",IF(NOT(ISNUMBER($E261)),"تاريخ التأكيد ناقص",IF(AND($C261="لا ينطبق",$F261=""),"اكتب سبب عدم الانطباق",""))))))</f>
        <v/>
      </c>
    </row>
    <row r="262">
      <c r="A262" s="39" t="n"/>
      <c r="B262" s="39" t="n"/>
      <c r="C262" s="29" t="n"/>
      <c r="D262" s="29" t="n"/>
      <c r="E262" s="31" t="n"/>
      <c r="F262" s="29" t="n"/>
      <c r="G262" s="32">
        <f>IF(COUNTA($A262:$F262)=0,"",IF(OR($A262="",$B262=""),"الفترة أو البند ناقص",IF(COUNTIFS($A:$A,$A262,$B:$B,$B262)&gt;1,"تأكيد مكرر لنفس الفترة والبند",IF($D262="","اسم المؤكِّد ناقص",IF(NOT(ISNUMBER($E262)),"تاريخ التأكيد ناقص",IF(AND($C262="لا ينطبق",$F262=""),"اكتب سبب عدم الانطباق",""))))))</f>
        <v/>
      </c>
    </row>
    <row r="263">
      <c r="A263" s="39" t="n"/>
      <c r="B263" s="39" t="n"/>
      <c r="C263" s="29" t="n"/>
      <c r="D263" s="29" t="n"/>
      <c r="E263" s="31" t="n"/>
      <c r="F263" s="29" t="n"/>
      <c r="G263" s="32">
        <f>IF(COUNTA($A263:$F263)=0,"",IF(OR($A263="",$B263=""),"الفترة أو البند ناقص",IF(COUNTIFS($A:$A,$A263,$B:$B,$B263)&gt;1,"تأكيد مكرر لنفس الفترة والبند",IF($D263="","اسم المؤكِّد ناقص",IF(NOT(ISNUMBER($E263)),"تاريخ التأكيد ناقص",IF(AND($C263="لا ينطبق",$F263=""),"اكتب سبب عدم الانطباق",""))))))</f>
        <v/>
      </c>
    </row>
    <row r="264">
      <c r="A264" s="39" t="n"/>
      <c r="B264" s="39" t="n"/>
      <c r="C264" s="29" t="n"/>
      <c r="D264" s="29" t="n"/>
      <c r="E264" s="31" t="n"/>
      <c r="F264" s="29" t="n"/>
      <c r="G264" s="32">
        <f>IF(COUNTA($A264:$F264)=0,"",IF(OR($A264="",$B264=""),"الفترة أو البند ناقص",IF(COUNTIFS($A:$A,$A264,$B:$B,$B264)&gt;1,"تأكيد مكرر لنفس الفترة والبند",IF($D264="","اسم المؤكِّد ناقص",IF(NOT(ISNUMBER($E264)),"تاريخ التأكيد ناقص",IF(AND($C264="لا ينطبق",$F264=""),"اكتب سبب عدم الانطباق",""))))))</f>
        <v/>
      </c>
    </row>
    <row r="265">
      <c r="A265" s="39" t="n"/>
      <c r="B265" s="39" t="n"/>
      <c r="C265" s="29" t="n"/>
      <c r="D265" s="29" t="n"/>
      <c r="E265" s="31" t="n"/>
      <c r="F265" s="29" t="n"/>
      <c r="G265" s="32">
        <f>IF(COUNTA($A265:$F265)=0,"",IF(OR($A265="",$B265=""),"الفترة أو البند ناقص",IF(COUNTIFS($A:$A,$A265,$B:$B,$B265)&gt;1,"تأكيد مكرر لنفس الفترة والبند",IF($D265="","اسم المؤكِّد ناقص",IF(NOT(ISNUMBER($E265)),"تاريخ التأكيد ناقص",IF(AND($C265="لا ينطبق",$F265=""),"اكتب سبب عدم الانطباق",""))))))</f>
        <v/>
      </c>
    </row>
    <row r="266">
      <c r="A266" s="39" t="n"/>
      <c r="B266" s="39" t="n"/>
      <c r="C266" s="29" t="n"/>
      <c r="D266" s="29" t="n"/>
      <c r="E266" s="31" t="n"/>
      <c r="F266" s="29" t="n"/>
      <c r="G266" s="32">
        <f>IF(COUNTA($A266:$F266)=0,"",IF(OR($A266="",$B266=""),"الفترة أو البند ناقص",IF(COUNTIFS($A:$A,$A266,$B:$B,$B266)&gt;1,"تأكيد مكرر لنفس الفترة والبند",IF($D266="","اسم المؤكِّد ناقص",IF(NOT(ISNUMBER($E266)),"تاريخ التأكيد ناقص",IF(AND($C266="لا ينطبق",$F266=""),"اكتب سبب عدم الانطباق",""))))))</f>
        <v/>
      </c>
    </row>
    <row r="267">
      <c r="A267" s="39" t="n"/>
      <c r="B267" s="39" t="n"/>
      <c r="C267" s="29" t="n"/>
      <c r="D267" s="29" t="n"/>
      <c r="E267" s="31" t="n"/>
      <c r="F267" s="29" t="n"/>
      <c r="G267" s="32">
        <f>IF(COUNTA($A267:$F267)=0,"",IF(OR($A267="",$B267=""),"الفترة أو البند ناقص",IF(COUNTIFS($A:$A,$A267,$B:$B,$B267)&gt;1,"تأكيد مكرر لنفس الفترة والبند",IF($D267="","اسم المؤكِّد ناقص",IF(NOT(ISNUMBER($E267)),"تاريخ التأكيد ناقص",IF(AND($C267="لا ينطبق",$F267=""),"اكتب سبب عدم الانطباق",""))))))</f>
        <v/>
      </c>
    </row>
    <row r="268">
      <c r="A268" s="39" t="n"/>
      <c r="B268" s="39" t="n"/>
      <c r="C268" s="29" t="n"/>
      <c r="D268" s="29" t="n"/>
      <c r="E268" s="31" t="n"/>
      <c r="F268" s="29" t="n"/>
      <c r="G268" s="32">
        <f>IF(COUNTA($A268:$F268)=0,"",IF(OR($A268="",$B268=""),"الفترة أو البند ناقص",IF(COUNTIFS($A:$A,$A268,$B:$B,$B268)&gt;1,"تأكيد مكرر لنفس الفترة والبند",IF($D268="","اسم المؤكِّد ناقص",IF(NOT(ISNUMBER($E268)),"تاريخ التأكيد ناقص",IF(AND($C268="لا ينطبق",$F268=""),"اكتب سبب عدم الانطباق",""))))))</f>
        <v/>
      </c>
    </row>
    <row r="269">
      <c r="A269" s="39" t="n"/>
      <c r="B269" s="39" t="n"/>
      <c r="C269" s="29" t="n"/>
      <c r="D269" s="29" t="n"/>
      <c r="E269" s="31" t="n"/>
      <c r="F269" s="29" t="n"/>
      <c r="G269" s="32">
        <f>IF(COUNTA($A269:$F269)=0,"",IF(OR($A269="",$B269=""),"الفترة أو البند ناقص",IF(COUNTIFS($A:$A,$A269,$B:$B,$B269)&gt;1,"تأكيد مكرر لنفس الفترة والبند",IF($D269="","اسم المؤكِّد ناقص",IF(NOT(ISNUMBER($E269)),"تاريخ التأكيد ناقص",IF(AND($C269="لا ينطبق",$F269=""),"اكتب سبب عدم الانطباق",""))))))</f>
        <v/>
      </c>
    </row>
    <row r="270">
      <c r="A270" s="39" t="n"/>
      <c r="B270" s="39" t="n"/>
      <c r="C270" s="29" t="n"/>
      <c r="D270" s="29" t="n"/>
      <c r="E270" s="31" t="n"/>
      <c r="F270" s="29" t="n"/>
      <c r="G270" s="32">
        <f>IF(COUNTA($A270:$F270)=0,"",IF(OR($A270="",$B270=""),"الفترة أو البند ناقص",IF(COUNTIFS($A:$A,$A270,$B:$B,$B270)&gt;1,"تأكيد مكرر لنفس الفترة والبند",IF($D270="","اسم المؤكِّد ناقص",IF(NOT(ISNUMBER($E270)),"تاريخ التأكيد ناقص",IF(AND($C270="لا ينطبق",$F270=""),"اكتب سبب عدم الانطباق",""))))))</f>
        <v/>
      </c>
    </row>
    <row r="271">
      <c r="A271" s="39" t="n"/>
      <c r="B271" s="39" t="n"/>
      <c r="C271" s="29" t="n"/>
      <c r="D271" s="29" t="n"/>
      <c r="E271" s="31" t="n"/>
      <c r="F271" s="29" t="n"/>
      <c r="G271" s="32">
        <f>IF(COUNTA($A271:$F271)=0,"",IF(OR($A271="",$B271=""),"الفترة أو البند ناقص",IF(COUNTIFS($A:$A,$A271,$B:$B,$B271)&gt;1,"تأكيد مكرر لنفس الفترة والبند",IF($D271="","اسم المؤكِّد ناقص",IF(NOT(ISNUMBER($E271)),"تاريخ التأكيد ناقص",IF(AND($C271="لا ينطبق",$F271=""),"اكتب سبب عدم الانطباق",""))))))</f>
        <v/>
      </c>
    </row>
    <row r="272">
      <c r="A272" s="39" t="n"/>
      <c r="B272" s="39" t="n"/>
      <c r="C272" s="29" t="n"/>
      <c r="D272" s="29" t="n"/>
      <c r="E272" s="31" t="n"/>
      <c r="F272" s="29" t="n"/>
      <c r="G272" s="32">
        <f>IF(COUNTA($A272:$F272)=0,"",IF(OR($A272="",$B272=""),"الفترة أو البند ناقص",IF(COUNTIFS($A:$A,$A272,$B:$B,$B272)&gt;1,"تأكيد مكرر لنفس الفترة والبند",IF($D272="","اسم المؤكِّد ناقص",IF(NOT(ISNUMBER($E272)),"تاريخ التأكيد ناقص",IF(AND($C272="لا ينطبق",$F272=""),"اكتب سبب عدم الانطباق",""))))))</f>
        <v/>
      </c>
    </row>
    <row r="273">
      <c r="A273" s="39" t="n"/>
      <c r="B273" s="39" t="n"/>
      <c r="C273" s="29" t="n"/>
      <c r="D273" s="29" t="n"/>
      <c r="E273" s="31" t="n"/>
      <c r="F273" s="29" t="n"/>
      <c r="G273" s="32">
        <f>IF(COUNTA($A273:$F273)=0,"",IF(OR($A273="",$B273=""),"الفترة أو البند ناقص",IF(COUNTIFS($A:$A,$A273,$B:$B,$B273)&gt;1,"تأكيد مكرر لنفس الفترة والبند",IF($D273="","اسم المؤكِّد ناقص",IF(NOT(ISNUMBER($E273)),"تاريخ التأكيد ناقص",IF(AND($C273="لا ينطبق",$F273=""),"اكتب سبب عدم الانطباق",""))))))</f>
        <v/>
      </c>
    </row>
    <row r="274">
      <c r="A274" s="39" t="n"/>
      <c r="B274" s="39" t="n"/>
      <c r="C274" s="29" t="n"/>
      <c r="D274" s="29" t="n"/>
      <c r="E274" s="31" t="n"/>
      <c r="F274" s="29" t="n"/>
      <c r="G274" s="32">
        <f>IF(COUNTA($A274:$F274)=0,"",IF(OR($A274="",$B274=""),"الفترة أو البند ناقص",IF(COUNTIFS($A:$A,$A274,$B:$B,$B274)&gt;1,"تأكيد مكرر لنفس الفترة والبند",IF($D274="","اسم المؤكِّد ناقص",IF(NOT(ISNUMBER($E274)),"تاريخ التأكيد ناقص",IF(AND($C274="لا ينطبق",$F274=""),"اكتب سبب عدم الانطباق",""))))))</f>
        <v/>
      </c>
    </row>
    <row r="275">
      <c r="A275" s="39" t="n"/>
      <c r="B275" s="39" t="n"/>
      <c r="C275" s="29" t="n"/>
      <c r="D275" s="29" t="n"/>
      <c r="E275" s="31" t="n"/>
      <c r="F275" s="29" t="n"/>
      <c r="G275" s="32">
        <f>IF(COUNTA($A275:$F275)=0,"",IF(OR($A275="",$B275=""),"الفترة أو البند ناقص",IF(COUNTIFS($A:$A,$A275,$B:$B,$B275)&gt;1,"تأكيد مكرر لنفس الفترة والبند",IF($D275="","اسم المؤكِّد ناقص",IF(NOT(ISNUMBER($E275)),"تاريخ التأكيد ناقص",IF(AND($C275="لا ينطبق",$F275=""),"اكتب سبب عدم الانطباق",""))))))</f>
        <v/>
      </c>
    </row>
    <row r="276">
      <c r="A276" s="39" t="n"/>
      <c r="B276" s="39" t="n"/>
      <c r="C276" s="29" t="n"/>
      <c r="D276" s="29" t="n"/>
      <c r="E276" s="31" t="n"/>
      <c r="F276" s="29" t="n"/>
      <c r="G276" s="32">
        <f>IF(COUNTA($A276:$F276)=0,"",IF(OR($A276="",$B276=""),"الفترة أو البند ناقص",IF(COUNTIFS($A:$A,$A276,$B:$B,$B276)&gt;1,"تأكيد مكرر لنفس الفترة والبند",IF($D276="","اسم المؤكِّد ناقص",IF(NOT(ISNUMBER($E276)),"تاريخ التأكيد ناقص",IF(AND($C276="لا ينطبق",$F276=""),"اكتب سبب عدم الانطباق",""))))))</f>
        <v/>
      </c>
    </row>
    <row r="277">
      <c r="A277" s="39" t="n"/>
      <c r="B277" s="39" t="n"/>
      <c r="C277" s="29" t="n"/>
      <c r="D277" s="29" t="n"/>
      <c r="E277" s="31" t="n"/>
      <c r="F277" s="29" t="n"/>
      <c r="G277" s="32">
        <f>IF(COUNTA($A277:$F277)=0,"",IF(OR($A277="",$B277=""),"الفترة أو البند ناقص",IF(COUNTIFS($A:$A,$A277,$B:$B,$B277)&gt;1,"تأكيد مكرر لنفس الفترة والبند",IF($D277="","اسم المؤكِّد ناقص",IF(NOT(ISNUMBER($E277)),"تاريخ التأكيد ناقص",IF(AND($C277="لا ينطبق",$F277=""),"اكتب سبب عدم الانطباق",""))))))</f>
        <v/>
      </c>
    </row>
    <row r="278">
      <c r="A278" s="39" t="n"/>
      <c r="B278" s="39" t="n"/>
      <c r="C278" s="29" t="n"/>
      <c r="D278" s="29" t="n"/>
      <c r="E278" s="31" t="n"/>
      <c r="F278" s="29" t="n"/>
      <c r="G278" s="32">
        <f>IF(COUNTA($A278:$F278)=0,"",IF(OR($A278="",$B278=""),"الفترة أو البند ناقص",IF(COUNTIFS($A:$A,$A278,$B:$B,$B278)&gt;1,"تأكيد مكرر لنفس الفترة والبند",IF($D278="","اسم المؤكِّد ناقص",IF(NOT(ISNUMBER($E278)),"تاريخ التأكيد ناقص",IF(AND($C278="لا ينطبق",$F278=""),"اكتب سبب عدم الانطباق",""))))))</f>
        <v/>
      </c>
    </row>
    <row r="279">
      <c r="A279" s="39" t="n"/>
      <c r="B279" s="39" t="n"/>
      <c r="C279" s="29" t="n"/>
      <c r="D279" s="29" t="n"/>
      <c r="E279" s="31" t="n"/>
      <c r="F279" s="29" t="n"/>
      <c r="G279" s="32">
        <f>IF(COUNTA($A279:$F279)=0,"",IF(OR($A279="",$B279=""),"الفترة أو البند ناقص",IF(COUNTIFS($A:$A,$A279,$B:$B,$B279)&gt;1,"تأكيد مكرر لنفس الفترة والبند",IF($D279="","اسم المؤكِّد ناقص",IF(NOT(ISNUMBER($E279)),"تاريخ التأكيد ناقص",IF(AND($C279="لا ينطبق",$F279=""),"اكتب سبب عدم الانطباق",""))))))</f>
        <v/>
      </c>
    </row>
    <row r="280">
      <c r="A280" s="39" t="n"/>
      <c r="B280" s="39" t="n"/>
      <c r="C280" s="29" t="n"/>
      <c r="D280" s="29" t="n"/>
      <c r="E280" s="31" t="n"/>
      <c r="F280" s="29" t="n"/>
      <c r="G280" s="32">
        <f>IF(COUNTA($A280:$F280)=0,"",IF(OR($A280="",$B280=""),"الفترة أو البند ناقص",IF(COUNTIFS($A:$A,$A280,$B:$B,$B280)&gt;1,"تأكيد مكرر لنفس الفترة والبند",IF($D280="","اسم المؤكِّد ناقص",IF(NOT(ISNUMBER($E280)),"تاريخ التأكيد ناقص",IF(AND($C280="لا ينطبق",$F280=""),"اكتب سبب عدم الانطباق",""))))))</f>
        <v/>
      </c>
    </row>
    <row r="281">
      <c r="A281" s="39" t="n"/>
      <c r="B281" s="39" t="n"/>
      <c r="C281" s="29" t="n"/>
      <c r="D281" s="29" t="n"/>
      <c r="E281" s="31" t="n"/>
      <c r="F281" s="29" t="n"/>
      <c r="G281" s="32">
        <f>IF(COUNTA($A281:$F281)=0,"",IF(OR($A281="",$B281=""),"الفترة أو البند ناقص",IF(COUNTIFS($A:$A,$A281,$B:$B,$B281)&gt;1,"تأكيد مكرر لنفس الفترة والبند",IF($D281="","اسم المؤكِّد ناقص",IF(NOT(ISNUMBER($E281)),"تاريخ التأكيد ناقص",IF(AND($C281="لا ينطبق",$F281=""),"اكتب سبب عدم الانطباق",""))))))</f>
        <v/>
      </c>
    </row>
    <row r="282">
      <c r="A282" s="39" t="n"/>
      <c r="B282" s="39" t="n"/>
      <c r="C282" s="29" t="n"/>
      <c r="D282" s="29" t="n"/>
      <c r="E282" s="31" t="n"/>
      <c r="F282" s="29" t="n"/>
      <c r="G282" s="32">
        <f>IF(COUNTA($A282:$F282)=0,"",IF(OR($A282="",$B282=""),"الفترة أو البند ناقص",IF(COUNTIFS($A:$A,$A282,$B:$B,$B282)&gt;1,"تأكيد مكرر لنفس الفترة والبند",IF($D282="","اسم المؤكِّد ناقص",IF(NOT(ISNUMBER($E282)),"تاريخ التأكيد ناقص",IF(AND($C282="لا ينطبق",$F282=""),"اكتب سبب عدم الانطباق",""))))))</f>
        <v/>
      </c>
    </row>
    <row r="283">
      <c r="A283" s="39" t="n"/>
      <c r="B283" s="39" t="n"/>
      <c r="C283" s="29" t="n"/>
      <c r="D283" s="29" t="n"/>
      <c r="E283" s="31" t="n"/>
      <c r="F283" s="29" t="n"/>
      <c r="G283" s="32">
        <f>IF(COUNTA($A283:$F283)=0,"",IF(OR($A283="",$B283=""),"الفترة أو البند ناقص",IF(COUNTIFS($A:$A,$A283,$B:$B,$B283)&gt;1,"تأكيد مكرر لنفس الفترة والبند",IF($D283="","اسم المؤكِّد ناقص",IF(NOT(ISNUMBER($E283)),"تاريخ التأكيد ناقص",IF(AND($C283="لا ينطبق",$F283=""),"اكتب سبب عدم الانطباق",""))))))</f>
        <v/>
      </c>
    </row>
    <row r="284">
      <c r="A284" s="39" t="n"/>
      <c r="B284" s="39" t="n"/>
      <c r="C284" s="29" t="n"/>
      <c r="D284" s="29" t="n"/>
      <c r="E284" s="31" t="n"/>
      <c r="F284" s="29" t="n"/>
      <c r="G284" s="32">
        <f>IF(COUNTA($A284:$F284)=0,"",IF(OR($A284="",$B284=""),"الفترة أو البند ناقص",IF(COUNTIFS($A:$A,$A284,$B:$B,$B284)&gt;1,"تأكيد مكرر لنفس الفترة والبند",IF($D284="","اسم المؤكِّد ناقص",IF(NOT(ISNUMBER($E284)),"تاريخ التأكيد ناقص",IF(AND($C284="لا ينطبق",$F284=""),"اكتب سبب عدم الانطباق",""))))))</f>
        <v/>
      </c>
    </row>
    <row r="285">
      <c r="A285" s="39" t="n"/>
      <c r="B285" s="39" t="n"/>
      <c r="C285" s="29" t="n"/>
      <c r="D285" s="29" t="n"/>
      <c r="E285" s="31" t="n"/>
      <c r="F285" s="29" t="n"/>
      <c r="G285" s="32">
        <f>IF(COUNTA($A285:$F285)=0,"",IF(OR($A285="",$B285=""),"الفترة أو البند ناقص",IF(COUNTIFS($A:$A,$A285,$B:$B,$B285)&gt;1,"تأكيد مكرر لنفس الفترة والبند",IF($D285="","اسم المؤكِّد ناقص",IF(NOT(ISNUMBER($E285)),"تاريخ التأكيد ناقص",IF(AND($C285="لا ينطبق",$F285=""),"اكتب سبب عدم الانطباق",""))))))</f>
        <v/>
      </c>
    </row>
    <row r="286">
      <c r="A286" s="39" t="n"/>
      <c r="B286" s="39" t="n"/>
      <c r="C286" s="29" t="n"/>
      <c r="D286" s="29" t="n"/>
      <c r="E286" s="31" t="n"/>
      <c r="F286" s="29" t="n"/>
      <c r="G286" s="32">
        <f>IF(COUNTA($A286:$F286)=0,"",IF(OR($A286="",$B286=""),"الفترة أو البند ناقص",IF(COUNTIFS($A:$A,$A286,$B:$B,$B286)&gt;1,"تأكيد مكرر لنفس الفترة والبند",IF($D286="","اسم المؤكِّد ناقص",IF(NOT(ISNUMBER($E286)),"تاريخ التأكيد ناقص",IF(AND($C286="لا ينطبق",$F286=""),"اكتب سبب عدم الانطباق",""))))))</f>
        <v/>
      </c>
    </row>
    <row r="287">
      <c r="A287" s="39" t="n"/>
      <c r="B287" s="39" t="n"/>
      <c r="C287" s="29" t="n"/>
      <c r="D287" s="29" t="n"/>
      <c r="E287" s="31" t="n"/>
      <c r="F287" s="29" t="n"/>
      <c r="G287" s="32">
        <f>IF(COUNTA($A287:$F287)=0,"",IF(OR($A287="",$B287=""),"الفترة أو البند ناقص",IF(COUNTIFS($A:$A,$A287,$B:$B,$B287)&gt;1,"تأكيد مكرر لنفس الفترة والبند",IF($D287="","اسم المؤكِّد ناقص",IF(NOT(ISNUMBER($E287)),"تاريخ التأكيد ناقص",IF(AND($C287="لا ينطبق",$F287=""),"اكتب سبب عدم الانطباق",""))))))</f>
        <v/>
      </c>
    </row>
    <row r="288">
      <c r="A288" s="39" t="n"/>
      <c r="B288" s="39" t="n"/>
      <c r="C288" s="29" t="n"/>
      <c r="D288" s="29" t="n"/>
      <c r="E288" s="31" t="n"/>
      <c r="F288" s="29" t="n"/>
      <c r="G288" s="32">
        <f>IF(COUNTA($A288:$F288)=0,"",IF(OR($A288="",$B288=""),"الفترة أو البند ناقص",IF(COUNTIFS($A:$A,$A288,$B:$B,$B288)&gt;1,"تأكيد مكرر لنفس الفترة والبند",IF($D288="","اسم المؤكِّد ناقص",IF(NOT(ISNUMBER($E288)),"تاريخ التأكيد ناقص",IF(AND($C288="لا ينطبق",$F288=""),"اكتب سبب عدم الانطباق",""))))))</f>
        <v/>
      </c>
    </row>
    <row r="289">
      <c r="A289" s="39" t="n"/>
      <c r="B289" s="39" t="n"/>
      <c r="C289" s="29" t="n"/>
      <c r="D289" s="29" t="n"/>
      <c r="E289" s="31" t="n"/>
      <c r="F289" s="29" t="n"/>
      <c r="G289" s="32">
        <f>IF(COUNTA($A289:$F289)=0,"",IF(OR($A289="",$B289=""),"الفترة أو البند ناقص",IF(COUNTIFS($A:$A,$A289,$B:$B,$B289)&gt;1,"تأكيد مكرر لنفس الفترة والبند",IF($D289="","اسم المؤكِّد ناقص",IF(NOT(ISNUMBER($E289)),"تاريخ التأكيد ناقص",IF(AND($C289="لا ينطبق",$F289=""),"اكتب سبب عدم الانطباق",""))))))</f>
        <v/>
      </c>
    </row>
    <row r="290">
      <c r="A290" s="39" t="n"/>
      <c r="B290" s="39" t="n"/>
      <c r="C290" s="29" t="n"/>
      <c r="D290" s="29" t="n"/>
      <c r="E290" s="31" t="n"/>
      <c r="F290" s="29" t="n"/>
      <c r="G290" s="32">
        <f>IF(COUNTA($A290:$F290)=0,"",IF(OR($A290="",$B290=""),"الفترة أو البند ناقص",IF(COUNTIFS($A:$A,$A290,$B:$B,$B290)&gt;1,"تأكيد مكرر لنفس الفترة والبند",IF($D290="","اسم المؤكِّد ناقص",IF(NOT(ISNUMBER($E290)),"تاريخ التأكيد ناقص",IF(AND($C290="لا ينطبق",$F290=""),"اكتب سبب عدم الانطباق",""))))))</f>
        <v/>
      </c>
    </row>
    <row r="291">
      <c r="A291" s="39" t="n"/>
      <c r="B291" s="39" t="n"/>
      <c r="C291" s="29" t="n"/>
      <c r="D291" s="29" t="n"/>
      <c r="E291" s="31" t="n"/>
      <c r="F291" s="29" t="n"/>
      <c r="G291" s="32">
        <f>IF(COUNTA($A291:$F291)=0,"",IF(OR($A291="",$B291=""),"الفترة أو البند ناقص",IF(COUNTIFS($A:$A,$A291,$B:$B,$B291)&gt;1,"تأكيد مكرر لنفس الفترة والبند",IF($D291="","اسم المؤكِّد ناقص",IF(NOT(ISNUMBER($E291)),"تاريخ التأكيد ناقص",IF(AND($C291="لا ينطبق",$F291=""),"اكتب سبب عدم الانطباق",""))))))</f>
        <v/>
      </c>
    </row>
    <row r="292">
      <c r="A292" s="39" t="n"/>
      <c r="B292" s="39" t="n"/>
      <c r="C292" s="29" t="n"/>
      <c r="D292" s="29" t="n"/>
      <c r="E292" s="31" t="n"/>
      <c r="F292" s="29" t="n"/>
      <c r="G292" s="32">
        <f>IF(COUNTA($A292:$F292)=0,"",IF(OR($A292="",$B292=""),"الفترة أو البند ناقص",IF(COUNTIFS($A:$A,$A292,$B:$B,$B292)&gt;1,"تأكيد مكرر لنفس الفترة والبند",IF($D292="","اسم المؤكِّد ناقص",IF(NOT(ISNUMBER($E292)),"تاريخ التأكيد ناقص",IF(AND($C292="لا ينطبق",$F292=""),"اكتب سبب عدم الانطباق",""))))))</f>
        <v/>
      </c>
    </row>
    <row r="293">
      <c r="A293" s="39" t="n"/>
      <c r="B293" s="39" t="n"/>
      <c r="C293" s="29" t="n"/>
      <c r="D293" s="29" t="n"/>
      <c r="E293" s="31" t="n"/>
      <c r="F293" s="29" t="n"/>
      <c r="G293" s="32">
        <f>IF(COUNTA($A293:$F293)=0,"",IF(OR($A293="",$B293=""),"الفترة أو البند ناقص",IF(COUNTIFS($A:$A,$A293,$B:$B,$B293)&gt;1,"تأكيد مكرر لنفس الفترة والبند",IF($D293="","اسم المؤكِّد ناقص",IF(NOT(ISNUMBER($E293)),"تاريخ التأكيد ناقص",IF(AND($C293="لا ينطبق",$F293=""),"اكتب سبب عدم الانطباق",""))))))</f>
        <v/>
      </c>
    </row>
    <row r="294">
      <c r="A294" s="39" t="n"/>
      <c r="B294" s="39" t="n"/>
      <c r="C294" s="29" t="n"/>
      <c r="D294" s="29" t="n"/>
      <c r="E294" s="31" t="n"/>
      <c r="F294" s="29" t="n"/>
      <c r="G294" s="32">
        <f>IF(COUNTA($A294:$F294)=0,"",IF(OR($A294="",$B294=""),"الفترة أو البند ناقص",IF(COUNTIFS($A:$A,$A294,$B:$B,$B294)&gt;1,"تأكيد مكرر لنفس الفترة والبند",IF($D294="","اسم المؤكِّد ناقص",IF(NOT(ISNUMBER($E294)),"تاريخ التأكيد ناقص",IF(AND($C294="لا ينطبق",$F294=""),"اكتب سبب عدم الانطباق",""))))))</f>
        <v/>
      </c>
    </row>
    <row r="295">
      <c r="A295" s="39" t="n"/>
      <c r="B295" s="39" t="n"/>
      <c r="C295" s="29" t="n"/>
      <c r="D295" s="29" t="n"/>
      <c r="E295" s="31" t="n"/>
      <c r="F295" s="29" t="n"/>
      <c r="G295" s="32">
        <f>IF(COUNTA($A295:$F295)=0,"",IF(OR($A295="",$B295=""),"الفترة أو البند ناقص",IF(COUNTIFS($A:$A,$A295,$B:$B,$B295)&gt;1,"تأكيد مكرر لنفس الفترة والبند",IF($D295="","اسم المؤكِّد ناقص",IF(NOT(ISNUMBER($E295)),"تاريخ التأكيد ناقص",IF(AND($C295="لا ينطبق",$F295=""),"اكتب سبب عدم الانطباق",""))))))</f>
        <v/>
      </c>
    </row>
    <row r="296">
      <c r="A296" s="39" t="n"/>
      <c r="B296" s="39" t="n"/>
      <c r="C296" s="29" t="n"/>
      <c r="D296" s="29" t="n"/>
      <c r="E296" s="31" t="n"/>
      <c r="F296" s="29" t="n"/>
      <c r="G296" s="32">
        <f>IF(COUNTA($A296:$F296)=0,"",IF(OR($A296="",$B296=""),"الفترة أو البند ناقص",IF(COUNTIFS($A:$A,$A296,$B:$B,$B296)&gt;1,"تأكيد مكرر لنفس الفترة والبند",IF($D296="","اسم المؤكِّد ناقص",IF(NOT(ISNUMBER($E296)),"تاريخ التأكيد ناقص",IF(AND($C296="لا ينطبق",$F296=""),"اكتب سبب عدم الانطباق",""))))))</f>
        <v/>
      </c>
    </row>
    <row r="297">
      <c r="A297" s="39" t="n"/>
      <c r="B297" s="39" t="n"/>
      <c r="C297" s="29" t="n"/>
      <c r="D297" s="29" t="n"/>
      <c r="E297" s="31" t="n"/>
      <c r="F297" s="29" t="n"/>
      <c r="G297" s="32">
        <f>IF(COUNTA($A297:$F297)=0,"",IF(OR($A297="",$B297=""),"الفترة أو البند ناقص",IF(COUNTIFS($A:$A,$A297,$B:$B,$B297)&gt;1,"تأكيد مكرر لنفس الفترة والبند",IF($D297="","اسم المؤكِّد ناقص",IF(NOT(ISNUMBER($E297)),"تاريخ التأكيد ناقص",IF(AND($C297="لا ينطبق",$F297=""),"اكتب سبب عدم الانطباق",""))))))</f>
        <v/>
      </c>
    </row>
    <row r="298">
      <c r="A298" s="39" t="n"/>
      <c r="B298" s="39" t="n"/>
      <c r="C298" s="29" t="n"/>
      <c r="D298" s="29" t="n"/>
      <c r="E298" s="31" t="n"/>
      <c r="F298" s="29" t="n"/>
      <c r="G298" s="32">
        <f>IF(COUNTA($A298:$F298)=0,"",IF(OR($A298="",$B298=""),"الفترة أو البند ناقص",IF(COUNTIFS($A:$A,$A298,$B:$B,$B298)&gt;1,"تأكيد مكرر لنفس الفترة والبند",IF($D298="","اسم المؤكِّد ناقص",IF(NOT(ISNUMBER($E298)),"تاريخ التأكيد ناقص",IF(AND($C298="لا ينطبق",$F298=""),"اكتب سبب عدم الانطباق",""))))))</f>
        <v/>
      </c>
    </row>
    <row r="299">
      <c r="A299" s="39" t="n"/>
      <c r="B299" s="39" t="n"/>
      <c r="C299" s="29" t="n"/>
      <c r="D299" s="29" t="n"/>
      <c r="E299" s="31" t="n"/>
      <c r="F299" s="29" t="n"/>
      <c r="G299" s="32">
        <f>IF(COUNTA($A299:$F299)=0,"",IF(OR($A299="",$B299=""),"الفترة أو البند ناقص",IF(COUNTIFS($A:$A,$A299,$B:$B,$B299)&gt;1,"تأكيد مكرر لنفس الفترة والبند",IF($D299="","اسم المؤكِّد ناقص",IF(NOT(ISNUMBER($E299)),"تاريخ التأكيد ناقص",IF(AND($C299="لا ينطبق",$F299=""),"اكتب سبب عدم الانطباق",""))))))</f>
        <v/>
      </c>
    </row>
    <row r="300">
      <c r="A300" s="39" t="n"/>
      <c r="B300" s="39" t="n"/>
      <c r="C300" s="29" t="n"/>
      <c r="D300" s="29" t="n"/>
      <c r="E300" s="31" t="n"/>
      <c r="F300" s="29" t="n"/>
      <c r="G300" s="32">
        <f>IF(COUNTA($A300:$F300)=0,"",IF(OR($A300="",$B300=""),"الفترة أو البند ناقص",IF(COUNTIFS($A:$A,$A300,$B:$B,$B300)&gt;1,"تأكيد مكرر لنفس الفترة والبند",IF($D300="","اسم المؤكِّد ناقص",IF(NOT(ISNUMBER($E300)),"تاريخ التأكيد ناقص",IF(AND($C300="لا ينطبق",$F300=""),"اكتب سبب عدم الانطباق",""))))))</f>
        <v/>
      </c>
    </row>
    <row r="301">
      <c r="A301" s="39" t="n"/>
      <c r="B301" s="39" t="n"/>
      <c r="C301" s="29" t="n"/>
      <c r="D301" s="29" t="n"/>
      <c r="E301" s="31" t="n"/>
      <c r="F301" s="29" t="n"/>
      <c r="G301" s="32">
        <f>IF(COUNTA($A301:$F301)=0,"",IF(OR($A301="",$B301=""),"الفترة أو البند ناقص",IF(COUNTIFS($A:$A,$A301,$B:$B,$B301)&gt;1,"تأكيد مكرر لنفس الفترة والبند",IF($D301="","اسم المؤكِّد ناقص",IF(NOT(ISNUMBER($E301)),"تاريخ التأكيد ناقص",IF(AND($C301="لا ينطبق",$F301=""),"اكتب سبب عدم الانطباق",""))))))</f>
        <v/>
      </c>
    </row>
    <row r="302">
      <c r="A302" s="39" t="n"/>
      <c r="B302" s="39" t="n"/>
      <c r="C302" s="29" t="n"/>
      <c r="D302" s="29" t="n"/>
      <c r="E302" s="31" t="n"/>
      <c r="F302" s="29" t="n"/>
      <c r="G302" s="32">
        <f>IF(COUNTA($A302:$F302)=0,"",IF(OR($A302="",$B302=""),"الفترة أو البند ناقص",IF(COUNTIFS($A:$A,$A302,$B:$B,$B302)&gt;1,"تأكيد مكرر لنفس الفترة والبند",IF($D302="","اسم المؤكِّد ناقص",IF(NOT(ISNUMBER($E302)),"تاريخ التأكيد ناقص",IF(AND($C302="لا ينطبق",$F302=""),"اكتب سبب عدم الانطباق",""))))))</f>
        <v/>
      </c>
    </row>
    <row r="303">
      <c r="A303" s="39" t="n"/>
      <c r="B303" s="39" t="n"/>
      <c r="C303" s="29" t="n"/>
      <c r="D303" s="29" t="n"/>
      <c r="E303" s="31" t="n"/>
      <c r="F303" s="29" t="n"/>
      <c r="G303" s="32">
        <f>IF(COUNTA($A303:$F303)=0,"",IF(OR($A303="",$B303=""),"الفترة أو البند ناقص",IF(COUNTIFS($A:$A,$A303,$B:$B,$B303)&gt;1,"تأكيد مكرر لنفس الفترة والبند",IF($D303="","اسم المؤكِّد ناقص",IF(NOT(ISNUMBER($E303)),"تاريخ التأكيد ناقص",IF(AND($C303="لا ينطبق",$F303=""),"اكتب سبب عدم الانطباق",""))))))</f>
        <v/>
      </c>
    </row>
    <row r="304">
      <c r="A304" s="39" t="n"/>
      <c r="B304" s="39" t="n"/>
      <c r="C304" s="29" t="n"/>
      <c r="D304" s="29" t="n"/>
      <c r="E304" s="31" t="n"/>
      <c r="F304" s="29" t="n"/>
      <c r="G304" s="32">
        <f>IF(COUNTA($A304:$F304)=0,"",IF(OR($A304="",$B304=""),"الفترة أو البند ناقص",IF(COUNTIFS($A:$A,$A304,$B:$B,$B304)&gt;1,"تأكيد مكرر لنفس الفترة والبند",IF($D304="","اسم المؤكِّد ناقص",IF(NOT(ISNUMBER($E304)),"تاريخ التأكيد ناقص",IF(AND($C304="لا ينطبق",$F304=""),"اكتب سبب عدم الانطباق",""))))))</f>
        <v/>
      </c>
    </row>
  </sheetData>
  <sheetProtection selectLockedCells="0" selectUnlockedCells="0" sheet="1" objects="0" insertRows="1" insertHyperlinks="1" autoFilter="0" scenarios="0" formatColumns="0" deleteColumns="1" insertColumns="1" pivotTables="1" deleteRows="1" formatCells="0" formatRows="0" sort="1"/>
  <autoFilter ref="A4:G304"/>
  <conditionalFormatting sqref="G5:G304">
    <cfRule type="expression" priority="1" dxfId="3">
      <formula>LEN(G5)&gt;0</formula>
    </cfRule>
  </conditionalFormatting>
  <dataValidations count="5">
    <dataValidation sqref="A5:A304" showDropDown="0" showInputMessage="0" showErrorMessage="1" allowBlank="1" error="أدخل عددًا صحيحًا موجبًا." type="whole" operator="greaterThanOrEqual">
      <formula1>0</formula1>
    </dataValidation>
    <dataValidation sqref="B5:B304" showDropDown="0" showInputMessage="0" showErrorMessage="1" allowBlank="1" errorTitle="قيمة غير مسموحة" error="اختر قيمة من القائمة المنسدلة." type="list">
      <formula1>"M01,M02,M03,M04,M05,M06,M07,M08,M09,M10,M11,M12,M13,M14"</formula1>
    </dataValidation>
    <dataValidation sqref="C5:C304" showDropDown="0" showInputMessage="0" showErrorMessage="1" allowBlank="1" errorTitle="قيمة غير مسموحة" error="اختر قيمة من القائمة المنسدلة." type="list">
      <formula1>"نعم,لا ينطبق"</formula1>
    </dataValidation>
    <dataValidation sqref="D5:D304" showDropDown="0" showInputMessage="0" showErrorMessage="1" allowBlank="1" errorTitle="قيمة غير مسموحة" error="اختر قيمة من القائمة المنسدلة." type="list">
      <formula1>=Users!$B$5:$B$44</formula1>
    </dataValidation>
    <dataValidation sqref="E5:E304" showDropDown="0" showInputMessage="0" showErrorMessage="1" allowBlank="1" errorTitle="تاريخ غير صحيح" error="أدخل تاريخًا صحيحًا." type="date" operator="greaterThan">
      <formula1>36526</formula1>
    </dataValidation>
  </dataValidations>
  <pageMargins left="0.75" right="0.75" top="1" bottom="1" header="0.5" footer="0.5"/>
  <pageSetup orientation="landscape" fitToHeight="0" fitToWidth="1"/>
</worksheet>
</file>

<file path=xl/worksheets/sheet46.xml><?xml version="1.0" encoding="utf-8"?>
<worksheet xmlns="http://schemas.openxmlformats.org/spreadsheetml/2006/main">
  <sheetPr>
    <tabColor rgb="00C00000"/>
    <outlinePr summaryBelow="1" summaryRight="1"/>
    <pageSetUpPr fitToPage="1"/>
  </sheetPr>
  <dimension ref="A1:P6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24" customWidth="1" min="3" max="3"/>
    <col width="12" customWidth="1" min="4" max="4"/>
    <col width="24" customWidth="1" min="5" max="5"/>
    <col width="14" customWidth="1" min="6" max="6"/>
    <col width="14" customWidth="1" min="7" max="7"/>
    <col width="14" customWidth="1" min="8" max="8"/>
    <col width="14" customWidth="1" min="9" max="9"/>
    <col width="26" customWidth="1" min="10" max="10"/>
    <col width="14" customWidth="1" min="11" max="11"/>
    <col width="14" customWidth="1" min="12" max="12"/>
    <col width="14" customWidth="1" min="13" max="13"/>
    <col width="14" customWidth="1" min="14" max="14"/>
    <col width="36" customWidth="1" min="15" max="15"/>
    <col width="36" customWidth="1" min="16" max="16"/>
  </cols>
  <sheetData>
    <row r="1" ht="26" customHeight="1">
      <c r="A1" s="22" t="inlineStr">
        <is>
          <t>إقفال الفترات (Period Close Log)</t>
        </is>
      </c>
      <c r="B1" s="1" t="n"/>
      <c r="C1" s="1" t="n"/>
      <c r="D1" s="1" t="n"/>
      <c r="E1" s="1" t="n"/>
      <c r="F1" s="1" t="n"/>
      <c r="G1" s="1" t="n"/>
      <c r="H1" s="1" t="n"/>
      <c r="I1" s="1" t="n"/>
      <c r="J1" s="1" t="n"/>
      <c r="K1" s="1" t="n"/>
      <c r="L1" s="1" t="n"/>
      <c r="M1" s="1" t="n"/>
      <c r="N1" s="1" t="n"/>
      <c r="O1" s="1" t="n"/>
      <c r="P1" s="1" t="n"/>
    </row>
    <row r="2">
      <c r="A2" s="35" t="inlineStr">
        <is>
          <t>سجل إقفال الشهر: اسم المعتمد وتاريخ الإقفال ولقطة النتائج وقت الإقفال (انسخ القيم من الأعمدة الحية والصقها كقيم). يُمنع إدخال (مقفلة) ما لم تكن الفترة جاهزة (قائمة الإقفال بلا أخطاء حرجة).</t>
        </is>
      </c>
    </row>
    <row r="3">
      <c r="A3" s="36" t="inlineStr">
        <is>
          <t>خلايا الإدخال</t>
        </is>
      </c>
      <c r="B3" s="37" t="inlineStr">
        <is>
          <t>معادلات (لا تعدّل)</t>
        </is>
      </c>
      <c r="G3" s="53" t="inlineStr">
        <is>
          <t>الفترة الجاهزة للإقفال الآن:</t>
        </is>
      </c>
      <c r="H3" s="79">
        <f>IF(AND(CK_Critical=0,DAY(S_From)=1,S_To=EOMONTH(S_From,0)),S_PeriodID,0)</f>
        <v/>
      </c>
    </row>
    <row r="4" ht="34" customHeight="1">
      <c r="A4" s="24" t="inlineStr">
        <is>
          <t>رقم الفترة (yyyymm)</t>
        </is>
      </c>
      <c r="B4" s="24" t="inlineStr">
        <is>
          <t>الحالة</t>
        </is>
      </c>
      <c r="C4" s="24" t="inlineStr">
        <is>
          <t>المُقفِل</t>
        </is>
      </c>
      <c r="D4" s="24" t="inlineStr">
        <is>
          <t>تاريخ الإقفال</t>
        </is>
      </c>
      <c r="E4" s="24" t="inlineStr">
        <is>
          <t>المعتمد الثاني</t>
        </is>
      </c>
      <c r="F4" s="24" t="inlineStr">
        <is>
          <t>لقطة: صافي الإيرادات</t>
        </is>
      </c>
      <c r="G4" s="24" t="inlineStr">
        <is>
          <t>لقطة: صافي الربح</t>
        </is>
      </c>
      <c r="H4" s="24" t="inlineStr">
        <is>
          <t>لقطة: إجمالي المدين</t>
        </is>
      </c>
      <c r="I4" s="24" t="inlineStr">
        <is>
          <t>لقطة: إجمالي الدائن</t>
        </is>
      </c>
      <c r="J4" s="24" t="inlineStr">
        <is>
          <t>ملاحظات</t>
        </is>
      </c>
      <c r="K4" s="38" t="inlineStr">
        <is>
          <t>حي: صافي الإيرادات</t>
        </is>
      </c>
      <c r="L4" s="38" t="inlineStr">
        <is>
          <t>حي: صافي الربح</t>
        </is>
      </c>
      <c r="M4" s="38" t="inlineStr">
        <is>
          <t>حي: إجمالي المدين</t>
        </is>
      </c>
      <c r="N4" s="38" t="inlineStr">
        <is>
          <t>حي: إجمالي الدائن</t>
        </is>
      </c>
      <c r="O4" s="38" t="inlineStr">
        <is>
          <t>تغيّر بعد الإقفال؟</t>
        </is>
      </c>
      <c r="P4" s="38" t="inlineStr">
        <is>
          <t>فحص</t>
        </is>
      </c>
    </row>
    <row r="5">
      <c r="A5" s="39" t="n"/>
      <c r="B5" s="39" t="n"/>
      <c r="C5" s="29" t="n"/>
      <c r="D5" s="31" t="n"/>
      <c r="E5" s="29" t="n"/>
      <c r="F5" s="42" t="n"/>
      <c r="G5" s="42" t="n"/>
      <c r="H5" s="42" t="n"/>
      <c r="I5" s="42" t="n"/>
      <c r="J5" s="29" t="n"/>
      <c r="K5" s="43">
        <f>IF($A5="","",SUMIFS(GL_Journal!$T:$T,GL_Journal!$G:$G,"&gt;=4000",GL_Journal!$G:$G,"&lt;=4999",GL_Journal!$D:$D,"&gt;="&amp;DATE(INT($A5/100),MOD($A5,100),1),GL_Journal!$D:$D,"&lt;="&amp;EOMONTH(DATE(INT($A5/100),MOD($A5,100),1),0),GL_Journal!$AE:$AE,0)-SUMIFS(GL_Journal!$S:$S,GL_Journal!$G:$G,"&gt;=4000",GL_Journal!$G:$G,"&lt;=4999",GL_Journal!$D:$D,"&gt;="&amp;DATE(INT($A5/100),MOD($A5,100),1),GL_Journal!$D:$D,"&lt;="&amp;EOMONTH(DATE(INT($A5/100),MOD($A5,100),1),0),GL_Journal!$AE:$AE,0))</f>
        <v/>
      </c>
      <c r="L5" s="43">
        <f>IF($A5="","",$K5-(SUMIFS(GL_Journal!$S:$S,GL_Journal!$G:$G,"&gt;=5000",GL_Journal!$G:$G,"&lt;=6999",GL_Journal!$D:$D,"&gt;="&amp;DATE(INT($A5/100),MOD($A5,100),1),GL_Journal!$D:$D,"&lt;="&amp;EOMONTH(DATE(INT($A5/100),MOD($A5,100),1),0),GL_Journal!$AE:$AE,0)-SUMIFS(GL_Journal!$T:$T,GL_Journal!$G:$G,"&gt;=5000",GL_Journal!$G:$G,"&lt;=6999",GL_Journal!$D:$D,"&gt;="&amp;DATE(INT($A5/100),MOD($A5,100),1),GL_Journal!$D:$D,"&lt;="&amp;EOMONTH(DATE(INT($A5/100),MOD($A5,100),1),0),GL_Journal!$AE:$AE,0)))</f>
        <v/>
      </c>
      <c r="M5" s="43">
        <f>IF($A5="","",SUMIFS(GL_Journal!$S:$S,GL_Journal!$G:$G,"&gt;=1000",GL_Journal!$G:$G,"&lt;=6999",GL_Journal!$D:$D,"&gt;="&amp;DATE(INT($A5/100),MOD($A5,100),1),GL_Journal!$D:$D,"&lt;="&amp;EOMONTH(DATE(INT($A5/100),MOD($A5,100),1),0)))</f>
        <v/>
      </c>
      <c r="N5" s="43">
        <f>IF($A5="","",SUMIFS(GL_Journal!$T:$T,GL_Journal!$G:$G,"&gt;=1000",GL_Journal!$G:$G,"&lt;=6999",GL_Journal!$D:$D,"&gt;="&amp;DATE(INT($A5/100),MOD($A5,100),1),GL_Journal!$D:$D,"&lt;="&amp;EOMONTH(DATE(INT($A5/100),MOD($A5,100),1),0)))</f>
        <v/>
      </c>
      <c r="O5" s="32">
        <f>IF(AND($B5="مقفلة",$A5&lt;&gt;""),IF(OR(ABS($K5-N($F5))&gt;S_Tol,ABS($L5-N($G5))&gt;S_Tol,ABS($M5-N($H5))&gt;S_Tol,ABS($N5-N($I5))&gt;S_Tol),"تغيّر بعد الإقفال: قيد مرحّل بأثر رجعي","") ,"")</f>
        <v/>
      </c>
      <c r="P5" s="32">
        <f>IF($A5="","",IF(COUNTIF($A:$A,$A5)&gt;1,"فترة مكررة",IF(AND($B5="مقفلة",$C5=""),"اسم المُقفِل ناقص",IF(AND($B5="مقفلة",NOT(ISNUMBER($D5))),"تاريخ الإقفال ناقص",IF(AND($B5="مقفلة",$E5=""),"المعتمد الثاني ناقص",IF(AND($B5="مقفلة",$E5&lt;&gt;"",$E5=$C5),"المُقفِل والمعتمد الثاني نفس الشخص",""))))))</f>
        <v/>
      </c>
    </row>
    <row r="6">
      <c r="A6" s="39" t="n"/>
      <c r="B6" s="39" t="n"/>
      <c r="C6" s="29" t="n"/>
      <c r="D6" s="31" t="n"/>
      <c r="E6" s="29" t="n"/>
      <c r="F6" s="42" t="n"/>
      <c r="G6" s="42" t="n"/>
      <c r="H6" s="42" t="n"/>
      <c r="I6" s="42" t="n"/>
      <c r="J6" s="29" t="n"/>
      <c r="K6" s="43">
        <f>IF($A6="","",SUMIFS(GL_Journal!$T:$T,GL_Journal!$G:$G,"&gt;=4000",GL_Journal!$G:$G,"&lt;=4999",GL_Journal!$D:$D,"&gt;="&amp;DATE(INT($A6/100),MOD($A6,100),1),GL_Journal!$D:$D,"&lt;="&amp;EOMONTH(DATE(INT($A6/100),MOD($A6,100),1),0),GL_Journal!$AE:$AE,0)-SUMIFS(GL_Journal!$S:$S,GL_Journal!$G:$G,"&gt;=4000",GL_Journal!$G:$G,"&lt;=4999",GL_Journal!$D:$D,"&gt;="&amp;DATE(INT($A6/100),MOD($A6,100),1),GL_Journal!$D:$D,"&lt;="&amp;EOMONTH(DATE(INT($A6/100),MOD($A6,100),1),0),GL_Journal!$AE:$AE,0))</f>
        <v/>
      </c>
      <c r="L6" s="43">
        <f>IF($A6="","",$K6-(SUMIFS(GL_Journal!$S:$S,GL_Journal!$G:$G,"&gt;=5000",GL_Journal!$G:$G,"&lt;=6999",GL_Journal!$D:$D,"&gt;="&amp;DATE(INT($A6/100),MOD($A6,100),1),GL_Journal!$D:$D,"&lt;="&amp;EOMONTH(DATE(INT($A6/100),MOD($A6,100),1),0),GL_Journal!$AE:$AE,0)-SUMIFS(GL_Journal!$T:$T,GL_Journal!$G:$G,"&gt;=5000",GL_Journal!$G:$G,"&lt;=6999",GL_Journal!$D:$D,"&gt;="&amp;DATE(INT($A6/100),MOD($A6,100),1),GL_Journal!$D:$D,"&lt;="&amp;EOMONTH(DATE(INT($A6/100),MOD($A6,100),1),0),GL_Journal!$AE:$AE,0)))</f>
        <v/>
      </c>
      <c r="M6" s="43">
        <f>IF($A6="","",SUMIFS(GL_Journal!$S:$S,GL_Journal!$G:$G,"&gt;=1000",GL_Journal!$G:$G,"&lt;=6999",GL_Journal!$D:$D,"&gt;="&amp;DATE(INT($A6/100),MOD($A6,100),1),GL_Journal!$D:$D,"&lt;="&amp;EOMONTH(DATE(INT($A6/100),MOD($A6,100),1),0)))</f>
        <v/>
      </c>
      <c r="N6" s="43">
        <f>IF($A6="","",SUMIFS(GL_Journal!$T:$T,GL_Journal!$G:$G,"&gt;=1000",GL_Journal!$G:$G,"&lt;=6999",GL_Journal!$D:$D,"&gt;="&amp;DATE(INT($A6/100),MOD($A6,100),1),GL_Journal!$D:$D,"&lt;="&amp;EOMONTH(DATE(INT($A6/100),MOD($A6,100),1),0)))</f>
        <v/>
      </c>
      <c r="O6" s="32">
        <f>IF(AND($B6="مقفلة",$A6&lt;&gt;""),IF(OR(ABS($K6-N($F6))&gt;S_Tol,ABS($L6-N($G6))&gt;S_Tol,ABS($M6-N($H6))&gt;S_Tol,ABS($N6-N($I6))&gt;S_Tol),"تغيّر بعد الإقفال: قيد مرحّل بأثر رجعي","") ,"")</f>
        <v/>
      </c>
      <c r="P6" s="32">
        <f>IF($A6="","",IF(COUNTIF($A:$A,$A6)&gt;1,"فترة مكررة",IF(AND($B6="مقفلة",$C6=""),"اسم المُقفِل ناقص",IF(AND($B6="مقفلة",NOT(ISNUMBER($D6))),"تاريخ الإقفال ناقص",IF(AND($B6="مقفلة",$E6=""),"المعتمد الثاني ناقص",IF(AND($B6="مقفلة",$E6&lt;&gt;"",$E6=$C6),"المُقفِل والمعتمد الثاني نفس الشخص",""))))))</f>
        <v/>
      </c>
    </row>
    <row r="7">
      <c r="A7" s="39" t="n"/>
      <c r="B7" s="39" t="n"/>
      <c r="C7" s="29" t="n"/>
      <c r="D7" s="31" t="n"/>
      <c r="E7" s="29" t="n"/>
      <c r="F7" s="42" t="n"/>
      <c r="G7" s="42" t="n"/>
      <c r="H7" s="42" t="n"/>
      <c r="I7" s="42" t="n"/>
      <c r="J7" s="29" t="n"/>
      <c r="K7" s="43">
        <f>IF($A7="","",SUMIFS(GL_Journal!$T:$T,GL_Journal!$G:$G,"&gt;=4000",GL_Journal!$G:$G,"&lt;=4999",GL_Journal!$D:$D,"&gt;="&amp;DATE(INT($A7/100),MOD($A7,100),1),GL_Journal!$D:$D,"&lt;="&amp;EOMONTH(DATE(INT($A7/100),MOD($A7,100),1),0),GL_Journal!$AE:$AE,0)-SUMIFS(GL_Journal!$S:$S,GL_Journal!$G:$G,"&gt;=4000",GL_Journal!$G:$G,"&lt;=4999",GL_Journal!$D:$D,"&gt;="&amp;DATE(INT($A7/100),MOD($A7,100),1),GL_Journal!$D:$D,"&lt;="&amp;EOMONTH(DATE(INT($A7/100),MOD($A7,100),1),0),GL_Journal!$AE:$AE,0))</f>
        <v/>
      </c>
      <c r="L7" s="43">
        <f>IF($A7="","",$K7-(SUMIFS(GL_Journal!$S:$S,GL_Journal!$G:$G,"&gt;=5000",GL_Journal!$G:$G,"&lt;=6999",GL_Journal!$D:$D,"&gt;="&amp;DATE(INT($A7/100),MOD($A7,100),1),GL_Journal!$D:$D,"&lt;="&amp;EOMONTH(DATE(INT($A7/100),MOD($A7,100),1),0),GL_Journal!$AE:$AE,0)-SUMIFS(GL_Journal!$T:$T,GL_Journal!$G:$G,"&gt;=5000",GL_Journal!$G:$G,"&lt;=6999",GL_Journal!$D:$D,"&gt;="&amp;DATE(INT($A7/100),MOD($A7,100),1),GL_Journal!$D:$D,"&lt;="&amp;EOMONTH(DATE(INT($A7/100),MOD($A7,100),1),0),GL_Journal!$AE:$AE,0)))</f>
        <v/>
      </c>
      <c r="M7" s="43">
        <f>IF($A7="","",SUMIFS(GL_Journal!$S:$S,GL_Journal!$G:$G,"&gt;=1000",GL_Journal!$G:$G,"&lt;=6999",GL_Journal!$D:$D,"&gt;="&amp;DATE(INT($A7/100),MOD($A7,100),1),GL_Journal!$D:$D,"&lt;="&amp;EOMONTH(DATE(INT($A7/100),MOD($A7,100),1),0)))</f>
        <v/>
      </c>
      <c r="N7" s="43">
        <f>IF($A7="","",SUMIFS(GL_Journal!$T:$T,GL_Journal!$G:$G,"&gt;=1000",GL_Journal!$G:$G,"&lt;=6999",GL_Journal!$D:$D,"&gt;="&amp;DATE(INT($A7/100),MOD($A7,100),1),GL_Journal!$D:$D,"&lt;="&amp;EOMONTH(DATE(INT($A7/100),MOD($A7,100),1),0)))</f>
        <v/>
      </c>
      <c r="O7" s="32">
        <f>IF(AND($B7="مقفلة",$A7&lt;&gt;""),IF(OR(ABS($K7-N($F7))&gt;S_Tol,ABS($L7-N($G7))&gt;S_Tol,ABS($M7-N($H7))&gt;S_Tol,ABS($N7-N($I7))&gt;S_Tol),"تغيّر بعد الإقفال: قيد مرحّل بأثر رجعي","") ,"")</f>
        <v/>
      </c>
      <c r="P7" s="32">
        <f>IF($A7="","",IF(COUNTIF($A:$A,$A7)&gt;1,"فترة مكررة",IF(AND($B7="مقفلة",$C7=""),"اسم المُقفِل ناقص",IF(AND($B7="مقفلة",NOT(ISNUMBER($D7))),"تاريخ الإقفال ناقص",IF(AND($B7="مقفلة",$E7=""),"المعتمد الثاني ناقص",IF(AND($B7="مقفلة",$E7&lt;&gt;"",$E7=$C7),"المُقفِل والمعتمد الثاني نفس الشخص",""))))))</f>
        <v/>
      </c>
    </row>
    <row r="8">
      <c r="A8" s="39" t="n"/>
      <c r="B8" s="39" t="n"/>
      <c r="C8" s="29" t="n"/>
      <c r="D8" s="31" t="n"/>
      <c r="E8" s="29" t="n"/>
      <c r="F8" s="42" t="n"/>
      <c r="G8" s="42" t="n"/>
      <c r="H8" s="42" t="n"/>
      <c r="I8" s="42" t="n"/>
      <c r="J8" s="29" t="n"/>
      <c r="K8" s="43">
        <f>IF($A8="","",SUMIFS(GL_Journal!$T:$T,GL_Journal!$G:$G,"&gt;=4000",GL_Journal!$G:$G,"&lt;=4999",GL_Journal!$D:$D,"&gt;="&amp;DATE(INT($A8/100),MOD($A8,100),1),GL_Journal!$D:$D,"&lt;="&amp;EOMONTH(DATE(INT($A8/100),MOD($A8,100),1),0),GL_Journal!$AE:$AE,0)-SUMIFS(GL_Journal!$S:$S,GL_Journal!$G:$G,"&gt;=4000",GL_Journal!$G:$G,"&lt;=4999",GL_Journal!$D:$D,"&gt;="&amp;DATE(INT($A8/100),MOD($A8,100),1),GL_Journal!$D:$D,"&lt;="&amp;EOMONTH(DATE(INT($A8/100),MOD($A8,100),1),0),GL_Journal!$AE:$AE,0))</f>
        <v/>
      </c>
      <c r="L8" s="43">
        <f>IF($A8="","",$K8-(SUMIFS(GL_Journal!$S:$S,GL_Journal!$G:$G,"&gt;=5000",GL_Journal!$G:$G,"&lt;=6999",GL_Journal!$D:$D,"&gt;="&amp;DATE(INT($A8/100),MOD($A8,100),1),GL_Journal!$D:$D,"&lt;="&amp;EOMONTH(DATE(INT($A8/100),MOD($A8,100),1),0),GL_Journal!$AE:$AE,0)-SUMIFS(GL_Journal!$T:$T,GL_Journal!$G:$G,"&gt;=5000",GL_Journal!$G:$G,"&lt;=6999",GL_Journal!$D:$D,"&gt;="&amp;DATE(INT($A8/100),MOD($A8,100),1),GL_Journal!$D:$D,"&lt;="&amp;EOMONTH(DATE(INT($A8/100),MOD($A8,100),1),0),GL_Journal!$AE:$AE,0)))</f>
        <v/>
      </c>
      <c r="M8" s="43">
        <f>IF($A8="","",SUMIFS(GL_Journal!$S:$S,GL_Journal!$G:$G,"&gt;=1000",GL_Journal!$G:$G,"&lt;=6999",GL_Journal!$D:$D,"&gt;="&amp;DATE(INT($A8/100),MOD($A8,100),1),GL_Journal!$D:$D,"&lt;="&amp;EOMONTH(DATE(INT($A8/100),MOD($A8,100),1),0)))</f>
        <v/>
      </c>
      <c r="N8" s="43">
        <f>IF($A8="","",SUMIFS(GL_Journal!$T:$T,GL_Journal!$G:$G,"&gt;=1000",GL_Journal!$G:$G,"&lt;=6999",GL_Journal!$D:$D,"&gt;="&amp;DATE(INT($A8/100),MOD($A8,100),1),GL_Journal!$D:$D,"&lt;="&amp;EOMONTH(DATE(INT($A8/100),MOD($A8,100),1),0)))</f>
        <v/>
      </c>
      <c r="O8" s="32">
        <f>IF(AND($B8="مقفلة",$A8&lt;&gt;""),IF(OR(ABS($K8-N($F8))&gt;S_Tol,ABS($L8-N($G8))&gt;S_Tol,ABS($M8-N($H8))&gt;S_Tol,ABS($N8-N($I8))&gt;S_Tol),"تغيّر بعد الإقفال: قيد مرحّل بأثر رجعي","") ,"")</f>
        <v/>
      </c>
      <c r="P8" s="32">
        <f>IF($A8="","",IF(COUNTIF($A:$A,$A8)&gt;1,"فترة مكررة",IF(AND($B8="مقفلة",$C8=""),"اسم المُقفِل ناقص",IF(AND($B8="مقفلة",NOT(ISNUMBER($D8))),"تاريخ الإقفال ناقص",IF(AND($B8="مقفلة",$E8=""),"المعتمد الثاني ناقص",IF(AND($B8="مقفلة",$E8&lt;&gt;"",$E8=$C8),"المُقفِل والمعتمد الثاني نفس الشخص",""))))))</f>
        <v/>
      </c>
    </row>
    <row r="9">
      <c r="A9" s="39" t="n"/>
      <c r="B9" s="39" t="n"/>
      <c r="C9" s="29" t="n"/>
      <c r="D9" s="31" t="n"/>
      <c r="E9" s="29" t="n"/>
      <c r="F9" s="42" t="n"/>
      <c r="G9" s="42" t="n"/>
      <c r="H9" s="42" t="n"/>
      <c r="I9" s="42" t="n"/>
      <c r="J9" s="29" t="n"/>
      <c r="K9" s="43">
        <f>IF($A9="","",SUMIFS(GL_Journal!$T:$T,GL_Journal!$G:$G,"&gt;=4000",GL_Journal!$G:$G,"&lt;=4999",GL_Journal!$D:$D,"&gt;="&amp;DATE(INT($A9/100),MOD($A9,100),1),GL_Journal!$D:$D,"&lt;="&amp;EOMONTH(DATE(INT($A9/100),MOD($A9,100),1),0),GL_Journal!$AE:$AE,0)-SUMIFS(GL_Journal!$S:$S,GL_Journal!$G:$G,"&gt;=4000",GL_Journal!$G:$G,"&lt;=4999",GL_Journal!$D:$D,"&gt;="&amp;DATE(INT($A9/100),MOD($A9,100),1),GL_Journal!$D:$D,"&lt;="&amp;EOMONTH(DATE(INT($A9/100),MOD($A9,100),1),0),GL_Journal!$AE:$AE,0))</f>
        <v/>
      </c>
      <c r="L9" s="43">
        <f>IF($A9="","",$K9-(SUMIFS(GL_Journal!$S:$S,GL_Journal!$G:$G,"&gt;=5000",GL_Journal!$G:$G,"&lt;=6999",GL_Journal!$D:$D,"&gt;="&amp;DATE(INT($A9/100),MOD($A9,100),1),GL_Journal!$D:$D,"&lt;="&amp;EOMONTH(DATE(INT($A9/100),MOD($A9,100),1),0),GL_Journal!$AE:$AE,0)-SUMIFS(GL_Journal!$T:$T,GL_Journal!$G:$G,"&gt;=5000",GL_Journal!$G:$G,"&lt;=6999",GL_Journal!$D:$D,"&gt;="&amp;DATE(INT($A9/100),MOD($A9,100),1),GL_Journal!$D:$D,"&lt;="&amp;EOMONTH(DATE(INT($A9/100),MOD($A9,100),1),0),GL_Journal!$AE:$AE,0)))</f>
        <v/>
      </c>
      <c r="M9" s="43">
        <f>IF($A9="","",SUMIFS(GL_Journal!$S:$S,GL_Journal!$G:$G,"&gt;=1000",GL_Journal!$G:$G,"&lt;=6999",GL_Journal!$D:$D,"&gt;="&amp;DATE(INT($A9/100),MOD($A9,100),1),GL_Journal!$D:$D,"&lt;="&amp;EOMONTH(DATE(INT($A9/100),MOD($A9,100),1),0)))</f>
        <v/>
      </c>
      <c r="N9" s="43">
        <f>IF($A9="","",SUMIFS(GL_Journal!$T:$T,GL_Journal!$G:$G,"&gt;=1000",GL_Journal!$G:$G,"&lt;=6999",GL_Journal!$D:$D,"&gt;="&amp;DATE(INT($A9/100),MOD($A9,100),1),GL_Journal!$D:$D,"&lt;="&amp;EOMONTH(DATE(INT($A9/100),MOD($A9,100),1),0)))</f>
        <v/>
      </c>
      <c r="O9" s="32">
        <f>IF(AND($B9="مقفلة",$A9&lt;&gt;""),IF(OR(ABS($K9-N($F9))&gt;S_Tol,ABS($L9-N($G9))&gt;S_Tol,ABS($M9-N($H9))&gt;S_Tol,ABS($N9-N($I9))&gt;S_Tol),"تغيّر بعد الإقفال: قيد مرحّل بأثر رجعي","") ,"")</f>
        <v/>
      </c>
      <c r="P9" s="32">
        <f>IF($A9="","",IF(COUNTIF($A:$A,$A9)&gt;1,"فترة مكررة",IF(AND($B9="مقفلة",$C9=""),"اسم المُقفِل ناقص",IF(AND($B9="مقفلة",NOT(ISNUMBER($D9))),"تاريخ الإقفال ناقص",IF(AND($B9="مقفلة",$E9=""),"المعتمد الثاني ناقص",IF(AND($B9="مقفلة",$E9&lt;&gt;"",$E9=$C9),"المُقفِل والمعتمد الثاني نفس الشخص",""))))))</f>
        <v/>
      </c>
    </row>
    <row r="10">
      <c r="A10" s="39" t="n"/>
      <c r="B10" s="39" t="n"/>
      <c r="C10" s="29" t="n"/>
      <c r="D10" s="31" t="n"/>
      <c r="E10" s="29" t="n"/>
      <c r="F10" s="42" t="n"/>
      <c r="G10" s="42" t="n"/>
      <c r="H10" s="42" t="n"/>
      <c r="I10" s="42" t="n"/>
      <c r="J10" s="29" t="n"/>
      <c r="K10" s="43">
        <f>IF($A10="","",SUMIFS(GL_Journal!$T:$T,GL_Journal!$G:$G,"&gt;=4000",GL_Journal!$G:$G,"&lt;=4999",GL_Journal!$D:$D,"&gt;="&amp;DATE(INT($A10/100),MOD($A10,100),1),GL_Journal!$D:$D,"&lt;="&amp;EOMONTH(DATE(INT($A10/100),MOD($A10,100),1),0),GL_Journal!$AE:$AE,0)-SUMIFS(GL_Journal!$S:$S,GL_Journal!$G:$G,"&gt;=4000",GL_Journal!$G:$G,"&lt;=4999",GL_Journal!$D:$D,"&gt;="&amp;DATE(INT($A10/100),MOD($A10,100),1),GL_Journal!$D:$D,"&lt;="&amp;EOMONTH(DATE(INT($A10/100),MOD($A10,100),1),0),GL_Journal!$AE:$AE,0))</f>
        <v/>
      </c>
      <c r="L10" s="43">
        <f>IF($A10="","",$K10-(SUMIFS(GL_Journal!$S:$S,GL_Journal!$G:$G,"&gt;=5000",GL_Journal!$G:$G,"&lt;=6999",GL_Journal!$D:$D,"&gt;="&amp;DATE(INT($A10/100),MOD($A10,100),1),GL_Journal!$D:$D,"&lt;="&amp;EOMONTH(DATE(INT($A10/100),MOD($A10,100),1),0),GL_Journal!$AE:$AE,0)-SUMIFS(GL_Journal!$T:$T,GL_Journal!$G:$G,"&gt;=5000",GL_Journal!$G:$G,"&lt;=6999",GL_Journal!$D:$D,"&gt;="&amp;DATE(INT($A10/100),MOD($A10,100),1),GL_Journal!$D:$D,"&lt;="&amp;EOMONTH(DATE(INT($A10/100),MOD($A10,100),1),0),GL_Journal!$AE:$AE,0)))</f>
        <v/>
      </c>
      <c r="M10" s="43">
        <f>IF($A10="","",SUMIFS(GL_Journal!$S:$S,GL_Journal!$G:$G,"&gt;=1000",GL_Journal!$G:$G,"&lt;=6999",GL_Journal!$D:$D,"&gt;="&amp;DATE(INT($A10/100),MOD($A10,100),1),GL_Journal!$D:$D,"&lt;="&amp;EOMONTH(DATE(INT($A10/100),MOD($A10,100),1),0)))</f>
        <v/>
      </c>
      <c r="N10" s="43">
        <f>IF($A10="","",SUMIFS(GL_Journal!$T:$T,GL_Journal!$G:$G,"&gt;=1000",GL_Journal!$G:$G,"&lt;=6999",GL_Journal!$D:$D,"&gt;="&amp;DATE(INT($A10/100),MOD($A10,100),1),GL_Journal!$D:$D,"&lt;="&amp;EOMONTH(DATE(INT($A10/100),MOD($A10,100),1),0)))</f>
        <v/>
      </c>
      <c r="O10" s="32">
        <f>IF(AND($B10="مقفلة",$A10&lt;&gt;""),IF(OR(ABS($K10-N($F10))&gt;S_Tol,ABS($L10-N($G10))&gt;S_Tol,ABS($M10-N($H10))&gt;S_Tol,ABS($N10-N($I10))&gt;S_Tol),"تغيّر بعد الإقفال: قيد مرحّل بأثر رجعي","") ,"")</f>
        <v/>
      </c>
      <c r="P10" s="32">
        <f>IF($A10="","",IF(COUNTIF($A:$A,$A10)&gt;1,"فترة مكررة",IF(AND($B10="مقفلة",$C10=""),"اسم المُقفِل ناقص",IF(AND($B10="مقفلة",NOT(ISNUMBER($D10))),"تاريخ الإقفال ناقص",IF(AND($B10="مقفلة",$E10=""),"المعتمد الثاني ناقص",IF(AND($B10="مقفلة",$E10&lt;&gt;"",$E10=$C10),"المُقفِل والمعتمد الثاني نفس الشخص",""))))))</f>
        <v/>
      </c>
    </row>
    <row r="11">
      <c r="A11" s="39" t="n"/>
      <c r="B11" s="39" t="n"/>
      <c r="C11" s="29" t="n"/>
      <c r="D11" s="31" t="n"/>
      <c r="E11" s="29" t="n"/>
      <c r="F11" s="42" t="n"/>
      <c r="G11" s="42" t="n"/>
      <c r="H11" s="42" t="n"/>
      <c r="I11" s="42" t="n"/>
      <c r="J11" s="29" t="n"/>
      <c r="K11" s="43">
        <f>IF($A11="","",SUMIFS(GL_Journal!$T:$T,GL_Journal!$G:$G,"&gt;=4000",GL_Journal!$G:$G,"&lt;=4999",GL_Journal!$D:$D,"&gt;="&amp;DATE(INT($A11/100),MOD($A11,100),1),GL_Journal!$D:$D,"&lt;="&amp;EOMONTH(DATE(INT($A11/100),MOD($A11,100),1),0),GL_Journal!$AE:$AE,0)-SUMIFS(GL_Journal!$S:$S,GL_Journal!$G:$G,"&gt;=4000",GL_Journal!$G:$G,"&lt;=4999",GL_Journal!$D:$D,"&gt;="&amp;DATE(INT($A11/100),MOD($A11,100),1),GL_Journal!$D:$D,"&lt;="&amp;EOMONTH(DATE(INT($A11/100),MOD($A11,100),1),0),GL_Journal!$AE:$AE,0))</f>
        <v/>
      </c>
      <c r="L11" s="43">
        <f>IF($A11="","",$K11-(SUMIFS(GL_Journal!$S:$S,GL_Journal!$G:$G,"&gt;=5000",GL_Journal!$G:$G,"&lt;=6999",GL_Journal!$D:$D,"&gt;="&amp;DATE(INT($A11/100),MOD($A11,100),1),GL_Journal!$D:$D,"&lt;="&amp;EOMONTH(DATE(INT($A11/100),MOD($A11,100),1),0),GL_Journal!$AE:$AE,0)-SUMIFS(GL_Journal!$T:$T,GL_Journal!$G:$G,"&gt;=5000",GL_Journal!$G:$G,"&lt;=6999",GL_Journal!$D:$D,"&gt;="&amp;DATE(INT($A11/100),MOD($A11,100),1),GL_Journal!$D:$D,"&lt;="&amp;EOMONTH(DATE(INT($A11/100),MOD($A11,100),1),0),GL_Journal!$AE:$AE,0)))</f>
        <v/>
      </c>
      <c r="M11" s="43">
        <f>IF($A11="","",SUMIFS(GL_Journal!$S:$S,GL_Journal!$G:$G,"&gt;=1000",GL_Journal!$G:$G,"&lt;=6999",GL_Journal!$D:$D,"&gt;="&amp;DATE(INT($A11/100),MOD($A11,100),1),GL_Journal!$D:$D,"&lt;="&amp;EOMONTH(DATE(INT($A11/100),MOD($A11,100),1),0)))</f>
        <v/>
      </c>
      <c r="N11" s="43">
        <f>IF($A11="","",SUMIFS(GL_Journal!$T:$T,GL_Journal!$G:$G,"&gt;=1000",GL_Journal!$G:$G,"&lt;=6999",GL_Journal!$D:$D,"&gt;="&amp;DATE(INT($A11/100),MOD($A11,100),1),GL_Journal!$D:$D,"&lt;="&amp;EOMONTH(DATE(INT($A11/100),MOD($A11,100),1),0)))</f>
        <v/>
      </c>
      <c r="O11" s="32">
        <f>IF(AND($B11="مقفلة",$A11&lt;&gt;""),IF(OR(ABS($K11-N($F11))&gt;S_Tol,ABS($L11-N($G11))&gt;S_Tol,ABS($M11-N($H11))&gt;S_Tol,ABS($N11-N($I11))&gt;S_Tol),"تغيّر بعد الإقفال: قيد مرحّل بأثر رجعي","") ,"")</f>
        <v/>
      </c>
      <c r="P11" s="32">
        <f>IF($A11="","",IF(COUNTIF($A:$A,$A11)&gt;1,"فترة مكررة",IF(AND($B11="مقفلة",$C11=""),"اسم المُقفِل ناقص",IF(AND($B11="مقفلة",NOT(ISNUMBER($D11))),"تاريخ الإقفال ناقص",IF(AND($B11="مقفلة",$E11=""),"المعتمد الثاني ناقص",IF(AND($B11="مقفلة",$E11&lt;&gt;"",$E11=$C11),"المُقفِل والمعتمد الثاني نفس الشخص",""))))))</f>
        <v/>
      </c>
    </row>
    <row r="12">
      <c r="A12" s="39" t="n"/>
      <c r="B12" s="39" t="n"/>
      <c r="C12" s="29" t="n"/>
      <c r="D12" s="31" t="n"/>
      <c r="E12" s="29" t="n"/>
      <c r="F12" s="42" t="n"/>
      <c r="G12" s="42" t="n"/>
      <c r="H12" s="42" t="n"/>
      <c r="I12" s="42" t="n"/>
      <c r="J12" s="29" t="n"/>
      <c r="K12" s="43">
        <f>IF($A12="","",SUMIFS(GL_Journal!$T:$T,GL_Journal!$G:$G,"&gt;=4000",GL_Journal!$G:$G,"&lt;=4999",GL_Journal!$D:$D,"&gt;="&amp;DATE(INT($A12/100),MOD($A12,100),1),GL_Journal!$D:$D,"&lt;="&amp;EOMONTH(DATE(INT($A12/100),MOD($A12,100),1),0),GL_Journal!$AE:$AE,0)-SUMIFS(GL_Journal!$S:$S,GL_Journal!$G:$G,"&gt;=4000",GL_Journal!$G:$G,"&lt;=4999",GL_Journal!$D:$D,"&gt;="&amp;DATE(INT($A12/100),MOD($A12,100),1),GL_Journal!$D:$D,"&lt;="&amp;EOMONTH(DATE(INT($A12/100),MOD($A12,100),1),0),GL_Journal!$AE:$AE,0))</f>
        <v/>
      </c>
      <c r="L12" s="43">
        <f>IF($A12="","",$K12-(SUMIFS(GL_Journal!$S:$S,GL_Journal!$G:$G,"&gt;=5000",GL_Journal!$G:$G,"&lt;=6999",GL_Journal!$D:$D,"&gt;="&amp;DATE(INT($A12/100),MOD($A12,100),1),GL_Journal!$D:$D,"&lt;="&amp;EOMONTH(DATE(INT($A12/100),MOD($A12,100),1),0),GL_Journal!$AE:$AE,0)-SUMIFS(GL_Journal!$T:$T,GL_Journal!$G:$G,"&gt;=5000",GL_Journal!$G:$G,"&lt;=6999",GL_Journal!$D:$D,"&gt;="&amp;DATE(INT($A12/100),MOD($A12,100),1),GL_Journal!$D:$D,"&lt;="&amp;EOMONTH(DATE(INT($A12/100),MOD($A12,100),1),0),GL_Journal!$AE:$AE,0)))</f>
        <v/>
      </c>
      <c r="M12" s="43">
        <f>IF($A12="","",SUMIFS(GL_Journal!$S:$S,GL_Journal!$G:$G,"&gt;=1000",GL_Journal!$G:$G,"&lt;=6999",GL_Journal!$D:$D,"&gt;="&amp;DATE(INT($A12/100),MOD($A12,100),1),GL_Journal!$D:$D,"&lt;="&amp;EOMONTH(DATE(INT($A12/100),MOD($A12,100),1),0)))</f>
        <v/>
      </c>
      <c r="N12" s="43">
        <f>IF($A12="","",SUMIFS(GL_Journal!$T:$T,GL_Journal!$G:$G,"&gt;=1000",GL_Journal!$G:$G,"&lt;=6999",GL_Journal!$D:$D,"&gt;="&amp;DATE(INT($A12/100),MOD($A12,100),1),GL_Journal!$D:$D,"&lt;="&amp;EOMONTH(DATE(INT($A12/100),MOD($A12,100),1),0)))</f>
        <v/>
      </c>
      <c r="O12" s="32">
        <f>IF(AND($B12="مقفلة",$A12&lt;&gt;""),IF(OR(ABS($K12-N($F12))&gt;S_Tol,ABS($L12-N($G12))&gt;S_Tol,ABS($M12-N($H12))&gt;S_Tol,ABS($N12-N($I12))&gt;S_Tol),"تغيّر بعد الإقفال: قيد مرحّل بأثر رجعي","") ,"")</f>
        <v/>
      </c>
      <c r="P12" s="32">
        <f>IF($A12="","",IF(COUNTIF($A:$A,$A12)&gt;1,"فترة مكررة",IF(AND($B12="مقفلة",$C12=""),"اسم المُقفِل ناقص",IF(AND($B12="مقفلة",NOT(ISNUMBER($D12))),"تاريخ الإقفال ناقص",IF(AND($B12="مقفلة",$E12=""),"المعتمد الثاني ناقص",IF(AND($B12="مقفلة",$E12&lt;&gt;"",$E12=$C12),"المُقفِل والمعتمد الثاني نفس الشخص",""))))))</f>
        <v/>
      </c>
    </row>
    <row r="13">
      <c r="A13" s="39" t="n"/>
      <c r="B13" s="39" t="n"/>
      <c r="C13" s="29" t="n"/>
      <c r="D13" s="31" t="n"/>
      <c r="E13" s="29" t="n"/>
      <c r="F13" s="42" t="n"/>
      <c r="G13" s="42" t="n"/>
      <c r="H13" s="42" t="n"/>
      <c r="I13" s="42" t="n"/>
      <c r="J13" s="29" t="n"/>
      <c r="K13" s="43">
        <f>IF($A13="","",SUMIFS(GL_Journal!$T:$T,GL_Journal!$G:$G,"&gt;=4000",GL_Journal!$G:$G,"&lt;=4999",GL_Journal!$D:$D,"&gt;="&amp;DATE(INT($A13/100),MOD($A13,100),1),GL_Journal!$D:$D,"&lt;="&amp;EOMONTH(DATE(INT($A13/100),MOD($A13,100),1),0),GL_Journal!$AE:$AE,0)-SUMIFS(GL_Journal!$S:$S,GL_Journal!$G:$G,"&gt;=4000",GL_Journal!$G:$G,"&lt;=4999",GL_Journal!$D:$D,"&gt;="&amp;DATE(INT($A13/100),MOD($A13,100),1),GL_Journal!$D:$D,"&lt;="&amp;EOMONTH(DATE(INT($A13/100),MOD($A13,100),1),0),GL_Journal!$AE:$AE,0))</f>
        <v/>
      </c>
      <c r="L13" s="43">
        <f>IF($A13="","",$K13-(SUMIFS(GL_Journal!$S:$S,GL_Journal!$G:$G,"&gt;=5000",GL_Journal!$G:$G,"&lt;=6999",GL_Journal!$D:$D,"&gt;="&amp;DATE(INT($A13/100),MOD($A13,100),1),GL_Journal!$D:$D,"&lt;="&amp;EOMONTH(DATE(INT($A13/100),MOD($A13,100),1),0),GL_Journal!$AE:$AE,0)-SUMIFS(GL_Journal!$T:$T,GL_Journal!$G:$G,"&gt;=5000",GL_Journal!$G:$G,"&lt;=6999",GL_Journal!$D:$D,"&gt;="&amp;DATE(INT($A13/100),MOD($A13,100),1),GL_Journal!$D:$D,"&lt;="&amp;EOMONTH(DATE(INT($A13/100),MOD($A13,100),1),0),GL_Journal!$AE:$AE,0)))</f>
        <v/>
      </c>
      <c r="M13" s="43">
        <f>IF($A13="","",SUMIFS(GL_Journal!$S:$S,GL_Journal!$G:$G,"&gt;=1000",GL_Journal!$G:$G,"&lt;=6999",GL_Journal!$D:$D,"&gt;="&amp;DATE(INT($A13/100),MOD($A13,100),1),GL_Journal!$D:$D,"&lt;="&amp;EOMONTH(DATE(INT($A13/100),MOD($A13,100),1),0)))</f>
        <v/>
      </c>
      <c r="N13" s="43">
        <f>IF($A13="","",SUMIFS(GL_Journal!$T:$T,GL_Journal!$G:$G,"&gt;=1000",GL_Journal!$G:$G,"&lt;=6999",GL_Journal!$D:$D,"&gt;="&amp;DATE(INT($A13/100),MOD($A13,100),1),GL_Journal!$D:$D,"&lt;="&amp;EOMONTH(DATE(INT($A13/100),MOD($A13,100),1),0)))</f>
        <v/>
      </c>
      <c r="O13" s="32">
        <f>IF(AND($B13="مقفلة",$A13&lt;&gt;""),IF(OR(ABS($K13-N($F13))&gt;S_Tol,ABS($L13-N($G13))&gt;S_Tol,ABS($M13-N($H13))&gt;S_Tol,ABS($N13-N($I13))&gt;S_Tol),"تغيّر بعد الإقفال: قيد مرحّل بأثر رجعي","") ,"")</f>
        <v/>
      </c>
      <c r="P13" s="32">
        <f>IF($A13="","",IF(COUNTIF($A:$A,$A13)&gt;1,"فترة مكررة",IF(AND($B13="مقفلة",$C13=""),"اسم المُقفِل ناقص",IF(AND($B13="مقفلة",NOT(ISNUMBER($D13))),"تاريخ الإقفال ناقص",IF(AND($B13="مقفلة",$E13=""),"المعتمد الثاني ناقص",IF(AND($B13="مقفلة",$E13&lt;&gt;"",$E13=$C13),"المُقفِل والمعتمد الثاني نفس الشخص",""))))))</f>
        <v/>
      </c>
    </row>
    <row r="14">
      <c r="A14" s="39" t="n"/>
      <c r="B14" s="39" t="n"/>
      <c r="C14" s="29" t="n"/>
      <c r="D14" s="31" t="n"/>
      <c r="E14" s="29" t="n"/>
      <c r="F14" s="42" t="n"/>
      <c r="G14" s="42" t="n"/>
      <c r="H14" s="42" t="n"/>
      <c r="I14" s="42" t="n"/>
      <c r="J14" s="29" t="n"/>
      <c r="K14" s="43">
        <f>IF($A14="","",SUMIFS(GL_Journal!$T:$T,GL_Journal!$G:$G,"&gt;=4000",GL_Journal!$G:$G,"&lt;=4999",GL_Journal!$D:$D,"&gt;="&amp;DATE(INT($A14/100),MOD($A14,100),1),GL_Journal!$D:$D,"&lt;="&amp;EOMONTH(DATE(INT($A14/100),MOD($A14,100),1),0),GL_Journal!$AE:$AE,0)-SUMIFS(GL_Journal!$S:$S,GL_Journal!$G:$G,"&gt;=4000",GL_Journal!$G:$G,"&lt;=4999",GL_Journal!$D:$D,"&gt;="&amp;DATE(INT($A14/100),MOD($A14,100),1),GL_Journal!$D:$D,"&lt;="&amp;EOMONTH(DATE(INT($A14/100),MOD($A14,100),1),0),GL_Journal!$AE:$AE,0))</f>
        <v/>
      </c>
      <c r="L14" s="43">
        <f>IF($A14="","",$K14-(SUMIFS(GL_Journal!$S:$S,GL_Journal!$G:$G,"&gt;=5000",GL_Journal!$G:$G,"&lt;=6999",GL_Journal!$D:$D,"&gt;="&amp;DATE(INT($A14/100),MOD($A14,100),1),GL_Journal!$D:$D,"&lt;="&amp;EOMONTH(DATE(INT($A14/100),MOD($A14,100),1),0),GL_Journal!$AE:$AE,0)-SUMIFS(GL_Journal!$T:$T,GL_Journal!$G:$G,"&gt;=5000",GL_Journal!$G:$G,"&lt;=6999",GL_Journal!$D:$D,"&gt;="&amp;DATE(INT($A14/100),MOD($A14,100),1),GL_Journal!$D:$D,"&lt;="&amp;EOMONTH(DATE(INT($A14/100),MOD($A14,100),1),0),GL_Journal!$AE:$AE,0)))</f>
        <v/>
      </c>
      <c r="M14" s="43">
        <f>IF($A14="","",SUMIFS(GL_Journal!$S:$S,GL_Journal!$G:$G,"&gt;=1000",GL_Journal!$G:$G,"&lt;=6999",GL_Journal!$D:$D,"&gt;="&amp;DATE(INT($A14/100),MOD($A14,100),1),GL_Journal!$D:$D,"&lt;="&amp;EOMONTH(DATE(INT($A14/100),MOD($A14,100),1),0)))</f>
        <v/>
      </c>
      <c r="N14" s="43">
        <f>IF($A14="","",SUMIFS(GL_Journal!$T:$T,GL_Journal!$G:$G,"&gt;=1000",GL_Journal!$G:$G,"&lt;=6999",GL_Journal!$D:$D,"&gt;="&amp;DATE(INT($A14/100),MOD($A14,100),1),GL_Journal!$D:$D,"&lt;="&amp;EOMONTH(DATE(INT($A14/100),MOD($A14,100),1),0)))</f>
        <v/>
      </c>
      <c r="O14" s="32">
        <f>IF(AND($B14="مقفلة",$A14&lt;&gt;""),IF(OR(ABS($K14-N($F14))&gt;S_Tol,ABS($L14-N($G14))&gt;S_Tol,ABS($M14-N($H14))&gt;S_Tol,ABS($N14-N($I14))&gt;S_Tol),"تغيّر بعد الإقفال: قيد مرحّل بأثر رجعي","") ,"")</f>
        <v/>
      </c>
      <c r="P14" s="32">
        <f>IF($A14="","",IF(COUNTIF($A:$A,$A14)&gt;1,"فترة مكررة",IF(AND($B14="مقفلة",$C14=""),"اسم المُقفِل ناقص",IF(AND($B14="مقفلة",NOT(ISNUMBER($D14))),"تاريخ الإقفال ناقص",IF(AND($B14="مقفلة",$E14=""),"المعتمد الثاني ناقص",IF(AND($B14="مقفلة",$E14&lt;&gt;"",$E14=$C14),"المُقفِل والمعتمد الثاني نفس الشخص",""))))))</f>
        <v/>
      </c>
    </row>
    <row r="15">
      <c r="A15" s="39" t="n"/>
      <c r="B15" s="39" t="n"/>
      <c r="C15" s="29" t="n"/>
      <c r="D15" s="31" t="n"/>
      <c r="E15" s="29" t="n"/>
      <c r="F15" s="42" t="n"/>
      <c r="G15" s="42" t="n"/>
      <c r="H15" s="42" t="n"/>
      <c r="I15" s="42" t="n"/>
      <c r="J15" s="29" t="n"/>
      <c r="K15" s="43">
        <f>IF($A15="","",SUMIFS(GL_Journal!$T:$T,GL_Journal!$G:$G,"&gt;=4000",GL_Journal!$G:$G,"&lt;=4999",GL_Journal!$D:$D,"&gt;="&amp;DATE(INT($A15/100),MOD($A15,100),1),GL_Journal!$D:$D,"&lt;="&amp;EOMONTH(DATE(INT($A15/100),MOD($A15,100),1),0),GL_Journal!$AE:$AE,0)-SUMIFS(GL_Journal!$S:$S,GL_Journal!$G:$G,"&gt;=4000",GL_Journal!$G:$G,"&lt;=4999",GL_Journal!$D:$D,"&gt;="&amp;DATE(INT($A15/100),MOD($A15,100),1),GL_Journal!$D:$D,"&lt;="&amp;EOMONTH(DATE(INT($A15/100),MOD($A15,100),1),0),GL_Journal!$AE:$AE,0))</f>
        <v/>
      </c>
      <c r="L15" s="43">
        <f>IF($A15="","",$K15-(SUMIFS(GL_Journal!$S:$S,GL_Journal!$G:$G,"&gt;=5000",GL_Journal!$G:$G,"&lt;=6999",GL_Journal!$D:$D,"&gt;="&amp;DATE(INT($A15/100),MOD($A15,100),1),GL_Journal!$D:$D,"&lt;="&amp;EOMONTH(DATE(INT($A15/100),MOD($A15,100),1),0),GL_Journal!$AE:$AE,0)-SUMIFS(GL_Journal!$T:$T,GL_Journal!$G:$G,"&gt;=5000",GL_Journal!$G:$G,"&lt;=6999",GL_Journal!$D:$D,"&gt;="&amp;DATE(INT($A15/100),MOD($A15,100),1),GL_Journal!$D:$D,"&lt;="&amp;EOMONTH(DATE(INT($A15/100),MOD($A15,100),1),0),GL_Journal!$AE:$AE,0)))</f>
        <v/>
      </c>
      <c r="M15" s="43">
        <f>IF($A15="","",SUMIFS(GL_Journal!$S:$S,GL_Journal!$G:$G,"&gt;=1000",GL_Journal!$G:$G,"&lt;=6999",GL_Journal!$D:$D,"&gt;="&amp;DATE(INT($A15/100),MOD($A15,100),1),GL_Journal!$D:$D,"&lt;="&amp;EOMONTH(DATE(INT($A15/100),MOD($A15,100),1),0)))</f>
        <v/>
      </c>
      <c r="N15" s="43">
        <f>IF($A15="","",SUMIFS(GL_Journal!$T:$T,GL_Journal!$G:$G,"&gt;=1000",GL_Journal!$G:$G,"&lt;=6999",GL_Journal!$D:$D,"&gt;="&amp;DATE(INT($A15/100),MOD($A15,100),1),GL_Journal!$D:$D,"&lt;="&amp;EOMONTH(DATE(INT($A15/100),MOD($A15,100),1),0)))</f>
        <v/>
      </c>
      <c r="O15" s="32">
        <f>IF(AND($B15="مقفلة",$A15&lt;&gt;""),IF(OR(ABS($K15-N($F15))&gt;S_Tol,ABS($L15-N($G15))&gt;S_Tol,ABS($M15-N($H15))&gt;S_Tol,ABS($N15-N($I15))&gt;S_Tol),"تغيّر بعد الإقفال: قيد مرحّل بأثر رجعي","") ,"")</f>
        <v/>
      </c>
      <c r="P15" s="32">
        <f>IF($A15="","",IF(COUNTIF($A:$A,$A15)&gt;1,"فترة مكررة",IF(AND($B15="مقفلة",$C15=""),"اسم المُقفِل ناقص",IF(AND($B15="مقفلة",NOT(ISNUMBER($D15))),"تاريخ الإقفال ناقص",IF(AND($B15="مقفلة",$E15=""),"المعتمد الثاني ناقص",IF(AND($B15="مقفلة",$E15&lt;&gt;"",$E15=$C15),"المُقفِل والمعتمد الثاني نفس الشخص",""))))))</f>
        <v/>
      </c>
    </row>
    <row r="16">
      <c r="A16" s="39" t="n"/>
      <c r="B16" s="39" t="n"/>
      <c r="C16" s="29" t="n"/>
      <c r="D16" s="31" t="n"/>
      <c r="E16" s="29" t="n"/>
      <c r="F16" s="42" t="n"/>
      <c r="G16" s="42" t="n"/>
      <c r="H16" s="42" t="n"/>
      <c r="I16" s="42" t="n"/>
      <c r="J16" s="29" t="n"/>
      <c r="K16" s="43">
        <f>IF($A16="","",SUMIFS(GL_Journal!$T:$T,GL_Journal!$G:$G,"&gt;=4000",GL_Journal!$G:$G,"&lt;=4999",GL_Journal!$D:$D,"&gt;="&amp;DATE(INT($A16/100),MOD($A16,100),1),GL_Journal!$D:$D,"&lt;="&amp;EOMONTH(DATE(INT($A16/100),MOD($A16,100),1),0),GL_Journal!$AE:$AE,0)-SUMIFS(GL_Journal!$S:$S,GL_Journal!$G:$G,"&gt;=4000",GL_Journal!$G:$G,"&lt;=4999",GL_Journal!$D:$D,"&gt;="&amp;DATE(INT($A16/100),MOD($A16,100),1),GL_Journal!$D:$D,"&lt;="&amp;EOMONTH(DATE(INT($A16/100),MOD($A16,100),1),0),GL_Journal!$AE:$AE,0))</f>
        <v/>
      </c>
      <c r="L16" s="43">
        <f>IF($A16="","",$K16-(SUMIFS(GL_Journal!$S:$S,GL_Journal!$G:$G,"&gt;=5000",GL_Journal!$G:$G,"&lt;=6999",GL_Journal!$D:$D,"&gt;="&amp;DATE(INT($A16/100),MOD($A16,100),1),GL_Journal!$D:$D,"&lt;="&amp;EOMONTH(DATE(INT($A16/100),MOD($A16,100),1),0),GL_Journal!$AE:$AE,0)-SUMIFS(GL_Journal!$T:$T,GL_Journal!$G:$G,"&gt;=5000",GL_Journal!$G:$G,"&lt;=6999",GL_Journal!$D:$D,"&gt;="&amp;DATE(INT($A16/100),MOD($A16,100),1),GL_Journal!$D:$D,"&lt;="&amp;EOMONTH(DATE(INT($A16/100),MOD($A16,100),1),0),GL_Journal!$AE:$AE,0)))</f>
        <v/>
      </c>
      <c r="M16" s="43">
        <f>IF($A16="","",SUMIFS(GL_Journal!$S:$S,GL_Journal!$G:$G,"&gt;=1000",GL_Journal!$G:$G,"&lt;=6999",GL_Journal!$D:$D,"&gt;="&amp;DATE(INT($A16/100),MOD($A16,100),1),GL_Journal!$D:$D,"&lt;="&amp;EOMONTH(DATE(INT($A16/100),MOD($A16,100),1),0)))</f>
        <v/>
      </c>
      <c r="N16" s="43">
        <f>IF($A16="","",SUMIFS(GL_Journal!$T:$T,GL_Journal!$G:$G,"&gt;=1000",GL_Journal!$G:$G,"&lt;=6999",GL_Journal!$D:$D,"&gt;="&amp;DATE(INT($A16/100),MOD($A16,100),1),GL_Journal!$D:$D,"&lt;="&amp;EOMONTH(DATE(INT($A16/100),MOD($A16,100),1),0)))</f>
        <v/>
      </c>
      <c r="O16" s="32">
        <f>IF(AND($B16="مقفلة",$A16&lt;&gt;""),IF(OR(ABS($K16-N($F16))&gt;S_Tol,ABS($L16-N($G16))&gt;S_Tol,ABS($M16-N($H16))&gt;S_Tol,ABS($N16-N($I16))&gt;S_Tol),"تغيّر بعد الإقفال: قيد مرحّل بأثر رجعي","") ,"")</f>
        <v/>
      </c>
      <c r="P16" s="32">
        <f>IF($A16="","",IF(COUNTIF($A:$A,$A16)&gt;1,"فترة مكررة",IF(AND($B16="مقفلة",$C16=""),"اسم المُقفِل ناقص",IF(AND($B16="مقفلة",NOT(ISNUMBER($D16))),"تاريخ الإقفال ناقص",IF(AND($B16="مقفلة",$E16=""),"المعتمد الثاني ناقص",IF(AND($B16="مقفلة",$E16&lt;&gt;"",$E16=$C16),"المُقفِل والمعتمد الثاني نفس الشخص",""))))))</f>
        <v/>
      </c>
    </row>
    <row r="17">
      <c r="A17" s="39" t="n"/>
      <c r="B17" s="39" t="n"/>
      <c r="C17" s="29" t="n"/>
      <c r="D17" s="31" t="n"/>
      <c r="E17" s="29" t="n"/>
      <c r="F17" s="42" t="n"/>
      <c r="G17" s="42" t="n"/>
      <c r="H17" s="42" t="n"/>
      <c r="I17" s="42" t="n"/>
      <c r="J17" s="29" t="n"/>
      <c r="K17" s="43">
        <f>IF($A17="","",SUMIFS(GL_Journal!$T:$T,GL_Journal!$G:$G,"&gt;=4000",GL_Journal!$G:$G,"&lt;=4999",GL_Journal!$D:$D,"&gt;="&amp;DATE(INT($A17/100),MOD($A17,100),1),GL_Journal!$D:$D,"&lt;="&amp;EOMONTH(DATE(INT($A17/100),MOD($A17,100),1),0),GL_Journal!$AE:$AE,0)-SUMIFS(GL_Journal!$S:$S,GL_Journal!$G:$G,"&gt;=4000",GL_Journal!$G:$G,"&lt;=4999",GL_Journal!$D:$D,"&gt;="&amp;DATE(INT($A17/100),MOD($A17,100),1),GL_Journal!$D:$D,"&lt;="&amp;EOMONTH(DATE(INT($A17/100),MOD($A17,100),1),0),GL_Journal!$AE:$AE,0))</f>
        <v/>
      </c>
      <c r="L17" s="43">
        <f>IF($A17="","",$K17-(SUMIFS(GL_Journal!$S:$S,GL_Journal!$G:$G,"&gt;=5000",GL_Journal!$G:$G,"&lt;=6999",GL_Journal!$D:$D,"&gt;="&amp;DATE(INT($A17/100),MOD($A17,100),1),GL_Journal!$D:$D,"&lt;="&amp;EOMONTH(DATE(INT($A17/100),MOD($A17,100),1),0),GL_Journal!$AE:$AE,0)-SUMIFS(GL_Journal!$T:$T,GL_Journal!$G:$G,"&gt;=5000",GL_Journal!$G:$G,"&lt;=6999",GL_Journal!$D:$D,"&gt;="&amp;DATE(INT($A17/100),MOD($A17,100),1),GL_Journal!$D:$D,"&lt;="&amp;EOMONTH(DATE(INT($A17/100),MOD($A17,100),1),0),GL_Journal!$AE:$AE,0)))</f>
        <v/>
      </c>
      <c r="M17" s="43">
        <f>IF($A17="","",SUMIFS(GL_Journal!$S:$S,GL_Journal!$G:$G,"&gt;=1000",GL_Journal!$G:$G,"&lt;=6999",GL_Journal!$D:$D,"&gt;="&amp;DATE(INT($A17/100),MOD($A17,100),1),GL_Journal!$D:$D,"&lt;="&amp;EOMONTH(DATE(INT($A17/100),MOD($A17,100),1),0)))</f>
        <v/>
      </c>
      <c r="N17" s="43">
        <f>IF($A17="","",SUMIFS(GL_Journal!$T:$T,GL_Journal!$G:$G,"&gt;=1000",GL_Journal!$G:$G,"&lt;=6999",GL_Journal!$D:$D,"&gt;="&amp;DATE(INT($A17/100),MOD($A17,100),1),GL_Journal!$D:$D,"&lt;="&amp;EOMONTH(DATE(INT($A17/100),MOD($A17,100),1),0)))</f>
        <v/>
      </c>
      <c r="O17" s="32">
        <f>IF(AND($B17="مقفلة",$A17&lt;&gt;""),IF(OR(ABS($K17-N($F17))&gt;S_Tol,ABS($L17-N($G17))&gt;S_Tol,ABS($M17-N($H17))&gt;S_Tol,ABS($N17-N($I17))&gt;S_Tol),"تغيّر بعد الإقفال: قيد مرحّل بأثر رجعي","") ,"")</f>
        <v/>
      </c>
      <c r="P17" s="32">
        <f>IF($A17="","",IF(COUNTIF($A:$A,$A17)&gt;1,"فترة مكررة",IF(AND($B17="مقفلة",$C17=""),"اسم المُقفِل ناقص",IF(AND($B17="مقفلة",NOT(ISNUMBER($D17))),"تاريخ الإقفال ناقص",IF(AND($B17="مقفلة",$E17=""),"المعتمد الثاني ناقص",IF(AND($B17="مقفلة",$E17&lt;&gt;"",$E17=$C17),"المُقفِل والمعتمد الثاني نفس الشخص",""))))))</f>
        <v/>
      </c>
    </row>
    <row r="18">
      <c r="A18" s="39" t="n"/>
      <c r="B18" s="39" t="n"/>
      <c r="C18" s="29" t="n"/>
      <c r="D18" s="31" t="n"/>
      <c r="E18" s="29" t="n"/>
      <c r="F18" s="42" t="n"/>
      <c r="G18" s="42" t="n"/>
      <c r="H18" s="42" t="n"/>
      <c r="I18" s="42" t="n"/>
      <c r="J18" s="29" t="n"/>
      <c r="K18" s="43">
        <f>IF($A18="","",SUMIFS(GL_Journal!$T:$T,GL_Journal!$G:$G,"&gt;=4000",GL_Journal!$G:$G,"&lt;=4999",GL_Journal!$D:$D,"&gt;="&amp;DATE(INT($A18/100),MOD($A18,100),1),GL_Journal!$D:$D,"&lt;="&amp;EOMONTH(DATE(INT($A18/100),MOD($A18,100),1),0),GL_Journal!$AE:$AE,0)-SUMIFS(GL_Journal!$S:$S,GL_Journal!$G:$G,"&gt;=4000",GL_Journal!$G:$G,"&lt;=4999",GL_Journal!$D:$D,"&gt;="&amp;DATE(INT($A18/100),MOD($A18,100),1),GL_Journal!$D:$D,"&lt;="&amp;EOMONTH(DATE(INT($A18/100),MOD($A18,100),1),0),GL_Journal!$AE:$AE,0))</f>
        <v/>
      </c>
      <c r="L18" s="43">
        <f>IF($A18="","",$K18-(SUMIFS(GL_Journal!$S:$S,GL_Journal!$G:$G,"&gt;=5000",GL_Journal!$G:$G,"&lt;=6999",GL_Journal!$D:$D,"&gt;="&amp;DATE(INT($A18/100),MOD($A18,100),1),GL_Journal!$D:$D,"&lt;="&amp;EOMONTH(DATE(INT($A18/100),MOD($A18,100),1),0),GL_Journal!$AE:$AE,0)-SUMIFS(GL_Journal!$T:$T,GL_Journal!$G:$G,"&gt;=5000",GL_Journal!$G:$G,"&lt;=6999",GL_Journal!$D:$D,"&gt;="&amp;DATE(INT($A18/100),MOD($A18,100),1),GL_Journal!$D:$D,"&lt;="&amp;EOMONTH(DATE(INT($A18/100),MOD($A18,100),1),0),GL_Journal!$AE:$AE,0)))</f>
        <v/>
      </c>
      <c r="M18" s="43">
        <f>IF($A18="","",SUMIFS(GL_Journal!$S:$S,GL_Journal!$G:$G,"&gt;=1000",GL_Journal!$G:$G,"&lt;=6999",GL_Journal!$D:$D,"&gt;="&amp;DATE(INT($A18/100),MOD($A18,100),1),GL_Journal!$D:$D,"&lt;="&amp;EOMONTH(DATE(INT($A18/100),MOD($A18,100),1),0)))</f>
        <v/>
      </c>
      <c r="N18" s="43">
        <f>IF($A18="","",SUMIFS(GL_Journal!$T:$T,GL_Journal!$G:$G,"&gt;=1000",GL_Journal!$G:$G,"&lt;=6999",GL_Journal!$D:$D,"&gt;="&amp;DATE(INT($A18/100),MOD($A18,100),1),GL_Journal!$D:$D,"&lt;="&amp;EOMONTH(DATE(INT($A18/100),MOD($A18,100),1),0)))</f>
        <v/>
      </c>
      <c r="O18" s="32">
        <f>IF(AND($B18="مقفلة",$A18&lt;&gt;""),IF(OR(ABS($K18-N($F18))&gt;S_Tol,ABS($L18-N($G18))&gt;S_Tol,ABS($M18-N($H18))&gt;S_Tol,ABS($N18-N($I18))&gt;S_Tol),"تغيّر بعد الإقفال: قيد مرحّل بأثر رجعي","") ,"")</f>
        <v/>
      </c>
      <c r="P18" s="32">
        <f>IF($A18="","",IF(COUNTIF($A:$A,$A18)&gt;1,"فترة مكررة",IF(AND($B18="مقفلة",$C18=""),"اسم المُقفِل ناقص",IF(AND($B18="مقفلة",NOT(ISNUMBER($D18))),"تاريخ الإقفال ناقص",IF(AND($B18="مقفلة",$E18=""),"المعتمد الثاني ناقص",IF(AND($B18="مقفلة",$E18&lt;&gt;"",$E18=$C18),"المُقفِل والمعتمد الثاني نفس الشخص",""))))))</f>
        <v/>
      </c>
    </row>
    <row r="19">
      <c r="A19" s="39" t="n"/>
      <c r="B19" s="39" t="n"/>
      <c r="C19" s="29" t="n"/>
      <c r="D19" s="31" t="n"/>
      <c r="E19" s="29" t="n"/>
      <c r="F19" s="42" t="n"/>
      <c r="G19" s="42" t="n"/>
      <c r="H19" s="42" t="n"/>
      <c r="I19" s="42" t="n"/>
      <c r="J19" s="29" t="n"/>
      <c r="K19" s="43">
        <f>IF($A19="","",SUMIFS(GL_Journal!$T:$T,GL_Journal!$G:$G,"&gt;=4000",GL_Journal!$G:$G,"&lt;=4999",GL_Journal!$D:$D,"&gt;="&amp;DATE(INT($A19/100),MOD($A19,100),1),GL_Journal!$D:$D,"&lt;="&amp;EOMONTH(DATE(INT($A19/100),MOD($A19,100),1),0),GL_Journal!$AE:$AE,0)-SUMIFS(GL_Journal!$S:$S,GL_Journal!$G:$G,"&gt;=4000",GL_Journal!$G:$G,"&lt;=4999",GL_Journal!$D:$D,"&gt;="&amp;DATE(INT($A19/100),MOD($A19,100),1),GL_Journal!$D:$D,"&lt;="&amp;EOMONTH(DATE(INT($A19/100),MOD($A19,100),1),0),GL_Journal!$AE:$AE,0))</f>
        <v/>
      </c>
      <c r="L19" s="43">
        <f>IF($A19="","",$K19-(SUMIFS(GL_Journal!$S:$S,GL_Journal!$G:$G,"&gt;=5000",GL_Journal!$G:$G,"&lt;=6999",GL_Journal!$D:$D,"&gt;="&amp;DATE(INT($A19/100),MOD($A19,100),1),GL_Journal!$D:$D,"&lt;="&amp;EOMONTH(DATE(INT($A19/100),MOD($A19,100),1),0),GL_Journal!$AE:$AE,0)-SUMIFS(GL_Journal!$T:$T,GL_Journal!$G:$G,"&gt;=5000",GL_Journal!$G:$G,"&lt;=6999",GL_Journal!$D:$D,"&gt;="&amp;DATE(INT($A19/100),MOD($A19,100),1),GL_Journal!$D:$D,"&lt;="&amp;EOMONTH(DATE(INT($A19/100),MOD($A19,100),1),0),GL_Journal!$AE:$AE,0)))</f>
        <v/>
      </c>
      <c r="M19" s="43">
        <f>IF($A19="","",SUMIFS(GL_Journal!$S:$S,GL_Journal!$G:$G,"&gt;=1000",GL_Journal!$G:$G,"&lt;=6999",GL_Journal!$D:$D,"&gt;="&amp;DATE(INT($A19/100),MOD($A19,100),1),GL_Journal!$D:$D,"&lt;="&amp;EOMONTH(DATE(INT($A19/100),MOD($A19,100),1),0)))</f>
        <v/>
      </c>
      <c r="N19" s="43">
        <f>IF($A19="","",SUMIFS(GL_Journal!$T:$T,GL_Journal!$G:$G,"&gt;=1000",GL_Journal!$G:$G,"&lt;=6999",GL_Journal!$D:$D,"&gt;="&amp;DATE(INT($A19/100),MOD($A19,100),1),GL_Journal!$D:$D,"&lt;="&amp;EOMONTH(DATE(INT($A19/100),MOD($A19,100),1),0)))</f>
        <v/>
      </c>
      <c r="O19" s="32">
        <f>IF(AND($B19="مقفلة",$A19&lt;&gt;""),IF(OR(ABS($K19-N($F19))&gt;S_Tol,ABS($L19-N($G19))&gt;S_Tol,ABS($M19-N($H19))&gt;S_Tol,ABS($N19-N($I19))&gt;S_Tol),"تغيّر بعد الإقفال: قيد مرحّل بأثر رجعي","") ,"")</f>
        <v/>
      </c>
      <c r="P19" s="32">
        <f>IF($A19="","",IF(COUNTIF($A:$A,$A19)&gt;1,"فترة مكررة",IF(AND($B19="مقفلة",$C19=""),"اسم المُقفِل ناقص",IF(AND($B19="مقفلة",NOT(ISNUMBER($D19))),"تاريخ الإقفال ناقص",IF(AND($B19="مقفلة",$E19=""),"المعتمد الثاني ناقص",IF(AND($B19="مقفلة",$E19&lt;&gt;"",$E19=$C19),"المُقفِل والمعتمد الثاني نفس الشخص",""))))))</f>
        <v/>
      </c>
    </row>
    <row r="20">
      <c r="A20" s="39" t="n"/>
      <c r="B20" s="39" t="n"/>
      <c r="C20" s="29" t="n"/>
      <c r="D20" s="31" t="n"/>
      <c r="E20" s="29" t="n"/>
      <c r="F20" s="42" t="n"/>
      <c r="G20" s="42" t="n"/>
      <c r="H20" s="42" t="n"/>
      <c r="I20" s="42" t="n"/>
      <c r="J20" s="29" t="n"/>
      <c r="K20" s="43">
        <f>IF($A20="","",SUMIFS(GL_Journal!$T:$T,GL_Journal!$G:$G,"&gt;=4000",GL_Journal!$G:$G,"&lt;=4999",GL_Journal!$D:$D,"&gt;="&amp;DATE(INT($A20/100),MOD($A20,100),1),GL_Journal!$D:$D,"&lt;="&amp;EOMONTH(DATE(INT($A20/100),MOD($A20,100),1),0),GL_Journal!$AE:$AE,0)-SUMIFS(GL_Journal!$S:$S,GL_Journal!$G:$G,"&gt;=4000",GL_Journal!$G:$G,"&lt;=4999",GL_Journal!$D:$D,"&gt;="&amp;DATE(INT($A20/100),MOD($A20,100),1),GL_Journal!$D:$D,"&lt;="&amp;EOMONTH(DATE(INT($A20/100),MOD($A20,100),1),0),GL_Journal!$AE:$AE,0))</f>
        <v/>
      </c>
      <c r="L20" s="43">
        <f>IF($A20="","",$K20-(SUMIFS(GL_Journal!$S:$S,GL_Journal!$G:$G,"&gt;=5000",GL_Journal!$G:$G,"&lt;=6999",GL_Journal!$D:$D,"&gt;="&amp;DATE(INT($A20/100),MOD($A20,100),1),GL_Journal!$D:$D,"&lt;="&amp;EOMONTH(DATE(INT($A20/100),MOD($A20,100),1),0),GL_Journal!$AE:$AE,0)-SUMIFS(GL_Journal!$T:$T,GL_Journal!$G:$G,"&gt;=5000",GL_Journal!$G:$G,"&lt;=6999",GL_Journal!$D:$D,"&gt;="&amp;DATE(INT($A20/100),MOD($A20,100),1),GL_Journal!$D:$D,"&lt;="&amp;EOMONTH(DATE(INT($A20/100),MOD($A20,100),1),0),GL_Journal!$AE:$AE,0)))</f>
        <v/>
      </c>
      <c r="M20" s="43">
        <f>IF($A20="","",SUMIFS(GL_Journal!$S:$S,GL_Journal!$G:$G,"&gt;=1000",GL_Journal!$G:$G,"&lt;=6999",GL_Journal!$D:$D,"&gt;="&amp;DATE(INT($A20/100),MOD($A20,100),1),GL_Journal!$D:$D,"&lt;="&amp;EOMONTH(DATE(INT($A20/100),MOD($A20,100),1),0)))</f>
        <v/>
      </c>
      <c r="N20" s="43">
        <f>IF($A20="","",SUMIFS(GL_Journal!$T:$T,GL_Journal!$G:$G,"&gt;=1000",GL_Journal!$G:$G,"&lt;=6999",GL_Journal!$D:$D,"&gt;="&amp;DATE(INT($A20/100),MOD($A20,100),1),GL_Journal!$D:$D,"&lt;="&amp;EOMONTH(DATE(INT($A20/100),MOD($A20,100),1),0)))</f>
        <v/>
      </c>
      <c r="O20" s="32">
        <f>IF(AND($B20="مقفلة",$A20&lt;&gt;""),IF(OR(ABS($K20-N($F20))&gt;S_Tol,ABS($L20-N($G20))&gt;S_Tol,ABS($M20-N($H20))&gt;S_Tol,ABS($N20-N($I20))&gt;S_Tol),"تغيّر بعد الإقفال: قيد مرحّل بأثر رجعي","") ,"")</f>
        <v/>
      </c>
      <c r="P20" s="32">
        <f>IF($A20="","",IF(COUNTIF($A:$A,$A20)&gt;1,"فترة مكررة",IF(AND($B20="مقفلة",$C20=""),"اسم المُقفِل ناقص",IF(AND($B20="مقفلة",NOT(ISNUMBER($D20))),"تاريخ الإقفال ناقص",IF(AND($B20="مقفلة",$E20=""),"المعتمد الثاني ناقص",IF(AND($B20="مقفلة",$E20&lt;&gt;"",$E20=$C20),"المُقفِل والمعتمد الثاني نفس الشخص",""))))))</f>
        <v/>
      </c>
    </row>
    <row r="21">
      <c r="A21" s="39" t="n"/>
      <c r="B21" s="39" t="n"/>
      <c r="C21" s="29" t="n"/>
      <c r="D21" s="31" t="n"/>
      <c r="E21" s="29" t="n"/>
      <c r="F21" s="42" t="n"/>
      <c r="G21" s="42" t="n"/>
      <c r="H21" s="42" t="n"/>
      <c r="I21" s="42" t="n"/>
      <c r="J21" s="29" t="n"/>
      <c r="K21" s="43">
        <f>IF($A21="","",SUMIFS(GL_Journal!$T:$T,GL_Journal!$G:$G,"&gt;=4000",GL_Journal!$G:$G,"&lt;=4999",GL_Journal!$D:$D,"&gt;="&amp;DATE(INT($A21/100),MOD($A21,100),1),GL_Journal!$D:$D,"&lt;="&amp;EOMONTH(DATE(INT($A21/100),MOD($A21,100),1),0),GL_Journal!$AE:$AE,0)-SUMIFS(GL_Journal!$S:$S,GL_Journal!$G:$G,"&gt;=4000",GL_Journal!$G:$G,"&lt;=4999",GL_Journal!$D:$D,"&gt;="&amp;DATE(INT($A21/100),MOD($A21,100),1),GL_Journal!$D:$D,"&lt;="&amp;EOMONTH(DATE(INT($A21/100),MOD($A21,100),1),0),GL_Journal!$AE:$AE,0))</f>
        <v/>
      </c>
      <c r="L21" s="43">
        <f>IF($A21="","",$K21-(SUMIFS(GL_Journal!$S:$S,GL_Journal!$G:$G,"&gt;=5000",GL_Journal!$G:$G,"&lt;=6999",GL_Journal!$D:$D,"&gt;="&amp;DATE(INT($A21/100),MOD($A21,100),1),GL_Journal!$D:$D,"&lt;="&amp;EOMONTH(DATE(INT($A21/100),MOD($A21,100),1),0),GL_Journal!$AE:$AE,0)-SUMIFS(GL_Journal!$T:$T,GL_Journal!$G:$G,"&gt;=5000",GL_Journal!$G:$G,"&lt;=6999",GL_Journal!$D:$D,"&gt;="&amp;DATE(INT($A21/100),MOD($A21,100),1),GL_Journal!$D:$D,"&lt;="&amp;EOMONTH(DATE(INT($A21/100),MOD($A21,100),1),0),GL_Journal!$AE:$AE,0)))</f>
        <v/>
      </c>
      <c r="M21" s="43">
        <f>IF($A21="","",SUMIFS(GL_Journal!$S:$S,GL_Journal!$G:$G,"&gt;=1000",GL_Journal!$G:$G,"&lt;=6999",GL_Journal!$D:$D,"&gt;="&amp;DATE(INT($A21/100),MOD($A21,100),1),GL_Journal!$D:$D,"&lt;="&amp;EOMONTH(DATE(INT($A21/100),MOD($A21,100),1),0)))</f>
        <v/>
      </c>
      <c r="N21" s="43">
        <f>IF($A21="","",SUMIFS(GL_Journal!$T:$T,GL_Journal!$G:$G,"&gt;=1000",GL_Journal!$G:$G,"&lt;=6999",GL_Journal!$D:$D,"&gt;="&amp;DATE(INT($A21/100),MOD($A21,100),1),GL_Journal!$D:$D,"&lt;="&amp;EOMONTH(DATE(INT($A21/100),MOD($A21,100),1),0)))</f>
        <v/>
      </c>
      <c r="O21" s="32">
        <f>IF(AND($B21="مقفلة",$A21&lt;&gt;""),IF(OR(ABS($K21-N($F21))&gt;S_Tol,ABS($L21-N($G21))&gt;S_Tol,ABS($M21-N($H21))&gt;S_Tol,ABS($N21-N($I21))&gt;S_Tol),"تغيّر بعد الإقفال: قيد مرحّل بأثر رجعي","") ,"")</f>
        <v/>
      </c>
      <c r="P21" s="32">
        <f>IF($A21="","",IF(COUNTIF($A:$A,$A21)&gt;1,"فترة مكررة",IF(AND($B21="مقفلة",$C21=""),"اسم المُقفِل ناقص",IF(AND($B21="مقفلة",NOT(ISNUMBER($D21))),"تاريخ الإقفال ناقص",IF(AND($B21="مقفلة",$E21=""),"المعتمد الثاني ناقص",IF(AND($B21="مقفلة",$E21&lt;&gt;"",$E21=$C21),"المُقفِل والمعتمد الثاني نفس الشخص",""))))))</f>
        <v/>
      </c>
    </row>
    <row r="22">
      <c r="A22" s="39" t="n"/>
      <c r="B22" s="39" t="n"/>
      <c r="C22" s="29" t="n"/>
      <c r="D22" s="31" t="n"/>
      <c r="E22" s="29" t="n"/>
      <c r="F22" s="42" t="n"/>
      <c r="G22" s="42" t="n"/>
      <c r="H22" s="42" t="n"/>
      <c r="I22" s="42" t="n"/>
      <c r="J22" s="29" t="n"/>
      <c r="K22" s="43">
        <f>IF($A22="","",SUMIFS(GL_Journal!$T:$T,GL_Journal!$G:$G,"&gt;=4000",GL_Journal!$G:$G,"&lt;=4999",GL_Journal!$D:$D,"&gt;="&amp;DATE(INT($A22/100),MOD($A22,100),1),GL_Journal!$D:$D,"&lt;="&amp;EOMONTH(DATE(INT($A22/100),MOD($A22,100),1),0),GL_Journal!$AE:$AE,0)-SUMIFS(GL_Journal!$S:$S,GL_Journal!$G:$G,"&gt;=4000",GL_Journal!$G:$G,"&lt;=4999",GL_Journal!$D:$D,"&gt;="&amp;DATE(INT($A22/100),MOD($A22,100),1),GL_Journal!$D:$D,"&lt;="&amp;EOMONTH(DATE(INT($A22/100),MOD($A22,100),1),0),GL_Journal!$AE:$AE,0))</f>
        <v/>
      </c>
      <c r="L22" s="43">
        <f>IF($A22="","",$K22-(SUMIFS(GL_Journal!$S:$S,GL_Journal!$G:$G,"&gt;=5000",GL_Journal!$G:$G,"&lt;=6999",GL_Journal!$D:$D,"&gt;="&amp;DATE(INT($A22/100),MOD($A22,100),1),GL_Journal!$D:$D,"&lt;="&amp;EOMONTH(DATE(INT($A22/100),MOD($A22,100),1),0),GL_Journal!$AE:$AE,0)-SUMIFS(GL_Journal!$T:$T,GL_Journal!$G:$G,"&gt;=5000",GL_Journal!$G:$G,"&lt;=6999",GL_Journal!$D:$D,"&gt;="&amp;DATE(INT($A22/100),MOD($A22,100),1),GL_Journal!$D:$D,"&lt;="&amp;EOMONTH(DATE(INT($A22/100),MOD($A22,100),1),0),GL_Journal!$AE:$AE,0)))</f>
        <v/>
      </c>
      <c r="M22" s="43">
        <f>IF($A22="","",SUMIFS(GL_Journal!$S:$S,GL_Journal!$G:$G,"&gt;=1000",GL_Journal!$G:$G,"&lt;=6999",GL_Journal!$D:$D,"&gt;="&amp;DATE(INT($A22/100),MOD($A22,100),1),GL_Journal!$D:$D,"&lt;="&amp;EOMONTH(DATE(INT($A22/100),MOD($A22,100),1),0)))</f>
        <v/>
      </c>
      <c r="N22" s="43">
        <f>IF($A22="","",SUMIFS(GL_Journal!$T:$T,GL_Journal!$G:$G,"&gt;=1000",GL_Journal!$G:$G,"&lt;=6999",GL_Journal!$D:$D,"&gt;="&amp;DATE(INT($A22/100),MOD($A22,100),1),GL_Journal!$D:$D,"&lt;="&amp;EOMONTH(DATE(INT($A22/100),MOD($A22,100),1),0)))</f>
        <v/>
      </c>
      <c r="O22" s="32">
        <f>IF(AND($B22="مقفلة",$A22&lt;&gt;""),IF(OR(ABS($K22-N($F22))&gt;S_Tol,ABS($L22-N($G22))&gt;S_Tol,ABS($M22-N($H22))&gt;S_Tol,ABS($N22-N($I22))&gt;S_Tol),"تغيّر بعد الإقفال: قيد مرحّل بأثر رجعي","") ,"")</f>
        <v/>
      </c>
      <c r="P22" s="32">
        <f>IF($A22="","",IF(COUNTIF($A:$A,$A22)&gt;1,"فترة مكررة",IF(AND($B22="مقفلة",$C22=""),"اسم المُقفِل ناقص",IF(AND($B22="مقفلة",NOT(ISNUMBER($D22))),"تاريخ الإقفال ناقص",IF(AND($B22="مقفلة",$E22=""),"المعتمد الثاني ناقص",IF(AND($B22="مقفلة",$E22&lt;&gt;"",$E22=$C22),"المُقفِل والمعتمد الثاني نفس الشخص",""))))))</f>
        <v/>
      </c>
    </row>
    <row r="23">
      <c r="A23" s="39" t="n"/>
      <c r="B23" s="39" t="n"/>
      <c r="C23" s="29" t="n"/>
      <c r="D23" s="31" t="n"/>
      <c r="E23" s="29" t="n"/>
      <c r="F23" s="42" t="n"/>
      <c r="G23" s="42" t="n"/>
      <c r="H23" s="42" t="n"/>
      <c r="I23" s="42" t="n"/>
      <c r="J23" s="29" t="n"/>
      <c r="K23" s="43">
        <f>IF($A23="","",SUMIFS(GL_Journal!$T:$T,GL_Journal!$G:$G,"&gt;=4000",GL_Journal!$G:$G,"&lt;=4999",GL_Journal!$D:$D,"&gt;="&amp;DATE(INT($A23/100),MOD($A23,100),1),GL_Journal!$D:$D,"&lt;="&amp;EOMONTH(DATE(INT($A23/100),MOD($A23,100),1),0),GL_Journal!$AE:$AE,0)-SUMIFS(GL_Journal!$S:$S,GL_Journal!$G:$G,"&gt;=4000",GL_Journal!$G:$G,"&lt;=4999",GL_Journal!$D:$D,"&gt;="&amp;DATE(INT($A23/100),MOD($A23,100),1),GL_Journal!$D:$D,"&lt;="&amp;EOMONTH(DATE(INT($A23/100),MOD($A23,100),1),0),GL_Journal!$AE:$AE,0))</f>
        <v/>
      </c>
      <c r="L23" s="43">
        <f>IF($A23="","",$K23-(SUMIFS(GL_Journal!$S:$S,GL_Journal!$G:$G,"&gt;=5000",GL_Journal!$G:$G,"&lt;=6999",GL_Journal!$D:$D,"&gt;="&amp;DATE(INT($A23/100),MOD($A23,100),1),GL_Journal!$D:$D,"&lt;="&amp;EOMONTH(DATE(INT($A23/100),MOD($A23,100),1),0),GL_Journal!$AE:$AE,0)-SUMIFS(GL_Journal!$T:$T,GL_Journal!$G:$G,"&gt;=5000",GL_Journal!$G:$G,"&lt;=6999",GL_Journal!$D:$D,"&gt;="&amp;DATE(INT($A23/100),MOD($A23,100),1),GL_Journal!$D:$D,"&lt;="&amp;EOMONTH(DATE(INT($A23/100),MOD($A23,100),1),0),GL_Journal!$AE:$AE,0)))</f>
        <v/>
      </c>
      <c r="M23" s="43">
        <f>IF($A23="","",SUMIFS(GL_Journal!$S:$S,GL_Journal!$G:$G,"&gt;=1000",GL_Journal!$G:$G,"&lt;=6999",GL_Journal!$D:$D,"&gt;="&amp;DATE(INT($A23/100),MOD($A23,100),1),GL_Journal!$D:$D,"&lt;="&amp;EOMONTH(DATE(INT($A23/100),MOD($A23,100),1),0)))</f>
        <v/>
      </c>
      <c r="N23" s="43">
        <f>IF($A23="","",SUMIFS(GL_Journal!$T:$T,GL_Journal!$G:$G,"&gt;=1000",GL_Journal!$G:$G,"&lt;=6999",GL_Journal!$D:$D,"&gt;="&amp;DATE(INT($A23/100),MOD($A23,100),1),GL_Journal!$D:$D,"&lt;="&amp;EOMONTH(DATE(INT($A23/100),MOD($A23,100),1),0)))</f>
        <v/>
      </c>
      <c r="O23" s="32">
        <f>IF(AND($B23="مقفلة",$A23&lt;&gt;""),IF(OR(ABS($K23-N($F23))&gt;S_Tol,ABS($L23-N($G23))&gt;S_Tol,ABS($M23-N($H23))&gt;S_Tol,ABS($N23-N($I23))&gt;S_Tol),"تغيّر بعد الإقفال: قيد مرحّل بأثر رجعي","") ,"")</f>
        <v/>
      </c>
      <c r="P23" s="32">
        <f>IF($A23="","",IF(COUNTIF($A:$A,$A23)&gt;1,"فترة مكررة",IF(AND($B23="مقفلة",$C23=""),"اسم المُقفِل ناقص",IF(AND($B23="مقفلة",NOT(ISNUMBER($D23))),"تاريخ الإقفال ناقص",IF(AND($B23="مقفلة",$E23=""),"المعتمد الثاني ناقص",IF(AND($B23="مقفلة",$E23&lt;&gt;"",$E23=$C23),"المُقفِل والمعتمد الثاني نفس الشخص",""))))))</f>
        <v/>
      </c>
    </row>
    <row r="24">
      <c r="A24" s="39" t="n"/>
      <c r="B24" s="39" t="n"/>
      <c r="C24" s="29" t="n"/>
      <c r="D24" s="31" t="n"/>
      <c r="E24" s="29" t="n"/>
      <c r="F24" s="42" t="n"/>
      <c r="G24" s="42" t="n"/>
      <c r="H24" s="42" t="n"/>
      <c r="I24" s="42" t="n"/>
      <c r="J24" s="29" t="n"/>
      <c r="K24" s="43">
        <f>IF($A24="","",SUMIFS(GL_Journal!$T:$T,GL_Journal!$G:$G,"&gt;=4000",GL_Journal!$G:$G,"&lt;=4999",GL_Journal!$D:$D,"&gt;="&amp;DATE(INT($A24/100),MOD($A24,100),1),GL_Journal!$D:$D,"&lt;="&amp;EOMONTH(DATE(INT($A24/100),MOD($A24,100),1),0),GL_Journal!$AE:$AE,0)-SUMIFS(GL_Journal!$S:$S,GL_Journal!$G:$G,"&gt;=4000",GL_Journal!$G:$G,"&lt;=4999",GL_Journal!$D:$D,"&gt;="&amp;DATE(INT($A24/100),MOD($A24,100),1),GL_Journal!$D:$D,"&lt;="&amp;EOMONTH(DATE(INT($A24/100),MOD($A24,100),1),0),GL_Journal!$AE:$AE,0))</f>
        <v/>
      </c>
      <c r="L24" s="43">
        <f>IF($A24="","",$K24-(SUMIFS(GL_Journal!$S:$S,GL_Journal!$G:$G,"&gt;=5000",GL_Journal!$G:$G,"&lt;=6999",GL_Journal!$D:$D,"&gt;="&amp;DATE(INT($A24/100),MOD($A24,100),1),GL_Journal!$D:$D,"&lt;="&amp;EOMONTH(DATE(INT($A24/100),MOD($A24,100),1),0),GL_Journal!$AE:$AE,0)-SUMIFS(GL_Journal!$T:$T,GL_Journal!$G:$G,"&gt;=5000",GL_Journal!$G:$G,"&lt;=6999",GL_Journal!$D:$D,"&gt;="&amp;DATE(INT($A24/100),MOD($A24,100),1),GL_Journal!$D:$D,"&lt;="&amp;EOMONTH(DATE(INT($A24/100),MOD($A24,100),1),0),GL_Journal!$AE:$AE,0)))</f>
        <v/>
      </c>
      <c r="M24" s="43">
        <f>IF($A24="","",SUMIFS(GL_Journal!$S:$S,GL_Journal!$G:$G,"&gt;=1000",GL_Journal!$G:$G,"&lt;=6999",GL_Journal!$D:$D,"&gt;="&amp;DATE(INT($A24/100),MOD($A24,100),1),GL_Journal!$D:$D,"&lt;="&amp;EOMONTH(DATE(INT($A24/100),MOD($A24,100),1),0)))</f>
        <v/>
      </c>
      <c r="N24" s="43">
        <f>IF($A24="","",SUMIFS(GL_Journal!$T:$T,GL_Journal!$G:$G,"&gt;=1000",GL_Journal!$G:$G,"&lt;=6999",GL_Journal!$D:$D,"&gt;="&amp;DATE(INT($A24/100),MOD($A24,100),1),GL_Journal!$D:$D,"&lt;="&amp;EOMONTH(DATE(INT($A24/100),MOD($A24,100),1),0)))</f>
        <v/>
      </c>
      <c r="O24" s="32">
        <f>IF(AND($B24="مقفلة",$A24&lt;&gt;""),IF(OR(ABS($K24-N($F24))&gt;S_Tol,ABS($L24-N($G24))&gt;S_Tol,ABS($M24-N($H24))&gt;S_Tol,ABS($N24-N($I24))&gt;S_Tol),"تغيّر بعد الإقفال: قيد مرحّل بأثر رجعي","") ,"")</f>
        <v/>
      </c>
      <c r="P24" s="32">
        <f>IF($A24="","",IF(COUNTIF($A:$A,$A24)&gt;1,"فترة مكررة",IF(AND($B24="مقفلة",$C24=""),"اسم المُقفِل ناقص",IF(AND($B24="مقفلة",NOT(ISNUMBER($D24))),"تاريخ الإقفال ناقص",IF(AND($B24="مقفلة",$E24=""),"المعتمد الثاني ناقص",IF(AND($B24="مقفلة",$E24&lt;&gt;"",$E24=$C24),"المُقفِل والمعتمد الثاني نفس الشخص",""))))))</f>
        <v/>
      </c>
    </row>
    <row r="25">
      <c r="A25" s="39" t="n"/>
      <c r="B25" s="39" t="n"/>
      <c r="C25" s="29" t="n"/>
      <c r="D25" s="31" t="n"/>
      <c r="E25" s="29" t="n"/>
      <c r="F25" s="42" t="n"/>
      <c r="G25" s="42" t="n"/>
      <c r="H25" s="42" t="n"/>
      <c r="I25" s="42" t="n"/>
      <c r="J25" s="29" t="n"/>
      <c r="K25" s="43">
        <f>IF($A25="","",SUMIFS(GL_Journal!$T:$T,GL_Journal!$G:$G,"&gt;=4000",GL_Journal!$G:$G,"&lt;=4999",GL_Journal!$D:$D,"&gt;="&amp;DATE(INT($A25/100),MOD($A25,100),1),GL_Journal!$D:$D,"&lt;="&amp;EOMONTH(DATE(INT($A25/100),MOD($A25,100),1),0),GL_Journal!$AE:$AE,0)-SUMIFS(GL_Journal!$S:$S,GL_Journal!$G:$G,"&gt;=4000",GL_Journal!$G:$G,"&lt;=4999",GL_Journal!$D:$D,"&gt;="&amp;DATE(INT($A25/100),MOD($A25,100),1),GL_Journal!$D:$D,"&lt;="&amp;EOMONTH(DATE(INT($A25/100),MOD($A25,100),1),0),GL_Journal!$AE:$AE,0))</f>
        <v/>
      </c>
      <c r="L25" s="43">
        <f>IF($A25="","",$K25-(SUMIFS(GL_Journal!$S:$S,GL_Journal!$G:$G,"&gt;=5000",GL_Journal!$G:$G,"&lt;=6999",GL_Journal!$D:$D,"&gt;="&amp;DATE(INT($A25/100),MOD($A25,100),1),GL_Journal!$D:$D,"&lt;="&amp;EOMONTH(DATE(INT($A25/100),MOD($A25,100),1),0),GL_Journal!$AE:$AE,0)-SUMIFS(GL_Journal!$T:$T,GL_Journal!$G:$G,"&gt;=5000",GL_Journal!$G:$G,"&lt;=6999",GL_Journal!$D:$D,"&gt;="&amp;DATE(INT($A25/100),MOD($A25,100),1),GL_Journal!$D:$D,"&lt;="&amp;EOMONTH(DATE(INT($A25/100),MOD($A25,100),1),0),GL_Journal!$AE:$AE,0)))</f>
        <v/>
      </c>
      <c r="M25" s="43">
        <f>IF($A25="","",SUMIFS(GL_Journal!$S:$S,GL_Journal!$G:$G,"&gt;=1000",GL_Journal!$G:$G,"&lt;=6999",GL_Journal!$D:$D,"&gt;="&amp;DATE(INT($A25/100),MOD($A25,100),1),GL_Journal!$D:$D,"&lt;="&amp;EOMONTH(DATE(INT($A25/100),MOD($A25,100),1),0)))</f>
        <v/>
      </c>
      <c r="N25" s="43">
        <f>IF($A25="","",SUMIFS(GL_Journal!$T:$T,GL_Journal!$G:$G,"&gt;=1000",GL_Journal!$G:$G,"&lt;=6999",GL_Journal!$D:$D,"&gt;="&amp;DATE(INT($A25/100),MOD($A25,100),1),GL_Journal!$D:$D,"&lt;="&amp;EOMONTH(DATE(INT($A25/100),MOD($A25,100),1),0)))</f>
        <v/>
      </c>
      <c r="O25" s="32">
        <f>IF(AND($B25="مقفلة",$A25&lt;&gt;""),IF(OR(ABS($K25-N($F25))&gt;S_Tol,ABS($L25-N($G25))&gt;S_Tol,ABS($M25-N($H25))&gt;S_Tol,ABS($N25-N($I25))&gt;S_Tol),"تغيّر بعد الإقفال: قيد مرحّل بأثر رجعي","") ,"")</f>
        <v/>
      </c>
      <c r="P25" s="32">
        <f>IF($A25="","",IF(COUNTIF($A:$A,$A25)&gt;1,"فترة مكررة",IF(AND($B25="مقفلة",$C25=""),"اسم المُقفِل ناقص",IF(AND($B25="مقفلة",NOT(ISNUMBER($D25))),"تاريخ الإقفال ناقص",IF(AND($B25="مقفلة",$E25=""),"المعتمد الثاني ناقص",IF(AND($B25="مقفلة",$E25&lt;&gt;"",$E25=$C25),"المُقفِل والمعتمد الثاني نفس الشخص",""))))))</f>
        <v/>
      </c>
    </row>
    <row r="26">
      <c r="A26" s="39" t="n"/>
      <c r="B26" s="39" t="n"/>
      <c r="C26" s="29" t="n"/>
      <c r="D26" s="31" t="n"/>
      <c r="E26" s="29" t="n"/>
      <c r="F26" s="42" t="n"/>
      <c r="G26" s="42" t="n"/>
      <c r="H26" s="42" t="n"/>
      <c r="I26" s="42" t="n"/>
      <c r="J26" s="29" t="n"/>
      <c r="K26" s="43">
        <f>IF($A26="","",SUMIFS(GL_Journal!$T:$T,GL_Journal!$G:$G,"&gt;=4000",GL_Journal!$G:$G,"&lt;=4999",GL_Journal!$D:$D,"&gt;="&amp;DATE(INT($A26/100),MOD($A26,100),1),GL_Journal!$D:$D,"&lt;="&amp;EOMONTH(DATE(INT($A26/100),MOD($A26,100),1),0),GL_Journal!$AE:$AE,0)-SUMIFS(GL_Journal!$S:$S,GL_Journal!$G:$G,"&gt;=4000",GL_Journal!$G:$G,"&lt;=4999",GL_Journal!$D:$D,"&gt;="&amp;DATE(INT($A26/100),MOD($A26,100),1),GL_Journal!$D:$D,"&lt;="&amp;EOMONTH(DATE(INT($A26/100),MOD($A26,100),1),0),GL_Journal!$AE:$AE,0))</f>
        <v/>
      </c>
      <c r="L26" s="43">
        <f>IF($A26="","",$K26-(SUMIFS(GL_Journal!$S:$S,GL_Journal!$G:$G,"&gt;=5000",GL_Journal!$G:$G,"&lt;=6999",GL_Journal!$D:$D,"&gt;="&amp;DATE(INT($A26/100),MOD($A26,100),1),GL_Journal!$D:$D,"&lt;="&amp;EOMONTH(DATE(INT($A26/100),MOD($A26,100),1),0),GL_Journal!$AE:$AE,0)-SUMIFS(GL_Journal!$T:$T,GL_Journal!$G:$G,"&gt;=5000",GL_Journal!$G:$G,"&lt;=6999",GL_Journal!$D:$D,"&gt;="&amp;DATE(INT($A26/100),MOD($A26,100),1),GL_Journal!$D:$D,"&lt;="&amp;EOMONTH(DATE(INT($A26/100),MOD($A26,100),1),0),GL_Journal!$AE:$AE,0)))</f>
        <v/>
      </c>
      <c r="M26" s="43">
        <f>IF($A26="","",SUMIFS(GL_Journal!$S:$S,GL_Journal!$G:$G,"&gt;=1000",GL_Journal!$G:$G,"&lt;=6999",GL_Journal!$D:$D,"&gt;="&amp;DATE(INT($A26/100),MOD($A26,100),1),GL_Journal!$D:$D,"&lt;="&amp;EOMONTH(DATE(INT($A26/100),MOD($A26,100),1),0)))</f>
        <v/>
      </c>
      <c r="N26" s="43">
        <f>IF($A26="","",SUMIFS(GL_Journal!$T:$T,GL_Journal!$G:$G,"&gt;=1000",GL_Journal!$G:$G,"&lt;=6999",GL_Journal!$D:$D,"&gt;="&amp;DATE(INT($A26/100),MOD($A26,100),1),GL_Journal!$D:$D,"&lt;="&amp;EOMONTH(DATE(INT($A26/100),MOD($A26,100),1),0)))</f>
        <v/>
      </c>
      <c r="O26" s="32">
        <f>IF(AND($B26="مقفلة",$A26&lt;&gt;""),IF(OR(ABS($K26-N($F26))&gt;S_Tol,ABS($L26-N($G26))&gt;S_Tol,ABS($M26-N($H26))&gt;S_Tol,ABS($N26-N($I26))&gt;S_Tol),"تغيّر بعد الإقفال: قيد مرحّل بأثر رجعي","") ,"")</f>
        <v/>
      </c>
      <c r="P26" s="32">
        <f>IF($A26="","",IF(COUNTIF($A:$A,$A26)&gt;1,"فترة مكررة",IF(AND($B26="مقفلة",$C26=""),"اسم المُقفِل ناقص",IF(AND($B26="مقفلة",NOT(ISNUMBER($D26))),"تاريخ الإقفال ناقص",IF(AND($B26="مقفلة",$E26=""),"المعتمد الثاني ناقص",IF(AND($B26="مقفلة",$E26&lt;&gt;"",$E26=$C26),"المُقفِل والمعتمد الثاني نفس الشخص",""))))))</f>
        <v/>
      </c>
    </row>
    <row r="27">
      <c r="A27" s="39" t="n"/>
      <c r="B27" s="39" t="n"/>
      <c r="C27" s="29" t="n"/>
      <c r="D27" s="31" t="n"/>
      <c r="E27" s="29" t="n"/>
      <c r="F27" s="42" t="n"/>
      <c r="G27" s="42" t="n"/>
      <c r="H27" s="42" t="n"/>
      <c r="I27" s="42" t="n"/>
      <c r="J27" s="29" t="n"/>
      <c r="K27" s="43">
        <f>IF($A27="","",SUMIFS(GL_Journal!$T:$T,GL_Journal!$G:$G,"&gt;=4000",GL_Journal!$G:$G,"&lt;=4999",GL_Journal!$D:$D,"&gt;="&amp;DATE(INT($A27/100),MOD($A27,100),1),GL_Journal!$D:$D,"&lt;="&amp;EOMONTH(DATE(INT($A27/100),MOD($A27,100),1),0),GL_Journal!$AE:$AE,0)-SUMIFS(GL_Journal!$S:$S,GL_Journal!$G:$G,"&gt;=4000",GL_Journal!$G:$G,"&lt;=4999",GL_Journal!$D:$D,"&gt;="&amp;DATE(INT($A27/100),MOD($A27,100),1),GL_Journal!$D:$D,"&lt;="&amp;EOMONTH(DATE(INT($A27/100),MOD($A27,100),1),0),GL_Journal!$AE:$AE,0))</f>
        <v/>
      </c>
      <c r="L27" s="43">
        <f>IF($A27="","",$K27-(SUMIFS(GL_Journal!$S:$S,GL_Journal!$G:$G,"&gt;=5000",GL_Journal!$G:$G,"&lt;=6999",GL_Journal!$D:$D,"&gt;="&amp;DATE(INT($A27/100),MOD($A27,100),1),GL_Journal!$D:$D,"&lt;="&amp;EOMONTH(DATE(INT($A27/100),MOD($A27,100),1),0),GL_Journal!$AE:$AE,0)-SUMIFS(GL_Journal!$T:$T,GL_Journal!$G:$G,"&gt;=5000",GL_Journal!$G:$G,"&lt;=6999",GL_Journal!$D:$D,"&gt;="&amp;DATE(INT($A27/100),MOD($A27,100),1),GL_Journal!$D:$D,"&lt;="&amp;EOMONTH(DATE(INT($A27/100),MOD($A27,100),1),0),GL_Journal!$AE:$AE,0)))</f>
        <v/>
      </c>
      <c r="M27" s="43">
        <f>IF($A27="","",SUMIFS(GL_Journal!$S:$S,GL_Journal!$G:$G,"&gt;=1000",GL_Journal!$G:$G,"&lt;=6999",GL_Journal!$D:$D,"&gt;="&amp;DATE(INT($A27/100),MOD($A27,100),1),GL_Journal!$D:$D,"&lt;="&amp;EOMONTH(DATE(INT($A27/100),MOD($A27,100),1),0)))</f>
        <v/>
      </c>
      <c r="N27" s="43">
        <f>IF($A27="","",SUMIFS(GL_Journal!$T:$T,GL_Journal!$G:$G,"&gt;=1000",GL_Journal!$G:$G,"&lt;=6999",GL_Journal!$D:$D,"&gt;="&amp;DATE(INT($A27/100),MOD($A27,100),1),GL_Journal!$D:$D,"&lt;="&amp;EOMONTH(DATE(INT($A27/100),MOD($A27,100),1),0)))</f>
        <v/>
      </c>
      <c r="O27" s="32">
        <f>IF(AND($B27="مقفلة",$A27&lt;&gt;""),IF(OR(ABS($K27-N($F27))&gt;S_Tol,ABS($L27-N($G27))&gt;S_Tol,ABS($M27-N($H27))&gt;S_Tol,ABS($N27-N($I27))&gt;S_Tol),"تغيّر بعد الإقفال: قيد مرحّل بأثر رجعي","") ,"")</f>
        <v/>
      </c>
      <c r="P27" s="32">
        <f>IF($A27="","",IF(COUNTIF($A:$A,$A27)&gt;1,"فترة مكررة",IF(AND($B27="مقفلة",$C27=""),"اسم المُقفِل ناقص",IF(AND($B27="مقفلة",NOT(ISNUMBER($D27))),"تاريخ الإقفال ناقص",IF(AND($B27="مقفلة",$E27=""),"المعتمد الثاني ناقص",IF(AND($B27="مقفلة",$E27&lt;&gt;"",$E27=$C27),"المُقفِل والمعتمد الثاني نفس الشخص",""))))))</f>
        <v/>
      </c>
    </row>
    <row r="28">
      <c r="A28" s="39" t="n"/>
      <c r="B28" s="39" t="n"/>
      <c r="C28" s="29" t="n"/>
      <c r="D28" s="31" t="n"/>
      <c r="E28" s="29" t="n"/>
      <c r="F28" s="42" t="n"/>
      <c r="G28" s="42" t="n"/>
      <c r="H28" s="42" t="n"/>
      <c r="I28" s="42" t="n"/>
      <c r="J28" s="29" t="n"/>
      <c r="K28" s="43">
        <f>IF($A28="","",SUMIFS(GL_Journal!$T:$T,GL_Journal!$G:$G,"&gt;=4000",GL_Journal!$G:$G,"&lt;=4999",GL_Journal!$D:$D,"&gt;="&amp;DATE(INT($A28/100),MOD($A28,100),1),GL_Journal!$D:$D,"&lt;="&amp;EOMONTH(DATE(INT($A28/100),MOD($A28,100),1),0),GL_Journal!$AE:$AE,0)-SUMIFS(GL_Journal!$S:$S,GL_Journal!$G:$G,"&gt;=4000",GL_Journal!$G:$G,"&lt;=4999",GL_Journal!$D:$D,"&gt;="&amp;DATE(INT($A28/100),MOD($A28,100),1),GL_Journal!$D:$D,"&lt;="&amp;EOMONTH(DATE(INT($A28/100),MOD($A28,100),1),0),GL_Journal!$AE:$AE,0))</f>
        <v/>
      </c>
      <c r="L28" s="43">
        <f>IF($A28="","",$K28-(SUMIFS(GL_Journal!$S:$S,GL_Journal!$G:$G,"&gt;=5000",GL_Journal!$G:$G,"&lt;=6999",GL_Journal!$D:$D,"&gt;="&amp;DATE(INT($A28/100),MOD($A28,100),1),GL_Journal!$D:$D,"&lt;="&amp;EOMONTH(DATE(INT($A28/100),MOD($A28,100),1),0),GL_Journal!$AE:$AE,0)-SUMIFS(GL_Journal!$T:$T,GL_Journal!$G:$G,"&gt;=5000",GL_Journal!$G:$G,"&lt;=6999",GL_Journal!$D:$D,"&gt;="&amp;DATE(INT($A28/100),MOD($A28,100),1),GL_Journal!$D:$D,"&lt;="&amp;EOMONTH(DATE(INT($A28/100),MOD($A28,100),1),0),GL_Journal!$AE:$AE,0)))</f>
        <v/>
      </c>
      <c r="M28" s="43">
        <f>IF($A28="","",SUMIFS(GL_Journal!$S:$S,GL_Journal!$G:$G,"&gt;=1000",GL_Journal!$G:$G,"&lt;=6999",GL_Journal!$D:$D,"&gt;="&amp;DATE(INT($A28/100),MOD($A28,100),1),GL_Journal!$D:$D,"&lt;="&amp;EOMONTH(DATE(INT($A28/100),MOD($A28,100),1),0)))</f>
        <v/>
      </c>
      <c r="N28" s="43">
        <f>IF($A28="","",SUMIFS(GL_Journal!$T:$T,GL_Journal!$G:$G,"&gt;=1000",GL_Journal!$G:$G,"&lt;=6999",GL_Journal!$D:$D,"&gt;="&amp;DATE(INT($A28/100),MOD($A28,100),1),GL_Journal!$D:$D,"&lt;="&amp;EOMONTH(DATE(INT($A28/100),MOD($A28,100),1),0)))</f>
        <v/>
      </c>
      <c r="O28" s="32">
        <f>IF(AND($B28="مقفلة",$A28&lt;&gt;""),IF(OR(ABS($K28-N($F28))&gt;S_Tol,ABS($L28-N($G28))&gt;S_Tol,ABS($M28-N($H28))&gt;S_Tol,ABS($N28-N($I28))&gt;S_Tol),"تغيّر بعد الإقفال: قيد مرحّل بأثر رجعي","") ,"")</f>
        <v/>
      </c>
      <c r="P28" s="32">
        <f>IF($A28="","",IF(COUNTIF($A:$A,$A28)&gt;1,"فترة مكررة",IF(AND($B28="مقفلة",$C28=""),"اسم المُقفِل ناقص",IF(AND($B28="مقفلة",NOT(ISNUMBER($D28))),"تاريخ الإقفال ناقص",IF(AND($B28="مقفلة",$E28=""),"المعتمد الثاني ناقص",IF(AND($B28="مقفلة",$E28&lt;&gt;"",$E28=$C28),"المُقفِل والمعتمد الثاني نفس الشخص",""))))))</f>
        <v/>
      </c>
    </row>
    <row r="29">
      <c r="A29" s="39" t="n"/>
      <c r="B29" s="39" t="n"/>
      <c r="C29" s="29" t="n"/>
      <c r="D29" s="31" t="n"/>
      <c r="E29" s="29" t="n"/>
      <c r="F29" s="42" t="n"/>
      <c r="G29" s="42" t="n"/>
      <c r="H29" s="42" t="n"/>
      <c r="I29" s="42" t="n"/>
      <c r="J29" s="29" t="n"/>
      <c r="K29" s="43">
        <f>IF($A29="","",SUMIFS(GL_Journal!$T:$T,GL_Journal!$G:$G,"&gt;=4000",GL_Journal!$G:$G,"&lt;=4999",GL_Journal!$D:$D,"&gt;="&amp;DATE(INT($A29/100),MOD($A29,100),1),GL_Journal!$D:$D,"&lt;="&amp;EOMONTH(DATE(INT($A29/100),MOD($A29,100),1),0),GL_Journal!$AE:$AE,0)-SUMIFS(GL_Journal!$S:$S,GL_Journal!$G:$G,"&gt;=4000",GL_Journal!$G:$G,"&lt;=4999",GL_Journal!$D:$D,"&gt;="&amp;DATE(INT($A29/100),MOD($A29,100),1),GL_Journal!$D:$D,"&lt;="&amp;EOMONTH(DATE(INT($A29/100),MOD($A29,100),1),0),GL_Journal!$AE:$AE,0))</f>
        <v/>
      </c>
      <c r="L29" s="43">
        <f>IF($A29="","",$K29-(SUMIFS(GL_Journal!$S:$S,GL_Journal!$G:$G,"&gt;=5000",GL_Journal!$G:$G,"&lt;=6999",GL_Journal!$D:$D,"&gt;="&amp;DATE(INT($A29/100),MOD($A29,100),1),GL_Journal!$D:$D,"&lt;="&amp;EOMONTH(DATE(INT($A29/100),MOD($A29,100),1),0),GL_Journal!$AE:$AE,0)-SUMIFS(GL_Journal!$T:$T,GL_Journal!$G:$G,"&gt;=5000",GL_Journal!$G:$G,"&lt;=6999",GL_Journal!$D:$D,"&gt;="&amp;DATE(INT($A29/100),MOD($A29,100),1),GL_Journal!$D:$D,"&lt;="&amp;EOMONTH(DATE(INT($A29/100),MOD($A29,100),1),0),GL_Journal!$AE:$AE,0)))</f>
        <v/>
      </c>
      <c r="M29" s="43">
        <f>IF($A29="","",SUMIFS(GL_Journal!$S:$S,GL_Journal!$G:$G,"&gt;=1000",GL_Journal!$G:$G,"&lt;=6999",GL_Journal!$D:$D,"&gt;="&amp;DATE(INT($A29/100),MOD($A29,100),1),GL_Journal!$D:$D,"&lt;="&amp;EOMONTH(DATE(INT($A29/100),MOD($A29,100),1),0)))</f>
        <v/>
      </c>
      <c r="N29" s="43">
        <f>IF($A29="","",SUMIFS(GL_Journal!$T:$T,GL_Journal!$G:$G,"&gt;=1000",GL_Journal!$G:$G,"&lt;=6999",GL_Journal!$D:$D,"&gt;="&amp;DATE(INT($A29/100),MOD($A29,100),1),GL_Journal!$D:$D,"&lt;="&amp;EOMONTH(DATE(INT($A29/100),MOD($A29,100),1),0)))</f>
        <v/>
      </c>
      <c r="O29" s="32">
        <f>IF(AND($B29="مقفلة",$A29&lt;&gt;""),IF(OR(ABS($K29-N($F29))&gt;S_Tol,ABS($L29-N($G29))&gt;S_Tol,ABS($M29-N($H29))&gt;S_Tol,ABS($N29-N($I29))&gt;S_Tol),"تغيّر بعد الإقفال: قيد مرحّل بأثر رجعي","") ,"")</f>
        <v/>
      </c>
      <c r="P29" s="32">
        <f>IF($A29="","",IF(COUNTIF($A:$A,$A29)&gt;1,"فترة مكررة",IF(AND($B29="مقفلة",$C29=""),"اسم المُقفِل ناقص",IF(AND($B29="مقفلة",NOT(ISNUMBER($D29))),"تاريخ الإقفال ناقص",IF(AND($B29="مقفلة",$E29=""),"المعتمد الثاني ناقص",IF(AND($B29="مقفلة",$E29&lt;&gt;"",$E29=$C29),"المُقفِل والمعتمد الثاني نفس الشخص",""))))))</f>
        <v/>
      </c>
    </row>
    <row r="30">
      <c r="A30" s="39" t="n"/>
      <c r="B30" s="39" t="n"/>
      <c r="C30" s="29" t="n"/>
      <c r="D30" s="31" t="n"/>
      <c r="E30" s="29" t="n"/>
      <c r="F30" s="42" t="n"/>
      <c r="G30" s="42" t="n"/>
      <c r="H30" s="42" t="n"/>
      <c r="I30" s="42" t="n"/>
      <c r="J30" s="29" t="n"/>
      <c r="K30" s="43">
        <f>IF($A30="","",SUMIFS(GL_Journal!$T:$T,GL_Journal!$G:$G,"&gt;=4000",GL_Journal!$G:$G,"&lt;=4999",GL_Journal!$D:$D,"&gt;="&amp;DATE(INT($A30/100),MOD($A30,100),1),GL_Journal!$D:$D,"&lt;="&amp;EOMONTH(DATE(INT($A30/100),MOD($A30,100),1),0),GL_Journal!$AE:$AE,0)-SUMIFS(GL_Journal!$S:$S,GL_Journal!$G:$G,"&gt;=4000",GL_Journal!$G:$G,"&lt;=4999",GL_Journal!$D:$D,"&gt;="&amp;DATE(INT($A30/100),MOD($A30,100),1),GL_Journal!$D:$D,"&lt;="&amp;EOMONTH(DATE(INT($A30/100),MOD($A30,100),1),0),GL_Journal!$AE:$AE,0))</f>
        <v/>
      </c>
      <c r="L30" s="43">
        <f>IF($A30="","",$K30-(SUMIFS(GL_Journal!$S:$S,GL_Journal!$G:$G,"&gt;=5000",GL_Journal!$G:$G,"&lt;=6999",GL_Journal!$D:$D,"&gt;="&amp;DATE(INT($A30/100),MOD($A30,100),1),GL_Journal!$D:$D,"&lt;="&amp;EOMONTH(DATE(INT($A30/100),MOD($A30,100),1),0),GL_Journal!$AE:$AE,0)-SUMIFS(GL_Journal!$T:$T,GL_Journal!$G:$G,"&gt;=5000",GL_Journal!$G:$G,"&lt;=6999",GL_Journal!$D:$D,"&gt;="&amp;DATE(INT($A30/100),MOD($A30,100),1),GL_Journal!$D:$D,"&lt;="&amp;EOMONTH(DATE(INT($A30/100),MOD($A30,100),1),0),GL_Journal!$AE:$AE,0)))</f>
        <v/>
      </c>
      <c r="M30" s="43">
        <f>IF($A30="","",SUMIFS(GL_Journal!$S:$S,GL_Journal!$G:$G,"&gt;=1000",GL_Journal!$G:$G,"&lt;=6999",GL_Journal!$D:$D,"&gt;="&amp;DATE(INT($A30/100),MOD($A30,100),1),GL_Journal!$D:$D,"&lt;="&amp;EOMONTH(DATE(INT($A30/100),MOD($A30,100),1),0)))</f>
        <v/>
      </c>
      <c r="N30" s="43">
        <f>IF($A30="","",SUMIFS(GL_Journal!$T:$T,GL_Journal!$G:$G,"&gt;=1000",GL_Journal!$G:$G,"&lt;=6999",GL_Journal!$D:$D,"&gt;="&amp;DATE(INT($A30/100),MOD($A30,100),1),GL_Journal!$D:$D,"&lt;="&amp;EOMONTH(DATE(INT($A30/100),MOD($A30,100),1),0)))</f>
        <v/>
      </c>
      <c r="O30" s="32">
        <f>IF(AND($B30="مقفلة",$A30&lt;&gt;""),IF(OR(ABS($K30-N($F30))&gt;S_Tol,ABS($L30-N($G30))&gt;S_Tol,ABS($M30-N($H30))&gt;S_Tol,ABS($N30-N($I30))&gt;S_Tol),"تغيّر بعد الإقفال: قيد مرحّل بأثر رجعي","") ,"")</f>
        <v/>
      </c>
      <c r="P30" s="32">
        <f>IF($A30="","",IF(COUNTIF($A:$A,$A30)&gt;1,"فترة مكررة",IF(AND($B30="مقفلة",$C30=""),"اسم المُقفِل ناقص",IF(AND($B30="مقفلة",NOT(ISNUMBER($D30))),"تاريخ الإقفال ناقص",IF(AND($B30="مقفلة",$E30=""),"المعتمد الثاني ناقص",IF(AND($B30="مقفلة",$E30&lt;&gt;"",$E30=$C30),"المُقفِل والمعتمد الثاني نفس الشخص",""))))))</f>
        <v/>
      </c>
    </row>
    <row r="31">
      <c r="A31" s="39" t="n"/>
      <c r="B31" s="39" t="n"/>
      <c r="C31" s="29" t="n"/>
      <c r="D31" s="31" t="n"/>
      <c r="E31" s="29" t="n"/>
      <c r="F31" s="42" t="n"/>
      <c r="G31" s="42" t="n"/>
      <c r="H31" s="42" t="n"/>
      <c r="I31" s="42" t="n"/>
      <c r="J31" s="29" t="n"/>
      <c r="K31" s="43">
        <f>IF($A31="","",SUMIFS(GL_Journal!$T:$T,GL_Journal!$G:$G,"&gt;=4000",GL_Journal!$G:$G,"&lt;=4999",GL_Journal!$D:$D,"&gt;="&amp;DATE(INT($A31/100),MOD($A31,100),1),GL_Journal!$D:$D,"&lt;="&amp;EOMONTH(DATE(INT($A31/100),MOD($A31,100),1),0),GL_Journal!$AE:$AE,0)-SUMIFS(GL_Journal!$S:$S,GL_Journal!$G:$G,"&gt;=4000",GL_Journal!$G:$G,"&lt;=4999",GL_Journal!$D:$D,"&gt;="&amp;DATE(INT($A31/100),MOD($A31,100),1),GL_Journal!$D:$D,"&lt;="&amp;EOMONTH(DATE(INT($A31/100),MOD($A31,100),1),0),GL_Journal!$AE:$AE,0))</f>
        <v/>
      </c>
      <c r="L31" s="43">
        <f>IF($A31="","",$K31-(SUMIFS(GL_Journal!$S:$S,GL_Journal!$G:$G,"&gt;=5000",GL_Journal!$G:$G,"&lt;=6999",GL_Journal!$D:$D,"&gt;="&amp;DATE(INT($A31/100),MOD($A31,100),1),GL_Journal!$D:$D,"&lt;="&amp;EOMONTH(DATE(INT($A31/100),MOD($A31,100),1),0),GL_Journal!$AE:$AE,0)-SUMIFS(GL_Journal!$T:$T,GL_Journal!$G:$G,"&gt;=5000",GL_Journal!$G:$G,"&lt;=6999",GL_Journal!$D:$D,"&gt;="&amp;DATE(INT($A31/100),MOD($A31,100),1),GL_Journal!$D:$D,"&lt;="&amp;EOMONTH(DATE(INT($A31/100),MOD($A31,100),1),0),GL_Journal!$AE:$AE,0)))</f>
        <v/>
      </c>
      <c r="M31" s="43">
        <f>IF($A31="","",SUMIFS(GL_Journal!$S:$S,GL_Journal!$G:$G,"&gt;=1000",GL_Journal!$G:$G,"&lt;=6999",GL_Journal!$D:$D,"&gt;="&amp;DATE(INT($A31/100),MOD($A31,100),1),GL_Journal!$D:$D,"&lt;="&amp;EOMONTH(DATE(INT($A31/100),MOD($A31,100),1),0)))</f>
        <v/>
      </c>
      <c r="N31" s="43">
        <f>IF($A31="","",SUMIFS(GL_Journal!$T:$T,GL_Journal!$G:$G,"&gt;=1000",GL_Journal!$G:$G,"&lt;=6999",GL_Journal!$D:$D,"&gt;="&amp;DATE(INT($A31/100),MOD($A31,100),1),GL_Journal!$D:$D,"&lt;="&amp;EOMONTH(DATE(INT($A31/100),MOD($A31,100),1),0)))</f>
        <v/>
      </c>
      <c r="O31" s="32">
        <f>IF(AND($B31="مقفلة",$A31&lt;&gt;""),IF(OR(ABS($K31-N($F31))&gt;S_Tol,ABS($L31-N($G31))&gt;S_Tol,ABS($M31-N($H31))&gt;S_Tol,ABS($N31-N($I31))&gt;S_Tol),"تغيّر بعد الإقفال: قيد مرحّل بأثر رجعي","") ,"")</f>
        <v/>
      </c>
      <c r="P31" s="32">
        <f>IF($A31="","",IF(COUNTIF($A:$A,$A31)&gt;1,"فترة مكررة",IF(AND($B31="مقفلة",$C31=""),"اسم المُقفِل ناقص",IF(AND($B31="مقفلة",NOT(ISNUMBER($D31))),"تاريخ الإقفال ناقص",IF(AND($B31="مقفلة",$E31=""),"المعتمد الثاني ناقص",IF(AND($B31="مقفلة",$E31&lt;&gt;"",$E31=$C31),"المُقفِل والمعتمد الثاني نفس الشخص",""))))))</f>
        <v/>
      </c>
    </row>
    <row r="32">
      <c r="A32" s="39" t="n"/>
      <c r="B32" s="39" t="n"/>
      <c r="C32" s="29" t="n"/>
      <c r="D32" s="31" t="n"/>
      <c r="E32" s="29" t="n"/>
      <c r="F32" s="42" t="n"/>
      <c r="G32" s="42" t="n"/>
      <c r="H32" s="42" t="n"/>
      <c r="I32" s="42" t="n"/>
      <c r="J32" s="29" t="n"/>
      <c r="K32" s="43">
        <f>IF($A32="","",SUMIFS(GL_Journal!$T:$T,GL_Journal!$G:$G,"&gt;=4000",GL_Journal!$G:$G,"&lt;=4999",GL_Journal!$D:$D,"&gt;="&amp;DATE(INT($A32/100),MOD($A32,100),1),GL_Journal!$D:$D,"&lt;="&amp;EOMONTH(DATE(INT($A32/100),MOD($A32,100),1),0),GL_Journal!$AE:$AE,0)-SUMIFS(GL_Journal!$S:$S,GL_Journal!$G:$G,"&gt;=4000",GL_Journal!$G:$G,"&lt;=4999",GL_Journal!$D:$D,"&gt;="&amp;DATE(INT($A32/100),MOD($A32,100),1),GL_Journal!$D:$D,"&lt;="&amp;EOMONTH(DATE(INT($A32/100),MOD($A32,100),1),0),GL_Journal!$AE:$AE,0))</f>
        <v/>
      </c>
      <c r="L32" s="43">
        <f>IF($A32="","",$K32-(SUMIFS(GL_Journal!$S:$S,GL_Journal!$G:$G,"&gt;=5000",GL_Journal!$G:$G,"&lt;=6999",GL_Journal!$D:$D,"&gt;="&amp;DATE(INT($A32/100),MOD($A32,100),1),GL_Journal!$D:$D,"&lt;="&amp;EOMONTH(DATE(INT($A32/100),MOD($A32,100),1),0),GL_Journal!$AE:$AE,0)-SUMIFS(GL_Journal!$T:$T,GL_Journal!$G:$G,"&gt;=5000",GL_Journal!$G:$G,"&lt;=6999",GL_Journal!$D:$D,"&gt;="&amp;DATE(INT($A32/100),MOD($A32,100),1),GL_Journal!$D:$D,"&lt;="&amp;EOMONTH(DATE(INT($A32/100),MOD($A32,100),1),0),GL_Journal!$AE:$AE,0)))</f>
        <v/>
      </c>
      <c r="M32" s="43">
        <f>IF($A32="","",SUMIFS(GL_Journal!$S:$S,GL_Journal!$G:$G,"&gt;=1000",GL_Journal!$G:$G,"&lt;=6999",GL_Journal!$D:$D,"&gt;="&amp;DATE(INT($A32/100),MOD($A32,100),1),GL_Journal!$D:$D,"&lt;="&amp;EOMONTH(DATE(INT($A32/100),MOD($A32,100),1),0)))</f>
        <v/>
      </c>
      <c r="N32" s="43">
        <f>IF($A32="","",SUMIFS(GL_Journal!$T:$T,GL_Journal!$G:$G,"&gt;=1000",GL_Journal!$G:$G,"&lt;=6999",GL_Journal!$D:$D,"&gt;="&amp;DATE(INT($A32/100),MOD($A32,100),1),GL_Journal!$D:$D,"&lt;="&amp;EOMONTH(DATE(INT($A32/100),MOD($A32,100),1),0)))</f>
        <v/>
      </c>
      <c r="O32" s="32">
        <f>IF(AND($B32="مقفلة",$A32&lt;&gt;""),IF(OR(ABS($K32-N($F32))&gt;S_Tol,ABS($L32-N($G32))&gt;S_Tol,ABS($M32-N($H32))&gt;S_Tol,ABS($N32-N($I32))&gt;S_Tol),"تغيّر بعد الإقفال: قيد مرحّل بأثر رجعي","") ,"")</f>
        <v/>
      </c>
      <c r="P32" s="32">
        <f>IF($A32="","",IF(COUNTIF($A:$A,$A32)&gt;1,"فترة مكررة",IF(AND($B32="مقفلة",$C32=""),"اسم المُقفِل ناقص",IF(AND($B32="مقفلة",NOT(ISNUMBER($D32))),"تاريخ الإقفال ناقص",IF(AND($B32="مقفلة",$E32=""),"المعتمد الثاني ناقص",IF(AND($B32="مقفلة",$E32&lt;&gt;"",$E32=$C32),"المُقفِل والمعتمد الثاني نفس الشخص",""))))))</f>
        <v/>
      </c>
    </row>
    <row r="33">
      <c r="A33" s="39" t="n"/>
      <c r="B33" s="39" t="n"/>
      <c r="C33" s="29" t="n"/>
      <c r="D33" s="31" t="n"/>
      <c r="E33" s="29" t="n"/>
      <c r="F33" s="42" t="n"/>
      <c r="G33" s="42" t="n"/>
      <c r="H33" s="42" t="n"/>
      <c r="I33" s="42" t="n"/>
      <c r="J33" s="29" t="n"/>
      <c r="K33" s="43">
        <f>IF($A33="","",SUMIFS(GL_Journal!$T:$T,GL_Journal!$G:$G,"&gt;=4000",GL_Journal!$G:$G,"&lt;=4999",GL_Journal!$D:$D,"&gt;="&amp;DATE(INT($A33/100),MOD($A33,100),1),GL_Journal!$D:$D,"&lt;="&amp;EOMONTH(DATE(INT($A33/100),MOD($A33,100),1),0),GL_Journal!$AE:$AE,0)-SUMIFS(GL_Journal!$S:$S,GL_Journal!$G:$G,"&gt;=4000",GL_Journal!$G:$G,"&lt;=4999",GL_Journal!$D:$D,"&gt;="&amp;DATE(INT($A33/100),MOD($A33,100),1),GL_Journal!$D:$D,"&lt;="&amp;EOMONTH(DATE(INT($A33/100),MOD($A33,100),1),0),GL_Journal!$AE:$AE,0))</f>
        <v/>
      </c>
      <c r="L33" s="43">
        <f>IF($A33="","",$K33-(SUMIFS(GL_Journal!$S:$S,GL_Journal!$G:$G,"&gt;=5000",GL_Journal!$G:$G,"&lt;=6999",GL_Journal!$D:$D,"&gt;="&amp;DATE(INT($A33/100),MOD($A33,100),1),GL_Journal!$D:$D,"&lt;="&amp;EOMONTH(DATE(INT($A33/100),MOD($A33,100),1),0),GL_Journal!$AE:$AE,0)-SUMIFS(GL_Journal!$T:$T,GL_Journal!$G:$G,"&gt;=5000",GL_Journal!$G:$G,"&lt;=6999",GL_Journal!$D:$D,"&gt;="&amp;DATE(INT($A33/100),MOD($A33,100),1),GL_Journal!$D:$D,"&lt;="&amp;EOMONTH(DATE(INT($A33/100),MOD($A33,100),1),0),GL_Journal!$AE:$AE,0)))</f>
        <v/>
      </c>
      <c r="M33" s="43">
        <f>IF($A33="","",SUMIFS(GL_Journal!$S:$S,GL_Journal!$G:$G,"&gt;=1000",GL_Journal!$G:$G,"&lt;=6999",GL_Journal!$D:$D,"&gt;="&amp;DATE(INT($A33/100),MOD($A33,100),1),GL_Journal!$D:$D,"&lt;="&amp;EOMONTH(DATE(INT($A33/100),MOD($A33,100),1),0)))</f>
        <v/>
      </c>
      <c r="N33" s="43">
        <f>IF($A33="","",SUMIFS(GL_Journal!$T:$T,GL_Journal!$G:$G,"&gt;=1000",GL_Journal!$G:$G,"&lt;=6999",GL_Journal!$D:$D,"&gt;="&amp;DATE(INT($A33/100),MOD($A33,100),1),GL_Journal!$D:$D,"&lt;="&amp;EOMONTH(DATE(INT($A33/100),MOD($A33,100),1),0)))</f>
        <v/>
      </c>
      <c r="O33" s="32">
        <f>IF(AND($B33="مقفلة",$A33&lt;&gt;""),IF(OR(ABS($K33-N($F33))&gt;S_Tol,ABS($L33-N($G33))&gt;S_Tol,ABS($M33-N($H33))&gt;S_Tol,ABS($N33-N($I33))&gt;S_Tol),"تغيّر بعد الإقفال: قيد مرحّل بأثر رجعي","") ,"")</f>
        <v/>
      </c>
      <c r="P33" s="32">
        <f>IF($A33="","",IF(COUNTIF($A:$A,$A33)&gt;1,"فترة مكررة",IF(AND($B33="مقفلة",$C33=""),"اسم المُقفِل ناقص",IF(AND($B33="مقفلة",NOT(ISNUMBER($D33))),"تاريخ الإقفال ناقص",IF(AND($B33="مقفلة",$E33=""),"المعتمد الثاني ناقص",IF(AND($B33="مقفلة",$E33&lt;&gt;"",$E33=$C33),"المُقفِل والمعتمد الثاني نفس الشخص",""))))))</f>
        <v/>
      </c>
    </row>
    <row r="34">
      <c r="A34" s="39" t="n"/>
      <c r="B34" s="39" t="n"/>
      <c r="C34" s="29" t="n"/>
      <c r="D34" s="31" t="n"/>
      <c r="E34" s="29" t="n"/>
      <c r="F34" s="42" t="n"/>
      <c r="G34" s="42" t="n"/>
      <c r="H34" s="42" t="n"/>
      <c r="I34" s="42" t="n"/>
      <c r="J34" s="29" t="n"/>
      <c r="K34" s="43">
        <f>IF($A34="","",SUMIFS(GL_Journal!$T:$T,GL_Journal!$G:$G,"&gt;=4000",GL_Journal!$G:$G,"&lt;=4999",GL_Journal!$D:$D,"&gt;="&amp;DATE(INT($A34/100),MOD($A34,100),1),GL_Journal!$D:$D,"&lt;="&amp;EOMONTH(DATE(INT($A34/100),MOD($A34,100),1),0),GL_Journal!$AE:$AE,0)-SUMIFS(GL_Journal!$S:$S,GL_Journal!$G:$G,"&gt;=4000",GL_Journal!$G:$G,"&lt;=4999",GL_Journal!$D:$D,"&gt;="&amp;DATE(INT($A34/100),MOD($A34,100),1),GL_Journal!$D:$D,"&lt;="&amp;EOMONTH(DATE(INT($A34/100),MOD($A34,100),1),0),GL_Journal!$AE:$AE,0))</f>
        <v/>
      </c>
      <c r="L34" s="43">
        <f>IF($A34="","",$K34-(SUMIFS(GL_Journal!$S:$S,GL_Journal!$G:$G,"&gt;=5000",GL_Journal!$G:$G,"&lt;=6999",GL_Journal!$D:$D,"&gt;="&amp;DATE(INT($A34/100),MOD($A34,100),1),GL_Journal!$D:$D,"&lt;="&amp;EOMONTH(DATE(INT($A34/100),MOD($A34,100),1),0),GL_Journal!$AE:$AE,0)-SUMIFS(GL_Journal!$T:$T,GL_Journal!$G:$G,"&gt;=5000",GL_Journal!$G:$G,"&lt;=6999",GL_Journal!$D:$D,"&gt;="&amp;DATE(INT($A34/100),MOD($A34,100),1),GL_Journal!$D:$D,"&lt;="&amp;EOMONTH(DATE(INT($A34/100),MOD($A34,100),1),0),GL_Journal!$AE:$AE,0)))</f>
        <v/>
      </c>
      <c r="M34" s="43">
        <f>IF($A34="","",SUMIFS(GL_Journal!$S:$S,GL_Journal!$G:$G,"&gt;=1000",GL_Journal!$G:$G,"&lt;=6999",GL_Journal!$D:$D,"&gt;="&amp;DATE(INT($A34/100),MOD($A34,100),1),GL_Journal!$D:$D,"&lt;="&amp;EOMONTH(DATE(INT($A34/100),MOD($A34,100),1),0)))</f>
        <v/>
      </c>
      <c r="N34" s="43">
        <f>IF($A34="","",SUMIFS(GL_Journal!$T:$T,GL_Journal!$G:$G,"&gt;=1000",GL_Journal!$G:$G,"&lt;=6999",GL_Journal!$D:$D,"&gt;="&amp;DATE(INT($A34/100),MOD($A34,100),1),GL_Journal!$D:$D,"&lt;="&amp;EOMONTH(DATE(INT($A34/100),MOD($A34,100),1),0)))</f>
        <v/>
      </c>
      <c r="O34" s="32">
        <f>IF(AND($B34="مقفلة",$A34&lt;&gt;""),IF(OR(ABS($K34-N($F34))&gt;S_Tol,ABS($L34-N($G34))&gt;S_Tol,ABS($M34-N($H34))&gt;S_Tol,ABS($N34-N($I34))&gt;S_Tol),"تغيّر بعد الإقفال: قيد مرحّل بأثر رجعي","") ,"")</f>
        <v/>
      </c>
      <c r="P34" s="32">
        <f>IF($A34="","",IF(COUNTIF($A:$A,$A34)&gt;1,"فترة مكررة",IF(AND($B34="مقفلة",$C34=""),"اسم المُقفِل ناقص",IF(AND($B34="مقفلة",NOT(ISNUMBER($D34))),"تاريخ الإقفال ناقص",IF(AND($B34="مقفلة",$E34=""),"المعتمد الثاني ناقص",IF(AND($B34="مقفلة",$E34&lt;&gt;"",$E34=$C34),"المُقفِل والمعتمد الثاني نفس الشخص",""))))))</f>
        <v/>
      </c>
    </row>
    <row r="35">
      <c r="A35" s="39" t="n"/>
      <c r="B35" s="39" t="n"/>
      <c r="C35" s="29" t="n"/>
      <c r="D35" s="31" t="n"/>
      <c r="E35" s="29" t="n"/>
      <c r="F35" s="42" t="n"/>
      <c r="G35" s="42" t="n"/>
      <c r="H35" s="42" t="n"/>
      <c r="I35" s="42" t="n"/>
      <c r="J35" s="29" t="n"/>
      <c r="K35" s="43">
        <f>IF($A35="","",SUMIFS(GL_Journal!$T:$T,GL_Journal!$G:$G,"&gt;=4000",GL_Journal!$G:$G,"&lt;=4999",GL_Journal!$D:$D,"&gt;="&amp;DATE(INT($A35/100),MOD($A35,100),1),GL_Journal!$D:$D,"&lt;="&amp;EOMONTH(DATE(INT($A35/100),MOD($A35,100),1),0),GL_Journal!$AE:$AE,0)-SUMIFS(GL_Journal!$S:$S,GL_Journal!$G:$G,"&gt;=4000",GL_Journal!$G:$G,"&lt;=4999",GL_Journal!$D:$D,"&gt;="&amp;DATE(INT($A35/100),MOD($A35,100),1),GL_Journal!$D:$D,"&lt;="&amp;EOMONTH(DATE(INT($A35/100),MOD($A35,100),1),0),GL_Journal!$AE:$AE,0))</f>
        <v/>
      </c>
      <c r="L35" s="43">
        <f>IF($A35="","",$K35-(SUMIFS(GL_Journal!$S:$S,GL_Journal!$G:$G,"&gt;=5000",GL_Journal!$G:$G,"&lt;=6999",GL_Journal!$D:$D,"&gt;="&amp;DATE(INT($A35/100),MOD($A35,100),1),GL_Journal!$D:$D,"&lt;="&amp;EOMONTH(DATE(INT($A35/100),MOD($A35,100),1),0),GL_Journal!$AE:$AE,0)-SUMIFS(GL_Journal!$T:$T,GL_Journal!$G:$G,"&gt;=5000",GL_Journal!$G:$G,"&lt;=6999",GL_Journal!$D:$D,"&gt;="&amp;DATE(INT($A35/100),MOD($A35,100),1),GL_Journal!$D:$D,"&lt;="&amp;EOMONTH(DATE(INT($A35/100),MOD($A35,100),1),0),GL_Journal!$AE:$AE,0)))</f>
        <v/>
      </c>
      <c r="M35" s="43">
        <f>IF($A35="","",SUMIFS(GL_Journal!$S:$S,GL_Journal!$G:$G,"&gt;=1000",GL_Journal!$G:$G,"&lt;=6999",GL_Journal!$D:$D,"&gt;="&amp;DATE(INT($A35/100),MOD($A35,100),1),GL_Journal!$D:$D,"&lt;="&amp;EOMONTH(DATE(INT($A35/100),MOD($A35,100),1),0)))</f>
        <v/>
      </c>
      <c r="N35" s="43">
        <f>IF($A35="","",SUMIFS(GL_Journal!$T:$T,GL_Journal!$G:$G,"&gt;=1000",GL_Journal!$G:$G,"&lt;=6999",GL_Journal!$D:$D,"&gt;="&amp;DATE(INT($A35/100),MOD($A35,100),1),GL_Journal!$D:$D,"&lt;="&amp;EOMONTH(DATE(INT($A35/100),MOD($A35,100),1),0)))</f>
        <v/>
      </c>
      <c r="O35" s="32">
        <f>IF(AND($B35="مقفلة",$A35&lt;&gt;""),IF(OR(ABS($K35-N($F35))&gt;S_Tol,ABS($L35-N($G35))&gt;S_Tol,ABS($M35-N($H35))&gt;S_Tol,ABS($N35-N($I35))&gt;S_Tol),"تغيّر بعد الإقفال: قيد مرحّل بأثر رجعي","") ,"")</f>
        <v/>
      </c>
      <c r="P35" s="32">
        <f>IF($A35="","",IF(COUNTIF($A:$A,$A35)&gt;1,"فترة مكررة",IF(AND($B35="مقفلة",$C35=""),"اسم المُقفِل ناقص",IF(AND($B35="مقفلة",NOT(ISNUMBER($D35))),"تاريخ الإقفال ناقص",IF(AND($B35="مقفلة",$E35=""),"المعتمد الثاني ناقص",IF(AND($B35="مقفلة",$E35&lt;&gt;"",$E35=$C35),"المُقفِل والمعتمد الثاني نفس الشخص",""))))))</f>
        <v/>
      </c>
    </row>
    <row r="36">
      <c r="A36" s="39" t="n"/>
      <c r="B36" s="39" t="n"/>
      <c r="C36" s="29" t="n"/>
      <c r="D36" s="31" t="n"/>
      <c r="E36" s="29" t="n"/>
      <c r="F36" s="42" t="n"/>
      <c r="G36" s="42" t="n"/>
      <c r="H36" s="42" t="n"/>
      <c r="I36" s="42" t="n"/>
      <c r="J36" s="29" t="n"/>
      <c r="K36" s="43">
        <f>IF($A36="","",SUMIFS(GL_Journal!$T:$T,GL_Journal!$G:$G,"&gt;=4000",GL_Journal!$G:$G,"&lt;=4999",GL_Journal!$D:$D,"&gt;="&amp;DATE(INT($A36/100),MOD($A36,100),1),GL_Journal!$D:$D,"&lt;="&amp;EOMONTH(DATE(INT($A36/100),MOD($A36,100),1),0),GL_Journal!$AE:$AE,0)-SUMIFS(GL_Journal!$S:$S,GL_Journal!$G:$G,"&gt;=4000",GL_Journal!$G:$G,"&lt;=4999",GL_Journal!$D:$D,"&gt;="&amp;DATE(INT($A36/100),MOD($A36,100),1),GL_Journal!$D:$D,"&lt;="&amp;EOMONTH(DATE(INT($A36/100),MOD($A36,100),1),0),GL_Journal!$AE:$AE,0))</f>
        <v/>
      </c>
      <c r="L36" s="43">
        <f>IF($A36="","",$K36-(SUMIFS(GL_Journal!$S:$S,GL_Journal!$G:$G,"&gt;=5000",GL_Journal!$G:$G,"&lt;=6999",GL_Journal!$D:$D,"&gt;="&amp;DATE(INT($A36/100),MOD($A36,100),1),GL_Journal!$D:$D,"&lt;="&amp;EOMONTH(DATE(INT($A36/100),MOD($A36,100),1),0),GL_Journal!$AE:$AE,0)-SUMIFS(GL_Journal!$T:$T,GL_Journal!$G:$G,"&gt;=5000",GL_Journal!$G:$G,"&lt;=6999",GL_Journal!$D:$D,"&gt;="&amp;DATE(INT($A36/100),MOD($A36,100),1),GL_Journal!$D:$D,"&lt;="&amp;EOMONTH(DATE(INT($A36/100),MOD($A36,100),1),0),GL_Journal!$AE:$AE,0)))</f>
        <v/>
      </c>
      <c r="M36" s="43">
        <f>IF($A36="","",SUMIFS(GL_Journal!$S:$S,GL_Journal!$G:$G,"&gt;=1000",GL_Journal!$G:$G,"&lt;=6999",GL_Journal!$D:$D,"&gt;="&amp;DATE(INT($A36/100),MOD($A36,100),1),GL_Journal!$D:$D,"&lt;="&amp;EOMONTH(DATE(INT($A36/100),MOD($A36,100),1),0)))</f>
        <v/>
      </c>
      <c r="N36" s="43">
        <f>IF($A36="","",SUMIFS(GL_Journal!$T:$T,GL_Journal!$G:$G,"&gt;=1000",GL_Journal!$G:$G,"&lt;=6999",GL_Journal!$D:$D,"&gt;="&amp;DATE(INT($A36/100),MOD($A36,100),1),GL_Journal!$D:$D,"&lt;="&amp;EOMONTH(DATE(INT($A36/100),MOD($A36,100),1),0)))</f>
        <v/>
      </c>
      <c r="O36" s="32">
        <f>IF(AND($B36="مقفلة",$A36&lt;&gt;""),IF(OR(ABS($K36-N($F36))&gt;S_Tol,ABS($L36-N($G36))&gt;S_Tol,ABS($M36-N($H36))&gt;S_Tol,ABS($N36-N($I36))&gt;S_Tol),"تغيّر بعد الإقفال: قيد مرحّل بأثر رجعي","") ,"")</f>
        <v/>
      </c>
      <c r="P36" s="32">
        <f>IF($A36="","",IF(COUNTIF($A:$A,$A36)&gt;1,"فترة مكررة",IF(AND($B36="مقفلة",$C36=""),"اسم المُقفِل ناقص",IF(AND($B36="مقفلة",NOT(ISNUMBER($D36))),"تاريخ الإقفال ناقص",IF(AND($B36="مقفلة",$E36=""),"المعتمد الثاني ناقص",IF(AND($B36="مقفلة",$E36&lt;&gt;"",$E36=$C36),"المُقفِل والمعتمد الثاني نفس الشخص",""))))))</f>
        <v/>
      </c>
    </row>
    <row r="37">
      <c r="A37" s="39" t="n"/>
      <c r="B37" s="39" t="n"/>
      <c r="C37" s="29" t="n"/>
      <c r="D37" s="31" t="n"/>
      <c r="E37" s="29" t="n"/>
      <c r="F37" s="42" t="n"/>
      <c r="G37" s="42" t="n"/>
      <c r="H37" s="42" t="n"/>
      <c r="I37" s="42" t="n"/>
      <c r="J37" s="29" t="n"/>
      <c r="K37" s="43">
        <f>IF($A37="","",SUMIFS(GL_Journal!$T:$T,GL_Journal!$G:$G,"&gt;=4000",GL_Journal!$G:$G,"&lt;=4999",GL_Journal!$D:$D,"&gt;="&amp;DATE(INT($A37/100),MOD($A37,100),1),GL_Journal!$D:$D,"&lt;="&amp;EOMONTH(DATE(INT($A37/100),MOD($A37,100),1),0),GL_Journal!$AE:$AE,0)-SUMIFS(GL_Journal!$S:$S,GL_Journal!$G:$G,"&gt;=4000",GL_Journal!$G:$G,"&lt;=4999",GL_Journal!$D:$D,"&gt;="&amp;DATE(INT($A37/100),MOD($A37,100),1),GL_Journal!$D:$D,"&lt;="&amp;EOMONTH(DATE(INT($A37/100),MOD($A37,100),1),0),GL_Journal!$AE:$AE,0))</f>
        <v/>
      </c>
      <c r="L37" s="43">
        <f>IF($A37="","",$K37-(SUMIFS(GL_Journal!$S:$S,GL_Journal!$G:$G,"&gt;=5000",GL_Journal!$G:$G,"&lt;=6999",GL_Journal!$D:$D,"&gt;="&amp;DATE(INT($A37/100),MOD($A37,100),1),GL_Journal!$D:$D,"&lt;="&amp;EOMONTH(DATE(INT($A37/100),MOD($A37,100),1),0),GL_Journal!$AE:$AE,0)-SUMIFS(GL_Journal!$T:$T,GL_Journal!$G:$G,"&gt;=5000",GL_Journal!$G:$G,"&lt;=6999",GL_Journal!$D:$D,"&gt;="&amp;DATE(INT($A37/100),MOD($A37,100),1),GL_Journal!$D:$D,"&lt;="&amp;EOMONTH(DATE(INT($A37/100),MOD($A37,100),1),0),GL_Journal!$AE:$AE,0)))</f>
        <v/>
      </c>
      <c r="M37" s="43">
        <f>IF($A37="","",SUMIFS(GL_Journal!$S:$S,GL_Journal!$G:$G,"&gt;=1000",GL_Journal!$G:$G,"&lt;=6999",GL_Journal!$D:$D,"&gt;="&amp;DATE(INT($A37/100),MOD($A37,100),1),GL_Journal!$D:$D,"&lt;="&amp;EOMONTH(DATE(INT($A37/100),MOD($A37,100),1),0)))</f>
        <v/>
      </c>
      <c r="N37" s="43">
        <f>IF($A37="","",SUMIFS(GL_Journal!$T:$T,GL_Journal!$G:$G,"&gt;=1000",GL_Journal!$G:$G,"&lt;=6999",GL_Journal!$D:$D,"&gt;="&amp;DATE(INT($A37/100),MOD($A37,100),1),GL_Journal!$D:$D,"&lt;="&amp;EOMONTH(DATE(INT($A37/100),MOD($A37,100),1),0)))</f>
        <v/>
      </c>
      <c r="O37" s="32">
        <f>IF(AND($B37="مقفلة",$A37&lt;&gt;""),IF(OR(ABS($K37-N($F37))&gt;S_Tol,ABS($L37-N($G37))&gt;S_Tol,ABS($M37-N($H37))&gt;S_Tol,ABS($N37-N($I37))&gt;S_Tol),"تغيّر بعد الإقفال: قيد مرحّل بأثر رجعي","") ,"")</f>
        <v/>
      </c>
      <c r="P37" s="32">
        <f>IF($A37="","",IF(COUNTIF($A:$A,$A37)&gt;1,"فترة مكررة",IF(AND($B37="مقفلة",$C37=""),"اسم المُقفِل ناقص",IF(AND($B37="مقفلة",NOT(ISNUMBER($D37))),"تاريخ الإقفال ناقص",IF(AND($B37="مقفلة",$E37=""),"المعتمد الثاني ناقص",IF(AND($B37="مقفلة",$E37&lt;&gt;"",$E37=$C37),"المُقفِل والمعتمد الثاني نفس الشخص",""))))))</f>
        <v/>
      </c>
    </row>
    <row r="38">
      <c r="A38" s="39" t="n"/>
      <c r="B38" s="39" t="n"/>
      <c r="C38" s="29" t="n"/>
      <c r="D38" s="31" t="n"/>
      <c r="E38" s="29" t="n"/>
      <c r="F38" s="42" t="n"/>
      <c r="G38" s="42" t="n"/>
      <c r="H38" s="42" t="n"/>
      <c r="I38" s="42" t="n"/>
      <c r="J38" s="29" t="n"/>
      <c r="K38" s="43">
        <f>IF($A38="","",SUMIFS(GL_Journal!$T:$T,GL_Journal!$G:$G,"&gt;=4000",GL_Journal!$G:$G,"&lt;=4999",GL_Journal!$D:$D,"&gt;="&amp;DATE(INT($A38/100),MOD($A38,100),1),GL_Journal!$D:$D,"&lt;="&amp;EOMONTH(DATE(INT($A38/100),MOD($A38,100),1),0),GL_Journal!$AE:$AE,0)-SUMIFS(GL_Journal!$S:$S,GL_Journal!$G:$G,"&gt;=4000",GL_Journal!$G:$G,"&lt;=4999",GL_Journal!$D:$D,"&gt;="&amp;DATE(INT($A38/100),MOD($A38,100),1),GL_Journal!$D:$D,"&lt;="&amp;EOMONTH(DATE(INT($A38/100),MOD($A38,100),1),0),GL_Journal!$AE:$AE,0))</f>
        <v/>
      </c>
      <c r="L38" s="43">
        <f>IF($A38="","",$K38-(SUMIFS(GL_Journal!$S:$S,GL_Journal!$G:$G,"&gt;=5000",GL_Journal!$G:$G,"&lt;=6999",GL_Journal!$D:$D,"&gt;="&amp;DATE(INT($A38/100),MOD($A38,100),1),GL_Journal!$D:$D,"&lt;="&amp;EOMONTH(DATE(INT($A38/100),MOD($A38,100),1),0),GL_Journal!$AE:$AE,0)-SUMIFS(GL_Journal!$T:$T,GL_Journal!$G:$G,"&gt;=5000",GL_Journal!$G:$G,"&lt;=6999",GL_Journal!$D:$D,"&gt;="&amp;DATE(INT($A38/100),MOD($A38,100),1),GL_Journal!$D:$D,"&lt;="&amp;EOMONTH(DATE(INT($A38/100),MOD($A38,100),1),0),GL_Journal!$AE:$AE,0)))</f>
        <v/>
      </c>
      <c r="M38" s="43">
        <f>IF($A38="","",SUMIFS(GL_Journal!$S:$S,GL_Journal!$G:$G,"&gt;=1000",GL_Journal!$G:$G,"&lt;=6999",GL_Journal!$D:$D,"&gt;="&amp;DATE(INT($A38/100),MOD($A38,100),1),GL_Journal!$D:$D,"&lt;="&amp;EOMONTH(DATE(INT($A38/100),MOD($A38,100),1),0)))</f>
        <v/>
      </c>
      <c r="N38" s="43">
        <f>IF($A38="","",SUMIFS(GL_Journal!$T:$T,GL_Journal!$G:$G,"&gt;=1000",GL_Journal!$G:$G,"&lt;=6999",GL_Journal!$D:$D,"&gt;="&amp;DATE(INT($A38/100),MOD($A38,100),1),GL_Journal!$D:$D,"&lt;="&amp;EOMONTH(DATE(INT($A38/100),MOD($A38,100),1),0)))</f>
        <v/>
      </c>
      <c r="O38" s="32">
        <f>IF(AND($B38="مقفلة",$A38&lt;&gt;""),IF(OR(ABS($K38-N($F38))&gt;S_Tol,ABS($L38-N($G38))&gt;S_Tol,ABS($M38-N($H38))&gt;S_Tol,ABS($N38-N($I38))&gt;S_Tol),"تغيّر بعد الإقفال: قيد مرحّل بأثر رجعي","") ,"")</f>
        <v/>
      </c>
      <c r="P38" s="32">
        <f>IF($A38="","",IF(COUNTIF($A:$A,$A38)&gt;1,"فترة مكررة",IF(AND($B38="مقفلة",$C38=""),"اسم المُقفِل ناقص",IF(AND($B38="مقفلة",NOT(ISNUMBER($D38))),"تاريخ الإقفال ناقص",IF(AND($B38="مقفلة",$E38=""),"المعتمد الثاني ناقص",IF(AND($B38="مقفلة",$E38&lt;&gt;"",$E38=$C38),"المُقفِل والمعتمد الثاني نفس الشخص",""))))))</f>
        <v/>
      </c>
    </row>
    <row r="39">
      <c r="A39" s="39" t="n"/>
      <c r="B39" s="39" t="n"/>
      <c r="C39" s="29" t="n"/>
      <c r="D39" s="31" t="n"/>
      <c r="E39" s="29" t="n"/>
      <c r="F39" s="42" t="n"/>
      <c r="G39" s="42" t="n"/>
      <c r="H39" s="42" t="n"/>
      <c r="I39" s="42" t="n"/>
      <c r="J39" s="29" t="n"/>
      <c r="K39" s="43">
        <f>IF($A39="","",SUMIFS(GL_Journal!$T:$T,GL_Journal!$G:$G,"&gt;=4000",GL_Journal!$G:$G,"&lt;=4999",GL_Journal!$D:$D,"&gt;="&amp;DATE(INT($A39/100),MOD($A39,100),1),GL_Journal!$D:$D,"&lt;="&amp;EOMONTH(DATE(INT($A39/100),MOD($A39,100),1),0),GL_Journal!$AE:$AE,0)-SUMIFS(GL_Journal!$S:$S,GL_Journal!$G:$G,"&gt;=4000",GL_Journal!$G:$G,"&lt;=4999",GL_Journal!$D:$D,"&gt;="&amp;DATE(INT($A39/100),MOD($A39,100),1),GL_Journal!$D:$D,"&lt;="&amp;EOMONTH(DATE(INT($A39/100),MOD($A39,100),1),0),GL_Journal!$AE:$AE,0))</f>
        <v/>
      </c>
      <c r="L39" s="43">
        <f>IF($A39="","",$K39-(SUMIFS(GL_Journal!$S:$S,GL_Journal!$G:$G,"&gt;=5000",GL_Journal!$G:$G,"&lt;=6999",GL_Journal!$D:$D,"&gt;="&amp;DATE(INT($A39/100),MOD($A39,100),1),GL_Journal!$D:$D,"&lt;="&amp;EOMONTH(DATE(INT($A39/100),MOD($A39,100),1),0),GL_Journal!$AE:$AE,0)-SUMIFS(GL_Journal!$T:$T,GL_Journal!$G:$G,"&gt;=5000",GL_Journal!$G:$G,"&lt;=6999",GL_Journal!$D:$D,"&gt;="&amp;DATE(INT($A39/100),MOD($A39,100),1),GL_Journal!$D:$D,"&lt;="&amp;EOMONTH(DATE(INT($A39/100),MOD($A39,100),1),0),GL_Journal!$AE:$AE,0)))</f>
        <v/>
      </c>
      <c r="M39" s="43">
        <f>IF($A39="","",SUMIFS(GL_Journal!$S:$S,GL_Journal!$G:$G,"&gt;=1000",GL_Journal!$G:$G,"&lt;=6999",GL_Journal!$D:$D,"&gt;="&amp;DATE(INT($A39/100),MOD($A39,100),1),GL_Journal!$D:$D,"&lt;="&amp;EOMONTH(DATE(INT($A39/100),MOD($A39,100),1),0)))</f>
        <v/>
      </c>
      <c r="N39" s="43">
        <f>IF($A39="","",SUMIFS(GL_Journal!$T:$T,GL_Journal!$G:$G,"&gt;=1000",GL_Journal!$G:$G,"&lt;=6999",GL_Journal!$D:$D,"&gt;="&amp;DATE(INT($A39/100),MOD($A39,100),1),GL_Journal!$D:$D,"&lt;="&amp;EOMONTH(DATE(INT($A39/100),MOD($A39,100),1),0)))</f>
        <v/>
      </c>
      <c r="O39" s="32">
        <f>IF(AND($B39="مقفلة",$A39&lt;&gt;""),IF(OR(ABS($K39-N($F39))&gt;S_Tol,ABS($L39-N($G39))&gt;S_Tol,ABS($M39-N($H39))&gt;S_Tol,ABS($N39-N($I39))&gt;S_Tol),"تغيّر بعد الإقفال: قيد مرحّل بأثر رجعي","") ,"")</f>
        <v/>
      </c>
      <c r="P39" s="32">
        <f>IF($A39="","",IF(COUNTIF($A:$A,$A39)&gt;1,"فترة مكررة",IF(AND($B39="مقفلة",$C39=""),"اسم المُقفِل ناقص",IF(AND($B39="مقفلة",NOT(ISNUMBER($D39))),"تاريخ الإقفال ناقص",IF(AND($B39="مقفلة",$E39=""),"المعتمد الثاني ناقص",IF(AND($B39="مقفلة",$E39&lt;&gt;"",$E39=$C39),"المُقفِل والمعتمد الثاني نفس الشخص",""))))))</f>
        <v/>
      </c>
    </row>
    <row r="40">
      <c r="A40" s="39" t="n"/>
      <c r="B40" s="39" t="n"/>
      <c r="C40" s="29" t="n"/>
      <c r="D40" s="31" t="n"/>
      <c r="E40" s="29" t="n"/>
      <c r="F40" s="42" t="n"/>
      <c r="G40" s="42" t="n"/>
      <c r="H40" s="42" t="n"/>
      <c r="I40" s="42" t="n"/>
      <c r="J40" s="29" t="n"/>
      <c r="K40" s="43">
        <f>IF($A40="","",SUMIFS(GL_Journal!$T:$T,GL_Journal!$G:$G,"&gt;=4000",GL_Journal!$G:$G,"&lt;=4999",GL_Journal!$D:$D,"&gt;="&amp;DATE(INT($A40/100),MOD($A40,100),1),GL_Journal!$D:$D,"&lt;="&amp;EOMONTH(DATE(INT($A40/100),MOD($A40,100),1),0),GL_Journal!$AE:$AE,0)-SUMIFS(GL_Journal!$S:$S,GL_Journal!$G:$G,"&gt;=4000",GL_Journal!$G:$G,"&lt;=4999",GL_Journal!$D:$D,"&gt;="&amp;DATE(INT($A40/100),MOD($A40,100),1),GL_Journal!$D:$D,"&lt;="&amp;EOMONTH(DATE(INT($A40/100),MOD($A40,100),1),0),GL_Journal!$AE:$AE,0))</f>
        <v/>
      </c>
      <c r="L40" s="43">
        <f>IF($A40="","",$K40-(SUMIFS(GL_Journal!$S:$S,GL_Journal!$G:$G,"&gt;=5000",GL_Journal!$G:$G,"&lt;=6999",GL_Journal!$D:$D,"&gt;="&amp;DATE(INT($A40/100),MOD($A40,100),1),GL_Journal!$D:$D,"&lt;="&amp;EOMONTH(DATE(INT($A40/100),MOD($A40,100),1),0),GL_Journal!$AE:$AE,0)-SUMIFS(GL_Journal!$T:$T,GL_Journal!$G:$G,"&gt;=5000",GL_Journal!$G:$G,"&lt;=6999",GL_Journal!$D:$D,"&gt;="&amp;DATE(INT($A40/100),MOD($A40,100),1),GL_Journal!$D:$D,"&lt;="&amp;EOMONTH(DATE(INT($A40/100),MOD($A40,100),1),0),GL_Journal!$AE:$AE,0)))</f>
        <v/>
      </c>
      <c r="M40" s="43">
        <f>IF($A40="","",SUMIFS(GL_Journal!$S:$S,GL_Journal!$G:$G,"&gt;=1000",GL_Journal!$G:$G,"&lt;=6999",GL_Journal!$D:$D,"&gt;="&amp;DATE(INT($A40/100),MOD($A40,100),1),GL_Journal!$D:$D,"&lt;="&amp;EOMONTH(DATE(INT($A40/100),MOD($A40,100),1),0)))</f>
        <v/>
      </c>
      <c r="N40" s="43">
        <f>IF($A40="","",SUMIFS(GL_Journal!$T:$T,GL_Journal!$G:$G,"&gt;=1000",GL_Journal!$G:$G,"&lt;=6999",GL_Journal!$D:$D,"&gt;="&amp;DATE(INT($A40/100),MOD($A40,100),1),GL_Journal!$D:$D,"&lt;="&amp;EOMONTH(DATE(INT($A40/100),MOD($A40,100),1),0)))</f>
        <v/>
      </c>
      <c r="O40" s="32">
        <f>IF(AND($B40="مقفلة",$A40&lt;&gt;""),IF(OR(ABS($K40-N($F40))&gt;S_Tol,ABS($L40-N($G40))&gt;S_Tol,ABS($M40-N($H40))&gt;S_Tol,ABS($N40-N($I40))&gt;S_Tol),"تغيّر بعد الإقفال: قيد مرحّل بأثر رجعي","") ,"")</f>
        <v/>
      </c>
      <c r="P40" s="32">
        <f>IF($A40="","",IF(COUNTIF($A:$A,$A40)&gt;1,"فترة مكررة",IF(AND($B40="مقفلة",$C40=""),"اسم المُقفِل ناقص",IF(AND($B40="مقفلة",NOT(ISNUMBER($D40))),"تاريخ الإقفال ناقص",IF(AND($B40="مقفلة",$E40=""),"المعتمد الثاني ناقص",IF(AND($B40="مقفلة",$E40&lt;&gt;"",$E40=$C40),"المُقفِل والمعتمد الثاني نفس الشخص",""))))))</f>
        <v/>
      </c>
    </row>
    <row r="41">
      <c r="A41" s="39" t="n"/>
      <c r="B41" s="39" t="n"/>
      <c r="C41" s="29" t="n"/>
      <c r="D41" s="31" t="n"/>
      <c r="E41" s="29" t="n"/>
      <c r="F41" s="42" t="n"/>
      <c r="G41" s="42" t="n"/>
      <c r="H41" s="42" t="n"/>
      <c r="I41" s="42" t="n"/>
      <c r="J41" s="29" t="n"/>
      <c r="K41" s="43">
        <f>IF($A41="","",SUMIFS(GL_Journal!$T:$T,GL_Journal!$G:$G,"&gt;=4000",GL_Journal!$G:$G,"&lt;=4999",GL_Journal!$D:$D,"&gt;="&amp;DATE(INT($A41/100),MOD($A41,100),1),GL_Journal!$D:$D,"&lt;="&amp;EOMONTH(DATE(INT($A41/100),MOD($A41,100),1),0),GL_Journal!$AE:$AE,0)-SUMIFS(GL_Journal!$S:$S,GL_Journal!$G:$G,"&gt;=4000",GL_Journal!$G:$G,"&lt;=4999",GL_Journal!$D:$D,"&gt;="&amp;DATE(INT($A41/100),MOD($A41,100),1),GL_Journal!$D:$D,"&lt;="&amp;EOMONTH(DATE(INT($A41/100),MOD($A41,100),1),0),GL_Journal!$AE:$AE,0))</f>
        <v/>
      </c>
      <c r="L41" s="43">
        <f>IF($A41="","",$K41-(SUMIFS(GL_Journal!$S:$S,GL_Journal!$G:$G,"&gt;=5000",GL_Journal!$G:$G,"&lt;=6999",GL_Journal!$D:$D,"&gt;="&amp;DATE(INT($A41/100),MOD($A41,100),1),GL_Journal!$D:$D,"&lt;="&amp;EOMONTH(DATE(INT($A41/100),MOD($A41,100),1),0),GL_Journal!$AE:$AE,0)-SUMIFS(GL_Journal!$T:$T,GL_Journal!$G:$G,"&gt;=5000",GL_Journal!$G:$G,"&lt;=6999",GL_Journal!$D:$D,"&gt;="&amp;DATE(INT($A41/100),MOD($A41,100),1),GL_Journal!$D:$D,"&lt;="&amp;EOMONTH(DATE(INT($A41/100),MOD($A41,100),1),0),GL_Journal!$AE:$AE,0)))</f>
        <v/>
      </c>
      <c r="M41" s="43">
        <f>IF($A41="","",SUMIFS(GL_Journal!$S:$S,GL_Journal!$G:$G,"&gt;=1000",GL_Journal!$G:$G,"&lt;=6999",GL_Journal!$D:$D,"&gt;="&amp;DATE(INT($A41/100),MOD($A41,100),1),GL_Journal!$D:$D,"&lt;="&amp;EOMONTH(DATE(INT($A41/100),MOD($A41,100),1),0)))</f>
        <v/>
      </c>
      <c r="N41" s="43">
        <f>IF($A41="","",SUMIFS(GL_Journal!$T:$T,GL_Journal!$G:$G,"&gt;=1000",GL_Journal!$G:$G,"&lt;=6999",GL_Journal!$D:$D,"&gt;="&amp;DATE(INT($A41/100),MOD($A41,100),1),GL_Journal!$D:$D,"&lt;="&amp;EOMONTH(DATE(INT($A41/100),MOD($A41,100),1),0)))</f>
        <v/>
      </c>
      <c r="O41" s="32">
        <f>IF(AND($B41="مقفلة",$A41&lt;&gt;""),IF(OR(ABS($K41-N($F41))&gt;S_Tol,ABS($L41-N($G41))&gt;S_Tol,ABS($M41-N($H41))&gt;S_Tol,ABS($N41-N($I41))&gt;S_Tol),"تغيّر بعد الإقفال: قيد مرحّل بأثر رجعي","") ,"")</f>
        <v/>
      </c>
      <c r="P41" s="32">
        <f>IF($A41="","",IF(COUNTIF($A:$A,$A41)&gt;1,"فترة مكررة",IF(AND($B41="مقفلة",$C41=""),"اسم المُقفِل ناقص",IF(AND($B41="مقفلة",NOT(ISNUMBER($D41))),"تاريخ الإقفال ناقص",IF(AND($B41="مقفلة",$E41=""),"المعتمد الثاني ناقص",IF(AND($B41="مقفلة",$E41&lt;&gt;"",$E41=$C41),"المُقفِل والمعتمد الثاني نفس الشخص",""))))))</f>
        <v/>
      </c>
    </row>
    <row r="42">
      <c r="A42" s="39" t="n"/>
      <c r="B42" s="39" t="n"/>
      <c r="C42" s="29" t="n"/>
      <c r="D42" s="31" t="n"/>
      <c r="E42" s="29" t="n"/>
      <c r="F42" s="42" t="n"/>
      <c r="G42" s="42" t="n"/>
      <c r="H42" s="42" t="n"/>
      <c r="I42" s="42" t="n"/>
      <c r="J42" s="29" t="n"/>
      <c r="K42" s="43">
        <f>IF($A42="","",SUMIFS(GL_Journal!$T:$T,GL_Journal!$G:$G,"&gt;=4000",GL_Journal!$G:$G,"&lt;=4999",GL_Journal!$D:$D,"&gt;="&amp;DATE(INT($A42/100),MOD($A42,100),1),GL_Journal!$D:$D,"&lt;="&amp;EOMONTH(DATE(INT($A42/100),MOD($A42,100),1),0),GL_Journal!$AE:$AE,0)-SUMIFS(GL_Journal!$S:$S,GL_Journal!$G:$G,"&gt;=4000",GL_Journal!$G:$G,"&lt;=4999",GL_Journal!$D:$D,"&gt;="&amp;DATE(INT($A42/100),MOD($A42,100),1),GL_Journal!$D:$D,"&lt;="&amp;EOMONTH(DATE(INT($A42/100),MOD($A42,100),1),0),GL_Journal!$AE:$AE,0))</f>
        <v/>
      </c>
      <c r="L42" s="43">
        <f>IF($A42="","",$K42-(SUMIFS(GL_Journal!$S:$S,GL_Journal!$G:$G,"&gt;=5000",GL_Journal!$G:$G,"&lt;=6999",GL_Journal!$D:$D,"&gt;="&amp;DATE(INT($A42/100),MOD($A42,100),1),GL_Journal!$D:$D,"&lt;="&amp;EOMONTH(DATE(INT($A42/100),MOD($A42,100),1),0),GL_Journal!$AE:$AE,0)-SUMIFS(GL_Journal!$T:$T,GL_Journal!$G:$G,"&gt;=5000",GL_Journal!$G:$G,"&lt;=6999",GL_Journal!$D:$D,"&gt;="&amp;DATE(INT($A42/100),MOD($A42,100),1),GL_Journal!$D:$D,"&lt;="&amp;EOMONTH(DATE(INT($A42/100),MOD($A42,100),1),0),GL_Journal!$AE:$AE,0)))</f>
        <v/>
      </c>
      <c r="M42" s="43">
        <f>IF($A42="","",SUMIFS(GL_Journal!$S:$S,GL_Journal!$G:$G,"&gt;=1000",GL_Journal!$G:$G,"&lt;=6999",GL_Journal!$D:$D,"&gt;="&amp;DATE(INT($A42/100),MOD($A42,100),1),GL_Journal!$D:$D,"&lt;="&amp;EOMONTH(DATE(INT($A42/100),MOD($A42,100),1),0)))</f>
        <v/>
      </c>
      <c r="N42" s="43">
        <f>IF($A42="","",SUMIFS(GL_Journal!$T:$T,GL_Journal!$G:$G,"&gt;=1000",GL_Journal!$G:$G,"&lt;=6999",GL_Journal!$D:$D,"&gt;="&amp;DATE(INT($A42/100),MOD($A42,100),1),GL_Journal!$D:$D,"&lt;="&amp;EOMONTH(DATE(INT($A42/100),MOD($A42,100),1),0)))</f>
        <v/>
      </c>
      <c r="O42" s="32">
        <f>IF(AND($B42="مقفلة",$A42&lt;&gt;""),IF(OR(ABS($K42-N($F42))&gt;S_Tol,ABS($L42-N($G42))&gt;S_Tol,ABS($M42-N($H42))&gt;S_Tol,ABS($N42-N($I42))&gt;S_Tol),"تغيّر بعد الإقفال: قيد مرحّل بأثر رجعي","") ,"")</f>
        <v/>
      </c>
      <c r="P42" s="32">
        <f>IF($A42="","",IF(COUNTIF($A:$A,$A42)&gt;1,"فترة مكررة",IF(AND($B42="مقفلة",$C42=""),"اسم المُقفِل ناقص",IF(AND($B42="مقفلة",NOT(ISNUMBER($D42))),"تاريخ الإقفال ناقص",IF(AND($B42="مقفلة",$E42=""),"المعتمد الثاني ناقص",IF(AND($B42="مقفلة",$E42&lt;&gt;"",$E42=$C42),"المُقفِل والمعتمد الثاني نفس الشخص",""))))))</f>
        <v/>
      </c>
    </row>
    <row r="43">
      <c r="A43" s="39" t="n"/>
      <c r="B43" s="39" t="n"/>
      <c r="C43" s="29" t="n"/>
      <c r="D43" s="31" t="n"/>
      <c r="E43" s="29" t="n"/>
      <c r="F43" s="42" t="n"/>
      <c r="G43" s="42" t="n"/>
      <c r="H43" s="42" t="n"/>
      <c r="I43" s="42" t="n"/>
      <c r="J43" s="29" t="n"/>
      <c r="K43" s="43">
        <f>IF($A43="","",SUMIFS(GL_Journal!$T:$T,GL_Journal!$G:$G,"&gt;=4000",GL_Journal!$G:$G,"&lt;=4999",GL_Journal!$D:$D,"&gt;="&amp;DATE(INT($A43/100),MOD($A43,100),1),GL_Journal!$D:$D,"&lt;="&amp;EOMONTH(DATE(INT($A43/100),MOD($A43,100),1),0),GL_Journal!$AE:$AE,0)-SUMIFS(GL_Journal!$S:$S,GL_Journal!$G:$G,"&gt;=4000",GL_Journal!$G:$G,"&lt;=4999",GL_Journal!$D:$D,"&gt;="&amp;DATE(INT($A43/100),MOD($A43,100),1),GL_Journal!$D:$D,"&lt;="&amp;EOMONTH(DATE(INT($A43/100),MOD($A43,100),1),0),GL_Journal!$AE:$AE,0))</f>
        <v/>
      </c>
      <c r="L43" s="43">
        <f>IF($A43="","",$K43-(SUMIFS(GL_Journal!$S:$S,GL_Journal!$G:$G,"&gt;=5000",GL_Journal!$G:$G,"&lt;=6999",GL_Journal!$D:$D,"&gt;="&amp;DATE(INT($A43/100),MOD($A43,100),1),GL_Journal!$D:$D,"&lt;="&amp;EOMONTH(DATE(INT($A43/100),MOD($A43,100),1),0),GL_Journal!$AE:$AE,0)-SUMIFS(GL_Journal!$T:$T,GL_Journal!$G:$G,"&gt;=5000",GL_Journal!$G:$G,"&lt;=6999",GL_Journal!$D:$D,"&gt;="&amp;DATE(INT($A43/100),MOD($A43,100),1),GL_Journal!$D:$D,"&lt;="&amp;EOMONTH(DATE(INT($A43/100),MOD($A43,100),1),0),GL_Journal!$AE:$AE,0)))</f>
        <v/>
      </c>
      <c r="M43" s="43">
        <f>IF($A43="","",SUMIFS(GL_Journal!$S:$S,GL_Journal!$G:$G,"&gt;=1000",GL_Journal!$G:$G,"&lt;=6999",GL_Journal!$D:$D,"&gt;="&amp;DATE(INT($A43/100),MOD($A43,100),1),GL_Journal!$D:$D,"&lt;="&amp;EOMONTH(DATE(INT($A43/100),MOD($A43,100),1),0)))</f>
        <v/>
      </c>
      <c r="N43" s="43">
        <f>IF($A43="","",SUMIFS(GL_Journal!$T:$T,GL_Journal!$G:$G,"&gt;=1000",GL_Journal!$G:$G,"&lt;=6999",GL_Journal!$D:$D,"&gt;="&amp;DATE(INT($A43/100),MOD($A43,100),1),GL_Journal!$D:$D,"&lt;="&amp;EOMONTH(DATE(INT($A43/100),MOD($A43,100),1),0)))</f>
        <v/>
      </c>
      <c r="O43" s="32">
        <f>IF(AND($B43="مقفلة",$A43&lt;&gt;""),IF(OR(ABS($K43-N($F43))&gt;S_Tol,ABS($L43-N($G43))&gt;S_Tol,ABS($M43-N($H43))&gt;S_Tol,ABS($N43-N($I43))&gt;S_Tol),"تغيّر بعد الإقفال: قيد مرحّل بأثر رجعي","") ,"")</f>
        <v/>
      </c>
      <c r="P43" s="32">
        <f>IF($A43="","",IF(COUNTIF($A:$A,$A43)&gt;1,"فترة مكررة",IF(AND($B43="مقفلة",$C43=""),"اسم المُقفِل ناقص",IF(AND($B43="مقفلة",NOT(ISNUMBER($D43))),"تاريخ الإقفال ناقص",IF(AND($B43="مقفلة",$E43=""),"المعتمد الثاني ناقص",IF(AND($B43="مقفلة",$E43&lt;&gt;"",$E43=$C43),"المُقفِل والمعتمد الثاني نفس الشخص",""))))))</f>
        <v/>
      </c>
    </row>
    <row r="44">
      <c r="A44" s="39" t="n"/>
      <c r="B44" s="39" t="n"/>
      <c r="C44" s="29" t="n"/>
      <c r="D44" s="31" t="n"/>
      <c r="E44" s="29" t="n"/>
      <c r="F44" s="42" t="n"/>
      <c r="G44" s="42" t="n"/>
      <c r="H44" s="42" t="n"/>
      <c r="I44" s="42" t="n"/>
      <c r="J44" s="29" t="n"/>
      <c r="K44" s="43">
        <f>IF($A44="","",SUMIFS(GL_Journal!$T:$T,GL_Journal!$G:$G,"&gt;=4000",GL_Journal!$G:$G,"&lt;=4999",GL_Journal!$D:$D,"&gt;="&amp;DATE(INT($A44/100),MOD($A44,100),1),GL_Journal!$D:$D,"&lt;="&amp;EOMONTH(DATE(INT($A44/100),MOD($A44,100),1),0),GL_Journal!$AE:$AE,0)-SUMIFS(GL_Journal!$S:$S,GL_Journal!$G:$G,"&gt;=4000",GL_Journal!$G:$G,"&lt;=4999",GL_Journal!$D:$D,"&gt;="&amp;DATE(INT($A44/100),MOD($A44,100),1),GL_Journal!$D:$D,"&lt;="&amp;EOMONTH(DATE(INT($A44/100),MOD($A44,100),1),0),GL_Journal!$AE:$AE,0))</f>
        <v/>
      </c>
      <c r="L44" s="43">
        <f>IF($A44="","",$K44-(SUMIFS(GL_Journal!$S:$S,GL_Journal!$G:$G,"&gt;=5000",GL_Journal!$G:$G,"&lt;=6999",GL_Journal!$D:$D,"&gt;="&amp;DATE(INT($A44/100),MOD($A44,100),1),GL_Journal!$D:$D,"&lt;="&amp;EOMONTH(DATE(INT($A44/100),MOD($A44,100),1),0),GL_Journal!$AE:$AE,0)-SUMIFS(GL_Journal!$T:$T,GL_Journal!$G:$G,"&gt;=5000",GL_Journal!$G:$G,"&lt;=6999",GL_Journal!$D:$D,"&gt;="&amp;DATE(INT($A44/100),MOD($A44,100),1),GL_Journal!$D:$D,"&lt;="&amp;EOMONTH(DATE(INT($A44/100),MOD($A44,100),1),0),GL_Journal!$AE:$AE,0)))</f>
        <v/>
      </c>
      <c r="M44" s="43">
        <f>IF($A44="","",SUMIFS(GL_Journal!$S:$S,GL_Journal!$G:$G,"&gt;=1000",GL_Journal!$G:$G,"&lt;=6999",GL_Journal!$D:$D,"&gt;="&amp;DATE(INT($A44/100),MOD($A44,100),1),GL_Journal!$D:$D,"&lt;="&amp;EOMONTH(DATE(INT($A44/100),MOD($A44,100),1),0)))</f>
        <v/>
      </c>
      <c r="N44" s="43">
        <f>IF($A44="","",SUMIFS(GL_Journal!$T:$T,GL_Journal!$G:$G,"&gt;=1000",GL_Journal!$G:$G,"&lt;=6999",GL_Journal!$D:$D,"&gt;="&amp;DATE(INT($A44/100),MOD($A44,100),1),GL_Journal!$D:$D,"&lt;="&amp;EOMONTH(DATE(INT($A44/100),MOD($A44,100),1),0)))</f>
        <v/>
      </c>
      <c r="O44" s="32">
        <f>IF(AND($B44="مقفلة",$A44&lt;&gt;""),IF(OR(ABS($K44-N($F44))&gt;S_Tol,ABS($L44-N($G44))&gt;S_Tol,ABS($M44-N($H44))&gt;S_Tol,ABS($N44-N($I44))&gt;S_Tol),"تغيّر بعد الإقفال: قيد مرحّل بأثر رجعي","") ,"")</f>
        <v/>
      </c>
      <c r="P44" s="32">
        <f>IF($A44="","",IF(COUNTIF($A:$A,$A44)&gt;1,"فترة مكررة",IF(AND($B44="مقفلة",$C44=""),"اسم المُقفِل ناقص",IF(AND($B44="مقفلة",NOT(ISNUMBER($D44))),"تاريخ الإقفال ناقص",IF(AND($B44="مقفلة",$E44=""),"المعتمد الثاني ناقص",IF(AND($B44="مقفلة",$E44&lt;&gt;"",$E44=$C44),"المُقفِل والمعتمد الثاني نفس الشخص",""))))))</f>
        <v/>
      </c>
    </row>
    <row r="45">
      <c r="A45" s="39" t="n"/>
      <c r="B45" s="39" t="n"/>
      <c r="C45" s="29" t="n"/>
      <c r="D45" s="31" t="n"/>
      <c r="E45" s="29" t="n"/>
      <c r="F45" s="42" t="n"/>
      <c r="G45" s="42" t="n"/>
      <c r="H45" s="42" t="n"/>
      <c r="I45" s="42" t="n"/>
      <c r="J45" s="29" t="n"/>
      <c r="K45" s="43">
        <f>IF($A45="","",SUMIFS(GL_Journal!$T:$T,GL_Journal!$G:$G,"&gt;=4000",GL_Journal!$G:$G,"&lt;=4999",GL_Journal!$D:$D,"&gt;="&amp;DATE(INT($A45/100),MOD($A45,100),1),GL_Journal!$D:$D,"&lt;="&amp;EOMONTH(DATE(INT($A45/100),MOD($A45,100),1),0),GL_Journal!$AE:$AE,0)-SUMIFS(GL_Journal!$S:$S,GL_Journal!$G:$G,"&gt;=4000",GL_Journal!$G:$G,"&lt;=4999",GL_Journal!$D:$D,"&gt;="&amp;DATE(INT($A45/100),MOD($A45,100),1),GL_Journal!$D:$D,"&lt;="&amp;EOMONTH(DATE(INT($A45/100),MOD($A45,100),1),0),GL_Journal!$AE:$AE,0))</f>
        <v/>
      </c>
      <c r="L45" s="43">
        <f>IF($A45="","",$K45-(SUMIFS(GL_Journal!$S:$S,GL_Journal!$G:$G,"&gt;=5000",GL_Journal!$G:$G,"&lt;=6999",GL_Journal!$D:$D,"&gt;="&amp;DATE(INT($A45/100),MOD($A45,100),1),GL_Journal!$D:$D,"&lt;="&amp;EOMONTH(DATE(INT($A45/100),MOD($A45,100),1),0),GL_Journal!$AE:$AE,0)-SUMIFS(GL_Journal!$T:$T,GL_Journal!$G:$G,"&gt;=5000",GL_Journal!$G:$G,"&lt;=6999",GL_Journal!$D:$D,"&gt;="&amp;DATE(INT($A45/100),MOD($A45,100),1),GL_Journal!$D:$D,"&lt;="&amp;EOMONTH(DATE(INT($A45/100),MOD($A45,100),1),0),GL_Journal!$AE:$AE,0)))</f>
        <v/>
      </c>
      <c r="M45" s="43">
        <f>IF($A45="","",SUMIFS(GL_Journal!$S:$S,GL_Journal!$G:$G,"&gt;=1000",GL_Journal!$G:$G,"&lt;=6999",GL_Journal!$D:$D,"&gt;="&amp;DATE(INT($A45/100),MOD($A45,100),1),GL_Journal!$D:$D,"&lt;="&amp;EOMONTH(DATE(INT($A45/100),MOD($A45,100),1),0)))</f>
        <v/>
      </c>
      <c r="N45" s="43">
        <f>IF($A45="","",SUMIFS(GL_Journal!$T:$T,GL_Journal!$G:$G,"&gt;=1000",GL_Journal!$G:$G,"&lt;=6999",GL_Journal!$D:$D,"&gt;="&amp;DATE(INT($A45/100),MOD($A45,100),1),GL_Journal!$D:$D,"&lt;="&amp;EOMONTH(DATE(INT($A45/100),MOD($A45,100),1),0)))</f>
        <v/>
      </c>
      <c r="O45" s="32">
        <f>IF(AND($B45="مقفلة",$A45&lt;&gt;""),IF(OR(ABS($K45-N($F45))&gt;S_Tol,ABS($L45-N($G45))&gt;S_Tol,ABS($M45-N($H45))&gt;S_Tol,ABS($N45-N($I45))&gt;S_Tol),"تغيّر بعد الإقفال: قيد مرحّل بأثر رجعي","") ,"")</f>
        <v/>
      </c>
      <c r="P45" s="32">
        <f>IF($A45="","",IF(COUNTIF($A:$A,$A45)&gt;1,"فترة مكررة",IF(AND($B45="مقفلة",$C45=""),"اسم المُقفِل ناقص",IF(AND($B45="مقفلة",NOT(ISNUMBER($D45))),"تاريخ الإقفال ناقص",IF(AND($B45="مقفلة",$E45=""),"المعتمد الثاني ناقص",IF(AND($B45="مقفلة",$E45&lt;&gt;"",$E45=$C45),"المُقفِل والمعتمد الثاني نفس الشخص",""))))))</f>
        <v/>
      </c>
    </row>
    <row r="46">
      <c r="A46" s="39" t="n"/>
      <c r="B46" s="39" t="n"/>
      <c r="C46" s="29" t="n"/>
      <c r="D46" s="31" t="n"/>
      <c r="E46" s="29" t="n"/>
      <c r="F46" s="42" t="n"/>
      <c r="G46" s="42" t="n"/>
      <c r="H46" s="42" t="n"/>
      <c r="I46" s="42" t="n"/>
      <c r="J46" s="29" t="n"/>
      <c r="K46" s="43">
        <f>IF($A46="","",SUMIFS(GL_Journal!$T:$T,GL_Journal!$G:$G,"&gt;=4000",GL_Journal!$G:$G,"&lt;=4999",GL_Journal!$D:$D,"&gt;="&amp;DATE(INT($A46/100),MOD($A46,100),1),GL_Journal!$D:$D,"&lt;="&amp;EOMONTH(DATE(INT($A46/100),MOD($A46,100),1),0),GL_Journal!$AE:$AE,0)-SUMIFS(GL_Journal!$S:$S,GL_Journal!$G:$G,"&gt;=4000",GL_Journal!$G:$G,"&lt;=4999",GL_Journal!$D:$D,"&gt;="&amp;DATE(INT($A46/100),MOD($A46,100),1),GL_Journal!$D:$D,"&lt;="&amp;EOMONTH(DATE(INT($A46/100),MOD($A46,100),1),0),GL_Journal!$AE:$AE,0))</f>
        <v/>
      </c>
      <c r="L46" s="43">
        <f>IF($A46="","",$K46-(SUMIFS(GL_Journal!$S:$S,GL_Journal!$G:$G,"&gt;=5000",GL_Journal!$G:$G,"&lt;=6999",GL_Journal!$D:$D,"&gt;="&amp;DATE(INT($A46/100),MOD($A46,100),1),GL_Journal!$D:$D,"&lt;="&amp;EOMONTH(DATE(INT($A46/100),MOD($A46,100),1),0),GL_Journal!$AE:$AE,0)-SUMIFS(GL_Journal!$T:$T,GL_Journal!$G:$G,"&gt;=5000",GL_Journal!$G:$G,"&lt;=6999",GL_Journal!$D:$D,"&gt;="&amp;DATE(INT($A46/100),MOD($A46,100),1),GL_Journal!$D:$D,"&lt;="&amp;EOMONTH(DATE(INT($A46/100),MOD($A46,100),1),0),GL_Journal!$AE:$AE,0)))</f>
        <v/>
      </c>
      <c r="M46" s="43">
        <f>IF($A46="","",SUMIFS(GL_Journal!$S:$S,GL_Journal!$G:$G,"&gt;=1000",GL_Journal!$G:$G,"&lt;=6999",GL_Journal!$D:$D,"&gt;="&amp;DATE(INT($A46/100),MOD($A46,100),1),GL_Journal!$D:$D,"&lt;="&amp;EOMONTH(DATE(INT($A46/100),MOD($A46,100),1),0)))</f>
        <v/>
      </c>
      <c r="N46" s="43">
        <f>IF($A46="","",SUMIFS(GL_Journal!$T:$T,GL_Journal!$G:$G,"&gt;=1000",GL_Journal!$G:$G,"&lt;=6999",GL_Journal!$D:$D,"&gt;="&amp;DATE(INT($A46/100),MOD($A46,100),1),GL_Journal!$D:$D,"&lt;="&amp;EOMONTH(DATE(INT($A46/100),MOD($A46,100),1),0)))</f>
        <v/>
      </c>
      <c r="O46" s="32">
        <f>IF(AND($B46="مقفلة",$A46&lt;&gt;""),IF(OR(ABS($K46-N($F46))&gt;S_Tol,ABS($L46-N($G46))&gt;S_Tol,ABS($M46-N($H46))&gt;S_Tol,ABS($N46-N($I46))&gt;S_Tol),"تغيّر بعد الإقفال: قيد مرحّل بأثر رجعي","") ,"")</f>
        <v/>
      </c>
      <c r="P46" s="32">
        <f>IF($A46="","",IF(COUNTIF($A:$A,$A46)&gt;1,"فترة مكررة",IF(AND($B46="مقفلة",$C46=""),"اسم المُقفِل ناقص",IF(AND($B46="مقفلة",NOT(ISNUMBER($D46))),"تاريخ الإقفال ناقص",IF(AND($B46="مقفلة",$E46=""),"المعتمد الثاني ناقص",IF(AND($B46="مقفلة",$E46&lt;&gt;"",$E46=$C46),"المُقفِل والمعتمد الثاني نفس الشخص",""))))))</f>
        <v/>
      </c>
    </row>
    <row r="47">
      <c r="A47" s="39" t="n"/>
      <c r="B47" s="39" t="n"/>
      <c r="C47" s="29" t="n"/>
      <c r="D47" s="31" t="n"/>
      <c r="E47" s="29" t="n"/>
      <c r="F47" s="42" t="n"/>
      <c r="G47" s="42" t="n"/>
      <c r="H47" s="42" t="n"/>
      <c r="I47" s="42" t="n"/>
      <c r="J47" s="29" t="n"/>
      <c r="K47" s="43">
        <f>IF($A47="","",SUMIFS(GL_Journal!$T:$T,GL_Journal!$G:$G,"&gt;=4000",GL_Journal!$G:$G,"&lt;=4999",GL_Journal!$D:$D,"&gt;="&amp;DATE(INT($A47/100),MOD($A47,100),1),GL_Journal!$D:$D,"&lt;="&amp;EOMONTH(DATE(INT($A47/100),MOD($A47,100),1),0),GL_Journal!$AE:$AE,0)-SUMIFS(GL_Journal!$S:$S,GL_Journal!$G:$G,"&gt;=4000",GL_Journal!$G:$G,"&lt;=4999",GL_Journal!$D:$D,"&gt;="&amp;DATE(INT($A47/100),MOD($A47,100),1),GL_Journal!$D:$D,"&lt;="&amp;EOMONTH(DATE(INT($A47/100),MOD($A47,100),1),0),GL_Journal!$AE:$AE,0))</f>
        <v/>
      </c>
      <c r="L47" s="43">
        <f>IF($A47="","",$K47-(SUMIFS(GL_Journal!$S:$S,GL_Journal!$G:$G,"&gt;=5000",GL_Journal!$G:$G,"&lt;=6999",GL_Journal!$D:$D,"&gt;="&amp;DATE(INT($A47/100),MOD($A47,100),1),GL_Journal!$D:$D,"&lt;="&amp;EOMONTH(DATE(INT($A47/100),MOD($A47,100),1),0),GL_Journal!$AE:$AE,0)-SUMIFS(GL_Journal!$T:$T,GL_Journal!$G:$G,"&gt;=5000",GL_Journal!$G:$G,"&lt;=6999",GL_Journal!$D:$D,"&gt;="&amp;DATE(INT($A47/100),MOD($A47,100),1),GL_Journal!$D:$D,"&lt;="&amp;EOMONTH(DATE(INT($A47/100),MOD($A47,100),1),0),GL_Journal!$AE:$AE,0)))</f>
        <v/>
      </c>
      <c r="M47" s="43">
        <f>IF($A47="","",SUMIFS(GL_Journal!$S:$S,GL_Journal!$G:$G,"&gt;=1000",GL_Journal!$G:$G,"&lt;=6999",GL_Journal!$D:$D,"&gt;="&amp;DATE(INT($A47/100),MOD($A47,100),1),GL_Journal!$D:$D,"&lt;="&amp;EOMONTH(DATE(INT($A47/100),MOD($A47,100),1),0)))</f>
        <v/>
      </c>
      <c r="N47" s="43">
        <f>IF($A47="","",SUMIFS(GL_Journal!$T:$T,GL_Journal!$G:$G,"&gt;=1000",GL_Journal!$G:$G,"&lt;=6999",GL_Journal!$D:$D,"&gt;="&amp;DATE(INT($A47/100),MOD($A47,100),1),GL_Journal!$D:$D,"&lt;="&amp;EOMONTH(DATE(INT($A47/100),MOD($A47,100),1),0)))</f>
        <v/>
      </c>
      <c r="O47" s="32">
        <f>IF(AND($B47="مقفلة",$A47&lt;&gt;""),IF(OR(ABS($K47-N($F47))&gt;S_Tol,ABS($L47-N($G47))&gt;S_Tol,ABS($M47-N($H47))&gt;S_Tol,ABS($N47-N($I47))&gt;S_Tol),"تغيّر بعد الإقفال: قيد مرحّل بأثر رجعي","") ,"")</f>
        <v/>
      </c>
      <c r="P47" s="32">
        <f>IF($A47="","",IF(COUNTIF($A:$A,$A47)&gt;1,"فترة مكررة",IF(AND($B47="مقفلة",$C47=""),"اسم المُقفِل ناقص",IF(AND($B47="مقفلة",NOT(ISNUMBER($D47))),"تاريخ الإقفال ناقص",IF(AND($B47="مقفلة",$E47=""),"المعتمد الثاني ناقص",IF(AND($B47="مقفلة",$E47&lt;&gt;"",$E47=$C47),"المُقفِل والمعتمد الثاني نفس الشخص",""))))))</f>
        <v/>
      </c>
    </row>
    <row r="48">
      <c r="A48" s="39" t="n"/>
      <c r="B48" s="39" t="n"/>
      <c r="C48" s="29" t="n"/>
      <c r="D48" s="31" t="n"/>
      <c r="E48" s="29" t="n"/>
      <c r="F48" s="42" t="n"/>
      <c r="G48" s="42" t="n"/>
      <c r="H48" s="42" t="n"/>
      <c r="I48" s="42" t="n"/>
      <c r="J48" s="29" t="n"/>
      <c r="K48" s="43">
        <f>IF($A48="","",SUMIFS(GL_Journal!$T:$T,GL_Journal!$G:$G,"&gt;=4000",GL_Journal!$G:$G,"&lt;=4999",GL_Journal!$D:$D,"&gt;="&amp;DATE(INT($A48/100),MOD($A48,100),1),GL_Journal!$D:$D,"&lt;="&amp;EOMONTH(DATE(INT($A48/100),MOD($A48,100),1),0),GL_Journal!$AE:$AE,0)-SUMIFS(GL_Journal!$S:$S,GL_Journal!$G:$G,"&gt;=4000",GL_Journal!$G:$G,"&lt;=4999",GL_Journal!$D:$D,"&gt;="&amp;DATE(INT($A48/100),MOD($A48,100),1),GL_Journal!$D:$D,"&lt;="&amp;EOMONTH(DATE(INT($A48/100),MOD($A48,100),1),0),GL_Journal!$AE:$AE,0))</f>
        <v/>
      </c>
      <c r="L48" s="43">
        <f>IF($A48="","",$K48-(SUMIFS(GL_Journal!$S:$S,GL_Journal!$G:$G,"&gt;=5000",GL_Journal!$G:$G,"&lt;=6999",GL_Journal!$D:$D,"&gt;="&amp;DATE(INT($A48/100),MOD($A48,100),1),GL_Journal!$D:$D,"&lt;="&amp;EOMONTH(DATE(INT($A48/100),MOD($A48,100),1),0),GL_Journal!$AE:$AE,0)-SUMIFS(GL_Journal!$T:$T,GL_Journal!$G:$G,"&gt;=5000",GL_Journal!$G:$G,"&lt;=6999",GL_Journal!$D:$D,"&gt;="&amp;DATE(INT($A48/100),MOD($A48,100),1),GL_Journal!$D:$D,"&lt;="&amp;EOMONTH(DATE(INT($A48/100),MOD($A48,100),1),0),GL_Journal!$AE:$AE,0)))</f>
        <v/>
      </c>
      <c r="M48" s="43">
        <f>IF($A48="","",SUMIFS(GL_Journal!$S:$S,GL_Journal!$G:$G,"&gt;=1000",GL_Journal!$G:$G,"&lt;=6999",GL_Journal!$D:$D,"&gt;="&amp;DATE(INT($A48/100),MOD($A48,100),1),GL_Journal!$D:$D,"&lt;="&amp;EOMONTH(DATE(INT($A48/100),MOD($A48,100),1),0)))</f>
        <v/>
      </c>
      <c r="N48" s="43">
        <f>IF($A48="","",SUMIFS(GL_Journal!$T:$T,GL_Journal!$G:$G,"&gt;=1000",GL_Journal!$G:$G,"&lt;=6999",GL_Journal!$D:$D,"&gt;="&amp;DATE(INT($A48/100),MOD($A48,100),1),GL_Journal!$D:$D,"&lt;="&amp;EOMONTH(DATE(INT($A48/100),MOD($A48,100),1),0)))</f>
        <v/>
      </c>
      <c r="O48" s="32">
        <f>IF(AND($B48="مقفلة",$A48&lt;&gt;""),IF(OR(ABS($K48-N($F48))&gt;S_Tol,ABS($L48-N($G48))&gt;S_Tol,ABS($M48-N($H48))&gt;S_Tol,ABS($N48-N($I48))&gt;S_Tol),"تغيّر بعد الإقفال: قيد مرحّل بأثر رجعي","") ,"")</f>
        <v/>
      </c>
      <c r="P48" s="32">
        <f>IF($A48="","",IF(COUNTIF($A:$A,$A48)&gt;1,"فترة مكررة",IF(AND($B48="مقفلة",$C48=""),"اسم المُقفِل ناقص",IF(AND($B48="مقفلة",NOT(ISNUMBER($D48))),"تاريخ الإقفال ناقص",IF(AND($B48="مقفلة",$E48=""),"المعتمد الثاني ناقص",IF(AND($B48="مقفلة",$E48&lt;&gt;"",$E48=$C48),"المُقفِل والمعتمد الثاني نفس الشخص",""))))))</f>
        <v/>
      </c>
    </row>
    <row r="49">
      <c r="A49" s="39" t="n"/>
      <c r="B49" s="39" t="n"/>
      <c r="C49" s="29" t="n"/>
      <c r="D49" s="31" t="n"/>
      <c r="E49" s="29" t="n"/>
      <c r="F49" s="42" t="n"/>
      <c r="G49" s="42" t="n"/>
      <c r="H49" s="42" t="n"/>
      <c r="I49" s="42" t="n"/>
      <c r="J49" s="29" t="n"/>
      <c r="K49" s="43">
        <f>IF($A49="","",SUMIFS(GL_Journal!$T:$T,GL_Journal!$G:$G,"&gt;=4000",GL_Journal!$G:$G,"&lt;=4999",GL_Journal!$D:$D,"&gt;="&amp;DATE(INT($A49/100),MOD($A49,100),1),GL_Journal!$D:$D,"&lt;="&amp;EOMONTH(DATE(INT($A49/100),MOD($A49,100),1),0),GL_Journal!$AE:$AE,0)-SUMIFS(GL_Journal!$S:$S,GL_Journal!$G:$G,"&gt;=4000",GL_Journal!$G:$G,"&lt;=4999",GL_Journal!$D:$D,"&gt;="&amp;DATE(INT($A49/100),MOD($A49,100),1),GL_Journal!$D:$D,"&lt;="&amp;EOMONTH(DATE(INT($A49/100),MOD($A49,100),1),0),GL_Journal!$AE:$AE,0))</f>
        <v/>
      </c>
      <c r="L49" s="43">
        <f>IF($A49="","",$K49-(SUMIFS(GL_Journal!$S:$S,GL_Journal!$G:$G,"&gt;=5000",GL_Journal!$G:$G,"&lt;=6999",GL_Journal!$D:$D,"&gt;="&amp;DATE(INT($A49/100),MOD($A49,100),1),GL_Journal!$D:$D,"&lt;="&amp;EOMONTH(DATE(INT($A49/100),MOD($A49,100),1),0),GL_Journal!$AE:$AE,0)-SUMIFS(GL_Journal!$T:$T,GL_Journal!$G:$G,"&gt;=5000",GL_Journal!$G:$G,"&lt;=6999",GL_Journal!$D:$D,"&gt;="&amp;DATE(INT($A49/100),MOD($A49,100),1),GL_Journal!$D:$D,"&lt;="&amp;EOMONTH(DATE(INT($A49/100),MOD($A49,100),1),0),GL_Journal!$AE:$AE,0)))</f>
        <v/>
      </c>
      <c r="M49" s="43">
        <f>IF($A49="","",SUMIFS(GL_Journal!$S:$S,GL_Journal!$G:$G,"&gt;=1000",GL_Journal!$G:$G,"&lt;=6999",GL_Journal!$D:$D,"&gt;="&amp;DATE(INT($A49/100),MOD($A49,100),1),GL_Journal!$D:$D,"&lt;="&amp;EOMONTH(DATE(INT($A49/100),MOD($A49,100),1),0)))</f>
        <v/>
      </c>
      <c r="N49" s="43">
        <f>IF($A49="","",SUMIFS(GL_Journal!$T:$T,GL_Journal!$G:$G,"&gt;=1000",GL_Journal!$G:$G,"&lt;=6999",GL_Journal!$D:$D,"&gt;="&amp;DATE(INT($A49/100),MOD($A49,100),1),GL_Journal!$D:$D,"&lt;="&amp;EOMONTH(DATE(INT($A49/100),MOD($A49,100),1),0)))</f>
        <v/>
      </c>
      <c r="O49" s="32">
        <f>IF(AND($B49="مقفلة",$A49&lt;&gt;""),IF(OR(ABS($K49-N($F49))&gt;S_Tol,ABS($L49-N($G49))&gt;S_Tol,ABS($M49-N($H49))&gt;S_Tol,ABS($N49-N($I49))&gt;S_Tol),"تغيّر بعد الإقفال: قيد مرحّل بأثر رجعي","") ,"")</f>
        <v/>
      </c>
      <c r="P49" s="32">
        <f>IF($A49="","",IF(COUNTIF($A:$A,$A49)&gt;1,"فترة مكررة",IF(AND($B49="مقفلة",$C49=""),"اسم المُقفِل ناقص",IF(AND($B49="مقفلة",NOT(ISNUMBER($D49))),"تاريخ الإقفال ناقص",IF(AND($B49="مقفلة",$E49=""),"المعتمد الثاني ناقص",IF(AND($B49="مقفلة",$E49&lt;&gt;"",$E49=$C49),"المُقفِل والمعتمد الثاني نفس الشخص",""))))))</f>
        <v/>
      </c>
    </row>
    <row r="50">
      <c r="A50" s="39" t="n"/>
      <c r="B50" s="39" t="n"/>
      <c r="C50" s="29" t="n"/>
      <c r="D50" s="31" t="n"/>
      <c r="E50" s="29" t="n"/>
      <c r="F50" s="42" t="n"/>
      <c r="G50" s="42" t="n"/>
      <c r="H50" s="42" t="n"/>
      <c r="I50" s="42" t="n"/>
      <c r="J50" s="29" t="n"/>
      <c r="K50" s="43">
        <f>IF($A50="","",SUMIFS(GL_Journal!$T:$T,GL_Journal!$G:$G,"&gt;=4000",GL_Journal!$G:$G,"&lt;=4999",GL_Journal!$D:$D,"&gt;="&amp;DATE(INT($A50/100),MOD($A50,100),1),GL_Journal!$D:$D,"&lt;="&amp;EOMONTH(DATE(INT($A50/100),MOD($A50,100),1),0),GL_Journal!$AE:$AE,0)-SUMIFS(GL_Journal!$S:$S,GL_Journal!$G:$G,"&gt;=4000",GL_Journal!$G:$G,"&lt;=4999",GL_Journal!$D:$D,"&gt;="&amp;DATE(INT($A50/100),MOD($A50,100),1),GL_Journal!$D:$D,"&lt;="&amp;EOMONTH(DATE(INT($A50/100),MOD($A50,100),1),0),GL_Journal!$AE:$AE,0))</f>
        <v/>
      </c>
      <c r="L50" s="43">
        <f>IF($A50="","",$K50-(SUMIFS(GL_Journal!$S:$S,GL_Journal!$G:$G,"&gt;=5000",GL_Journal!$G:$G,"&lt;=6999",GL_Journal!$D:$D,"&gt;="&amp;DATE(INT($A50/100),MOD($A50,100),1),GL_Journal!$D:$D,"&lt;="&amp;EOMONTH(DATE(INT($A50/100),MOD($A50,100),1),0),GL_Journal!$AE:$AE,0)-SUMIFS(GL_Journal!$T:$T,GL_Journal!$G:$G,"&gt;=5000",GL_Journal!$G:$G,"&lt;=6999",GL_Journal!$D:$D,"&gt;="&amp;DATE(INT($A50/100),MOD($A50,100),1),GL_Journal!$D:$D,"&lt;="&amp;EOMONTH(DATE(INT($A50/100),MOD($A50,100),1),0),GL_Journal!$AE:$AE,0)))</f>
        <v/>
      </c>
      <c r="M50" s="43">
        <f>IF($A50="","",SUMIFS(GL_Journal!$S:$S,GL_Journal!$G:$G,"&gt;=1000",GL_Journal!$G:$G,"&lt;=6999",GL_Journal!$D:$D,"&gt;="&amp;DATE(INT($A50/100),MOD($A50,100),1),GL_Journal!$D:$D,"&lt;="&amp;EOMONTH(DATE(INT($A50/100),MOD($A50,100),1),0)))</f>
        <v/>
      </c>
      <c r="N50" s="43">
        <f>IF($A50="","",SUMIFS(GL_Journal!$T:$T,GL_Journal!$G:$G,"&gt;=1000",GL_Journal!$G:$G,"&lt;=6999",GL_Journal!$D:$D,"&gt;="&amp;DATE(INT($A50/100),MOD($A50,100),1),GL_Journal!$D:$D,"&lt;="&amp;EOMONTH(DATE(INT($A50/100),MOD($A50,100),1),0)))</f>
        <v/>
      </c>
      <c r="O50" s="32">
        <f>IF(AND($B50="مقفلة",$A50&lt;&gt;""),IF(OR(ABS($K50-N($F50))&gt;S_Tol,ABS($L50-N($G50))&gt;S_Tol,ABS($M50-N($H50))&gt;S_Tol,ABS($N50-N($I50))&gt;S_Tol),"تغيّر بعد الإقفال: قيد مرحّل بأثر رجعي","") ,"")</f>
        <v/>
      </c>
      <c r="P50" s="32">
        <f>IF($A50="","",IF(COUNTIF($A:$A,$A50)&gt;1,"فترة مكررة",IF(AND($B50="مقفلة",$C50=""),"اسم المُقفِل ناقص",IF(AND($B50="مقفلة",NOT(ISNUMBER($D50))),"تاريخ الإقفال ناقص",IF(AND($B50="مقفلة",$E50=""),"المعتمد الثاني ناقص",IF(AND($B50="مقفلة",$E50&lt;&gt;"",$E50=$C50),"المُقفِل والمعتمد الثاني نفس الشخص",""))))))</f>
        <v/>
      </c>
    </row>
    <row r="51">
      <c r="A51" s="39" t="n"/>
      <c r="B51" s="39" t="n"/>
      <c r="C51" s="29" t="n"/>
      <c r="D51" s="31" t="n"/>
      <c r="E51" s="29" t="n"/>
      <c r="F51" s="42" t="n"/>
      <c r="G51" s="42" t="n"/>
      <c r="H51" s="42" t="n"/>
      <c r="I51" s="42" t="n"/>
      <c r="J51" s="29" t="n"/>
      <c r="K51" s="43">
        <f>IF($A51="","",SUMIFS(GL_Journal!$T:$T,GL_Journal!$G:$G,"&gt;=4000",GL_Journal!$G:$G,"&lt;=4999",GL_Journal!$D:$D,"&gt;="&amp;DATE(INT($A51/100),MOD($A51,100),1),GL_Journal!$D:$D,"&lt;="&amp;EOMONTH(DATE(INT($A51/100),MOD($A51,100),1),0),GL_Journal!$AE:$AE,0)-SUMIFS(GL_Journal!$S:$S,GL_Journal!$G:$G,"&gt;=4000",GL_Journal!$G:$G,"&lt;=4999",GL_Journal!$D:$D,"&gt;="&amp;DATE(INT($A51/100),MOD($A51,100),1),GL_Journal!$D:$D,"&lt;="&amp;EOMONTH(DATE(INT($A51/100),MOD($A51,100),1),0),GL_Journal!$AE:$AE,0))</f>
        <v/>
      </c>
      <c r="L51" s="43">
        <f>IF($A51="","",$K51-(SUMIFS(GL_Journal!$S:$S,GL_Journal!$G:$G,"&gt;=5000",GL_Journal!$G:$G,"&lt;=6999",GL_Journal!$D:$D,"&gt;="&amp;DATE(INT($A51/100),MOD($A51,100),1),GL_Journal!$D:$D,"&lt;="&amp;EOMONTH(DATE(INT($A51/100),MOD($A51,100),1),0),GL_Journal!$AE:$AE,0)-SUMIFS(GL_Journal!$T:$T,GL_Journal!$G:$G,"&gt;=5000",GL_Journal!$G:$G,"&lt;=6999",GL_Journal!$D:$D,"&gt;="&amp;DATE(INT($A51/100),MOD($A51,100),1),GL_Journal!$D:$D,"&lt;="&amp;EOMONTH(DATE(INT($A51/100),MOD($A51,100),1),0),GL_Journal!$AE:$AE,0)))</f>
        <v/>
      </c>
      <c r="M51" s="43">
        <f>IF($A51="","",SUMIFS(GL_Journal!$S:$S,GL_Journal!$G:$G,"&gt;=1000",GL_Journal!$G:$G,"&lt;=6999",GL_Journal!$D:$D,"&gt;="&amp;DATE(INT($A51/100),MOD($A51,100),1),GL_Journal!$D:$D,"&lt;="&amp;EOMONTH(DATE(INT($A51/100),MOD($A51,100),1),0)))</f>
        <v/>
      </c>
      <c r="N51" s="43">
        <f>IF($A51="","",SUMIFS(GL_Journal!$T:$T,GL_Journal!$G:$G,"&gt;=1000",GL_Journal!$G:$G,"&lt;=6999",GL_Journal!$D:$D,"&gt;="&amp;DATE(INT($A51/100),MOD($A51,100),1),GL_Journal!$D:$D,"&lt;="&amp;EOMONTH(DATE(INT($A51/100),MOD($A51,100),1),0)))</f>
        <v/>
      </c>
      <c r="O51" s="32">
        <f>IF(AND($B51="مقفلة",$A51&lt;&gt;""),IF(OR(ABS($K51-N($F51))&gt;S_Tol,ABS($L51-N($G51))&gt;S_Tol,ABS($M51-N($H51))&gt;S_Tol,ABS($N51-N($I51))&gt;S_Tol),"تغيّر بعد الإقفال: قيد مرحّل بأثر رجعي","") ,"")</f>
        <v/>
      </c>
      <c r="P51" s="32">
        <f>IF($A51="","",IF(COUNTIF($A:$A,$A51)&gt;1,"فترة مكررة",IF(AND($B51="مقفلة",$C51=""),"اسم المُقفِل ناقص",IF(AND($B51="مقفلة",NOT(ISNUMBER($D51))),"تاريخ الإقفال ناقص",IF(AND($B51="مقفلة",$E51=""),"المعتمد الثاني ناقص",IF(AND($B51="مقفلة",$E51&lt;&gt;"",$E51=$C51),"المُقفِل والمعتمد الثاني نفس الشخص",""))))))</f>
        <v/>
      </c>
    </row>
    <row r="52">
      <c r="A52" s="39" t="n"/>
      <c r="B52" s="39" t="n"/>
      <c r="C52" s="29" t="n"/>
      <c r="D52" s="31" t="n"/>
      <c r="E52" s="29" t="n"/>
      <c r="F52" s="42" t="n"/>
      <c r="G52" s="42" t="n"/>
      <c r="H52" s="42" t="n"/>
      <c r="I52" s="42" t="n"/>
      <c r="J52" s="29" t="n"/>
      <c r="K52" s="43">
        <f>IF($A52="","",SUMIFS(GL_Journal!$T:$T,GL_Journal!$G:$G,"&gt;=4000",GL_Journal!$G:$G,"&lt;=4999",GL_Journal!$D:$D,"&gt;="&amp;DATE(INT($A52/100),MOD($A52,100),1),GL_Journal!$D:$D,"&lt;="&amp;EOMONTH(DATE(INT($A52/100),MOD($A52,100),1),0),GL_Journal!$AE:$AE,0)-SUMIFS(GL_Journal!$S:$S,GL_Journal!$G:$G,"&gt;=4000",GL_Journal!$G:$G,"&lt;=4999",GL_Journal!$D:$D,"&gt;="&amp;DATE(INT($A52/100),MOD($A52,100),1),GL_Journal!$D:$D,"&lt;="&amp;EOMONTH(DATE(INT($A52/100),MOD($A52,100),1),0),GL_Journal!$AE:$AE,0))</f>
        <v/>
      </c>
      <c r="L52" s="43">
        <f>IF($A52="","",$K52-(SUMIFS(GL_Journal!$S:$S,GL_Journal!$G:$G,"&gt;=5000",GL_Journal!$G:$G,"&lt;=6999",GL_Journal!$D:$D,"&gt;="&amp;DATE(INT($A52/100),MOD($A52,100),1),GL_Journal!$D:$D,"&lt;="&amp;EOMONTH(DATE(INT($A52/100),MOD($A52,100),1),0),GL_Journal!$AE:$AE,0)-SUMIFS(GL_Journal!$T:$T,GL_Journal!$G:$G,"&gt;=5000",GL_Journal!$G:$G,"&lt;=6999",GL_Journal!$D:$D,"&gt;="&amp;DATE(INT($A52/100),MOD($A52,100),1),GL_Journal!$D:$D,"&lt;="&amp;EOMONTH(DATE(INT($A52/100),MOD($A52,100),1),0),GL_Journal!$AE:$AE,0)))</f>
        <v/>
      </c>
      <c r="M52" s="43">
        <f>IF($A52="","",SUMIFS(GL_Journal!$S:$S,GL_Journal!$G:$G,"&gt;=1000",GL_Journal!$G:$G,"&lt;=6999",GL_Journal!$D:$D,"&gt;="&amp;DATE(INT($A52/100),MOD($A52,100),1),GL_Journal!$D:$D,"&lt;="&amp;EOMONTH(DATE(INT($A52/100),MOD($A52,100),1),0)))</f>
        <v/>
      </c>
      <c r="N52" s="43">
        <f>IF($A52="","",SUMIFS(GL_Journal!$T:$T,GL_Journal!$G:$G,"&gt;=1000",GL_Journal!$G:$G,"&lt;=6999",GL_Journal!$D:$D,"&gt;="&amp;DATE(INT($A52/100),MOD($A52,100),1),GL_Journal!$D:$D,"&lt;="&amp;EOMONTH(DATE(INT($A52/100),MOD($A52,100),1),0)))</f>
        <v/>
      </c>
      <c r="O52" s="32">
        <f>IF(AND($B52="مقفلة",$A52&lt;&gt;""),IF(OR(ABS($K52-N($F52))&gt;S_Tol,ABS($L52-N($G52))&gt;S_Tol,ABS($M52-N($H52))&gt;S_Tol,ABS($N52-N($I52))&gt;S_Tol),"تغيّر بعد الإقفال: قيد مرحّل بأثر رجعي","") ,"")</f>
        <v/>
      </c>
      <c r="P52" s="32">
        <f>IF($A52="","",IF(COUNTIF($A:$A,$A52)&gt;1,"فترة مكررة",IF(AND($B52="مقفلة",$C52=""),"اسم المُقفِل ناقص",IF(AND($B52="مقفلة",NOT(ISNUMBER($D52))),"تاريخ الإقفال ناقص",IF(AND($B52="مقفلة",$E52=""),"المعتمد الثاني ناقص",IF(AND($B52="مقفلة",$E52&lt;&gt;"",$E52=$C52),"المُقفِل والمعتمد الثاني نفس الشخص",""))))))</f>
        <v/>
      </c>
    </row>
    <row r="53">
      <c r="A53" s="39" t="n"/>
      <c r="B53" s="39" t="n"/>
      <c r="C53" s="29" t="n"/>
      <c r="D53" s="31" t="n"/>
      <c r="E53" s="29" t="n"/>
      <c r="F53" s="42" t="n"/>
      <c r="G53" s="42" t="n"/>
      <c r="H53" s="42" t="n"/>
      <c r="I53" s="42" t="n"/>
      <c r="J53" s="29" t="n"/>
      <c r="K53" s="43">
        <f>IF($A53="","",SUMIFS(GL_Journal!$T:$T,GL_Journal!$G:$G,"&gt;=4000",GL_Journal!$G:$G,"&lt;=4999",GL_Journal!$D:$D,"&gt;="&amp;DATE(INT($A53/100),MOD($A53,100),1),GL_Journal!$D:$D,"&lt;="&amp;EOMONTH(DATE(INT($A53/100),MOD($A53,100),1),0),GL_Journal!$AE:$AE,0)-SUMIFS(GL_Journal!$S:$S,GL_Journal!$G:$G,"&gt;=4000",GL_Journal!$G:$G,"&lt;=4999",GL_Journal!$D:$D,"&gt;="&amp;DATE(INT($A53/100),MOD($A53,100),1),GL_Journal!$D:$D,"&lt;="&amp;EOMONTH(DATE(INT($A53/100),MOD($A53,100),1),0),GL_Journal!$AE:$AE,0))</f>
        <v/>
      </c>
      <c r="L53" s="43">
        <f>IF($A53="","",$K53-(SUMIFS(GL_Journal!$S:$S,GL_Journal!$G:$G,"&gt;=5000",GL_Journal!$G:$G,"&lt;=6999",GL_Journal!$D:$D,"&gt;="&amp;DATE(INT($A53/100),MOD($A53,100),1),GL_Journal!$D:$D,"&lt;="&amp;EOMONTH(DATE(INT($A53/100),MOD($A53,100),1),0),GL_Journal!$AE:$AE,0)-SUMIFS(GL_Journal!$T:$T,GL_Journal!$G:$G,"&gt;=5000",GL_Journal!$G:$G,"&lt;=6999",GL_Journal!$D:$D,"&gt;="&amp;DATE(INT($A53/100),MOD($A53,100),1),GL_Journal!$D:$D,"&lt;="&amp;EOMONTH(DATE(INT($A53/100),MOD($A53,100),1),0),GL_Journal!$AE:$AE,0)))</f>
        <v/>
      </c>
      <c r="M53" s="43">
        <f>IF($A53="","",SUMIFS(GL_Journal!$S:$S,GL_Journal!$G:$G,"&gt;=1000",GL_Journal!$G:$G,"&lt;=6999",GL_Journal!$D:$D,"&gt;="&amp;DATE(INT($A53/100),MOD($A53,100),1),GL_Journal!$D:$D,"&lt;="&amp;EOMONTH(DATE(INT($A53/100),MOD($A53,100),1),0)))</f>
        <v/>
      </c>
      <c r="N53" s="43">
        <f>IF($A53="","",SUMIFS(GL_Journal!$T:$T,GL_Journal!$G:$G,"&gt;=1000",GL_Journal!$G:$G,"&lt;=6999",GL_Journal!$D:$D,"&gt;="&amp;DATE(INT($A53/100),MOD($A53,100),1),GL_Journal!$D:$D,"&lt;="&amp;EOMONTH(DATE(INT($A53/100),MOD($A53,100),1),0)))</f>
        <v/>
      </c>
      <c r="O53" s="32">
        <f>IF(AND($B53="مقفلة",$A53&lt;&gt;""),IF(OR(ABS($K53-N($F53))&gt;S_Tol,ABS($L53-N($G53))&gt;S_Tol,ABS($M53-N($H53))&gt;S_Tol,ABS($N53-N($I53))&gt;S_Tol),"تغيّر بعد الإقفال: قيد مرحّل بأثر رجعي","") ,"")</f>
        <v/>
      </c>
      <c r="P53" s="32">
        <f>IF($A53="","",IF(COUNTIF($A:$A,$A53)&gt;1,"فترة مكررة",IF(AND($B53="مقفلة",$C53=""),"اسم المُقفِل ناقص",IF(AND($B53="مقفلة",NOT(ISNUMBER($D53))),"تاريخ الإقفال ناقص",IF(AND($B53="مقفلة",$E53=""),"المعتمد الثاني ناقص",IF(AND($B53="مقفلة",$E53&lt;&gt;"",$E53=$C53),"المُقفِل والمعتمد الثاني نفس الشخص",""))))))</f>
        <v/>
      </c>
    </row>
    <row r="54">
      <c r="A54" s="39" t="n"/>
      <c r="B54" s="39" t="n"/>
      <c r="C54" s="29" t="n"/>
      <c r="D54" s="31" t="n"/>
      <c r="E54" s="29" t="n"/>
      <c r="F54" s="42" t="n"/>
      <c r="G54" s="42" t="n"/>
      <c r="H54" s="42" t="n"/>
      <c r="I54" s="42" t="n"/>
      <c r="J54" s="29" t="n"/>
      <c r="K54" s="43">
        <f>IF($A54="","",SUMIFS(GL_Journal!$T:$T,GL_Journal!$G:$G,"&gt;=4000",GL_Journal!$G:$G,"&lt;=4999",GL_Journal!$D:$D,"&gt;="&amp;DATE(INT($A54/100),MOD($A54,100),1),GL_Journal!$D:$D,"&lt;="&amp;EOMONTH(DATE(INT($A54/100),MOD($A54,100),1),0),GL_Journal!$AE:$AE,0)-SUMIFS(GL_Journal!$S:$S,GL_Journal!$G:$G,"&gt;=4000",GL_Journal!$G:$G,"&lt;=4999",GL_Journal!$D:$D,"&gt;="&amp;DATE(INT($A54/100),MOD($A54,100),1),GL_Journal!$D:$D,"&lt;="&amp;EOMONTH(DATE(INT($A54/100),MOD($A54,100),1),0),GL_Journal!$AE:$AE,0))</f>
        <v/>
      </c>
      <c r="L54" s="43">
        <f>IF($A54="","",$K54-(SUMIFS(GL_Journal!$S:$S,GL_Journal!$G:$G,"&gt;=5000",GL_Journal!$G:$G,"&lt;=6999",GL_Journal!$D:$D,"&gt;="&amp;DATE(INT($A54/100),MOD($A54,100),1),GL_Journal!$D:$D,"&lt;="&amp;EOMONTH(DATE(INT($A54/100),MOD($A54,100),1),0),GL_Journal!$AE:$AE,0)-SUMIFS(GL_Journal!$T:$T,GL_Journal!$G:$G,"&gt;=5000",GL_Journal!$G:$G,"&lt;=6999",GL_Journal!$D:$D,"&gt;="&amp;DATE(INT($A54/100),MOD($A54,100),1),GL_Journal!$D:$D,"&lt;="&amp;EOMONTH(DATE(INT($A54/100),MOD($A54,100),1),0),GL_Journal!$AE:$AE,0)))</f>
        <v/>
      </c>
      <c r="M54" s="43">
        <f>IF($A54="","",SUMIFS(GL_Journal!$S:$S,GL_Journal!$G:$G,"&gt;=1000",GL_Journal!$G:$G,"&lt;=6999",GL_Journal!$D:$D,"&gt;="&amp;DATE(INT($A54/100),MOD($A54,100),1),GL_Journal!$D:$D,"&lt;="&amp;EOMONTH(DATE(INT($A54/100),MOD($A54,100),1),0)))</f>
        <v/>
      </c>
      <c r="N54" s="43">
        <f>IF($A54="","",SUMIFS(GL_Journal!$T:$T,GL_Journal!$G:$G,"&gt;=1000",GL_Journal!$G:$G,"&lt;=6999",GL_Journal!$D:$D,"&gt;="&amp;DATE(INT($A54/100),MOD($A54,100),1),GL_Journal!$D:$D,"&lt;="&amp;EOMONTH(DATE(INT($A54/100),MOD($A54,100),1),0)))</f>
        <v/>
      </c>
      <c r="O54" s="32">
        <f>IF(AND($B54="مقفلة",$A54&lt;&gt;""),IF(OR(ABS($K54-N($F54))&gt;S_Tol,ABS($L54-N($G54))&gt;S_Tol,ABS($M54-N($H54))&gt;S_Tol,ABS($N54-N($I54))&gt;S_Tol),"تغيّر بعد الإقفال: قيد مرحّل بأثر رجعي","") ,"")</f>
        <v/>
      </c>
      <c r="P54" s="32">
        <f>IF($A54="","",IF(COUNTIF($A:$A,$A54)&gt;1,"فترة مكررة",IF(AND($B54="مقفلة",$C54=""),"اسم المُقفِل ناقص",IF(AND($B54="مقفلة",NOT(ISNUMBER($D54))),"تاريخ الإقفال ناقص",IF(AND($B54="مقفلة",$E54=""),"المعتمد الثاني ناقص",IF(AND($B54="مقفلة",$E54&lt;&gt;"",$E54=$C54),"المُقفِل والمعتمد الثاني نفس الشخص",""))))))</f>
        <v/>
      </c>
    </row>
    <row r="55">
      <c r="A55" s="39" t="n"/>
      <c r="B55" s="39" t="n"/>
      <c r="C55" s="29" t="n"/>
      <c r="D55" s="31" t="n"/>
      <c r="E55" s="29" t="n"/>
      <c r="F55" s="42" t="n"/>
      <c r="G55" s="42" t="n"/>
      <c r="H55" s="42" t="n"/>
      <c r="I55" s="42" t="n"/>
      <c r="J55" s="29" t="n"/>
      <c r="K55" s="43">
        <f>IF($A55="","",SUMIFS(GL_Journal!$T:$T,GL_Journal!$G:$G,"&gt;=4000",GL_Journal!$G:$G,"&lt;=4999",GL_Journal!$D:$D,"&gt;="&amp;DATE(INT($A55/100),MOD($A55,100),1),GL_Journal!$D:$D,"&lt;="&amp;EOMONTH(DATE(INT($A55/100),MOD($A55,100),1),0),GL_Journal!$AE:$AE,0)-SUMIFS(GL_Journal!$S:$S,GL_Journal!$G:$G,"&gt;=4000",GL_Journal!$G:$G,"&lt;=4999",GL_Journal!$D:$D,"&gt;="&amp;DATE(INT($A55/100),MOD($A55,100),1),GL_Journal!$D:$D,"&lt;="&amp;EOMONTH(DATE(INT($A55/100),MOD($A55,100),1),0),GL_Journal!$AE:$AE,0))</f>
        <v/>
      </c>
      <c r="L55" s="43">
        <f>IF($A55="","",$K55-(SUMIFS(GL_Journal!$S:$S,GL_Journal!$G:$G,"&gt;=5000",GL_Journal!$G:$G,"&lt;=6999",GL_Journal!$D:$D,"&gt;="&amp;DATE(INT($A55/100),MOD($A55,100),1),GL_Journal!$D:$D,"&lt;="&amp;EOMONTH(DATE(INT($A55/100),MOD($A55,100),1),0),GL_Journal!$AE:$AE,0)-SUMIFS(GL_Journal!$T:$T,GL_Journal!$G:$G,"&gt;=5000",GL_Journal!$G:$G,"&lt;=6999",GL_Journal!$D:$D,"&gt;="&amp;DATE(INT($A55/100),MOD($A55,100),1),GL_Journal!$D:$D,"&lt;="&amp;EOMONTH(DATE(INT($A55/100),MOD($A55,100),1),0),GL_Journal!$AE:$AE,0)))</f>
        <v/>
      </c>
      <c r="M55" s="43">
        <f>IF($A55="","",SUMIFS(GL_Journal!$S:$S,GL_Journal!$G:$G,"&gt;=1000",GL_Journal!$G:$G,"&lt;=6999",GL_Journal!$D:$D,"&gt;="&amp;DATE(INT($A55/100),MOD($A55,100),1),GL_Journal!$D:$D,"&lt;="&amp;EOMONTH(DATE(INT($A55/100),MOD($A55,100),1),0)))</f>
        <v/>
      </c>
      <c r="N55" s="43">
        <f>IF($A55="","",SUMIFS(GL_Journal!$T:$T,GL_Journal!$G:$G,"&gt;=1000",GL_Journal!$G:$G,"&lt;=6999",GL_Journal!$D:$D,"&gt;="&amp;DATE(INT($A55/100),MOD($A55,100),1),GL_Journal!$D:$D,"&lt;="&amp;EOMONTH(DATE(INT($A55/100),MOD($A55,100),1),0)))</f>
        <v/>
      </c>
      <c r="O55" s="32">
        <f>IF(AND($B55="مقفلة",$A55&lt;&gt;""),IF(OR(ABS($K55-N($F55))&gt;S_Tol,ABS($L55-N($G55))&gt;S_Tol,ABS($M55-N($H55))&gt;S_Tol,ABS($N55-N($I55))&gt;S_Tol),"تغيّر بعد الإقفال: قيد مرحّل بأثر رجعي","") ,"")</f>
        <v/>
      </c>
      <c r="P55" s="32">
        <f>IF($A55="","",IF(COUNTIF($A:$A,$A55)&gt;1,"فترة مكررة",IF(AND($B55="مقفلة",$C55=""),"اسم المُقفِل ناقص",IF(AND($B55="مقفلة",NOT(ISNUMBER($D55))),"تاريخ الإقفال ناقص",IF(AND($B55="مقفلة",$E55=""),"المعتمد الثاني ناقص",IF(AND($B55="مقفلة",$E55&lt;&gt;"",$E55=$C55),"المُقفِل والمعتمد الثاني نفس الشخص",""))))))</f>
        <v/>
      </c>
    </row>
    <row r="56">
      <c r="A56" s="39" t="n"/>
      <c r="B56" s="39" t="n"/>
      <c r="C56" s="29" t="n"/>
      <c r="D56" s="31" t="n"/>
      <c r="E56" s="29" t="n"/>
      <c r="F56" s="42" t="n"/>
      <c r="G56" s="42" t="n"/>
      <c r="H56" s="42" t="n"/>
      <c r="I56" s="42" t="n"/>
      <c r="J56" s="29" t="n"/>
      <c r="K56" s="43">
        <f>IF($A56="","",SUMIFS(GL_Journal!$T:$T,GL_Journal!$G:$G,"&gt;=4000",GL_Journal!$G:$G,"&lt;=4999",GL_Journal!$D:$D,"&gt;="&amp;DATE(INT($A56/100),MOD($A56,100),1),GL_Journal!$D:$D,"&lt;="&amp;EOMONTH(DATE(INT($A56/100),MOD($A56,100),1),0),GL_Journal!$AE:$AE,0)-SUMIFS(GL_Journal!$S:$S,GL_Journal!$G:$G,"&gt;=4000",GL_Journal!$G:$G,"&lt;=4999",GL_Journal!$D:$D,"&gt;="&amp;DATE(INT($A56/100),MOD($A56,100),1),GL_Journal!$D:$D,"&lt;="&amp;EOMONTH(DATE(INT($A56/100),MOD($A56,100),1),0),GL_Journal!$AE:$AE,0))</f>
        <v/>
      </c>
      <c r="L56" s="43">
        <f>IF($A56="","",$K56-(SUMIFS(GL_Journal!$S:$S,GL_Journal!$G:$G,"&gt;=5000",GL_Journal!$G:$G,"&lt;=6999",GL_Journal!$D:$D,"&gt;="&amp;DATE(INT($A56/100),MOD($A56,100),1),GL_Journal!$D:$D,"&lt;="&amp;EOMONTH(DATE(INT($A56/100),MOD($A56,100),1),0),GL_Journal!$AE:$AE,0)-SUMIFS(GL_Journal!$T:$T,GL_Journal!$G:$G,"&gt;=5000",GL_Journal!$G:$G,"&lt;=6999",GL_Journal!$D:$D,"&gt;="&amp;DATE(INT($A56/100),MOD($A56,100),1),GL_Journal!$D:$D,"&lt;="&amp;EOMONTH(DATE(INT($A56/100),MOD($A56,100),1),0),GL_Journal!$AE:$AE,0)))</f>
        <v/>
      </c>
      <c r="M56" s="43">
        <f>IF($A56="","",SUMIFS(GL_Journal!$S:$S,GL_Journal!$G:$G,"&gt;=1000",GL_Journal!$G:$G,"&lt;=6999",GL_Journal!$D:$D,"&gt;="&amp;DATE(INT($A56/100),MOD($A56,100),1),GL_Journal!$D:$D,"&lt;="&amp;EOMONTH(DATE(INT($A56/100),MOD($A56,100),1),0)))</f>
        <v/>
      </c>
      <c r="N56" s="43">
        <f>IF($A56="","",SUMIFS(GL_Journal!$T:$T,GL_Journal!$G:$G,"&gt;=1000",GL_Journal!$G:$G,"&lt;=6999",GL_Journal!$D:$D,"&gt;="&amp;DATE(INT($A56/100),MOD($A56,100),1),GL_Journal!$D:$D,"&lt;="&amp;EOMONTH(DATE(INT($A56/100),MOD($A56,100),1),0)))</f>
        <v/>
      </c>
      <c r="O56" s="32">
        <f>IF(AND($B56="مقفلة",$A56&lt;&gt;""),IF(OR(ABS($K56-N($F56))&gt;S_Tol,ABS($L56-N($G56))&gt;S_Tol,ABS($M56-N($H56))&gt;S_Tol,ABS($N56-N($I56))&gt;S_Tol),"تغيّر بعد الإقفال: قيد مرحّل بأثر رجعي","") ,"")</f>
        <v/>
      </c>
      <c r="P56" s="32">
        <f>IF($A56="","",IF(COUNTIF($A:$A,$A56)&gt;1,"فترة مكررة",IF(AND($B56="مقفلة",$C56=""),"اسم المُقفِل ناقص",IF(AND($B56="مقفلة",NOT(ISNUMBER($D56))),"تاريخ الإقفال ناقص",IF(AND($B56="مقفلة",$E56=""),"المعتمد الثاني ناقص",IF(AND($B56="مقفلة",$E56&lt;&gt;"",$E56=$C56),"المُقفِل والمعتمد الثاني نفس الشخص",""))))))</f>
        <v/>
      </c>
    </row>
    <row r="57">
      <c r="A57" s="39" t="n"/>
      <c r="B57" s="39" t="n"/>
      <c r="C57" s="29" t="n"/>
      <c r="D57" s="31" t="n"/>
      <c r="E57" s="29" t="n"/>
      <c r="F57" s="42" t="n"/>
      <c r="G57" s="42" t="n"/>
      <c r="H57" s="42" t="n"/>
      <c r="I57" s="42" t="n"/>
      <c r="J57" s="29" t="n"/>
      <c r="K57" s="43">
        <f>IF($A57="","",SUMIFS(GL_Journal!$T:$T,GL_Journal!$G:$G,"&gt;=4000",GL_Journal!$G:$G,"&lt;=4999",GL_Journal!$D:$D,"&gt;="&amp;DATE(INT($A57/100),MOD($A57,100),1),GL_Journal!$D:$D,"&lt;="&amp;EOMONTH(DATE(INT($A57/100),MOD($A57,100),1),0),GL_Journal!$AE:$AE,0)-SUMIFS(GL_Journal!$S:$S,GL_Journal!$G:$G,"&gt;=4000",GL_Journal!$G:$G,"&lt;=4999",GL_Journal!$D:$D,"&gt;="&amp;DATE(INT($A57/100),MOD($A57,100),1),GL_Journal!$D:$D,"&lt;="&amp;EOMONTH(DATE(INT($A57/100),MOD($A57,100),1),0),GL_Journal!$AE:$AE,0))</f>
        <v/>
      </c>
      <c r="L57" s="43">
        <f>IF($A57="","",$K57-(SUMIFS(GL_Journal!$S:$S,GL_Journal!$G:$G,"&gt;=5000",GL_Journal!$G:$G,"&lt;=6999",GL_Journal!$D:$D,"&gt;="&amp;DATE(INT($A57/100),MOD($A57,100),1),GL_Journal!$D:$D,"&lt;="&amp;EOMONTH(DATE(INT($A57/100),MOD($A57,100),1),0),GL_Journal!$AE:$AE,0)-SUMIFS(GL_Journal!$T:$T,GL_Journal!$G:$G,"&gt;=5000",GL_Journal!$G:$G,"&lt;=6999",GL_Journal!$D:$D,"&gt;="&amp;DATE(INT($A57/100),MOD($A57,100),1),GL_Journal!$D:$D,"&lt;="&amp;EOMONTH(DATE(INT($A57/100),MOD($A57,100),1),0),GL_Journal!$AE:$AE,0)))</f>
        <v/>
      </c>
      <c r="M57" s="43">
        <f>IF($A57="","",SUMIFS(GL_Journal!$S:$S,GL_Journal!$G:$G,"&gt;=1000",GL_Journal!$G:$G,"&lt;=6999",GL_Journal!$D:$D,"&gt;="&amp;DATE(INT($A57/100),MOD($A57,100),1),GL_Journal!$D:$D,"&lt;="&amp;EOMONTH(DATE(INT($A57/100),MOD($A57,100),1),0)))</f>
        <v/>
      </c>
      <c r="N57" s="43">
        <f>IF($A57="","",SUMIFS(GL_Journal!$T:$T,GL_Journal!$G:$G,"&gt;=1000",GL_Journal!$G:$G,"&lt;=6999",GL_Journal!$D:$D,"&gt;="&amp;DATE(INT($A57/100),MOD($A57,100),1),GL_Journal!$D:$D,"&lt;="&amp;EOMONTH(DATE(INT($A57/100),MOD($A57,100),1),0)))</f>
        <v/>
      </c>
      <c r="O57" s="32">
        <f>IF(AND($B57="مقفلة",$A57&lt;&gt;""),IF(OR(ABS($K57-N($F57))&gt;S_Tol,ABS($L57-N($G57))&gt;S_Tol,ABS($M57-N($H57))&gt;S_Tol,ABS($N57-N($I57))&gt;S_Tol),"تغيّر بعد الإقفال: قيد مرحّل بأثر رجعي","") ,"")</f>
        <v/>
      </c>
      <c r="P57" s="32">
        <f>IF($A57="","",IF(COUNTIF($A:$A,$A57)&gt;1,"فترة مكررة",IF(AND($B57="مقفلة",$C57=""),"اسم المُقفِل ناقص",IF(AND($B57="مقفلة",NOT(ISNUMBER($D57))),"تاريخ الإقفال ناقص",IF(AND($B57="مقفلة",$E57=""),"المعتمد الثاني ناقص",IF(AND($B57="مقفلة",$E57&lt;&gt;"",$E57=$C57),"المُقفِل والمعتمد الثاني نفس الشخص",""))))))</f>
        <v/>
      </c>
    </row>
    <row r="58">
      <c r="A58" s="39" t="n"/>
      <c r="B58" s="39" t="n"/>
      <c r="C58" s="29" t="n"/>
      <c r="D58" s="31" t="n"/>
      <c r="E58" s="29" t="n"/>
      <c r="F58" s="42" t="n"/>
      <c r="G58" s="42" t="n"/>
      <c r="H58" s="42" t="n"/>
      <c r="I58" s="42" t="n"/>
      <c r="J58" s="29" t="n"/>
      <c r="K58" s="43">
        <f>IF($A58="","",SUMIFS(GL_Journal!$T:$T,GL_Journal!$G:$G,"&gt;=4000",GL_Journal!$G:$G,"&lt;=4999",GL_Journal!$D:$D,"&gt;="&amp;DATE(INT($A58/100),MOD($A58,100),1),GL_Journal!$D:$D,"&lt;="&amp;EOMONTH(DATE(INT($A58/100),MOD($A58,100),1),0),GL_Journal!$AE:$AE,0)-SUMIFS(GL_Journal!$S:$S,GL_Journal!$G:$G,"&gt;=4000",GL_Journal!$G:$G,"&lt;=4999",GL_Journal!$D:$D,"&gt;="&amp;DATE(INT($A58/100),MOD($A58,100),1),GL_Journal!$D:$D,"&lt;="&amp;EOMONTH(DATE(INT($A58/100),MOD($A58,100),1),0),GL_Journal!$AE:$AE,0))</f>
        <v/>
      </c>
      <c r="L58" s="43">
        <f>IF($A58="","",$K58-(SUMIFS(GL_Journal!$S:$S,GL_Journal!$G:$G,"&gt;=5000",GL_Journal!$G:$G,"&lt;=6999",GL_Journal!$D:$D,"&gt;="&amp;DATE(INT($A58/100),MOD($A58,100),1),GL_Journal!$D:$D,"&lt;="&amp;EOMONTH(DATE(INT($A58/100),MOD($A58,100),1),0),GL_Journal!$AE:$AE,0)-SUMIFS(GL_Journal!$T:$T,GL_Journal!$G:$G,"&gt;=5000",GL_Journal!$G:$G,"&lt;=6999",GL_Journal!$D:$D,"&gt;="&amp;DATE(INT($A58/100),MOD($A58,100),1),GL_Journal!$D:$D,"&lt;="&amp;EOMONTH(DATE(INT($A58/100),MOD($A58,100),1),0),GL_Journal!$AE:$AE,0)))</f>
        <v/>
      </c>
      <c r="M58" s="43">
        <f>IF($A58="","",SUMIFS(GL_Journal!$S:$S,GL_Journal!$G:$G,"&gt;=1000",GL_Journal!$G:$G,"&lt;=6999",GL_Journal!$D:$D,"&gt;="&amp;DATE(INT($A58/100),MOD($A58,100),1),GL_Journal!$D:$D,"&lt;="&amp;EOMONTH(DATE(INT($A58/100),MOD($A58,100),1),0)))</f>
        <v/>
      </c>
      <c r="N58" s="43">
        <f>IF($A58="","",SUMIFS(GL_Journal!$T:$T,GL_Journal!$G:$G,"&gt;=1000",GL_Journal!$G:$G,"&lt;=6999",GL_Journal!$D:$D,"&gt;="&amp;DATE(INT($A58/100),MOD($A58,100),1),GL_Journal!$D:$D,"&lt;="&amp;EOMONTH(DATE(INT($A58/100),MOD($A58,100),1),0)))</f>
        <v/>
      </c>
      <c r="O58" s="32">
        <f>IF(AND($B58="مقفلة",$A58&lt;&gt;""),IF(OR(ABS($K58-N($F58))&gt;S_Tol,ABS($L58-N($G58))&gt;S_Tol,ABS($M58-N($H58))&gt;S_Tol,ABS($N58-N($I58))&gt;S_Tol),"تغيّر بعد الإقفال: قيد مرحّل بأثر رجعي","") ,"")</f>
        <v/>
      </c>
      <c r="P58" s="32">
        <f>IF($A58="","",IF(COUNTIF($A:$A,$A58)&gt;1,"فترة مكررة",IF(AND($B58="مقفلة",$C58=""),"اسم المُقفِل ناقص",IF(AND($B58="مقفلة",NOT(ISNUMBER($D58))),"تاريخ الإقفال ناقص",IF(AND($B58="مقفلة",$E58=""),"المعتمد الثاني ناقص",IF(AND($B58="مقفلة",$E58&lt;&gt;"",$E58=$C58),"المُقفِل والمعتمد الثاني نفس الشخص",""))))))</f>
        <v/>
      </c>
    </row>
    <row r="59">
      <c r="A59" s="39" t="n"/>
      <c r="B59" s="39" t="n"/>
      <c r="C59" s="29" t="n"/>
      <c r="D59" s="31" t="n"/>
      <c r="E59" s="29" t="n"/>
      <c r="F59" s="42" t="n"/>
      <c r="G59" s="42" t="n"/>
      <c r="H59" s="42" t="n"/>
      <c r="I59" s="42" t="n"/>
      <c r="J59" s="29" t="n"/>
      <c r="K59" s="43">
        <f>IF($A59="","",SUMIFS(GL_Journal!$T:$T,GL_Journal!$G:$G,"&gt;=4000",GL_Journal!$G:$G,"&lt;=4999",GL_Journal!$D:$D,"&gt;="&amp;DATE(INT($A59/100),MOD($A59,100),1),GL_Journal!$D:$D,"&lt;="&amp;EOMONTH(DATE(INT($A59/100),MOD($A59,100),1),0),GL_Journal!$AE:$AE,0)-SUMIFS(GL_Journal!$S:$S,GL_Journal!$G:$G,"&gt;=4000",GL_Journal!$G:$G,"&lt;=4999",GL_Journal!$D:$D,"&gt;="&amp;DATE(INT($A59/100),MOD($A59,100),1),GL_Journal!$D:$D,"&lt;="&amp;EOMONTH(DATE(INT($A59/100),MOD($A59,100),1),0),GL_Journal!$AE:$AE,0))</f>
        <v/>
      </c>
      <c r="L59" s="43">
        <f>IF($A59="","",$K59-(SUMIFS(GL_Journal!$S:$S,GL_Journal!$G:$G,"&gt;=5000",GL_Journal!$G:$G,"&lt;=6999",GL_Journal!$D:$D,"&gt;="&amp;DATE(INT($A59/100),MOD($A59,100),1),GL_Journal!$D:$D,"&lt;="&amp;EOMONTH(DATE(INT($A59/100),MOD($A59,100),1),0),GL_Journal!$AE:$AE,0)-SUMIFS(GL_Journal!$T:$T,GL_Journal!$G:$G,"&gt;=5000",GL_Journal!$G:$G,"&lt;=6999",GL_Journal!$D:$D,"&gt;="&amp;DATE(INT($A59/100),MOD($A59,100),1),GL_Journal!$D:$D,"&lt;="&amp;EOMONTH(DATE(INT($A59/100),MOD($A59,100),1),0),GL_Journal!$AE:$AE,0)))</f>
        <v/>
      </c>
      <c r="M59" s="43">
        <f>IF($A59="","",SUMIFS(GL_Journal!$S:$S,GL_Journal!$G:$G,"&gt;=1000",GL_Journal!$G:$G,"&lt;=6999",GL_Journal!$D:$D,"&gt;="&amp;DATE(INT($A59/100),MOD($A59,100),1),GL_Journal!$D:$D,"&lt;="&amp;EOMONTH(DATE(INT($A59/100),MOD($A59,100),1),0)))</f>
        <v/>
      </c>
      <c r="N59" s="43">
        <f>IF($A59="","",SUMIFS(GL_Journal!$T:$T,GL_Journal!$G:$G,"&gt;=1000",GL_Journal!$G:$G,"&lt;=6999",GL_Journal!$D:$D,"&gt;="&amp;DATE(INT($A59/100),MOD($A59,100),1),GL_Journal!$D:$D,"&lt;="&amp;EOMONTH(DATE(INT($A59/100),MOD($A59,100),1),0)))</f>
        <v/>
      </c>
      <c r="O59" s="32">
        <f>IF(AND($B59="مقفلة",$A59&lt;&gt;""),IF(OR(ABS($K59-N($F59))&gt;S_Tol,ABS($L59-N($G59))&gt;S_Tol,ABS($M59-N($H59))&gt;S_Tol,ABS($N59-N($I59))&gt;S_Tol),"تغيّر بعد الإقفال: قيد مرحّل بأثر رجعي","") ,"")</f>
        <v/>
      </c>
      <c r="P59" s="32">
        <f>IF($A59="","",IF(COUNTIF($A:$A,$A59)&gt;1,"فترة مكررة",IF(AND($B59="مقفلة",$C59=""),"اسم المُقفِل ناقص",IF(AND($B59="مقفلة",NOT(ISNUMBER($D59))),"تاريخ الإقفال ناقص",IF(AND($B59="مقفلة",$E59=""),"المعتمد الثاني ناقص",IF(AND($B59="مقفلة",$E59&lt;&gt;"",$E59=$C59),"المُقفِل والمعتمد الثاني نفس الشخص",""))))))</f>
        <v/>
      </c>
    </row>
    <row r="60">
      <c r="A60" s="39" t="n"/>
      <c r="B60" s="39" t="n"/>
      <c r="C60" s="29" t="n"/>
      <c r="D60" s="31" t="n"/>
      <c r="E60" s="29" t="n"/>
      <c r="F60" s="42" t="n"/>
      <c r="G60" s="42" t="n"/>
      <c r="H60" s="42" t="n"/>
      <c r="I60" s="42" t="n"/>
      <c r="J60" s="29" t="n"/>
      <c r="K60" s="43">
        <f>IF($A60="","",SUMIFS(GL_Journal!$T:$T,GL_Journal!$G:$G,"&gt;=4000",GL_Journal!$G:$G,"&lt;=4999",GL_Journal!$D:$D,"&gt;="&amp;DATE(INT($A60/100),MOD($A60,100),1),GL_Journal!$D:$D,"&lt;="&amp;EOMONTH(DATE(INT($A60/100),MOD($A60,100),1),0),GL_Journal!$AE:$AE,0)-SUMIFS(GL_Journal!$S:$S,GL_Journal!$G:$G,"&gt;=4000",GL_Journal!$G:$G,"&lt;=4999",GL_Journal!$D:$D,"&gt;="&amp;DATE(INT($A60/100),MOD($A60,100),1),GL_Journal!$D:$D,"&lt;="&amp;EOMONTH(DATE(INT($A60/100),MOD($A60,100),1),0),GL_Journal!$AE:$AE,0))</f>
        <v/>
      </c>
      <c r="L60" s="43">
        <f>IF($A60="","",$K60-(SUMIFS(GL_Journal!$S:$S,GL_Journal!$G:$G,"&gt;=5000",GL_Journal!$G:$G,"&lt;=6999",GL_Journal!$D:$D,"&gt;="&amp;DATE(INT($A60/100),MOD($A60,100),1),GL_Journal!$D:$D,"&lt;="&amp;EOMONTH(DATE(INT($A60/100),MOD($A60,100),1),0),GL_Journal!$AE:$AE,0)-SUMIFS(GL_Journal!$T:$T,GL_Journal!$G:$G,"&gt;=5000",GL_Journal!$G:$G,"&lt;=6999",GL_Journal!$D:$D,"&gt;="&amp;DATE(INT($A60/100),MOD($A60,100),1),GL_Journal!$D:$D,"&lt;="&amp;EOMONTH(DATE(INT($A60/100),MOD($A60,100),1),0),GL_Journal!$AE:$AE,0)))</f>
        <v/>
      </c>
      <c r="M60" s="43">
        <f>IF($A60="","",SUMIFS(GL_Journal!$S:$S,GL_Journal!$G:$G,"&gt;=1000",GL_Journal!$G:$G,"&lt;=6999",GL_Journal!$D:$D,"&gt;="&amp;DATE(INT($A60/100),MOD($A60,100),1),GL_Journal!$D:$D,"&lt;="&amp;EOMONTH(DATE(INT($A60/100),MOD($A60,100),1),0)))</f>
        <v/>
      </c>
      <c r="N60" s="43">
        <f>IF($A60="","",SUMIFS(GL_Journal!$T:$T,GL_Journal!$G:$G,"&gt;=1000",GL_Journal!$G:$G,"&lt;=6999",GL_Journal!$D:$D,"&gt;="&amp;DATE(INT($A60/100),MOD($A60,100),1),GL_Journal!$D:$D,"&lt;="&amp;EOMONTH(DATE(INT($A60/100),MOD($A60,100),1),0)))</f>
        <v/>
      </c>
      <c r="O60" s="32">
        <f>IF(AND($B60="مقفلة",$A60&lt;&gt;""),IF(OR(ABS($K60-N($F60))&gt;S_Tol,ABS($L60-N($G60))&gt;S_Tol,ABS($M60-N($H60))&gt;S_Tol,ABS($N60-N($I60))&gt;S_Tol),"تغيّر بعد الإقفال: قيد مرحّل بأثر رجعي","") ,"")</f>
        <v/>
      </c>
      <c r="P60" s="32">
        <f>IF($A60="","",IF(COUNTIF($A:$A,$A60)&gt;1,"فترة مكررة",IF(AND($B60="مقفلة",$C60=""),"اسم المُقفِل ناقص",IF(AND($B60="مقفلة",NOT(ISNUMBER($D60))),"تاريخ الإقفال ناقص",IF(AND($B60="مقفلة",$E60=""),"المعتمد الثاني ناقص",IF(AND($B60="مقفلة",$E60&lt;&gt;"",$E60=$C60),"المُقفِل والمعتمد الثاني نفس الشخص",""))))))</f>
        <v/>
      </c>
    </row>
    <row r="61">
      <c r="A61" s="39" t="n"/>
      <c r="B61" s="39" t="n"/>
      <c r="C61" s="29" t="n"/>
      <c r="D61" s="31" t="n"/>
      <c r="E61" s="29" t="n"/>
      <c r="F61" s="42" t="n"/>
      <c r="G61" s="42" t="n"/>
      <c r="H61" s="42" t="n"/>
      <c r="I61" s="42" t="n"/>
      <c r="J61" s="29" t="n"/>
      <c r="K61" s="43">
        <f>IF($A61="","",SUMIFS(GL_Journal!$T:$T,GL_Journal!$G:$G,"&gt;=4000",GL_Journal!$G:$G,"&lt;=4999",GL_Journal!$D:$D,"&gt;="&amp;DATE(INT($A61/100),MOD($A61,100),1),GL_Journal!$D:$D,"&lt;="&amp;EOMONTH(DATE(INT($A61/100),MOD($A61,100),1),0),GL_Journal!$AE:$AE,0)-SUMIFS(GL_Journal!$S:$S,GL_Journal!$G:$G,"&gt;=4000",GL_Journal!$G:$G,"&lt;=4999",GL_Journal!$D:$D,"&gt;="&amp;DATE(INT($A61/100),MOD($A61,100),1),GL_Journal!$D:$D,"&lt;="&amp;EOMONTH(DATE(INT($A61/100),MOD($A61,100),1),0),GL_Journal!$AE:$AE,0))</f>
        <v/>
      </c>
      <c r="L61" s="43">
        <f>IF($A61="","",$K61-(SUMIFS(GL_Journal!$S:$S,GL_Journal!$G:$G,"&gt;=5000",GL_Journal!$G:$G,"&lt;=6999",GL_Journal!$D:$D,"&gt;="&amp;DATE(INT($A61/100),MOD($A61,100),1),GL_Journal!$D:$D,"&lt;="&amp;EOMONTH(DATE(INT($A61/100),MOD($A61,100),1),0),GL_Journal!$AE:$AE,0)-SUMIFS(GL_Journal!$T:$T,GL_Journal!$G:$G,"&gt;=5000",GL_Journal!$G:$G,"&lt;=6999",GL_Journal!$D:$D,"&gt;="&amp;DATE(INT($A61/100),MOD($A61,100),1),GL_Journal!$D:$D,"&lt;="&amp;EOMONTH(DATE(INT($A61/100),MOD($A61,100),1),0),GL_Journal!$AE:$AE,0)))</f>
        <v/>
      </c>
      <c r="M61" s="43">
        <f>IF($A61="","",SUMIFS(GL_Journal!$S:$S,GL_Journal!$G:$G,"&gt;=1000",GL_Journal!$G:$G,"&lt;=6999",GL_Journal!$D:$D,"&gt;="&amp;DATE(INT($A61/100),MOD($A61,100),1),GL_Journal!$D:$D,"&lt;="&amp;EOMONTH(DATE(INT($A61/100),MOD($A61,100),1),0)))</f>
        <v/>
      </c>
      <c r="N61" s="43">
        <f>IF($A61="","",SUMIFS(GL_Journal!$T:$T,GL_Journal!$G:$G,"&gt;=1000",GL_Journal!$G:$G,"&lt;=6999",GL_Journal!$D:$D,"&gt;="&amp;DATE(INT($A61/100),MOD($A61,100),1),GL_Journal!$D:$D,"&lt;="&amp;EOMONTH(DATE(INT($A61/100),MOD($A61,100),1),0)))</f>
        <v/>
      </c>
      <c r="O61" s="32">
        <f>IF(AND($B61="مقفلة",$A61&lt;&gt;""),IF(OR(ABS($K61-N($F61))&gt;S_Tol,ABS($L61-N($G61))&gt;S_Tol,ABS($M61-N($H61))&gt;S_Tol,ABS($N61-N($I61))&gt;S_Tol),"تغيّر بعد الإقفال: قيد مرحّل بأثر رجعي","") ,"")</f>
        <v/>
      </c>
      <c r="P61" s="32">
        <f>IF($A61="","",IF(COUNTIF($A:$A,$A61)&gt;1,"فترة مكررة",IF(AND($B61="مقفلة",$C61=""),"اسم المُقفِل ناقص",IF(AND($B61="مقفلة",NOT(ISNUMBER($D61))),"تاريخ الإقفال ناقص",IF(AND($B61="مقفلة",$E61=""),"المعتمد الثاني ناقص",IF(AND($B61="مقفلة",$E61&lt;&gt;"",$E61=$C61),"المُقفِل والمعتمد الثاني نفس الشخص",""))))))</f>
        <v/>
      </c>
    </row>
    <row r="62">
      <c r="A62" s="39" t="n"/>
      <c r="B62" s="39" t="n"/>
      <c r="C62" s="29" t="n"/>
      <c r="D62" s="31" t="n"/>
      <c r="E62" s="29" t="n"/>
      <c r="F62" s="42" t="n"/>
      <c r="G62" s="42" t="n"/>
      <c r="H62" s="42" t="n"/>
      <c r="I62" s="42" t="n"/>
      <c r="J62" s="29" t="n"/>
      <c r="K62" s="43">
        <f>IF($A62="","",SUMIFS(GL_Journal!$T:$T,GL_Journal!$G:$G,"&gt;=4000",GL_Journal!$G:$G,"&lt;=4999",GL_Journal!$D:$D,"&gt;="&amp;DATE(INT($A62/100),MOD($A62,100),1),GL_Journal!$D:$D,"&lt;="&amp;EOMONTH(DATE(INT($A62/100),MOD($A62,100),1),0),GL_Journal!$AE:$AE,0)-SUMIFS(GL_Journal!$S:$S,GL_Journal!$G:$G,"&gt;=4000",GL_Journal!$G:$G,"&lt;=4999",GL_Journal!$D:$D,"&gt;="&amp;DATE(INT($A62/100),MOD($A62,100),1),GL_Journal!$D:$D,"&lt;="&amp;EOMONTH(DATE(INT($A62/100),MOD($A62,100),1),0),GL_Journal!$AE:$AE,0))</f>
        <v/>
      </c>
      <c r="L62" s="43">
        <f>IF($A62="","",$K62-(SUMIFS(GL_Journal!$S:$S,GL_Journal!$G:$G,"&gt;=5000",GL_Journal!$G:$G,"&lt;=6999",GL_Journal!$D:$D,"&gt;="&amp;DATE(INT($A62/100),MOD($A62,100),1),GL_Journal!$D:$D,"&lt;="&amp;EOMONTH(DATE(INT($A62/100),MOD($A62,100),1),0),GL_Journal!$AE:$AE,0)-SUMIFS(GL_Journal!$T:$T,GL_Journal!$G:$G,"&gt;=5000",GL_Journal!$G:$G,"&lt;=6999",GL_Journal!$D:$D,"&gt;="&amp;DATE(INT($A62/100),MOD($A62,100),1),GL_Journal!$D:$D,"&lt;="&amp;EOMONTH(DATE(INT($A62/100),MOD($A62,100),1),0),GL_Journal!$AE:$AE,0)))</f>
        <v/>
      </c>
      <c r="M62" s="43">
        <f>IF($A62="","",SUMIFS(GL_Journal!$S:$S,GL_Journal!$G:$G,"&gt;=1000",GL_Journal!$G:$G,"&lt;=6999",GL_Journal!$D:$D,"&gt;="&amp;DATE(INT($A62/100),MOD($A62,100),1),GL_Journal!$D:$D,"&lt;="&amp;EOMONTH(DATE(INT($A62/100),MOD($A62,100),1),0)))</f>
        <v/>
      </c>
      <c r="N62" s="43">
        <f>IF($A62="","",SUMIFS(GL_Journal!$T:$T,GL_Journal!$G:$G,"&gt;=1000",GL_Journal!$G:$G,"&lt;=6999",GL_Journal!$D:$D,"&gt;="&amp;DATE(INT($A62/100),MOD($A62,100),1),GL_Journal!$D:$D,"&lt;="&amp;EOMONTH(DATE(INT($A62/100),MOD($A62,100),1),0)))</f>
        <v/>
      </c>
      <c r="O62" s="32">
        <f>IF(AND($B62="مقفلة",$A62&lt;&gt;""),IF(OR(ABS($K62-N($F62))&gt;S_Tol,ABS($L62-N($G62))&gt;S_Tol,ABS($M62-N($H62))&gt;S_Tol,ABS($N62-N($I62))&gt;S_Tol),"تغيّر بعد الإقفال: قيد مرحّل بأثر رجعي","") ,"")</f>
        <v/>
      </c>
      <c r="P62" s="32">
        <f>IF($A62="","",IF(COUNTIF($A:$A,$A62)&gt;1,"فترة مكررة",IF(AND($B62="مقفلة",$C62=""),"اسم المُقفِل ناقص",IF(AND($B62="مقفلة",NOT(ISNUMBER($D62))),"تاريخ الإقفال ناقص",IF(AND($B62="مقفلة",$E62=""),"المعتمد الثاني ناقص",IF(AND($B62="مقفلة",$E62&lt;&gt;"",$E62=$C62),"المُقفِل والمعتمد الثاني نفس الشخص",""))))))</f>
        <v/>
      </c>
    </row>
    <row r="63">
      <c r="A63" s="39" t="n"/>
      <c r="B63" s="39" t="n"/>
      <c r="C63" s="29" t="n"/>
      <c r="D63" s="31" t="n"/>
      <c r="E63" s="29" t="n"/>
      <c r="F63" s="42" t="n"/>
      <c r="G63" s="42" t="n"/>
      <c r="H63" s="42" t="n"/>
      <c r="I63" s="42" t="n"/>
      <c r="J63" s="29" t="n"/>
      <c r="K63" s="43">
        <f>IF($A63="","",SUMIFS(GL_Journal!$T:$T,GL_Journal!$G:$G,"&gt;=4000",GL_Journal!$G:$G,"&lt;=4999",GL_Journal!$D:$D,"&gt;="&amp;DATE(INT($A63/100),MOD($A63,100),1),GL_Journal!$D:$D,"&lt;="&amp;EOMONTH(DATE(INT($A63/100),MOD($A63,100),1),0),GL_Journal!$AE:$AE,0)-SUMIFS(GL_Journal!$S:$S,GL_Journal!$G:$G,"&gt;=4000",GL_Journal!$G:$G,"&lt;=4999",GL_Journal!$D:$D,"&gt;="&amp;DATE(INT($A63/100),MOD($A63,100),1),GL_Journal!$D:$D,"&lt;="&amp;EOMONTH(DATE(INT($A63/100),MOD($A63,100),1),0),GL_Journal!$AE:$AE,0))</f>
        <v/>
      </c>
      <c r="L63" s="43">
        <f>IF($A63="","",$K63-(SUMIFS(GL_Journal!$S:$S,GL_Journal!$G:$G,"&gt;=5000",GL_Journal!$G:$G,"&lt;=6999",GL_Journal!$D:$D,"&gt;="&amp;DATE(INT($A63/100),MOD($A63,100),1),GL_Journal!$D:$D,"&lt;="&amp;EOMONTH(DATE(INT($A63/100),MOD($A63,100),1),0),GL_Journal!$AE:$AE,0)-SUMIFS(GL_Journal!$T:$T,GL_Journal!$G:$G,"&gt;=5000",GL_Journal!$G:$G,"&lt;=6999",GL_Journal!$D:$D,"&gt;="&amp;DATE(INT($A63/100),MOD($A63,100),1),GL_Journal!$D:$D,"&lt;="&amp;EOMONTH(DATE(INT($A63/100),MOD($A63,100),1),0),GL_Journal!$AE:$AE,0)))</f>
        <v/>
      </c>
      <c r="M63" s="43">
        <f>IF($A63="","",SUMIFS(GL_Journal!$S:$S,GL_Journal!$G:$G,"&gt;=1000",GL_Journal!$G:$G,"&lt;=6999",GL_Journal!$D:$D,"&gt;="&amp;DATE(INT($A63/100),MOD($A63,100),1),GL_Journal!$D:$D,"&lt;="&amp;EOMONTH(DATE(INT($A63/100),MOD($A63,100),1),0)))</f>
        <v/>
      </c>
      <c r="N63" s="43">
        <f>IF($A63="","",SUMIFS(GL_Journal!$T:$T,GL_Journal!$G:$G,"&gt;=1000",GL_Journal!$G:$G,"&lt;=6999",GL_Journal!$D:$D,"&gt;="&amp;DATE(INT($A63/100),MOD($A63,100),1),GL_Journal!$D:$D,"&lt;="&amp;EOMONTH(DATE(INT($A63/100),MOD($A63,100),1),0)))</f>
        <v/>
      </c>
      <c r="O63" s="32">
        <f>IF(AND($B63="مقفلة",$A63&lt;&gt;""),IF(OR(ABS($K63-N($F63))&gt;S_Tol,ABS($L63-N($G63))&gt;S_Tol,ABS($M63-N($H63))&gt;S_Tol,ABS($N63-N($I63))&gt;S_Tol),"تغيّر بعد الإقفال: قيد مرحّل بأثر رجعي","") ,"")</f>
        <v/>
      </c>
      <c r="P63" s="32">
        <f>IF($A63="","",IF(COUNTIF($A:$A,$A63)&gt;1,"فترة مكررة",IF(AND($B63="مقفلة",$C63=""),"اسم المُقفِل ناقص",IF(AND($B63="مقفلة",NOT(ISNUMBER($D63))),"تاريخ الإقفال ناقص",IF(AND($B63="مقفلة",$E63=""),"المعتمد الثاني ناقص",IF(AND($B63="مقفلة",$E63&lt;&gt;"",$E63=$C63),"المُقفِل والمعتمد الثاني نفس الشخص",""))))))</f>
        <v/>
      </c>
    </row>
    <row r="64">
      <c r="A64" s="39" t="n"/>
      <c r="B64" s="39" t="n"/>
      <c r="C64" s="29" t="n"/>
      <c r="D64" s="31" t="n"/>
      <c r="E64" s="29" t="n"/>
      <c r="F64" s="42" t="n"/>
      <c r="G64" s="42" t="n"/>
      <c r="H64" s="42" t="n"/>
      <c r="I64" s="42" t="n"/>
      <c r="J64" s="29" t="n"/>
      <c r="K64" s="43">
        <f>IF($A64="","",SUMIFS(GL_Journal!$T:$T,GL_Journal!$G:$G,"&gt;=4000",GL_Journal!$G:$G,"&lt;=4999",GL_Journal!$D:$D,"&gt;="&amp;DATE(INT($A64/100),MOD($A64,100),1),GL_Journal!$D:$D,"&lt;="&amp;EOMONTH(DATE(INT($A64/100),MOD($A64,100),1),0),GL_Journal!$AE:$AE,0)-SUMIFS(GL_Journal!$S:$S,GL_Journal!$G:$G,"&gt;=4000",GL_Journal!$G:$G,"&lt;=4999",GL_Journal!$D:$D,"&gt;="&amp;DATE(INT($A64/100),MOD($A64,100),1),GL_Journal!$D:$D,"&lt;="&amp;EOMONTH(DATE(INT($A64/100),MOD($A64,100),1),0),GL_Journal!$AE:$AE,0))</f>
        <v/>
      </c>
      <c r="L64" s="43">
        <f>IF($A64="","",$K64-(SUMIFS(GL_Journal!$S:$S,GL_Journal!$G:$G,"&gt;=5000",GL_Journal!$G:$G,"&lt;=6999",GL_Journal!$D:$D,"&gt;="&amp;DATE(INT($A64/100),MOD($A64,100),1),GL_Journal!$D:$D,"&lt;="&amp;EOMONTH(DATE(INT($A64/100),MOD($A64,100),1),0),GL_Journal!$AE:$AE,0)-SUMIFS(GL_Journal!$T:$T,GL_Journal!$G:$G,"&gt;=5000",GL_Journal!$G:$G,"&lt;=6999",GL_Journal!$D:$D,"&gt;="&amp;DATE(INT($A64/100),MOD($A64,100),1),GL_Journal!$D:$D,"&lt;="&amp;EOMONTH(DATE(INT($A64/100),MOD($A64,100),1),0),GL_Journal!$AE:$AE,0)))</f>
        <v/>
      </c>
      <c r="M64" s="43">
        <f>IF($A64="","",SUMIFS(GL_Journal!$S:$S,GL_Journal!$G:$G,"&gt;=1000",GL_Journal!$G:$G,"&lt;=6999",GL_Journal!$D:$D,"&gt;="&amp;DATE(INT($A64/100),MOD($A64,100),1),GL_Journal!$D:$D,"&lt;="&amp;EOMONTH(DATE(INT($A64/100),MOD($A64,100),1),0)))</f>
        <v/>
      </c>
      <c r="N64" s="43">
        <f>IF($A64="","",SUMIFS(GL_Journal!$T:$T,GL_Journal!$G:$G,"&gt;=1000",GL_Journal!$G:$G,"&lt;=6999",GL_Journal!$D:$D,"&gt;="&amp;DATE(INT($A64/100),MOD($A64,100),1),GL_Journal!$D:$D,"&lt;="&amp;EOMONTH(DATE(INT($A64/100),MOD($A64,100),1),0)))</f>
        <v/>
      </c>
      <c r="O64" s="32">
        <f>IF(AND($B64="مقفلة",$A64&lt;&gt;""),IF(OR(ABS($K64-N($F64))&gt;S_Tol,ABS($L64-N($G64))&gt;S_Tol,ABS($M64-N($H64))&gt;S_Tol,ABS($N64-N($I64))&gt;S_Tol),"تغيّر بعد الإقفال: قيد مرحّل بأثر رجعي","") ,"")</f>
        <v/>
      </c>
      <c r="P64" s="32">
        <f>IF($A64="","",IF(COUNTIF($A:$A,$A64)&gt;1,"فترة مكررة",IF(AND($B64="مقفلة",$C64=""),"اسم المُقفِل ناقص",IF(AND($B64="مقفلة",NOT(ISNUMBER($D64))),"تاريخ الإقفال ناقص",IF(AND($B64="مقفلة",$E64=""),"المعتمد الثاني ناقص",IF(AND($B64="مقفلة",$E64&lt;&gt;"",$E64=$C64),"المُقفِل والمعتمد الثاني نفس الشخص",""))))))</f>
        <v/>
      </c>
    </row>
  </sheetData>
  <sheetProtection selectLockedCells="0" selectUnlockedCells="0" sheet="1" objects="0" insertRows="1" insertHyperlinks="1" autoFilter="0" scenarios="0" formatColumns="0" deleteColumns="1" insertColumns="1" pivotTables="1" deleteRows="1" formatCells="0" formatRows="0" sort="1"/>
  <autoFilter ref="A4:P64"/>
  <conditionalFormatting sqref="B5:B64">
    <cfRule type="expression" priority="1" dxfId="1">
      <formula>B5="مرحل"</formula>
    </cfRule>
    <cfRule type="expression" priority="2" dxfId="0">
      <formula>B5="معكوس"</formula>
    </cfRule>
  </conditionalFormatting>
  <conditionalFormatting sqref="P5:P64">
    <cfRule type="expression" priority="3" dxfId="3">
      <formula>LEN(P5)&gt;0</formula>
    </cfRule>
  </conditionalFormatting>
  <dataValidations count="8">
    <dataValidation sqref="A5:A64" showDropDown="0" showInputMessage="0" showErrorMessage="1" allowBlank="1" error="أدخل عددًا صحيحًا موجبًا." type="whole" operator="greaterThanOrEqual">
      <formula1>0</formula1>
    </dataValidation>
    <dataValidation sqref="B5:B64" showDropDown="0" showInputMessage="0" showErrorMessage="1" allowBlank="1" error="لا يمكن الإقفال: الفترة غير جاهزة (ضع Settings على هذا الشهر الكامل وعالج الأخطاء الحرجة أولًا)." type="custom">
      <formula1>=OR(B5&lt;&gt;"مقفلة",$A5=$H$3)</formula1>
    </dataValidation>
    <dataValidation sqref="C5:C64" showDropDown="0" showInputMessage="0" showErrorMessage="1" allowBlank="1" errorTitle="قيمة غير مسموحة" error="اختر قيمة من القائمة المنسدلة." type="list">
      <formula1>=Users!$B$5:$B$44</formula1>
    </dataValidation>
    <dataValidation sqref="D5:D64" showDropDown="0" showInputMessage="0" showErrorMessage="1" allowBlank="1" errorTitle="تاريخ غير صحيح" error="أدخل تاريخًا صحيحًا." type="date" operator="greaterThan">
      <formula1>36526</formula1>
    </dataValidation>
    <dataValidation sqref="E5:E64" showDropDown="0" showInputMessage="0" showErrorMessage="1" allowBlank="1" errorTitle="قيمة غير مسموحة" error="اختر قيمة من القائمة المنسدلة." type="list">
      <formula1>=Users!$B$5:$B$44</formula1>
    </dataValidation>
    <dataValidation sqref="F5:F6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H5:H6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I5:I6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s>
  <pageMargins left="0.75" right="0.75" top="1" bottom="1" header="0.5" footer="0.5"/>
  <pageSetup orientation="landscape" fitToHeight="0" fitToWidth="1"/>
</worksheet>
</file>

<file path=xl/worksheets/sheet47.xml><?xml version="1.0" encoding="utf-8"?>
<worksheet xmlns="http://schemas.openxmlformats.org/spreadsheetml/2006/main">
  <sheetPr>
    <tabColor rgb="00C00000"/>
    <outlinePr summaryBelow="1" summaryRight="1"/>
    <pageSetUpPr fitToPage="1"/>
  </sheetPr>
  <dimension ref="A1:I40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20" customWidth="1" min="3" max="3"/>
    <col width="22" customWidth="1" min="4" max="4"/>
    <col width="14" customWidth="1" min="5" max="5"/>
    <col width="20" customWidth="1" min="6" max="6"/>
    <col width="20" customWidth="1" min="7" max="7"/>
    <col width="30" customWidth="1" min="8" max="8"/>
    <col width="24" customWidth="1" min="9" max="9"/>
  </cols>
  <sheetData>
    <row r="1" ht="26" customHeight="1">
      <c r="A1" s="22" t="inlineStr">
        <is>
          <t>سجل المراجعة (Audit Log)</t>
        </is>
      </c>
      <c r="B1" s="1" t="n"/>
      <c r="C1" s="1" t="n"/>
      <c r="D1" s="1" t="n"/>
      <c r="E1" s="1" t="n"/>
      <c r="F1" s="1" t="n"/>
      <c r="G1" s="1" t="n"/>
      <c r="H1" s="1" t="n"/>
      <c r="I1" s="1" t="n"/>
    </row>
    <row r="2">
      <c r="A2" s="35" t="inlineStr">
        <is>
          <t>سجّل هنا أي تعديل جوهري أو عكس أو إقفال أو تغيير بيانات أساسية. Apps Script الاختياري يسجل تعديلات الأوراق المصدرية آليًا.</t>
        </is>
      </c>
    </row>
    <row r="3">
      <c r="A3" s="36" t="inlineStr">
        <is>
          <t>خلايا الإدخال</t>
        </is>
      </c>
      <c r="B3" s="37" t="inlineStr">
        <is>
          <t>معادلات (لا تعدّل)</t>
        </is>
      </c>
    </row>
    <row r="4" ht="34" customHeight="1">
      <c r="A4" s="24" t="inlineStr">
        <is>
          <t>التاريخ</t>
        </is>
      </c>
      <c r="B4" s="24" t="inlineStr">
        <is>
          <t>المستخدم</t>
        </is>
      </c>
      <c r="C4" s="24" t="inlineStr">
        <is>
          <t>الورقة</t>
        </is>
      </c>
      <c r="D4" s="24" t="inlineStr">
        <is>
          <t>رقم المستند / الخلية</t>
        </is>
      </c>
      <c r="E4" s="24" t="inlineStr">
        <is>
          <t>الإجراء</t>
        </is>
      </c>
      <c r="F4" s="24" t="inlineStr">
        <is>
          <t>القيمة السابقة</t>
        </is>
      </c>
      <c r="G4" s="24" t="inlineStr">
        <is>
          <t>القيمة الجديدة</t>
        </is>
      </c>
      <c r="H4" s="24" t="inlineStr">
        <is>
          <t>السبب</t>
        </is>
      </c>
      <c r="I4" s="24" t="inlineStr">
        <is>
          <t>المعتمد</t>
        </is>
      </c>
    </row>
    <row r="5">
      <c r="A5" s="31" t="n"/>
      <c r="B5" s="29" t="n"/>
      <c r="C5" s="29" t="n"/>
      <c r="D5" s="29" t="n"/>
      <c r="E5" s="29" t="n"/>
      <c r="F5" s="29" t="n"/>
      <c r="G5" s="29" t="n"/>
      <c r="H5" s="29" t="n"/>
      <c r="I5" s="29" t="n"/>
    </row>
    <row r="6">
      <c r="A6" s="31" t="n"/>
      <c r="B6" s="29" t="n"/>
      <c r="C6" s="29" t="n"/>
      <c r="D6" s="29" t="n"/>
      <c r="E6" s="29" t="n"/>
      <c r="F6" s="29" t="n"/>
      <c r="G6" s="29" t="n"/>
      <c r="H6" s="29" t="n"/>
      <c r="I6" s="29" t="n"/>
    </row>
    <row r="7">
      <c r="A7" s="31" t="n"/>
      <c r="B7" s="29" t="n"/>
      <c r="C7" s="29" t="n"/>
      <c r="D7" s="29" t="n"/>
      <c r="E7" s="29" t="n"/>
      <c r="F7" s="29" t="n"/>
      <c r="G7" s="29" t="n"/>
      <c r="H7" s="29" t="n"/>
      <c r="I7" s="29" t="n"/>
    </row>
    <row r="8">
      <c r="A8" s="31" t="n"/>
      <c r="B8" s="29" t="n"/>
      <c r="C8" s="29" t="n"/>
      <c r="D8" s="29" t="n"/>
      <c r="E8" s="29" t="n"/>
      <c r="F8" s="29" t="n"/>
      <c r="G8" s="29" t="n"/>
      <c r="H8" s="29" t="n"/>
      <c r="I8" s="29" t="n"/>
    </row>
    <row r="9">
      <c r="A9" s="31" t="n"/>
      <c r="B9" s="29" t="n"/>
      <c r="C9" s="29" t="n"/>
      <c r="D9" s="29" t="n"/>
      <c r="E9" s="29" t="n"/>
      <c r="F9" s="29" t="n"/>
      <c r="G9" s="29" t="n"/>
      <c r="H9" s="29" t="n"/>
      <c r="I9" s="29" t="n"/>
    </row>
    <row r="10">
      <c r="A10" s="31" t="n"/>
      <c r="B10" s="29" t="n"/>
      <c r="C10" s="29" t="n"/>
      <c r="D10" s="29" t="n"/>
      <c r="E10" s="29" t="n"/>
      <c r="F10" s="29" t="n"/>
      <c r="G10" s="29" t="n"/>
      <c r="H10" s="29" t="n"/>
      <c r="I10" s="29" t="n"/>
    </row>
    <row r="11">
      <c r="A11" s="31" t="n"/>
      <c r="B11" s="29" t="n"/>
      <c r="C11" s="29" t="n"/>
      <c r="D11" s="29" t="n"/>
      <c r="E11" s="29" t="n"/>
      <c r="F11" s="29" t="n"/>
      <c r="G11" s="29" t="n"/>
      <c r="H11" s="29" t="n"/>
      <c r="I11" s="29" t="n"/>
    </row>
    <row r="12">
      <c r="A12" s="31" t="n"/>
      <c r="B12" s="29" t="n"/>
      <c r="C12" s="29" t="n"/>
      <c r="D12" s="29" t="n"/>
      <c r="E12" s="29" t="n"/>
      <c r="F12" s="29" t="n"/>
      <c r="G12" s="29" t="n"/>
      <c r="H12" s="29" t="n"/>
      <c r="I12" s="29" t="n"/>
    </row>
    <row r="13">
      <c r="A13" s="31" t="n"/>
      <c r="B13" s="29" t="n"/>
      <c r="C13" s="29" t="n"/>
      <c r="D13" s="29" t="n"/>
      <c r="E13" s="29" t="n"/>
      <c r="F13" s="29" t="n"/>
      <c r="G13" s="29" t="n"/>
      <c r="H13" s="29" t="n"/>
      <c r="I13" s="29" t="n"/>
    </row>
    <row r="14">
      <c r="A14" s="31" t="n"/>
      <c r="B14" s="29" t="n"/>
      <c r="C14" s="29" t="n"/>
      <c r="D14" s="29" t="n"/>
      <c r="E14" s="29" t="n"/>
      <c r="F14" s="29" t="n"/>
      <c r="G14" s="29" t="n"/>
      <c r="H14" s="29" t="n"/>
      <c r="I14" s="29" t="n"/>
    </row>
    <row r="15">
      <c r="A15" s="31" t="n"/>
      <c r="B15" s="29" t="n"/>
      <c r="C15" s="29" t="n"/>
      <c r="D15" s="29" t="n"/>
      <c r="E15" s="29" t="n"/>
      <c r="F15" s="29" t="n"/>
      <c r="G15" s="29" t="n"/>
      <c r="H15" s="29" t="n"/>
      <c r="I15" s="29" t="n"/>
    </row>
    <row r="16">
      <c r="A16" s="31" t="n"/>
      <c r="B16" s="29" t="n"/>
      <c r="C16" s="29" t="n"/>
      <c r="D16" s="29" t="n"/>
      <c r="E16" s="29" t="n"/>
      <c r="F16" s="29" t="n"/>
      <c r="G16" s="29" t="n"/>
      <c r="H16" s="29" t="n"/>
      <c r="I16" s="29" t="n"/>
    </row>
    <row r="17">
      <c r="A17" s="31" t="n"/>
      <c r="B17" s="29" t="n"/>
      <c r="C17" s="29" t="n"/>
      <c r="D17" s="29" t="n"/>
      <c r="E17" s="29" t="n"/>
      <c r="F17" s="29" t="n"/>
      <c r="G17" s="29" t="n"/>
      <c r="H17" s="29" t="n"/>
      <c r="I17" s="29" t="n"/>
    </row>
    <row r="18">
      <c r="A18" s="31" t="n"/>
      <c r="B18" s="29" t="n"/>
      <c r="C18" s="29" t="n"/>
      <c r="D18" s="29" t="n"/>
      <c r="E18" s="29" t="n"/>
      <c r="F18" s="29" t="n"/>
      <c r="G18" s="29" t="n"/>
      <c r="H18" s="29" t="n"/>
      <c r="I18" s="29" t="n"/>
    </row>
    <row r="19">
      <c r="A19" s="31" t="n"/>
      <c r="B19" s="29" t="n"/>
      <c r="C19" s="29" t="n"/>
      <c r="D19" s="29" t="n"/>
      <c r="E19" s="29" t="n"/>
      <c r="F19" s="29" t="n"/>
      <c r="G19" s="29" t="n"/>
      <c r="H19" s="29" t="n"/>
      <c r="I19" s="29" t="n"/>
    </row>
    <row r="20">
      <c r="A20" s="31" t="n"/>
      <c r="B20" s="29" t="n"/>
      <c r="C20" s="29" t="n"/>
      <c r="D20" s="29" t="n"/>
      <c r="E20" s="29" t="n"/>
      <c r="F20" s="29" t="n"/>
      <c r="G20" s="29" t="n"/>
      <c r="H20" s="29" t="n"/>
      <c r="I20" s="29" t="n"/>
    </row>
    <row r="21">
      <c r="A21" s="31" t="n"/>
      <c r="B21" s="29" t="n"/>
      <c r="C21" s="29" t="n"/>
      <c r="D21" s="29" t="n"/>
      <c r="E21" s="29" t="n"/>
      <c r="F21" s="29" t="n"/>
      <c r="G21" s="29" t="n"/>
      <c r="H21" s="29" t="n"/>
      <c r="I21" s="29" t="n"/>
    </row>
    <row r="22">
      <c r="A22" s="31" t="n"/>
      <c r="B22" s="29" t="n"/>
      <c r="C22" s="29" t="n"/>
      <c r="D22" s="29" t="n"/>
      <c r="E22" s="29" t="n"/>
      <c r="F22" s="29" t="n"/>
      <c r="G22" s="29" t="n"/>
      <c r="H22" s="29" t="n"/>
      <c r="I22" s="29" t="n"/>
    </row>
    <row r="23">
      <c r="A23" s="31" t="n"/>
      <c r="B23" s="29" t="n"/>
      <c r="C23" s="29" t="n"/>
      <c r="D23" s="29" t="n"/>
      <c r="E23" s="29" t="n"/>
      <c r="F23" s="29" t="n"/>
      <c r="G23" s="29" t="n"/>
      <c r="H23" s="29" t="n"/>
      <c r="I23" s="29" t="n"/>
    </row>
    <row r="24">
      <c r="A24" s="31" t="n"/>
      <c r="B24" s="29" t="n"/>
      <c r="C24" s="29" t="n"/>
      <c r="D24" s="29" t="n"/>
      <c r="E24" s="29" t="n"/>
      <c r="F24" s="29" t="n"/>
      <c r="G24" s="29" t="n"/>
      <c r="H24" s="29" t="n"/>
      <c r="I24" s="29" t="n"/>
    </row>
    <row r="25">
      <c r="A25" s="31" t="n"/>
      <c r="B25" s="29" t="n"/>
      <c r="C25" s="29" t="n"/>
      <c r="D25" s="29" t="n"/>
      <c r="E25" s="29" t="n"/>
      <c r="F25" s="29" t="n"/>
      <c r="G25" s="29" t="n"/>
      <c r="H25" s="29" t="n"/>
      <c r="I25" s="29" t="n"/>
    </row>
    <row r="26">
      <c r="A26" s="31" t="n"/>
      <c r="B26" s="29" t="n"/>
      <c r="C26" s="29" t="n"/>
      <c r="D26" s="29" t="n"/>
      <c r="E26" s="29" t="n"/>
      <c r="F26" s="29" t="n"/>
      <c r="G26" s="29" t="n"/>
      <c r="H26" s="29" t="n"/>
      <c r="I26" s="29" t="n"/>
    </row>
    <row r="27">
      <c r="A27" s="31" t="n"/>
      <c r="B27" s="29" t="n"/>
      <c r="C27" s="29" t="n"/>
      <c r="D27" s="29" t="n"/>
      <c r="E27" s="29" t="n"/>
      <c r="F27" s="29" t="n"/>
      <c r="G27" s="29" t="n"/>
      <c r="H27" s="29" t="n"/>
      <c r="I27" s="29" t="n"/>
    </row>
    <row r="28">
      <c r="A28" s="31" t="n"/>
      <c r="B28" s="29" t="n"/>
      <c r="C28" s="29" t="n"/>
      <c r="D28" s="29" t="n"/>
      <c r="E28" s="29" t="n"/>
      <c r="F28" s="29" t="n"/>
      <c r="G28" s="29" t="n"/>
      <c r="H28" s="29" t="n"/>
      <c r="I28" s="29" t="n"/>
    </row>
    <row r="29">
      <c r="A29" s="31" t="n"/>
      <c r="B29" s="29" t="n"/>
      <c r="C29" s="29" t="n"/>
      <c r="D29" s="29" t="n"/>
      <c r="E29" s="29" t="n"/>
      <c r="F29" s="29" t="n"/>
      <c r="G29" s="29" t="n"/>
      <c r="H29" s="29" t="n"/>
      <c r="I29" s="29" t="n"/>
    </row>
    <row r="30">
      <c r="A30" s="31" t="n"/>
      <c r="B30" s="29" t="n"/>
      <c r="C30" s="29" t="n"/>
      <c r="D30" s="29" t="n"/>
      <c r="E30" s="29" t="n"/>
      <c r="F30" s="29" t="n"/>
      <c r="G30" s="29" t="n"/>
      <c r="H30" s="29" t="n"/>
      <c r="I30" s="29" t="n"/>
    </row>
    <row r="31">
      <c r="A31" s="31" t="n"/>
      <c r="B31" s="29" t="n"/>
      <c r="C31" s="29" t="n"/>
      <c r="D31" s="29" t="n"/>
      <c r="E31" s="29" t="n"/>
      <c r="F31" s="29" t="n"/>
      <c r="G31" s="29" t="n"/>
      <c r="H31" s="29" t="n"/>
      <c r="I31" s="29" t="n"/>
    </row>
    <row r="32">
      <c r="A32" s="31" t="n"/>
      <c r="B32" s="29" t="n"/>
      <c r="C32" s="29" t="n"/>
      <c r="D32" s="29" t="n"/>
      <c r="E32" s="29" t="n"/>
      <c r="F32" s="29" t="n"/>
      <c r="G32" s="29" t="n"/>
      <c r="H32" s="29" t="n"/>
      <c r="I32" s="29" t="n"/>
    </row>
    <row r="33">
      <c r="A33" s="31" t="n"/>
      <c r="B33" s="29" t="n"/>
      <c r="C33" s="29" t="n"/>
      <c r="D33" s="29" t="n"/>
      <c r="E33" s="29" t="n"/>
      <c r="F33" s="29" t="n"/>
      <c r="G33" s="29" t="n"/>
      <c r="H33" s="29" t="n"/>
      <c r="I33" s="29" t="n"/>
    </row>
    <row r="34">
      <c r="A34" s="31" t="n"/>
      <c r="B34" s="29" t="n"/>
      <c r="C34" s="29" t="n"/>
      <c r="D34" s="29" t="n"/>
      <c r="E34" s="29" t="n"/>
      <c r="F34" s="29" t="n"/>
      <c r="G34" s="29" t="n"/>
      <c r="H34" s="29" t="n"/>
      <c r="I34" s="29" t="n"/>
    </row>
    <row r="35">
      <c r="A35" s="31" t="n"/>
      <c r="B35" s="29" t="n"/>
      <c r="C35" s="29" t="n"/>
      <c r="D35" s="29" t="n"/>
      <c r="E35" s="29" t="n"/>
      <c r="F35" s="29" t="n"/>
      <c r="G35" s="29" t="n"/>
      <c r="H35" s="29" t="n"/>
      <c r="I35" s="29" t="n"/>
    </row>
    <row r="36">
      <c r="A36" s="31" t="n"/>
      <c r="B36" s="29" t="n"/>
      <c r="C36" s="29" t="n"/>
      <c r="D36" s="29" t="n"/>
      <c r="E36" s="29" t="n"/>
      <c r="F36" s="29" t="n"/>
      <c r="G36" s="29" t="n"/>
      <c r="H36" s="29" t="n"/>
      <c r="I36" s="29" t="n"/>
    </row>
    <row r="37">
      <c r="A37" s="31" t="n"/>
      <c r="B37" s="29" t="n"/>
      <c r="C37" s="29" t="n"/>
      <c r="D37" s="29" t="n"/>
      <c r="E37" s="29" t="n"/>
      <c r="F37" s="29" t="n"/>
      <c r="G37" s="29" t="n"/>
      <c r="H37" s="29" t="n"/>
      <c r="I37" s="29" t="n"/>
    </row>
    <row r="38">
      <c r="A38" s="31" t="n"/>
      <c r="B38" s="29" t="n"/>
      <c r="C38" s="29" t="n"/>
      <c r="D38" s="29" t="n"/>
      <c r="E38" s="29" t="n"/>
      <c r="F38" s="29" t="n"/>
      <c r="G38" s="29" t="n"/>
      <c r="H38" s="29" t="n"/>
      <c r="I38" s="29" t="n"/>
    </row>
    <row r="39">
      <c r="A39" s="31" t="n"/>
      <c r="B39" s="29" t="n"/>
      <c r="C39" s="29" t="n"/>
      <c r="D39" s="29" t="n"/>
      <c r="E39" s="29" t="n"/>
      <c r="F39" s="29" t="n"/>
      <c r="G39" s="29" t="n"/>
      <c r="H39" s="29" t="n"/>
      <c r="I39" s="29" t="n"/>
    </row>
    <row r="40">
      <c r="A40" s="31" t="n"/>
      <c r="B40" s="29" t="n"/>
      <c r="C40" s="29" t="n"/>
      <c r="D40" s="29" t="n"/>
      <c r="E40" s="29" t="n"/>
      <c r="F40" s="29" t="n"/>
      <c r="G40" s="29" t="n"/>
      <c r="H40" s="29" t="n"/>
      <c r="I40" s="29" t="n"/>
    </row>
    <row r="41">
      <c r="A41" s="31" t="n"/>
      <c r="B41" s="29" t="n"/>
      <c r="C41" s="29" t="n"/>
      <c r="D41" s="29" t="n"/>
      <c r="E41" s="29" t="n"/>
      <c r="F41" s="29" t="n"/>
      <c r="G41" s="29" t="n"/>
      <c r="H41" s="29" t="n"/>
      <c r="I41" s="29" t="n"/>
    </row>
    <row r="42">
      <c r="A42" s="31" t="n"/>
      <c r="B42" s="29" t="n"/>
      <c r="C42" s="29" t="n"/>
      <c r="D42" s="29" t="n"/>
      <c r="E42" s="29" t="n"/>
      <c r="F42" s="29" t="n"/>
      <c r="G42" s="29" t="n"/>
      <c r="H42" s="29" t="n"/>
      <c r="I42" s="29" t="n"/>
    </row>
    <row r="43">
      <c r="A43" s="31" t="n"/>
      <c r="B43" s="29" t="n"/>
      <c r="C43" s="29" t="n"/>
      <c r="D43" s="29" t="n"/>
      <c r="E43" s="29" t="n"/>
      <c r="F43" s="29" t="n"/>
      <c r="G43" s="29" t="n"/>
      <c r="H43" s="29" t="n"/>
      <c r="I43" s="29" t="n"/>
    </row>
    <row r="44">
      <c r="A44" s="31" t="n"/>
      <c r="B44" s="29" t="n"/>
      <c r="C44" s="29" t="n"/>
      <c r="D44" s="29" t="n"/>
      <c r="E44" s="29" t="n"/>
      <c r="F44" s="29" t="n"/>
      <c r="G44" s="29" t="n"/>
      <c r="H44" s="29" t="n"/>
      <c r="I44" s="29" t="n"/>
    </row>
    <row r="45">
      <c r="A45" s="31" t="n"/>
      <c r="B45" s="29" t="n"/>
      <c r="C45" s="29" t="n"/>
      <c r="D45" s="29" t="n"/>
      <c r="E45" s="29" t="n"/>
      <c r="F45" s="29" t="n"/>
      <c r="G45" s="29" t="n"/>
      <c r="H45" s="29" t="n"/>
      <c r="I45" s="29" t="n"/>
    </row>
    <row r="46">
      <c r="A46" s="31" t="n"/>
      <c r="B46" s="29" t="n"/>
      <c r="C46" s="29" t="n"/>
      <c r="D46" s="29" t="n"/>
      <c r="E46" s="29" t="n"/>
      <c r="F46" s="29" t="n"/>
      <c r="G46" s="29" t="n"/>
      <c r="H46" s="29" t="n"/>
      <c r="I46" s="29" t="n"/>
    </row>
    <row r="47">
      <c r="A47" s="31" t="n"/>
      <c r="B47" s="29" t="n"/>
      <c r="C47" s="29" t="n"/>
      <c r="D47" s="29" t="n"/>
      <c r="E47" s="29" t="n"/>
      <c r="F47" s="29" t="n"/>
      <c r="G47" s="29" t="n"/>
      <c r="H47" s="29" t="n"/>
      <c r="I47" s="29" t="n"/>
    </row>
    <row r="48">
      <c r="A48" s="31" t="n"/>
      <c r="B48" s="29" t="n"/>
      <c r="C48" s="29" t="n"/>
      <c r="D48" s="29" t="n"/>
      <c r="E48" s="29" t="n"/>
      <c r="F48" s="29" t="n"/>
      <c r="G48" s="29" t="n"/>
      <c r="H48" s="29" t="n"/>
      <c r="I48" s="29" t="n"/>
    </row>
    <row r="49">
      <c r="A49" s="31" t="n"/>
      <c r="B49" s="29" t="n"/>
      <c r="C49" s="29" t="n"/>
      <c r="D49" s="29" t="n"/>
      <c r="E49" s="29" t="n"/>
      <c r="F49" s="29" t="n"/>
      <c r="G49" s="29" t="n"/>
      <c r="H49" s="29" t="n"/>
      <c r="I49" s="29" t="n"/>
    </row>
    <row r="50">
      <c r="A50" s="31" t="n"/>
      <c r="B50" s="29" t="n"/>
      <c r="C50" s="29" t="n"/>
      <c r="D50" s="29" t="n"/>
      <c r="E50" s="29" t="n"/>
      <c r="F50" s="29" t="n"/>
      <c r="G50" s="29" t="n"/>
      <c r="H50" s="29" t="n"/>
      <c r="I50" s="29" t="n"/>
    </row>
    <row r="51">
      <c r="A51" s="31" t="n"/>
      <c r="B51" s="29" t="n"/>
      <c r="C51" s="29" t="n"/>
      <c r="D51" s="29" t="n"/>
      <c r="E51" s="29" t="n"/>
      <c r="F51" s="29" t="n"/>
      <c r="G51" s="29" t="n"/>
      <c r="H51" s="29" t="n"/>
      <c r="I51" s="29" t="n"/>
    </row>
    <row r="52">
      <c r="A52" s="31" t="n"/>
      <c r="B52" s="29" t="n"/>
      <c r="C52" s="29" t="n"/>
      <c r="D52" s="29" t="n"/>
      <c r="E52" s="29" t="n"/>
      <c r="F52" s="29" t="n"/>
      <c r="G52" s="29" t="n"/>
      <c r="H52" s="29" t="n"/>
      <c r="I52" s="29" t="n"/>
    </row>
    <row r="53">
      <c r="A53" s="31" t="n"/>
      <c r="B53" s="29" t="n"/>
      <c r="C53" s="29" t="n"/>
      <c r="D53" s="29" t="n"/>
      <c r="E53" s="29" t="n"/>
      <c r="F53" s="29" t="n"/>
      <c r="G53" s="29" t="n"/>
      <c r="H53" s="29" t="n"/>
      <c r="I53" s="29" t="n"/>
    </row>
    <row r="54">
      <c r="A54" s="31" t="n"/>
      <c r="B54" s="29" t="n"/>
      <c r="C54" s="29" t="n"/>
      <c r="D54" s="29" t="n"/>
      <c r="E54" s="29" t="n"/>
      <c r="F54" s="29" t="n"/>
      <c r="G54" s="29" t="n"/>
      <c r="H54" s="29" t="n"/>
      <c r="I54" s="29" t="n"/>
    </row>
    <row r="55">
      <c r="A55" s="31" t="n"/>
      <c r="B55" s="29" t="n"/>
      <c r="C55" s="29" t="n"/>
      <c r="D55" s="29" t="n"/>
      <c r="E55" s="29" t="n"/>
      <c r="F55" s="29" t="n"/>
      <c r="G55" s="29" t="n"/>
      <c r="H55" s="29" t="n"/>
      <c r="I55" s="29" t="n"/>
    </row>
    <row r="56">
      <c r="A56" s="31" t="n"/>
      <c r="B56" s="29" t="n"/>
      <c r="C56" s="29" t="n"/>
      <c r="D56" s="29" t="n"/>
      <c r="E56" s="29" t="n"/>
      <c r="F56" s="29" t="n"/>
      <c r="G56" s="29" t="n"/>
      <c r="H56" s="29" t="n"/>
      <c r="I56" s="29" t="n"/>
    </row>
    <row r="57">
      <c r="A57" s="31" t="n"/>
      <c r="B57" s="29" t="n"/>
      <c r="C57" s="29" t="n"/>
      <c r="D57" s="29" t="n"/>
      <c r="E57" s="29" t="n"/>
      <c r="F57" s="29" t="n"/>
      <c r="G57" s="29" t="n"/>
      <c r="H57" s="29" t="n"/>
      <c r="I57" s="29" t="n"/>
    </row>
    <row r="58">
      <c r="A58" s="31" t="n"/>
      <c r="B58" s="29" t="n"/>
      <c r="C58" s="29" t="n"/>
      <c r="D58" s="29" t="n"/>
      <c r="E58" s="29" t="n"/>
      <c r="F58" s="29" t="n"/>
      <c r="G58" s="29" t="n"/>
      <c r="H58" s="29" t="n"/>
      <c r="I58" s="29" t="n"/>
    </row>
    <row r="59">
      <c r="A59" s="31" t="n"/>
      <c r="B59" s="29" t="n"/>
      <c r="C59" s="29" t="n"/>
      <c r="D59" s="29" t="n"/>
      <c r="E59" s="29" t="n"/>
      <c r="F59" s="29" t="n"/>
      <c r="G59" s="29" t="n"/>
      <c r="H59" s="29" t="n"/>
      <c r="I59" s="29" t="n"/>
    </row>
    <row r="60">
      <c r="A60" s="31" t="n"/>
      <c r="B60" s="29" t="n"/>
      <c r="C60" s="29" t="n"/>
      <c r="D60" s="29" t="n"/>
      <c r="E60" s="29" t="n"/>
      <c r="F60" s="29" t="n"/>
      <c r="G60" s="29" t="n"/>
      <c r="H60" s="29" t="n"/>
      <c r="I60" s="29" t="n"/>
    </row>
    <row r="61">
      <c r="A61" s="31" t="n"/>
      <c r="B61" s="29" t="n"/>
      <c r="C61" s="29" t="n"/>
      <c r="D61" s="29" t="n"/>
      <c r="E61" s="29" t="n"/>
      <c r="F61" s="29" t="n"/>
      <c r="G61" s="29" t="n"/>
      <c r="H61" s="29" t="n"/>
      <c r="I61" s="29" t="n"/>
    </row>
    <row r="62">
      <c r="A62" s="31" t="n"/>
      <c r="B62" s="29" t="n"/>
      <c r="C62" s="29" t="n"/>
      <c r="D62" s="29" t="n"/>
      <c r="E62" s="29" t="n"/>
      <c r="F62" s="29" t="n"/>
      <c r="G62" s="29" t="n"/>
      <c r="H62" s="29" t="n"/>
      <c r="I62" s="29" t="n"/>
    </row>
    <row r="63">
      <c r="A63" s="31" t="n"/>
      <c r="B63" s="29" t="n"/>
      <c r="C63" s="29" t="n"/>
      <c r="D63" s="29" t="n"/>
      <c r="E63" s="29" t="n"/>
      <c r="F63" s="29" t="n"/>
      <c r="G63" s="29" t="n"/>
      <c r="H63" s="29" t="n"/>
      <c r="I63" s="29" t="n"/>
    </row>
    <row r="64">
      <c r="A64" s="31" t="n"/>
      <c r="B64" s="29" t="n"/>
      <c r="C64" s="29" t="n"/>
      <c r="D64" s="29" t="n"/>
      <c r="E64" s="29" t="n"/>
      <c r="F64" s="29" t="n"/>
      <c r="G64" s="29" t="n"/>
      <c r="H64" s="29" t="n"/>
      <c r="I64" s="29" t="n"/>
    </row>
    <row r="65">
      <c r="A65" s="31" t="n"/>
      <c r="B65" s="29" t="n"/>
      <c r="C65" s="29" t="n"/>
      <c r="D65" s="29" t="n"/>
      <c r="E65" s="29" t="n"/>
      <c r="F65" s="29" t="n"/>
      <c r="G65" s="29" t="n"/>
      <c r="H65" s="29" t="n"/>
      <c r="I65" s="29" t="n"/>
    </row>
    <row r="66">
      <c r="A66" s="31" t="n"/>
      <c r="B66" s="29" t="n"/>
      <c r="C66" s="29" t="n"/>
      <c r="D66" s="29" t="n"/>
      <c r="E66" s="29" t="n"/>
      <c r="F66" s="29" t="n"/>
      <c r="G66" s="29" t="n"/>
      <c r="H66" s="29" t="n"/>
      <c r="I66" s="29" t="n"/>
    </row>
    <row r="67">
      <c r="A67" s="31" t="n"/>
      <c r="B67" s="29" t="n"/>
      <c r="C67" s="29" t="n"/>
      <c r="D67" s="29" t="n"/>
      <c r="E67" s="29" t="n"/>
      <c r="F67" s="29" t="n"/>
      <c r="G67" s="29" t="n"/>
      <c r="H67" s="29" t="n"/>
      <c r="I67" s="29" t="n"/>
    </row>
    <row r="68">
      <c r="A68" s="31" t="n"/>
      <c r="B68" s="29" t="n"/>
      <c r="C68" s="29" t="n"/>
      <c r="D68" s="29" t="n"/>
      <c r="E68" s="29" t="n"/>
      <c r="F68" s="29" t="n"/>
      <c r="G68" s="29" t="n"/>
      <c r="H68" s="29" t="n"/>
      <c r="I68" s="29" t="n"/>
    </row>
    <row r="69">
      <c r="A69" s="31" t="n"/>
      <c r="B69" s="29" t="n"/>
      <c r="C69" s="29" t="n"/>
      <c r="D69" s="29" t="n"/>
      <c r="E69" s="29" t="n"/>
      <c r="F69" s="29" t="n"/>
      <c r="G69" s="29" t="n"/>
      <c r="H69" s="29" t="n"/>
      <c r="I69" s="29" t="n"/>
    </row>
    <row r="70">
      <c r="A70" s="31" t="n"/>
      <c r="B70" s="29" t="n"/>
      <c r="C70" s="29" t="n"/>
      <c r="D70" s="29" t="n"/>
      <c r="E70" s="29" t="n"/>
      <c r="F70" s="29" t="n"/>
      <c r="G70" s="29" t="n"/>
      <c r="H70" s="29" t="n"/>
      <c r="I70" s="29" t="n"/>
    </row>
    <row r="71">
      <c r="A71" s="31" t="n"/>
      <c r="B71" s="29" t="n"/>
      <c r="C71" s="29" t="n"/>
      <c r="D71" s="29" t="n"/>
      <c r="E71" s="29" t="n"/>
      <c r="F71" s="29" t="n"/>
      <c r="G71" s="29" t="n"/>
      <c r="H71" s="29" t="n"/>
      <c r="I71" s="29" t="n"/>
    </row>
    <row r="72">
      <c r="A72" s="31" t="n"/>
      <c r="B72" s="29" t="n"/>
      <c r="C72" s="29" t="n"/>
      <c r="D72" s="29" t="n"/>
      <c r="E72" s="29" t="n"/>
      <c r="F72" s="29" t="n"/>
      <c r="G72" s="29" t="n"/>
      <c r="H72" s="29" t="n"/>
      <c r="I72" s="29" t="n"/>
    </row>
    <row r="73">
      <c r="A73" s="31" t="n"/>
      <c r="B73" s="29" t="n"/>
      <c r="C73" s="29" t="n"/>
      <c r="D73" s="29" t="n"/>
      <c r="E73" s="29" t="n"/>
      <c r="F73" s="29" t="n"/>
      <c r="G73" s="29" t="n"/>
      <c r="H73" s="29" t="n"/>
      <c r="I73" s="29" t="n"/>
    </row>
    <row r="74">
      <c r="A74" s="31" t="n"/>
      <c r="B74" s="29" t="n"/>
      <c r="C74" s="29" t="n"/>
      <c r="D74" s="29" t="n"/>
      <c r="E74" s="29" t="n"/>
      <c r="F74" s="29" t="n"/>
      <c r="G74" s="29" t="n"/>
      <c r="H74" s="29" t="n"/>
      <c r="I74" s="29" t="n"/>
    </row>
    <row r="75">
      <c r="A75" s="31" t="n"/>
      <c r="B75" s="29" t="n"/>
      <c r="C75" s="29" t="n"/>
      <c r="D75" s="29" t="n"/>
      <c r="E75" s="29" t="n"/>
      <c r="F75" s="29" t="n"/>
      <c r="G75" s="29" t="n"/>
      <c r="H75" s="29" t="n"/>
      <c r="I75" s="29" t="n"/>
    </row>
    <row r="76">
      <c r="A76" s="31" t="n"/>
      <c r="B76" s="29" t="n"/>
      <c r="C76" s="29" t="n"/>
      <c r="D76" s="29" t="n"/>
      <c r="E76" s="29" t="n"/>
      <c r="F76" s="29" t="n"/>
      <c r="G76" s="29" t="n"/>
      <c r="H76" s="29" t="n"/>
      <c r="I76" s="29" t="n"/>
    </row>
    <row r="77">
      <c r="A77" s="31" t="n"/>
      <c r="B77" s="29" t="n"/>
      <c r="C77" s="29" t="n"/>
      <c r="D77" s="29" t="n"/>
      <c r="E77" s="29" t="n"/>
      <c r="F77" s="29" t="n"/>
      <c r="G77" s="29" t="n"/>
      <c r="H77" s="29" t="n"/>
      <c r="I77" s="29" t="n"/>
    </row>
    <row r="78">
      <c r="A78" s="31" t="n"/>
      <c r="B78" s="29" t="n"/>
      <c r="C78" s="29" t="n"/>
      <c r="D78" s="29" t="n"/>
      <c r="E78" s="29" t="n"/>
      <c r="F78" s="29" t="n"/>
      <c r="G78" s="29" t="n"/>
      <c r="H78" s="29" t="n"/>
      <c r="I78" s="29" t="n"/>
    </row>
    <row r="79">
      <c r="A79" s="31" t="n"/>
      <c r="B79" s="29" t="n"/>
      <c r="C79" s="29" t="n"/>
      <c r="D79" s="29" t="n"/>
      <c r="E79" s="29" t="n"/>
      <c r="F79" s="29" t="n"/>
      <c r="G79" s="29" t="n"/>
      <c r="H79" s="29" t="n"/>
      <c r="I79" s="29" t="n"/>
    </row>
    <row r="80">
      <c r="A80" s="31" t="n"/>
      <c r="B80" s="29" t="n"/>
      <c r="C80" s="29" t="n"/>
      <c r="D80" s="29" t="n"/>
      <c r="E80" s="29" t="n"/>
      <c r="F80" s="29" t="n"/>
      <c r="G80" s="29" t="n"/>
      <c r="H80" s="29" t="n"/>
      <c r="I80" s="29" t="n"/>
    </row>
    <row r="81">
      <c r="A81" s="31" t="n"/>
      <c r="B81" s="29" t="n"/>
      <c r="C81" s="29" t="n"/>
      <c r="D81" s="29" t="n"/>
      <c r="E81" s="29" t="n"/>
      <c r="F81" s="29" t="n"/>
      <c r="G81" s="29" t="n"/>
      <c r="H81" s="29" t="n"/>
      <c r="I81" s="29" t="n"/>
    </row>
    <row r="82">
      <c r="A82" s="31" t="n"/>
      <c r="B82" s="29" t="n"/>
      <c r="C82" s="29" t="n"/>
      <c r="D82" s="29" t="n"/>
      <c r="E82" s="29" t="n"/>
      <c r="F82" s="29" t="n"/>
      <c r="G82" s="29" t="n"/>
      <c r="H82" s="29" t="n"/>
      <c r="I82" s="29" t="n"/>
    </row>
    <row r="83">
      <c r="A83" s="31" t="n"/>
      <c r="B83" s="29" t="n"/>
      <c r="C83" s="29" t="n"/>
      <c r="D83" s="29" t="n"/>
      <c r="E83" s="29" t="n"/>
      <c r="F83" s="29" t="n"/>
      <c r="G83" s="29" t="n"/>
      <c r="H83" s="29" t="n"/>
      <c r="I83" s="29" t="n"/>
    </row>
    <row r="84">
      <c r="A84" s="31" t="n"/>
      <c r="B84" s="29" t="n"/>
      <c r="C84" s="29" t="n"/>
      <c r="D84" s="29" t="n"/>
      <c r="E84" s="29" t="n"/>
      <c r="F84" s="29" t="n"/>
      <c r="G84" s="29" t="n"/>
      <c r="H84" s="29" t="n"/>
      <c r="I84" s="29" t="n"/>
    </row>
    <row r="85">
      <c r="A85" s="31" t="n"/>
      <c r="B85" s="29" t="n"/>
      <c r="C85" s="29" t="n"/>
      <c r="D85" s="29" t="n"/>
      <c r="E85" s="29" t="n"/>
      <c r="F85" s="29" t="n"/>
      <c r="G85" s="29" t="n"/>
      <c r="H85" s="29" t="n"/>
      <c r="I85" s="29" t="n"/>
    </row>
    <row r="86">
      <c r="A86" s="31" t="n"/>
      <c r="B86" s="29" t="n"/>
      <c r="C86" s="29" t="n"/>
      <c r="D86" s="29" t="n"/>
      <c r="E86" s="29" t="n"/>
      <c r="F86" s="29" t="n"/>
      <c r="G86" s="29" t="n"/>
      <c r="H86" s="29" t="n"/>
      <c r="I86" s="29" t="n"/>
    </row>
    <row r="87">
      <c r="A87" s="31" t="n"/>
      <c r="B87" s="29" t="n"/>
      <c r="C87" s="29" t="n"/>
      <c r="D87" s="29" t="n"/>
      <c r="E87" s="29" t="n"/>
      <c r="F87" s="29" t="n"/>
      <c r="G87" s="29" t="n"/>
      <c r="H87" s="29" t="n"/>
      <c r="I87" s="29" t="n"/>
    </row>
    <row r="88">
      <c r="A88" s="31" t="n"/>
      <c r="B88" s="29" t="n"/>
      <c r="C88" s="29" t="n"/>
      <c r="D88" s="29" t="n"/>
      <c r="E88" s="29" t="n"/>
      <c r="F88" s="29" t="n"/>
      <c r="G88" s="29" t="n"/>
      <c r="H88" s="29" t="n"/>
      <c r="I88" s="29" t="n"/>
    </row>
    <row r="89">
      <c r="A89" s="31" t="n"/>
      <c r="B89" s="29" t="n"/>
      <c r="C89" s="29" t="n"/>
      <c r="D89" s="29" t="n"/>
      <c r="E89" s="29" t="n"/>
      <c r="F89" s="29" t="n"/>
      <c r="G89" s="29" t="n"/>
      <c r="H89" s="29" t="n"/>
      <c r="I89" s="29" t="n"/>
    </row>
    <row r="90">
      <c r="A90" s="31" t="n"/>
      <c r="B90" s="29" t="n"/>
      <c r="C90" s="29" t="n"/>
      <c r="D90" s="29" t="n"/>
      <c r="E90" s="29" t="n"/>
      <c r="F90" s="29" t="n"/>
      <c r="G90" s="29" t="n"/>
      <c r="H90" s="29" t="n"/>
      <c r="I90" s="29" t="n"/>
    </row>
    <row r="91">
      <c r="A91" s="31" t="n"/>
      <c r="B91" s="29" t="n"/>
      <c r="C91" s="29" t="n"/>
      <c r="D91" s="29" t="n"/>
      <c r="E91" s="29" t="n"/>
      <c r="F91" s="29" t="n"/>
      <c r="G91" s="29" t="n"/>
      <c r="H91" s="29" t="n"/>
      <c r="I91" s="29" t="n"/>
    </row>
    <row r="92">
      <c r="A92" s="31" t="n"/>
      <c r="B92" s="29" t="n"/>
      <c r="C92" s="29" t="n"/>
      <c r="D92" s="29" t="n"/>
      <c r="E92" s="29" t="n"/>
      <c r="F92" s="29" t="n"/>
      <c r="G92" s="29" t="n"/>
      <c r="H92" s="29" t="n"/>
      <c r="I92" s="29" t="n"/>
    </row>
    <row r="93">
      <c r="A93" s="31" t="n"/>
      <c r="B93" s="29" t="n"/>
      <c r="C93" s="29" t="n"/>
      <c r="D93" s="29" t="n"/>
      <c r="E93" s="29" t="n"/>
      <c r="F93" s="29" t="n"/>
      <c r="G93" s="29" t="n"/>
      <c r="H93" s="29" t="n"/>
      <c r="I93" s="29" t="n"/>
    </row>
    <row r="94">
      <c r="A94" s="31" t="n"/>
      <c r="B94" s="29" t="n"/>
      <c r="C94" s="29" t="n"/>
      <c r="D94" s="29" t="n"/>
      <c r="E94" s="29" t="n"/>
      <c r="F94" s="29" t="n"/>
      <c r="G94" s="29" t="n"/>
      <c r="H94" s="29" t="n"/>
      <c r="I94" s="29" t="n"/>
    </row>
    <row r="95">
      <c r="A95" s="31" t="n"/>
      <c r="B95" s="29" t="n"/>
      <c r="C95" s="29" t="n"/>
      <c r="D95" s="29" t="n"/>
      <c r="E95" s="29" t="n"/>
      <c r="F95" s="29" t="n"/>
      <c r="G95" s="29" t="n"/>
      <c r="H95" s="29" t="n"/>
      <c r="I95" s="29" t="n"/>
    </row>
    <row r="96">
      <c r="A96" s="31" t="n"/>
      <c r="B96" s="29" t="n"/>
      <c r="C96" s="29" t="n"/>
      <c r="D96" s="29" t="n"/>
      <c r="E96" s="29" t="n"/>
      <c r="F96" s="29" t="n"/>
      <c r="G96" s="29" t="n"/>
      <c r="H96" s="29" t="n"/>
      <c r="I96" s="29" t="n"/>
    </row>
    <row r="97">
      <c r="A97" s="31" t="n"/>
      <c r="B97" s="29" t="n"/>
      <c r="C97" s="29" t="n"/>
      <c r="D97" s="29" t="n"/>
      <c r="E97" s="29" t="n"/>
      <c r="F97" s="29" t="n"/>
      <c r="G97" s="29" t="n"/>
      <c r="H97" s="29" t="n"/>
      <c r="I97" s="29" t="n"/>
    </row>
    <row r="98">
      <c r="A98" s="31" t="n"/>
      <c r="B98" s="29" t="n"/>
      <c r="C98" s="29" t="n"/>
      <c r="D98" s="29" t="n"/>
      <c r="E98" s="29" t="n"/>
      <c r="F98" s="29" t="n"/>
      <c r="G98" s="29" t="n"/>
      <c r="H98" s="29" t="n"/>
      <c r="I98" s="29" t="n"/>
    </row>
    <row r="99">
      <c r="A99" s="31" t="n"/>
      <c r="B99" s="29" t="n"/>
      <c r="C99" s="29" t="n"/>
      <c r="D99" s="29" t="n"/>
      <c r="E99" s="29" t="n"/>
      <c r="F99" s="29" t="n"/>
      <c r="G99" s="29" t="n"/>
      <c r="H99" s="29" t="n"/>
      <c r="I99" s="29" t="n"/>
    </row>
    <row r="100">
      <c r="A100" s="31" t="n"/>
      <c r="B100" s="29" t="n"/>
      <c r="C100" s="29" t="n"/>
      <c r="D100" s="29" t="n"/>
      <c r="E100" s="29" t="n"/>
      <c r="F100" s="29" t="n"/>
      <c r="G100" s="29" t="n"/>
      <c r="H100" s="29" t="n"/>
      <c r="I100" s="29" t="n"/>
    </row>
    <row r="101">
      <c r="A101" s="31" t="n"/>
      <c r="B101" s="29" t="n"/>
      <c r="C101" s="29" t="n"/>
      <c r="D101" s="29" t="n"/>
      <c r="E101" s="29" t="n"/>
      <c r="F101" s="29" t="n"/>
      <c r="G101" s="29" t="n"/>
      <c r="H101" s="29" t="n"/>
      <c r="I101" s="29" t="n"/>
    </row>
    <row r="102">
      <c r="A102" s="31" t="n"/>
      <c r="B102" s="29" t="n"/>
      <c r="C102" s="29" t="n"/>
      <c r="D102" s="29" t="n"/>
      <c r="E102" s="29" t="n"/>
      <c r="F102" s="29" t="n"/>
      <c r="G102" s="29" t="n"/>
      <c r="H102" s="29" t="n"/>
      <c r="I102" s="29" t="n"/>
    </row>
    <row r="103">
      <c r="A103" s="31" t="n"/>
      <c r="B103" s="29" t="n"/>
      <c r="C103" s="29" t="n"/>
      <c r="D103" s="29" t="n"/>
      <c r="E103" s="29" t="n"/>
      <c r="F103" s="29" t="n"/>
      <c r="G103" s="29" t="n"/>
      <c r="H103" s="29" t="n"/>
      <c r="I103" s="29" t="n"/>
    </row>
    <row r="104">
      <c r="A104" s="31" t="n"/>
      <c r="B104" s="29" t="n"/>
      <c r="C104" s="29" t="n"/>
      <c r="D104" s="29" t="n"/>
      <c r="E104" s="29" t="n"/>
      <c r="F104" s="29" t="n"/>
      <c r="G104" s="29" t="n"/>
      <c r="H104" s="29" t="n"/>
      <c r="I104" s="29" t="n"/>
    </row>
    <row r="105">
      <c r="A105" s="31" t="n"/>
      <c r="B105" s="29" t="n"/>
      <c r="C105" s="29" t="n"/>
      <c r="D105" s="29" t="n"/>
      <c r="E105" s="29" t="n"/>
      <c r="F105" s="29" t="n"/>
      <c r="G105" s="29" t="n"/>
      <c r="H105" s="29" t="n"/>
      <c r="I105" s="29" t="n"/>
    </row>
    <row r="106">
      <c r="A106" s="31" t="n"/>
      <c r="B106" s="29" t="n"/>
      <c r="C106" s="29" t="n"/>
      <c r="D106" s="29" t="n"/>
      <c r="E106" s="29" t="n"/>
      <c r="F106" s="29" t="n"/>
      <c r="G106" s="29" t="n"/>
      <c r="H106" s="29" t="n"/>
      <c r="I106" s="29" t="n"/>
    </row>
    <row r="107">
      <c r="A107" s="31" t="n"/>
      <c r="B107" s="29" t="n"/>
      <c r="C107" s="29" t="n"/>
      <c r="D107" s="29" t="n"/>
      <c r="E107" s="29" t="n"/>
      <c r="F107" s="29" t="n"/>
      <c r="G107" s="29" t="n"/>
      <c r="H107" s="29" t="n"/>
      <c r="I107" s="29" t="n"/>
    </row>
    <row r="108">
      <c r="A108" s="31" t="n"/>
      <c r="B108" s="29" t="n"/>
      <c r="C108" s="29" t="n"/>
      <c r="D108" s="29" t="n"/>
      <c r="E108" s="29" t="n"/>
      <c r="F108" s="29" t="n"/>
      <c r="G108" s="29" t="n"/>
      <c r="H108" s="29" t="n"/>
      <c r="I108" s="29" t="n"/>
    </row>
    <row r="109">
      <c r="A109" s="31" t="n"/>
      <c r="B109" s="29" t="n"/>
      <c r="C109" s="29" t="n"/>
      <c r="D109" s="29" t="n"/>
      <c r="E109" s="29" t="n"/>
      <c r="F109" s="29" t="n"/>
      <c r="G109" s="29" t="n"/>
      <c r="H109" s="29" t="n"/>
      <c r="I109" s="29" t="n"/>
    </row>
    <row r="110">
      <c r="A110" s="31" t="n"/>
      <c r="B110" s="29" t="n"/>
      <c r="C110" s="29" t="n"/>
      <c r="D110" s="29" t="n"/>
      <c r="E110" s="29" t="n"/>
      <c r="F110" s="29" t="n"/>
      <c r="G110" s="29" t="n"/>
      <c r="H110" s="29" t="n"/>
      <c r="I110" s="29" t="n"/>
    </row>
    <row r="111">
      <c r="A111" s="31" t="n"/>
      <c r="B111" s="29" t="n"/>
      <c r="C111" s="29" t="n"/>
      <c r="D111" s="29" t="n"/>
      <c r="E111" s="29" t="n"/>
      <c r="F111" s="29" t="n"/>
      <c r="G111" s="29" t="n"/>
      <c r="H111" s="29" t="n"/>
      <c r="I111" s="29" t="n"/>
    </row>
    <row r="112">
      <c r="A112" s="31" t="n"/>
      <c r="B112" s="29" t="n"/>
      <c r="C112" s="29" t="n"/>
      <c r="D112" s="29" t="n"/>
      <c r="E112" s="29" t="n"/>
      <c r="F112" s="29" t="n"/>
      <c r="G112" s="29" t="n"/>
      <c r="H112" s="29" t="n"/>
      <c r="I112" s="29" t="n"/>
    </row>
    <row r="113">
      <c r="A113" s="31" t="n"/>
      <c r="B113" s="29" t="n"/>
      <c r="C113" s="29" t="n"/>
      <c r="D113" s="29" t="n"/>
      <c r="E113" s="29" t="n"/>
      <c r="F113" s="29" t="n"/>
      <c r="G113" s="29" t="n"/>
      <c r="H113" s="29" t="n"/>
      <c r="I113" s="29" t="n"/>
    </row>
    <row r="114">
      <c r="A114" s="31" t="n"/>
      <c r="B114" s="29" t="n"/>
      <c r="C114" s="29" t="n"/>
      <c r="D114" s="29" t="n"/>
      <c r="E114" s="29" t="n"/>
      <c r="F114" s="29" t="n"/>
      <c r="G114" s="29" t="n"/>
      <c r="H114" s="29" t="n"/>
      <c r="I114" s="29" t="n"/>
    </row>
    <row r="115">
      <c r="A115" s="31" t="n"/>
      <c r="B115" s="29" t="n"/>
      <c r="C115" s="29" t="n"/>
      <c r="D115" s="29" t="n"/>
      <c r="E115" s="29" t="n"/>
      <c r="F115" s="29" t="n"/>
      <c r="G115" s="29" t="n"/>
      <c r="H115" s="29" t="n"/>
      <c r="I115" s="29" t="n"/>
    </row>
    <row r="116">
      <c r="A116" s="31" t="n"/>
      <c r="B116" s="29" t="n"/>
      <c r="C116" s="29" t="n"/>
      <c r="D116" s="29" t="n"/>
      <c r="E116" s="29" t="n"/>
      <c r="F116" s="29" t="n"/>
      <c r="G116" s="29" t="n"/>
      <c r="H116" s="29" t="n"/>
      <c r="I116" s="29" t="n"/>
    </row>
    <row r="117">
      <c r="A117" s="31" t="n"/>
      <c r="B117" s="29" t="n"/>
      <c r="C117" s="29" t="n"/>
      <c r="D117" s="29" t="n"/>
      <c r="E117" s="29" t="n"/>
      <c r="F117" s="29" t="n"/>
      <c r="G117" s="29" t="n"/>
      <c r="H117" s="29" t="n"/>
      <c r="I117" s="29" t="n"/>
    </row>
    <row r="118">
      <c r="A118" s="31" t="n"/>
      <c r="B118" s="29" t="n"/>
      <c r="C118" s="29" t="n"/>
      <c r="D118" s="29" t="n"/>
      <c r="E118" s="29" t="n"/>
      <c r="F118" s="29" t="n"/>
      <c r="G118" s="29" t="n"/>
      <c r="H118" s="29" t="n"/>
      <c r="I118" s="29" t="n"/>
    </row>
    <row r="119">
      <c r="A119" s="31" t="n"/>
      <c r="B119" s="29" t="n"/>
      <c r="C119" s="29" t="n"/>
      <c r="D119" s="29" t="n"/>
      <c r="E119" s="29" t="n"/>
      <c r="F119" s="29" t="n"/>
      <c r="G119" s="29" t="n"/>
      <c r="H119" s="29" t="n"/>
      <c r="I119" s="29" t="n"/>
    </row>
    <row r="120">
      <c r="A120" s="31" t="n"/>
      <c r="B120" s="29" t="n"/>
      <c r="C120" s="29" t="n"/>
      <c r="D120" s="29" t="n"/>
      <c r="E120" s="29" t="n"/>
      <c r="F120" s="29" t="n"/>
      <c r="G120" s="29" t="n"/>
      <c r="H120" s="29" t="n"/>
      <c r="I120" s="29" t="n"/>
    </row>
    <row r="121">
      <c r="A121" s="31" t="n"/>
      <c r="B121" s="29" t="n"/>
      <c r="C121" s="29" t="n"/>
      <c r="D121" s="29" t="n"/>
      <c r="E121" s="29" t="n"/>
      <c r="F121" s="29" t="n"/>
      <c r="G121" s="29" t="n"/>
      <c r="H121" s="29" t="n"/>
      <c r="I121" s="29" t="n"/>
    </row>
    <row r="122">
      <c r="A122" s="31" t="n"/>
      <c r="B122" s="29" t="n"/>
      <c r="C122" s="29" t="n"/>
      <c r="D122" s="29" t="n"/>
      <c r="E122" s="29" t="n"/>
      <c r="F122" s="29" t="n"/>
      <c r="G122" s="29" t="n"/>
      <c r="H122" s="29" t="n"/>
      <c r="I122" s="29" t="n"/>
    </row>
    <row r="123">
      <c r="A123" s="31" t="n"/>
      <c r="B123" s="29" t="n"/>
      <c r="C123" s="29" t="n"/>
      <c r="D123" s="29" t="n"/>
      <c r="E123" s="29" t="n"/>
      <c r="F123" s="29" t="n"/>
      <c r="G123" s="29" t="n"/>
      <c r="H123" s="29" t="n"/>
      <c r="I123" s="29" t="n"/>
    </row>
    <row r="124">
      <c r="A124" s="31" t="n"/>
      <c r="B124" s="29" t="n"/>
      <c r="C124" s="29" t="n"/>
      <c r="D124" s="29" t="n"/>
      <c r="E124" s="29" t="n"/>
      <c r="F124" s="29" t="n"/>
      <c r="G124" s="29" t="n"/>
      <c r="H124" s="29" t="n"/>
      <c r="I124" s="29" t="n"/>
    </row>
    <row r="125">
      <c r="A125" s="31" t="n"/>
      <c r="B125" s="29" t="n"/>
      <c r="C125" s="29" t="n"/>
      <c r="D125" s="29" t="n"/>
      <c r="E125" s="29" t="n"/>
      <c r="F125" s="29" t="n"/>
      <c r="G125" s="29" t="n"/>
      <c r="H125" s="29" t="n"/>
      <c r="I125" s="29" t="n"/>
    </row>
    <row r="126">
      <c r="A126" s="31" t="n"/>
      <c r="B126" s="29" t="n"/>
      <c r="C126" s="29" t="n"/>
      <c r="D126" s="29" t="n"/>
      <c r="E126" s="29" t="n"/>
      <c r="F126" s="29" t="n"/>
      <c r="G126" s="29" t="n"/>
      <c r="H126" s="29" t="n"/>
      <c r="I126" s="29" t="n"/>
    </row>
    <row r="127">
      <c r="A127" s="31" t="n"/>
      <c r="B127" s="29" t="n"/>
      <c r="C127" s="29" t="n"/>
      <c r="D127" s="29" t="n"/>
      <c r="E127" s="29" t="n"/>
      <c r="F127" s="29" t="n"/>
      <c r="G127" s="29" t="n"/>
      <c r="H127" s="29" t="n"/>
      <c r="I127" s="29" t="n"/>
    </row>
    <row r="128">
      <c r="A128" s="31" t="n"/>
      <c r="B128" s="29" t="n"/>
      <c r="C128" s="29" t="n"/>
      <c r="D128" s="29" t="n"/>
      <c r="E128" s="29" t="n"/>
      <c r="F128" s="29" t="n"/>
      <c r="G128" s="29" t="n"/>
      <c r="H128" s="29" t="n"/>
      <c r="I128" s="29" t="n"/>
    </row>
    <row r="129">
      <c r="A129" s="31" t="n"/>
      <c r="B129" s="29" t="n"/>
      <c r="C129" s="29" t="n"/>
      <c r="D129" s="29" t="n"/>
      <c r="E129" s="29" t="n"/>
      <c r="F129" s="29" t="n"/>
      <c r="G129" s="29" t="n"/>
      <c r="H129" s="29" t="n"/>
      <c r="I129" s="29" t="n"/>
    </row>
    <row r="130">
      <c r="A130" s="31" t="n"/>
      <c r="B130" s="29" t="n"/>
      <c r="C130" s="29" t="n"/>
      <c r="D130" s="29" t="n"/>
      <c r="E130" s="29" t="n"/>
      <c r="F130" s="29" t="n"/>
      <c r="G130" s="29" t="n"/>
      <c r="H130" s="29" t="n"/>
      <c r="I130" s="29" t="n"/>
    </row>
    <row r="131">
      <c r="A131" s="31" t="n"/>
      <c r="B131" s="29" t="n"/>
      <c r="C131" s="29" t="n"/>
      <c r="D131" s="29" t="n"/>
      <c r="E131" s="29" t="n"/>
      <c r="F131" s="29" t="n"/>
      <c r="G131" s="29" t="n"/>
      <c r="H131" s="29" t="n"/>
      <c r="I131" s="29" t="n"/>
    </row>
    <row r="132">
      <c r="A132" s="31" t="n"/>
      <c r="B132" s="29" t="n"/>
      <c r="C132" s="29" t="n"/>
      <c r="D132" s="29" t="n"/>
      <c r="E132" s="29" t="n"/>
      <c r="F132" s="29" t="n"/>
      <c r="G132" s="29" t="n"/>
      <c r="H132" s="29" t="n"/>
      <c r="I132" s="29" t="n"/>
    </row>
    <row r="133">
      <c r="A133" s="31" t="n"/>
      <c r="B133" s="29" t="n"/>
      <c r="C133" s="29" t="n"/>
      <c r="D133" s="29" t="n"/>
      <c r="E133" s="29" t="n"/>
      <c r="F133" s="29" t="n"/>
      <c r="G133" s="29" t="n"/>
      <c r="H133" s="29" t="n"/>
      <c r="I133" s="29" t="n"/>
    </row>
    <row r="134">
      <c r="A134" s="31" t="n"/>
      <c r="B134" s="29" t="n"/>
      <c r="C134" s="29" t="n"/>
      <c r="D134" s="29" t="n"/>
      <c r="E134" s="29" t="n"/>
      <c r="F134" s="29" t="n"/>
      <c r="G134" s="29" t="n"/>
      <c r="H134" s="29" t="n"/>
      <c r="I134" s="29" t="n"/>
    </row>
    <row r="135">
      <c r="A135" s="31" t="n"/>
      <c r="B135" s="29" t="n"/>
      <c r="C135" s="29" t="n"/>
      <c r="D135" s="29" t="n"/>
      <c r="E135" s="29" t="n"/>
      <c r="F135" s="29" t="n"/>
      <c r="G135" s="29" t="n"/>
      <c r="H135" s="29" t="n"/>
      <c r="I135" s="29" t="n"/>
    </row>
    <row r="136">
      <c r="A136" s="31" t="n"/>
      <c r="B136" s="29" t="n"/>
      <c r="C136" s="29" t="n"/>
      <c r="D136" s="29" t="n"/>
      <c r="E136" s="29" t="n"/>
      <c r="F136" s="29" t="n"/>
      <c r="G136" s="29" t="n"/>
      <c r="H136" s="29" t="n"/>
      <c r="I136" s="29" t="n"/>
    </row>
    <row r="137">
      <c r="A137" s="31" t="n"/>
      <c r="B137" s="29" t="n"/>
      <c r="C137" s="29" t="n"/>
      <c r="D137" s="29" t="n"/>
      <c r="E137" s="29" t="n"/>
      <c r="F137" s="29" t="n"/>
      <c r="G137" s="29" t="n"/>
      <c r="H137" s="29" t="n"/>
      <c r="I137" s="29" t="n"/>
    </row>
    <row r="138">
      <c r="A138" s="31" t="n"/>
      <c r="B138" s="29" t="n"/>
      <c r="C138" s="29" t="n"/>
      <c r="D138" s="29" t="n"/>
      <c r="E138" s="29" t="n"/>
      <c r="F138" s="29" t="n"/>
      <c r="G138" s="29" t="n"/>
      <c r="H138" s="29" t="n"/>
      <c r="I138" s="29" t="n"/>
    </row>
    <row r="139">
      <c r="A139" s="31" t="n"/>
      <c r="B139" s="29" t="n"/>
      <c r="C139" s="29" t="n"/>
      <c r="D139" s="29" t="n"/>
      <c r="E139" s="29" t="n"/>
      <c r="F139" s="29" t="n"/>
      <c r="G139" s="29" t="n"/>
      <c r="H139" s="29" t="n"/>
      <c r="I139" s="29" t="n"/>
    </row>
    <row r="140">
      <c r="A140" s="31" t="n"/>
      <c r="B140" s="29" t="n"/>
      <c r="C140" s="29" t="n"/>
      <c r="D140" s="29" t="n"/>
      <c r="E140" s="29" t="n"/>
      <c r="F140" s="29" t="n"/>
      <c r="G140" s="29" t="n"/>
      <c r="H140" s="29" t="n"/>
      <c r="I140" s="29" t="n"/>
    </row>
    <row r="141">
      <c r="A141" s="31" t="n"/>
      <c r="B141" s="29" t="n"/>
      <c r="C141" s="29" t="n"/>
      <c r="D141" s="29" t="n"/>
      <c r="E141" s="29" t="n"/>
      <c r="F141" s="29" t="n"/>
      <c r="G141" s="29" t="n"/>
      <c r="H141" s="29" t="n"/>
      <c r="I141" s="29" t="n"/>
    </row>
    <row r="142">
      <c r="A142" s="31" t="n"/>
      <c r="B142" s="29" t="n"/>
      <c r="C142" s="29" t="n"/>
      <c r="D142" s="29" t="n"/>
      <c r="E142" s="29" t="n"/>
      <c r="F142" s="29" t="n"/>
      <c r="G142" s="29" t="n"/>
      <c r="H142" s="29" t="n"/>
      <c r="I142" s="29" t="n"/>
    </row>
    <row r="143">
      <c r="A143" s="31" t="n"/>
      <c r="B143" s="29" t="n"/>
      <c r="C143" s="29" t="n"/>
      <c r="D143" s="29" t="n"/>
      <c r="E143" s="29" t="n"/>
      <c r="F143" s="29" t="n"/>
      <c r="G143" s="29" t="n"/>
      <c r="H143" s="29" t="n"/>
      <c r="I143" s="29" t="n"/>
    </row>
    <row r="144">
      <c r="A144" s="31" t="n"/>
      <c r="B144" s="29" t="n"/>
      <c r="C144" s="29" t="n"/>
      <c r="D144" s="29" t="n"/>
      <c r="E144" s="29" t="n"/>
      <c r="F144" s="29" t="n"/>
      <c r="G144" s="29" t="n"/>
      <c r="H144" s="29" t="n"/>
      <c r="I144" s="29" t="n"/>
    </row>
    <row r="145">
      <c r="A145" s="31" t="n"/>
      <c r="B145" s="29" t="n"/>
      <c r="C145" s="29" t="n"/>
      <c r="D145" s="29" t="n"/>
      <c r="E145" s="29" t="n"/>
      <c r="F145" s="29" t="n"/>
      <c r="G145" s="29" t="n"/>
      <c r="H145" s="29" t="n"/>
      <c r="I145" s="29" t="n"/>
    </row>
    <row r="146">
      <c r="A146" s="31" t="n"/>
      <c r="B146" s="29" t="n"/>
      <c r="C146" s="29" t="n"/>
      <c r="D146" s="29" t="n"/>
      <c r="E146" s="29" t="n"/>
      <c r="F146" s="29" t="n"/>
      <c r="G146" s="29" t="n"/>
      <c r="H146" s="29" t="n"/>
      <c r="I146" s="29" t="n"/>
    </row>
    <row r="147">
      <c r="A147" s="31" t="n"/>
      <c r="B147" s="29" t="n"/>
      <c r="C147" s="29" t="n"/>
      <c r="D147" s="29" t="n"/>
      <c r="E147" s="29" t="n"/>
      <c r="F147" s="29" t="n"/>
      <c r="G147" s="29" t="n"/>
      <c r="H147" s="29" t="n"/>
      <c r="I147" s="29" t="n"/>
    </row>
    <row r="148">
      <c r="A148" s="31" t="n"/>
      <c r="B148" s="29" t="n"/>
      <c r="C148" s="29" t="n"/>
      <c r="D148" s="29" t="n"/>
      <c r="E148" s="29" t="n"/>
      <c r="F148" s="29" t="n"/>
      <c r="G148" s="29" t="n"/>
      <c r="H148" s="29" t="n"/>
      <c r="I148" s="29" t="n"/>
    </row>
    <row r="149">
      <c r="A149" s="31" t="n"/>
      <c r="B149" s="29" t="n"/>
      <c r="C149" s="29" t="n"/>
      <c r="D149" s="29" t="n"/>
      <c r="E149" s="29" t="n"/>
      <c r="F149" s="29" t="n"/>
      <c r="G149" s="29" t="n"/>
      <c r="H149" s="29" t="n"/>
      <c r="I149" s="29" t="n"/>
    </row>
    <row r="150">
      <c r="A150" s="31" t="n"/>
      <c r="B150" s="29" t="n"/>
      <c r="C150" s="29" t="n"/>
      <c r="D150" s="29" t="n"/>
      <c r="E150" s="29" t="n"/>
      <c r="F150" s="29" t="n"/>
      <c r="G150" s="29" t="n"/>
      <c r="H150" s="29" t="n"/>
      <c r="I150" s="29" t="n"/>
    </row>
    <row r="151">
      <c r="A151" s="31" t="n"/>
      <c r="B151" s="29" t="n"/>
      <c r="C151" s="29" t="n"/>
      <c r="D151" s="29" t="n"/>
      <c r="E151" s="29" t="n"/>
      <c r="F151" s="29" t="n"/>
      <c r="G151" s="29" t="n"/>
      <c r="H151" s="29" t="n"/>
      <c r="I151" s="29" t="n"/>
    </row>
    <row r="152">
      <c r="A152" s="31" t="n"/>
      <c r="B152" s="29" t="n"/>
      <c r="C152" s="29" t="n"/>
      <c r="D152" s="29" t="n"/>
      <c r="E152" s="29" t="n"/>
      <c r="F152" s="29" t="n"/>
      <c r="G152" s="29" t="n"/>
      <c r="H152" s="29" t="n"/>
      <c r="I152" s="29" t="n"/>
    </row>
    <row r="153">
      <c r="A153" s="31" t="n"/>
      <c r="B153" s="29" t="n"/>
      <c r="C153" s="29" t="n"/>
      <c r="D153" s="29" t="n"/>
      <c r="E153" s="29" t="n"/>
      <c r="F153" s="29" t="n"/>
      <c r="G153" s="29" t="n"/>
      <c r="H153" s="29" t="n"/>
      <c r="I153" s="29" t="n"/>
    </row>
    <row r="154">
      <c r="A154" s="31" t="n"/>
      <c r="B154" s="29" t="n"/>
      <c r="C154" s="29" t="n"/>
      <c r="D154" s="29" t="n"/>
      <c r="E154" s="29" t="n"/>
      <c r="F154" s="29" t="n"/>
      <c r="G154" s="29" t="n"/>
      <c r="H154" s="29" t="n"/>
      <c r="I154" s="29" t="n"/>
    </row>
    <row r="155">
      <c r="A155" s="31" t="n"/>
      <c r="B155" s="29" t="n"/>
      <c r="C155" s="29" t="n"/>
      <c r="D155" s="29" t="n"/>
      <c r="E155" s="29" t="n"/>
      <c r="F155" s="29" t="n"/>
      <c r="G155" s="29" t="n"/>
      <c r="H155" s="29" t="n"/>
      <c r="I155" s="29" t="n"/>
    </row>
    <row r="156">
      <c r="A156" s="31" t="n"/>
      <c r="B156" s="29" t="n"/>
      <c r="C156" s="29" t="n"/>
      <c r="D156" s="29" t="n"/>
      <c r="E156" s="29" t="n"/>
      <c r="F156" s="29" t="n"/>
      <c r="G156" s="29" t="n"/>
      <c r="H156" s="29" t="n"/>
      <c r="I156" s="29" t="n"/>
    </row>
    <row r="157">
      <c r="A157" s="31" t="n"/>
      <c r="B157" s="29" t="n"/>
      <c r="C157" s="29" t="n"/>
      <c r="D157" s="29" t="n"/>
      <c r="E157" s="29" t="n"/>
      <c r="F157" s="29" t="n"/>
      <c r="G157" s="29" t="n"/>
      <c r="H157" s="29" t="n"/>
      <c r="I157" s="29" t="n"/>
    </row>
    <row r="158">
      <c r="A158" s="31" t="n"/>
      <c r="B158" s="29" t="n"/>
      <c r="C158" s="29" t="n"/>
      <c r="D158" s="29" t="n"/>
      <c r="E158" s="29" t="n"/>
      <c r="F158" s="29" t="n"/>
      <c r="G158" s="29" t="n"/>
      <c r="H158" s="29" t="n"/>
      <c r="I158" s="29" t="n"/>
    </row>
    <row r="159">
      <c r="A159" s="31" t="n"/>
      <c r="B159" s="29" t="n"/>
      <c r="C159" s="29" t="n"/>
      <c r="D159" s="29" t="n"/>
      <c r="E159" s="29" t="n"/>
      <c r="F159" s="29" t="n"/>
      <c r="G159" s="29" t="n"/>
      <c r="H159" s="29" t="n"/>
      <c r="I159" s="29" t="n"/>
    </row>
    <row r="160">
      <c r="A160" s="31" t="n"/>
      <c r="B160" s="29" t="n"/>
      <c r="C160" s="29" t="n"/>
      <c r="D160" s="29" t="n"/>
      <c r="E160" s="29" t="n"/>
      <c r="F160" s="29" t="n"/>
      <c r="G160" s="29" t="n"/>
      <c r="H160" s="29" t="n"/>
      <c r="I160" s="29" t="n"/>
    </row>
    <row r="161">
      <c r="A161" s="31" t="n"/>
      <c r="B161" s="29" t="n"/>
      <c r="C161" s="29" t="n"/>
      <c r="D161" s="29" t="n"/>
      <c r="E161" s="29" t="n"/>
      <c r="F161" s="29" t="n"/>
      <c r="G161" s="29" t="n"/>
      <c r="H161" s="29" t="n"/>
      <c r="I161" s="29" t="n"/>
    </row>
    <row r="162">
      <c r="A162" s="31" t="n"/>
      <c r="B162" s="29" t="n"/>
      <c r="C162" s="29" t="n"/>
      <c r="D162" s="29" t="n"/>
      <c r="E162" s="29" t="n"/>
      <c r="F162" s="29" t="n"/>
      <c r="G162" s="29" t="n"/>
      <c r="H162" s="29" t="n"/>
      <c r="I162" s="29" t="n"/>
    </row>
    <row r="163">
      <c r="A163" s="31" t="n"/>
      <c r="B163" s="29" t="n"/>
      <c r="C163" s="29" t="n"/>
      <c r="D163" s="29" t="n"/>
      <c r="E163" s="29" t="n"/>
      <c r="F163" s="29" t="n"/>
      <c r="G163" s="29" t="n"/>
      <c r="H163" s="29" t="n"/>
      <c r="I163" s="29" t="n"/>
    </row>
    <row r="164">
      <c r="A164" s="31" t="n"/>
      <c r="B164" s="29" t="n"/>
      <c r="C164" s="29" t="n"/>
      <c r="D164" s="29" t="n"/>
      <c r="E164" s="29" t="n"/>
      <c r="F164" s="29" t="n"/>
      <c r="G164" s="29" t="n"/>
      <c r="H164" s="29" t="n"/>
      <c r="I164" s="29" t="n"/>
    </row>
    <row r="165">
      <c r="A165" s="31" t="n"/>
      <c r="B165" s="29" t="n"/>
      <c r="C165" s="29" t="n"/>
      <c r="D165" s="29" t="n"/>
      <c r="E165" s="29" t="n"/>
      <c r="F165" s="29" t="n"/>
      <c r="G165" s="29" t="n"/>
      <c r="H165" s="29" t="n"/>
      <c r="I165" s="29" t="n"/>
    </row>
    <row r="166">
      <c r="A166" s="31" t="n"/>
      <c r="B166" s="29" t="n"/>
      <c r="C166" s="29" t="n"/>
      <c r="D166" s="29" t="n"/>
      <c r="E166" s="29" t="n"/>
      <c r="F166" s="29" t="n"/>
      <c r="G166" s="29" t="n"/>
      <c r="H166" s="29" t="n"/>
      <c r="I166" s="29" t="n"/>
    </row>
    <row r="167">
      <c r="A167" s="31" t="n"/>
      <c r="B167" s="29" t="n"/>
      <c r="C167" s="29" t="n"/>
      <c r="D167" s="29" t="n"/>
      <c r="E167" s="29" t="n"/>
      <c r="F167" s="29" t="n"/>
      <c r="G167" s="29" t="n"/>
      <c r="H167" s="29" t="n"/>
      <c r="I167" s="29" t="n"/>
    </row>
    <row r="168">
      <c r="A168" s="31" t="n"/>
      <c r="B168" s="29" t="n"/>
      <c r="C168" s="29" t="n"/>
      <c r="D168" s="29" t="n"/>
      <c r="E168" s="29" t="n"/>
      <c r="F168" s="29" t="n"/>
      <c r="G168" s="29" t="n"/>
      <c r="H168" s="29" t="n"/>
      <c r="I168" s="29" t="n"/>
    </row>
    <row r="169">
      <c r="A169" s="31" t="n"/>
      <c r="B169" s="29" t="n"/>
      <c r="C169" s="29" t="n"/>
      <c r="D169" s="29" t="n"/>
      <c r="E169" s="29" t="n"/>
      <c r="F169" s="29" t="n"/>
      <c r="G169" s="29" t="n"/>
      <c r="H169" s="29" t="n"/>
      <c r="I169" s="29" t="n"/>
    </row>
    <row r="170">
      <c r="A170" s="31" t="n"/>
      <c r="B170" s="29" t="n"/>
      <c r="C170" s="29" t="n"/>
      <c r="D170" s="29" t="n"/>
      <c r="E170" s="29" t="n"/>
      <c r="F170" s="29" t="n"/>
      <c r="G170" s="29" t="n"/>
      <c r="H170" s="29" t="n"/>
      <c r="I170" s="29" t="n"/>
    </row>
    <row r="171">
      <c r="A171" s="31" t="n"/>
      <c r="B171" s="29" t="n"/>
      <c r="C171" s="29" t="n"/>
      <c r="D171" s="29" t="n"/>
      <c r="E171" s="29" t="n"/>
      <c r="F171" s="29" t="n"/>
      <c r="G171" s="29" t="n"/>
      <c r="H171" s="29" t="n"/>
      <c r="I171" s="29" t="n"/>
    </row>
    <row r="172">
      <c r="A172" s="31" t="n"/>
      <c r="B172" s="29" t="n"/>
      <c r="C172" s="29" t="n"/>
      <c r="D172" s="29" t="n"/>
      <c r="E172" s="29" t="n"/>
      <c r="F172" s="29" t="n"/>
      <c r="G172" s="29" t="n"/>
      <c r="H172" s="29" t="n"/>
      <c r="I172" s="29" t="n"/>
    </row>
    <row r="173">
      <c r="A173" s="31" t="n"/>
      <c r="B173" s="29" t="n"/>
      <c r="C173" s="29" t="n"/>
      <c r="D173" s="29" t="n"/>
      <c r="E173" s="29" t="n"/>
      <c r="F173" s="29" t="n"/>
      <c r="G173" s="29" t="n"/>
      <c r="H173" s="29" t="n"/>
      <c r="I173" s="29" t="n"/>
    </row>
    <row r="174">
      <c r="A174" s="31" t="n"/>
      <c r="B174" s="29" t="n"/>
      <c r="C174" s="29" t="n"/>
      <c r="D174" s="29" t="n"/>
      <c r="E174" s="29" t="n"/>
      <c r="F174" s="29" t="n"/>
      <c r="G174" s="29" t="n"/>
      <c r="H174" s="29" t="n"/>
      <c r="I174" s="29" t="n"/>
    </row>
    <row r="175">
      <c r="A175" s="31" t="n"/>
      <c r="B175" s="29" t="n"/>
      <c r="C175" s="29" t="n"/>
      <c r="D175" s="29" t="n"/>
      <c r="E175" s="29" t="n"/>
      <c r="F175" s="29" t="n"/>
      <c r="G175" s="29" t="n"/>
      <c r="H175" s="29" t="n"/>
      <c r="I175" s="29" t="n"/>
    </row>
    <row r="176">
      <c r="A176" s="31" t="n"/>
      <c r="B176" s="29" t="n"/>
      <c r="C176" s="29" t="n"/>
      <c r="D176" s="29" t="n"/>
      <c r="E176" s="29" t="n"/>
      <c r="F176" s="29" t="n"/>
      <c r="G176" s="29" t="n"/>
      <c r="H176" s="29" t="n"/>
      <c r="I176" s="29" t="n"/>
    </row>
    <row r="177">
      <c r="A177" s="31" t="n"/>
      <c r="B177" s="29" t="n"/>
      <c r="C177" s="29" t="n"/>
      <c r="D177" s="29" t="n"/>
      <c r="E177" s="29" t="n"/>
      <c r="F177" s="29" t="n"/>
      <c r="G177" s="29" t="n"/>
      <c r="H177" s="29" t="n"/>
      <c r="I177" s="29" t="n"/>
    </row>
    <row r="178">
      <c r="A178" s="31" t="n"/>
      <c r="B178" s="29" t="n"/>
      <c r="C178" s="29" t="n"/>
      <c r="D178" s="29" t="n"/>
      <c r="E178" s="29" t="n"/>
      <c r="F178" s="29" t="n"/>
      <c r="G178" s="29" t="n"/>
      <c r="H178" s="29" t="n"/>
      <c r="I178" s="29" t="n"/>
    </row>
    <row r="179">
      <c r="A179" s="31" t="n"/>
      <c r="B179" s="29" t="n"/>
      <c r="C179" s="29" t="n"/>
      <c r="D179" s="29" t="n"/>
      <c r="E179" s="29" t="n"/>
      <c r="F179" s="29" t="n"/>
      <c r="G179" s="29" t="n"/>
      <c r="H179" s="29" t="n"/>
      <c r="I179" s="29" t="n"/>
    </row>
    <row r="180">
      <c r="A180" s="31" t="n"/>
      <c r="B180" s="29" t="n"/>
      <c r="C180" s="29" t="n"/>
      <c r="D180" s="29" t="n"/>
      <c r="E180" s="29" t="n"/>
      <c r="F180" s="29" t="n"/>
      <c r="G180" s="29" t="n"/>
      <c r="H180" s="29" t="n"/>
      <c r="I180" s="29" t="n"/>
    </row>
    <row r="181">
      <c r="A181" s="31" t="n"/>
      <c r="B181" s="29" t="n"/>
      <c r="C181" s="29" t="n"/>
      <c r="D181" s="29" t="n"/>
      <c r="E181" s="29" t="n"/>
      <c r="F181" s="29" t="n"/>
      <c r="G181" s="29" t="n"/>
      <c r="H181" s="29" t="n"/>
      <c r="I181" s="29" t="n"/>
    </row>
    <row r="182">
      <c r="A182" s="31" t="n"/>
      <c r="B182" s="29" t="n"/>
      <c r="C182" s="29" t="n"/>
      <c r="D182" s="29" t="n"/>
      <c r="E182" s="29" t="n"/>
      <c r="F182" s="29" t="n"/>
      <c r="G182" s="29" t="n"/>
      <c r="H182" s="29" t="n"/>
      <c r="I182" s="29" t="n"/>
    </row>
    <row r="183">
      <c r="A183" s="31" t="n"/>
      <c r="B183" s="29" t="n"/>
      <c r="C183" s="29" t="n"/>
      <c r="D183" s="29" t="n"/>
      <c r="E183" s="29" t="n"/>
      <c r="F183" s="29" t="n"/>
      <c r="G183" s="29" t="n"/>
      <c r="H183" s="29" t="n"/>
      <c r="I183" s="29" t="n"/>
    </row>
    <row r="184">
      <c r="A184" s="31" t="n"/>
      <c r="B184" s="29" t="n"/>
      <c r="C184" s="29" t="n"/>
      <c r="D184" s="29" t="n"/>
      <c r="E184" s="29" t="n"/>
      <c r="F184" s="29" t="n"/>
      <c r="G184" s="29" t="n"/>
      <c r="H184" s="29" t="n"/>
      <c r="I184" s="29" t="n"/>
    </row>
    <row r="185">
      <c r="A185" s="31" t="n"/>
      <c r="B185" s="29" t="n"/>
      <c r="C185" s="29" t="n"/>
      <c r="D185" s="29" t="n"/>
      <c r="E185" s="29" t="n"/>
      <c r="F185" s="29" t="n"/>
      <c r="G185" s="29" t="n"/>
      <c r="H185" s="29" t="n"/>
      <c r="I185" s="29" t="n"/>
    </row>
    <row r="186">
      <c r="A186" s="31" t="n"/>
      <c r="B186" s="29" t="n"/>
      <c r="C186" s="29" t="n"/>
      <c r="D186" s="29" t="n"/>
      <c r="E186" s="29" t="n"/>
      <c r="F186" s="29" t="n"/>
      <c r="G186" s="29" t="n"/>
      <c r="H186" s="29" t="n"/>
      <c r="I186" s="29" t="n"/>
    </row>
    <row r="187">
      <c r="A187" s="31" t="n"/>
      <c r="B187" s="29" t="n"/>
      <c r="C187" s="29" t="n"/>
      <c r="D187" s="29" t="n"/>
      <c r="E187" s="29" t="n"/>
      <c r="F187" s="29" t="n"/>
      <c r="G187" s="29" t="n"/>
      <c r="H187" s="29" t="n"/>
      <c r="I187" s="29" t="n"/>
    </row>
    <row r="188">
      <c r="A188" s="31" t="n"/>
      <c r="B188" s="29" t="n"/>
      <c r="C188" s="29" t="n"/>
      <c r="D188" s="29" t="n"/>
      <c r="E188" s="29" t="n"/>
      <c r="F188" s="29" t="n"/>
      <c r="G188" s="29" t="n"/>
      <c r="H188" s="29" t="n"/>
      <c r="I188" s="29" t="n"/>
    </row>
    <row r="189">
      <c r="A189" s="31" t="n"/>
      <c r="B189" s="29" t="n"/>
      <c r="C189" s="29" t="n"/>
      <c r="D189" s="29" t="n"/>
      <c r="E189" s="29" t="n"/>
      <c r="F189" s="29" t="n"/>
      <c r="G189" s="29" t="n"/>
      <c r="H189" s="29" t="n"/>
      <c r="I189" s="29" t="n"/>
    </row>
    <row r="190">
      <c r="A190" s="31" t="n"/>
      <c r="B190" s="29" t="n"/>
      <c r="C190" s="29" t="n"/>
      <c r="D190" s="29" t="n"/>
      <c r="E190" s="29" t="n"/>
      <c r="F190" s="29" t="n"/>
      <c r="G190" s="29" t="n"/>
      <c r="H190" s="29" t="n"/>
      <c r="I190" s="29" t="n"/>
    </row>
    <row r="191">
      <c r="A191" s="31" t="n"/>
      <c r="B191" s="29" t="n"/>
      <c r="C191" s="29" t="n"/>
      <c r="D191" s="29" t="n"/>
      <c r="E191" s="29" t="n"/>
      <c r="F191" s="29" t="n"/>
      <c r="G191" s="29" t="n"/>
      <c r="H191" s="29" t="n"/>
      <c r="I191" s="29" t="n"/>
    </row>
    <row r="192">
      <c r="A192" s="31" t="n"/>
      <c r="B192" s="29" t="n"/>
      <c r="C192" s="29" t="n"/>
      <c r="D192" s="29" t="n"/>
      <c r="E192" s="29" t="n"/>
      <c r="F192" s="29" t="n"/>
      <c r="G192" s="29" t="n"/>
      <c r="H192" s="29" t="n"/>
      <c r="I192" s="29" t="n"/>
    </row>
    <row r="193">
      <c r="A193" s="31" t="n"/>
      <c r="B193" s="29" t="n"/>
      <c r="C193" s="29" t="n"/>
      <c r="D193" s="29" t="n"/>
      <c r="E193" s="29" t="n"/>
      <c r="F193" s="29" t="n"/>
      <c r="G193" s="29" t="n"/>
      <c r="H193" s="29" t="n"/>
      <c r="I193" s="29" t="n"/>
    </row>
    <row r="194">
      <c r="A194" s="31" t="n"/>
      <c r="B194" s="29" t="n"/>
      <c r="C194" s="29" t="n"/>
      <c r="D194" s="29" t="n"/>
      <c r="E194" s="29" t="n"/>
      <c r="F194" s="29" t="n"/>
      <c r="G194" s="29" t="n"/>
      <c r="H194" s="29" t="n"/>
      <c r="I194" s="29" t="n"/>
    </row>
    <row r="195">
      <c r="A195" s="31" t="n"/>
      <c r="B195" s="29" t="n"/>
      <c r="C195" s="29" t="n"/>
      <c r="D195" s="29" t="n"/>
      <c r="E195" s="29" t="n"/>
      <c r="F195" s="29" t="n"/>
      <c r="G195" s="29" t="n"/>
      <c r="H195" s="29" t="n"/>
      <c r="I195" s="29" t="n"/>
    </row>
    <row r="196">
      <c r="A196" s="31" t="n"/>
      <c r="B196" s="29" t="n"/>
      <c r="C196" s="29" t="n"/>
      <c r="D196" s="29" t="n"/>
      <c r="E196" s="29" t="n"/>
      <c r="F196" s="29" t="n"/>
      <c r="G196" s="29" t="n"/>
      <c r="H196" s="29" t="n"/>
      <c r="I196" s="29" t="n"/>
    </row>
    <row r="197">
      <c r="A197" s="31" t="n"/>
      <c r="B197" s="29" t="n"/>
      <c r="C197" s="29" t="n"/>
      <c r="D197" s="29" t="n"/>
      <c r="E197" s="29" t="n"/>
      <c r="F197" s="29" t="n"/>
      <c r="G197" s="29" t="n"/>
      <c r="H197" s="29" t="n"/>
      <c r="I197" s="29" t="n"/>
    </row>
    <row r="198">
      <c r="A198" s="31" t="n"/>
      <c r="B198" s="29" t="n"/>
      <c r="C198" s="29" t="n"/>
      <c r="D198" s="29" t="n"/>
      <c r="E198" s="29" t="n"/>
      <c r="F198" s="29" t="n"/>
      <c r="G198" s="29" t="n"/>
      <c r="H198" s="29" t="n"/>
      <c r="I198" s="29" t="n"/>
    </row>
    <row r="199">
      <c r="A199" s="31" t="n"/>
      <c r="B199" s="29" t="n"/>
      <c r="C199" s="29" t="n"/>
      <c r="D199" s="29" t="n"/>
      <c r="E199" s="29" t="n"/>
      <c r="F199" s="29" t="n"/>
      <c r="G199" s="29" t="n"/>
      <c r="H199" s="29" t="n"/>
      <c r="I199" s="29" t="n"/>
    </row>
    <row r="200">
      <c r="A200" s="31" t="n"/>
      <c r="B200" s="29" t="n"/>
      <c r="C200" s="29" t="n"/>
      <c r="D200" s="29" t="n"/>
      <c r="E200" s="29" t="n"/>
      <c r="F200" s="29" t="n"/>
      <c r="G200" s="29" t="n"/>
      <c r="H200" s="29" t="n"/>
      <c r="I200" s="29" t="n"/>
    </row>
    <row r="201">
      <c r="A201" s="31" t="n"/>
      <c r="B201" s="29" t="n"/>
      <c r="C201" s="29" t="n"/>
      <c r="D201" s="29" t="n"/>
      <c r="E201" s="29" t="n"/>
      <c r="F201" s="29" t="n"/>
      <c r="G201" s="29" t="n"/>
      <c r="H201" s="29" t="n"/>
      <c r="I201" s="29" t="n"/>
    </row>
    <row r="202">
      <c r="A202" s="31" t="n"/>
      <c r="B202" s="29" t="n"/>
      <c r="C202" s="29" t="n"/>
      <c r="D202" s="29" t="n"/>
      <c r="E202" s="29" t="n"/>
      <c r="F202" s="29" t="n"/>
      <c r="G202" s="29" t="n"/>
      <c r="H202" s="29" t="n"/>
      <c r="I202" s="29" t="n"/>
    </row>
    <row r="203">
      <c r="A203" s="31" t="n"/>
      <c r="B203" s="29" t="n"/>
      <c r="C203" s="29" t="n"/>
      <c r="D203" s="29" t="n"/>
      <c r="E203" s="29" t="n"/>
      <c r="F203" s="29" t="n"/>
      <c r="G203" s="29" t="n"/>
      <c r="H203" s="29" t="n"/>
      <c r="I203" s="29" t="n"/>
    </row>
    <row r="204">
      <c r="A204" s="31" t="n"/>
      <c r="B204" s="29" t="n"/>
      <c r="C204" s="29" t="n"/>
      <c r="D204" s="29" t="n"/>
      <c r="E204" s="29" t="n"/>
      <c r="F204" s="29" t="n"/>
      <c r="G204" s="29" t="n"/>
      <c r="H204" s="29" t="n"/>
      <c r="I204" s="29" t="n"/>
    </row>
    <row r="205">
      <c r="A205" s="31" t="n"/>
      <c r="B205" s="29" t="n"/>
      <c r="C205" s="29" t="n"/>
      <c r="D205" s="29" t="n"/>
      <c r="E205" s="29" t="n"/>
      <c r="F205" s="29" t="n"/>
      <c r="G205" s="29" t="n"/>
      <c r="H205" s="29" t="n"/>
      <c r="I205" s="29" t="n"/>
    </row>
    <row r="206">
      <c r="A206" s="31" t="n"/>
      <c r="B206" s="29" t="n"/>
      <c r="C206" s="29" t="n"/>
      <c r="D206" s="29" t="n"/>
      <c r="E206" s="29" t="n"/>
      <c r="F206" s="29" t="n"/>
      <c r="G206" s="29" t="n"/>
      <c r="H206" s="29" t="n"/>
      <c r="I206" s="29" t="n"/>
    </row>
    <row r="207">
      <c r="A207" s="31" t="n"/>
      <c r="B207" s="29" t="n"/>
      <c r="C207" s="29" t="n"/>
      <c r="D207" s="29" t="n"/>
      <c r="E207" s="29" t="n"/>
      <c r="F207" s="29" t="n"/>
      <c r="G207" s="29" t="n"/>
      <c r="H207" s="29" t="n"/>
      <c r="I207" s="29" t="n"/>
    </row>
    <row r="208">
      <c r="A208" s="31" t="n"/>
      <c r="B208" s="29" t="n"/>
      <c r="C208" s="29" t="n"/>
      <c r="D208" s="29" t="n"/>
      <c r="E208" s="29" t="n"/>
      <c r="F208" s="29" t="n"/>
      <c r="G208" s="29" t="n"/>
      <c r="H208" s="29" t="n"/>
      <c r="I208" s="29" t="n"/>
    </row>
    <row r="209">
      <c r="A209" s="31" t="n"/>
      <c r="B209" s="29" t="n"/>
      <c r="C209" s="29" t="n"/>
      <c r="D209" s="29" t="n"/>
      <c r="E209" s="29" t="n"/>
      <c r="F209" s="29" t="n"/>
      <c r="G209" s="29" t="n"/>
      <c r="H209" s="29" t="n"/>
      <c r="I209" s="29" t="n"/>
    </row>
    <row r="210">
      <c r="A210" s="31" t="n"/>
      <c r="B210" s="29" t="n"/>
      <c r="C210" s="29" t="n"/>
      <c r="D210" s="29" t="n"/>
      <c r="E210" s="29" t="n"/>
      <c r="F210" s="29" t="n"/>
      <c r="G210" s="29" t="n"/>
      <c r="H210" s="29" t="n"/>
      <c r="I210" s="29" t="n"/>
    </row>
    <row r="211">
      <c r="A211" s="31" t="n"/>
      <c r="B211" s="29" t="n"/>
      <c r="C211" s="29" t="n"/>
      <c r="D211" s="29" t="n"/>
      <c r="E211" s="29" t="n"/>
      <c r="F211" s="29" t="n"/>
      <c r="G211" s="29" t="n"/>
      <c r="H211" s="29" t="n"/>
      <c r="I211" s="29" t="n"/>
    </row>
    <row r="212">
      <c r="A212" s="31" t="n"/>
      <c r="B212" s="29" t="n"/>
      <c r="C212" s="29" t="n"/>
      <c r="D212" s="29" t="n"/>
      <c r="E212" s="29" t="n"/>
      <c r="F212" s="29" t="n"/>
      <c r="G212" s="29" t="n"/>
      <c r="H212" s="29" t="n"/>
      <c r="I212" s="29" t="n"/>
    </row>
    <row r="213">
      <c r="A213" s="31" t="n"/>
      <c r="B213" s="29" t="n"/>
      <c r="C213" s="29" t="n"/>
      <c r="D213" s="29" t="n"/>
      <c r="E213" s="29" t="n"/>
      <c r="F213" s="29" t="n"/>
      <c r="G213" s="29" t="n"/>
      <c r="H213" s="29" t="n"/>
      <c r="I213" s="29" t="n"/>
    </row>
    <row r="214">
      <c r="A214" s="31" t="n"/>
      <c r="B214" s="29" t="n"/>
      <c r="C214" s="29" t="n"/>
      <c r="D214" s="29" t="n"/>
      <c r="E214" s="29" t="n"/>
      <c r="F214" s="29" t="n"/>
      <c r="G214" s="29" t="n"/>
      <c r="H214" s="29" t="n"/>
      <c r="I214" s="29" t="n"/>
    </row>
    <row r="215">
      <c r="A215" s="31" t="n"/>
      <c r="B215" s="29" t="n"/>
      <c r="C215" s="29" t="n"/>
      <c r="D215" s="29" t="n"/>
      <c r="E215" s="29" t="n"/>
      <c r="F215" s="29" t="n"/>
      <c r="G215" s="29" t="n"/>
      <c r="H215" s="29" t="n"/>
      <c r="I215" s="29" t="n"/>
    </row>
    <row r="216">
      <c r="A216" s="31" t="n"/>
      <c r="B216" s="29" t="n"/>
      <c r="C216" s="29" t="n"/>
      <c r="D216" s="29" t="n"/>
      <c r="E216" s="29" t="n"/>
      <c r="F216" s="29" t="n"/>
      <c r="G216" s="29" t="n"/>
      <c r="H216" s="29" t="n"/>
      <c r="I216" s="29" t="n"/>
    </row>
    <row r="217">
      <c r="A217" s="31" t="n"/>
      <c r="B217" s="29" t="n"/>
      <c r="C217" s="29" t="n"/>
      <c r="D217" s="29" t="n"/>
      <c r="E217" s="29" t="n"/>
      <c r="F217" s="29" t="n"/>
      <c r="G217" s="29" t="n"/>
      <c r="H217" s="29" t="n"/>
      <c r="I217" s="29" t="n"/>
    </row>
    <row r="218">
      <c r="A218" s="31" t="n"/>
      <c r="B218" s="29" t="n"/>
      <c r="C218" s="29" t="n"/>
      <c r="D218" s="29" t="n"/>
      <c r="E218" s="29" t="n"/>
      <c r="F218" s="29" t="n"/>
      <c r="G218" s="29" t="n"/>
      <c r="H218" s="29" t="n"/>
      <c r="I218" s="29" t="n"/>
    </row>
    <row r="219">
      <c r="A219" s="31" t="n"/>
      <c r="B219" s="29" t="n"/>
      <c r="C219" s="29" t="n"/>
      <c r="D219" s="29" t="n"/>
      <c r="E219" s="29" t="n"/>
      <c r="F219" s="29" t="n"/>
      <c r="G219" s="29" t="n"/>
      <c r="H219" s="29" t="n"/>
      <c r="I219" s="29" t="n"/>
    </row>
    <row r="220">
      <c r="A220" s="31" t="n"/>
      <c r="B220" s="29" t="n"/>
      <c r="C220" s="29" t="n"/>
      <c r="D220" s="29" t="n"/>
      <c r="E220" s="29" t="n"/>
      <c r="F220" s="29" t="n"/>
      <c r="G220" s="29" t="n"/>
      <c r="H220" s="29" t="n"/>
      <c r="I220" s="29" t="n"/>
    </row>
    <row r="221">
      <c r="A221" s="31" t="n"/>
      <c r="B221" s="29" t="n"/>
      <c r="C221" s="29" t="n"/>
      <c r="D221" s="29" t="n"/>
      <c r="E221" s="29" t="n"/>
      <c r="F221" s="29" t="n"/>
      <c r="G221" s="29" t="n"/>
      <c r="H221" s="29" t="n"/>
      <c r="I221" s="29" t="n"/>
    </row>
    <row r="222">
      <c r="A222" s="31" t="n"/>
      <c r="B222" s="29" t="n"/>
      <c r="C222" s="29" t="n"/>
      <c r="D222" s="29" t="n"/>
      <c r="E222" s="29" t="n"/>
      <c r="F222" s="29" t="n"/>
      <c r="G222" s="29" t="n"/>
      <c r="H222" s="29" t="n"/>
      <c r="I222" s="29" t="n"/>
    </row>
    <row r="223">
      <c r="A223" s="31" t="n"/>
      <c r="B223" s="29" t="n"/>
      <c r="C223" s="29" t="n"/>
      <c r="D223" s="29" t="n"/>
      <c r="E223" s="29" t="n"/>
      <c r="F223" s="29" t="n"/>
      <c r="G223" s="29" t="n"/>
      <c r="H223" s="29" t="n"/>
      <c r="I223" s="29" t="n"/>
    </row>
    <row r="224">
      <c r="A224" s="31" t="n"/>
      <c r="B224" s="29" t="n"/>
      <c r="C224" s="29" t="n"/>
      <c r="D224" s="29" t="n"/>
      <c r="E224" s="29" t="n"/>
      <c r="F224" s="29" t="n"/>
      <c r="G224" s="29" t="n"/>
      <c r="H224" s="29" t="n"/>
      <c r="I224" s="29" t="n"/>
    </row>
    <row r="225">
      <c r="A225" s="31" t="n"/>
      <c r="B225" s="29" t="n"/>
      <c r="C225" s="29" t="n"/>
      <c r="D225" s="29" t="n"/>
      <c r="E225" s="29" t="n"/>
      <c r="F225" s="29" t="n"/>
      <c r="G225" s="29" t="n"/>
      <c r="H225" s="29" t="n"/>
      <c r="I225" s="29" t="n"/>
    </row>
    <row r="226">
      <c r="A226" s="31" t="n"/>
      <c r="B226" s="29" t="n"/>
      <c r="C226" s="29" t="n"/>
      <c r="D226" s="29" t="n"/>
      <c r="E226" s="29" t="n"/>
      <c r="F226" s="29" t="n"/>
      <c r="G226" s="29" t="n"/>
      <c r="H226" s="29" t="n"/>
      <c r="I226" s="29" t="n"/>
    </row>
    <row r="227">
      <c r="A227" s="31" t="n"/>
      <c r="B227" s="29" t="n"/>
      <c r="C227" s="29" t="n"/>
      <c r="D227" s="29" t="n"/>
      <c r="E227" s="29" t="n"/>
      <c r="F227" s="29" t="n"/>
      <c r="G227" s="29" t="n"/>
      <c r="H227" s="29" t="n"/>
      <c r="I227" s="29" t="n"/>
    </row>
    <row r="228">
      <c r="A228" s="31" t="n"/>
      <c r="B228" s="29" t="n"/>
      <c r="C228" s="29" t="n"/>
      <c r="D228" s="29" t="n"/>
      <c r="E228" s="29" t="n"/>
      <c r="F228" s="29" t="n"/>
      <c r="G228" s="29" t="n"/>
      <c r="H228" s="29" t="n"/>
      <c r="I228" s="29" t="n"/>
    </row>
    <row r="229">
      <c r="A229" s="31" t="n"/>
      <c r="B229" s="29" t="n"/>
      <c r="C229" s="29" t="n"/>
      <c r="D229" s="29" t="n"/>
      <c r="E229" s="29" t="n"/>
      <c r="F229" s="29" t="n"/>
      <c r="G229" s="29" t="n"/>
      <c r="H229" s="29" t="n"/>
      <c r="I229" s="29" t="n"/>
    </row>
    <row r="230">
      <c r="A230" s="31" t="n"/>
      <c r="B230" s="29" t="n"/>
      <c r="C230" s="29" t="n"/>
      <c r="D230" s="29" t="n"/>
      <c r="E230" s="29" t="n"/>
      <c r="F230" s="29" t="n"/>
      <c r="G230" s="29" t="n"/>
      <c r="H230" s="29" t="n"/>
      <c r="I230" s="29" t="n"/>
    </row>
    <row r="231">
      <c r="A231" s="31" t="n"/>
      <c r="B231" s="29" t="n"/>
      <c r="C231" s="29" t="n"/>
      <c r="D231" s="29" t="n"/>
      <c r="E231" s="29" t="n"/>
      <c r="F231" s="29" t="n"/>
      <c r="G231" s="29" t="n"/>
      <c r="H231" s="29" t="n"/>
      <c r="I231" s="29" t="n"/>
    </row>
    <row r="232">
      <c r="A232" s="31" t="n"/>
      <c r="B232" s="29" t="n"/>
      <c r="C232" s="29" t="n"/>
      <c r="D232" s="29" t="n"/>
      <c r="E232" s="29" t="n"/>
      <c r="F232" s="29" t="n"/>
      <c r="G232" s="29" t="n"/>
      <c r="H232" s="29" t="n"/>
      <c r="I232" s="29" t="n"/>
    </row>
    <row r="233">
      <c r="A233" s="31" t="n"/>
      <c r="B233" s="29" t="n"/>
      <c r="C233" s="29" t="n"/>
      <c r="D233" s="29" t="n"/>
      <c r="E233" s="29" t="n"/>
      <c r="F233" s="29" t="n"/>
      <c r="G233" s="29" t="n"/>
      <c r="H233" s="29" t="n"/>
      <c r="I233" s="29" t="n"/>
    </row>
    <row r="234">
      <c r="A234" s="31" t="n"/>
      <c r="B234" s="29" t="n"/>
      <c r="C234" s="29" t="n"/>
      <c r="D234" s="29" t="n"/>
      <c r="E234" s="29" t="n"/>
      <c r="F234" s="29" t="n"/>
      <c r="G234" s="29" t="n"/>
      <c r="H234" s="29" t="n"/>
      <c r="I234" s="29" t="n"/>
    </row>
    <row r="235">
      <c r="A235" s="31" t="n"/>
      <c r="B235" s="29" t="n"/>
      <c r="C235" s="29" t="n"/>
      <c r="D235" s="29" t="n"/>
      <c r="E235" s="29" t="n"/>
      <c r="F235" s="29" t="n"/>
      <c r="G235" s="29" t="n"/>
      <c r="H235" s="29" t="n"/>
      <c r="I235" s="29" t="n"/>
    </row>
    <row r="236">
      <c r="A236" s="31" t="n"/>
      <c r="B236" s="29" t="n"/>
      <c r="C236" s="29" t="n"/>
      <c r="D236" s="29" t="n"/>
      <c r="E236" s="29" t="n"/>
      <c r="F236" s="29" t="n"/>
      <c r="G236" s="29" t="n"/>
      <c r="H236" s="29" t="n"/>
      <c r="I236" s="29" t="n"/>
    </row>
    <row r="237">
      <c r="A237" s="31" t="n"/>
      <c r="B237" s="29" t="n"/>
      <c r="C237" s="29" t="n"/>
      <c r="D237" s="29" t="n"/>
      <c r="E237" s="29" t="n"/>
      <c r="F237" s="29" t="n"/>
      <c r="G237" s="29" t="n"/>
      <c r="H237" s="29" t="n"/>
      <c r="I237" s="29" t="n"/>
    </row>
    <row r="238">
      <c r="A238" s="31" t="n"/>
      <c r="B238" s="29" t="n"/>
      <c r="C238" s="29" t="n"/>
      <c r="D238" s="29" t="n"/>
      <c r="E238" s="29" t="n"/>
      <c r="F238" s="29" t="n"/>
      <c r="G238" s="29" t="n"/>
      <c r="H238" s="29" t="n"/>
      <c r="I238" s="29" t="n"/>
    </row>
    <row r="239">
      <c r="A239" s="31" t="n"/>
      <c r="B239" s="29" t="n"/>
      <c r="C239" s="29" t="n"/>
      <c r="D239" s="29" t="n"/>
      <c r="E239" s="29" t="n"/>
      <c r="F239" s="29" t="n"/>
      <c r="G239" s="29" t="n"/>
      <c r="H239" s="29" t="n"/>
      <c r="I239" s="29" t="n"/>
    </row>
    <row r="240">
      <c r="A240" s="31" t="n"/>
      <c r="B240" s="29" t="n"/>
      <c r="C240" s="29" t="n"/>
      <c r="D240" s="29" t="n"/>
      <c r="E240" s="29" t="n"/>
      <c r="F240" s="29" t="n"/>
      <c r="G240" s="29" t="n"/>
      <c r="H240" s="29" t="n"/>
      <c r="I240" s="29" t="n"/>
    </row>
    <row r="241">
      <c r="A241" s="31" t="n"/>
      <c r="B241" s="29" t="n"/>
      <c r="C241" s="29" t="n"/>
      <c r="D241" s="29" t="n"/>
      <c r="E241" s="29" t="n"/>
      <c r="F241" s="29" t="n"/>
      <c r="G241" s="29" t="n"/>
      <c r="H241" s="29" t="n"/>
      <c r="I241" s="29" t="n"/>
    </row>
    <row r="242">
      <c r="A242" s="31" t="n"/>
      <c r="B242" s="29" t="n"/>
      <c r="C242" s="29" t="n"/>
      <c r="D242" s="29" t="n"/>
      <c r="E242" s="29" t="n"/>
      <c r="F242" s="29" t="n"/>
      <c r="G242" s="29" t="n"/>
      <c r="H242" s="29" t="n"/>
      <c r="I242" s="29" t="n"/>
    </row>
    <row r="243">
      <c r="A243" s="31" t="n"/>
      <c r="B243" s="29" t="n"/>
      <c r="C243" s="29" t="n"/>
      <c r="D243" s="29" t="n"/>
      <c r="E243" s="29" t="n"/>
      <c r="F243" s="29" t="n"/>
      <c r="G243" s="29" t="n"/>
      <c r="H243" s="29" t="n"/>
      <c r="I243" s="29" t="n"/>
    </row>
    <row r="244">
      <c r="A244" s="31" t="n"/>
      <c r="B244" s="29" t="n"/>
      <c r="C244" s="29" t="n"/>
      <c r="D244" s="29" t="n"/>
      <c r="E244" s="29" t="n"/>
      <c r="F244" s="29" t="n"/>
      <c r="G244" s="29" t="n"/>
      <c r="H244" s="29" t="n"/>
      <c r="I244" s="29" t="n"/>
    </row>
    <row r="245">
      <c r="A245" s="31" t="n"/>
      <c r="B245" s="29" t="n"/>
      <c r="C245" s="29" t="n"/>
      <c r="D245" s="29" t="n"/>
      <c r="E245" s="29" t="n"/>
      <c r="F245" s="29" t="n"/>
      <c r="G245" s="29" t="n"/>
      <c r="H245" s="29" t="n"/>
      <c r="I245" s="29" t="n"/>
    </row>
    <row r="246">
      <c r="A246" s="31" t="n"/>
      <c r="B246" s="29" t="n"/>
      <c r="C246" s="29" t="n"/>
      <c r="D246" s="29" t="n"/>
      <c r="E246" s="29" t="n"/>
      <c r="F246" s="29" t="n"/>
      <c r="G246" s="29" t="n"/>
      <c r="H246" s="29" t="n"/>
      <c r="I246" s="29" t="n"/>
    </row>
    <row r="247">
      <c r="A247" s="31" t="n"/>
      <c r="B247" s="29" t="n"/>
      <c r="C247" s="29" t="n"/>
      <c r="D247" s="29" t="n"/>
      <c r="E247" s="29" t="n"/>
      <c r="F247" s="29" t="n"/>
      <c r="G247" s="29" t="n"/>
      <c r="H247" s="29" t="n"/>
      <c r="I247" s="29" t="n"/>
    </row>
    <row r="248">
      <c r="A248" s="31" t="n"/>
      <c r="B248" s="29" t="n"/>
      <c r="C248" s="29" t="n"/>
      <c r="D248" s="29" t="n"/>
      <c r="E248" s="29" t="n"/>
      <c r="F248" s="29" t="n"/>
      <c r="G248" s="29" t="n"/>
      <c r="H248" s="29" t="n"/>
      <c r="I248" s="29" t="n"/>
    </row>
    <row r="249">
      <c r="A249" s="31" t="n"/>
      <c r="B249" s="29" t="n"/>
      <c r="C249" s="29" t="n"/>
      <c r="D249" s="29" t="n"/>
      <c r="E249" s="29" t="n"/>
      <c r="F249" s="29" t="n"/>
      <c r="G249" s="29" t="n"/>
      <c r="H249" s="29" t="n"/>
      <c r="I249" s="29" t="n"/>
    </row>
    <row r="250">
      <c r="A250" s="31" t="n"/>
      <c r="B250" s="29" t="n"/>
      <c r="C250" s="29" t="n"/>
      <c r="D250" s="29" t="n"/>
      <c r="E250" s="29" t="n"/>
      <c r="F250" s="29" t="n"/>
      <c r="G250" s="29" t="n"/>
      <c r="H250" s="29" t="n"/>
      <c r="I250" s="29" t="n"/>
    </row>
    <row r="251">
      <c r="A251" s="31" t="n"/>
      <c r="B251" s="29" t="n"/>
      <c r="C251" s="29" t="n"/>
      <c r="D251" s="29" t="n"/>
      <c r="E251" s="29" t="n"/>
      <c r="F251" s="29" t="n"/>
      <c r="G251" s="29" t="n"/>
      <c r="H251" s="29" t="n"/>
      <c r="I251" s="29" t="n"/>
    </row>
    <row r="252">
      <c r="A252" s="31" t="n"/>
      <c r="B252" s="29" t="n"/>
      <c r="C252" s="29" t="n"/>
      <c r="D252" s="29" t="n"/>
      <c r="E252" s="29" t="n"/>
      <c r="F252" s="29" t="n"/>
      <c r="G252" s="29" t="n"/>
      <c r="H252" s="29" t="n"/>
      <c r="I252" s="29" t="n"/>
    </row>
    <row r="253">
      <c r="A253" s="31" t="n"/>
      <c r="B253" s="29" t="n"/>
      <c r="C253" s="29" t="n"/>
      <c r="D253" s="29" t="n"/>
      <c r="E253" s="29" t="n"/>
      <c r="F253" s="29" t="n"/>
      <c r="G253" s="29" t="n"/>
      <c r="H253" s="29" t="n"/>
      <c r="I253" s="29" t="n"/>
    </row>
    <row r="254">
      <c r="A254" s="31" t="n"/>
      <c r="B254" s="29" t="n"/>
      <c r="C254" s="29" t="n"/>
      <c r="D254" s="29" t="n"/>
      <c r="E254" s="29" t="n"/>
      <c r="F254" s="29" t="n"/>
      <c r="G254" s="29" t="n"/>
      <c r="H254" s="29" t="n"/>
      <c r="I254" s="29" t="n"/>
    </row>
    <row r="255">
      <c r="A255" s="31" t="n"/>
      <c r="B255" s="29" t="n"/>
      <c r="C255" s="29" t="n"/>
      <c r="D255" s="29" t="n"/>
      <c r="E255" s="29" t="n"/>
      <c r="F255" s="29" t="n"/>
      <c r="G255" s="29" t="n"/>
      <c r="H255" s="29" t="n"/>
      <c r="I255" s="29" t="n"/>
    </row>
    <row r="256">
      <c r="A256" s="31" t="n"/>
      <c r="B256" s="29" t="n"/>
      <c r="C256" s="29" t="n"/>
      <c r="D256" s="29" t="n"/>
      <c r="E256" s="29" t="n"/>
      <c r="F256" s="29" t="n"/>
      <c r="G256" s="29" t="n"/>
      <c r="H256" s="29" t="n"/>
      <c r="I256" s="29" t="n"/>
    </row>
    <row r="257">
      <c r="A257" s="31" t="n"/>
      <c r="B257" s="29" t="n"/>
      <c r="C257" s="29" t="n"/>
      <c r="D257" s="29" t="n"/>
      <c r="E257" s="29" t="n"/>
      <c r="F257" s="29" t="n"/>
      <c r="G257" s="29" t="n"/>
      <c r="H257" s="29" t="n"/>
      <c r="I257" s="29" t="n"/>
    </row>
    <row r="258">
      <c r="A258" s="31" t="n"/>
      <c r="B258" s="29" t="n"/>
      <c r="C258" s="29" t="n"/>
      <c r="D258" s="29" t="n"/>
      <c r="E258" s="29" t="n"/>
      <c r="F258" s="29" t="n"/>
      <c r="G258" s="29" t="n"/>
      <c r="H258" s="29" t="n"/>
      <c r="I258" s="29" t="n"/>
    </row>
    <row r="259">
      <c r="A259" s="31" t="n"/>
      <c r="B259" s="29" t="n"/>
      <c r="C259" s="29" t="n"/>
      <c r="D259" s="29" t="n"/>
      <c r="E259" s="29" t="n"/>
      <c r="F259" s="29" t="n"/>
      <c r="G259" s="29" t="n"/>
      <c r="H259" s="29" t="n"/>
      <c r="I259" s="29" t="n"/>
    </row>
    <row r="260">
      <c r="A260" s="31" t="n"/>
      <c r="B260" s="29" t="n"/>
      <c r="C260" s="29" t="n"/>
      <c r="D260" s="29" t="n"/>
      <c r="E260" s="29" t="n"/>
      <c r="F260" s="29" t="n"/>
      <c r="G260" s="29" t="n"/>
      <c r="H260" s="29" t="n"/>
      <c r="I260" s="29" t="n"/>
    </row>
    <row r="261">
      <c r="A261" s="31" t="n"/>
      <c r="B261" s="29" t="n"/>
      <c r="C261" s="29" t="n"/>
      <c r="D261" s="29" t="n"/>
      <c r="E261" s="29" t="n"/>
      <c r="F261" s="29" t="n"/>
      <c r="G261" s="29" t="n"/>
      <c r="H261" s="29" t="n"/>
      <c r="I261" s="29" t="n"/>
    </row>
    <row r="262">
      <c r="A262" s="31" t="n"/>
      <c r="B262" s="29" t="n"/>
      <c r="C262" s="29" t="n"/>
      <c r="D262" s="29" t="n"/>
      <c r="E262" s="29" t="n"/>
      <c r="F262" s="29" t="n"/>
      <c r="G262" s="29" t="n"/>
      <c r="H262" s="29" t="n"/>
      <c r="I262" s="29" t="n"/>
    </row>
    <row r="263">
      <c r="A263" s="31" t="n"/>
      <c r="B263" s="29" t="n"/>
      <c r="C263" s="29" t="n"/>
      <c r="D263" s="29" t="n"/>
      <c r="E263" s="29" t="n"/>
      <c r="F263" s="29" t="n"/>
      <c r="G263" s="29" t="n"/>
      <c r="H263" s="29" t="n"/>
      <c r="I263" s="29" t="n"/>
    </row>
    <row r="264">
      <c r="A264" s="31" t="n"/>
      <c r="B264" s="29" t="n"/>
      <c r="C264" s="29" t="n"/>
      <c r="D264" s="29" t="n"/>
      <c r="E264" s="29" t="n"/>
      <c r="F264" s="29" t="n"/>
      <c r="G264" s="29" t="n"/>
      <c r="H264" s="29" t="n"/>
      <c r="I264" s="29" t="n"/>
    </row>
    <row r="265">
      <c r="A265" s="31" t="n"/>
      <c r="B265" s="29" t="n"/>
      <c r="C265" s="29" t="n"/>
      <c r="D265" s="29" t="n"/>
      <c r="E265" s="29" t="n"/>
      <c r="F265" s="29" t="n"/>
      <c r="G265" s="29" t="n"/>
      <c r="H265" s="29" t="n"/>
      <c r="I265" s="29" t="n"/>
    </row>
    <row r="266">
      <c r="A266" s="31" t="n"/>
      <c r="B266" s="29" t="n"/>
      <c r="C266" s="29" t="n"/>
      <c r="D266" s="29" t="n"/>
      <c r="E266" s="29" t="n"/>
      <c r="F266" s="29" t="n"/>
      <c r="G266" s="29" t="n"/>
      <c r="H266" s="29" t="n"/>
      <c r="I266" s="29" t="n"/>
    </row>
    <row r="267">
      <c r="A267" s="31" t="n"/>
      <c r="B267" s="29" t="n"/>
      <c r="C267" s="29" t="n"/>
      <c r="D267" s="29" t="n"/>
      <c r="E267" s="29" t="n"/>
      <c r="F267" s="29" t="n"/>
      <c r="G267" s="29" t="n"/>
      <c r="H267" s="29" t="n"/>
      <c r="I267" s="29" t="n"/>
    </row>
    <row r="268">
      <c r="A268" s="31" t="n"/>
      <c r="B268" s="29" t="n"/>
      <c r="C268" s="29" t="n"/>
      <c r="D268" s="29" t="n"/>
      <c r="E268" s="29" t="n"/>
      <c r="F268" s="29" t="n"/>
      <c r="G268" s="29" t="n"/>
      <c r="H268" s="29" t="n"/>
      <c r="I268" s="29" t="n"/>
    </row>
    <row r="269">
      <c r="A269" s="31" t="n"/>
      <c r="B269" s="29" t="n"/>
      <c r="C269" s="29" t="n"/>
      <c r="D269" s="29" t="n"/>
      <c r="E269" s="29" t="n"/>
      <c r="F269" s="29" t="n"/>
      <c r="G269" s="29" t="n"/>
      <c r="H269" s="29" t="n"/>
      <c r="I269" s="29" t="n"/>
    </row>
    <row r="270">
      <c r="A270" s="31" t="n"/>
      <c r="B270" s="29" t="n"/>
      <c r="C270" s="29" t="n"/>
      <c r="D270" s="29" t="n"/>
      <c r="E270" s="29" t="n"/>
      <c r="F270" s="29" t="n"/>
      <c r="G270" s="29" t="n"/>
      <c r="H270" s="29" t="n"/>
      <c r="I270" s="29" t="n"/>
    </row>
    <row r="271">
      <c r="A271" s="31" t="n"/>
      <c r="B271" s="29" t="n"/>
      <c r="C271" s="29" t="n"/>
      <c r="D271" s="29" t="n"/>
      <c r="E271" s="29" t="n"/>
      <c r="F271" s="29" t="n"/>
      <c r="G271" s="29" t="n"/>
      <c r="H271" s="29" t="n"/>
      <c r="I271" s="29" t="n"/>
    </row>
    <row r="272">
      <c r="A272" s="31" t="n"/>
      <c r="B272" s="29" t="n"/>
      <c r="C272" s="29" t="n"/>
      <c r="D272" s="29" t="n"/>
      <c r="E272" s="29" t="n"/>
      <c r="F272" s="29" t="n"/>
      <c r="G272" s="29" t="n"/>
      <c r="H272" s="29" t="n"/>
      <c r="I272" s="29" t="n"/>
    </row>
    <row r="273">
      <c r="A273" s="31" t="n"/>
      <c r="B273" s="29" t="n"/>
      <c r="C273" s="29" t="n"/>
      <c r="D273" s="29" t="n"/>
      <c r="E273" s="29" t="n"/>
      <c r="F273" s="29" t="n"/>
      <c r="G273" s="29" t="n"/>
      <c r="H273" s="29" t="n"/>
      <c r="I273" s="29" t="n"/>
    </row>
    <row r="274">
      <c r="A274" s="31" t="n"/>
      <c r="B274" s="29" t="n"/>
      <c r="C274" s="29" t="n"/>
      <c r="D274" s="29" t="n"/>
      <c r="E274" s="29" t="n"/>
      <c r="F274" s="29" t="n"/>
      <c r="G274" s="29" t="n"/>
      <c r="H274" s="29" t="n"/>
      <c r="I274" s="29" t="n"/>
    </row>
    <row r="275">
      <c r="A275" s="31" t="n"/>
      <c r="B275" s="29" t="n"/>
      <c r="C275" s="29" t="n"/>
      <c r="D275" s="29" t="n"/>
      <c r="E275" s="29" t="n"/>
      <c r="F275" s="29" t="n"/>
      <c r="G275" s="29" t="n"/>
      <c r="H275" s="29" t="n"/>
      <c r="I275" s="29" t="n"/>
    </row>
    <row r="276">
      <c r="A276" s="31" t="n"/>
      <c r="B276" s="29" t="n"/>
      <c r="C276" s="29" t="n"/>
      <c r="D276" s="29" t="n"/>
      <c r="E276" s="29" t="n"/>
      <c r="F276" s="29" t="n"/>
      <c r="G276" s="29" t="n"/>
      <c r="H276" s="29" t="n"/>
      <c r="I276" s="29" t="n"/>
    </row>
    <row r="277">
      <c r="A277" s="31" t="n"/>
      <c r="B277" s="29" t="n"/>
      <c r="C277" s="29" t="n"/>
      <c r="D277" s="29" t="n"/>
      <c r="E277" s="29" t="n"/>
      <c r="F277" s="29" t="n"/>
      <c r="G277" s="29" t="n"/>
      <c r="H277" s="29" t="n"/>
      <c r="I277" s="29" t="n"/>
    </row>
    <row r="278">
      <c r="A278" s="31" t="n"/>
      <c r="B278" s="29" t="n"/>
      <c r="C278" s="29" t="n"/>
      <c r="D278" s="29" t="n"/>
      <c r="E278" s="29" t="n"/>
      <c r="F278" s="29" t="n"/>
      <c r="G278" s="29" t="n"/>
      <c r="H278" s="29" t="n"/>
      <c r="I278" s="29" t="n"/>
    </row>
    <row r="279">
      <c r="A279" s="31" t="n"/>
      <c r="B279" s="29" t="n"/>
      <c r="C279" s="29" t="n"/>
      <c r="D279" s="29" t="n"/>
      <c r="E279" s="29" t="n"/>
      <c r="F279" s="29" t="n"/>
      <c r="G279" s="29" t="n"/>
      <c r="H279" s="29" t="n"/>
      <c r="I279" s="29" t="n"/>
    </row>
    <row r="280">
      <c r="A280" s="31" t="n"/>
      <c r="B280" s="29" t="n"/>
      <c r="C280" s="29" t="n"/>
      <c r="D280" s="29" t="n"/>
      <c r="E280" s="29" t="n"/>
      <c r="F280" s="29" t="n"/>
      <c r="G280" s="29" t="n"/>
      <c r="H280" s="29" t="n"/>
      <c r="I280" s="29" t="n"/>
    </row>
    <row r="281">
      <c r="A281" s="31" t="n"/>
      <c r="B281" s="29" t="n"/>
      <c r="C281" s="29" t="n"/>
      <c r="D281" s="29" t="n"/>
      <c r="E281" s="29" t="n"/>
      <c r="F281" s="29" t="n"/>
      <c r="G281" s="29" t="n"/>
      <c r="H281" s="29" t="n"/>
      <c r="I281" s="29" t="n"/>
    </row>
    <row r="282">
      <c r="A282" s="31" t="n"/>
      <c r="B282" s="29" t="n"/>
      <c r="C282" s="29" t="n"/>
      <c r="D282" s="29" t="n"/>
      <c r="E282" s="29" t="n"/>
      <c r="F282" s="29" t="n"/>
      <c r="G282" s="29" t="n"/>
      <c r="H282" s="29" t="n"/>
      <c r="I282" s="29" t="n"/>
    </row>
    <row r="283">
      <c r="A283" s="31" t="n"/>
      <c r="B283" s="29" t="n"/>
      <c r="C283" s="29" t="n"/>
      <c r="D283" s="29" t="n"/>
      <c r="E283" s="29" t="n"/>
      <c r="F283" s="29" t="n"/>
      <c r="G283" s="29" t="n"/>
      <c r="H283" s="29" t="n"/>
      <c r="I283" s="29" t="n"/>
    </row>
    <row r="284">
      <c r="A284" s="31" t="n"/>
      <c r="B284" s="29" t="n"/>
      <c r="C284" s="29" t="n"/>
      <c r="D284" s="29" t="n"/>
      <c r="E284" s="29" t="n"/>
      <c r="F284" s="29" t="n"/>
      <c r="G284" s="29" t="n"/>
      <c r="H284" s="29" t="n"/>
      <c r="I284" s="29" t="n"/>
    </row>
    <row r="285">
      <c r="A285" s="31" t="n"/>
      <c r="B285" s="29" t="n"/>
      <c r="C285" s="29" t="n"/>
      <c r="D285" s="29" t="n"/>
      <c r="E285" s="29" t="n"/>
      <c r="F285" s="29" t="n"/>
      <c r="G285" s="29" t="n"/>
      <c r="H285" s="29" t="n"/>
      <c r="I285" s="29" t="n"/>
    </row>
    <row r="286">
      <c r="A286" s="31" t="n"/>
      <c r="B286" s="29" t="n"/>
      <c r="C286" s="29" t="n"/>
      <c r="D286" s="29" t="n"/>
      <c r="E286" s="29" t="n"/>
      <c r="F286" s="29" t="n"/>
      <c r="G286" s="29" t="n"/>
      <c r="H286" s="29" t="n"/>
      <c r="I286" s="29" t="n"/>
    </row>
    <row r="287">
      <c r="A287" s="31" t="n"/>
      <c r="B287" s="29" t="n"/>
      <c r="C287" s="29" t="n"/>
      <c r="D287" s="29" t="n"/>
      <c r="E287" s="29" t="n"/>
      <c r="F287" s="29" t="n"/>
      <c r="G287" s="29" t="n"/>
      <c r="H287" s="29" t="n"/>
      <c r="I287" s="29" t="n"/>
    </row>
    <row r="288">
      <c r="A288" s="31" t="n"/>
      <c r="B288" s="29" t="n"/>
      <c r="C288" s="29" t="n"/>
      <c r="D288" s="29" t="n"/>
      <c r="E288" s="29" t="n"/>
      <c r="F288" s="29" t="n"/>
      <c r="G288" s="29" t="n"/>
      <c r="H288" s="29" t="n"/>
      <c r="I288" s="29" t="n"/>
    </row>
    <row r="289">
      <c r="A289" s="31" t="n"/>
      <c r="B289" s="29" t="n"/>
      <c r="C289" s="29" t="n"/>
      <c r="D289" s="29" t="n"/>
      <c r="E289" s="29" t="n"/>
      <c r="F289" s="29" t="n"/>
      <c r="G289" s="29" t="n"/>
      <c r="H289" s="29" t="n"/>
      <c r="I289" s="29" t="n"/>
    </row>
    <row r="290">
      <c r="A290" s="31" t="n"/>
      <c r="B290" s="29" t="n"/>
      <c r="C290" s="29" t="n"/>
      <c r="D290" s="29" t="n"/>
      <c r="E290" s="29" t="n"/>
      <c r="F290" s="29" t="n"/>
      <c r="G290" s="29" t="n"/>
      <c r="H290" s="29" t="n"/>
      <c r="I290" s="29" t="n"/>
    </row>
    <row r="291">
      <c r="A291" s="31" t="n"/>
      <c r="B291" s="29" t="n"/>
      <c r="C291" s="29" t="n"/>
      <c r="D291" s="29" t="n"/>
      <c r="E291" s="29" t="n"/>
      <c r="F291" s="29" t="n"/>
      <c r="G291" s="29" t="n"/>
      <c r="H291" s="29" t="n"/>
      <c r="I291" s="29" t="n"/>
    </row>
    <row r="292">
      <c r="A292" s="31" t="n"/>
      <c r="B292" s="29" t="n"/>
      <c r="C292" s="29" t="n"/>
      <c r="D292" s="29" t="n"/>
      <c r="E292" s="29" t="n"/>
      <c r="F292" s="29" t="n"/>
      <c r="G292" s="29" t="n"/>
      <c r="H292" s="29" t="n"/>
      <c r="I292" s="29" t="n"/>
    </row>
    <row r="293">
      <c r="A293" s="31" t="n"/>
      <c r="B293" s="29" t="n"/>
      <c r="C293" s="29" t="n"/>
      <c r="D293" s="29" t="n"/>
      <c r="E293" s="29" t="n"/>
      <c r="F293" s="29" t="n"/>
      <c r="G293" s="29" t="n"/>
      <c r="H293" s="29" t="n"/>
      <c r="I293" s="29" t="n"/>
    </row>
    <row r="294">
      <c r="A294" s="31" t="n"/>
      <c r="B294" s="29" t="n"/>
      <c r="C294" s="29" t="n"/>
      <c r="D294" s="29" t="n"/>
      <c r="E294" s="29" t="n"/>
      <c r="F294" s="29" t="n"/>
      <c r="G294" s="29" t="n"/>
      <c r="H294" s="29" t="n"/>
      <c r="I294" s="29" t="n"/>
    </row>
    <row r="295">
      <c r="A295" s="31" t="n"/>
      <c r="B295" s="29" t="n"/>
      <c r="C295" s="29" t="n"/>
      <c r="D295" s="29" t="n"/>
      <c r="E295" s="29" t="n"/>
      <c r="F295" s="29" t="n"/>
      <c r="G295" s="29" t="n"/>
      <c r="H295" s="29" t="n"/>
      <c r="I295" s="29" t="n"/>
    </row>
    <row r="296">
      <c r="A296" s="31" t="n"/>
      <c r="B296" s="29" t="n"/>
      <c r="C296" s="29" t="n"/>
      <c r="D296" s="29" t="n"/>
      <c r="E296" s="29" t="n"/>
      <c r="F296" s="29" t="n"/>
      <c r="G296" s="29" t="n"/>
      <c r="H296" s="29" t="n"/>
      <c r="I296" s="29" t="n"/>
    </row>
    <row r="297">
      <c r="A297" s="31" t="n"/>
      <c r="B297" s="29" t="n"/>
      <c r="C297" s="29" t="n"/>
      <c r="D297" s="29" t="n"/>
      <c r="E297" s="29" t="n"/>
      <c r="F297" s="29" t="n"/>
      <c r="G297" s="29" t="n"/>
      <c r="H297" s="29" t="n"/>
      <c r="I297" s="29" t="n"/>
    </row>
    <row r="298">
      <c r="A298" s="31" t="n"/>
      <c r="B298" s="29" t="n"/>
      <c r="C298" s="29" t="n"/>
      <c r="D298" s="29" t="n"/>
      <c r="E298" s="29" t="n"/>
      <c r="F298" s="29" t="n"/>
      <c r="G298" s="29" t="n"/>
      <c r="H298" s="29" t="n"/>
      <c r="I298" s="29" t="n"/>
    </row>
    <row r="299">
      <c r="A299" s="31" t="n"/>
      <c r="B299" s="29" t="n"/>
      <c r="C299" s="29" t="n"/>
      <c r="D299" s="29" t="n"/>
      <c r="E299" s="29" t="n"/>
      <c r="F299" s="29" t="n"/>
      <c r="G299" s="29" t="n"/>
      <c r="H299" s="29" t="n"/>
      <c r="I299" s="29" t="n"/>
    </row>
    <row r="300">
      <c r="A300" s="31" t="n"/>
      <c r="B300" s="29" t="n"/>
      <c r="C300" s="29" t="n"/>
      <c r="D300" s="29" t="n"/>
      <c r="E300" s="29" t="n"/>
      <c r="F300" s="29" t="n"/>
      <c r="G300" s="29" t="n"/>
      <c r="H300" s="29" t="n"/>
      <c r="I300" s="29" t="n"/>
    </row>
    <row r="301">
      <c r="A301" s="31" t="n"/>
      <c r="B301" s="29" t="n"/>
      <c r="C301" s="29" t="n"/>
      <c r="D301" s="29" t="n"/>
      <c r="E301" s="29" t="n"/>
      <c r="F301" s="29" t="n"/>
      <c r="G301" s="29" t="n"/>
      <c r="H301" s="29" t="n"/>
      <c r="I301" s="29" t="n"/>
    </row>
    <row r="302">
      <c r="A302" s="31" t="n"/>
      <c r="B302" s="29" t="n"/>
      <c r="C302" s="29" t="n"/>
      <c r="D302" s="29" t="n"/>
      <c r="E302" s="29" t="n"/>
      <c r="F302" s="29" t="n"/>
      <c r="G302" s="29" t="n"/>
      <c r="H302" s="29" t="n"/>
      <c r="I302" s="29" t="n"/>
    </row>
    <row r="303">
      <c r="A303" s="31" t="n"/>
      <c r="B303" s="29" t="n"/>
      <c r="C303" s="29" t="n"/>
      <c r="D303" s="29" t="n"/>
      <c r="E303" s="29" t="n"/>
      <c r="F303" s="29" t="n"/>
      <c r="G303" s="29" t="n"/>
      <c r="H303" s="29" t="n"/>
      <c r="I303" s="29" t="n"/>
    </row>
    <row r="304">
      <c r="A304" s="31" t="n"/>
      <c r="B304" s="29" t="n"/>
      <c r="C304" s="29" t="n"/>
      <c r="D304" s="29" t="n"/>
      <c r="E304" s="29" t="n"/>
      <c r="F304" s="29" t="n"/>
      <c r="G304" s="29" t="n"/>
      <c r="H304" s="29" t="n"/>
      <c r="I304" s="29" t="n"/>
    </row>
    <row r="305">
      <c r="A305" s="31" t="n"/>
      <c r="B305" s="29" t="n"/>
      <c r="C305" s="29" t="n"/>
      <c r="D305" s="29" t="n"/>
      <c r="E305" s="29" t="n"/>
      <c r="F305" s="29" t="n"/>
      <c r="G305" s="29" t="n"/>
      <c r="H305" s="29" t="n"/>
      <c r="I305" s="29" t="n"/>
    </row>
    <row r="306">
      <c r="A306" s="31" t="n"/>
      <c r="B306" s="29" t="n"/>
      <c r="C306" s="29" t="n"/>
      <c r="D306" s="29" t="n"/>
      <c r="E306" s="29" t="n"/>
      <c r="F306" s="29" t="n"/>
      <c r="G306" s="29" t="n"/>
      <c r="H306" s="29" t="n"/>
      <c r="I306" s="29" t="n"/>
    </row>
    <row r="307">
      <c r="A307" s="31" t="n"/>
      <c r="B307" s="29" t="n"/>
      <c r="C307" s="29" t="n"/>
      <c r="D307" s="29" t="n"/>
      <c r="E307" s="29" t="n"/>
      <c r="F307" s="29" t="n"/>
      <c r="G307" s="29" t="n"/>
      <c r="H307" s="29" t="n"/>
      <c r="I307" s="29" t="n"/>
    </row>
    <row r="308">
      <c r="A308" s="31" t="n"/>
      <c r="B308" s="29" t="n"/>
      <c r="C308" s="29" t="n"/>
      <c r="D308" s="29" t="n"/>
      <c r="E308" s="29" t="n"/>
      <c r="F308" s="29" t="n"/>
      <c r="G308" s="29" t="n"/>
      <c r="H308" s="29" t="n"/>
      <c r="I308" s="29" t="n"/>
    </row>
    <row r="309">
      <c r="A309" s="31" t="n"/>
      <c r="B309" s="29" t="n"/>
      <c r="C309" s="29" t="n"/>
      <c r="D309" s="29" t="n"/>
      <c r="E309" s="29" t="n"/>
      <c r="F309" s="29" t="n"/>
      <c r="G309" s="29" t="n"/>
      <c r="H309" s="29" t="n"/>
      <c r="I309" s="29" t="n"/>
    </row>
    <row r="310">
      <c r="A310" s="31" t="n"/>
      <c r="B310" s="29" t="n"/>
      <c r="C310" s="29" t="n"/>
      <c r="D310" s="29" t="n"/>
      <c r="E310" s="29" t="n"/>
      <c r="F310" s="29" t="n"/>
      <c r="G310" s="29" t="n"/>
      <c r="H310" s="29" t="n"/>
      <c r="I310" s="29" t="n"/>
    </row>
    <row r="311">
      <c r="A311" s="31" t="n"/>
      <c r="B311" s="29" t="n"/>
      <c r="C311" s="29" t="n"/>
      <c r="D311" s="29" t="n"/>
      <c r="E311" s="29" t="n"/>
      <c r="F311" s="29" t="n"/>
      <c r="G311" s="29" t="n"/>
      <c r="H311" s="29" t="n"/>
      <c r="I311" s="29" t="n"/>
    </row>
    <row r="312">
      <c r="A312" s="31" t="n"/>
      <c r="B312" s="29" t="n"/>
      <c r="C312" s="29" t="n"/>
      <c r="D312" s="29" t="n"/>
      <c r="E312" s="29" t="n"/>
      <c r="F312" s="29" t="n"/>
      <c r="G312" s="29" t="n"/>
      <c r="H312" s="29" t="n"/>
      <c r="I312" s="29" t="n"/>
    </row>
    <row r="313">
      <c r="A313" s="31" t="n"/>
      <c r="B313" s="29" t="n"/>
      <c r="C313" s="29" t="n"/>
      <c r="D313" s="29" t="n"/>
      <c r="E313" s="29" t="n"/>
      <c r="F313" s="29" t="n"/>
      <c r="G313" s="29" t="n"/>
      <c r="H313" s="29" t="n"/>
      <c r="I313" s="29" t="n"/>
    </row>
    <row r="314">
      <c r="A314" s="31" t="n"/>
      <c r="B314" s="29" t="n"/>
      <c r="C314" s="29" t="n"/>
      <c r="D314" s="29" t="n"/>
      <c r="E314" s="29" t="n"/>
      <c r="F314" s="29" t="n"/>
      <c r="G314" s="29" t="n"/>
      <c r="H314" s="29" t="n"/>
      <c r="I314" s="29" t="n"/>
    </row>
    <row r="315">
      <c r="A315" s="31" t="n"/>
      <c r="B315" s="29" t="n"/>
      <c r="C315" s="29" t="n"/>
      <c r="D315" s="29" t="n"/>
      <c r="E315" s="29" t="n"/>
      <c r="F315" s="29" t="n"/>
      <c r="G315" s="29" t="n"/>
      <c r="H315" s="29" t="n"/>
      <c r="I315" s="29" t="n"/>
    </row>
    <row r="316">
      <c r="A316" s="31" t="n"/>
      <c r="B316" s="29" t="n"/>
      <c r="C316" s="29" t="n"/>
      <c r="D316" s="29" t="n"/>
      <c r="E316" s="29" t="n"/>
      <c r="F316" s="29" t="n"/>
      <c r="G316" s="29" t="n"/>
      <c r="H316" s="29" t="n"/>
      <c r="I316" s="29" t="n"/>
    </row>
    <row r="317">
      <c r="A317" s="31" t="n"/>
      <c r="B317" s="29" t="n"/>
      <c r="C317" s="29" t="n"/>
      <c r="D317" s="29" t="n"/>
      <c r="E317" s="29" t="n"/>
      <c r="F317" s="29" t="n"/>
      <c r="G317" s="29" t="n"/>
      <c r="H317" s="29" t="n"/>
      <c r="I317" s="29" t="n"/>
    </row>
    <row r="318">
      <c r="A318" s="31" t="n"/>
      <c r="B318" s="29" t="n"/>
      <c r="C318" s="29" t="n"/>
      <c r="D318" s="29" t="n"/>
      <c r="E318" s="29" t="n"/>
      <c r="F318" s="29" t="n"/>
      <c r="G318" s="29" t="n"/>
      <c r="H318" s="29" t="n"/>
      <c r="I318" s="29" t="n"/>
    </row>
    <row r="319">
      <c r="A319" s="31" t="n"/>
      <c r="B319" s="29" t="n"/>
      <c r="C319" s="29" t="n"/>
      <c r="D319" s="29" t="n"/>
      <c r="E319" s="29" t="n"/>
      <c r="F319" s="29" t="n"/>
      <c r="G319" s="29" t="n"/>
      <c r="H319" s="29" t="n"/>
      <c r="I319" s="29" t="n"/>
    </row>
    <row r="320">
      <c r="A320" s="31" t="n"/>
      <c r="B320" s="29" t="n"/>
      <c r="C320" s="29" t="n"/>
      <c r="D320" s="29" t="n"/>
      <c r="E320" s="29" t="n"/>
      <c r="F320" s="29" t="n"/>
      <c r="G320" s="29" t="n"/>
      <c r="H320" s="29" t="n"/>
      <c r="I320" s="29" t="n"/>
    </row>
    <row r="321">
      <c r="A321" s="31" t="n"/>
      <c r="B321" s="29" t="n"/>
      <c r="C321" s="29" t="n"/>
      <c r="D321" s="29" t="n"/>
      <c r="E321" s="29" t="n"/>
      <c r="F321" s="29" t="n"/>
      <c r="G321" s="29" t="n"/>
      <c r="H321" s="29" t="n"/>
      <c r="I321" s="29" t="n"/>
    </row>
    <row r="322">
      <c r="A322" s="31" t="n"/>
      <c r="B322" s="29" t="n"/>
      <c r="C322" s="29" t="n"/>
      <c r="D322" s="29" t="n"/>
      <c r="E322" s="29" t="n"/>
      <c r="F322" s="29" t="n"/>
      <c r="G322" s="29" t="n"/>
      <c r="H322" s="29" t="n"/>
      <c r="I322" s="29" t="n"/>
    </row>
    <row r="323">
      <c r="A323" s="31" t="n"/>
      <c r="B323" s="29" t="n"/>
      <c r="C323" s="29" t="n"/>
      <c r="D323" s="29" t="n"/>
      <c r="E323" s="29" t="n"/>
      <c r="F323" s="29" t="n"/>
      <c r="G323" s="29" t="n"/>
      <c r="H323" s="29" t="n"/>
      <c r="I323" s="29" t="n"/>
    </row>
    <row r="324">
      <c r="A324" s="31" t="n"/>
      <c r="B324" s="29" t="n"/>
      <c r="C324" s="29" t="n"/>
      <c r="D324" s="29" t="n"/>
      <c r="E324" s="29" t="n"/>
      <c r="F324" s="29" t="n"/>
      <c r="G324" s="29" t="n"/>
      <c r="H324" s="29" t="n"/>
      <c r="I324" s="29" t="n"/>
    </row>
    <row r="325">
      <c r="A325" s="31" t="n"/>
      <c r="B325" s="29" t="n"/>
      <c r="C325" s="29" t="n"/>
      <c r="D325" s="29" t="n"/>
      <c r="E325" s="29" t="n"/>
      <c r="F325" s="29" t="n"/>
      <c r="G325" s="29" t="n"/>
      <c r="H325" s="29" t="n"/>
      <c r="I325" s="29" t="n"/>
    </row>
    <row r="326">
      <c r="A326" s="31" t="n"/>
      <c r="B326" s="29" t="n"/>
      <c r="C326" s="29" t="n"/>
      <c r="D326" s="29" t="n"/>
      <c r="E326" s="29" t="n"/>
      <c r="F326" s="29" t="n"/>
      <c r="G326" s="29" t="n"/>
      <c r="H326" s="29" t="n"/>
      <c r="I326" s="29" t="n"/>
    </row>
    <row r="327">
      <c r="A327" s="31" t="n"/>
      <c r="B327" s="29" t="n"/>
      <c r="C327" s="29" t="n"/>
      <c r="D327" s="29" t="n"/>
      <c r="E327" s="29" t="n"/>
      <c r="F327" s="29" t="n"/>
      <c r="G327" s="29" t="n"/>
      <c r="H327" s="29" t="n"/>
      <c r="I327" s="29" t="n"/>
    </row>
    <row r="328">
      <c r="A328" s="31" t="n"/>
      <c r="B328" s="29" t="n"/>
      <c r="C328" s="29" t="n"/>
      <c r="D328" s="29" t="n"/>
      <c r="E328" s="29" t="n"/>
      <c r="F328" s="29" t="n"/>
      <c r="G328" s="29" t="n"/>
      <c r="H328" s="29" t="n"/>
      <c r="I328" s="29" t="n"/>
    </row>
    <row r="329">
      <c r="A329" s="31" t="n"/>
      <c r="B329" s="29" t="n"/>
      <c r="C329" s="29" t="n"/>
      <c r="D329" s="29" t="n"/>
      <c r="E329" s="29" t="n"/>
      <c r="F329" s="29" t="n"/>
      <c r="G329" s="29" t="n"/>
      <c r="H329" s="29" t="n"/>
      <c r="I329" s="29" t="n"/>
    </row>
    <row r="330">
      <c r="A330" s="31" t="n"/>
      <c r="B330" s="29" t="n"/>
      <c r="C330" s="29" t="n"/>
      <c r="D330" s="29" t="n"/>
      <c r="E330" s="29" t="n"/>
      <c r="F330" s="29" t="n"/>
      <c r="G330" s="29" t="n"/>
      <c r="H330" s="29" t="n"/>
      <c r="I330" s="29" t="n"/>
    </row>
    <row r="331">
      <c r="A331" s="31" t="n"/>
      <c r="B331" s="29" t="n"/>
      <c r="C331" s="29" t="n"/>
      <c r="D331" s="29" t="n"/>
      <c r="E331" s="29" t="n"/>
      <c r="F331" s="29" t="n"/>
      <c r="G331" s="29" t="n"/>
      <c r="H331" s="29" t="n"/>
      <c r="I331" s="29" t="n"/>
    </row>
    <row r="332">
      <c r="A332" s="31" t="n"/>
      <c r="B332" s="29" t="n"/>
      <c r="C332" s="29" t="n"/>
      <c r="D332" s="29" t="n"/>
      <c r="E332" s="29" t="n"/>
      <c r="F332" s="29" t="n"/>
      <c r="G332" s="29" t="n"/>
      <c r="H332" s="29" t="n"/>
      <c r="I332" s="29" t="n"/>
    </row>
    <row r="333">
      <c r="A333" s="31" t="n"/>
      <c r="B333" s="29" t="n"/>
      <c r="C333" s="29" t="n"/>
      <c r="D333" s="29" t="n"/>
      <c r="E333" s="29" t="n"/>
      <c r="F333" s="29" t="n"/>
      <c r="G333" s="29" t="n"/>
      <c r="H333" s="29" t="n"/>
      <c r="I333" s="29" t="n"/>
    </row>
    <row r="334">
      <c r="A334" s="31" t="n"/>
      <c r="B334" s="29" t="n"/>
      <c r="C334" s="29" t="n"/>
      <c r="D334" s="29" t="n"/>
      <c r="E334" s="29" t="n"/>
      <c r="F334" s="29" t="n"/>
      <c r="G334" s="29" t="n"/>
      <c r="H334" s="29" t="n"/>
      <c r="I334" s="29" t="n"/>
    </row>
    <row r="335">
      <c r="A335" s="31" t="n"/>
      <c r="B335" s="29" t="n"/>
      <c r="C335" s="29" t="n"/>
      <c r="D335" s="29" t="n"/>
      <c r="E335" s="29" t="n"/>
      <c r="F335" s="29" t="n"/>
      <c r="G335" s="29" t="n"/>
      <c r="H335" s="29" t="n"/>
      <c r="I335" s="29" t="n"/>
    </row>
    <row r="336">
      <c r="A336" s="31" t="n"/>
      <c r="B336" s="29" t="n"/>
      <c r="C336" s="29" t="n"/>
      <c r="D336" s="29" t="n"/>
      <c r="E336" s="29" t="n"/>
      <c r="F336" s="29" t="n"/>
      <c r="G336" s="29" t="n"/>
      <c r="H336" s="29" t="n"/>
      <c r="I336" s="29" t="n"/>
    </row>
    <row r="337">
      <c r="A337" s="31" t="n"/>
      <c r="B337" s="29" t="n"/>
      <c r="C337" s="29" t="n"/>
      <c r="D337" s="29" t="n"/>
      <c r="E337" s="29" t="n"/>
      <c r="F337" s="29" t="n"/>
      <c r="G337" s="29" t="n"/>
      <c r="H337" s="29" t="n"/>
      <c r="I337" s="29" t="n"/>
    </row>
    <row r="338">
      <c r="A338" s="31" t="n"/>
      <c r="B338" s="29" t="n"/>
      <c r="C338" s="29" t="n"/>
      <c r="D338" s="29" t="n"/>
      <c r="E338" s="29" t="n"/>
      <c r="F338" s="29" t="n"/>
      <c r="G338" s="29" t="n"/>
      <c r="H338" s="29" t="n"/>
      <c r="I338" s="29" t="n"/>
    </row>
    <row r="339">
      <c r="A339" s="31" t="n"/>
      <c r="B339" s="29" t="n"/>
      <c r="C339" s="29" t="n"/>
      <c r="D339" s="29" t="n"/>
      <c r="E339" s="29" t="n"/>
      <c r="F339" s="29" t="n"/>
      <c r="G339" s="29" t="n"/>
      <c r="H339" s="29" t="n"/>
      <c r="I339" s="29" t="n"/>
    </row>
    <row r="340">
      <c r="A340" s="31" t="n"/>
      <c r="B340" s="29" t="n"/>
      <c r="C340" s="29" t="n"/>
      <c r="D340" s="29" t="n"/>
      <c r="E340" s="29" t="n"/>
      <c r="F340" s="29" t="n"/>
      <c r="G340" s="29" t="n"/>
      <c r="H340" s="29" t="n"/>
      <c r="I340" s="29" t="n"/>
    </row>
    <row r="341">
      <c r="A341" s="31" t="n"/>
      <c r="B341" s="29" t="n"/>
      <c r="C341" s="29" t="n"/>
      <c r="D341" s="29" t="n"/>
      <c r="E341" s="29" t="n"/>
      <c r="F341" s="29" t="n"/>
      <c r="G341" s="29" t="n"/>
      <c r="H341" s="29" t="n"/>
      <c r="I341" s="29" t="n"/>
    </row>
    <row r="342">
      <c r="A342" s="31" t="n"/>
      <c r="B342" s="29" t="n"/>
      <c r="C342" s="29" t="n"/>
      <c r="D342" s="29" t="n"/>
      <c r="E342" s="29" t="n"/>
      <c r="F342" s="29" t="n"/>
      <c r="G342" s="29" t="n"/>
      <c r="H342" s="29" t="n"/>
      <c r="I342" s="29" t="n"/>
    </row>
    <row r="343">
      <c r="A343" s="31" t="n"/>
      <c r="B343" s="29" t="n"/>
      <c r="C343" s="29" t="n"/>
      <c r="D343" s="29" t="n"/>
      <c r="E343" s="29" t="n"/>
      <c r="F343" s="29" t="n"/>
      <c r="G343" s="29" t="n"/>
      <c r="H343" s="29" t="n"/>
      <c r="I343" s="29" t="n"/>
    </row>
    <row r="344">
      <c r="A344" s="31" t="n"/>
      <c r="B344" s="29" t="n"/>
      <c r="C344" s="29" t="n"/>
      <c r="D344" s="29" t="n"/>
      <c r="E344" s="29" t="n"/>
      <c r="F344" s="29" t="n"/>
      <c r="G344" s="29" t="n"/>
      <c r="H344" s="29" t="n"/>
      <c r="I344" s="29" t="n"/>
    </row>
    <row r="345">
      <c r="A345" s="31" t="n"/>
      <c r="B345" s="29" t="n"/>
      <c r="C345" s="29" t="n"/>
      <c r="D345" s="29" t="n"/>
      <c r="E345" s="29" t="n"/>
      <c r="F345" s="29" t="n"/>
      <c r="G345" s="29" t="n"/>
      <c r="H345" s="29" t="n"/>
      <c r="I345" s="29" t="n"/>
    </row>
    <row r="346">
      <c r="A346" s="31" t="n"/>
      <c r="B346" s="29" t="n"/>
      <c r="C346" s="29" t="n"/>
      <c r="D346" s="29" t="n"/>
      <c r="E346" s="29" t="n"/>
      <c r="F346" s="29" t="n"/>
      <c r="G346" s="29" t="n"/>
      <c r="H346" s="29" t="n"/>
      <c r="I346" s="29" t="n"/>
    </row>
    <row r="347">
      <c r="A347" s="31" t="n"/>
      <c r="B347" s="29" t="n"/>
      <c r="C347" s="29" t="n"/>
      <c r="D347" s="29" t="n"/>
      <c r="E347" s="29" t="n"/>
      <c r="F347" s="29" t="n"/>
      <c r="G347" s="29" t="n"/>
      <c r="H347" s="29" t="n"/>
      <c r="I347" s="29" t="n"/>
    </row>
    <row r="348">
      <c r="A348" s="31" t="n"/>
      <c r="B348" s="29" t="n"/>
      <c r="C348" s="29" t="n"/>
      <c r="D348" s="29" t="n"/>
      <c r="E348" s="29" t="n"/>
      <c r="F348" s="29" t="n"/>
      <c r="G348" s="29" t="n"/>
      <c r="H348" s="29" t="n"/>
      <c r="I348" s="29" t="n"/>
    </row>
    <row r="349">
      <c r="A349" s="31" t="n"/>
      <c r="B349" s="29" t="n"/>
      <c r="C349" s="29" t="n"/>
      <c r="D349" s="29" t="n"/>
      <c r="E349" s="29" t="n"/>
      <c r="F349" s="29" t="n"/>
      <c r="G349" s="29" t="n"/>
      <c r="H349" s="29" t="n"/>
      <c r="I349" s="29" t="n"/>
    </row>
    <row r="350">
      <c r="A350" s="31" t="n"/>
      <c r="B350" s="29" t="n"/>
      <c r="C350" s="29" t="n"/>
      <c r="D350" s="29" t="n"/>
      <c r="E350" s="29" t="n"/>
      <c r="F350" s="29" t="n"/>
      <c r="G350" s="29" t="n"/>
      <c r="H350" s="29" t="n"/>
      <c r="I350" s="29" t="n"/>
    </row>
    <row r="351">
      <c r="A351" s="31" t="n"/>
      <c r="B351" s="29" t="n"/>
      <c r="C351" s="29" t="n"/>
      <c r="D351" s="29" t="n"/>
      <c r="E351" s="29" t="n"/>
      <c r="F351" s="29" t="n"/>
      <c r="G351" s="29" t="n"/>
      <c r="H351" s="29" t="n"/>
      <c r="I351" s="29" t="n"/>
    </row>
    <row r="352">
      <c r="A352" s="31" t="n"/>
      <c r="B352" s="29" t="n"/>
      <c r="C352" s="29" t="n"/>
      <c r="D352" s="29" t="n"/>
      <c r="E352" s="29" t="n"/>
      <c r="F352" s="29" t="n"/>
      <c r="G352" s="29" t="n"/>
      <c r="H352" s="29" t="n"/>
      <c r="I352" s="29" t="n"/>
    </row>
    <row r="353">
      <c r="A353" s="31" t="n"/>
      <c r="B353" s="29" t="n"/>
      <c r="C353" s="29" t="n"/>
      <c r="D353" s="29" t="n"/>
      <c r="E353" s="29" t="n"/>
      <c r="F353" s="29" t="n"/>
      <c r="G353" s="29" t="n"/>
      <c r="H353" s="29" t="n"/>
      <c r="I353" s="29" t="n"/>
    </row>
    <row r="354">
      <c r="A354" s="31" t="n"/>
      <c r="B354" s="29" t="n"/>
      <c r="C354" s="29" t="n"/>
      <c r="D354" s="29" t="n"/>
      <c r="E354" s="29" t="n"/>
      <c r="F354" s="29" t="n"/>
      <c r="G354" s="29" t="n"/>
      <c r="H354" s="29" t="n"/>
      <c r="I354" s="29" t="n"/>
    </row>
    <row r="355">
      <c r="A355" s="31" t="n"/>
      <c r="B355" s="29" t="n"/>
      <c r="C355" s="29" t="n"/>
      <c r="D355" s="29" t="n"/>
      <c r="E355" s="29" t="n"/>
      <c r="F355" s="29" t="n"/>
      <c r="G355" s="29" t="n"/>
      <c r="H355" s="29" t="n"/>
      <c r="I355" s="29" t="n"/>
    </row>
    <row r="356">
      <c r="A356" s="31" t="n"/>
      <c r="B356" s="29" t="n"/>
      <c r="C356" s="29" t="n"/>
      <c r="D356" s="29" t="n"/>
      <c r="E356" s="29" t="n"/>
      <c r="F356" s="29" t="n"/>
      <c r="G356" s="29" t="n"/>
      <c r="H356" s="29" t="n"/>
      <c r="I356" s="29" t="n"/>
    </row>
    <row r="357">
      <c r="A357" s="31" t="n"/>
      <c r="B357" s="29" t="n"/>
      <c r="C357" s="29" t="n"/>
      <c r="D357" s="29" t="n"/>
      <c r="E357" s="29" t="n"/>
      <c r="F357" s="29" t="n"/>
      <c r="G357" s="29" t="n"/>
      <c r="H357" s="29" t="n"/>
      <c r="I357" s="29" t="n"/>
    </row>
    <row r="358">
      <c r="A358" s="31" t="n"/>
      <c r="B358" s="29" t="n"/>
      <c r="C358" s="29" t="n"/>
      <c r="D358" s="29" t="n"/>
      <c r="E358" s="29" t="n"/>
      <c r="F358" s="29" t="n"/>
      <c r="G358" s="29" t="n"/>
      <c r="H358" s="29" t="n"/>
      <c r="I358" s="29" t="n"/>
    </row>
    <row r="359">
      <c r="A359" s="31" t="n"/>
      <c r="B359" s="29" t="n"/>
      <c r="C359" s="29" t="n"/>
      <c r="D359" s="29" t="n"/>
      <c r="E359" s="29" t="n"/>
      <c r="F359" s="29" t="n"/>
      <c r="G359" s="29" t="n"/>
      <c r="H359" s="29" t="n"/>
      <c r="I359" s="29" t="n"/>
    </row>
    <row r="360">
      <c r="A360" s="31" t="n"/>
      <c r="B360" s="29" t="n"/>
      <c r="C360" s="29" t="n"/>
      <c r="D360" s="29" t="n"/>
      <c r="E360" s="29" t="n"/>
      <c r="F360" s="29" t="n"/>
      <c r="G360" s="29" t="n"/>
      <c r="H360" s="29" t="n"/>
      <c r="I360" s="29" t="n"/>
    </row>
    <row r="361">
      <c r="A361" s="31" t="n"/>
      <c r="B361" s="29" t="n"/>
      <c r="C361" s="29" t="n"/>
      <c r="D361" s="29" t="n"/>
      <c r="E361" s="29" t="n"/>
      <c r="F361" s="29" t="n"/>
      <c r="G361" s="29" t="n"/>
      <c r="H361" s="29" t="n"/>
      <c r="I361" s="29" t="n"/>
    </row>
    <row r="362">
      <c r="A362" s="31" t="n"/>
      <c r="B362" s="29" t="n"/>
      <c r="C362" s="29" t="n"/>
      <c r="D362" s="29" t="n"/>
      <c r="E362" s="29" t="n"/>
      <c r="F362" s="29" t="n"/>
      <c r="G362" s="29" t="n"/>
      <c r="H362" s="29" t="n"/>
      <c r="I362" s="29" t="n"/>
    </row>
    <row r="363">
      <c r="A363" s="31" t="n"/>
      <c r="B363" s="29" t="n"/>
      <c r="C363" s="29" t="n"/>
      <c r="D363" s="29" t="n"/>
      <c r="E363" s="29" t="n"/>
      <c r="F363" s="29" t="n"/>
      <c r="G363" s="29" t="n"/>
      <c r="H363" s="29" t="n"/>
      <c r="I363" s="29" t="n"/>
    </row>
    <row r="364">
      <c r="A364" s="31" t="n"/>
      <c r="B364" s="29" t="n"/>
      <c r="C364" s="29" t="n"/>
      <c r="D364" s="29" t="n"/>
      <c r="E364" s="29" t="n"/>
      <c r="F364" s="29" t="n"/>
      <c r="G364" s="29" t="n"/>
      <c r="H364" s="29" t="n"/>
      <c r="I364" s="29" t="n"/>
    </row>
    <row r="365">
      <c r="A365" s="31" t="n"/>
      <c r="B365" s="29" t="n"/>
      <c r="C365" s="29" t="n"/>
      <c r="D365" s="29" t="n"/>
      <c r="E365" s="29" t="n"/>
      <c r="F365" s="29" t="n"/>
      <c r="G365" s="29" t="n"/>
      <c r="H365" s="29" t="n"/>
      <c r="I365" s="29" t="n"/>
    </row>
    <row r="366">
      <c r="A366" s="31" t="n"/>
      <c r="B366" s="29" t="n"/>
      <c r="C366" s="29" t="n"/>
      <c r="D366" s="29" t="n"/>
      <c r="E366" s="29" t="n"/>
      <c r="F366" s="29" t="n"/>
      <c r="G366" s="29" t="n"/>
      <c r="H366" s="29" t="n"/>
      <c r="I366" s="29" t="n"/>
    </row>
    <row r="367">
      <c r="A367" s="31" t="n"/>
      <c r="B367" s="29" t="n"/>
      <c r="C367" s="29" t="n"/>
      <c r="D367" s="29" t="n"/>
      <c r="E367" s="29" t="n"/>
      <c r="F367" s="29" t="n"/>
      <c r="G367" s="29" t="n"/>
      <c r="H367" s="29" t="n"/>
      <c r="I367" s="29" t="n"/>
    </row>
    <row r="368">
      <c r="A368" s="31" t="n"/>
      <c r="B368" s="29" t="n"/>
      <c r="C368" s="29" t="n"/>
      <c r="D368" s="29" t="n"/>
      <c r="E368" s="29" t="n"/>
      <c r="F368" s="29" t="n"/>
      <c r="G368" s="29" t="n"/>
      <c r="H368" s="29" t="n"/>
      <c r="I368" s="29" t="n"/>
    </row>
    <row r="369">
      <c r="A369" s="31" t="n"/>
      <c r="B369" s="29" t="n"/>
      <c r="C369" s="29" t="n"/>
      <c r="D369" s="29" t="n"/>
      <c r="E369" s="29" t="n"/>
      <c r="F369" s="29" t="n"/>
      <c r="G369" s="29" t="n"/>
      <c r="H369" s="29" t="n"/>
      <c r="I369" s="29" t="n"/>
    </row>
    <row r="370">
      <c r="A370" s="31" t="n"/>
      <c r="B370" s="29" t="n"/>
      <c r="C370" s="29" t="n"/>
      <c r="D370" s="29" t="n"/>
      <c r="E370" s="29" t="n"/>
      <c r="F370" s="29" t="n"/>
      <c r="G370" s="29" t="n"/>
      <c r="H370" s="29" t="n"/>
      <c r="I370" s="29" t="n"/>
    </row>
    <row r="371">
      <c r="A371" s="31" t="n"/>
      <c r="B371" s="29" t="n"/>
      <c r="C371" s="29" t="n"/>
      <c r="D371" s="29" t="n"/>
      <c r="E371" s="29" t="n"/>
      <c r="F371" s="29" t="n"/>
      <c r="G371" s="29" t="n"/>
      <c r="H371" s="29" t="n"/>
      <c r="I371" s="29" t="n"/>
    </row>
    <row r="372">
      <c r="A372" s="31" t="n"/>
      <c r="B372" s="29" t="n"/>
      <c r="C372" s="29" t="n"/>
      <c r="D372" s="29" t="n"/>
      <c r="E372" s="29" t="n"/>
      <c r="F372" s="29" t="n"/>
      <c r="G372" s="29" t="n"/>
      <c r="H372" s="29" t="n"/>
      <c r="I372" s="29" t="n"/>
    </row>
    <row r="373">
      <c r="A373" s="31" t="n"/>
      <c r="B373" s="29" t="n"/>
      <c r="C373" s="29" t="n"/>
      <c r="D373" s="29" t="n"/>
      <c r="E373" s="29" t="n"/>
      <c r="F373" s="29" t="n"/>
      <c r="G373" s="29" t="n"/>
      <c r="H373" s="29" t="n"/>
      <c r="I373" s="29" t="n"/>
    </row>
    <row r="374">
      <c r="A374" s="31" t="n"/>
      <c r="B374" s="29" t="n"/>
      <c r="C374" s="29" t="n"/>
      <c r="D374" s="29" t="n"/>
      <c r="E374" s="29" t="n"/>
      <c r="F374" s="29" t="n"/>
      <c r="G374" s="29" t="n"/>
      <c r="H374" s="29" t="n"/>
      <c r="I374" s="29" t="n"/>
    </row>
    <row r="375">
      <c r="A375" s="31" t="n"/>
      <c r="B375" s="29" t="n"/>
      <c r="C375" s="29" t="n"/>
      <c r="D375" s="29" t="n"/>
      <c r="E375" s="29" t="n"/>
      <c r="F375" s="29" t="n"/>
      <c r="G375" s="29" t="n"/>
      <c r="H375" s="29" t="n"/>
      <c r="I375" s="29" t="n"/>
    </row>
    <row r="376">
      <c r="A376" s="31" t="n"/>
      <c r="B376" s="29" t="n"/>
      <c r="C376" s="29" t="n"/>
      <c r="D376" s="29" t="n"/>
      <c r="E376" s="29" t="n"/>
      <c r="F376" s="29" t="n"/>
      <c r="G376" s="29" t="n"/>
      <c r="H376" s="29" t="n"/>
      <c r="I376" s="29" t="n"/>
    </row>
    <row r="377">
      <c r="A377" s="31" t="n"/>
      <c r="B377" s="29" t="n"/>
      <c r="C377" s="29" t="n"/>
      <c r="D377" s="29" t="n"/>
      <c r="E377" s="29" t="n"/>
      <c r="F377" s="29" t="n"/>
      <c r="G377" s="29" t="n"/>
      <c r="H377" s="29" t="n"/>
      <c r="I377" s="29" t="n"/>
    </row>
    <row r="378">
      <c r="A378" s="31" t="n"/>
      <c r="B378" s="29" t="n"/>
      <c r="C378" s="29" t="n"/>
      <c r="D378" s="29" t="n"/>
      <c r="E378" s="29" t="n"/>
      <c r="F378" s="29" t="n"/>
      <c r="G378" s="29" t="n"/>
      <c r="H378" s="29" t="n"/>
      <c r="I378" s="29" t="n"/>
    </row>
    <row r="379">
      <c r="A379" s="31" t="n"/>
      <c r="B379" s="29" t="n"/>
      <c r="C379" s="29" t="n"/>
      <c r="D379" s="29" t="n"/>
      <c r="E379" s="29" t="n"/>
      <c r="F379" s="29" t="n"/>
      <c r="G379" s="29" t="n"/>
      <c r="H379" s="29" t="n"/>
      <c r="I379" s="29" t="n"/>
    </row>
    <row r="380">
      <c r="A380" s="31" t="n"/>
      <c r="B380" s="29" t="n"/>
      <c r="C380" s="29" t="n"/>
      <c r="D380" s="29" t="n"/>
      <c r="E380" s="29" t="n"/>
      <c r="F380" s="29" t="n"/>
      <c r="G380" s="29" t="n"/>
      <c r="H380" s="29" t="n"/>
      <c r="I380" s="29" t="n"/>
    </row>
    <row r="381">
      <c r="A381" s="31" t="n"/>
      <c r="B381" s="29" t="n"/>
      <c r="C381" s="29" t="n"/>
      <c r="D381" s="29" t="n"/>
      <c r="E381" s="29" t="n"/>
      <c r="F381" s="29" t="n"/>
      <c r="G381" s="29" t="n"/>
      <c r="H381" s="29" t="n"/>
      <c r="I381" s="29" t="n"/>
    </row>
    <row r="382">
      <c r="A382" s="31" t="n"/>
      <c r="B382" s="29" t="n"/>
      <c r="C382" s="29" t="n"/>
      <c r="D382" s="29" t="n"/>
      <c r="E382" s="29" t="n"/>
      <c r="F382" s="29" t="n"/>
      <c r="G382" s="29" t="n"/>
      <c r="H382" s="29" t="n"/>
      <c r="I382" s="29" t="n"/>
    </row>
    <row r="383">
      <c r="A383" s="31" t="n"/>
      <c r="B383" s="29" t="n"/>
      <c r="C383" s="29" t="n"/>
      <c r="D383" s="29" t="n"/>
      <c r="E383" s="29" t="n"/>
      <c r="F383" s="29" t="n"/>
      <c r="G383" s="29" t="n"/>
      <c r="H383" s="29" t="n"/>
      <c r="I383" s="29" t="n"/>
    </row>
    <row r="384">
      <c r="A384" s="31" t="n"/>
      <c r="B384" s="29" t="n"/>
      <c r="C384" s="29" t="n"/>
      <c r="D384" s="29" t="n"/>
      <c r="E384" s="29" t="n"/>
      <c r="F384" s="29" t="n"/>
      <c r="G384" s="29" t="n"/>
      <c r="H384" s="29" t="n"/>
      <c r="I384" s="29" t="n"/>
    </row>
    <row r="385">
      <c r="A385" s="31" t="n"/>
      <c r="B385" s="29" t="n"/>
      <c r="C385" s="29" t="n"/>
      <c r="D385" s="29" t="n"/>
      <c r="E385" s="29" t="n"/>
      <c r="F385" s="29" t="n"/>
      <c r="G385" s="29" t="n"/>
      <c r="H385" s="29" t="n"/>
      <c r="I385" s="29" t="n"/>
    </row>
    <row r="386">
      <c r="A386" s="31" t="n"/>
      <c r="B386" s="29" t="n"/>
      <c r="C386" s="29" t="n"/>
      <c r="D386" s="29" t="n"/>
      <c r="E386" s="29" t="n"/>
      <c r="F386" s="29" t="n"/>
      <c r="G386" s="29" t="n"/>
      <c r="H386" s="29" t="n"/>
      <c r="I386" s="29" t="n"/>
    </row>
    <row r="387">
      <c r="A387" s="31" t="n"/>
      <c r="B387" s="29" t="n"/>
      <c r="C387" s="29" t="n"/>
      <c r="D387" s="29" t="n"/>
      <c r="E387" s="29" t="n"/>
      <c r="F387" s="29" t="n"/>
      <c r="G387" s="29" t="n"/>
      <c r="H387" s="29" t="n"/>
      <c r="I387" s="29" t="n"/>
    </row>
    <row r="388">
      <c r="A388" s="31" t="n"/>
      <c r="B388" s="29" t="n"/>
      <c r="C388" s="29" t="n"/>
      <c r="D388" s="29" t="n"/>
      <c r="E388" s="29" t="n"/>
      <c r="F388" s="29" t="n"/>
      <c r="G388" s="29" t="n"/>
      <c r="H388" s="29" t="n"/>
      <c r="I388" s="29" t="n"/>
    </row>
    <row r="389">
      <c r="A389" s="31" t="n"/>
      <c r="B389" s="29" t="n"/>
      <c r="C389" s="29" t="n"/>
      <c r="D389" s="29" t="n"/>
      <c r="E389" s="29" t="n"/>
      <c r="F389" s="29" t="n"/>
      <c r="G389" s="29" t="n"/>
      <c r="H389" s="29" t="n"/>
      <c r="I389" s="29" t="n"/>
    </row>
    <row r="390">
      <c r="A390" s="31" t="n"/>
      <c r="B390" s="29" t="n"/>
      <c r="C390" s="29" t="n"/>
      <c r="D390" s="29" t="n"/>
      <c r="E390" s="29" t="n"/>
      <c r="F390" s="29" t="n"/>
      <c r="G390" s="29" t="n"/>
      <c r="H390" s="29" t="n"/>
      <c r="I390" s="29" t="n"/>
    </row>
    <row r="391">
      <c r="A391" s="31" t="n"/>
      <c r="B391" s="29" t="n"/>
      <c r="C391" s="29" t="n"/>
      <c r="D391" s="29" t="n"/>
      <c r="E391" s="29" t="n"/>
      <c r="F391" s="29" t="n"/>
      <c r="G391" s="29" t="n"/>
      <c r="H391" s="29" t="n"/>
      <c r="I391" s="29" t="n"/>
    </row>
    <row r="392">
      <c r="A392" s="31" t="n"/>
      <c r="B392" s="29" t="n"/>
      <c r="C392" s="29" t="n"/>
      <c r="D392" s="29" t="n"/>
      <c r="E392" s="29" t="n"/>
      <c r="F392" s="29" t="n"/>
      <c r="G392" s="29" t="n"/>
      <c r="H392" s="29" t="n"/>
      <c r="I392" s="29" t="n"/>
    </row>
    <row r="393">
      <c r="A393" s="31" t="n"/>
      <c r="B393" s="29" t="n"/>
      <c r="C393" s="29" t="n"/>
      <c r="D393" s="29" t="n"/>
      <c r="E393" s="29" t="n"/>
      <c r="F393" s="29" t="n"/>
      <c r="G393" s="29" t="n"/>
      <c r="H393" s="29" t="n"/>
      <c r="I393" s="29" t="n"/>
    </row>
    <row r="394">
      <c r="A394" s="31" t="n"/>
      <c r="B394" s="29" t="n"/>
      <c r="C394" s="29" t="n"/>
      <c r="D394" s="29" t="n"/>
      <c r="E394" s="29" t="n"/>
      <c r="F394" s="29" t="n"/>
      <c r="G394" s="29" t="n"/>
      <c r="H394" s="29" t="n"/>
      <c r="I394" s="29" t="n"/>
    </row>
    <row r="395">
      <c r="A395" s="31" t="n"/>
      <c r="B395" s="29" t="n"/>
      <c r="C395" s="29" t="n"/>
      <c r="D395" s="29" t="n"/>
      <c r="E395" s="29" t="n"/>
      <c r="F395" s="29" t="n"/>
      <c r="G395" s="29" t="n"/>
      <c r="H395" s="29" t="n"/>
      <c r="I395" s="29" t="n"/>
    </row>
    <row r="396">
      <c r="A396" s="31" t="n"/>
      <c r="B396" s="29" t="n"/>
      <c r="C396" s="29" t="n"/>
      <c r="D396" s="29" t="n"/>
      <c r="E396" s="29" t="n"/>
      <c r="F396" s="29" t="n"/>
      <c r="G396" s="29" t="n"/>
      <c r="H396" s="29" t="n"/>
      <c r="I396" s="29" t="n"/>
    </row>
    <row r="397">
      <c r="A397" s="31" t="n"/>
      <c r="B397" s="29" t="n"/>
      <c r="C397" s="29" t="n"/>
      <c r="D397" s="29" t="n"/>
      <c r="E397" s="29" t="n"/>
      <c r="F397" s="29" t="n"/>
      <c r="G397" s="29" t="n"/>
      <c r="H397" s="29" t="n"/>
      <c r="I397" s="29" t="n"/>
    </row>
    <row r="398">
      <c r="A398" s="31" t="n"/>
      <c r="B398" s="29" t="n"/>
      <c r="C398" s="29" t="n"/>
      <c r="D398" s="29" t="n"/>
      <c r="E398" s="29" t="n"/>
      <c r="F398" s="29" t="n"/>
      <c r="G398" s="29" t="n"/>
      <c r="H398" s="29" t="n"/>
      <c r="I398" s="29" t="n"/>
    </row>
    <row r="399">
      <c r="A399" s="31" t="n"/>
      <c r="B399" s="29" t="n"/>
      <c r="C399" s="29" t="n"/>
      <c r="D399" s="29" t="n"/>
      <c r="E399" s="29" t="n"/>
      <c r="F399" s="29" t="n"/>
      <c r="G399" s="29" t="n"/>
      <c r="H399" s="29" t="n"/>
      <c r="I399" s="29" t="n"/>
    </row>
    <row r="400">
      <c r="A400" s="31" t="n"/>
      <c r="B400" s="29" t="n"/>
      <c r="C400" s="29" t="n"/>
      <c r="D400" s="29" t="n"/>
      <c r="E400" s="29" t="n"/>
      <c r="F400" s="29" t="n"/>
      <c r="G400" s="29" t="n"/>
      <c r="H400" s="29" t="n"/>
      <c r="I400" s="29" t="n"/>
    </row>
    <row r="401">
      <c r="A401" s="31" t="n"/>
      <c r="B401" s="29" t="n"/>
      <c r="C401" s="29" t="n"/>
      <c r="D401" s="29" t="n"/>
      <c r="E401" s="29" t="n"/>
      <c r="F401" s="29" t="n"/>
      <c r="G401" s="29" t="n"/>
      <c r="H401" s="29" t="n"/>
      <c r="I401" s="29" t="n"/>
    </row>
    <row r="402">
      <c r="A402" s="31" t="n"/>
      <c r="B402" s="29" t="n"/>
      <c r="C402" s="29" t="n"/>
      <c r="D402" s="29" t="n"/>
      <c r="E402" s="29" t="n"/>
      <c r="F402" s="29" t="n"/>
      <c r="G402" s="29" t="n"/>
      <c r="H402" s="29" t="n"/>
      <c r="I402" s="29" t="n"/>
    </row>
    <row r="403">
      <c r="A403" s="31" t="n"/>
      <c r="B403" s="29" t="n"/>
      <c r="C403" s="29" t="n"/>
      <c r="D403" s="29" t="n"/>
      <c r="E403" s="29" t="n"/>
      <c r="F403" s="29" t="n"/>
      <c r="G403" s="29" t="n"/>
      <c r="H403" s="29" t="n"/>
      <c r="I403" s="29" t="n"/>
    </row>
    <row r="404">
      <c r="A404" s="31" t="n"/>
      <c r="B404" s="29" t="n"/>
      <c r="C404" s="29" t="n"/>
      <c r="D404" s="29" t="n"/>
      <c r="E404" s="29" t="n"/>
      <c r="F404" s="29" t="n"/>
      <c r="G404" s="29" t="n"/>
      <c r="H404" s="29" t="n"/>
      <c r="I404" s="29" t="n"/>
    </row>
  </sheetData>
  <sheetProtection selectLockedCells="0" selectUnlockedCells="0" sheet="1" objects="0" insertRows="1" insertHyperlinks="1" autoFilter="0" scenarios="0" formatColumns="0" deleteColumns="1" insertColumns="1" pivotTables="1" deleteRows="1" formatCells="0" formatRows="0" sort="1"/>
  <autoFilter ref="A4:I404"/>
  <dataValidations count="4">
    <dataValidation sqref="A5:A404" showDropDown="0" showInputMessage="0" showErrorMessage="1" allowBlank="1" errorTitle="تاريخ غير صحيح" error="أدخل تاريخًا صحيحًا." type="date" operator="greaterThan">
      <formula1>36526</formula1>
    </dataValidation>
    <dataValidation sqref="B5:B404" showDropDown="0" showInputMessage="0" showErrorMessage="1" allowBlank="1" errorTitle="قيمة غير مسموحة" error="اختر قيمة من القائمة المنسدلة." type="list">
      <formula1>=Users!$B$5:$B$44</formula1>
    </dataValidation>
    <dataValidation sqref="E5:E404" showDropDown="0" showInputMessage="0" showErrorMessage="1" allowBlank="1" errorTitle="قيمة غير مسموحة" error="اختر قيمة من القائمة المنسدلة." type="list">
      <formula1>"إضافة,تعديل,اعتماد,ترحيل,عكس,إلغاء,إقفال,تغيير بيانات أساسية,استعادة نسخة"</formula1>
    </dataValidation>
    <dataValidation sqref="I5:I404" showDropDown="0" showInputMessage="0" showErrorMessage="1" allowBlank="1" errorTitle="قيمة غير مسموحة" error="اختر قيمة من القائمة المنسدلة." type="list">
      <formula1>=Users!$B$5:$B$44</formula1>
    </dataValidation>
  </dataValidations>
  <pageMargins left="0.75" right="0.75" top="1" bottom="1" header="0.5" footer="0.5"/>
  <pageSetup orientation="landscape" fitToHeight="0" fitToWidth="1"/>
</worksheet>
</file>

<file path=xl/worksheets/sheet48.xml><?xml version="1.0" encoding="utf-8"?>
<worksheet xmlns="http://schemas.openxmlformats.org/spreadsheetml/2006/main">
  <sheetPr>
    <outlinePr summaryBelow="1" summaryRight="1"/>
    <pageSetUpPr/>
  </sheetPr>
  <dimension ref="A1:A3"/>
  <sheetViews>
    <sheetView rightToLeft="1" workbookViewId="0">
      <selection activeCell="A1" sqref="A1"/>
    </sheetView>
  </sheetViews>
  <sheetFormatPr baseColWidth="8" defaultRowHeight="15"/>
  <sheetData>
    <row r="1">
      <c r="A1" s="40" t="inlineStr">
        <is>
          <t>اختبارات الجودة - النسخة النظيفة: استخدم النسخة التجريبية لاختبارات T01-T18 و V01-V14</t>
        </is>
      </c>
    </row>
    <row r="3">
      <c r="A3" t="inlineStr">
        <is>
          <t>هذه النسخة بلا بيانات؛ بعد إدخال بيانات حقيقية شغّل فحوص التكامل: TB_Diff و GL_TotalDiff و BS_Diff و SB_Diff و CF_Diff في Close_Checklist.</t>
        </is>
      </c>
    </row>
  </sheetData>
  <pageMargins left="0.75" right="0.75" top="1" bottom="1" header="0.5" footer="0.5"/>
</worksheet>
</file>

<file path=xl/worksheets/sheet49.xml><?xml version="1.0" encoding="utf-8"?>
<worksheet xmlns="http://schemas.openxmlformats.org/spreadsheetml/2006/main">
  <sheetPr>
    <tabColor rgb="007F7F7F"/>
    <outlinePr summaryBelow="1" summaryRight="1"/>
    <pageSetUpPr/>
  </sheetPr>
  <dimension ref="A1:N43"/>
  <sheetViews>
    <sheetView rightToLeft="1" zoomScale="90" workbookViewId="0">
      <pane ySplit="4" topLeftCell="A5" activePane="bottomLeft" state="frozen"/>
      <selection pane="bottomLeft" activeCell="A1" sqref="A1"/>
    </sheetView>
  </sheetViews>
  <sheetFormatPr baseColWidth="8" defaultRowHeight="15"/>
  <cols>
    <col width="5" customWidth="1" min="1" max="1"/>
    <col width="30" customWidth="1" min="2" max="2"/>
    <col width="42" customWidth="1" min="3" max="3"/>
    <col width="30" customWidth="1" min="4" max="4"/>
    <col width="44" customWidth="1" min="5" max="5"/>
    <col width="44" customWidth="1" min="6" max="6"/>
    <col width="12" customWidth="1" min="7" max="7"/>
    <col width="44" customWidth="1" min="8" max="8"/>
    <col width="30" customWidth="1" min="9" max="9"/>
    <col width="30" customWidth="1" min="10" max="10"/>
    <col width="26" customWidth="1" min="11" max="11"/>
    <col width="28" customWidth="1" min="12" max="12"/>
    <col width="56" customWidth="1" min="13" max="13"/>
    <col width="40" customWidth="1" min="14" max="14"/>
  </cols>
  <sheetData>
    <row r="1" ht="26" customHeight="1">
      <c r="A1" s="22" t="inlineStr">
        <is>
          <t>دليل القيود المحاسبية - 28 حالة بأرقام تجريبية</t>
        </is>
      </c>
      <c r="B1" s="1" t="n"/>
      <c r="C1" s="1" t="n"/>
      <c r="D1" s="1" t="n"/>
      <c r="E1" s="1" t="n"/>
      <c r="F1" s="1" t="n"/>
      <c r="G1" s="1" t="n"/>
      <c r="H1" s="1" t="n"/>
      <c r="I1" s="1" t="n"/>
      <c r="J1" s="1" t="n"/>
      <c r="K1" s="1" t="n"/>
      <c r="L1" s="1" t="n"/>
      <c r="M1" s="1" t="n"/>
      <c r="N1" s="1" t="n"/>
    </row>
    <row r="2">
      <c r="A2" s="23" t="inlineStr">
        <is>
          <t>كل مثال يستخدم حسابات دليل الحسابات الفعلي. الأرقام تجريبية فقط. القيد دائمًا متوازن.</t>
        </is>
      </c>
    </row>
    <row r="4">
      <c r="A4" s="24" t="inlineStr">
        <is>
          <t>م</t>
        </is>
      </c>
      <c r="B4" s="24" t="inlineStr">
        <is>
          <t>الحالة</t>
        </is>
      </c>
      <c r="C4" s="24" t="inlineStr">
        <is>
          <t>القصة</t>
        </is>
      </c>
      <c r="D4" s="24" t="inlineStr">
        <is>
          <t>المستند المطلوب</t>
        </is>
      </c>
      <c r="E4" s="24" t="inlineStr">
        <is>
          <t>المدين</t>
        </is>
      </c>
      <c r="F4" s="24" t="inlineStr">
        <is>
          <t>الدائن</t>
        </is>
      </c>
      <c r="G4" s="24" t="inlineStr">
        <is>
          <t>المبلغ التجريبي</t>
        </is>
      </c>
      <c r="H4" s="24" t="inlineStr">
        <is>
          <t>سبب المدين والدائن</t>
        </is>
      </c>
      <c r="I4" s="24" t="inlineStr">
        <is>
          <t>الأثر على الميزانية</t>
        </is>
      </c>
      <c r="J4" s="24" t="inlineStr">
        <is>
          <t>الأثر على قائمة الدخل</t>
        </is>
      </c>
      <c r="K4" s="24" t="inlineStr">
        <is>
          <t>الأثر على الخزينة</t>
        </is>
      </c>
      <c r="L4" s="24" t="inlineStr">
        <is>
          <t>الأثر على المخزون</t>
        </is>
      </c>
      <c r="M4" s="24" t="inlineStr">
        <is>
          <t>طريقة التسجيل في Google Sheets</t>
        </is>
      </c>
      <c r="N4" s="24" t="inlineStr">
        <is>
          <t>طريقة المراجعة</t>
        </is>
      </c>
    </row>
    <row r="5">
      <c r="A5" s="25" t="n">
        <v>1</v>
      </c>
      <c r="B5" s="25" t="inlineStr">
        <is>
          <t>إثبات رأس المال</t>
        </is>
      </c>
      <c r="C5" s="25" t="inlineStr">
        <is>
          <t>وضع المالك 500,000 جنيه رأس مال في الحساب البنكي للمطعم.</t>
        </is>
      </c>
      <c r="D5" s="25" t="inlineStr">
        <is>
          <t>سند قبض بنك (نموذج 11) + إشعار إيداع بنكي.</t>
        </is>
      </c>
      <c r="E5" s="25" t="inlineStr">
        <is>
          <t>1201 البنك الأول - حساب جاري (تجريبي): 500,000</t>
        </is>
      </c>
      <c r="F5" s="25" t="inlineStr">
        <is>
          <t>3101 رأس المال: 500,000</t>
        </is>
      </c>
      <c r="G5" s="25" t="n">
        <v>500000</v>
      </c>
      <c r="H5" s="25" t="inlineStr">
        <is>
          <t>البنك أصل زاد (مدين). رأس المال حق للمالك زاد (دائن).</t>
        </is>
      </c>
      <c r="I5" s="25" t="inlineStr">
        <is>
          <t>الأصول +500,000 وحقوق الملكية +500,000</t>
        </is>
      </c>
      <c r="J5" s="25" t="inlineStr">
        <is>
          <t>لا أثر</t>
        </is>
      </c>
      <c r="K5" s="25" t="inlineStr">
        <is>
          <t>البنك +500,000</t>
        </is>
      </c>
      <c r="L5" s="25" t="inlineStr">
        <is>
          <t>لا أثر</t>
        </is>
      </c>
      <c r="M5" s="25" t="inlineStr">
        <is>
          <t>Cash_Vouchers: النوع (قبض)، الخزينة BNK-01، الحساب المقابل 3101، المبلغ 500,000، المستلم/الدافع (المالك). أو ضمن قيد الافتتاح في Manual_JE.</t>
        </is>
      </c>
      <c r="N5" s="25" t="inlineStr">
        <is>
          <t>ميزان المراجعة: رصيد 3101 دائن 500,000 ورصيد 1201 مدين.</t>
        </is>
      </c>
    </row>
    <row r="6">
      <c r="A6" s="25" t="n">
        <v>2</v>
      </c>
      <c r="B6" s="25" t="inlineStr">
        <is>
          <t>شراء مخزون نقدًا</t>
        </is>
      </c>
      <c r="C6" s="25" t="inlineStr">
        <is>
          <t>اشترى أمين المشتريات عبوات تغليف بـ 4,200 جنيه ودفعها نقدًا من خزينة الإدارة.</t>
        </is>
      </c>
      <c r="D6" s="25" t="inlineStr">
        <is>
          <t>فاتورة المورد + إذن استلام مخزني (نموذج 3) + سند صرف (نموذج 12).</t>
        </is>
      </c>
      <c r="E6" s="25" t="inlineStr">
        <is>
          <t>1405 مخزون عبوات وتغليف: 4,200</t>
        </is>
      </c>
      <c r="F6" s="25" t="inlineStr">
        <is>
          <t>1104 خزينة الإدارة الرئيسية HQ01: 4,200</t>
        </is>
      </c>
      <c r="G6" s="25" t="n">
        <v>4200</v>
      </c>
      <c r="H6" s="25" t="inlineStr">
        <is>
          <t>المخزون أصل زاد (مدين) فلا يُعد مصروفًا. الخزينة نقصت (دائن).</t>
        </is>
      </c>
      <c r="I6" s="25" t="inlineStr">
        <is>
          <t>مخزون +4,200 ونقدية -4,200</t>
        </is>
      </c>
      <c r="J6" s="25" t="inlineStr">
        <is>
          <t>لا أثر الآن (التكلفة عند الاستهلاك)</t>
        </is>
      </c>
      <c r="K6" s="25" t="inlineStr">
        <is>
          <t>خزينة الإدارة -4,200</t>
        </is>
      </c>
      <c r="L6" s="25" t="inlineStr">
        <is>
          <t>مخزون العبوات +4,200</t>
        </is>
      </c>
      <c r="M6" s="25" t="inlineStr">
        <is>
          <t>Supplier_Invoices: المورد SUP003، الحساب المدين 1405، الصافي 4,200، الدفع الفوري CSH-HQ01. (يظهر أيضًا في أستاذ المورد ويصفّر نفسه).</t>
        </is>
      </c>
      <c r="N6" s="25" t="inlineStr">
        <is>
          <t>Supplier_Balances: رصيد SUP003 = صفر. Treasury_Balances: خزينة HQ نقصت 4,200.</t>
        </is>
      </c>
    </row>
    <row r="7">
      <c r="A7" s="25" t="n">
        <v>3</v>
      </c>
      <c r="B7" s="25" t="inlineStr">
        <is>
          <t>شراء مخزون آجلًا</t>
        </is>
      </c>
      <c r="C7" s="25" t="inlineStr">
        <is>
          <t>استلم المخزن الرئيسي أجبانًا بقيمة 30,000 جنيه من مورد بسداد بعد 30 يومًا.</t>
        </is>
      </c>
      <c r="D7" s="25" t="inlineStr">
        <is>
          <t>إذن استلام (نموذج 3) + فاتورة المورد.</t>
        </is>
      </c>
      <c r="E7" s="25" t="inlineStr">
        <is>
          <t>1401 مخزون المخزن الرئيسي - مواد خام: 30,000</t>
        </is>
      </c>
      <c r="F7" s="25" t="inlineStr">
        <is>
          <t>2101 موردون (ذمم دائنة): 30,000</t>
        </is>
      </c>
      <c r="G7" s="25" t="n">
        <v>30000</v>
      </c>
      <c r="H7" s="25" t="inlineStr">
        <is>
          <t>المخزون زاد (مدين) والتزمنا للمورد بدفع المبلغ لاحقًا (دائن).</t>
        </is>
      </c>
      <c r="I7" s="25" t="inlineStr">
        <is>
          <t>مخزون +30,000 وموردون +30,000</t>
        </is>
      </c>
      <c r="J7" s="25" t="inlineStr">
        <is>
          <t>لا أثر</t>
        </is>
      </c>
      <c r="K7" s="25" t="inlineStr">
        <is>
          <t>لا أثر الآن</t>
        </is>
      </c>
      <c r="L7" s="25" t="inlineStr">
        <is>
          <t>مخزون المخزن الرئيسي +30,000</t>
        </is>
      </c>
      <c r="M7" s="25" t="inlineStr">
        <is>
          <t>Supplier_Invoices: النوع (فاتورة)، المورد SUP001، رقم فاتورة المورد، الحساب المدين 1401، الجهة WH01، الصافي 30,000.</t>
        </is>
      </c>
      <c r="N7" s="25" t="inlineStr">
        <is>
          <t>Supplier_Balances: رصيد SUP001 زاد 30,000 وتاريخ الاستحقاق +30 يومًا.</t>
        </is>
      </c>
    </row>
    <row r="8">
      <c r="A8" s="25" t="n">
        <v>4</v>
      </c>
      <c r="B8" s="25" t="inlineStr">
        <is>
          <t>سداد مورد</t>
        </is>
      </c>
      <c r="C8" s="25" t="inlineStr">
        <is>
          <t>سدد المطعم 10,000 جنيه من حساب البنك للمورد SUP001.</t>
        </is>
      </c>
      <c r="D8" s="25" t="inlineStr">
        <is>
          <t>سند صرف (نموذج 12) + إشعار التحويل البنكي.</t>
        </is>
      </c>
      <c r="E8" s="25" t="inlineStr">
        <is>
          <t>2101 موردون (ذمم دائنة): 10,000</t>
        </is>
      </c>
      <c r="F8" s="25" t="inlineStr">
        <is>
          <t>1201 البنك الأول - حساب جاري (تجريبي): 10,000</t>
        </is>
      </c>
      <c r="G8" s="25" t="n">
        <v>10000</v>
      </c>
      <c r="H8" s="25" t="inlineStr">
        <is>
          <t>التزامنا للمورد نقص (مدين)، والبنك نقص (دائن).</t>
        </is>
      </c>
      <c r="I8" s="25" t="inlineStr">
        <is>
          <t>موردون -10,000 وبنك -10,000</t>
        </is>
      </c>
      <c r="J8" s="25" t="inlineStr">
        <is>
          <t>لا أثر</t>
        </is>
      </c>
      <c r="K8" s="25" t="inlineStr">
        <is>
          <t>البنك -10,000</t>
        </is>
      </c>
      <c r="L8" s="25" t="inlineStr">
        <is>
          <t>لا أثر</t>
        </is>
      </c>
      <c r="M8" s="25" t="inlineStr">
        <is>
          <t>Supplier_Payments: المورد، الخزينة BNK-01، المبلغ، رقم تسجيل الفاتورة المسددة.</t>
        </is>
      </c>
      <c r="N8" s="25" t="inlineStr">
        <is>
          <t>Supplier_Balances: نقص رصيد المورد. Treasury_Balances: نقص البنك.</t>
        </is>
      </c>
    </row>
    <row r="9">
      <c r="A9" s="25" t="n">
        <v>5</v>
      </c>
      <c r="B9" s="25" t="inlineStr">
        <is>
          <t>بيع نقدي (يوم مبيعات فرع)</t>
        </is>
      </c>
      <c r="C9" s="25" t="inlineStr">
        <is>
          <t>باع الفرع BR01 اليوم بـ 20,000 جنيه (فطير 6,000 + بيتزا 10,000 + مكرونات 4,000) وقدّم خصومات 500 والباقي نقدًا.</t>
        </is>
      </c>
      <c r="D9" s="25" t="inlineStr">
        <is>
          <t>تقرير المبيعات اليومي (نموذج 15) + شريط إقفال الكاشير.</t>
        </is>
      </c>
      <c r="E9" s="25" t="inlineStr">
        <is>
          <t>1101 خزينة الفرع BR01: 19,500 + 4901 خصومات المبيعات والعروض: 500</t>
        </is>
      </c>
      <c r="F9" s="25" t="inlineStr">
        <is>
          <t>4101 مبيعات الفطير: 6,000 + 4102 مبيعات البيتزا: 10,000 + 4103 مبيعات المكرونات: 4,000</t>
        </is>
      </c>
      <c r="G9" s="25" t="n">
        <v>20000</v>
      </c>
      <c r="H9" s="25" t="inlineStr">
        <is>
          <t>النقدية زادت بصافي المبيعات (مدين). الخصم حساب مقابل للإيراد (مدين) فيُظهر المبيعات الإجمالية والخصم منفصلين. الإيرادات دائنة بإجمالي كل فئة.</t>
        </is>
      </c>
      <c r="I9" s="25" t="inlineStr">
        <is>
          <t>نقدية +19,500</t>
        </is>
      </c>
      <c r="J9" s="25" t="inlineStr">
        <is>
          <t>مبيعات +20,000 وخصومات -500 = صافي 19,500</t>
        </is>
      </c>
      <c r="K9" s="25" t="inlineStr">
        <is>
          <t>خزينة الفرع +19,500</t>
        </is>
      </c>
      <c r="L9" s="25" t="inlineStr">
        <is>
          <t>لا أثر (التكلفة في قيد التسوية الشهرية)</t>
        </is>
      </c>
      <c r="M9" s="25" t="inlineStr">
        <is>
          <t>Sales_Daily: صف واحد للفرع واليوم: الفئات، الخصومات، ثم توزيع الصافي على وسائل الدفع (تحصيل نقدي 19,500).</t>
        </is>
      </c>
      <c r="N9" s="25" t="inlineStr">
        <is>
          <t>Sales_Daily: عمود (فرق صافي - وسائل الدفع) = صفر. Daily_Recon: نقدي متوقع = المعدود.</t>
        </is>
      </c>
    </row>
    <row r="10">
      <c r="A10" s="25" t="n">
        <v>6</v>
      </c>
      <c r="B10" s="25" t="inlineStr">
        <is>
          <t>بيع عبر منصة توصيل (مستحقات لم تُحصَّل)</t>
        </is>
      </c>
      <c r="C10" s="25" t="inlineStr">
        <is>
          <t>باع الفرع BR01 بيتزا بـ 8,000 جنيه عبر منصة طلبات. لم يستلم المطعم المبلغ بعد.</t>
        </is>
      </c>
      <c r="D10" s="25" t="inlineStr">
        <is>
          <t>تقرير المبيعات اليومي (نموذج 15) + تقرير طلبات اليومي.</t>
        </is>
      </c>
      <c r="E10" s="25" t="inlineStr">
        <is>
          <t>1303 مستحقات منصة طلبات: 8,000</t>
        </is>
      </c>
      <c r="F10" s="25" t="inlineStr">
        <is>
          <t>4102 مبيعات البيتزا: 8,000</t>
        </is>
      </c>
      <c r="G10" s="25" t="n">
        <v>8000</v>
      </c>
      <c r="H10" s="25" t="inlineStr">
        <is>
          <t>لدينا مبلغ مستحق على المنصة (أصل) وليس نقدية. الإيراد يثبت عند البيع وليس عند التحصيل. العمولة تُسجل عند وصول كشف التسوية.</t>
        </is>
      </c>
      <c r="I10" s="25" t="inlineStr">
        <is>
          <t>مستحقات منصات +8,000</t>
        </is>
      </c>
      <c r="J10" s="25" t="inlineStr">
        <is>
          <t>مبيعات +8,000</t>
        </is>
      </c>
      <c r="K10" s="25" t="inlineStr">
        <is>
          <t>لا أثر (لم يُحصَّل)</t>
        </is>
      </c>
      <c r="L10" s="25" t="inlineStr">
        <is>
          <t>لا أثر</t>
        </is>
      </c>
      <c r="M10" s="25" t="inlineStr">
        <is>
          <t>Sales_Daily: خانة (تحصيل طلبات TLB) = 8,000 ضمن صف الفرع واليوم.</t>
        </is>
      </c>
      <c r="N10" s="25" t="inlineStr">
        <is>
          <t>Balance_Sheet: مستحقات المنصات زادت. Dashboard: مستحقات منصات التوصيل.</t>
        </is>
      </c>
    </row>
    <row r="11">
      <c r="A11" s="25" t="n">
        <v>7</v>
      </c>
      <c r="B11" s="25" t="inlineStr">
        <is>
          <t>تحصيل مستحقات المنصة (مع العمولة)</t>
        </is>
      </c>
      <c r="C11" s="25" t="inlineStr">
        <is>
          <t>أرسلت المنصة كشف تسوية: مستحقات 8,000 وعمولتها 18% (1,440) وحوّلت 6,560 للبنك.</t>
        </is>
      </c>
      <c r="D11" s="25" t="inlineStr">
        <is>
          <t>كشف تسوية منصة توصيل (نموذج 16) + كشف الحساب البنكي.</t>
        </is>
      </c>
      <c r="E11" s="25" t="inlineStr">
        <is>
          <t>1201 البنك الأول - حساب جاري (تجريبي): 6,560 + 6701 عمولات منصات التوصيل: 1,440</t>
        </is>
      </c>
      <c r="F11" s="25" t="inlineStr">
        <is>
          <t>1303 مستحقات منصة طلبات: 8,000</t>
        </is>
      </c>
      <c r="G11" s="25" t="n">
        <v>8000</v>
      </c>
      <c r="H11" s="25" t="inlineStr">
        <is>
          <t>البنك زاد بالمبلغ المحوَّل (مدين). عمولة المنصة مصروف (مدين) ولا تُخلط بخصم العميل. مستحقات المنصة سُدِّدت كاملة (دائن).</t>
        </is>
      </c>
      <c r="I11" s="25" t="inlineStr">
        <is>
          <t>بنك +6,560 ومستحقات المنصة -8,000</t>
        </is>
      </c>
      <c r="J11" s="25" t="inlineStr">
        <is>
          <t>مصروف عمولات -1,440</t>
        </is>
      </c>
      <c r="K11" s="25" t="inlineStr">
        <is>
          <t>البنك +6,560</t>
        </is>
      </c>
      <c r="L11" s="25" t="inlineStr">
        <is>
          <t>لا أثر</t>
        </is>
      </c>
      <c r="M11" s="25" t="inlineStr">
        <is>
          <t>Platform_Settlements: المنصة TLB، قيمة الطلبات 8,000، العمولة 1,440، المستلم فعليًا 6,560، حساب الاستلام BNK-01. إذا اختلف المستلم عن المتوقع يذهب الفرق إلى 1309 للمراجعة.</t>
        </is>
      </c>
      <c r="N11" s="25" t="inlineStr">
        <is>
          <t>خانة (الفرق) = صفر. رصيد 1303 يقابل كشف المنصة.</t>
        </is>
      </c>
    </row>
    <row r="12">
      <c r="A12" s="25" t="n">
        <v>8</v>
      </c>
      <c r="B12" s="25" t="inlineStr">
        <is>
          <t>دفع إيجار الشهر</t>
        </is>
      </c>
      <c r="C12" s="25" t="inlineStr">
        <is>
          <t>دفع المطعم إيجار الفرع BR01 لشهر أكتوبر 15,000 جنيه بتحويل بنكي.</t>
        </is>
      </c>
      <c r="D12" s="25" t="inlineStr">
        <is>
          <t>نموذج المصروفات (17) + عقد الإيجار + إيصال التحويل.</t>
        </is>
      </c>
      <c r="E12" s="25" t="inlineStr">
        <is>
          <t>6201 إيجار الفروع: 15,000</t>
        </is>
      </c>
      <c r="F12" s="25" t="inlineStr">
        <is>
          <t>1201 البنك الأول - حساب جاري (تجريبي): 15,000</t>
        </is>
      </c>
      <c r="G12" s="25" t="n">
        <v>15000</v>
      </c>
      <c r="H12" s="25" t="inlineStr">
        <is>
          <t>الإيجار مصروف تشغيلي (مدين) والبنك نقص (دائن).</t>
        </is>
      </c>
      <c r="I12" s="25" t="inlineStr">
        <is>
          <t>بنك -15,000</t>
        </is>
      </c>
      <c r="J12" s="25" t="inlineStr">
        <is>
          <t>مصروف إيجار +15,000 على الفرع BR01</t>
        </is>
      </c>
      <c r="K12" s="25" t="inlineStr">
        <is>
          <t>البنك -15,000</t>
        </is>
      </c>
      <c r="L12" s="25" t="inlineStr">
        <is>
          <t>لا أثر</t>
        </is>
      </c>
      <c r="M12" s="25" t="inlineStr">
        <is>
          <t>Expenses: التاريخ، الفرع BR01، مركز CC10، الحساب 6201، المبلغ، النمط (فوري)، الخزينة BNK-01.</t>
        </is>
      </c>
      <c r="N12" s="25" t="inlineStr">
        <is>
          <t>Income_Statement: الإيجارات للفرع BR01 = 15,000.</t>
        </is>
      </c>
    </row>
    <row r="13">
      <c r="A13" s="25" t="n">
        <v>9</v>
      </c>
      <c r="B13" s="25" t="inlineStr">
        <is>
          <t>إثبات راتب مستحق ثم دفعه - (أ) الاستحقاق في 30 سبتمبر</t>
        </is>
      </c>
      <c r="C13" s="25" t="inlineStr">
        <is>
          <t>رواتب سبتمبر 60,000 جنيه تُثبت آخر الشهر وتُدفع في 3 أكتوبر.</t>
        </is>
      </c>
      <c r="D13" s="25" t="inlineStr">
        <is>
          <t>كشف حضور واعتماد الرواتب (نموذج 22)، ثم سند صرف.</t>
        </is>
      </c>
      <c r="E13" s="25" t="inlineStr">
        <is>
          <t>6101 رواتب وأجور: 60,000</t>
        </is>
      </c>
      <c r="F13" s="25" t="inlineStr">
        <is>
          <t>2202 رواتب وأجور مستحقة: 60,000</t>
        </is>
      </c>
      <c r="G13" s="25" t="n">
        <v>60000</v>
      </c>
      <c r="H13" s="25" t="inlineStr">
        <is>
          <t>الراتب مصروف سبتمبر حتى لو دُفع في أكتوبر (استحقاق). عند الدفع ينقص الالتزام والبنك ولا يتأثر الربح مرة أخرى.</t>
        </is>
      </c>
      <c r="I13" s="25" t="inlineStr">
        <is>
          <t>(أ) رواتب مستحقة +60,000 | (ب) مستحقة -60,000 وبنك -60,000</t>
        </is>
      </c>
      <c r="J13" s="25" t="inlineStr">
        <is>
          <t>(أ) مصروف رواتب سبتمبر 60,000 | (ب) لا أثر</t>
        </is>
      </c>
      <c r="K13" s="25" t="inlineStr">
        <is>
          <t>(ب) البنك -60,000</t>
        </is>
      </c>
      <c r="L13" s="25" t="inlineStr">
        <is>
          <t>لا أثر</t>
        </is>
      </c>
      <c r="M13" s="25" t="inlineStr">
        <is>
          <t>(أ) Manual_JE (نوع: رواتب مؤقت) حتى تفعيل Payroll في المرحلة 3. (ب) Cash_Vouchers: صرف بالحساب المقابل 2202.</t>
        </is>
      </c>
      <c r="N13" s="25" t="inlineStr">
        <is>
          <t>رصيد 2202 = صفر بعد الدفع. الرواتب في سبتمبر وليس أكتوبر.</t>
        </is>
      </c>
    </row>
    <row r="14">
      <c r="A14" s="25" t="n">
        <v>9</v>
      </c>
      <c r="B14" s="25" t="inlineStr">
        <is>
          <t>إثبات راتب مستحق ثم دفعه - (ب) الدفع في 3 أكتوبر</t>
        </is>
      </c>
      <c r="C14" s="25" t="inlineStr">
        <is>
          <t>رواتب سبتمبر 60,000 جنيه تُثبت آخر الشهر وتُدفع في 3 أكتوبر.</t>
        </is>
      </c>
      <c r="D14" s="25" t="inlineStr">
        <is>
          <t>كشف حضور واعتماد الرواتب (نموذج 22)، ثم سند صرف.</t>
        </is>
      </c>
      <c r="E14" s="25" t="inlineStr">
        <is>
          <t>2202 رواتب وأجور مستحقة: 60,000</t>
        </is>
      </c>
      <c r="F14" s="25" t="inlineStr">
        <is>
          <t>1201 البنك الأول - حساب جاري (تجريبي): 60,000</t>
        </is>
      </c>
      <c r="G14" s="25" t="n">
        <v>60000</v>
      </c>
      <c r="H14" s="25" t="inlineStr">
        <is>
          <t>الراتب مصروف سبتمبر حتى لو دُفع في أكتوبر (استحقاق). عند الدفع ينقص الالتزام والبنك ولا يتأثر الربح مرة أخرى.</t>
        </is>
      </c>
      <c r="I14" s="25" t="inlineStr">
        <is>
          <t>(أ) رواتب مستحقة +60,000 | (ب) مستحقة -60,000 وبنك -60,000</t>
        </is>
      </c>
      <c r="J14" s="25" t="inlineStr">
        <is>
          <t>(أ) مصروف رواتب سبتمبر 60,000 | (ب) لا أثر</t>
        </is>
      </c>
      <c r="K14" s="25" t="inlineStr">
        <is>
          <t>(ب) البنك -60,000</t>
        </is>
      </c>
      <c r="L14" s="25" t="inlineStr">
        <is>
          <t>لا أثر</t>
        </is>
      </c>
      <c r="M14" s="25" t="inlineStr">
        <is>
          <t>(أ) Manual_JE (نوع: رواتب مؤقت) حتى تفعيل Payroll في المرحلة 3. (ب) Cash_Vouchers: صرف بالحساب المقابل 2202.</t>
        </is>
      </c>
      <c r="N14" s="25" t="inlineStr">
        <is>
          <t>رصيد 2202 = صفر بعد الدفع. الرواتب في سبتمبر وليس أكتوبر.</t>
        </is>
      </c>
    </row>
    <row r="15">
      <c r="A15" s="25" t="n">
        <v>10</v>
      </c>
      <c r="B15" s="25" t="inlineStr">
        <is>
          <t>صرف سلفة موظف</t>
        </is>
      </c>
      <c r="C15" s="25" t="inlineStr">
        <is>
          <t>صُرف للموظف EMP001 سلفة 2,000 جنيه تُخصم من راتبه لاحقًا.</t>
        </is>
      </c>
      <c r="D15" s="25" t="inlineStr">
        <is>
          <t>طلب سلفة (نموذج 18) + سند صرف (12).</t>
        </is>
      </c>
      <c r="E15" s="25" t="inlineStr">
        <is>
          <t>1501 سلف الموظفين: 2,000</t>
        </is>
      </c>
      <c r="F15" s="25" t="inlineStr">
        <is>
          <t>1104 خزينة الإدارة الرئيسية HQ01: 2,000</t>
        </is>
      </c>
      <c r="G15" s="25" t="n">
        <v>2000</v>
      </c>
      <c r="H15" s="25" t="inlineStr">
        <is>
          <t>السلفة أصل (مبلغ مستحق على الموظف) وليست مصروفًا. الخزينة نقصت.</t>
        </is>
      </c>
      <c r="I15" s="25" t="inlineStr">
        <is>
          <t>سلف +2,000 ونقدية -2,000</t>
        </is>
      </c>
      <c r="J15" s="25" t="inlineStr">
        <is>
          <t>لا أثر</t>
        </is>
      </c>
      <c r="K15" s="25" t="inlineStr">
        <is>
          <t>خزينة الإدارة -2,000</t>
        </is>
      </c>
      <c r="L15" s="25" t="inlineStr">
        <is>
          <t>لا أثر</t>
        </is>
      </c>
      <c r="M15" s="25" t="inlineStr">
        <is>
          <t>Cash_Vouchers: صرف، الحساب المقابل 1501، كود الجهة EMP001 (إلزامي).</t>
        </is>
      </c>
      <c r="N15" s="25" t="inlineStr">
        <is>
          <t>Employees: رصيد سلفة الموظف 2,000.</t>
        </is>
      </c>
    </row>
    <row r="16">
      <c r="A16" s="25" t="n">
        <v>11</v>
      </c>
      <c r="B16" s="25" t="inlineStr">
        <is>
          <t>شراء أصل ثابت</t>
        </is>
      </c>
      <c r="C16" s="25" t="inlineStr">
        <is>
          <t>اشترى المطعم فرن بيتزا بـ 45,000 جنيه من مورد معدات بالآجل.</t>
        </is>
      </c>
      <c r="D16" s="25" t="inlineStr">
        <is>
          <t>فاتورة المورد + محضر استلام الأصل + بطاقة الأصل (المرحلة 3).</t>
        </is>
      </c>
      <c r="E16" s="25" t="inlineStr">
        <is>
          <t>1701 معدات المطابخ والأفران: 45,000</t>
        </is>
      </c>
      <c r="F16" s="25" t="inlineStr">
        <is>
          <t>2101 موردون (ذمم دائنة): 45,000</t>
        </is>
      </c>
      <c r="G16" s="25" t="n">
        <v>45000</v>
      </c>
      <c r="H16" s="25" t="inlineStr">
        <is>
          <t>الفرن يخدم أكثر من سنة فيُسجل أصلًا ثابتًا وليس مصروفًا، ويُهلك على عمره الإنتاجي.</t>
        </is>
      </c>
      <c r="I16" s="25" t="inlineStr">
        <is>
          <t>أصول ثابتة +45,000 وموردون +45,000</t>
        </is>
      </c>
      <c r="J16" s="25" t="inlineStr">
        <is>
          <t>لا أثر الآن (يظهر الإهلاك لاحقًا)</t>
        </is>
      </c>
      <c r="K16" s="25" t="inlineStr">
        <is>
          <t>لا أثر الآن</t>
        </is>
      </c>
      <c r="L16" s="25" t="inlineStr">
        <is>
          <t>لا أثر</t>
        </is>
      </c>
      <c r="M16" s="25" t="inlineStr">
        <is>
          <t>Supplier_Invoices: الحساب المدين 1701 (مسموح بالأصول). لا يُسجل في Expenses.</t>
        </is>
      </c>
      <c r="N16" s="25" t="inlineStr">
        <is>
          <t>Fixed_Assets (المرحلة 3) يعرض الأصل وعمره. في التدفقات يظهر كاستثماري عند السداد.</t>
        </is>
      </c>
    </row>
    <row r="17">
      <c r="A17" s="25" t="n">
        <v>12</v>
      </c>
      <c r="B17" s="25" t="inlineStr">
        <is>
          <t>إثبات الإهلاك</t>
        </is>
      </c>
      <c r="C17" s="25" t="inlineStr">
        <is>
          <t>إهلاك شهر سبتمبر لأصول المطعم: معدات 4,000 وأثاث 1,000 وأجهزة 1,000.</t>
        </is>
      </c>
      <c r="D17" s="25" t="inlineStr">
        <is>
          <t>نموذج تسوية محاسبية (25).</t>
        </is>
      </c>
      <c r="E17" s="25" t="inlineStr">
        <is>
          <t>6801 إهلاك الأصول الثابتة: 6,000</t>
        </is>
      </c>
      <c r="F17" s="25" t="inlineStr">
        <is>
          <t>1791 مجمع إهلاك معدات المطابخ: 4,000 + 1792 مجمع إهلاك الأثاث والتجهيزات: 1,000 + 1793 مجمع إهلاك الأجهزة والحاسبات: 1,000</t>
        </is>
      </c>
      <c r="G17" s="25" t="n">
        <v>6000</v>
      </c>
      <c r="H17" s="25" t="inlineStr">
        <is>
          <t>جزء من قيمة الأصول استُهلك هذا الشهر (مصروف مدين) ويتراكم في مجمع الإهلاك (دائن) لتنقص القيمة الدفترية.</t>
        </is>
      </c>
      <c r="I17" s="25" t="inlineStr">
        <is>
          <t>صافي الأصول الثابتة -6,000</t>
        </is>
      </c>
      <c r="J17" s="25" t="inlineStr">
        <is>
          <t>مصروف إهلاك +6,000</t>
        </is>
      </c>
      <c r="K17" s="25" t="inlineStr">
        <is>
          <t>لا أثر</t>
        </is>
      </c>
      <c r="L17" s="25" t="inlineStr">
        <is>
          <t>لا أثر</t>
        </is>
      </c>
      <c r="M17" s="25" t="inlineStr">
        <is>
          <t>Manual_JE: نوع (إهلاك) بأسطر المدين والدائن، ثم الاعتماد والترحيل.</t>
        </is>
      </c>
      <c r="N17" s="25" t="inlineStr">
        <is>
          <t>Balance_Sheet: مجمع الإهلاك يزيد. Income_Statement: بند الإهلاك.</t>
        </is>
      </c>
    </row>
    <row r="18">
      <c r="A18" s="25" t="n">
        <v>13</v>
      </c>
      <c r="B18" s="25" t="inlineStr">
        <is>
          <t>تحويل نقدية بين خزائن</t>
        </is>
      </c>
      <c r="C18" s="25" t="inlineStr">
        <is>
          <t>حُوِّل 5,000 جنيه من خزينة الإدارة إلى خزينة الفرع BR02 كفكّة.</t>
        </is>
      </c>
      <c r="D18" s="25" t="inlineStr">
        <is>
          <t>إذن تحويل بين الخزائن (نموذج 13) بتوقيع الطرفين.</t>
        </is>
      </c>
      <c r="E18" s="25" t="inlineStr">
        <is>
          <t>1102 خزينة الفرع BR02: 5,000</t>
        </is>
      </c>
      <c r="F18" s="25" t="inlineStr">
        <is>
          <t>1104 خزينة الإدارة الرئيسية HQ01: 5,000</t>
        </is>
      </c>
      <c r="G18" s="25" t="n">
        <v>5000</v>
      </c>
      <c r="H18" s="25" t="inlineStr">
        <is>
          <t>النقدية انتقلت من أصل إلى أصل. لا إيراد ولا مصروف.</t>
        </is>
      </c>
      <c r="I18" s="25" t="inlineStr">
        <is>
          <t>لا أثر على الإجمالي (تغيّر توزيع النقدية)</t>
        </is>
      </c>
      <c r="J18" s="25" t="inlineStr">
        <is>
          <t>لا أثر</t>
        </is>
      </c>
      <c r="K18" s="25" t="inlineStr">
        <is>
          <t>خزينة BR02 +5,000 وخزينة HQ -5,000</t>
        </is>
      </c>
      <c r="L18" s="25" t="inlineStr">
        <is>
          <t>لا أثر</t>
        </is>
      </c>
      <c r="M18" s="25" t="inlineStr">
        <is>
          <t>Cash_Vouchers: النوع (تحويل بين خزائن)، من CSH-HQ01 إلى CSH-BR02.</t>
        </is>
      </c>
      <c r="N18" s="25" t="inlineStr">
        <is>
          <t>Cash_Flow: عمود (تحويلات داخلية) = صفر.</t>
        </is>
      </c>
    </row>
    <row r="19">
      <c r="A19" s="25" t="n">
        <v>14</v>
      </c>
      <c r="B19" s="25" t="inlineStr">
        <is>
          <t>تحويل مخزون من المخزن الرئيسي إلى فرع</t>
        </is>
      </c>
      <c r="C19" s="25" t="inlineStr">
        <is>
          <t>صرف المخزن الرئيسي بضاعة بتكلفة 12,000 جنيه إلى الفرع BR02.</t>
        </is>
      </c>
      <c r="D19" s="25" t="inlineStr">
        <is>
          <t>إذن تحويل بين المخازن (نموذج 5) بتوقيع المسلّم والمستلم.</t>
        </is>
      </c>
      <c r="E19" s="25" t="inlineStr">
        <is>
          <t>1404 مخزون الفروع: 12,000</t>
        </is>
      </c>
      <c r="F19" s="25" t="inlineStr">
        <is>
          <t>1401 مخزون المخزن الرئيسي - مواد خام: 12,000</t>
        </is>
      </c>
      <c r="G19" s="25" t="n">
        <v>12000</v>
      </c>
      <c r="H19" s="25" t="inlineStr">
        <is>
          <t>المخزون انتقل من مكان لآخر بتكلفته الدفترية. لا بيع ولا شراء جديد.</t>
        </is>
      </c>
      <c r="I19" s="25" t="inlineStr">
        <is>
          <t>لا أثر على إجمالي المخزون</t>
        </is>
      </c>
      <c r="J19" s="25" t="inlineStr">
        <is>
          <t>لا أثر</t>
        </is>
      </c>
      <c r="K19" s="25" t="inlineStr">
        <is>
          <t>لا أثر</t>
        </is>
      </c>
      <c r="L19" s="25" t="inlineStr">
        <is>
          <t>مخزون الفروع +12,000 والمخزن -12,000</t>
        </is>
      </c>
      <c r="M19" s="25" t="inlineStr">
        <is>
          <t>المرحلة 2: Inventory_Moves (نوع: تحويل). في المرحلة 1 يُسجل بقيد يدوي عند الحاجة.</t>
        </is>
      </c>
      <c r="N19" s="25" t="inlineStr">
        <is>
          <t>إجمالي المخزون ثابت، ولا يظهر أي إيراد.</t>
        </is>
      </c>
    </row>
    <row r="20">
      <c r="A20" s="25" t="n">
        <v>15</v>
      </c>
      <c r="B20" s="25" t="inlineStr">
        <is>
          <t>صرف مواد خام إلى السنتر كيتشن</t>
        </is>
      </c>
      <c r="C20" s="25" t="inlineStr">
        <is>
          <t>صرف المخزن الرئيسي دقيقًا وأجبانًا بتكلفة 20,000 للسنتر كيتشن لخطة الإنتاج.</t>
        </is>
      </c>
      <c r="D20" s="25" t="inlineStr">
        <is>
          <t>طلب صرف إنتاج (نموذج 6) + إذن صرف مخزني (نموذج 4).</t>
        </is>
      </c>
      <c r="E20" s="25" t="inlineStr">
        <is>
          <t>1402 مخزون السنتر كيتشن - مواد خام: 20,000</t>
        </is>
      </c>
      <c r="F20" s="25" t="inlineStr">
        <is>
          <t>1401 مخزون المخزن الرئيسي - مواد خام: 20,000</t>
        </is>
      </c>
      <c r="G20" s="25" t="n">
        <v>20000</v>
      </c>
      <c r="H20" s="25" t="inlineStr">
        <is>
          <t>المواد ما زالت مخزونًا لكن في موقع آخر (المطبخ المركزي). لا تُحتسب تكلفة مبيعات.</t>
        </is>
      </c>
      <c r="I20" s="25" t="inlineStr">
        <is>
          <t>لا أثر على الإجمالي</t>
        </is>
      </c>
      <c r="J20" s="25" t="inlineStr">
        <is>
          <t>لا أثر</t>
        </is>
      </c>
      <c r="K20" s="25" t="inlineStr">
        <is>
          <t>لا أثر</t>
        </is>
      </c>
      <c r="L20" s="25" t="inlineStr">
        <is>
          <t>مخزون السنتر كيتشن +20,000 والمخزن -20,000</t>
        </is>
      </c>
      <c r="M20" s="25" t="inlineStr">
        <is>
          <t>المرحلة 2: Inventory_Moves (نوع: صرف إنتاج).</t>
        </is>
      </c>
      <c r="N20" s="25" t="inlineStr">
        <is>
          <t>مخزون السنتر كيتشن = ما صُرف - ما استُهلك في الإنتاج.</t>
        </is>
      </c>
    </row>
    <row r="21">
      <c r="A21" s="25" t="n">
        <v>16</v>
      </c>
      <c r="B21" s="25" t="inlineStr">
        <is>
          <t>إثبات الإنتاج وتحويله إلى فرع - (أ) استهلاك المواد في الإنتاج</t>
        </is>
      </c>
      <c r="C21" s="25" t="inlineStr">
        <is>
          <t>أنتج السنتر كيتشن عجينة وصلصة بتكلفة مواد 18,000 ثم حوّل المنتج إلى الفرع BR01.</t>
        </is>
      </c>
      <c r="D21" s="25" t="inlineStr">
        <is>
          <t>تقرير إنتاج يومي (7) + إذن تحويل إنتاج إلى فرع (8).</t>
        </is>
      </c>
      <c r="E21" s="25" t="inlineStr">
        <is>
          <t>1406 إنتاج تحت التشغيل (WIP): 18,000</t>
        </is>
      </c>
      <c r="F21" s="25" t="inlineStr">
        <is>
          <t>1402 مخزون السنتر كيتشن - مواد خام: 18,000</t>
        </is>
      </c>
      <c r="G21" s="25" t="n">
        <v>18000</v>
      </c>
      <c r="H21" s="25" t="inlineStr">
        <is>
          <t>تكلفة المواد تنتقل مع المنتج من خام إلى تحت التشغيل إلى تام إلى مخزون فرع، دون إيراد ودون احتساب التكلفة مرتين.</t>
        </is>
      </c>
      <c r="I21" s="25" t="inlineStr">
        <is>
          <t>تتحرك التكلفة بين بنود المخزون</t>
        </is>
      </c>
      <c r="J21" s="25" t="inlineStr">
        <is>
          <t>لا أثر</t>
        </is>
      </c>
      <c r="K21" s="25" t="inlineStr">
        <is>
          <t>لا أثر</t>
        </is>
      </c>
      <c r="L21" s="25" t="inlineStr">
        <is>
          <t>خام -18,000 ثم مخزون الفرع +18,000</t>
        </is>
      </c>
      <c r="M21" s="25" t="inlineStr">
        <is>
          <t>المرحلة 2: Production + Inventory_Moves. تكلفة الوحدة المحولة = تكلفة الدفعة ÷ الناتج الصالح.</t>
        </is>
      </c>
      <c r="N21" s="25" t="inlineStr">
        <is>
          <t>لا يوجد حساب إيراد في أي سطر. إجمالي المخزون ثابت.</t>
        </is>
      </c>
    </row>
    <row r="22">
      <c r="A22" s="25" t="n">
        <v>16</v>
      </c>
      <c r="B22" s="25" t="inlineStr">
        <is>
          <t>إثبات الإنتاج وتحويله إلى فرع - (ب) إتمام الإنتاج</t>
        </is>
      </c>
      <c r="C22" s="25" t="inlineStr">
        <is>
          <t>أنتج السنتر كيتشن عجينة وصلصة بتكلفة مواد 18,000 ثم حوّل المنتج إلى الفرع BR01.</t>
        </is>
      </c>
      <c r="D22" s="25" t="inlineStr">
        <is>
          <t>تقرير إنتاج يومي (7) + إذن تحويل إنتاج إلى فرع (8).</t>
        </is>
      </c>
      <c r="E22" s="25" t="inlineStr">
        <is>
          <t>1403 مخزون منتجات نصف مصنعة وتامة: 18,000</t>
        </is>
      </c>
      <c r="F22" s="25" t="inlineStr">
        <is>
          <t>1406 إنتاج تحت التشغيل (WIP): 18,000</t>
        </is>
      </c>
      <c r="G22" s="25" t="n">
        <v>18000</v>
      </c>
      <c r="H22" s="25" t="inlineStr">
        <is>
          <t>تكلفة المواد تنتقل مع المنتج من خام إلى تحت التشغيل إلى تام إلى مخزون فرع، دون إيراد ودون احتساب التكلفة مرتين.</t>
        </is>
      </c>
      <c r="I22" s="25" t="inlineStr">
        <is>
          <t>تتحرك التكلفة بين بنود المخزون</t>
        </is>
      </c>
      <c r="J22" s="25" t="inlineStr">
        <is>
          <t>لا أثر</t>
        </is>
      </c>
      <c r="K22" s="25" t="inlineStr">
        <is>
          <t>لا أثر</t>
        </is>
      </c>
      <c r="L22" s="25" t="inlineStr">
        <is>
          <t>خام -18,000 ثم مخزون الفرع +18,000</t>
        </is>
      </c>
      <c r="M22" s="25" t="inlineStr">
        <is>
          <t>المرحلة 2: Production + Inventory_Moves. تكلفة الوحدة المحولة = تكلفة الدفعة ÷ الناتج الصالح.</t>
        </is>
      </c>
      <c r="N22" s="25" t="inlineStr">
        <is>
          <t>لا يوجد حساب إيراد في أي سطر. إجمالي المخزون ثابت.</t>
        </is>
      </c>
    </row>
    <row r="23">
      <c r="A23" s="25" t="n">
        <v>16</v>
      </c>
      <c r="B23" s="25" t="inlineStr">
        <is>
          <t>إثبات الإنتاج وتحويله إلى فرع - (ج) تحويل المنتج للفرع بتكلفته</t>
        </is>
      </c>
      <c r="C23" s="25" t="inlineStr">
        <is>
          <t>أنتج السنتر كيتشن عجينة وصلصة بتكلفة مواد 18,000 ثم حوّل المنتج إلى الفرع BR01.</t>
        </is>
      </c>
      <c r="D23" s="25" t="inlineStr">
        <is>
          <t>تقرير إنتاج يومي (7) + إذن تحويل إنتاج إلى فرع (8).</t>
        </is>
      </c>
      <c r="E23" s="25" t="inlineStr">
        <is>
          <t>1404 مخزون الفروع: 18,000</t>
        </is>
      </c>
      <c r="F23" s="25" t="inlineStr">
        <is>
          <t>1403 مخزون منتجات نصف مصنعة وتامة: 18,000</t>
        </is>
      </c>
      <c r="G23" s="25" t="n">
        <v>18000</v>
      </c>
      <c r="H23" s="25" t="inlineStr">
        <is>
          <t>تكلفة المواد تنتقل مع المنتج من خام إلى تحت التشغيل إلى تام إلى مخزون فرع، دون إيراد ودون احتساب التكلفة مرتين.</t>
        </is>
      </c>
      <c r="I23" s="25" t="inlineStr">
        <is>
          <t>تتحرك التكلفة بين بنود المخزون</t>
        </is>
      </c>
      <c r="J23" s="25" t="inlineStr">
        <is>
          <t>لا أثر</t>
        </is>
      </c>
      <c r="K23" s="25" t="inlineStr">
        <is>
          <t>لا أثر</t>
        </is>
      </c>
      <c r="L23" s="25" t="inlineStr">
        <is>
          <t>خام -18,000 ثم مخزون الفرع +18,000</t>
        </is>
      </c>
      <c r="M23" s="25" t="inlineStr">
        <is>
          <t>المرحلة 2: Production + Inventory_Moves. تكلفة الوحدة المحولة = تكلفة الدفعة ÷ الناتج الصالح.</t>
        </is>
      </c>
      <c r="N23" s="25" t="inlineStr">
        <is>
          <t>لا يوجد حساب إيراد في أي سطر. إجمالي المخزون ثابت.</t>
        </is>
      </c>
    </row>
    <row r="24">
      <c r="A24" s="25" t="n">
        <v>17</v>
      </c>
      <c r="B24" s="25" t="inlineStr">
        <is>
          <t>إثبات تكلفة المبيعات (النسخة الأولى: التسجيل الدوري المُعدّل)</t>
        </is>
      </c>
      <c r="C24" s="25" t="inlineStr">
        <is>
          <t>في نهاية الشهر: مخزون أول المدة 80,000 + مشتريات 42,500 - جرد آخر المدة الفعلي 64,500 = تكلفة مواد مستهلكة 58,000.</t>
        </is>
      </c>
      <c r="D24" s="25" t="inlineStr">
        <is>
          <t>محضر جرد (10) + نموذج تسوية محاسبية (25).</t>
        </is>
      </c>
      <c r="E24" s="25" t="inlineStr">
        <is>
          <t>5101 تكلفة المواد المباشرة المستهلكة: 58,000</t>
        </is>
      </c>
      <c r="F24" s="25" t="inlineStr">
        <is>
          <t>1401 مخزون المخزن الرئيسي - مواد خام: 58,000</t>
        </is>
      </c>
      <c r="G24" s="25" t="n">
        <v>58000</v>
      </c>
      <c r="H24" s="25" t="inlineStr">
        <is>
          <t>المشتريات سُجلت في المخزون طوال الشهر. نُخرج منه قيمة المستهلك فقط ليبقى المخزون = الجرد الفعلي.</t>
        </is>
      </c>
      <c r="I24" s="25" t="inlineStr">
        <is>
          <t>مخزون -58,000</t>
        </is>
      </c>
      <c r="J24" s="25" t="inlineStr">
        <is>
          <t>تكلفة مبيعات +58,000</t>
        </is>
      </c>
      <c r="K24" s="25" t="inlineStr">
        <is>
          <t>لا أثر</t>
        </is>
      </c>
      <c r="L24" s="25" t="inlineStr">
        <is>
          <t>رصيد المخزن = الجرد الفعلي</t>
        </is>
      </c>
      <c r="M24" s="25" t="inlineStr">
        <is>
          <t>Manual_JE: نوع (تسوية تكلفة المبيعات). مهم: لا تسجل هذا القيد إذا فعّلت التكلفة المستمرة (المرحلة 2) حتى لا تتكرر التكلفة. اختر طريقة واحدة من Settings.</t>
        </is>
      </c>
      <c r="N24" s="25" t="inlineStr">
        <is>
          <t>Close_Checklist: بند (قيد تسوية التكلفة موجود). نسبة تكلفة المبيعات في قائمة الدخل.</t>
        </is>
      </c>
    </row>
    <row r="25">
      <c r="A25" s="25" t="n">
        <v>18</v>
      </c>
      <c r="B25" s="25" t="inlineStr">
        <is>
          <t>إثبات الهالك الطبيعي وغير الطبيعي - (أ) هالك طبيعي معتمد</t>
        </is>
      </c>
      <c r="C25" s="25" t="inlineStr">
        <is>
          <t>هالك تحضير طبيعي معتمد 800 جنيه، وتلف 1,500 جنيه بسبب عطل ثلاجة بعد التحقيق.</t>
        </is>
      </c>
      <c r="D25" s="25" t="inlineStr">
        <is>
          <t>تقرير هالك وتالف (نموذج 9) + محضر تحقيق للهالك غير الطبيعي.</t>
        </is>
      </c>
      <c r="E25" s="25" t="inlineStr">
        <is>
          <t>5201 هالك طبيعي معتمد: 800</t>
        </is>
      </c>
      <c r="F25" s="25" t="inlineStr">
        <is>
          <t>1402 مخزون السنتر كيتشن - مواد خام: 800</t>
        </is>
      </c>
      <c r="G25" s="25" t="n">
        <v>800</v>
      </c>
      <c r="H25" s="25" t="inlineStr">
        <is>
          <t>التالف مادة خرجت من المخزون بدون بيع، فتُحمَّل على الهالك. الفصل بين الطبيعي وغير الطبيعي يكشف الإهمال أو السرقة.</t>
        </is>
      </c>
      <c r="I25" s="25" t="inlineStr">
        <is>
          <t>مخزون -2,300</t>
        </is>
      </c>
      <c r="J25" s="25" t="inlineStr">
        <is>
          <t>هالك +2,300 (800 طبيعي + 1,500 غير طبيعي)</t>
        </is>
      </c>
      <c r="K25" s="25" t="inlineStr">
        <is>
          <t>لا أثر</t>
        </is>
      </c>
      <c r="L25" s="25" t="inlineStr">
        <is>
          <t>مخزون السنتر كيتشن -2,300</t>
        </is>
      </c>
      <c r="M25" s="25" t="inlineStr">
        <is>
          <t>المرحلة 2: Inventory_Moves (نوع: هالك). مؤقتًا: Manual_JE بتوقيع مدير الإنتاج والمدير المالي.</t>
        </is>
      </c>
      <c r="N25" s="25" t="inlineStr">
        <is>
          <t>تقرير الهالك: نسبة غير الطبيعي من الإجمالي.</t>
        </is>
      </c>
    </row>
    <row r="26">
      <c r="A26" s="25" t="n">
        <v>18</v>
      </c>
      <c r="B26" s="25" t="inlineStr">
        <is>
          <t>إثبات الهالك الطبيعي وغير الطبيعي - (ب) هالك غير طبيعي</t>
        </is>
      </c>
      <c r="C26" s="25" t="inlineStr">
        <is>
          <t>هالك تحضير طبيعي معتمد 800 جنيه، وتلف 1,500 جنيه بسبب عطل ثلاجة بعد التحقيق.</t>
        </is>
      </c>
      <c r="D26" s="25" t="inlineStr">
        <is>
          <t>تقرير هالك وتالف (نموذج 9) + محضر تحقيق للهالك غير الطبيعي.</t>
        </is>
      </c>
      <c r="E26" s="25" t="inlineStr">
        <is>
          <t>5202 هالك غير طبيعي: 1,500</t>
        </is>
      </c>
      <c r="F26" s="25" t="inlineStr">
        <is>
          <t>1402 مخزون السنتر كيتشن - مواد خام: 1,500</t>
        </is>
      </c>
      <c r="G26" s="25" t="n">
        <v>1500</v>
      </c>
      <c r="H26" s="25" t="inlineStr">
        <is>
          <t>التالف مادة خرجت من المخزون بدون بيع، فتُحمَّل على الهالك. الفصل بين الطبيعي وغير الطبيعي يكشف الإهمال أو السرقة.</t>
        </is>
      </c>
      <c r="I26" s="25" t="inlineStr">
        <is>
          <t>مخزون -2,300</t>
        </is>
      </c>
      <c r="J26" s="25" t="inlineStr">
        <is>
          <t>هالك +2,300 (800 طبيعي + 1,500 غير طبيعي)</t>
        </is>
      </c>
      <c r="K26" s="25" t="inlineStr">
        <is>
          <t>لا أثر</t>
        </is>
      </c>
      <c r="L26" s="25" t="inlineStr">
        <is>
          <t>مخزون السنتر كيتشن -2,300</t>
        </is>
      </c>
      <c r="M26" s="25" t="inlineStr">
        <is>
          <t>المرحلة 2: Inventory_Moves (نوع: هالك). مؤقتًا: Manual_JE بتوقيع مدير الإنتاج والمدير المالي.</t>
        </is>
      </c>
      <c r="N26" s="25" t="inlineStr">
        <is>
          <t>تقرير الهالك: نسبة غير الطبيعي من الإجمالي.</t>
        </is>
      </c>
    </row>
    <row r="27">
      <c r="A27" s="25" t="n">
        <v>19</v>
      </c>
      <c r="B27" s="25" t="inlineStr">
        <is>
          <t>إثبات فرق جرد - (أ) عجز جرد</t>
        </is>
      </c>
      <c r="C27" s="25" t="inlineStr">
        <is>
          <t>الجرد الفعلي أقل من الدفتري بـ 1,200 جنيه في المخزن الرئيسي، وفي موقع آخر زيادة 400 جنيه.</t>
        </is>
      </c>
      <c r="D27" s="25" t="inlineStr">
        <is>
          <t>محضر جرد (10) + محضر فروق جرد (23) معتمد.</t>
        </is>
      </c>
      <c r="E27" s="25" t="inlineStr">
        <is>
          <t>5401 فروق جرد المخزون (عجز/زيادة): 1,200</t>
        </is>
      </c>
      <c r="F27" s="25" t="inlineStr">
        <is>
          <t>1401 مخزون المخزن الرئيسي - مواد خام: 1,200</t>
        </is>
      </c>
      <c r="G27" s="25" t="n">
        <v>1200</v>
      </c>
      <c r="H27" s="25" t="inlineStr">
        <is>
          <t>العجز خسارة (مدين مصروف) والمخزون ينقص. الزيادة تعوض (دائن) والمخزون يزيد. لا يعدل الرصيد يدويًا بدون مستند تسوية.</t>
        </is>
      </c>
      <c r="I27" s="25" t="inlineStr">
        <is>
          <t>مخزون -1,200 أو +400</t>
        </is>
      </c>
      <c r="J27" s="25" t="inlineStr">
        <is>
          <t>فروق جرد +1,200 أو -400</t>
        </is>
      </c>
      <c r="K27" s="25" t="inlineStr">
        <is>
          <t>لا أثر</t>
        </is>
      </c>
      <c r="L27" s="25" t="inlineStr">
        <is>
          <t>الرصيد الدفتري = الفعلي بعد التسوية</t>
        </is>
      </c>
      <c r="M27" s="25" t="inlineStr">
        <is>
          <t>المرحلة 2: Stock_Count ثم Inventory_Moves (نوع تسوية). مؤقتًا: Manual_JE (نوع تسوية).</t>
        </is>
      </c>
      <c r="N27" s="25" t="inlineStr">
        <is>
          <t>تقرير فروق الجرد حسب الصنف والموقع.</t>
        </is>
      </c>
    </row>
    <row r="28">
      <c r="A28" s="25" t="n">
        <v>19</v>
      </c>
      <c r="B28" s="25" t="inlineStr">
        <is>
          <t>إثبات فرق جرد - (ب) زيادة جرد</t>
        </is>
      </c>
      <c r="C28" s="25" t="inlineStr">
        <is>
          <t>الجرد الفعلي أقل من الدفتري بـ 1,200 جنيه في المخزن الرئيسي، وفي موقع آخر زيادة 400 جنيه.</t>
        </is>
      </c>
      <c r="D28" s="25" t="inlineStr">
        <is>
          <t>محضر جرد (10) + محضر فروق جرد (23) معتمد.</t>
        </is>
      </c>
      <c r="E28" s="25" t="inlineStr">
        <is>
          <t>1401 مخزون المخزن الرئيسي - مواد خام: 400</t>
        </is>
      </c>
      <c r="F28" s="25" t="inlineStr">
        <is>
          <t>5401 فروق جرد المخزون (عجز/زيادة): 400</t>
        </is>
      </c>
      <c r="G28" s="25" t="n">
        <v>400</v>
      </c>
      <c r="H28" s="25" t="inlineStr">
        <is>
          <t>العجز خسارة (مدين مصروف) والمخزون ينقص. الزيادة تعوض (دائن) والمخزون يزيد. لا يعدل الرصيد يدويًا بدون مستند تسوية.</t>
        </is>
      </c>
      <c r="I28" s="25" t="inlineStr">
        <is>
          <t>مخزون -1,200 أو +400</t>
        </is>
      </c>
      <c r="J28" s="25" t="inlineStr">
        <is>
          <t>فروق جرد +1,200 أو -400</t>
        </is>
      </c>
      <c r="K28" s="25" t="inlineStr">
        <is>
          <t>لا أثر</t>
        </is>
      </c>
      <c r="L28" s="25" t="inlineStr">
        <is>
          <t>الرصيد الدفتري = الفعلي بعد التسوية</t>
        </is>
      </c>
      <c r="M28" s="25" t="inlineStr">
        <is>
          <t>المرحلة 2: Stock_Count ثم Inventory_Moves (نوع تسوية). مؤقتًا: Manual_JE (نوع تسوية).</t>
        </is>
      </c>
      <c r="N28" s="25" t="inlineStr">
        <is>
          <t>تقرير فروق الجرد حسب الصنف والموقع.</t>
        </is>
      </c>
    </row>
    <row r="29">
      <c r="A29" s="25" t="n">
        <v>20</v>
      </c>
      <c r="B29" s="25" t="inlineStr">
        <is>
          <t>مرتجع مشتريات</t>
        </is>
      </c>
      <c r="C29" s="25" t="inlineStr">
        <is>
          <t>أُعيدت بضاعة تالفة بقيمة 2,000 جنيه للمورد SUP001 وأصدر المورد إشعار خصم.</t>
        </is>
      </c>
      <c r="D29" s="25" t="inlineStr">
        <is>
          <t>مرتجع مشتريات (28) + إشعار خصم المورد.</t>
        </is>
      </c>
      <c r="E29" s="25" t="inlineStr">
        <is>
          <t>2101 موردون (ذمم دائنة): 2,000</t>
        </is>
      </c>
      <c r="F29" s="25" t="inlineStr">
        <is>
          <t>1401 مخزون المخزن الرئيسي - مواد خام: 2,000</t>
        </is>
      </c>
      <c r="G29" s="25" t="n">
        <v>2000</v>
      </c>
      <c r="H29" s="25" t="inlineStr">
        <is>
          <t>التزامنا للمورد نقص (مدين) والمخزون نقص (دائن).</t>
        </is>
      </c>
      <c r="I29" s="25" t="inlineStr">
        <is>
          <t>موردون -2,000 ومخزون -2,000</t>
        </is>
      </c>
      <c r="J29" s="25" t="inlineStr">
        <is>
          <t>لا أثر</t>
        </is>
      </c>
      <c r="K29" s="25" t="inlineStr">
        <is>
          <t>لا أثر</t>
        </is>
      </c>
      <c r="L29" s="25" t="inlineStr">
        <is>
          <t>مخزون -2,000</t>
        </is>
      </c>
      <c r="M29" s="25" t="inlineStr">
        <is>
          <t>Supplier_Invoices: النوع (إشعار خصم - مرتجع)، المورد، الحساب 1401، الصافي 2,000.</t>
        </is>
      </c>
      <c r="N29" s="25" t="inlineStr">
        <is>
          <t>Supplier_Balances: نقص رصيد المورد.</t>
        </is>
      </c>
    </row>
    <row r="30">
      <c r="A30" s="25" t="n">
        <v>21</v>
      </c>
      <c r="B30" s="25" t="inlineStr">
        <is>
          <t>مرتجع مبيعات</t>
        </is>
      </c>
      <c r="C30" s="25" t="inlineStr">
        <is>
          <t>أرجع عميل طلبًا قيمته 350 جنيه ورُدّ له المبلغ نقدًا في نفس اليوم.</t>
        </is>
      </c>
      <c r="D30" s="25" t="inlineStr">
        <is>
          <t>نموذج مرتجع أو إلغاء بيع (29) بتوقيع مدير الفرع.</t>
        </is>
      </c>
      <c r="E30" s="25" t="inlineStr">
        <is>
          <t>4902 مرتجعات وإلغاءات المبيعات: 350</t>
        </is>
      </c>
      <c r="F30" s="25" t="inlineStr">
        <is>
          <t>1101 خزينة الفرع BR01: 350</t>
        </is>
      </c>
      <c r="G30" s="25" t="n">
        <v>350</v>
      </c>
      <c r="H30" s="25" t="inlineStr">
        <is>
          <t>المرتجع حساب مقابل للإيراد (مدين) يظهر منفصلًا عن المبيعات. النقدية نقصت (دائن).</t>
        </is>
      </c>
      <c r="I30" s="25" t="inlineStr">
        <is>
          <t>نقدية -350</t>
        </is>
      </c>
      <c r="J30" s="25" t="inlineStr">
        <is>
          <t>مرتجعات +350 (تخفض صافي المبيعات)</t>
        </is>
      </c>
      <c r="K30" s="25" t="inlineStr">
        <is>
          <t>خزينة الفرع -350</t>
        </is>
      </c>
      <c r="L30" s="25" t="inlineStr">
        <is>
          <t>إن أُعيد للمخزون يُسجل بحركة مخزون</t>
        </is>
      </c>
      <c r="M30" s="25" t="inlineStr">
        <is>
          <t>Sales_Daily: خانة (المرتجعات والإلغاء) ضمن صف اليوم، والتحصيل النقدي يُسجل بالصافي.</t>
        </is>
      </c>
      <c r="N30" s="25" t="inlineStr">
        <is>
          <t>Income_Statement: بند المرتجعات. عدم تجاوز المرتجعات للنسبة المعتادة.</t>
        </is>
      </c>
    </row>
    <row r="31">
      <c r="A31" s="25" t="n">
        <v>22</v>
      </c>
      <c r="B31" s="25" t="inlineStr">
        <is>
          <t>خصم ممنوح للعميل</t>
        </is>
      </c>
      <c r="C31" s="25" t="inlineStr">
        <is>
          <t>منح الفرع خصم عرض 400 جنيه على طلبات اليوم.</t>
        </is>
      </c>
      <c r="D31" s="25" t="inlineStr">
        <is>
          <t>تقرير المبيعات اليومي مع توقيع مدير الفرع على الخصم.</t>
        </is>
      </c>
      <c r="E31" s="25" t="inlineStr">
        <is>
          <t>4901 خصومات المبيعات والعروض: 400 + 1101 خزينة الفرع BR01: 3,600</t>
        </is>
      </c>
      <c r="F31" s="25" t="inlineStr">
        <is>
          <t>4102 مبيعات البيتزا: 4,000</t>
        </is>
      </c>
      <c r="G31" s="25" t="n">
        <v>4000</v>
      </c>
      <c r="H31" s="25" t="inlineStr">
        <is>
          <t>الخصم يخفض المبلغ المحصل (مدين خصم) لكن المبيعات الإجمالية تبقى كاملة لتحليل العروض.</t>
        </is>
      </c>
      <c r="I31" s="25" t="inlineStr">
        <is>
          <t>نقدية +3,600</t>
        </is>
      </c>
      <c r="J31" s="25" t="inlineStr">
        <is>
          <t>مبيعات 4,000 وخصومات -400</t>
        </is>
      </c>
      <c r="K31" s="25" t="inlineStr">
        <is>
          <t>خزينة +3,600</t>
        </is>
      </c>
      <c r="L31" s="25" t="inlineStr">
        <is>
          <t>لا أثر</t>
        </is>
      </c>
      <c r="M31" s="25" t="inlineStr">
        <is>
          <t>Sales_Daily: خانة الخصومات والعروض (وليس تخفيض المبيعات). لا تخلطه بعمولة المنصة.</t>
        </is>
      </c>
      <c r="N31" s="25" t="inlineStr">
        <is>
          <t>Sales_Daily: صافي = إجمالي - خصومات - مرتجعات.</t>
        </is>
      </c>
    </row>
    <row r="32">
      <c r="A32" s="25" t="n">
        <v>23</v>
      </c>
      <c r="B32" s="25" t="inlineStr">
        <is>
          <t>مصروف مستحق لم يدفع بعد - (أ) الإثبات</t>
        </is>
      </c>
      <c r="C32" s="25" t="inlineStr">
        <is>
          <t>فاتورة كهرباء الفرع BR01 لشهر سبتمبر 2,400 جنيه وصلت وستُدفع في أكتوبر.</t>
        </is>
      </c>
      <c r="D32" s="25" t="inlineStr">
        <is>
          <t>نموذج المصروفات (17) + فاتورة الكهرباء.</t>
        </is>
      </c>
      <c r="E32" s="25" t="inlineStr">
        <is>
          <t>6301 كهرباء: 2,400</t>
        </is>
      </c>
      <c r="F32" s="25" t="inlineStr">
        <is>
          <t>2201 مصروفات مستحقة: 2,400</t>
        </is>
      </c>
      <c r="G32" s="25" t="n">
        <v>2400</v>
      </c>
      <c r="H32" s="25" t="inlineStr">
        <is>
          <t>المصروف يخص سبتمبر (مدين) والتزام قائم (دائن) حتى السداد. عند الدفع يُقفل الالتزام فقط.</t>
        </is>
      </c>
      <c r="I32" s="25" t="inlineStr">
        <is>
          <t>(أ) مصروفات مستحقة +2,400 | (ب) -2,400 وبنك -2,400</t>
        </is>
      </c>
      <c r="J32" s="25" t="inlineStr">
        <is>
          <t>(أ) كهرباء +2,400 في سبتمبر</t>
        </is>
      </c>
      <c r="K32" s="25" t="inlineStr">
        <is>
          <t>(ب) البنك -2,400 في أكتوبر</t>
        </is>
      </c>
      <c r="L32" s="25" t="inlineStr">
        <is>
          <t>لا أثر</t>
        </is>
      </c>
      <c r="M32" s="25" t="inlineStr">
        <is>
          <t>(أ) Expenses: النمط (آجل). (ب) Cash_Vouchers: صرف، الحساب المقابل 2201، المستند المرتبط = رقم المصروف.</t>
        </is>
      </c>
      <c r="N32" s="25" t="inlineStr">
        <is>
          <t>Expenses: حالة السداد (مدفوع بالكامل) وتاريخ آخر دفعة.</t>
        </is>
      </c>
    </row>
    <row r="33">
      <c r="A33" s="25" t="n">
        <v>23</v>
      </c>
      <c r="B33" s="25" t="inlineStr">
        <is>
          <t>مصروف مستحق لم يدفع بعد - (ب) السداد لاحقًا</t>
        </is>
      </c>
      <c r="C33" s="25" t="inlineStr">
        <is>
          <t>فاتورة كهرباء الفرع BR01 لشهر سبتمبر 2,400 جنيه وصلت وستُدفع في أكتوبر.</t>
        </is>
      </c>
      <c r="D33" s="25" t="inlineStr">
        <is>
          <t>نموذج المصروفات (17) + فاتورة الكهرباء.</t>
        </is>
      </c>
      <c r="E33" s="25" t="inlineStr">
        <is>
          <t>2201 مصروفات مستحقة: 2,400</t>
        </is>
      </c>
      <c r="F33" s="25" t="inlineStr">
        <is>
          <t>1201 البنك الأول - حساب جاري (تجريبي): 2,400</t>
        </is>
      </c>
      <c r="G33" s="25" t="n">
        <v>2400</v>
      </c>
      <c r="H33" s="25" t="inlineStr">
        <is>
          <t>المصروف يخص سبتمبر (مدين) والتزام قائم (دائن) حتى السداد. عند الدفع يُقفل الالتزام فقط.</t>
        </is>
      </c>
      <c r="I33" s="25" t="inlineStr">
        <is>
          <t>(أ) مصروفات مستحقة +2,400 | (ب) -2,400 وبنك -2,400</t>
        </is>
      </c>
      <c r="J33" s="25" t="inlineStr">
        <is>
          <t>(أ) كهرباء +2,400 في سبتمبر</t>
        </is>
      </c>
      <c r="K33" s="25" t="inlineStr">
        <is>
          <t>(ب) البنك -2,400 في أكتوبر</t>
        </is>
      </c>
      <c r="L33" s="25" t="inlineStr">
        <is>
          <t>لا أثر</t>
        </is>
      </c>
      <c r="M33" s="25" t="inlineStr">
        <is>
          <t>(أ) Expenses: النمط (آجل). (ب) Cash_Vouchers: صرف، الحساب المقابل 2201، المستند المرتبط = رقم المصروف.</t>
        </is>
      </c>
      <c r="N33" s="25" t="inlineStr">
        <is>
          <t>Expenses: حالة السداد (مدفوع بالكامل) وتاريخ آخر دفعة.</t>
        </is>
      </c>
    </row>
    <row r="34">
      <c r="A34" s="25" t="n">
        <v>24</v>
      </c>
      <c r="B34" s="25" t="inlineStr">
        <is>
          <t>مصروف مدفوع مقدمًا - (أ) الدفع</t>
        </is>
      </c>
      <c r="C34" s="25" t="inlineStr">
        <is>
          <t>دفع المطعم تأمين سنوي 12,000 جنيه في سبتمبر يغطي 12 شهرًا.</t>
        </is>
      </c>
      <c r="D34" s="25" t="inlineStr">
        <is>
          <t>نموذج المصروفات (17) + وثيقة التأمين.</t>
        </is>
      </c>
      <c r="E34" s="25" t="inlineStr">
        <is>
          <t>1602 تأمينات وتراخيص مدفوعة مقدمًا: 12,000</t>
        </is>
      </c>
      <c r="F34" s="25" t="inlineStr">
        <is>
          <t>1201 البنك الأول - حساب جاري (تجريبي): 12,000</t>
        </is>
      </c>
      <c r="G34" s="25" t="n">
        <v>12000</v>
      </c>
      <c r="H34" s="25" t="inlineStr">
        <is>
          <t>المبلغ يخدم 12 شهرًا فهو أصل (مصروف مقدم) يتحول مصروفًا بالتدريج.</t>
        </is>
      </c>
      <c r="I34" s="25" t="inlineStr">
        <is>
          <t>(أ) مصروفات مقدمة +12,000 وبنك -12,000</t>
        </is>
      </c>
      <c r="J34" s="25" t="inlineStr">
        <is>
          <t>(ب) مصروف 1,000 شهريًا</t>
        </is>
      </c>
      <c r="K34" s="25" t="inlineStr">
        <is>
          <t>(أ) البنك -12,000</t>
        </is>
      </c>
      <c r="L34" s="25" t="inlineStr">
        <is>
          <t>لا أثر</t>
        </is>
      </c>
      <c r="M34" s="25" t="inlineStr">
        <is>
          <t>(أ) Expenses بحساب 1602. (ب) Manual_JE شهري (استحقاق/مقدم).</t>
        </is>
      </c>
      <c r="N34" s="25" t="inlineStr">
        <is>
          <t>رصيد 1602 ينقص 1,000 كل شهر. بند الإقفال (مراجعة المصروفات المقدمة).</t>
        </is>
      </c>
    </row>
    <row r="35">
      <c r="A35" s="25" t="n">
        <v>24</v>
      </c>
      <c r="B35" s="25" t="inlineStr">
        <is>
          <t>مصروف مدفوع مقدمًا - (ب) إطفاء شهري</t>
        </is>
      </c>
      <c r="C35" s="25" t="inlineStr">
        <is>
          <t>دفع المطعم تأمين سنوي 12,000 جنيه في سبتمبر يغطي 12 شهرًا.</t>
        </is>
      </c>
      <c r="D35" s="25" t="inlineStr">
        <is>
          <t>نموذج المصروفات (17) + وثيقة التأمين.</t>
        </is>
      </c>
      <c r="E35" s="25" t="inlineStr">
        <is>
          <t>6902 رسوم حكومية وتراخيص وتأمينات: 1,000</t>
        </is>
      </c>
      <c r="F35" s="25" t="inlineStr">
        <is>
          <t>1602 تأمينات وتراخيص مدفوعة مقدمًا: 1,000</t>
        </is>
      </c>
      <c r="G35" s="25" t="n">
        <v>1000</v>
      </c>
      <c r="H35" s="25" t="inlineStr">
        <is>
          <t>المبلغ يخدم 12 شهرًا فهو أصل (مصروف مقدم) يتحول مصروفًا بالتدريج.</t>
        </is>
      </c>
      <c r="I35" s="25" t="inlineStr">
        <is>
          <t>(أ) مصروفات مقدمة +12,000 وبنك -12,000</t>
        </is>
      </c>
      <c r="J35" s="25" t="inlineStr">
        <is>
          <t>(ب) مصروف 1,000 شهريًا</t>
        </is>
      </c>
      <c r="K35" s="25" t="inlineStr">
        <is>
          <t>(أ) البنك -12,000</t>
        </is>
      </c>
      <c r="L35" s="25" t="inlineStr">
        <is>
          <t>لا أثر</t>
        </is>
      </c>
      <c r="M35" s="25" t="inlineStr">
        <is>
          <t>(أ) Expenses بحساب 1602. (ب) Manual_JE شهري (استحقاق/مقدم).</t>
        </is>
      </c>
      <c r="N35" s="25" t="inlineStr">
        <is>
          <t>رصيد 1602 ينقص 1,000 كل شهر. بند الإقفال (مراجعة المصروفات المقدمة).</t>
        </is>
      </c>
    </row>
    <row r="36">
      <c r="A36" s="25" t="n">
        <v>25</v>
      </c>
      <c r="B36" s="25" t="inlineStr">
        <is>
          <t>عجز أو زيادة خزينة - (أ) عجز 150</t>
        </is>
      </c>
      <c r="C36" s="25" t="inlineStr">
        <is>
          <t>عدّ أمين صندوق الفرع BR02 نهاية اليوم فوجد 150 جنيهًا أقل من الدفتر.</t>
        </is>
      </c>
      <c r="D36" s="25" t="inlineStr">
        <is>
          <t>نموذج تسوية عجز أو زيادة خزينة (30) + كشف إقفال خزينة (14).</t>
        </is>
      </c>
      <c r="E36" s="25" t="inlineStr">
        <is>
          <t>6910 عجز خزينة: 150</t>
        </is>
      </c>
      <c r="F36" s="25" t="inlineStr">
        <is>
          <t>1102 خزينة الفرع BR02: 150</t>
        </is>
      </c>
      <c r="G36" s="25" t="n">
        <v>150</v>
      </c>
      <c r="H36" s="25" t="inlineStr">
        <is>
          <t>الفرق خسارة (مصروف عجز) أو مكسب عرضي (إيراد زيادة) ويُوثَّق بمسؤول وسبب، ولا يُدفن في المبيعات.</t>
        </is>
      </c>
      <c r="I36" s="25" t="inlineStr">
        <is>
          <t>نقدية -150</t>
        </is>
      </c>
      <c r="J36" s="25" t="inlineStr">
        <is>
          <t>عجز خزينة +150</t>
        </is>
      </c>
      <c r="K36" s="25" t="inlineStr">
        <is>
          <t>خزينة BR02 -150</t>
        </is>
      </c>
      <c r="L36" s="25" t="inlineStr">
        <is>
          <t>لا أثر</t>
        </is>
      </c>
      <c r="M36" s="25" t="inlineStr">
        <is>
          <t>Cash_Close: المبلغ المعدود وسبب الفرق والمسؤول، ثم Cash_Vouchers: النوع (عجز خزينة) وربطه برقم المستند في Cash_Close.</t>
        </is>
      </c>
      <c r="N36" s="25" t="inlineStr">
        <is>
          <t>Cash_Close: الفرق المتبقي بعد التسوية = صفر.</t>
        </is>
      </c>
    </row>
    <row r="37">
      <c r="A37" s="25" t="n">
        <v>25</v>
      </c>
      <c r="B37" s="25" t="inlineStr">
        <is>
          <t>عجز أو زيادة خزينة - (ب) زيادة 80 (حالة أخرى)</t>
        </is>
      </c>
      <c r="C37" s="25" t="inlineStr">
        <is>
          <t>عدّ أمين صندوق الفرع BR02 نهاية اليوم فوجد 150 جنيهًا أقل من الدفتر.</t>
        </is>
      </c>
      <c r="D37" s="25" t="inlineStr">
        <is>
          <t>نموذج تسوية عجز أو زيادة خزينة (30) + كشف إقفال خزينة (14).</t>
        </is>
      </c>
      <c r="E37" s="25" t="inlineStr">
        <is>
          <t>1102 خزينة الفرع BR02: 80</t>
        </is>
      </c>
      <c r="F37" s="25" t="inlineStr">
        <is>
          <t>4210 زيادة خزينة: 80</t>
        </is>
      </c>
      <c r="G37" s="25" t="n">
        <v>80</v>
      </c>
      <c r="H37" s="25" t="inlineStr">
        <is>
          <t>الفرق خسارة (مصروف عجز) أو مكسب عرضي (إيراد زيادة) ويُوثَّق بمسؤول وسبب، ولا يُدفن في المبيعات.</t>
        </is>
      </c>
      <c r="I37" s="25" t="inlineStr">
        <is>
          <t>نقدية -150</t>
        </is>
      </c>
      <c r="J37" s="25" t="inlineStr">
        <is>
          <t>عجز خزينة +150</t>
        </is>
      </c>
      <c r="K37" s="25" t="inlineStr">
        <is>
          <t>خزينة BR02 -150</t>
        </is>
      </c>
      <c r="L37" s="25" t="inlineStr">
        <is>
          <t>لا أثر</t>
        </is>
      </c>
      <c r="M37" s="25" t="inlineStr">
        <is>
          <t>Cash_Close: المبلغ المعدود وسبب الفرق والمسؤول، ثم Cash_Vouchers: النوع (عجز خزينة) وربطه برقم المستند في Cash_Close.</t>
        </is>
      </c>
      <c r="N37" s="25" t="inlineStr">
        <is>
          <t>Cash_Close: الفرق المتبقي بعد التسوية = صفر.</t>
        </is>
      </c>
    </row>
    <row r="38">
      <c r="A38" s="25" t="n">
        <v>26</v>
      </c>
      <c r="B38" s="25" t="inlineStr">
        <is>
          <t>تسوية مخزون أول وآخر المدة</t>
        </is>
      </c>
      <c r="C38" s="25" t="inlineStr">
        <is>
          <t>جرد آخر شهر سبتمبر أظهر مخزونًا فعليًا 64,500 في الرئيسي، ومخزون أول الشهر 80,000.</t>
        </is>
      </c>
      <c r="D38" s="25" t="inlineStr">
        <is>
          <t>محضر جرد (10) + نموذج تسوية (25).</t>
        </is>
      </c>
      <c r="E38" s="25" t="inlineStr">
        <is>
          <t>5101 تكلفة المواد المباشرة المستهلكة: 58,000</t>
        </is>
      </c>
      <c r="F38" s="25" t="inlineStr">
        <is>
          <t>1401 مخزون المخزن الرئيسي - مواد خام: 58,000</t>
        </is>
      </c>
      <c r="G38" s="25" t="n">
        <v>58000</v>
      </c>
      <c r="H38" s="25" t="inlineStr">
        <is>
          <t>ينتقل المستهلك إلى تكلفة المبيعات ويبقى في المخزون ما وُجد فعليًا (الطريقة الدورية المُعدّلة للنسخة الأولى).</t>
        </is>
      </c>
      <c r="I38" s="25" t="inlineStr">
        <is>
          <t>مخزون ينتهي عند 64,500</t>
        </is>
      </c>
      <c r="J38" s="25" t="inlineStr">
        <is>
          <t>تكلفة مبيعات 58,000</t>
        </is>
      </c>
      <c r="K38" s="25" t="inlineStr">
        <is>
          <t>لا أثر</t>
        </is>
      </c>
      <c r="L38" s="25" t="inlineStr">
        <is>
          <t>الرصيد الدفتري = الفعلي</t>
        </is>
      </c>
      <c r="M38" s="25" t="inlineStr">
        <is>
          <t>Manual_JE: نوع (تسوية تكلفة المبيعات) آخر كل شهر. الرصيد الافتتاحي للشهر التالي هو رصيد الأستاذ.</t>
        </is>
      </c>
      <c r="N38" s="25" t="inlineStr">
        <is>
          <t>Trial_Balance: 1401 = قيمة الجرد. Close_Checklist يتأكد من وجود القيد.</t>
        </is>
      </c>
    </row>
    <row r="39">
      <c r="A39" s="25" t="n">
        <v>27</v>
      </c>
      <c r="B39" s="25" t="inlineStr">
        <is>
          <t>قيد تصحيح لعملية مسجلة بصورة خاطئة - (أ) عكس القيد الخاطئ</t>
        </is>
      </c>
      <c r="C39" s="25" t="inlineStr">
        <is>
          <t>سُجل مصروف صيانة 5,000 جنيه بدل 500 فاكتشف المحاسب الخطأ بعد الترحيل.</t>
        </is>
      </c>
      <c r="D39" s="25" t="inlineStr">
        <is>
          <t>نموذج تسوية (25) بموافقة المدير المالي + المستند الأصلي المصحح.</t>
        </is>
      </c>
      <c r="E39" s="25" t="inlineStr">
        <is>
          <t>1104 خزينة الإدارة الرئيسية HQ01: 5,000</t>
        </is>
      </c>
      <c r="F39" s="25" t="inlineStr">
        <is>
          <t>6501 صيانة وإصلاحات: 5,000</t>
        </is>
      </c>
      <c r="G39" s="25" t="n">
        <v>5000</v>
      </c>
      <c r="H39" s="25" t="inlineStr">
        <is>
          <t>لا يُعدَّل القيد المرحل ولا يُحذف. يُعكس بقيد معاكس ثم يُسجل القيد الصحيح ليبقى أثر المراجعة كاملًا.</t>
        </is>
      </c>
      <c r="I39" s="25" t="inlineStr">
        <is>
          <t>صافي النقدية -500</t>
        </is>
      </c>
      <c r="J39" s="25" t="inlineStr">
        <is>
          <t>صيانة 500 بدل 5,000</t>
        </is>
      </c>
      <c r="K39" s="25" t="inlineStr">
        <is>
          <t>خزينة -500 بعد العكس</t>
        </is>
      </c>
      <c r="L39" s="25" t="inlineStr">
        <is>
          <t>لا أثر</t>
        </is>
      </c>
      <c r="M39" s="25" t="inlineStr">
        <is>
          <t>غيّر حالة المستند الخاطئ إلى (معكوس) واكتب مرجع التصحيح (رقم المستند الصحيح) ثم سجل المستند الجديد. في فترة مقفلة: استخدم Manual_JE (نوع عكس) بتاريخ الفترة المفتوحة.</t>
        </is>
      </c>
      <c r="N39" s="25" t="inlineStr">
        <is>
          <t>Expenses: المستند الأول معكوس بلا أثر والثاني مرحّل بـ 500.</t>
        </is>
      </c>
    </row>
    <row r="40">
      <c r="A40" s="25" t="n">
        <v>27</v>
      </c>
      <c r="B40" s="25" t="inlineStr">
        <is>
          <t>قيد تصحيح لعملية مسجلة بصورة خاطئة - (ب) تسجيل الصحيح</t>
        </is>
      </c>
      <c r="C40" s="25" t="inlineStr">
        <is>
          <t>سُجل مصروف صيانة 5,000 جنيه بدل 500 فاكتشف المحاسب الخطأ بعد الترحيل.</t>
        </is>
      </c>
      <c r="D40" s="25" t="inlineStr">
        <is>
          <t>نموذج تسوية (25) بموافقة المدير المالي + المستند الأصلي المصحح.</t>
        </is>
      </c>
      <c r="E40" s="25" t="inlineStr">
        <is>
          <t>6501 صيانة وإصلاحات: 500</t>
        </is>
      </c>
      <c r="F40" s="25" t="inlineStr">
        <is>
          <t>1104 خزينة الإدارة الرئيسية HQ01: 500</t>
        </is>
      </c>
      <c r="G40" s="25" t="n">
        <v>500</v>
      </c>
      <c r="H40" s="25" t="inlineStr">
        <is>
          <t>لا يُعدَّل القيد المرحل ولا يُحذف. يُعكس بقيد معاكس ثم يُسجل القيد الصحيح ليبقى أثر المراجعة كاملًا.</t>
        </is>
      </c>
      <c r="I40" s="25" t="inlineStr">
        <is>
          <t>صافي النقدية -500</t>
        </is>
      </c>
      <c r="J40" s="25" t="inlineStr">
        <is>
          <t>صيانة 500 بدل 5,000</t>
        </is>
      </c>
      <c r="K40" s="25" t="inlineStr">
        <is>
          <t>خزينة -500 بعد العكس</t>
        </is>
      </c>
      <c r="L40" s="25" t="inlineStr">
        <is>
          <t>لا أثر</t>
        </is>
      </c>
      <c r="M40" s="25" t="inlineStr">
        <is>
          <t>غيّر حالة المستند الخاطئ إلى (معكوس) واكتب مرجع التصحيح (رقم المستند الصحيح) ثم سجل المستند الجديد. في فترة مقفلة: استخدم Manual_JE (نوع عكس) بتاريخ الفترة المفتوحة.</t>
        </is>
      </c>
      <c r="N40" s="25" t="inlineStr">
        <is>
          <t>Expenses: المستند الأول معكوس بلا أثر والثاني مرحّل بـ 500.</t>
        </is>
      </c>
    </row>
    <row r="41">
      <c r="A41" s="25" t="n">
        <v>28</v>
      </c>
      <c r="B41" s="25" t="inlineStr">
        <is>
          <t>قيد إقفال الإيرادات والمصروفات في نهاية الفترة - (1) إقفال الإيرادات</t>
        </is>
      </c>
      <c r="C41" s="25" t="inlineStr">
        <is>
          <t>في نهاية السنة تُقفل حسابات الإيرادات والمصروفات في حساب ملخص الدخل ثم تُرحَّل النتيجة للأرباح المحتجزة.</t>
        </is>
      </c>
      <c r="D41" s="25" t="inlineStr">
        <is>
          <t>محضر إقفال سنة + اعتماد المدير المالي والإدارة العليا.</t>
        </is>
      </c>
      <c r="E41" s="25" t="inlineStr">
        <is>
          <t>4101 مبيعات الفطير: 100,000 + 4102 مبيعات البيتزا: 160,000 + 4103 مبيعات المكرونات: 60,000</t>
        </is>
      </c>
      <c r="F41" s="25" t="inlineStr">
        <is>
          <t>4901 خصومات المبيعات والعروض: 8,000 + 4902 مرتجعات وإلغاءات المبيعات: 3,000 + 3501 ملخص الدخل: 309,000</t>
        </is>
      </c>
      <c r="G41" s="25" t="n">
        <v>320000</v>
      </c>
      <c r="H41" s="25" t="inlineStr">
        <is>
          <t>تصفير الحسابات المؤقتة لتبدأ السنة الجديدة من الصفر، وتنتقل النتيجة (ربح 59,000) إلى حقوق الملكية.</t>
        </is>
      </c>
      <c r="I41" s="25" t="inlineStr">
        <is>
          <t>أرباح محتجزة +59,000</t>
        </is>
      </c>
      <c r="J41" s="25" t="inlineStr">
        <is>
          <t>تصفر بنود الدخل</t>
        </is>
      </c>
      <c r="K41" s="25" t="inlineStr">
        <is>
          <t>لا أثر</t>
        </is>
      </c>
      <c r="L41" s="25" t="inlineStr">
        <is>
          <t>لا أثر</t>
        </is>
      </c>
      <c r="M41" s="25" t="inlineStr">
        <is>
          <t>Manual_JE (نوع: إقفال) بتاريخ آخر يوم في السنة، مرة واحدة سنويًا فقط. شهريًا لا تُسجَّل قيود إقفال؛ تكفي مقارنة اللقطة (Period_Close).</t>
        </is>
      </c>
      <c r="N41" s="25" t="inlineStr">
        <is>
          <t>بعد الإقفال تصبح أرصدة 4000-6999 صفرًا ويظهر الربح في 3301.</t>
        </is>
      </c>
    </row>
    <row r="42">
      <c r="A42" s="25" t="n">
        <v>28</v>
      </c>
      <c r="B42" s="25" t="inlineStr">
        <is>
          <t>قيد إقفال الإيرادات والمصروفات في نهاية الفترة - (2) إقفال التكاليف والمصروفات</t>
        </is>
      </c>
      <c r="C42" s="25" t="inlineStr">
        <is>
          <t>في نهاية السنة تُقفل حسابات الإيرادات والمصروفات في حساب ملخص الدخل ثم تُرحَّل النتيجة للأرباح المحتجزة.</t>
        </is>
      </c>
      <c r="D42" s="25" t="inlineStr">
        <is>
          <t>محضر إقفال سنة + اعتماد المدير المالي والإدارة العليا.</t>
        </is>
      </c>
      <c r="E42" s="25" t="inlineStr">
        <is>
          <t>3501 ملخص الدخل: 250,000</t>
        </is>
      </c>
      <c r="F42" s="25" t="inlineStr">
        <is>
          <t>5101 تكلفة المواد المباشرة المستهلكة: 120,000 + 6101 رواتب وأجور: 60,000 + 6201 إيجار الفروع: 41,000 + 6801 إهلاك الأصول الثابتة: 6,000 + 6301 كهرباء: 12,000 + 6603 مستلزمات تشغيلية: 11,000</t>
        </is>
      </c>
      <c r="G42" s="25" t="n">
        <v>250000</v>
      </c>
      <c r="H42" s="25" t="inlineStr">
        <is>
          <t>تصفير الحسابات المؤقتة لتبدأ السنة الجديدة من الصفر، وتنتقل النتيجة (ربح 59,000) إلى حقوق الملكية.</t>
        </is>
      </c>
      <c r="I42" s="25" t="inlineStr">
        <is>
          <t>أرباح محتجزة +59,000</t>
        </is>
      </c>
      <c r="J42" s="25" t="inlineStr">
        <is>
          <t>تصفر بنود الدخل</t>
        </is>
      </c>
      <c r="K42" s="25" t="inlineStr">
        <is>
          <t>لا أثر</t>
        </is>
      </c>
      <c r="L42" s="25" t="inlineStr">
        <is>
          <t>لا أثر</t>
        </is>
      </c>
      <c r="M42" s="25" t="inlineStr">
        <is>
          <t>Manual_JE (نوع: إقفال) بتاريخ آخر يوم في السنة، مرة واحدة سنويًا فقط. شهريًا لا تُسجَّل قيود إقفال؛ تكفي مقارنة اللقطة (Period_Close).</t>
        </is>
      </c>
      <c r="N42" s="25" t="inlineStr">
        <is>
          <t>بعد الإقفال تصبح أرصدة 4000-6999 صفرًا ويظهر الربح في 3301.</t>
        </is>
      </c>
    </row>
    <row r="43">
      <c r="A43" s="25" t="n">
        <v>28</v>
      </c>
      <c r="B43" s="25" t="inlineStr">
        <is>
          <t>قيد إقفال الإيرادات والمصروفات في نهاية الفترة - (3) ترحيل النتيجة</t>
        </is>
      </c>
      <c r="C43" s="25" t="inlineStr">
        <is>
          <t>في نهاية السنة تُقفل حسابات الإيرادات والمصروفات في حساب ملخص الدخل ثم تُرحَّل النتيجة للأرباح المحتجزة.</t>
        </is>
      </c>
      <c r="D43" s="25" t="inlineStr">
        <is>
          <t>محضر إقفال سنة + اعتماد المدير المالي والإدارة العليا.</t>
        </is>
      </c>
      <c r="E43" s="25" t="inlineStr">
        <is>
          <t>3501 ملخص الدخل: 59,000</t>
        </is>
      </c>
      <c r="F43" s="25" t="inlineStr">
        <is>
          <t>3301 أرباح محتجزة (مرحّلة): 59,000</t>
        </is>
      </c>
      <c r="G43" s="25" t="n">
        <v>59000</v>
      </c>
      <c r="H43" s="25" t="inlineStr">
        <is>
          <t>تصفير الحسابات المؤقتة لتبدأ السنة الجديدة من الصفر، وتنتقل النتيجة (ربح 59,000) إلى حقوق الملكية.</t>
        </is>
      </c>
      <c r="I43" s="25" t="inlineStr">
        <is>
          <t>أرباح محتجزة +59,000</t>
        </is>
      </c>
      <c r="J43" s="25" t="inlineStr">
        <is>
          <t>تصفر بنود الدخل</t>
        </is>
      </c>
      <c r="K43" s="25" t="inlineStr">
        <is>
          <t>لا أثر</t>
        </is>
      </c>
      <c r="L43" s="25" t="inlineStr">
        <is>
          <t>لا أثر</t>
        </is>
      </c>
      <c r="M43" s="25" t="inlineStr">
        <is>
          <t>Manual_JE (نوع: إقفال) بتاريخ آخر يوم في السنة، مرة واحدة سنويًا فقط. شهريًا لا تُسجَّل قيود إقفال؛ تكفي مقارنة اللقطة (Period_Close).</t>
        </is>
      </c>
      <c r="N43" s="25" t="inlineStr">
        <is>
          <t>بعد الإقفال تصبح أرصدة 4000-6999 صفرًا ويظهر الربح في 3301.</t>
        </is>
      </c>
    </row>
  </sheetData>
  <autoFilter ref="A4:N43"/>
  <pageMargins left="0.75" right="0.75" top="1" bottom="1" header="0.5" footer="0.5"/>
</worksheet>
</file>

<file path=xl/worksheets/sheet50.xml><?xml version="1.0" encoding="utf-8"?>
<worksheet xmlns="http://schemas.openxmlformats.org/spreadsheetml/2006/main">
  <sheetPr>
    <tabColor rgb="007F7F7F"/>
    <outlinePr summaryBelow="1" summaryRight="1"/>
    <pageSetUpPr/>
  </sheetPr>
  <dimension ref="A1:H34"/>
  <sheetViews>
    <sheetView rightToLeft="1" zoomScale="90" workbookViewId="0">
      <pane ySplit="4" topLeftCell="A5" activePane="bottomLeft" state="frozen"/>
      <selection pane="bottomLeft" activeCell="A1" sqref="A1"/>
    </sheetView>
  </sheetViews>
  <sheetFormatPr baseColWidth="8" defaultRowHeight="15"/>
  <cols>
    <col width="8" customWidth="1" min="1" max="1"/>
    <col width="30" customWidth="1" min="2" max="2"/>
    <col width="10" customWidth="1" min="3" max="3"/>
    <col width="8" customWidth="1" min="4" max="4"/>
    <col width="56" customWidth="1" min="5" max="5"/>
    <col width="56" customWidth="1" min="6" max="6"/>
    <col width="40" customWidth="1" min="7" max="7"/>
    <col width="40" customWidth="1" min="8" max="8"/>
  </cols>
  <sheetData>
    <row r="1" ht="26" customHeight="1">
      <c r="A1" s="22" t="inlineStr">
        <is>
          <t>كتالوج النماذج الورقية (30 نموذجًا)</t>
        </is>
      </c>
      <c r="B1" s="1" t="n"/>
      <c r="C1" s="1" t="n"/>
      <c r="D1" s="1" t="n"/>
      <c r="E1" s="1" t="n"/>
      <c r="F1" s="1" t="n"/>
      <c r="G1" s="1" t="n"/>
      <c r="H1" s="1" t="n"/>
    </row>
    <row r="2">
      <c r="A2" s="23" t="inlineStr">
        <is>
          <t>ملف forms/Satamoni_Forms_A4.html (وPDF) يحتوي النماذج جاهزة للطباعة A4</t>
        </is>
      </c>
    </row>
    <row r="4">
      <c r="A4" s="24" t="inlineStr">
        <is>
          <t>رقم النموذج</t>
        </is>
      </c>
      <c r="B4" s="24" t="inlineStr">
        <is>
          <t>الاسم</t>
        </is>
      </c>
      <c r="C4" s="24" t="inlineStr">
        <is>
          <t>بادئة الترقيم</t>
        </is>
      </c>
      <c r="D4" s="24" t="inlineStr">
        <is>
          <t>عدد النسخ</t>
        </is>
      </c>
      <c r="E4" s="24" t="inlineStr">
        <is>
          <t>النسخ ومن يحتفظ بها</t>
        </is>
      </c>
      <c r="F4" s="24" t="inlineStr">
        <is>
          <t>التسليم للمحاسب</t>
        </is>
      </c>
      <c r="G4" s="24" t="inlineStr">
        <is>
          <t>التوقيعات</t>
        </is>
      </c>
      <c r="H4" s="24" t="inlineStr">
        <is>
          <t>الخانات الثابتة</t>
        </is>
      </c>
    </row>
    <row r="5">
      <c r="A5" s="25" t="n">
        <v>1</v>
      </c>
      <c r="B5" s="25" t="inlineStr">
        <is>
          <t>طلب شراء</t>
        </is>
      </c>
      <c r="C5" s="25" t="inlineStr">
        <is>
          <t>PR</t>
        </is>
      </c>
      <c r="D5" s="25" t="n">
        <v>2</v>
      </c>
      <c r="E5" s="25" t="inlineStr">
        <is>
          <t>الأصلية (أبيض) ← المشتريات | صورة (أصفر) ← الجهة الطالبة</t>
        </is>
      </c>
      <c r="F5" s="25" t="inlineStr">
        <is>
          <t>الأصلية: ترفق مع أمر الشراء ثم تسلم للمحاسب مع الفاتورة | صورة: تحفظ لمتابعة الاستلام</t>
        </is>
      </c>
      <c r="G5" s="25" t="inlineStr">
        <is>
          <t>مقدم الطلب, مدير الفرع/المطبخ, معتمد الشراء</t>
        </is>
      </c>
      <c r="H5" s="25" t="inlineStr">
        <is>
          <t>رقم مسلسل، تاريخ، الفرع/الموقع، البيانات، التوقيعات، الاعتماد، المرفقات والملاحظات</t>
        </is>
      </c>
    </row>
    <row r="6">
      <c r="A6" s="25" t="n">
        <v>2</v>
      </c>
      <c r="B6" s="25" t="inlineStr">
        <is>
          <t>أمر شراء</t>
        </is>
      </c>
      <c r="C6" s="25" t="inlineStr">
        <is>
          <t>PO</t>
        </is>
      </c>
      <c r="D6" s="25" t="n">
        <v>3</v>
      </c>
      <c r="E6" s="25" t="inlineStr">
        <is>
          <t>الأصلية (أبيض) ← المورد | صورة 1 (أصفر) ← المخزن | صورة 2 (وردي) ← المحاسب</t>
        </is>
      </c>
      <c r="F6" s="25" t="inlineStr">
        <is>
          <t>الأصلية: ترسل للمورد | صورة 1: للمقارنة عند الاستلام | صورة 2: تسلم خلال 24 ساعة لمطابقة الفاتورة</t>
        </is>
      </c>
      <c r="G6" s="25" t="inlineStr">
        <is>
          <t>مُعد الأمر, معتمد الشراء, الإدارة المالية</t>
        </is>
      </c>
      <c r="H6" s="25" t="inlineStr">
        <is>
          <t>رقم مسلسل، تاريخ، الفرع/الموقع، البيانات، التوقيعات، الاعتماد، المرفقات والملاحظات</t>
        </is>
      </c>
    </row>
    <row r="7">
      <c r="A7" s="25" t="n">
        <v>3</v>
      </c>
      <c r="B7" s="25" t="inlineStr">
        <is>
          <t>إذن استلام مخزني</t>
        </is>
      </c>
      <c r="C7" s="25" t="inlineStr">
        <is>
          <t>GRN</t>
        </is>
      </c>
      <c r="D7" s="25" t="n">
        <v>3</v>
      </c>
      <c r="E7" s="25" t="inlineStr">
        <is>
          <t>الأصلية (أبيض) ← المحاسب | صورة 1 (أصفر) ← المخزن | صورة 2 (أزرق) ← المورد</t>
        </is>
      </c>
      <c r="F7" s="25" t="inlineStr">
        <is>
          <t>الأصلية: تسلم مع الفاتورة في نفس اليوم | صورة 1: تحفظ بدفتر الاستلام | صورة 2: للمورد</t>
        </is>
      </c>
      <c r="G7" s="25" t="inlineStr">
        <is>
          <t>أمين المخزن, مندوب المورد, مراجع الجودة/المشتريات</t>
        </is>
      </c>
      <c r="H7" s="25" t="inlineStr">
        <is>
          <t>رقم مسلسل، تاريخ، الفرع/الموقع، البيانات، التوقيعات، الاعتماد، المرفقات والملاحظات</t>
        </is>
      </c>
    </row>
    <row r="8">
      <c r="A8" s="25" t="n">
        <v>4</v>
      </c>
      <c r="B8" s="25" t="inlineStr">
        <is>
          <t>إذن صرف مخزني</t>
        </is>
      </c>
      <c r="C8" s="25" t="inlineStr">
        <is>
          <t>ISS</t>
        </is>
      </c>
      <c r="D8" s="25" t="n">
        <v>2</v>
      </c>
      <c r="E8" s="25" t="inlineStr">
        <is>
          <t>الأصلية (أبيض) ← المحاسب | صورة (أصفر) ← المخزن</t>
        </is>
      </c>
      <c r="F8" s="25" t="inlineStr">
        <is>
          <t>الأصلية: تسلم أسبوعيًا على الأقل | صورة: تحفظ بدفتر الصرف</t>
        </is>
      </c>
      <c r="G8" s="25" t="inlineStr">
        <is>
          <t>أمين المخزن (المنصرف), المستلم, معتمد الصرف</t>
        </is>
      </c>
      <c r="H8" s="25" t="inlineStr">
        <is>
          <t>رقم مسلسل، تاريخ، الفرع/الموقع، البيانات، التوقيعات، الاعتماد، المرفقات والملاحظات</t>
        </is>
      </c>
    </row>
    <row r="9">
      <c r="A9" s="25" t="n">
        <v>5</v>
      </c>
      <c r="B9" s="25" t="inlineStr">
        <is>
          <t>إذن تحويل بين المخازن</t>
        </is>
      </c>
      <c r="C9" s="25" t="inlineStr">
        <is>
          <t>STR</t>
        </is>
      </c>
      <c r="D9" s="25" t="n">
        <v>3</v>
      </c>
      <c r="E9" s="25" t="inlineStr">
        <is>
          <t>الأصلية (أبيض) ← المحاسب | صورة 1 (أصفر) ← المسلِّم | صورة 2 (أزرق) ← المستلم</t>
        </is>
      </c>
      <c r="F9" s="25" t="inlineStr">
        <is>
          <t>الأصلية: بعد توقيع المستلم | صورة 1: للتحقق من التحويلات المفتوحة | صورة 2: تحفظ مع الاستلام</t>
        </is>
      </c>
      <c r="G9" s="25" t="inlineStr">
        <is>
          <t>أمين المخزن المسلِّم, أمين المخزن المستلم, المعتمد</t>
        </is>
      </c>
      <c r="H9" s="25" t="inlineStr">
        <is>
          <t>رقم مسلسل، تاريخ، الفرع/الموقع، البيانات، التوقيعات، الاعتماد، المرفقات والملاحظات</t>
        </is>
      </c>
    </row>
    <row r="10">
      <c r="A10" s="25" t="n">
        <v>6</v>
      </c>
      <c r="B10" s="25" t="inlineStr">
        <is>
          <t>طلب صرف إنتاج للسنتر كيتشن</t>
        </is>
      </c>
      <c r="C10" s="25" t="inlineStr">
        <is>
          <t>KRQ</t>
        </is>
      </c>
      <c r="D10" s="25" t="n">
        <v>2</v>
      </c>
      <c r="E10" s="25" t="inlineStr">
        <is>
          <t>الأصلية (أبيض) ← المحاسب | صورة (أصفر) ← المطبخ المركزي</t>
        </is>
      </c>
      <c r="F10" s="25" t="inlineStr">
        <is>
          <t>الأصلية: تسلم مع تقرير الإنتاج | صورة: تحفظ</t>
        </is>
      </c>
      <c r="G10" s="25" t="inlineStr">
        <is>
          <t>مدير الإنتاج, أمين المخزن, معتمد الصرف</t>
        </is>
      </c>
      <c r="H10" s="25" t="inlineStr">
        <is>
          <t>رقم مسلسل، تاريخ، الفرع/الموقع، البيانات، التوقيعات، الاعتماد، المرفقات والملاحظات</t>
        </is>
      </c>
    </row>
    <row r="11">
      <c r="A11" s="25" t="n">
        <v>7</v>
      </c>
      <c r="B11" s="25" t="inlineStr">
        <is>
          <t>تقرير إنتاج يومي</t>
        </is>
      </c>
      <c r="C11" s="25" t="inlineStr">
        <is>
          <t>KPR</t>
        </is>
      </c>
      <c r="D11" s="25" t="n">
        <v>2</v>
      </c>
      <c r="E11" s="25" t="inlineStr">
        <is>
          <t>الأصلية (أبيض) ← المحاسب | صورة (أصفر) ← المطبخ</t>
        </is>
      </c>
      <c r="F11" s="25" t="inlineStr">
        <is>
          <t>الأصلية: يوميًا مع طلب الصرف | صورة: تحفظ</t>
        </is>
      </c>
      <c r="G11" s="25" t="inlineStr">
        <is>
          <t>مدير الإنتاج, أمين المخزن, المحاسب</t>
        </is>
      </c>
      <c r="H11" s="25" t="inlineStr">
        <is>
          <t>رقم مسلسل، تاريخ، الفرع/الموقع، البيانات، التوقيعات، الاعتماد، المرفقات والملاحظات</t>
        </is>
      </c>
    </row>
    <row r="12">
      <c r="A12" s="25" t="n">
        <v>8</v>
      </c>
      <c r="B12" s="25" t="inlineStr">
        <is>
          <t>إذن تحويل إنتاج إلى فرع</t>
        </is>
      </c>
      <c r="C12" s="25" t="inlineStr">
        <is>
          <t>KTR</t>
        </is>
      </c>
      <c r="D12" s="25" t="n">
        <v>3</v>
      </c>
      <c r="E12" s="25" t="inlineStr">
        <is>
          <t>الأصلية (أبيض) ← المحاسب | صورة 1 (أصفر) ← السنتر كيتشن | صورة 2 (أزرق) ← الفرع</t>
        </is>
      </c>
      <c r="F12" s="25" t="inlineStr">
        <is>
          <t>الأصلية: بعد توقيع الفرع | صورة 2: تحفظ مع الاستلام</t>
        </is>
      </c>
      <c r="G12" s="25" t="inlineStr">
        <is>
          <t>مدير الإنتاج, السائق/المسلِّم, مدير الفرع المستلم</t>
        </is>
      </c>
      <c r="H12" s="25" t="inlineStr">
        <is>
          <t>رقم مسلسل، تاريخ، الفرع/الموقع، البيانات، التوقيعات، الاعتماد، المرفقات والملاحظات</t>
        </is>
      </c>
    </row>
    <row r="13">
      <c r="A13" s="25" t="n">
        <v>9</v>
      </c>
      <c r="B13" s="25" t="inlineStr">
        <is>
          <t>تقرير هالك وتالف</t>
        </is>
      </c>
      <c r="C13" s="25" t="inlineStr">
        <is>
          <t>WST</t>
        </is>
      </c>
      <c r="D13" s="25" t="n">
        <v>2</v>
      </c>
      <c r="E13" s="25" t="inlineStr">
        <is>
          <t>الأصلية (أبيض) ← المحاسب | صورة (أصفر) ← الموقع</t>
        </is>
      </c>
      <c r="F13" s="25" t="inlineStr">
        <is>
          <t>الأصلية: خلال 24 ساعة</t>
        </is>
      </c>
      <c r="G13" s="25" t="inlineStr">
        <is>
          <t>مُعد التقرير, مدير الموقع, المدير المالي (للهالك غير الطبيعي)</t>
        </is>
      </c>
      <c r="H13" s="25" t="inlineStr">
        <is>
          <t>رقم مسلسل، تاريخ، الفرع/الموقع، البيانات، التوقيعات، الاعتماد، المرفقات والملاحظات</t>
        </is>
      </c>
    </row>
    <row r="14">
      <c r="A14" s="25" t="n">
        <v>10</v>
      </c>
      <c r="B14" s="25" t="inlineStr">
        <is>
          <t>محضر جرد</t>
        </is>
      </c>
      <c r="C14" s="25" t="inlineStr">
        <is>
          <t>CNT</t>
        </is>
      </c>
      <c r="D14" s="25" t="n">
        <v>2</v>
      </c>
      <c r="E14" s="25" t="inlineStr">
        <is>
          <t>الأصلية (أبيض) ← المحاسب | صورة (أصفر) ← المخزن</t>
        </is>
      </c>
      <c r="F14" s="25" t="inlineStr">
        <is>
          <t>الأصلية: في نفس يوم الجرد</t>
        </is>
      </c>
      <c r="G14" s="25" t="inlineStr">
        <is>
          <t>أمين المخزن, عضو الجرد المستقل, مدير الموقع, المحاسب</t>
        </is>
      </c>
      <c r="H14" s="25" t="inlineStr">
        <is>
          <t>رقم مسلسل، تاريخ، الفرع/الموقع، البيانات، التوقيعات، الاعتماد، المرفقات والملاحظات</t>
        </is>
      </c>
    </row>
    <row r="15">
      <c r="A15" s="25" t="n">
        <v>11</v>
      </c>
      <c r="B15" s="25" t="inlineStr">
        <is>
          <t>سند قبض نقدية</t>
        </is>
      </c>
      <c r="C15" s="25" t="inlineStr">
        <is>
          <t>RCV</t>
        </is>
      </c>
      <c r="D15" s="25" t="n">
        <v>2</v>
      </c>
      <c r="E15" s="25" t="inlineStr">
        <is>
          <t>الأصلية (أبيض) ← المحاسب | صورة (أخضر) ← الدافع</t>
        </is>
      </c>
      <c r="F15" s="25" t="inlineStr">
        <is>
          <t>الأصلية: يوميًا مع كشف الإقفال</t>
        </is>
      </c>
      <c r="G15" s="25" t="inlineStr">
        <is>
          <t>المستلم (أمين الصندوق), الدافع, المعتمد</t>
        </is>
      </c>
      <c r="H15" s="25" t="inlineStr">
        <is>
          <t>رقم مسلسل، تاريخ، الفرع/الموقع، البيانات، التوقيعات، الاعتماد، المرفقات والملاحظات</t>
        </is>
      </c>
    </row>
    <row r="16">
      <c r="A16" s="25" t="n">
        <v>12</v>
      </c>
      <c r="B16" s="25" t="inlineStr">
        <is>
          <t>سند صرف نقدية</t>
        </is>
      </c>
      <c r="C16" s="25" t="inlineStr">
        <is>
          <t>PAY</t>
        </is>
      </c>
      <c r="D16" s="25" t="n">
        <v>2</v>
      </c>
      <c r="E16" s="25" t="inlineStr">
        <is>
          <t>الأصلية (أبيض) ← المحاسب | صورة (وردي) ← المستلم</t>
        </is>
      </c>
      <c r="F16" s="25" t="inlineStr">
        <is>
          <t>الأصلية: يوميًا مع كشف الإقفال، مرفقًا بالفاتورة</t>
        </is>
      </c>
      <c r="G16" s="25" t="inlineStr">
        <is>
          <t>مقدم الطلب, المستلم, أمين الصندوق, المعتمد</t>
        </is>
      </c>
      <c r="H16" s="25" t="inlineStr">
        <is>
          <t>رقم مسلسل، تاريخ، الفرع/الموقع، البيانات، التوقيعات، الاعتماد، المرفقات والملاحظات</t>
        </is>
      </c>
    </row>
    <row r="17">
      <c r="A17" s="25" t="n">
        <v>13</v>
      </c>
      <c r="B17" s="25" t="inlineStr">
        <is>
          <t>إذن تحويل بين الخزائن</t>
        </is>
      </c>
      <c r="C17" s="25" t="inlineStr">
        <is>
          <t>TRF</t>
        </is>
      </c>
      <c r="D17" s="25" t="n">
        <v>3</v>
      </c>
      <c r="E17" s="25" t="inlineStr">
        <is>
          <t>الأصلية (أبيض) ← المحاسب | صورة 1 (أصفر) ← المسلِّم | صورة 2 (أزرق) ← المستلم</t>
        </is>
      </c>
      <c r="F17" s="25" t="inlineStr">
        <is>
          <t>الأصلية: في نفس يوم التحويل بعد توقيع الطرفين</t>
        </is>
      </c>
      <c r="G17" s="25" t="inlineStr">
        <is>
          <t>المسلِّم, المستلم, المعتمد</t>
        </is>
      </c>
      <c r="H17" s="25" t="inlineStr">
        <is>
          <t>رقم مسلسل، تاريخ، الفرع/الموقع، البيانات، التوقيعات، الاعتماد، المرفقات والملاحظات</t>
        </is>
      </c>
    </row>
    <row r="18">
      <c r="A18" s="25" t="n">
        <v>14</v>
      </c>
      <c r="B18" s="25" t="inlineStr">
        <is>
          <t>كشف إقفال خزينة يومي</t>
        </is>
      </c>
      <c r="C18" s="25" t="inlineStr">
        <is>
          <t>CLS-D</t>
        </is>
      </c>
      <c r="D18" s="25" t="n">
        <v>2</v>
      </c>
      <c r="E18" s="25" t="inlineStr">
        <is>
          <t>الأصلية (أبيض) ← المحاسب | صورة (أصفر) ← الفرع</t>
        </is>
      </c>
      <c r="F18" s="25" t="inlineStr">
        <is>
          <t>الأصلية: يوميًا قبل 12 ظهر اليوم التالي</t>
        </is>
      </c>
      <c r="G18" s="25" t="inlineStr">
        <is>
          <t>أمين الصندوق, مدير الفرع, المحاسب</t>
        </is>
      </c>
      <c r="H18" s="25" t="inlineStr">
        <is>
          <t>رقم مسلسل، تاريخ، الفرع/الموقع، البيانات، التوقيعات، الاعتماد، المرفقات والملاحظات</t>
        </is>
      </c>
    </row>
    <row r="19">
      <c r="A19" s="25" t="n">
        <v>15</v>
      </c>
      <c r="B19" s="25" t="inlineStr">
        <is>
          <t>تقرير مبيعات يومي</t>
        </is>
      </c>
      <c r="C19" s="25" t="inlineStr">
        <is>
          <t>SAL</t>
        </is>
      </c>
      <c r="D19" s="25" t="n">
        <v>2</v>
      </c>
      <c r="E19" s="25" t="inlineStr">
        <is>
          <t>الأصلية (أبيض) ← المحاسب | صورة (أصفر) ← الفرع</t>
        </is>
      </c>
      <c r="F19" s="25" t="inlineStr">
        <is>
          <t>الأصلية: يوميًا مع شريط الكاشير</t>
        </is>
      </c>
      <c r="G19" s="25" t="inlineStr">
        <is>
          <t>الكاشير, مدير الفرع, المحاسب</t>
        </is>
      </c>
      <c r="H19" s="25" t="inlineStr">
        <is>
          <t>رقم مسلسل، تاريخ، الفرع/الموقع، البيانات، التوقيعات، الاعتماد، المرفقات والملاحظات</t>
        </is>
      </c>
    </row>
    <row r="20">
      <c r="A20" s="25" t="n">
        <v>16</v>
      </c>
      <c r="B20" s="25" t="inlineStr">
        <is>
          <t>كشف تسوية منصة توصيل</t>
        </is>
      </c>
      <c r="C20" s="25" t="inlineStr">
        <is>
          <t>PLT</t>
        </is>
      </c>
      <c r="D20" s="25" t="n">
        <v>2</v>
      </c>
      <c r="E20" s="25" t="inlineStr">
        <is>
          <t>الأصلية (أبيض) ← المحاسب | صورة (أصفر) ← الفرع</t>
        </is>
      </c>
      <c r="F20" s="25" t="inlineStr">
        <is>
          <t>الأصلية: عند وصول كشف المنصة</t>
        </is>
      </c>
      <c r="G20" s="25" t="inlineStr">
        <is>
          <t>مُعد الكشف, المحاسب, المدير المالي</t>
        </is>
      </c>
      <c r="H20" s="25" t="inlineStr">
        <is>
          <t>رقم مسلسل، تاريخ، الفرع/الموقع، البيانات، التوقيعات، الاعتماد، المرفقات والملاحظات</t>
        </is>
      </c>
    </row>
    <row r="21">
      <c r="A21" s="25" t="n">
        <v>17</v>
      </c>
      <c r="B21" s="25" t="inlineStr">
        <is>
          <t>نموذج مصروفات</t>
        </is>
      </c>
      <c r="C21" s="25" t="inlineStr">
        <is>
          <t>EXP</t>
        </is>
      </c>
      <c r="D21" s="25" t="n">
        <v>2</v>
      </c>
      <c r="E21" s="25" t="inlineStr">
        <is>
          <t>الأصلية (أبيض) ← المحاسب | صورة (أصفر) ← مقدم الطلب</t>
        </is>
      </c>
      <c r="F21" s="25" t="inlineStr">
        <is>
          <t>الأصلية: خلال 24 ساعة</t>
        </is>
      </c>
      <c r="G21" s="25" t="inlineStr">
        <is>
          <t>مقدم الطلب, مدير الفرع/الإدارة, المعتمد المالي, أمين الصندوق</t>
        </is>
      </c>
      <c r="H21" s="25" t="inlineStr">
        <is>
          <t>رقم مسلسل، تاريخ، الفرع/الموقع، البيانات، التوقيعات، الاعتماد، المرفقات والملاحظات</t>
        </is>
      </c>
    </row>
    <row r="22">
      <c r="A22" s="25" t="n">
        <v>18</v>
      </c>
      <c r="B22" s="25" t="inlineStr">
        <is>
          <t>طلب سلفة أو عهدة</t>
        </is>
      </c>
      <c r="C22" s="25" t="inlineStr">
        <is>
          <t>ADV</t>
        </is>
      </c>
      <c r="D22" s="25" t="n">
        <v>2</v>
      </c>
      <c r="E22" s="25" t="inlineStr">
        <is>
          <t>الأصلية (أبيض) ← المحاسب | صورة (أصفر) ← الموظف</t>
        </is>
      </c>
      <c r="F22" s="25" t="inlineStr">
        <is>
          <t>الأصلية: خلال 24 ساعة من الاعتماد وقبل الصرف</t>
        </is>
      </c>
      <c r="G22" s="25" t="inlineStr">
        <is>
          <t>الموظف, مدير الموقع, المدير المالي</t>
        </is>
      </c>
      <c r="H22" s="25" t="inlineStr">
        <is>
          <t>رقم مسلسل، تاريخ، الفرع/الموقع، البيانات، التوقيعات، الاعتماد، المرفقات والملاحظات</t>
        </is>
      </c>
    </row>
    <row r="23">
      <c r="A23" s="25" t="n">
        <v>19</v>
      </c>
      <c r="B23" s="25" t="inlineStr">
        <is>
          <t>تسوية عهدة</t>
        </is>
      </c>
      <c r="C23" s="25" t="inlineStr">
        <is>
          <t>CST</t>
        </is>
      </c>
      <c r="D23" s="25" t="n">
        <v>2</v>
      </c>
      <c r="E23" s="25" t="inlineStr">
        <is>
          <t>الأصلية (أبيض) ← المحاسب | صورة (أصفر) ← الموظف</t>
        </is>
      </c>
      <c r="F23" s="25" t="inlineStr">
        <is>
          <t>الأصلية: خلال 7 أيام من الصرف</t>
        </is>
      </c>
      <c r="G23" s="25" t="inlineStr">
        <is>
          <t>الموظف, مدير الموقع, المحاسب</t>
        </is>
      </c>
      <c r="H23" s="25" t="inlineStr">
        <is>
          <t>رقم مسلسل، تاريخ، الفرع/الموقع، البيانات، التوقيعات، الاعتماد، المرفقات والملاحظات</t>
        </is>
      </c>
    </row>
    <row r="24">
      <c r="A24" s="25" t="n">
        <v>20</v>
      </c>
      <c r="B24" s="25" t="inlineStr">
        <is>
          <t>كشف حساب مورد</t>
        </is>
      </c>
      <c r="C24" s="25" t="inlineStr">
        <is>
          <t>SST</t>
        </is>
      </c>
      <c r="D24" s="25" t="n">
        <v>2</v>
      </c>
      <c r="E24" s="25" t="inlineStr">
        <is>
          <t>الأصلية (أبيض) ← المورد | صورة (أصفر) ← المحاسب</t>
        </is>
      </c>
      <c r="F24" s="25" t="inlineStr">
        <is>
          <t>الأصلية: تُرسل للمورد شهريًا | صورة: تحفظ بعد تأكيد المورد</t>
        </is>
      </c>
      <c r="G24" s="25" t="inlineStr">
        <is>
          <t>المحاسب, المورد (تأكيد الرصيد)</t>
        </is>
      </c>
      <c r="H24" s="25" t="inlineStr">
        <is>
          <t>رقم مسلسل، تاريخ، الفرع/الموقع، البيانات، التوقيعات، الاعتماد، المرفقات والملاحظات</t>
        </is>
      </c>
    </row>
    <row r="25">
      <c r="A25" s="25" t="n">
        <v>21</v>
      </c>
      <c r="B25" s="25" t="inlineStr">
        <is>
          <t>كشف حساب عميل</t>
        </is>
      </c>
      <c r="C25" s="25" t="inlineStr">
        <is>
          <t>CST-A</t>
        </is>
      </c>
      <c r="D25" s="25" t="n">
        <v>2</v>
      </c>
      <c r="E25" s="25" t="inlineStr">
        <is>
          <t>الأصلية (أبيض) ← العميل | صورة (أصفر) ← المحاسب</t>
        </is>
      </c>
      <c r="F25" s="25" t="inlineStr">
        <is>
          <t>الأصلية: شهريًا</t>
        </is>
      </c>
      <c r="G25" s="25" t="inlineStr">
        <is>
          <t>المحاسب, العميل (تأكيد الرصيد)</t>
        </is>
      </c>
      <c r="H25" s="25" t="inlineStr">
        <is>
          <t>رقم مسلسل، تاريخ، الفرع/الموقع، البيانات، التوقيعات، الاعتماد، المرفقات والملاحظات</t>
        </is>
      </c>
    </row>
    <row r="26">
      <c r="A26" s="25" t="n">
        <v>22</v>
      </c>
      <c r="B26" s="25" t="inlineStr">
        <is>
          <t>كشف حضور واعتماد الرواتب</t>
        </is>
      </c>
      <c r="C26" s="25" t="inlineStr">
        <is>
          <t>PAYR</t>
        </is>
      </c>
      <c r="D26" s="25" t="n">
        <v>2</v>
      </c>
      <c r="E26" s="25" t="inlineStr">
        <is>
          <t>الأصلية (أبيض) ← المحاسب | صورة (أصفر) ← الفرع</t>
        </is>
      </c>
      <c r="F26" s="25" t="inlineStr">
        <is>
          <t>الأصلية: قبل يوم 25 من الشهر</t>
        </is>
      </c>
      <c r="G26" s="25" t="inlineStr">
        <is>
          <t>مدير الفرع, الموارد البشرية, المحاسب, المدير المالي</t>
        </is>
      </c>
      <c r="H26" s="25" t="inlineStr">
        <is>
          <t>رقم مسلسل، تاريخ، الفرع/الموقع، البيانات، التوقيعات، الاعتماد، المرفقات والملاحظات</t>
        </is>
      </c>
    </row>
    <row r="27">
      <c r="A27" s="25" t="n">
        <v>23</v>
      </c>
      <c r="B27" s="25" t="inlineStr">
        <is>
          <t>محضر فروق جرد</t>
        </is>
      </c>
      <c r="C27" s="25" t="inlineStr">
        <is>
          <t>CVR</t>
        </is>
      </c>
      <c r="D27" s="25" t="n">
        <v>2</v>
      </c>
      <c r="E27" s="25" t="inlineStr">
        <is>
          <t>الأصلية (أبيض) ← المحاسب | صورة (أصفر) ← المخزن</t>
        </is>
      </c>
      <c r="F27" s="25" t="inlineStr">
        <is>
          <t>الأصلية: مع محضر الجرد</t>
        </is>
      </c>
      <c r="G27" s="25" t="inlineStr">
        <is>
          <t>أمين المخزن, عضو الجرد, مدير الموقع, المدير المالي</t>
        </is>
      </c>
      <c r="H27" s="25" t="inlineStr">
        <is>
          <t>رقم مسلسل، تاريخ، الفرع/الموقع، البيانات، التوقيعات، الاعتماد، المرفقات والملاحظات</t>
        </is>
      </c>
    </row>
    <row r="28">
      <c r="A28" s="25" t="n">
        <v>24</v>
      </c>
      <c r="B28" s="25" t="inlineStr">
        <is>
          <t>قيد يومية محاسبي</t>
        </is>
      </c>
      <c r="C28" s="25" t="inlineStr">
        <is>
          <t>MJE</t>
        </is>
      </c>
      <c r="D28" s="25" t="n">
        <v>1</v>
      </c>
      <c r="E28" s="25" t="inlineStr">
        <is>
          <t>الأصلية (أبيض) ← المحاسب</t>
        </is>
      </c>
      <c r="F28" s="25" t="inlineStr">
        <is>
          <t>الأصلية: تحفظ بالدوسيه الشهري</t>
        </is>
      </c>
      <c r="G28" s="25" t="inlineStr">
        <is>
          <t>المُعِد, المعتمد, المرحِّل</t>
        </is>
      </c>
      <c r="H28" s="25" t="inlineStr">
        <is>
          <t>رقم مسلسل، تاريخ، الفرع/الموقع، البيانات، التوقيعات، الاعتماد، المرفقات والملاحظات</t>
        </is>
      </c>
    </row>
    <row r="29">
      <c r="A29" s="25" t="n">
        <v>25</v>
      </c>
      <c r="B29" s="25" t="inlineStr">
        <is>
          <t>نموذج تسوية محاسبية</t>
        </is>
      </c>
      <c r="C29" s="25" t="inlineStr">
        <is>
          <t>MJE</t>
        </is>
      </c>
      <c r="D29" s="25" t="n">
        <v>2</v>
      </c>
      <c r="E29" s="25" t="inlineStr">
        <is>
          <t>الأصلية (أبيض) ← المحاسب | صورة (أصفر) ← المراجع</t>
        </is>
      </c>
      <c r="F29" s="25" t="inlineStr">
        <is>
          <t>الأصلية: في نفس يوم إعداد القيد</t>
        </is>
      </c>
      <c r="G29" s="25" t="inlineStr">
        <is>
          <t>المُعِد, المراجع, المدير المالي</t>
        </is>
      </c>
      <c r="H29" s="25" t="inlineStr">
        <is>
          <t>رقم مسلسل، تاريخ، الفرع/الموقع، البيانات، التوقيعات، الاعتماد، المرفقات والملاحظات</t>
        </is>
      </c>
    </row>
    <row r="30">
      <c r="A30" s="25" t="n">
        <v>26</v>
      </c>
      <c r="B30" s="25" t="inlineStr">
        <is>
          <t>محضر إقفال شهر</t>
        </is>
      </c>
      <c r="C30" s="25" t="inlineStr">
        <is>
          <t>CLS</t>
        </is>
      </c>
      <c r="D30" s="25" t="n">
        <v>1</v>
      </c>
      <c r="E30" s="25" t="inlineStr">
        <is>
          <t>الأصلية (أبيض) ← الأرشيف المالي</t>
        </is>
      </c>
      <c r="F30" s="25" t="inlineStr">
        <is>
          <t>الأصلية: عند الإقفال وخلال 3 أيام من نهاية الشهر</t>
        </is>
      </c>
      <c r="G30" s="25" t="inlineStr">
        <is>
          <t>المحاسب, المراجع, المدير المالي, الإدارة العليا</t>
        </is>
      </c>
      <c r="H30" s="25" t="inlineStr">
        <is>
          <t>رقم مسلسل، تاريخ، الفرع/الموقع، البيانات، التوقيعات، الاعتماد، المرفقات والملاحظات</t>
        </is>
      </c>
    </row>
    <row r="31">
      <c r="A31" s="25" t="n">
        <v>27</v>
      </c>
      <c r="B31" s="25" t="inlineStr">
        <is>
          <t>محضر استلام وتسليم عهدة الموظف</t>
        </is>
      </c>
      <c r="C31" s="25" t="inlineStr">
        <is>
          <t>CST-H</t>
        </is>
      </c>
      <c r="D31" s="25" t="n">
        <v>2</v>
      </c>
      <c r="E31" s="25" t="inlineStr">
        <is>
          <t>الأصلية (أبيض) ← الموارد البشرية/المحاسب | صورة (أصفر) ← الموظف</t>
        </is>
      </c>
      <c r="F31" s="25" t="inlineStr">
        <is>
          <t>الأصلية: خلال 48 ساعة من التسليم أو الاستلام</t>
        </is>
      </c>
      <c r="G31" s="25" t="inlineStr">
        <is>
          <t>المسلِّم, المستلم, مدير الموقع</t>
        </is>
      </c>
      <c r="H31" s="25" t="inlineStr">
        <is>
          <t>رقم مسلسل، تاريخ، الفرع/الموقع، البيانات، التوقيعات، الاعتماد، المرفقات والملاحظات</t>
        </is>
      </c>
    </row>
    <row r="32">
      <c r="A32" s="25" t="n">
        <v>28</v>
      </c>
      <c r="B32" s="25" t="inlineStr">
        <is>
          <t>نموذج مرتجع مشتريات</t>
        </is>
      </c>
      <c r="C32" s="25" t="inlineStr">
        <is>
          <t>PRT</t>
        </is>
      </c>
      <c r="D32" s="25" t="n">
        <v>3</v>
      </c>
      <c r="E32" s="25" t="inlineStr">
        <is>
          <t>الأصلية (أبيض) ← المحاسب | صورة 1 (أصفر) ← المورد | صورة 2 (وردي) ← المخزن</t>
        </is>
      </c>
      <c r="F32" s="25" t="inlineStr">
        <is>
          <t>الأصلية: مع إشعار الخصم</t>
        </is>
      </c>
      <c r="G32" s="25" t="inlineStr">
        <is>
          <t>أمين المخزن, مشرف المشتريات, ممثل المورد</t>
        </is>
      </c>
      <c r="H32" s="25" t="inlineStr">
        <is>
          <t>رقم مسلسل، تاريخ، الفرع/الموقع، البيانات، التوقيعات، الاعتماد، المرفقات والملاحظات</t>
        </is>
      </c>
    </row>
    <row r="33">
      <c r="A33" s="25" t="n">
        <v>29</v>
      </c>
      <c r="B33" s="25" t="inlineStr">
        <is>
          <t>نموذج مرتجع أو إلغاء بيع</t>
        </is>
      </c>
      <c r="C33" s="25" t="inlineStr">
        <is>
          <t>SRT</t>
        </is>
      </c>
      <c r="D33" s="25" t="n">
        <v>2</v>
      </c>
      <c r="E33" s="25" t="inlineStr">
        <is>
          <t>الأصلية (أبيض) ← المحاسب | صورة (أصفر) ← الفرع</t>
        </is>
      </c>
      <c r="F33" s="25" t="inlineStr">
        <is>
          <t>الأصلية: مع تقرير المبيعات اليومي</t>
        </is>
      </c>
      <c r="G33" s="25" t="inlineStr">
        <is>
          <t>الكاشير, مدير الفرع (إلزامي), العميل (إن أمكن)</t>
        </is>
      </c>
      <c r="H33" s="25" t="inlineStr">
        <is>
          <t>رقم مسلسل، تاريخ، الفرع/الموقع، البيانات، التوقيعات، الاعتماد، المرفقات والملاحظات</t>
        </is>
      </c>
    </row>
    <row r="34">
      <c r="A34" s="25" t="n">
        <v>30</v>
      </c>
      <c r="B34" s="25" t="inlineStr">
        <is>
          <t>نموذج تسوية عجز أو زيادة خزينة</t>
        </is>
      </c>
      <c r="C34" s="25" t="inlineStr">
        <is>
          <t>ADJ</t>
        </is>
      </c>
      <c r="D34" s="25" t="n">
        <v>2</v>
      </c>
      <c r="E34" s="25" t="inlineStr">
        <is>
          <t>الأصلية (أبيض) ← المحاسب | صورة (أصفر) ← الفرع</t>
        </is>
      </c>
      <c r="F34" s="25" t="inlineStr">
        <is>
          <t>الأصلية: في نفس اليوم</t>
        </is>
      </c>
      <c r="G34" s="25" t="inlineStr">
        <is>
          <t>أمين الصندوق, مدير الفرع, المحاسب, المدير المالي</t>
        </is>
      </c>
      <c r="H34" s="25" t="inlineStr">
        <is>
          <t>رقم مسلسل، تاريخ، الفرع/الموقع، البيانات، التوقيعات، الاعتماد، المرفقات والملاحظات</t>
        </is>
      </c>
    </row>
  </sheetData>
  <autoFilter ref="A4:H34"/>
  <pageMargins left="0.75" right="0.75" top="1" bottom="1" header="0.5" footer="0.5"/>
</worksheet>
</file>

<file path=xl/worksheets/sheet51.xml><?xml version="1.0" encoding="utf-8"?>
<worksheet xmlns="http://schemas.openxmlformats.org/spreadsheetml/2006/main">
  <sheetPr>
    <tabColor rgb="007F7F7F"/>
    <outlinePr summaryBelow="1" summaryRight="1"/>
    <pageSetUpPr/>
  </sheetPr>
  <dimension ref="A1:F21"/>
  <sheetViews>
    <sheetView rightToLeft="1" zoomScale="90" workbookViewId="0">
      <pane ySplit="4" topLeftCell="A5" activePane="bottomLeft" state="frozen"/>
      <selection pane="bottomLeft" activeCell="A1" sqref="A1"/>
    </sheetView>
  </sheetViews>
  <sheetFormatPr baseColWidth="8" defaultRowHeight="15"/>
  <cols>
    <col width="16" customWidth="1" min="1" max="1"/>
    <col width="18" customWidth="1" min="2" max="2"/>
    <col width="64" customWidth="1" min="3" max="3"/>
    <col width="56" customWidth="1" min="4" max="4"/>
  </cols>
  <sheetData>
    <row r="1" ht="26" customHeight="1">
      <c r="A1" s="22" t="inlineStr">
        <is>
          <t>قاموس المصطلحات المحاسبية البسيط</t>
        </is>
      </c>
      <c r="B1" s="1" t="n"/>
      <c r="C1" s="1" t="n"/>
      <c r="D1" s="1" t="n"/>
      <c r="E1" s="1" t="n"/>
      <c r="F1" s="1" t="n"/>
    </row>
    <row r="2">
      <c r="A2" s="23" t="inlineStr">
        <is>
          <t>اشرح لكل موظف بمثال من مطعم ستاموني</t>
        </is>
      </c>
    </row>
    <row r="4">
      <c r="A4" s="24" t="inlineStr">
        <is>
          <t>المصطلح</t>
        </is>
      </c>
      <c r="B4" s="24" t="inlineStr">
        <is>
          <t>بالإنجليزية</t>
        </is>
      </c>
      <c r="C4" s="24" t="inlineStr">
        <is>
          <t>الشرح المبسط</t>
        </is>
      </c>
      <c r="D4" s="24" t="inlineStr">
        <is>
          <t>مثال من ستاموني</t>
        </is>
      </c>
    </row>
    <row r="5">
      <c r="A5" s="25" t="inlineStr">
        <is>
          <t>الأصل</t>
        </is>
      </c>
      <c r="B5" s="25" t="inlineStr">
        <is>
          <t>Asset</t>
        </is>
      </c>
      <c r="C5" s="25" t="inlineStr">
        <is>
          <t>كل ما يملكه المطعم وله قيمة ويُنتظر منه نفع: نقدية، بنك، مخزون، معدات، مبالغ مستحقة لنا.</t>
        </is>
      </c>
      <c r="D5" s="25" t="inlineStr">
        <is>
          <t>فرن البيتزا في الفرع (1701)، النقدية في خزينة الفرع (1101)، مخزون الموزاريلا في المخزن الرئيسي (1401).</t>
        </is>
      </c>
    </row>
    <row r="6">
      <c r="A6" s="25" t="inlineStr">
        <is>
          <t>الالتزام</t>
        </is>
      </c>
      <c r="B6" s="25" t="inlineStr">
        <is>
          <t>Liability</t>
        </is>
      </c>
      <c r="C6" s="25" t="inlineStr">
        <is>
          <t>كل ما يجب على المطعم دفعه لغيره: مبالغ للموردين، رواتب مستحقة، ضرائب.</t>
        </is>
      </c>
      <c r="D6" s="25" t="inlineStr">
        <is>
          <t>فاتورة مورد الأجبان التي لم تُسدد (2101)، رواتب الشهر المستحقة (2202).</t>
        </is>
      </c>
    </row>
    <row r="7">
      <c r="A7" s="25" t="inlineStr">
        <is>
          <t>حقوق الملكية</t>
        </is>
      </c>
      <c r="B7" s="25" t="inlineStr">
        <is>
          <t>Equity</t>
        </is>
      </c>
      <c r="C7" s="25" t="inlineStr">
        <is>
          <t>ما يخص صاحب المطعم: رأس المال + الأرباح المحتجزة - المسحوبات. = الأصول - الالتزامات.</t>
        </is>
      </c>
      <c r="D7" s="25" t="inlineStr">
        <is>
          <t>رأس المال الذي وضعه المالك (3101).</t>
        </is>
      </c>
    </row>
    <row r="8">
      <c r="A8" s="25" t="inlineStr">
        <is>
          <t>الإيراد</t>
        </is>
      </c>
      <c r="B8" s="25" t="inlineStr">
        <is>
          <t>Revenue</t>
        </is>
      </c>
      <c r="C8" s="25" t="inlineStr">
        <is>
          <t>قيمة ما بعناه من أصناف خلال الفترة (يزيد الربح) بصرف النظر عن وقت التحصيل.</t>
        </is>
      </c>
      <c r="D8" s="25" t="inlineStr">
        <is>
          <t>مبيعات البيتزا في فرع 1 اليوم (4102).</t>
        </is>
      </c>
    </row>
    <row r="9">
      <c r="A9" s="25" t="inlineStr">
        <is>
          <t>المصروف</t>
        </is>
      </c>
      <c r="B9" s="25" t="inlineStr">
        <is>
          <t>Expense</t>
        </is>
      </c>
      <c r="C9" s="25" t="inlineStr">
        <is>
          <t>تكلفة استهلكناها في تشغيل الفترة (تنقص الربح). شراء البضاعة للتخزين ليس مصروفًا حتى تُستهلك.</t>
        </is>
      </c>
      <c r="D9" s="25" t="inlineStr">
        <is>
          <t>إيجار شهر أكتوبر (6201)، كهرباء الفرع (6301).</t>
        </is>
      </c>
    </row>
    <row r="10">
      <c r="A10" s="25" t="inlineStr">
        <is>
          <t>المدين</t>
        </is>
      </c>
      <c r="B10" s="25" t="inlineStr">
        <is>
          <t>Debit (Dr)</t>
        </is>
      </c>
      <c r="C10" s="25" t="inlineStr">
        <is>
          <t>الجانب الأيمن في القيد: يزيد الأصول والمصروفات، وينقص الالتزامات والإيرادات وحقوق الملكية.</t>
        </is>
      </c>
      <c r="D10" s="25" t="inlineStr">
        <is>
          <t>عند بيع نقدي: الخزينة مدينة (زادت) = مدين.</t>
        </is>
      </c>
    </row>
    <row r="11">
      <c r="A11" s="25" t="inlineStr">
        <is>
          <t>الدائن</t>
        </is>
      </c>
      <c r="B11" s="25" t="inlineStr">
        <is>
          <t>Credit (Cr)</t>
        </is>
      </c>
      <c r="C11" s="25" t="inlineStr">
        <is>
          <t>الجانب الأيسر في القيد: يزيد الالتزامات والإيرادات وحقوق الملكية، وينقص الأصول والمصروفات.</t>
        </is>
      </c>
      <c r="D11" s="25" t="inlineStr">
        <is>
          <t>عند البيع: المبيعات دائنة (زادت الإيرادات) = دائن.</t>
        </is>
      </c>
    </row>
    <row r="12">
      <c r="A12" s="25" t="inlineStr">
        <is>
          <t>القيد</t>
        </is>
      </c>
      <c r="B12" s="25" t="inlineStr">
        <is>
          <t>Journal Entry</t>
        </is>
      </c>
      <c r="C12" s="25" t="inlineStr">
        <is>
          <t>تسجيل عملية واحدة بحسابين أو أكثر، مجموع المدين فيه = مجموع الدائن دائمًا.</t>
        </is>
      </c>
      <c r="D12" s="25" t="inlineStr">
        <is>
          <t>شراء بضاعة نقدًا: مدين المخزون 8,000 / دائن الخزينة 8,000.</t>
        </is>
      </c>
    </row>
    <row r="13">
      <c r="A13" s="25" t="inlineStr">
        <is>
          <t>الأستاذ العام</t>
        </is>
      </c>
      <c r="B13" s="25" t="inlineStr">
        <is>
          <t>General Ledger</t>
        </is>
      </c>
      <c r="C13" s="25" t="inlineStr">
        <is>
          <t>دفتر يجمع كل حركات كل حساب بالتاريخ مع الرصيد الجاري، منقولة من دفتر اليومية.</t>
        </is>
      </c>
      <c r="D13" s="25" t="inlineStr">
        <is>
          <t>كشف حساب الخزينة 1101: كل ما دخلها وخرج منها خلال الشهر.</t>
        </is>
      </c>
    </row>
    <row r="14">
      <c r="A14" s="25" t="inlineStr">
        <is>
          <t>ميزان المراجعة</t>
        </is>
      </c>
      <c r="B14" s="25" t="inlineStr">
        <is>
          <t>Trial Balance</t>
        </is>
      </c>
      <c r="C14" s="25" t="inlineStr">
        <is>
          <t>قائمة بأرصدة كل الحسابات؛ إجمالي المدين يجب أن يساوي إجمالي الدائن، وإلا فهناك خطأ.</t>
        </is>
      </c>
      <c r="D14" s="25" t="inlineStr">
        <is>
          <t>إذا ظهر فرق 500 جنيه فأحد القيود غير متوازن أو مفقود.</t>
        </is>
      </c>
    </row>
    <row r="15">
      <c r="A15" s="25" t="inlineStr">
        <is>
          <t>المخزون</t>
        </is>
      </c>
      <c r="B15" s="25" t="inlineStr">
        <is>
          <t>Inventory</t>
        </is>
      </c>
      <c r="C15" s="25" t="inlineStr">
        <is>
          <t>بضاعة ومواد خام ومنتجات نصف مصنعة في المخازن والمطبخ والفروع، تُقيَّم بتكلفتها حتى تُستهلك أو تُباع.</t>
        </is>
      </c>
      <c r="D15" s="25" t="inlineStr">
        <is>
          <t>300 كجم موزاريلا في المخزن بتكلفة 150 جنيه للكيلو = 45,000.</t>
        </is>
      </c>
    </row>
    <row r="16">
      <c r="A16" s="25" t="inlineStr">
        <is>
          <t>تكلفة المبيعات</t>
        </is>
      </c>
      <c r="B16" s="25" t="inlineStr">
        <is>
          <t>Cost of Sales (COGS)</t>
        </is>
      </c>
      <c r="C16" s="25" t="inlineStr">
        <is>
          <t>تكلفة المواد التي استُهلكت فعلًا في إنتاج ما بيع في الفترة (وليس ما اشتريناه).</t>
        </is>
      </c>
      <c r="D16" s="25" t="inlineStr">
        <is>
          <t>اشتريت دقيقًا بـ 12,500 واستهلكت منه ما قيمته 9,000 → التكلفة 9,000 والباقي مخزون.</t>
        </is>
      </c>
    </row>
    <row r="17">
      <c r="A17" s="25" t="inlineStr">
        <is>
          <t>مجمل الربح</t>
        </is>
      </c>
      <c r="B17" s="25" t="inlineStr">
        <is>
          <t>Gross Profit</t>
        </is>
      </c>
      <c r="C17" s="25" t="inlineStr">
        <is>
          <t>صافي المبيعات - تكلفة المبيعات. هو ما يتبقى لتغطية المصروفات التشغيلية.</t>
        </is>
      </c>
      <c r="D17" s="25" t="inlineStr">
        <is>
          <t>صافي مبيعات 300,000 - تكلفة 105,000 = مجمل ربح 195,000.</t>
        </is>
      </c>
    </row>
    <row r="18">
      <c r="A18" s="25" t="inlineStr">
        <is>
          <t>صافي الربح</t>
        </is>
      </c>
      <c r="B18" s="25" t="inlineStr">
        <is>
          <t>Net Profit</t>
        </is>
      </c>
      <c r="C18" s="25" t="inlineStr">
        <is>
          <t>الربح بعد خصم كل التكاليف والمصروفات (الرواتب، الإيجار، العمولات، الإهلاك...).</t>
        </is>
      </c>
      <c r="D18" s="25" t="inlineStr">
        <is>
          <t>مجمل الربح 195,000 - مصروفات 150,000 = صافي ربح 45,000.</t>
        </is>
      </c>
    </row>
    <row r="19">
      <c r="A19" s="25" t="inlineStr">
        <is>
          <t>الاستحقاق</t>
        </is>
      </c>
      <c r="B19" s="25" t="inlineStr">
        <is>
          <t>Accrual</t>
        </is>
      </c>
      <c r="C19" s="25" t="inlineStr">
        <is>
          <t>تسجيل الإيراد أو المصروف في الفترة التي يخصها حتى لو لم يُقبض أو يُدفع المال بعد.</t>
        </is>
      </c>
      <c r="D19" s="25" t="inlineStr">
        <is>
          <t>كهرباء سبتمبر تُسجل في سبتمبر وتُدفع في أكتوبر.</t>
        </is>
      </c>
    </row>
    <row r="20">
      <c r="A20" s="25" t="inlineStr">
        <is>
          <t>التسوية</t>
        </is>
      </c>
      <c r="B20" s="25" t="inlineStr">
        <is>
          <t>Reconciliation / Adjustment</t>
        </is>
      </c>
      <c r="C20" s="25" t="inlineStr">
        <is>
          <t>مطابقة رصيد في دفاترنا برصيد خارجي أو فعلي (بنك، منصة، جرد) وتسجيل أي فرق بقيد موثق.</t>
        </is>
      </c>
      <c r="D20" s="25" t="inlineStr">
        <is>
          <t>مطابقة مستحقات طلبات في الدفاتر مع كشف طلبات؛ الفرق 350 يُسجل في حساب مراجعة.</t>
        </is>
      </c>
    </row>
    <row r="21">
      <c r="A21" s="25" t="inlineStr">
        <is>
          <t>الهالك</t>
        </is>
      </c>
      <c r="B21" s="25" t="inlineStr">
        <is>
          <t>Waste / Spoilage</t>
        </is>
      </c>
      <c r="C21" s="25" t="inlineStr">
        <is>
          <t>ما يتلف أو يُهدر من مواد أو منتجات. الطبيعي (ضمن النسبة المعيارية) يُعتمد؛ غير الطبيعي يحتاج تحقيقًا.</t>
        </is>
      </c>
      <c r="D21" s="25" t="inlineStr">
        <is>
          <t>فاقد تقشير الخضار ضمن 5% معياري = طبيعي؛ تلف 20 كجم جبنة بسبب عطل ثلاجة = غير طبيعي.</t>
        </is>
      </c>
    </row>
  </sheetData>
  <autoFilter ref="A4:D21"/>
  <pageMargins left="0.75" right="0.75" top="1" bottom="1" header="0.5" footer="0.5"/>
</worksheet>
</file>

<file path=xl/worksheets/sheet52.xml><?xml version="1.0" encoding="utf-8"?>
<worksheet xmlns="http://schemas.openxmlformats.org/spreadsheetml/2006/main">
  <sheetPr>
    <tabColor rgb="007F7F7F"/>
    <outlinePr summaryBelow="1" summaryRight="1"/>
    <pageSetUpPr/>
  </sheetPr>
  <dimension ref="A1:F18"/>
  <sheetViews>
    <sheetView rightToLeft="1" zoomScale="90" workbookViewId="0">
      <pane ySplit="4" topLeftCell="A5" activePane="bottomLeft" state="frozen"/>
      <selection pane="bottomLeft" activeCell="A1" sqref="A1"/>
    </sheetView>
  </sheetViews>
  <sheetFormatPr baseColWidth="8" defaultRowHeight="15"/>
  <cols>
    <col width="10" customWidth="1" min="1" max="1"/>
    <col width="36" customWidth="1" min="2" max="2"/>
    <col width="70" customWidth="1" min="3" max="3"/>
    <col width="70" customWidth="1" min="4" max="4"/>
    <col width="22" customWidth="1" min="5" max="5"/>
  </cols>
  <sheetData>
    <row r="1" ht="26" customHeight="1">
      <c r="A1" s="22" t="inlineStr">
        <is>
          <t>المشكلات والقيود المعروفة (Known Issues)</t>
        </is>
      </c>
      <c r="B1" s="1" t="n"/>
      <c r="C1" s="1" t="n"/>
      <c r="D1" s="1" t="n"/>
      <c r="E1" s="1" t="n"/>
      <c r="F1" s="1" t="n"/>
    </row>
    <row r="2">
      <c r="A2" s="23" t="inlineStr">
        <is>
          <t>سجل صريح بما لا يفعله النظام الآن</t>
        </is>
      </c>
    </row>
    <row r="4">
      <c r="A4" s="24" t="inlineStr">
        <is>
          <t>الأهمية</t>
        </is>
      </c>
      <c r="B4" s="24" t="inlineStr">
        <is>
          <t>المشكلة</t>
        </is>
      </c>
      <c r="C4" s="24" t="inlineStr">
        <is>
          <t>الوصف</t>
        </is>
      </c>
      <c r="D4" s="24" t="inlineStr">
        <is>
          <t>التخفيف / الحل</t>
        </is>
      </c>
      <c r="E4" s="24" t="inlineStr">
        <is>
          <t>الحالة</t>
        </is>
      </c>
    </row>
    <row r="5">
      <c r="A5" s="25" t="inlineStr">
        <is>
          <t>حرج</t>
        </is>
      </c>
      <c r="B5" s="25" t="inlineStr">
        <is>
          <t>سعة الصيغ المحدودة</t>
        </is>
      </c>
      <c r="C5" s="25" t="inlineStr">
        <is>
          <t>أوراق المستندات تحوي صيغًا لعدد صفوف محدد (مثلًا المبيعات 280 صفًا ≈ 3 أشهر لثلاثة فروع). تجاوزها يتطلب نسخ الصيغ لأسفل.</t>
        </is>
      </c>
      <c r="D5" s="25" t="inlineStr">
        <is>
          <t>ابدأ ملفًا جديدًا كل ربع سنة برصيد افتتاحي، أو ابنِ النسخة بسعة أكبر بمولّد Python (--scale).</t>
        </is>
      </c>
      <c r="E5" s="25" t="inlineStr">
        <is>
          <t>مقصود بالتصميم</t>
        </is>
      </c>
    </row>
    <row r="6">
      <c r="A6" s="25" t="inlineStr">
        <is>
          <t>حرج</t>
        </is>
      </c>
      <c r="B6" s="25" t="inlineStr">
        <is>
          <t>Google Sheets ليس نظام صلاحيات مالي</t>
        </is>
      </c>
      <c r="C6" s="25" t="inlineStr">
        <is>
          <t>من يملك صلاحية محرر كامل يستطيع تجاوز حماية الصيغ أو تعديل الحالة.</t>
        </is>
      </c>
      <c r="D6" s="25" t="inlineStr">
        <is>
          <t>حدّ الصلاحيات، فعّل سجل الإصدارات، نسخ احتياطي، مراجعة مستقلة، وAudit_Log + Apps Script.</t>
        </is>
      </c>
      <c r="E6" s="25" t="inlineStr">
        <is>
          <t>قيد دائم</t>
        </is>
      </c>
    </row>
    <row r="7">
      <c r="A7" s="25" t="inlineStr">
        <is>
          <t>عالٍ</t>
        </is>
      </c>
      <c r="B7" s="25" t="inlineStr">
        <is>
          <t>لا يوجد قفل تلقائي للفترة المقفلة</t>
        </is>
      </c>
      <c r="C7" s="25" t="inlineStr">
        <is>
          <t>الإقفال سجل + لقطة قيم؛ لا يمنع الترحيل بأثر رجعي في فترة مقفلة (لكن يكشفه فورًا).</t>
        </is>
      </c>
      <c r="D7" s="25" t="inlineStr">
        <is>
          <t>يكشف Period_Close أي تغيير بعد الإقفال؛ وفعّل حماية النطاقات من Apps Script.</t>
        </is>
      </c>
      <c r="E7" s="25" t="inlineStr">
        <is>
          <t>المرحلة 4</t>
        </is>
      </c>
    </row>
    <row r="8">
      <c r="A8" s="25" t="inlineStr">
        <is>
          <t>عالٍ</t>
        </is>
      </c>
      <c r="B8" s="25" t="inlineStr">
        <is>
          <t>المخزون والإنتاج والهالك (المرحلة 2)</t>
        </is>
      </c>
      <c r="C8" s="25" t="inlineStr">
        <is>
          <t>أوراق Inventory_Moves/Production/Recipes هيكل فقط؛ تكلفة المبيعات تُسجل شهريًا بقيد جرد.</t>
        </is>
      </c>
      <c r="D8" s="25" t="inlineStr">
        <is>
          <t>تنفيذ المرحلة 2 مع المتوسط المرجح المتحرك.</t>
        </is>
      </c>
      <c r="E8" s="25" t="inlineStr">
        <is>
          <t>المرحلة 2</t>
        </is>
      </c>
    </row>
    <row r="9">
      <c r="A9" s="25" t="inlineStr">
        <is>
          <t>متوسط</t>
        </is>
      </c>
      <c r="B9" s="25" t="inlineStr">
        <is>
          <t>الرواتب والسلف والأصول (المرحلة 3)</t>
        </is>
      </c>
      <c r="C9" s="25" t="inlineStr">
        <is>
          <t>الرواتب تُثبت بقيد يدوي مؤقت. الإهلاك بقيد يدوي.</t>
        </is>
      </c>
      <c r="D9" s="25" t="inlineStr">
        <is>
          <t>تنفيذ Payroll وFixed_Assets في المرحلة 3.</t>
        </is>
      </c>
      <c r="E9" s="25" t="inlineStr">
        <is>
          <t>المرحلة 3</t>
        </is>
      </c>
    </row>
    <row r="10">
      <c r="A10" s="25" t="inlineStr">
        <is>
          <t>متوسط</t>
        </is>
      </c>
      <c r="B10" s="25" t="inlineStr">
        <is>
          <t>عمولة المنصة عند التسوية فقط</t>
        </is>
      </c>
      <c r="C10" s="25" t="inlineStr">
        <is>
          <t>عمولة المبيعات غير المسواة لا تُحتسب تلقائيًا نهاية الشهر.</t>
        </is>
      </c>
      <c r="D10" s="25" t="inlineStr">
        <is>
          <t>قيد استحقاق يدوي (بند في قائمة الإقفال) بنسبة تقديرية.</t>
        </is>
      </c>
      <c r="E10" s="25" t="inlineStr">
        <is>
          <t>مقصود بالنسخة الأولى</t>
        </is>
      </c>
    </row>
    <row r="11">
      <c r="A11" s="25" t="inlineStr">
        <is>
          <t>متوسط</t>
        </is>
      </c>
      <c r="B11" s="25" t="inlineStr">
        <is>
          <t>أعمار الديون تفترض سداد الأقدم أولًا</t>
        </is>
      </c>
      <c r="C11" s="25" t="inlineStr">
        <is>
          <t>لا يوجد ربط سداد بفاتورة بعينها في الأعمار.</t>
        </is>
      </c>
      <c r="D11" s="25" t="inlineStr">
        <is>
          <t>يمكن لاحقًا إضافة مطابقة فاتورة بفاتورة.</t>
        </is>
      </c>
      <c r="E11" s="25" t="inlineStr">
        <is>
          <t>تحسين</t>
        </is>
      </c>
    </row>
    <row r="12">
      <c r="A12" s="25" t="inlineStr">
        <is>
          <t>متوسط</t>
        </is>
      </c>
      <c r="B12" s="25" t="inlineStr">
        <is>
          <t>الضريبة غير مراجعة قانونيًا</t>
        </is>
      </c>
      <c r="C12" s="25" t="inlineStr">
        <is>
          <t>الضريبة افتراضيًا غير مفعلة والمعالجة غير معتمدة من محاسب قانوني.</t>
        </is>
      </c>
      <c r="D12" s="25" t="inlineStr">
        <is>
          <t>مراجعة محاسب قانوني مصري قبل التفعيل.</t>
        </is>
      </c>
      <c r="E12" s="25" t="inlineStr">
        <is>
          <t>مطلوب من المالك</t>
        </is>
      </c>
    </row>
    <row r="13">
      <c r="A13" s="25" t="inlineStr">
        <is>
          <t>منخفض</t>
        </is>
      </c>
      <c r="B13" s="25" t="inlineStr">
        <is>
          <t>قوائم منسدلة لا تُرشَّح حسب نوع الحساب</t>
        </is>
      </c>
      <c r="C13" s="25" t="inlineStr">
        <is>
          <t>قائمة الحسابات تعرض كل الأكواد، وتفحص الصيغ صلاحية الاختيار.</t>
        </is>
      </c>
      <c r="D13" s="25" t="inlineStr">
        <is>
          <t>حسابات مرشحة عبر Apps Script أو QUERY في المرحلة 4.</t>
        </is>
      </c>
      <c r="E13" s="25" t="inlineStr">
        <is>
          <t>تحسين</t>
        </is>
      </c>
    </row>
    <row r="14">
      <c r="A14" s="25" t="inlineStr">
        <is>
          <t>متوسط</t>
        </is>
      </c>
      <c r="B14" s="25" t="inlineStr">
        <is>
          <t>حد 6 فروع بيع في قائمة الدخل ولوحة التحكم</t>
        </is>
      </c>
      <c r="C14" s="25" t="inlineStr">
        <is>
          <t>الأعمدة تعرض أول 6 فروع بيع نشطة؛ الفروع بعدها تُجمَّع في عمود (غير الفروع) في قائمة الدخل.</t>
        </is>
      </c>
      <c r="D14" s="25" t="inlineStr">
        <is>
          <t>انسخ أعمدة الفروع في Income_Statement وجدول الفروع في Dashboard لإضافة فروع أكثر.</t>
        </is>
      </c>
      <c r="E14" s="25" t="inlineStr">
        <is>
          <t>مقصود بالنسخة الأولى</t>
        </is>
      </c>
    </row>
    <row r="15">
      <c r="A15" s="25" t="inlineStr">
        <is>
          <t>منخفض</t>
        </is>
      </c>
      <c r="B15" s="25" t="inlineStr">
        <is>
          <t>الضيافة والطلبات المجانية بيان فقط في المرحلة 1</t>
        </is>
      </c>
      <c r="C15" s="25" t="inlineStr">
        <is>
          <t>خانة الضيافة في Sales_Daily للعلم ولا تولّد قيدًا (ليست إيرادًا ولا نقدية).</t>
        </is>
      </c>
      <c r="D15" s="25" t="inlineStr">
        <is>
          <t>تكلفتها تدخل في قيد تسوية التكلفة الدورية، وتُحمَّل على 5301 بحركة المخزون في المرحلة 2.</t>
        </is>
      </c>
      <c r="E15" s="25" t="inlineStr">
        <is>
          <t>المرحلة 2</t>
        </is>
      </c>
    </row>
    <row r="16">
      <c r="A16" s="25" t="inlineStr">
        <is>
          <t>منخفض</t>
        </is>
      </c>
      <c r="B16" s="25" t="inlineStr">
        <is>
          <t>محوّل الوحدات لا يعكس المعامل تلقائيًا</t>
        </is>
      </c>
      <c r="C16" s="25" t="inlineStr">
        <is>
          <t>معامل KG→G لا يعني G→KG؛ يجب تعريف كل اتجاه ومراجعته واعتماده.</t>
        </is>
      </c>
      <c r="D16" s="25" t="inlineStr">
        <is>
          <t>عرّف المعامل في الاتجاه المطلوب في Unit_Conversions.</t>
        </is>
      </c>
      <c r="E16" s="25" t="inlineStr">
        <is>
          <t>مقصود (حماية)</t>
        </is>
      </c>
    </row>
    <row r="17">
      <c r="A17" s="25" t="inlineStr">
        <is>
          <t>منخفض</t>
        </is>
      </c>
      <c r="B17" s="25" t="inlineStr">
        <is>
          <t>البيانات التجريبية تغطي 3 أيام بيع شهريًا</t>
        </is>
      </c>
      <c r="C17" s="25" t="inlineStr">
        <is>
          <t>مصروفات الشهر كاملة مقابل مبيعات ثلاثة أيام، لذلك ربح الأشهر التجريبية سالب/ضعيف.</t>
        </is>
      </c>
      <c r="D17" s="25" t="inlineStr">
        <is>
          <t>ليست مؤشرًا على أداء المطعم؛ استخدم النسخة النظيفة للتشغيل.</t>
        </is>
      </c>
      <c r="E17" s="25" t="inlineStr">
        <is>
          <t>مقصود (عينة اختبار)</t>
        </is>
      </c>
    </row>
    <row r="18">
      <c r="A18" s="25" t="inlineStr">
        <is>
          <t>منخفض</t>
        </is>
      </c>
      <c r="B18" s="25" t="inlineStr">
        <is>
          <t>التوافق مع Google Sheets</t>
        </is>
      </c>
      <c r="C18" s="25" t="inlineStr">
        <is>
          <t>تم اختبار الصيغ ببرنامج LibreOffice فقط؛ لم يُفتح الملف داخل Google Sheets أثناء التطوير (لا يوجد وصول).</t>
        </is>
      </c>
      <c r="D18" s="25" t="inlineStr">
        <is>
          <t>افتح الملف في Google Sheets وراجع ورقة Test_Cases (كلها يجب أن تظهر نجح) وأبلغ عن أي اختلاف.</t>
        </is>
      </c>
      <c r="E18" s="25" t="inlineStr">
        <is>
          <t>تحقق مطلوب</t>
        </is>
      </c>
    </row>
  </sheetData>
  <autoFilter ref="A4:E18"/>
  <pageMargins left="0.75" right="0.75" top="1" bottom="1" header="0.5" footer="0.5"/>
</worksheet>
</file>

<file path=xl/worksheets/sheet53.xml><?xml version="1.0" encoding="utf-8"?>
<worksheet xmlns="http://schemas.openxmlformats.org/spreadsheetml/2006/main">
  <sheetPr>
    <tabColor rgb="007F7F7F"/>
    <outlinePr summaryBelow="1" summaryRight="1"/>
    <pageSetUpPr/>
  </sheetPr>
  <dimension ref="A1:F8"/>
  <sheetViews>
    <sheetView rightToLeft="1" zoomScale="90" workbookViewId="0">
      <pane ySplit="4" topLeftCell="A5" activePane="bottomLeft" state="frozen"/>
      <selection pane="bottomLeft" activeCell="A1" sqref="A1"/>
    </sheetView>
  </sheetViews>
  <sheetFormatPr baseColWidth="8" defaultRowHeight="15"/>
  <cols>
    <col width="24" customWidth="1" min="1" max="1"/>
    <col width="120" customWidth="1" min="2" max="2"/>
  </cols>
  <sheetData>
    <row r="1" ht="26" customHeight="1">
      <c r="A1" s="22" t="inlineStr">
        <is>
          <t>خطة التطوير (Roadmap)</t>
        </is>
      </c>
      <c r="B1" s="1" t="n"/>
      <c r="C1" s="1" t="n"/>
      <c r="D1" s="1" t="n"/>
      <c r="E1" s="1" t="n"/>
      <c r="F1" s="1" t="n"/>
    </row>
    <row r="2">
      <c r="A2" s="23" t="inlineStr">
        <is>
          <t>مراحل التنفيذ</t>
        </is>
      </c>
    </row>
    <row r="4">
      <c r="A4" s="24" t="inlineStr">
        <is>
          <t>المرحلة</t>
        </is>
      </c>
      <c r="B4" s="24" t="inlineStr">
        <is>
          <t>المحتوى</t>
        </is>
      </c>
    </row>
    <row r="5">
      <c r="A5" s="25" t="inlineStr">
        <is>
          <t>المرحلة 1 (منجزة)</t>
        </is>
      </c>
      <c r="B5" s="25" t="inlineStr">
        <is>
          <t>دليل الحسابات، الإعدادات، الخزائن، المبيعات، المنصات، المصروفات، الموردون، اليومية، الأستاذ، ميزان المراجعة، قائمة الدخل، الميزانية، التدفقات، لوحة التحكم، قائمة الإقفال، الاختبارات.</t>
        </is>
      </c>
    </row>
    <row r="6">
      <c r="A6" s="25" t="inlineStr">
        <is>
          <t>المرحلة 2</t>
        </is>
      </c>
      <c r="B6" s="25" t="inlineStr">
        <is>
          <t>طلبات وأوامر الشراء والاستلام (3-way match)، بطاقة الصنف وحركات المخزون، المتوسط المرجح المتحرك، التحويلات، السنتر كيتشن والوصفات والإنتاج والهالك، تكلفة المبيعات المستمرة، الجرد وفروق الجرد.</t>
        </is>
      </c>
    </row>
    <row r="7">
      <c r="A7" s="25" t="inlineStr">
        <is>
          <t>المرحلة 3</t>
        </is>
      </c>
      <c r="B7" s="25" t="inlineStr">
        <is>
          <t>الرواتب والسلف والعهد، سجل الأصول الثابتة والإهلاك الآلي، التسويات والإقفال المتقدم، أعمار ديون بمطابقة فاتورة بفاتورة، تقارير متقدمة.</t>
        </is>
      </c>
    </row>
    <row r="8">
      <c r="A8" s="25" t="inlineStr">
        <is>
          <t>المرحلة 4</t>
        </is>
      </c>
      <c r="B8" s="25" t="inlineStr">
        <is>
          <t>لوحة تحكم متقدمة، حماية صلاحيات بنطاقات جوجل، Apps Script (سجل التعديلات، ترحيل بزر، منع التعديل بعد الإقفال، تنبيهات بريد)، واجهة إدخال هاتف (Google Forms).</t>
        </is>
      </c>
    </row>
  </sheetData>
  <autoFilter ref="A4:B8"/>
  <pageMargins left="0.75" right="0.75" top="1" bottom="1" header="0.5" footer="0.5"/>
</worksheet>
</file>

<file path=xl/worksheets/sheet54.xml><?xml version="1.0" encoding="utf-8"?>
<worksheet xmlns="http://schemas.openxmlformats.org/spreadsheetml/2006/main">
  <sheetPr>
    <tabColor rgb="007F7F7F"/>
    <outlinePr summaryBelow="1" summaryRight="1"/>
    <pageSetUpPr/>
  </sheetPr>
  <dimension ref="A1:F12"/>
  <sheetViews>
    <sheetView rightToLeft="1" zoomScale="90" workbookViewId="0">
      <pane ySplit="4" topLeftCell="A5" activePane="bottomLeft" state="frozen"/>
      <selection pane="bottomLeft" activeCell="A1" sqref="A1"/>
    </sheetView>
  </sheetViews>
  <sheetFormatPr baseColWidth="8" defaultRowHeight="15"/>
  <cols>
    <col width="6" customWidth="1" min="1" max="1"/>
    <col width="130" customWidth="1" min="2" max="2"/>
  </cols>
  <sheetData>
    <row r="1" ht="26" customHeight="1">
      <c r="A1" s="22" t="inlineStr">
        <is>
          <t>الأسئلة المفتوحة للمالك</t>
        </is>
      </c>
      <c r="B1" s="1" t="n"/>
      <c r="C1" s="1" t="n"/>
      <c r="D1" s="1" t="n"/>
      <c r="E1" s="1" t="n"/>
      <c r="F1" s="1" t="n"/>
    </row>
    <row r="2">
      <c r="A2" s="23" t="inlineStr">
        <is>
          <t>أسئلة ضرورية فقط؛ النظام يعمل بافتراضات مؤقتة قابلة للتعديل حتى تُجاب</t>
        </is>
      </c>
    </row>
    <row r="4">
      <c r="A4" s="24" t="inlineStr">
        <is>
          <t>م</t>
        </is>
      </c>
      <c r="B4" s="24" t="inlineStr">
        <is>
          <t>السؤال</t>
        </is>
      </c>
    </row>
    <row r="5">
      <c r="A5" s="25" t="n">
        <v>1</v>
      </c>
      <c r="B5" s="25" t="inlineStr">
        <is>
          <t>هل المبيعات والمشتريات شاملة لضريبة القيمة المضافة؟ وهل المنشأة مسجلة في الضريبة؟ (الافتراضي: غير مفعلة).</t>
        </is>
      </c>
    </row>
    <row r="6">
      <c r="A6" s="25" t="n">
        <v>2</v>
      </c>
      <c r="B6" s="25" t="inlineStr">
        <is>
          <t>أسماء الموردين والموظفين والفروع الحقيقية وشروط السداد (الملف يحوي بيانات تجريبية).</t>
        </is>
      </c>
    </row>
    <row r="7">
      <c r="A7" s="25" t="n">
        <v>3</v>
      </c>
      <c r="B7" s="25" t="inlineStr">
        <is>
          <t>العمولات الفعلية لكل منصة توصيل ومواعيد التسوية المعتادة.</t>
        </is>
      </c>
    </row>
    <row r="8">
      <c r="A8" s="25" t="n">
        <v>4</v>
      </c>
      <c r="B8" s="25" t="inlineStr">
        <is>
          <t>الأرصدة الافتتاحية الحقيقية (خزائن، بنوك، مخزون، موردون، أصول) وتاريخ بدء التشغيل.</t>
        </is>
      </c>
    </row>
    <row r="9">
      <c r="A9" s="25" t="n">
        <v>5</v>
      </c>
      <c r="B9" s="25" t="inlineStr">
        <is>
          <t>من هم المستخدمون وأدوارهم، وهل يوجد محاسب منفصل ومراجع مستقل؟</t>
        </is>
      </c>
    </row>
    <row r="10">
      <c r="A10" s="25" t="n">
        <v>6</v>
      </c>
      <c r="B10" s="25" t="inlineStr">
        <is>
          <t>حدود الصلاحية المالية (مبلغ يحتاج توقيعين) لكل دور.</t>
        </is>
      </c>
    </row>
    <row r="11">
      <c r="A11" s="25" t="n">
        <v>7</v>
      </c>
      <c r="B11" s="25" t="inlineStr">
        <is>
          <t>الشعار (Logo) لإضافته إلى النماذج المطبوعة.</t>
        </is>
      </c>
    </row>
    <row r="12">
      <c r="A12" s="25" t="n">
        <v>8</v>
      </c>
      <c r="B12" s="25" t="inlineStr">
        <is>
          <t>هل تستخدمون نظام نقاط بيع يصدّر تقرير مبيعات يومي (لربط الاستيراد لاحقًا)؟</t>
        </is>
      </c>
    </row>
  </sheetData>
  <autoFilter ref="A4:B12"/>
  <pageMargins left="0.75" right="0.75" top="1" bottom="1" header="0.5" footer="0.5"/>
</worksheet>
</file>

<file path=xl/worksheets/sheet55.xml><?xml version="1.0" encoding="utf-8"?>
<worksheet xmlns="http://schemas.openxmlformats.org/spreadsheetml/2006/main">
  <sheetPr>
    <tabColor rgb="007F7F7F"/>
    <outlinePr summaryBelow="1" summaryRight="1"/>
    <pageSetUpPr/>
  </sheetPr>
  <dimension ref="A1:F14"/>
  <sheetViews>
    <sheetView rightToLeft="1" zoomScale="90" workbookViewId="0">
      <pane ySplit="4" topLeftCell="A5" activePane="bottomLeft" state="frozen"/>
      <selection pane="bottomLeft" activeCell="A1" sqref="A1"/>
    </sheetView>
  </sheetViews>
  <sheetFormatPr baseColWidth="8" defaultRowHeight="15"/>
  <cols>
    <col width="30" customWidth="1" min="1" max="1"/>
    <col width="80" customWidth="1" min="2" max="2"/>
    <col width="44" customWidth="1" min="3" max="3"/>
    <col width="44" customWidth="1" min="4" max="4"/>
  </cols>
  <sheetData>
    <row r="1" ht="26" customHeight="1">
      <c r="A1" s="22" t="inlineStr">
        <is>
          <t>إعدادات وتوسعة النظام (Expansion Guide)</t>
        </is>
      </c>
      <c r="B1" s="1" t="n"/>
      <c r="C1" s="1" t="n"/>
      <c r="D1" s="1" t="n"/>
      <c r="E1" s="1" t="n"/>
      <c r="F1" s="1" t="n"/>
    </row>
    <row r="2">
      <c r="A2" s="23" t="inlineStr">
        <is>
          <t>كيف تضيف فرعًا أو مخزنًا أو حسابًا أو وسيلة دفع أو تفعّل مرحلة جديدة دون إعادة بناء الملف</t>
        </is>
      </c>
    </row>
    <row r="4">
      <c r="A4" s="24" t="inlineStr">
        <is>
          <t>الإجراء</t>
        </is>
      </c>
      <c r="B4" s="24" t="inlineStr">
        <is>
          <t>الخطوات بالترتيب</t>
        </is>
      </c>
      <c r="C4" s="24" t="inlineStr">
        <is>
          <t>ما يتغير تلقائيًا</t>
        </is>
      </c>
      <c r="D4" s="24" t="inlineStr">
        <is>
          <t>ملاحظات/حدود</t>
        </is>
      </c>
    </row>
    <row r="5">
      <c r="A5" s="25" t="inlineStr">
        <is>
          <t>إضافة فرع بيع جديد (مثل BR05)</t>
        </is>
      </c>
      <c r="B5" s="25" t="inlineStr">
        <is>
          <t>1) COA: أضف حسابًا جديدًا في صف فارغ: الكود 1108، الاسم (خزينة الفرع BR05)، النوع A، المستوى 3، قابل للترحيل نعم، نقدي = 1، مسموح فيها: لا.
2) Treasuries: صف جديد CSH-BR05 بالنوع (خزينة) والموقع BR05 وحساب الأستاذ 1108.
3) Locations: صف BR05 بالنوع (فرع) والخزينة الافتراضية CSH-BR05.
4) Users: أضف مدير الفرع وأمين الصندوق.
5) ابدأ تسجيل تقارير مبيعات BR05 في Sales_Daily.</t>
        </is>
      </c>
      <c r="C5" s="25" t="inlineStr">
        <is>
          <t>يظهر الفرع في القوائم المنسدلة، وفي أعمدة قائمة الدخل، وفي جدول مقارنة الفروع بلوحة التحكم، وتُحسب خزينته في Treasury_Balances.</t>
        </is>
      </c>
      <c r="D5" s="25" t="inlineStr">
        <is>
          <t>قائمة الدخل ولوحة التحكم تعرضان حتى 6 فروع بيع؛ لأكثر من ذلك انسخ أعمدة الفروع في Income_Statement. ملف الاختبار يضم BR04 كمثال (اختبار T13).</t>
        </is>
      </c>
    </row>
    <row r="6">
      <c r="A6" s="25" t="inlineStr">
        <is>
          <t>إضافة مخزن أو مطبخ مركزي جديد (WH02 / CK02)</t>
        </is>
      </c>
      <c r="B6" s="25" t="inlineStr">
        <is>
          <t>1) Locations: صف WH02 بنوع (مخزن رئيسي) أو CK02 بنوع (سنتر كيتشن).
2) COA (اختياري عند تفعيل المخزون): حساب مخزون مستقل مثل 1408 إن أردت فصل أرصدته.
3) استخدم الكود الجديد في فواتير الموردين (جهة الاستلام) والمصروفات والقيود.</t>
        </is>
      </c>
      <c r="C6" s="25" t="inlineStr">
        <is>
          <t>يظهر الموقع في كل القوائم وتقارير المصروفات والمشتريات حسب الموقع.</t>
        </is>
      </c>
      <c r="D6" s="25" t="inlineStr">
        <is>
          <t>المخزون التفصيلي بالصنف في المرحلة 2 (Inventory_Moves).</t>
        </is>
      </c>
    </row>
    <row r="7">
      <c r="A7" s="25" t="inlineStr">
        <is>
          <t>إضافة حساب جديد</t>
        </is>
      </c>
      <c r="B7" s="25" t="inlineStr">
        <is>
          <t>COA: في أول صف فارغ اكتب الكود ضمن نطاق مجموعته (مثل 6305 تحت المرافق)، الاسم، النوع، المستوى 3، قابل للترحيل نعم، الطبيعة. للمصروفات اجعل (مسموح في المصروفات) = نعم. للمخزون/الأصول (مسموح في المشتريات) = نعم.</t>
        </is>
      </c>
      <c r="C7" s="25" t="inlineStr">
        <is>
          <t>يدخل الحساب آليًا في ميزان المراجعة وقائمة الدخل (ضمن نطاق مجموعته) والميزانية والقوائم المنسدلة.</t>
        </is>
      </c>
      <c r="D7" s="25" t="inlineStr">
        <is>
          <t>الحساب خارج نطاقات التقارير (مثل 7000) لا يظهر في قائمة الدخل؛ عدّل نطاقات الأسطر في Income_Statement/Balance_Sheet.</t>
        </is>
      </c>
    </row>
    <row r="8">
      <c r="A8" s="25" t="inlineStr">
        <is>
          <t>إضافة وسيلة دفع أو منصة توصيل</t>
        </is>
      </c>
      <c r="B8" s="25" t="inlineStr">
        <is>
          <t>1) COA: حساب مستحقات جديد (مثل 1305 مستحقات منصة جديدة).
2) Payment_Methods: صف جديد بالكود والنوع (منصة) وحساب المستحقات وحساب العمولة والنسبة التقديرية وأيام التسوية.
3) Sales_Daily: سجّل مبلغها في خانتي (تحصيل وسيلة أخرى) و(كود الوسيلة الأخرى).</t>
        </is>
      </c>
      <c r="C8" s="25" t="inlineStr">
        <is>
          <t>تتولد القيود وتظهر في المطابقة اليومية وتسويات المنصات وتنبيه تأخر التسوية.</t>
        </is>
      </c>
      <c r="D8" s="25" t="inlineStr">
        <is>
          <t>الخانة الإضافية تتسع لوسيلة واحدة في اليوم/الفرع؛ لوسائل أكثر أضف عمودًا (انظر تحويل السعة).</t>
        </is>
      </c>
    </row>
    <row r="9">
      <c r="A9" s="25" t="inlineStr">
        <is>
          <t>إضافة مركز تكلفة أو مستخدم</t>
        </is>
      </c>
      <c r="B9" s="25" t="inlineStr">
        <is>
          <t>Cost_Centers أو Users: أضف صفًا بالكود والاسم/الدور والبريد.</t>
        </is>
      </c>
      <c r="C9" s="25" t="inlineStr">
        <is>
          <t>يظهر في القوائم المنسدلة.</t>
        </is>
      </c>
      <c r="D9" s="25" t="inlineStr">
        <is>
          <t>الصلاحيات الفعلية تُضبط في مشاركة Google Sheets وApps Script.</t>
        </is>
      </c>
    </row>
    <row r="10">
      <c r="A10" s="25" t="inlineStr">
        <is>
          <t>تفعيل ضريبة القيمة المضافة</t>
        </is>
      </c>
      <c r="B10" s="25" t="inlineStr">
        <is>
          <t>Tax_Settings: اجعل (تفعيل ضريبة القيمة المضافة؟) = نعم وراجع النسبة بعد مراجعة المحاسب القانوني.</t>
        </is>
      </c>
      <c r="C10" s="25" t="inlineStr">
        <is>
          <t>يفصل قيد المبيعات الضريبة (2301) والإيراد بدون ضريبة، وتُقبل ضريبة المدخلات في المصروفات والفواتير.</t>
        </is>
      </c>
      <c r="D10" s="25" t="inlineStr">
        <is>
          <t>افتراضًا غير مفعلة. تغييرها منتصف فترة يتطلب مراجعة محاسبية.</t>
        </is>
      </c>
    </row>
    <row r="11">
      <c r="A11" s="25" t="inlineStr">
        <is>
          <t>زيادة سعة الصفوف</t>
        </is>
      </c>
      <c r="B11" s="25" t="inlineStr">
        <is>
          <t>الخيار أ (الأفضل): ابدأ ملفًا جديدًا كل ربع سنة بقيد افتتاحي (Manual_JE) من أرصدة نهاية الفترة السابقة.
الخيار ب: ابنِ ملفًا بسعة أكبر: `python3 build/build_system.py --scale 2`.
الخيار ج (يدوي): ألغِ الحماية، انسخ آخر صف معادلات في ورقة المصدر وفي GL_Journal وDoc_Register لأسفل بنفس العدد.</t>
        </is>
      </c>
      <c r="C11" s="25" t="inlineStr">
        <is>
          <t>الأرصدة والأعمار والتقارير تعمل على نطاقات أعمدة كاملة فلا تحتاج تعديلًا.</t>
        </is>
      </c>
      <c r="D11" s="25" t="inlineStr">
        <is>
          <t>ورقة المصدر وGL_Journal وDoc_Register يجب أن تتسع للعدد نفسه.</t>
        </is>
      </c>
    </row>
    <row r="12">
      <c r="A12" s="25" t="inlineStr">
        <is>
          <t>بدء فترة جديدة (ربع/سنة) في ملف جديد</t>
        </is>
      </c>
      <c r="B12" s="25" t="inlineStr">
        <is>
          <t>1) أقفل آخر شهر في الملف القديم واحفظه للأرشيف.
2) في الملف النظيف: ضع القيد الافتتاحي (نوع افتتاحي) بأرصدة كل الحسابات الحقيقية من ميزان المراجعة المقفل، مع كود الجهة لحسابات الموردين والعملاء والسلف والعهد.
3) راجع أن ميزان المراجعة الافتتاحي متوازن.</t>
        </is>
      </c>
      <c r="C12" s="25" t="inlineStr">
        <is>
          <t>تبدأ الأرصدة والأعمار من الصفر بقيد واحد موثق.</t>
        </is>
      </c>
      <c r="D12" s="25" t="inlineStr">
        <is>
          <t>الأرصدة الافتتاحية للموردين تُعتبر قديمة في أعمار الديون لعدم وجود تواريخ فواتيرها.</t>
        </is>
      </c>
    </row>
    <row r="13">
      <c r="A13" s="25" t="inlineStr">
        <is>
          <t>الانتقال إلى تكلفة المبيعات المستمرة (المرحلة 2)</t>
        </is>
      </c>
      <c r="B13" s="25" t="inlineStr">
        <is>
          <t>اجرد وأقفل آخر شهر دوري ← فعّل Inventory_Moves ← غيّر Settings!S_CogsMethod إلى PERPETUAL.</t>
        </is>
      </c>
      <c r="C13" s="25" t="inlineStr">
        <is>
          <t>يتوقف طلب قيد التسوية الدوري ويتحقق V11 من عدم الازدواج.</t>
        </is>
      </c>
      <c r="D13" s="25" t="inlineStr">
        <is>
          <t>راجع docs/11_Phase2_Design_Notes.md.</t>
        </is>
      </c>
    </row>
    <row r="14">
      <c r="A14" s="25" t="inlineStr">
        <is>
          <t>تفعيل المراحل 2 و3</t>
        </is>
      </c>
      <c r="B14" s="25" t="inlineStr">
        <is>
          <t>تفعيل ورقة Inventory_Moves/Production/Payroll/Fixed_Assets بعد استكمال تصميمها (هياكلها موجودة) وربطها بـ GL_Journal ككتل جديدة وفق نفس نمط المصادر.</t>
        </is>
      </c>
      <c r="C14" s="25" t="inlineStr">
        <is>
          <t>تتولد قيودها آليًا وتظهر في كل التقارير.</t>
        </is>
      </c>
      <c r="D14" s="25" t="inlineStr">
        <is>
          <t>تُنفَّذ كمراحل مستقلة.</t>
        </is>
      </c>
    </row>
  </sheetData>
  <autoFilter ref="A4:D14"/>
  <pageMargins left="0.75" right="0.75" top="1" bottom="1" header="0.5" footer="0.5"/>
</worksheet>
</file>

<file path=xl/worksheets/sheet56.xml><?xml version="1.0" encoding="utf-8"?>
<worksheet xmlns="http://schemas.openxmlformats.org/spreadsheetml/2006/main">
  <sheetPr>
    <tabColor rgb="00A6A6A6"/>
    <outlinePr summaryBelow="1" summaryRight="1"/>
    <pageSetUpPr fitToPage="1"/>
  </sheetPr>
  <dimension ref="A1:J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9" customWidth="1" min="4" max="4"/>
    <col width="12" customWidth="1" min="5" max="5"/>
    <col width="10" customWidth="1" min="6" max="6"/>
    <col width="8" customWidth="1" min="7" max="7"/>
    <col width="12" customWidth="1" min="8" max="8"/>
    <col width="10" customWidth="1" min="9" max="9"/>
    <col width="20" customWidth="1" min="10" max="10"/>
  </cols>
  <sheetData>
    <row r="1" ht="26" customHeight="1">
      <c r="A1" s="22" t="inlineStr">
        <is>
          <t>طلبات الشراء PR (المرحلة 2 - هيكل فقط)</t>
        </is>
      </c>
      <c r="B1" s="1" t="n"/>
      <c r="C1" s="1" t="n"/>
      <c r="D1" s="1" t="n"/>
      <c r="E1" s="1" t="n"/>
      <c r="F1" s="1" t="n"/>
      <c r="G1" s="1" t="n"/>
      <c r="H1" s="1" t="n"/>
      <c r="I1" s="1" t="n"/>
      <c r="J1" s="1" t="n"/>
    </row>
    <row r="2">
      <c r="A2" s="35" t="inlineStr">
        <is>
          <t>لا يؤثر على الدفاتر بعد. يُفعَّل في المرحلة 2 مع أوامر الشراء والاستلام.</t>
        </is>
      </c>
    </row>
    <row r="3">
      <c r="A3" s="36" t="inlineStr">
        <is>
          <t>خلايا الإدخال</t>
        </is>
      </c>
      <c r="B3" s="37" t="inlineStr">
        <is>
          <t>معادلات (لا تعدّل)</t>
        </is>
      </c>
    </row>
    <row r="4" ht="34" customHeight="1">
      <c r="A4" s="24" t="inlineStr">
        <is>
          <t>رقم الطلب</t>
        </is>
      </c>
      <c r="B4" s="24" t="inlineStr">
        <is>
          <t>التاريخ</t>
        </is>
      </c>
      <c r="C4" s="24" t="inlineStr">
        <is>
          <t>طالب الشراء</t>
        </is>
      </c>
      <c r="D4" s="24" t="inlineStr">
        <is>
          <t>الموقع</t>
        </is>
      </c>
      <c r="E4" s="24" t="inlineStr">
        <is>
          <t>الصنف</t>
        </is>
      </c>
      <c r="F4" s="24" t="inlineStr">
        <is>
          <t>الكمية</t>
        </is>
      </c>
      <c r="G4" s="24" t="inlineStr">
        <is>
          <t>الوحدة</t>
        </is>
      </c>
      <c r="H4" s="24" t="inlineStr">
        <is>
          <t>تاريخ الاحتياج</t>
        </is>
      </c>
      <c r="I4" s="24" t="inlineStr">
        <is>
          <t>الحالة</t>
        </is>
      </c>
      <c r="J4" s="24" t="inlineStr">
        <is>
          <t>المعتمد</t>
        </is>
      </c>
    </row>
    <row r="5">
      <c r="A5" s="29" t="n"/>
      <c r="B5" s="29" t="n"/>
      <c r="C5" s="29" t="n"/>
      <c r="D5" s="29" t="n"/>
      <c r="E5" s="29" t="n"/>
      <c r="F5" s="29" t="n"/>
      <c r="G5" s="29" t="n"/>
      <c r="H5" s="29" t="n"/>
      <c r="I5" s="29" t="n"/>
      <c r="J5" s="29" t="n"/>
    </row>
    <row r="6">
      <c r="A6" s="29" t="n"/>
      <c r="B6" s="29" t="n"/>
      <c r="C6" s="29" t="n"/>
      <c r="D6" s="29" t="n"/>
      <c r="E6" s="29" t="n"/>
      <c r="F6" s="29" t="n"/>
      <c r="G6" s="29" t="n"/>
      <c r="H6" s="29" t="n"/>
      <c r="I6" s="29" t="n"/>
      <c r="J6" s="29" t="n"/>
    </row>
    <row r="7">
      <c r="A7" s="29" t="n"/>
      <c r="B7" s="29" t="n"/>
      <c r="C7" s="29" t="n"/>
      <c r="D7" s="29" t="n"/>
      <c r="E7" s="29" t="n"/>
      <c r="F7" s="29" t="n"/>
      <c r="G7" s="29" t="n"/>
      <c r="H7" s="29" t="n"/>
      <c r="I7" s="29" t="n"/>
      <c r="J7" s="29" t="n"/>
    </row>
    <row r="8">
      <c r="A8" s="29" t="n"/>
      <c r="B8" s="29" t="n"/>
      <c r="C8" s="29" t="n"/>
      <c r="D8" s="29" t="n"/>
      <c r="E8" s="29" t="n"/>
      <c r="F8" s="29" t="n"/>
      <c r="G8" s="29" t="n"/>
      <c r="H8" s="29" t="n"/>
      <c r="I8" s="29" t="n"/>
      <c r="J8" s="29" t="n"/>
    </row>
    <row r="9">
      <c r="A9" s="29" t="n"/>
      <c r="B9" s="29" t="n"/>
      <c r="C9" s="29" t="n"/>
      <c r="D9" s="29" t="n"/>
      <c r="E9" s="29" t="n"/>
      <c r="F9" s="29" t="n"/>
      <c r="G9" s="29" t="n"/>
      <c r="H9" s="29" t="n"/>
      <c r="I9" s="29" t="n"/>
      <c r="J9" s="29" t="n"/>
    </row>
    <row r="10">
      <c r="A10" s="29" t="n"/>
      <c r="B10" s="29" t="n"/>
      <c r="C10" s="29" t="n"/>
      <c r="D10" s="29" t="n"/>
      <c r="E10" s="29" t="n"/>
      <c r="F10" s="29" t="n"/>
      <c r="G10" s="29" t="n"/>
      <c r="H10" s="29" t="n"/>
      <c r="I10" s="29" t="n"/>
      <c r="J10" s="29" t="n"/>
    </row>
    <row r="11">
      <c r="A11" s="29" t="n"/>
      <c r="B11" s="29" t="n"/>
      <c r="C11" s="29" t="n"/>
      <c r="D11" s="29" t="n"/>
      <c r="E11" s="29" t="n"/>
      <c r="F11" s="29" t="n"/>
      <c r="G11" s="29" t="n"/>
      <c r="H11" s="29" t="n"/>
      <c r="I11" s="29" t="n"/>
      <c r="J11" s="29" t="n"/>
    </row>
    <row r="12">
      <c r="A12" s="29" t="n"/>
      <c r="B12" s="29" t="n"/>
      <c r="C12" s="29" t="n"/>
      <c r="D12" s="29" t="n"/>
      <c r="E12" s="29" t="n"/>
      <c r="F12" s="29" t="n"/>
      <c r="G12" s="29" t="n"/>
      <c r="H12" s="29" t="n"/>
      <c r="I12" s="29" t="n"/>
      <c r="J12" s="29" t="n"/>
    </row>
    <row r="13">
      <c r="A13" s="29" t="n"/>
      <c r="B13" s="29" t="n"/>
      <c r="C13" s="29" t="n"/>
      <c r="D13" s="29" t="n"/>
      <c r="E13" s="29" t="n"/>
      <c r="F13" s="29" t="n"/>
      <c r="G13" s="29" t="n"/>
      <c r="H13" s="29" t="n"/>
      <c r="I13" s="29" t="n"/>
      <c r="J13" s="29" t="n"/>
    </row>
    <row r="14">
      <c r="A14" s="29" t="n"/>
      <c r="B14" s="29" t="n"/>
      <c r="C14" s="29" t="n"/>
      <c r="D14" s="29" t="n"/>
      <c r="E14" s="29" t="n"/>
      <c r="F14" s="29" t="n"/>
      <c r="G14" s="29" t="n"/>
      <c r="H14" s="29" t="n"/>
      <c r="I14" s="29" t="n"/>
      <c r="J14" s="29" t="n"/>
    </row>
    <row r="15">
      <c r="A15" s="29" t="n"/>
      <c r="B15" s="29" t="n"/>
      <c r="C15" s="29" t="n"/>
      <c r="D15" s="29" t="n"/>
      <c r="E15" s="29" t="n"/>
      <c r="F15" s="29" t="n"/>
      <c r="G15" s="29" t="n"/>
      <c r="H15" s="29" t="n"/>
      <c r="I15" s="29" t="n"/>
      <c r="J15" s="29" t="n"/>
    </row>
    <row r="16">
      <c r="A16" s="29" t="n"/>
      <c r="B16" s="29" t="n"/>
      <c r="C16" s="29" t="n"/>
      <c r="D16" s="29" t="n"/>
      <c r="E16" s="29" t="n"/>
      <c r="F16" s="29" t="n"/>
      <c r="G16" s="29" t="n"/>
      <c r="H16" s="29" t="n"/>
      <c r="I16" s="29" t="n"/>
      <c r="J16" s="29" t="n"/>
    </row>
    <row r="17">
      <c r="A17" s="29" t="n"/>
      <c r="B17" s="29" t="n"/>
      <c r="C17" s="29" t="n"/>
      <c r="D17" s="29" t="n"/>
      <c r="E17" s="29" t="n"/>
      <c r="F17" s="29" t="n"/>
      <c r="G17" s="29" t="n"/>
      <c r="H17" s="29" t="n"/>
      <c r="I17" s="29" t="n"/>
      <c r="J17" s="29" t="n"/>
    </row>
    <row r="18">
      <c r="A18" s="29" t="n"/>
      <c r="B18" s="29" t="n"/>
      <c r="C18" s="29" t="n"/>
      <c r="D18" s="29" t="n"/>
      <c r="E18" s="29" t="n"/>
      <c r="F18" s="29" t="n"/>
      <c r="G18" s="29" t="n"/>
      <c r="H18" s="29" t="n"/>
      <c r="I18" s="29" t="n"/>
      <c r="J18" s="29" t="n"/>
    </row>
    <row r="19">
      <c r="A19" s="29" t="n"/>
      <c r="B19" s="29" t="n"/>
      <c r="C19" s="29" t="n"/>
      <c r="D19" s="29" t="n"/>
      <c r="E19" s="29" t="n"/>
      <c r="F19" s="29" t="n"/>
      <c r="G19" s="29" t="n"/>
      <c r="H19" s="29" t="n"/>
      <c r="I19" s="29" t="n"/>
      <c r="J19" s="29" t="n"/>
    </row>
    <row r="20">
      <c r="A20" s="29" t="n"/>
      <c r="B20" s="29" t="n"/>
      <c r="C20" s="29" t="n"/>
      <c r="D20" s="29" t="n"/>
      <c r="E20" s="29" t="n"/>
      <c r="F20" s="29" t="n"/>
      <c r="G20" s="29" t="n"/>
      <c r="H20" s="29" t="n"/>
      <c r="I20" s="29" t="n"/>
      <c r="J20" s="29" t="n"/>
    </row>
    <row r="21">
      <c r="A21" s="29" t="n"/>
      <c r="B21" s="29" t="n"/>
      <c r="C21" s="29" t="n"/>
      <c r="D21" s="29" t="n"/>
      <c r="E21" s="29" t="n"/>
      <c r="F21" s="29" t="n"/>
      <c r="G21" s="29" t="n"/>
      <c r="H21" s="29" t="n"/>
      <c r="I21" s="29" t="n"/>
      <c r="J21" s="29" t="n"/>
    </row>
    <row r="22">
      <c r="A22" s="29" t="n"/>
      <c r="B22" s="29" t="n"/>
      <c r="C22" s="29" t="n"/>
      <c r="D22" s="29" t="n"/>
      <c r="E22" s="29" t="n"/>
      <c r="F22" s="29" t="n"/>
      <c r="G22" s="29" t="n"/>
      <c r="H22" s="29" t="n"/>
      <c r="I22" s="29" t="n"/>
      <c r="J22" s="29" t="n"/>
    </row>
    <row r="23">
      <c r="A23" s="29" t="n"/>
      <c r="B23" s="29" t="n"/>
      <c r="C23" s="29" t="n"/>
      <c r="D23" s="29" t="n"/>
      <c r="E23" s="29" t="n"/>
      <c r="F23" s="29" t="n"/>
      <c r="G23" s="29" t="n"/>
      <c r="H23" s="29" t="n"/>
      <c r="I23" s="29" t="n"/>
      <c r="J23" s="29" t="n"/>
    </row>
    <row r="24">
      <c r="A24" s="29" t="n"/>
      <c r="B24" s="29" t="n"/>
      <c r="C24" s="29" t="n"/>
      <c r="D24" s="29" t="n"/>
      <c r="E24" s="29" t="n"/>
      <c r="F24" s="29" t="n"/>
      <c r="G24" s="29" t="n"/>
      <c r="H24" s="29" t="n"/>
      <c r="I24" s="29" t="n"/>
      <c r="J24" s="29" t="n"/>
    </row>
    <row r="25">
      <c r="A25" s="29" t="n"/>
      <c r="B25" s="29" t="n"/>
      <c r="C25" s="29" t="n"/>
      <c r="D25" s="29" t="n"/>
      <c r="E25" s="29" t="n"/>
      <c r="F25" s="29" t="n"/>
      <c r="G25" s="29" t="n"/>
      <c r="H25" s="29" t="n"/>
      <c r="I25" s="29" t="n"/>
      <c r="J25" s="29" t="n"/>
    </row>
    <row r="26">
      <c r="A26" s="29" t="n"/>
      <c r="B26" s="29" t="n"/>
      <c r="C26" s="29" t="n"/>
      <c r="D26" s="29" t="n"/>
      <c r="E26" s="29" t="n"/>
      <c r="F26" s="29" t="n"/>
      <c r="G26" s="29" t="n"/>
      <c r="H26" s="29" t="n"/>
      <c r="I26" s="29" t="n"/>
      <c r="J26" s="29" t="n"/>
    </row>
    <row r="27">
      <c r="A27" s="29" t="n"/>
      <c r="B27" s="29" t="n"/>
      <c r="C27" s="29" t="n"/>
      <c r="D27" s="29" t="n"/>
      <c r="E27" s="29" t="n"/>
      <c r="F27" s="29" t="n"/>
      <c r="G27" s="29" t="n"/>
      <c r="H27" s="29" t="n"/>
      <c r="I27" s="29" t="n"/>
      <c r="J27" s="29" t="n"/>
    </row>
    <row r="28">
      <c r="A28" s="29" t="n"/>
      <c r="B28" s="29" t="n"/>
      <c r="C28" s="29" t="n"/>
      <c r="D28" s="29" t="n"/>
      <c r="E28" s="29" t="n"/>
      <c r="F28" s="29" t="n"/>
      <c r="G28" s="29" t="n"/>
      <c r="H28" s="29" t="n"/>
      <c r="I28" s="29" t="n"/>
      <c r="J28" s="29" t="n"/>
    </row>
    <row r="29">
      <c r="A29" s="29" t="n"/>
      <c r="B29" s="29" t="n"/>
      <c r="C29" s="29" t="n"/>
      <c r="D29" s="29" t="n"/>
      <c r="E29" s="29" t="n"/>
      <c r="F29" s="29" t="n"/>
      <c r="G29" s="29" t="n"/>
      <c r="H29" s="29" t="n"/>
      <c r="I29" s="29" t="n"/>
      <c r="J29" s="29" t="n"/>
    </row>
    <row r="30">
      <c r="A30" s="29" t="n"/>
      <c r="B30" s="29" t="n"/>
      <c r="C30" s="29" t="n"/>
      <c r="D30" s="29" t="n"/>
      <c r="E30" s="29" t="n"/>
      <c r="F30" s="29" t="n"/>
      <c r="G30" s="29" t="n"/>
      <c r="H30" s="29" t="n"/>
      <c r="I30" s="29" t="n"/>
      <c r="J30" s="29" t="n"/>
    </row>
    <row r="31">
      <c r="A31" s="29" t="n"/>
      <c r="B31" s="29" t="n"/>
      <c r="C31" s="29" t="n"/>
      <c r="D31" s="29" t="n"/>
      <c r="E31" s="29" t="n"/>
      <c r="F31" s="29" t="n"/>
      <c r="G31" s="29" t="n"/>
      <c r="H31" s="29" t="n"/>
      <c r="I31" s="29" t="n"/>
      <c r="J31" s="29" t="n"/>
    </row>
    <row r="32">
      <c r="A32" s="29" t="n"/>
      <c r="B32" s="29" t="n"/>
      <c r="C32" s="29" t="n"/>
      <c r="D32" s="29" t="n"/>
      <c r="E32" s="29" t="n"/>
      <c r="F32" s="29" t="n"/>
      <c r="G32" s="29" t="n"/>
      <c r="H32" s="29" t="n"/>
      <c r="I32" s="29" t="n"/>
      <c r="J32" s="29" t="n"/>
    </row>
    <row r="33">
      <c r="A33" s="29" t="n"/>
      <c r="B33" s="29" t="n"/>
      <c r="C33" s="29" t="n"/>
      <c r="D33" s="29" t="n"/>
      <c r="E33" s="29" t="n"/>
      <c r="F33" s="29" t="n"/>
      <c r="G33" s="29" t="n"/>
      <c r="H33" s="29" t="n"/>
      <c r="I33" s="29" t="n"/>
      <c r="J33" s="29" t="n"/>
    </row>
    <row r="34">
      <c r="A34" s="29" t="n"/>
      <c r="B34" s="29" t="n"/>
      <c r="C34" s="29" t="n"/>
      <c r="D34" s="29" t="n"/>
      <c r="E34" s="29" t="n"/>
      <c r="F34" s="29" t="n"/>
      <c r="G34" s="29" t="n"/>
      <c r="H34" s="29" t="n"/>
      <c r="I34" s="29" t="n"/>
      <c r="J34" s="29" t="n"/>
    </row>
    <row r="35">
      <c r="A35" s="29" t="n"/>
      <c r="B35" s="29" t="n"/>
      <c r="C35" s="29" t="n"/>
      <c r="D35" s="29" t="n"/>
      <c r="E35" s="29" t="n"/>
      <c r="F35" s="29" t="n"/>
      <c r="G35" s="29" t="n"/>
      <c r="H35" s="29" t="n"/>
      <c r="I35" s="29" t="n"/>
      <c r="J35" s="29" t="n"/>
    </row>
    <row r="36">
      <c r="A36" s="29" t="n"/>
      <c r="B36" s="29" t="n"/>
      <c r="C36" s="29" t="n"/>
      <c r="D36" s="29" t="n"/>
      <c r="E36" s="29" t="n"/>
      <c r="F36" s="29" t="n"/>
      <c r="G36" s="29" t="n"/>
      <c r="H36" s="29" t="n"/>
      <c r="I36" s="29" t="n"/>
      <c r="J36" s="29" t="n"/>
    </row>
    <row r="37">
      <c r="A37" s="29" t="n"/>
      <c r="B37" s="29" t="n"/>
      <c r="C37" s="29" t="n"/>
      <c r="D37" s="29" t="n"/>
      <c r="E37" s="29" t="n"/>
      <c r="F37" s="29" t="n"/>
      <c r="G37" s="29" t="n"/>
      <c r="H37" s="29" t="n"/>
      <c r="I37" s="29" t="n"/>
      <c r="J37" s="29" t="n"/>
    </row>
    <row r="38">
      <c r="A38" s="29" t="n"/>
      <c r="B38" s="29" t="n"/>
      <c r="C38" s="29" t="n"/>
      <c r="D38" s="29" t="n"/>
      <c r="E38" s="29" t="n"/>
      <c r="F38" s="29" t="n"/>
      <c r="G38" s="29" t="n"/>
      <c r="H38" s="29" t="n"/>
      <c r="I38" s="29" t="n"/>
      <c r="J38" s="29" t="n"/>
    </row>
    <row r="39">
      <c r="A39" s="29" t="n"/>
      <c r="B39" s="29" t="n"/>
      <c r="C39" s="29" t="n"/>
      <c r="D39" s="29" t="n"/>
      <c r="E39" s="29" t="n"/>
      <c r="F39" s="29" t="n"/>
      <c r="G39" s="29" t="n"/>
      <c r="H39" s="29" t="n"/>
      <c r="I39" s="29" t="n"/>
      <c r="J39" s="29" t="n"/>
    </row>
    <row r="40">
      <c r="A40" s="29" t="n"/>
      <c r="B40" s="29" t="n"/>
      <c r="C40" s="29" t="n"/>
      <c r="D40" s="29" t="n"/>
      <c r="E40" s="29" t="n"/>
      <c r="F40" s="29" t="n"/>
      <c r="G40" s="29" t="n"/>
      <c r="H40" s="29" t="n"/>
      <c r="I40" s="29" t="n"/>
      <c r="J40" s="29" t="n"/>
    </row>
    <row r="41">
      <c r="A41" s="29" t="n"/>
      <c r="B41" s="29" t="n"/>
      <c r="C41" s="29" t="n"/>
      <c r="D41" s="29" t="n"/>
      <c r="E41" s="29" t="n"/>
      <c r="F41" s="29" t="n"/>
      <c r="G41" s="29" t="n"/>
      <c r="H41" s="29" t="n"/>
      <c r="I41" s="29" t="n"/>
      <c r="J41" s="29" t="n"/>
    </row>
    <row r="42">
      <c r="A42" s="29" t="n"/>
      <c r="B42" s="29" t="n"/>
      <c r="C42" s="29" t="n"/>
      <c r="D42" s="29" t="n"/>
      <c r="E42" s="29" t="n"/>
      <c r="F42" s="29" t="n"/>
      <c r="G42" s="29" t="n"/>
      <c r="H42" s="29" t="n"/>
      <c r="I42" s="29" t="n"/>
      <c r="J42" s="29" t="n"/>
    </row>
    <row r="43">
      <c r="A43" s="29" t="n"/>
      <c r="B43" s="29" t="n"/>
      <c r="C43" s="29" t="n"/>
      <c r="D43" s="29" t="n"/>
      <c r="E43" s="29" t="n"/>
      <c r="F43" s="29" t="n"/>
      <c r="G43" s="29" t="n"/>
      <c r="H43" s="29" t="n"/>
      <c r="I43" s="29" t="n"/>
      <c r="J43" s="29" t="n"/>
    </row>
    <row r="44">
      <c r="A44" s="29" t="n"/>
      <c r="B44" s="29" t="n"/>
      <c r="C44" s="29" t="n"/>
      <c r="D44" s="29" t="n"/>
      <c r="E44" s="29" t="n"/>
      <c r="F44" s="29" t="n"/>
      <c r="G44" s="29" t="n"/>
      <c r="H44" s="29" t="n"/>
      <c r="I44" s="29" t="n"/>
      <c r="J44" s="29" t="n"/>
    </row>
  </sheetData>
  <sheetProtection selectLockedCells="0" selectUnlockedCells="0" sheet="1" objects="0" insertRows="1" insertHyperlinks="1" autoFilter="0" scenarios="0" formatColumns="0" deleteColumns="1" insertColumns="1" pivotTables="1" deleteRows="1" formatCells="0" formatRows="0" sort="1"/>
  <autoFilter ref="A4:J44"/>
  <pageMargins left="0.75" right="0.75" top="1" bottom="1" header="0.5" footer="0.5"/>
  <pageSetup orientation="landscape" fitToHeight="0" fitToWidth="1"/>
</worksheet>
</file>

<file path=xl/worksheets/sheet57.xml><?xml version="1.0" encoding="utf-8"?>
<worksheet xmlns="http://schemas.openxmlformats.org/spreadsheetml/2006/main">
  <sheetPr>
    <tabColor rgb="00A6A6A6"/>
    <outlinePr summaryBelow="1" summaryRight="1"/>
    <pageSetUpPr fitToPage="1"/>
  </sheetPr>
  <dimension ref="A1:J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0" customWidth="1" min="3" max="3"/>
    <col width="12" customWidth="1" min="4" max="4"/>
    <col width="10" customWidth="1" min="5" max="5"/>
    <col width="10" customWidth="1" min="6" max="6"/>
    <col width="12" customWidth="1" min="7" max="7"/>
    <col width="12" customWidth="1" min="8" max="8"/>
    <col width="9" customWidth="1" min="9" max="9"/>
    <col width="24" customWidth="1" min="10" max="10"/>
  </cols>
  <sheetData>
    <row r="1" ht="26" customHeight="1">
      <c r="A1" s="22" t="inlineStr">
        <is>
          <t>عروض الأسعار (المرحلة 2 - هيكل فقط)</t>
        </is>
      </c>
      <c r="B1" s="1" t="n"/>
      <c r="C1" s="1" t="n"/>
      <c r="D1" s="1" t="n"/>
      <c r="E1" s="1" t="n"/>
      <c r="F1" s="1" t="n"/>
      <c r="G1" s="1" t="n"/>
      <c r="H1" s="1" t="n"/>
      <c r="I1" s="1" t="n"/>
      <c r="J1" s="1" t="n"/>
    </row>
    <row r="2">
      <c r="A2" s="35" t="inlineStr">
        <is>
          <t>مقارنة عروض الموردين قبل أمر الشراء عند الحاجة.</t>
        </is>
      </c>
    </row>
    <row r="3">
      <c r="A3" s="36" t="inlineStr">
        <is>
          <t>خلايا الإدخال</t>
        </is>
      </c>
      <c r="B3" s="37" t="inlineStr">
        <is>
          <t>معادلات (لا تعدّل)</t>
        </is>
      </c>
    </row>
    <row r="4" ht="34" customHeight="1">
      <c r="A4" s="24" t="inlineStr">
        <is>
          <t>رقم العرض</t>
        </is>
      </c>
      <c r="B4" s="24" t="inlineStr">
        <is>
          <t>التاريخ</t>
        </is>
      </c>
      <c r="C4" s="24" t="inlineStr">
        <is>
          <t>المورد</t>
        </is>
      </c>
      <c r="D4" s="24" t="inlineStr">
        <is>
          <t>الصنف</t>
        </is>
      </c>
      <c r="E4" s="24" t="inlineStr">
        <is>
          <t>الكمية</t>
        </is>
      </c>
      <c r="F4" s="24" t="inlineStr">
        <is>
          <t>السعر</t>
        </is>
      </c>
      <c r="G4" s="24" t="inlineStr">
        <is>
          <t>صلاحية العرض</t>
        </is>
      </c>
      <c r="H4" s="24" t="inlineStr">
        <is>
          <t>شروط السداد</t>
        </is>
      </c>
      <c r="I4" s="24" t="inlineStr">
        <is>
          <t>المختار؟</t>
        </is>
      </c>
      <c r="J4" s="24" t="inlineStr">
        <is>
          <t>ملاحظات</t>
        </is>
      </c>
    </row>
    <row r="5">
      <c r="A5" s="29" t="n"/>
      <c r="B5" s="29" t="n"/>
      <c r="C5" s="29" t="n"/>
      <c r="D5" s="29" t="n"/>
      <c r="E5" s="29" t="n"/>
      <c r="F5" s="29" t="n"/>
      <c r="G5" s="29" t="n"/>
      <c r="H5" s="29" t="n"/>
      <c r="I5" s="29" t="n"/>
      <c r="J5" s="29" t="n"/>
    </row>
    <row r="6">
      <c r="A6" s="29" t="n"/>
      <c r="B6" s="29" t="n"/>
      <c r="C6" s="29" t="n"/>
      <c r="D6" s="29" t="n"/>
      <c r="E6" s="29" t="n"/>
      <c r="F6" s="29" t="n"/>
      <c r="G6" s="29" t="n"/>
      <c r="H6" s="29" t="n"/>
      <c r="I6" s="29" t="n"/>
      <c r="J6" s="29" t="n"/>
    </row>
    <row r="7">
      <c r="A7" s="29" t="n"/>
      <c r="B7" s="29" t="n"/>
      <c r="C7" s="29" t="n"/>
      <c r="D7" s="29" t="n"/>
      <c r="E7" s="29" t="n"/>
      <c r="F7" s="29" t="n"/>
      <c r="G7" s="29" t="n"/>
      <c r="H7" s="29" t="n"/>
      <c r="I7" s="29" t="n"/>
      <c r="J7" s="29" t="n"/>
    </row>
    <row r="8">
      <c r="A8" s="29" t="n"/>
      <c r="B8" s="29" t="n"/>
      <c r="C8" s="29" t="n"/>
      <c r="D8" s="29" t="n"/>
      <c r="E8" s="29" t="n"/>
      <c r="F8" s="29" t="n"/>
      <c r="G8" s="29" t="n"/>
      <c r="H8" s="29" t="n"/>
      <c r="I8" s="29" t="n"/>
      <c r="J8" s="29" t="n"/>
    </row>
    <row r="9">
      <c r="A9" s="29" t="n"/>
      <c r="B9" s="29" t="n"/>
      <c r="C9" s="29" t="n"/>
      <c r="D9" s="29" t="n"/>
      <c r="E9" s="29" t="n"/>
      <c r="F9" s="29" t="n"/>
      <c r="G9" s="29" t="n"/>
      <c r="H9" s="29" t="n"/>
      <c r="I9" s="29" t="n"/>
      <c r="J9" s="29" t="n"/>
    </row>
    <row r="10">
      <c r="A10" s="29" t="n"/>
      <c r="B10" s="29" t="n"/>
      <c r="C10" s="29" t="n"/>
      <c r="D10" s="29" t="n"/>
      <c r="E10" s="29" t="n"/>
      <c r="F10" s="29" t="n"/>
      <c r="G10" s="29" t="n"/>
      <c r="H10" s="29" t="n"/>
      <c r="I10" s="29" t="n"/>
      <c r="J10" s="29" t="n"/>
    </row>
    <row r="11">
      <c r="A11" s="29" t="n"/>
      <c r="B11" s="29" t="n"/>
      <c r="C11" s="29" t="n"/>
      <c r="D11" s="29" t="n"/>
      <c r="E11" s="29" t="n"/>
      <c r="F11" s="29" t="n"/>
      <c r="G11" s="29" t="n"/>
      <c r="H11" s="29" t="n"/>
      <c r="I11" s="29" t="n"/>
      <c r="J11" s="29" t="n"/>
    </row>
    <row r="12">
      <c r="A12" s="29" t="n"/>
      <c r="B12" s="29" t="n"/>
      <c r="C12" s="29" t="n"/>
      <c r="D12" s="29" t="n"/>
      <c r="E12" s="29" t="n"/>
      <c r="F12" s="29" t="n"/>
      <c r="G12" s="29" t="n"/>
      <c r="H12" s="29" t="n"/>
      <c r="I12" s="29" t="n"/>
      <c r="J12" s="29" t="n"/>
    </row>
    <row r="13">
      <c r="A13" s="29" t="n"/>
      <c r="B13" s="29" t="n"/>
      <c r="C13" s="29" t="n"/>
      <c r="D13" s="29" t="n"/>
      <c r="E13" s="29" t="n"/>
      <c r="F13" s="29" t="n"/>
      <c r="G13" s="29" t="n"/>
      <c r="H13" s="29" t="n"/>
      <c r="I13" s="29" t="n"/>
      <c r="J13" s="29" t="n"/>
    </row>
    <row r="14">
      <c r="A14" s="29" t="n"/>
      <c r="B14" s="29" t="n"/>
      <c r="C14" s="29" t="n"/>
      <c r="D14" s="29" t="n"/>
      <c r="E14" s="29" t="n"/>
      <c r="F14" s="29" t="n"/>
      <c r="G14" s="29" t="n"/>
      <c r="H14" s="29" t="n"/>
      <c r="I14" s="29" t="n"/>
      <c r="J14" s="29" t="n"/>
    </row>
    <row r="15">
      <c r="A15" s="29" t="n"/>
      <c r="B15" s="29" t="n"/>
      <c r="C15" s="29" t="n"/>
      <c r="D15" s="29" t="n"/>
      <c r="E15" s="29" t="n"/>
      <c r="F15" s="29" t="n"/>
      <c r="G15" s="29" t="n"/>
      <c r="H15" s="29" t="n"/>
      <c r="I15" s="29" t="n"/>
      <c r="J15" s="29" t="n"/>
    </row>
    <row r="16">
      <c r="A16" s="29" t="n"/>
      <c r="B16" s="29" t="n"/>
      <c r="C16" s="29" t="n"/>
      <c r="D16" s="29" t="n"/>
      <c r="E16" s="29" t="n"/>
      <c r="F16" s="29" t="n"/>
      <c r="G16" s="29" t="n"/>
      <c r="H16" s="29" t="n"/>
      <c r="I16" s="29" t="n"/>
      <c r="J16" s="29" t="n"/>
    </row>
    <row r="17">
      <c r="A17" s="29" t="n"/>
      <c r="B17" s="29" t="n"/>
      <c r="C17" s="29" t="n"/>
      <c r="D17" s="29" t="n"/>
      <c r="E17" s="29" t="n"/>
      <c r="F17" s="29" t="n"/>
      <c r="G17" s="29" t="n"/>
      <c r="H17" s="29" t="n"/>
      <c r="I17" s="29" t="n"/>
      <c r="J17" s="29" t="n"/>
    </row>
    <row r="18">
      <c r="A18" s="29" t="n"/>
      <c r="B18" s="29" t="n"/>
      <c r="C18" s="29" t="n"/>
      <c r="D18" s="29" t="n"/>
      <c r="E18" s="29" t="n"/>
      <c r="F18" s="29" t="n"/>
      <c r="G18" s="29" t="n"/>
      <c r="H18" s="29" t="n"/>
      <c r="I18" s="29" t="n"/>
      <c r="J18" s="29" t="n"/>
    </row>
    <row r="19">
      <c r="A19" s="29" t="n"/>
      <c r="B19" s="29" t="n"/>
      <c r="C19" s="29" t="n"/>
      <c r="D19" s="29" t="n"/>
      <c r="E19" s="29" t="n"/>
      <c r="F19" s="29" t="n"/>
      <c r="G19" s="29" t="n"/>
      <c r="H19" s="29" t="n"/>
      <c r="I19" s="29" t="n"/>
      <c r="J19" s="29" t="n"/>
    </row>
    <row r="20">
      <c r="A20" s="29" t="n"/>
      <c r="B20" s="29" t="n"/>
      <c r="C20" s="29" t="n"/>
      <c r="D20" s="29" t="n"/>
      <c r="E20" s="29" t="n"/>
      <c r="F20" s="29" t="n"/>
      <c r="G20" s="29" t="n"/>
      <c r="H20" s="29" t="n"/>
      <c r="I20" s="29" t="n"/>
      <c r="J20" s="29" t="n"/>
    </row>
    <row r="21">
      <c r="A21" s="29" t="n"/>
      <c r="B21" s="29" t="n"/>
      <c r="C21" s="29" t="n"/>
      <c r="D21" s="29" t="n"/>
      <c r="E21" s="29" t="n"/>
      <c r="F21" s="29" t="n"/>
      <c r="G21" s="29" t="n"/>
      <c r="H21" s="29" t="n"/>
      <c r="I21" s="29" t="n"/>
      <c r="J21" s="29" t="n"/>
    </row>
    <row r="22">
      <c r="A22" s="29" t="n"/>
      <c r="B22" s="29" t="n"/>
      <c r="C22" s="29" t="n"/>
      <c r="D22" s="29" t="n"/>
      <c r="E22" s="29" t="n"/>
      <c r="F22" s="29" t="n"/>
      <c r="G22" s="29" t="n"/>
      <c r="H22" s="29" t="n"/>
      <c r="I22" s="29" t="n"/>
      <c r="J22" s="29" t="n"/>
    </row>
    <row r="23">
      <c r="A23" s="29" t="n"/>
      <c r="B23" s="29" t="n"/>
      <c r="C23" s="29" t="n"/>
      <c r="D23" s="29" t="n"/>
      <c r="E23" s="29" t="n"/>
      <c r="F23" s="29" t="n"/>
      <c r="G23" s="29" t="n"/>
      <c r="H23" s="29" t="n"/>
      <c r="I23" s="29" t="n"/>
      <c r="J23" s="29" t="n"/>
    </row>
    <row r="24">
      <c r="A24" s="29" t="n"/>
      <c r="B24" s="29" t="n"/>
      <c r="C24" s="29" t="n"/>
      <c r="D24" s="29" t="n"/>
      <c r="E24" s="29" t="n"/>
      <c r="F24" s="29" t="n"/>
      <c r="G24" s="29" t="n"/>
      <c r="H24" s="29" t="n"/>
      <c r="I24" s="29" t="n"/>
      <c r="J24" s="29" t="n"/>
    </row>
    <row r="25">
      <c r="A25" s="29" t="n"/>
      <c r="B25" s="29" t="n"/>
      <c r="C25" s="29" t="n"/>
      <c r="D25" s="29" t="n"/>
      <c r="E25" s="29" t="n"/>
      <c r="F25" s="29" t="n"/>
      <c r="G25" s="29" t="n"/>
      <c r="H25" s="29" t="n"/>
      <c r="I25" s="29" t="n"/>
      <c r="J25" s="29" t="n"/>
    </row>
    <row r="26">
      <c r="A26" s="29" t="n"/>
      <c r="B26" s="29" t="n"/>
      <c r="C26" s="29" t="n"/>
      <c r="D26" s="29" t="n"/>
      <c r="E26" s="29" t="n"/>
      <c r="F26" s="29" t="n"/>
      <c r="G26" s="29" t="n"/>
      <c r="H26" s="29" t="n"/>
      <c r="I26" s="29" t="n"/>
      <c r="J26" s="29" t="n"/>
    </row>
    <row r="27">
      <c r="A27" s="29" t="n"/>
      <c r="B27" s="29" t="n"/>
      <c r="C27" s="29" t="n"/>
      <c r="D27" s="29" t="n"/>
      <c r="E27" s="29" t="n"/>
      <c r="F27" s="29" t="n"/>
      <c r="G27" s="29" t="n"/>
      <c r="H27" s="29" t="n"/>
      <c r="I27" s="29" t="n"/>
      <c r="J27" s="29" t="n"/>
    </row>
    <row r="28">
      <c r="A28" s="29" t="n"/>
      <c r="B28" s="29" t="n"/>
      <c r="C28" s="29" t="n"/>
      <c r="D28" s="29" t="n"/>
      <c r="E28" s="29" t="n"/>
      <c r="F28" s="29" t="n"/>
      <c r="G28" s="29" t="n"/>
      <c r="H28" s="29" t="n"/>
      <c r="I28" s="29" t="n"/>
      <c r="J28" s="29" t="n"/>
    </row>
    <row r="29">
      <c r="A29" s="29" t="n"/>
      <c r="B29" s="29" t="n"/>
      <c r="C29" s="29" t="n"/>
      <c r="D29" s="29" t="n"/>
      <c r="E29" s="29" t="n"/>
      <c r="F29" s="29" t="n"/>
      <c r="G29" s="29" t="n"/>
      <c r="H29" s="29" t="n"/>
      <c r="I29" s="29" t="n"/>
      <c r="J29" s="29" t="n"/>
    </row>
    <row r="30">
      <c r="A30" s="29" t="n"/>
      <c r="B30" s="29" t="n"/>
      <c r="C30" s="29" t="n"/>
      <c r="D30" s="29" t="n"/>
      <c r="E30" s="29" t="n"/>
      <c r="F30" s="29" t="n"/>
      <c r="G30" s="29" t="n"/>
      <c r="H30" s="29" t="n"/>
      <c r="I30" s="29" t="n"/>
      <c r="J30" s="29" t="n"/>
    </row>
    <row r="31">
      <c r="A31" s="29" t="n"/>
      <c r="B31" s="29" t="n"/>
      <c r="C31" s="29" t="n"/>
      <c r="D31" s="29" t="n"/>
      <c r="E31" s="29" t="n"/>
      <c r="F31" s="29" t="n"/>
      <c r="G31" s="29" t="n"/>
      <c r="H31" s="29" t="n"/>
      <c r="I31" s="29" t="n"/>
      <c r="J31" s="29" t="n"/>
    </row>
    <row r="32">
      <c r="A32" s="29" t="n"/>
      <c r="B32" s="29" t="n"/>
      <c r="C32" s="29" t="n"/>
      <c r="D32" s="29" t="n"/>
      <c r="E32" s="29" t="n"/>
      <c r="F32" s="29" t="n"/>
      <c r="G32" s="29" t="n"/>
      <c r="H32" s="29" t="n"/>
      <c r="I32" s="29" t="n"/>
      <c r="J32" s="29" t="n"/>
    </row>
    <row r="33">
      <c r="A33" s="29" t="n"/>
      <c r="B33" s="29" t="n"/>
      <c r="C33" s="29" t="n"/>
      <c r="D33" s="29" t="n"/>
      <c r="E33" s="29" t="n"/>
      <c r="F33" s="29" t="n"/>
      <c r="G33" s="29" t="n"/>
      <c r="H33" s="29" t="n"/>
      <c r="I33" s="29" t="n"/>
      <c r="J33" s="29" t="n"/>
    </row>
    <row r="34">
      <c r="A34" s="29" t="n"/>
      <c r="B34" s="29" t="n"/>
      <c r="C34" s="29" t="n"/>
      <c r="D34" s="29" t="n"/>
      <c r="E34" s="29" t="n"/>
      <c r="F34" s="29" t="n"/>
      <c r="G34" s="29" t="n"/>
      <c r="H34" s="29" t="n"/>
      <c r="I34" s="29" t="n"/>
      <c r="J34" s="29" t="n"/>
    </row>
    <row r="35">
      <c r="A35" s="29" t="n"/>
      <c r="B35" s="29" t="n"/>
      <c r="C35" s="29" t="n"/>
      <c r="D35" s="29" t="n"/>
      <c r="E35" s="29" t="n"/>
      <c r="F35" s="29" t="n"/>
      <c r="G35" s="29" t="n"/>
      <c r="H35" s="29" t="n"/>
      <c r="I35" s="29" t="n"/>
      <c r="J35" s="29" t="n"/>
    </row>
    <row r="36">
      <c r="A36" s="29" t="n"/>
      <c r="B36" s="29" t="n"/>
      <c r="C36" s="29" t="n"/>
      <c r="D36" s="29" t="n"/>
      <c r="E36" s="29" t="n"/>
      <c r="F36" s="29" t="n"/>
      <c r="G36" s="29" t="n"/>
      <c r="H36" s="29" t="n"/>
      <c r="I36" s="29" t="n"/>
      <c r="J36" s="29" t="n"/>
    </row>
    <row r="37">
      <c r="A37" s="29" t="n"/>
      <c r="B37" s="29" t="n"/>
      <c r="C37" s="29" t="n"/>
      <c r="D37" s="29" t="n"/>
      <c r="E37" s="29" t="n"/>
      <c r="F37" s="29" t="n"/>
      <c r="G37" s="29" t="n"/>
      <c r="H37" s="29" t="n"/>
      <c r="I37" s="29" t="n"/>
      <c r="J37" s="29" t="n"/>
    </row>
    <row r="38">
      <c r="A38" s="29" t="n"/>
      <c r="B38" s="29" t="n"/>
      <c r="C38" s="29" t="n"/>
      <c r="D38" s="29" t="n"/>
      <c r="E38" s="29" t="n"/>
      <c r="F38" s="29" t="n"/>
      <c r="G38" s="29" t="n"/>
      <c r="H38" s="29" t="n"/>
      <c r="I38" s="29" t="n"/>
      <c r="J38" s="29" t="n"/>
    </row>
    <row r="39">
      <c r="A39" s="29" t="n"/>
      <c r="B39" s="29" t="n"/>
      <c r="C39" s="29" t="n"/>
      <c r="D39" s="29" t="n"/>
      <c r="E39" s="29" t="n"/>
      <c r="F39" s="29" t="n"/>
      <c r="G39" s="29" t="n"/>
      <c r="H39" s="29" t="n"/>
      <c r="I39" s="29" t="n"/>
      <c r="J39" s="29" t="n"/>
    </row>
    <row r="40">
      <c r="A40" s="29" t="n"/>
      <c r="B40" s="29" t="n"/>
      <c r="C40" s="29" t="n"/>
      <c r="D40" s="29" t="n"/>
      <c r="E40" s="29" t="n"/>
      <c r="F40" s="29" t="n"/>
      <c r="G40" s="29" t="n"/>
      <c r="H40" s="29" t="n"/>
      <c r="I40" s="29" t="n"/>
      <c r="J40" s="29" t="n"/>
    </row>
    <row r="41">
      <c r="A41" s="29" t="n"/>
      <c r="B41" s="29" t="n"/>
      <c r="C41" s="29" t="n"/>
      <c r="D41" s="29" t="n"/>
      <c r="E41" s="29" t="n"/>
      <c r="F41" s="29" t="n"/>
      <c r="G41" s="29" t="n"/>
      <c r="H41" s="29" t="n"/>
      <c r="I41" s="29" t="n"/>
      <c r="J41" s="29" t="n"/>
    </row>
    <row r="42">
      <c r="A42" s="29" t="n"/>
      <c r="B42" s="29" t="n"/>
      <c r="C42" s="29" t="n"/>
      <c r="D42" s="29" t="n"/>
      <c r="E42" s="29" t="n"/>
      <c r="F42" s="29" t="n"/>
      <c r="G42" s="29" t="n"/>
      <c r="H42" s="29" t="n"/>
      <c r="I42" s="29" t="n"/>
      <c r="J42" s="29" t="n"/>
    </row>
    <row r="43">
      <c r="A43" s="29" t="n"/>
      <c r="B43" s="29" t="n"/>
      <c r="C43" s="29" t="n"/>
      <c r="D43" s="29" t="n"/>
      <c r="E43" s="29" t="n"/>
      <c r="F43" s="29" t="n"/>
      <c r="G43" s="29" t="n"/>
      <c r="H43" s="29" t="n"/>
      <c r="I43" s="29" t="n"/>
      <c r="J43" s="29" t="n"/>
    </row>
    <row r="44">
      <c r="A44" s="29" t="n"/>
      <c r="B44" s="29" t="n"/>
      <c r="C44" s="29" t="n"/>
      <c r="D44" s="29" t="n"/>
      <c r="E44" s="29" t="n"/>
      <c r="F44" s="29" t="n"/>
      <c r="G44" s="29" t="n"/>
      <c r="H44" s="29" t="n"/>
      <c r="I44" s="29" t="n"/>
      <c r="J44" s="29" t="n"/>
    </row>
  </sheetData>
  <sheetProtection selectLockedCells="0" selectUnlockedCells="0" sheet="1" objects="0" insertRows="1" insertHyperlinks="1" autoFilter="0" scenarios="0" formatColumns="0" deleteColumns="1" insertColumns="1" pivotTables="1" deleteRows="1" formatCells="0" formatRows="0" sort="1"/>
  <autoFilter ref="A4:J44"/>
  <pageMargins left="0.75" right="0.75" top="1" bottom="1" header="0.5" footer="0.5"/>
  <pageSetup orientation="landscape" fitToHeight="0" fitToWidth="1"/>
</worksheet>
</file>

<file path=xl/worksheets/sheet58.xml><?xml version="1.0" encoding="utf-8"?>
<worksheet xmlns="http://schemas.openxmlformats.org/spreadsheetml/2006/main">
  <sheetPr>
    <tabColor rgb="00A6A6A6"/>
    <outlinePr summaryBelow="1" summaryRight="1"/>
    <pageSetUpPr fitToPage="1"/>
  </sheetPr>
  <dimension ref="A1:K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0" customWidth="1" min="3" max="3"/>
    <col width="14" customWidth="1" min="4" max="4"/>
    <col width="12" customWidth="1" min="5" max="5"/>
    <col width="10" customWidth="1" min="6" max="6"/>
    <col width="10" customWidth="1" min="7" max="7"/>
    <col width="12" customWidth="1" min="8" max="8"/>
    <col width="12" customWidth="1" min="9" max="9"/>
    <col width="10" customWidth="1" min="10" max="10"/>
    <col width="20" customWidth="1" min="11" max="11"/>
  </cols>
  <sheetData>
    <row r="1" ht="26" customHeight="1">
      <c r="A1" s="22" t="inlineStr">
        <is>
          <t>أوامر الشراء PO (المرحلة 2 - هيكل فقط)</t>
        </is>
      </c>
      <c r="B1" s="1" t="n"/>
      <c r="C1" s="1" t="n"/>
      <c r="D1" s="1" t="n"/>
      <c r="E1" s="1" t="n"/>
      <c r="F1" s="1" t="n"/>
      <c r="G1" s="1" t="n"/>
      <c r="H1" s="1" t="n"/>
      <c r="I1" s="1" t="n"/>
      <c r="J1" s="1" t="n"/>
      <c r="K1" s="1" t="n"/>
    </row>
    <row r="2">
      <c r="A2" s="35" t="inlineStr">
        <is>
          <t>أمر الشراء لا يُعد مصروفًا ولا قيدًا نهائيًا.</t>
        </is>
      </c>
    </row>
    <row r="3">
      <c r="A3" s="36" t="inlineStr">
        <is>
          <t>خلايا الإدخال</t>
        </is>
      </c>
      <c r="B3" s="37" t="inlineStr">
        <is>
          <t>معادلات (لا تعدّل)</t>
        </is>
      </c>
    </row>
    <row r="4" ht="34" customHeight="1">
      <c r="A4" s="24" t="inlineStr">
        <is>
          <t>رقم الأمر</t>
        </is>
      </c>
      <c r="B4" s="24" t="inlineStr">
        <is>
          <t>التاريخ</t>
        </is>
      </c>
      <c r="C4" s="24" t="inlineStr">
        <is>
          <t>المورد</t>
        </is>
      </c>
      <c r="D4" s="24" t="inlineStr">
        <is>
          <t>رقم الطلب PR</t>
        </is>
      </c>
      <c r="E4" s="24" t="inlineStr">
        <is>
          <t>الصنف</t>
        </is>
      </c>
      <c r="F4" s="24" t="inlineStr">
        <is>
          <t>الكمية</t>
        </is>
      </c>
      <c r="G4" s="24" t="inlineStr">
        <is>
          <t>السعر</t>
        </is>
      </c>
      <c r="H4" s="24" t="inlineStr">
        <is>
          <t>الإجمالي</t>
        </is>
      </c>
      <c r="I4" s="24" t="inlineStr">
        <is>
          <t>شروط السداد</t>
        </is>
      </c>
      <c r="J4" s="24" t="inlineStr">
        <is>
          <t>الحالة</t>
        </is>
      </c>
      <c r="K4" s="24" t="inlineStr">
        <is>
          <t>المعتمد</t>
        </is>
      </c>
    </row>
    <row r="5">
      <c r="A5" s="29" t="n"/>
      <c r="B5" s="29" t="n"/>
      <c r="C5" s="29" t="n"/>
      <c r="D5" s="29" t="n"/>
      <c r="E5" s="29" t="n"/>
      <c r="F5" s="29" t="n"/>
      <c r="G5" s="29" t="n"/>
      <c r="H5" s="29" t="n"/>
      <c r="I5" s="29" t="n"/>
      <c r="J5" s="29" t="n"/>
      <c r="K5" s="29" t="n"/>
    </row>
    <row r="6">
      <c r="A6" s="29" t="n"/>
      <c r="B6" s="29" t="n"/>
      <c r="C6" s="29" t="n"/>
      <c r="D6" s="29" t="n"/>
      <c r="E6" s="29" t="n"/>
      <c r="F6" s="29" t="n"/>
      <c r="G6" s="29" t="n"/>
      <c r="H6" s="29" t="n"/>
      <c r="I6" s="29" t="n"/>
      <c r="J6" s="29" t="n"/>
      <c r="K6" s="29" t="n"/>
    </row>
    <row r="7">
      <c r="A7" s="29" t="n"/>
      <c r="B7" s="29" t="n"/>
      <c r="C7" s="29" t="n"/>
      <c r="D7" s="29" t="n"/>
      <c r="E7" s="29" t="n"/>
      <c r="F7" s="29" t="n"/>
      <c r="G7" s="29" t="n"/>
      <c r="H7" s="29" t="n"/>
      <c r="I7" s="29" t="n"/>
      <c r="J7" s="29" t="n"/>
      <c r="K7" s="29" t="n"/>
    </row>
    <row r="8">
      <c r="A8" s="29" t="n"/>
      <c r="B8" s="29" t="n"/>
      <c r="C8" s="29" t="n"/>
      <c r="D8" s="29" t="n"/>
      <c r="E8" s="29" t="n"/>
      <c r="F8" s="29" t="n"/>
      <c r="G8" s="29" t="n"/>
      <c r="H8" s="29" t="n"/>
      <c r="I8" s="29" t="n"/>
      <c r="J8" s="29" t="n"/>
      <c r="K8" s="29" t="n"/>
    </row>
    <row r="9">
      <c r="A9" s="29" t="n"/>
      <c r="B9" s="29" t="n"/>
      <c r="C9" s="29" t="n"/>
      <c r="D9" s="29" t="n"/>
      <c r="E9" s="29" t="n"/>
      <c r="F9" s="29" t="n"/>
      <c r="G9" s="29" t="n"/>
      <c r="H9" s="29" t="n"/>
      <c r="I9" s="29" t="n"/>
      <c r="J9" s="29" t="n"/>
      <c r="K9" s="29" t="n"/>
    </row>
    <row r="10">
      <c r="A10" s="29" t="n"/>
      <c r="B10" s="29" t="n"/>
      <c r="C10" s="29" t="n"/>
      <c r="D10" s="29" t="n"/>
      <c r="E10" s="29" t="n"/>
      <c r="F10" s="29" t="n"/>
      <c r="G10" s="29" t="n"/>
      <c r="H10" s="29" t="n"/>
      <c r="I10" s="29" t="n"/>
      <c r="J10" s="29" t="n"/>
      <c r="K10" s="29" t="n"/>
    </row>
    <row r="11">
      <c r="A11" s="29" t="n"/>
      <c r="B11" s="29" t="n"/>
      <c r="C11" s="29" t="n"/>
      <c r="D11" s="29" t="n"/>
      <c r="E11" s="29" t="n"/>
      <c r="F11" s="29" t="n"/>
      <c r="G11" s="29" t="n"/>
      <c r="H11" s="29" t="n"/>
      <c r="I11" s="29" t="n"/>
      <c r="J11" s="29" t="n"/>
      <c r="K11" s="29" t="n"/>
    </row>
    <row r="12">
      <c r="A12" s="29" t="n"/>
      <c r="B12" s="29" t="n"/>
      <c r="C12" s="29" t="n"/>
      <c r="D12" s="29" t="n"/>
      <c r="E12" s="29" t="n"/>
      <c r="F12" s="29" t="n"/>
      <c r="G12" s="29" t="n"/>
      <c r="H12" s="29" t="n"/>
      <c r="I12" s="29" t="n"/>
      <c r="J12" s="29" t="n"/>
      <c r="K12" s="29" t="n"/>
    </row>
    <row r="13">
      <c r="A13" s="29" t="n"/>
      <c r="B13" s="29" t="n"/>
      <c r="C13" s="29" t="n"/>
      <c r="D13" s="29" t="n"/>
      <c r="E13" s="29" t="n"/>
      <c r="F13" s="29" t="n"/>
      <c r="G13" s="29" t="n"/>
      <c r="H13" s="29" t="n"/>
      <c r="I13" s="29" t="n"/>
      <c r="J13" s="29" t="n"/>
      <c r="K13" s="29" t="n"/>
    </row>
    <row r="14">
      <c r="A14" s="29" t="n"/>
      <c r="B14" s="29" t="n"/>
      <c r="C14" s="29" t="n"/>
      <c r="D14" s="29" t="n"/>
      <c r="E14" s="29" t="n"/>
      <c r="F14" s="29" t="n"/>
      <c r="G14" s="29" t="n"/>
      <c r="H14" s="29" t="n"/>
      <c r="I14" s="29" t="n"/>
      <c r="J14" s="29" t="n"/>
      <c r="K14" s="29" t="n"/>
    </row>
    <row r="15">
      <c r="A15" s="29" t="n"/>
      <c r="B15" s="29" t="n"/>
      <c r="C15" s="29" t="n"/>
      <c r="D15" s="29" t="n"/>
      <c r="E15" s="29" t="n"/>
      <c r="F15" s="29" t="n"/>
      <c r="G15" s="29" t="n"/>
      <c r="H15" s="29" t="n"/>
      <c r="I15" s="29" t="n"/>
      <c r="J15" s="29" t="n"/>
      <c r="K15" s="29" t="n"/>
    </row>
    <row r="16">
      <c r="A16" s="29" t="n"/>
      <c r="B16" s="29" t="n"/>
      <c r="C16" s="29" t="n"/>
      <c r="D16" s="29" t="n"/>
      <c r="E16" s="29" t="n"/>
      <c r="F16" s="29" t="n"/>
      <c r="G16" s="29" t="n"/>
      <c r="H16" s="29" t="n"/>
      <c r="I16" s="29" t="n"/>
      <c r="J16" s="29" t="n"/>
      <c r="K16" s="29" t="n"/>
    </row>
    <row r="17">
      <c r="A17" s="29" t="n"/>
      <c r="B17" s="29" t="n"/>
      <c r="C17" s="29" t="n"/>
      <c r="D17" s="29" t="n"/>
      <c r="E17" s="29" t="n"/>
      <c r="F17" s="29" t="n"/>
      <c r="G17" s="29" t="n"/>
      <c r="H17" s="29" t="n"/>
      <c r="I17" s="29" t="n"/>
      <c r="J17" s="29" t="n"/>
      <c r="K17" s="29" t="n"/>
    </row>
    <row r="18">
      <c r="A18" s="29" t="n"/>
      <c r="B18" s="29" t="n"/>
      <c r="C18" s="29" t="n"/>
      <c r="D18" s="29" t="n"/>
      <c r="E18" s="29" t="n"/>
      <c r="F18" s="29" t="n"/>
      <c r="G18" s="29" t="n"/>
      <c r="H18" s="29" t="n"/>
      <c r="I18" s="29" t="n"/>
      <c r="J18" s="29" t="n"/>
      <c r="K18" s="29" t="n"/>
    </row>
    <row r="19">
      <c r="A19" s="29" t="n"/>
      <c r="B19" s="29" t="n"/>
      <c r="C19" s="29" t="n"/>
      <c r="D19" s="29" t="n"/>
      <c r="E19" s="29" t="n"/>
      <c r="F19" s="29" t="n"/>
      <c r="G19" s="29" t="n"/>
      <c r="H19" s="29" t="n"/>
      <c r="I19" s="29" t="n"/>
      <c r="J19" s="29" t="n"/>
      <c r="K19" s="29" t="n"/>
    </row>
    <row r="20">
      <c r="A20" s="29" t="n"/>
      <c r="B20" s="29" t="n"/>
      <c r="C20" s="29" t="n"/>
      <c r="D20" s="29" t="n"/>
      <c r="E20" s="29" t="n"/>
      <c r="F20" s="29" t="n"/>
      <c r="G20" s="29" t="n"/>
      <c r="H20" s="29" t="n"/>
      <c r="I20" s="29" t="n"/>
      <c r="J20" s="29" t="n"/>
      <c r="K20" s="29" t="n"/>
    </row>
    <row r="21">
      <c r="A21" s="29" t="n"/>
      <c r="B21" s="29" t="n"/>
      <c r="C21" s="29" t="n"/>
      <c r="D21" s="29" t="n"/>
      <c r="E21" s="29" t="n"/>
      <c r="F21" s="29" t="n"/>
      <c r="G21" s="29" t="n"/>
      <c r="H21" s="29" t="n"/>
      <c r="I21" s="29" t="n"/>
      <c r="J21" s="29" t="n"/>
      <c r="K21" s="29" t="n"/>
    </row>
    <row r="22">
      <c r="A22" s="29" t="n"/>
      <c r="B22" s="29" t="n"/>
      <c r="C22" s="29" t="n"/>
      <c r="D22" s="29" t="n"/>
      <c r="E22" s="29" t="n"/>
      <c r="F22" s="29" t="n"/>
      <c r="G22" s="29" t="n"/>
      <c r="H22" s="29" t="n"/>
      <c r="I22" s="29" t="n"/>
      <c r="J22" s="29" t="n"/>
      <c r="K22" s="29" t="n"/>
    </row>
    <row r="23">
      <c r="A23" s="29" t="n"/>
      <c r="B23" s="29" t="n"/>
      <c r="C23" s="29" t="n"/>
      <c r="D23" s="29" t="n"/>
      <c r="E23" s="29" t="n"/>
      <c r="F23" s="29" t="n"/>
      <c r="G23" s="29" t="n"/>
      <c r="H23" s="29" t="n"/>
      <c r="I23" s="29" t="n"/>
      <c r="J23" s="29" t="n"/>
      <c r="K23" s="29" t="n"/>
    </row>
    <row r="24">
      <c r="A24" s="29" t="n"/>
      <c r="B24" s="29" t="n"/>
      <c r="C24" s="29" t="n"/>
      <c r="D24" s="29" t="n"/>
      <c r="E24" s="29" t="n"/>
      <c r="F24" s="29" t="n"/>
      <c r="G24" s="29" t="n"/>
      <c r="H24" s="29" t="n"/>
      <c r="I24" s="29" t="n"/>
      <c r="J24" s="29" t="n"/>
      <c r="K24" s="29" t="n"/>
    </row>
    <row r="25">
      <c r="A25" s="29" t="n"/>
      <c r="B25" s="29" t="n"/>
      <c r="C25" s="29" t="n"/>
      <c r="D25" s="29" t="n"/>
      <c r="E25" s="29" t="n"/>
      <c r="F25" s="29" t="n"/>
      <c r="G25" s="29" t="n"/>
      <c r="H25" s="29" t="n"/>
      <c r="I25" s="29" t="n"/>
      <c r="J25" s="29" t="n"/>
      <c r="K25" s="29" t="n"/>
    </row>
    <row r="26">
      <c r="A26" s="29" t="n"/>
      <c r="B26" s="29" t="n"/>
      <c r="C26" s="29" t="n"/>
      <c r="D26" s="29" t="n"/>
      <c r="E26" s="29" t="n"/>
      <c r="F26" s="29" t="n"/>
      <c r="G26" s="29" t="n"/>
      <c r="H26" s="29" t="n"/>
      <c r="I26" s="29" t="n"/>
      <c r="J26" s="29" t="n"/>
      <c r="K26" s="29" t="n"/>
    </row>
    <row r="27">
      <c r="A27" s="29" t="n"/>
      <c r="B27" s="29" t="n"/>
      <c r="C27" s="29" t="n"/>
      <c r="D27" s="29" t="n"/>
      <c r="E27" s="29" t="n"/>
      <c r="F27" s="29" t="n"/>
      <c r="G27" s="29" t="n"/>
      <c r="H27" s="29" t="n"/>
      <c r="I27" s="29" t="n"/>
      <c r="J27" s="29" t="n"/>
      <c r="K27" s="29" t="n"/>
    </row>
    <row r="28">
      <c r="A28" s="29" t="n"/>
      <c r="B28" s="29" t="n"/>
      <c r="C28" s="29" t="n"/>
      <c r="D28" s="29" t="n"/>
      <c r="E28" s="29" t="n"/>
      <c r="F28" s="29" t="n"/>
      <c r="G28" s="29" t="n"/>
      <c r="H28" s="29" t="n"/>
      <c r="I28" s="29" t="n"/>
      <c r="J28" s="29" t="n"/>
      <c r="K28" s="29" t="n"/>
    </row>
    <row r="29">
      <c r="A29" s="29" t="n"/>
      <c r="B29" s="29" t="n"/>
      <c r="C29" s="29" t="n"/>
      <c r="D29" s="29" t="n"/>
      <c r="E29" s="29" t="n"/>
      <c r="F29" s="29" t="n"/>
      <c r="G29" s="29" t="n"/>
      <c r="H29" s="29" t="n"/>
      <c r="I29" s="29" t="n"/>
      <c r="J29" s="29" t="n"/>
      <c r="K29" s="29" t="n"/>
    </row>
    <row r="30">
      <c r="A30" s="29" t="n"/>
      <c r="B30" s="29" t="n"/>
      <c r="C30" s="29" t="n"/>
      <c r="D30" s="29" t="n"/>
      <c r="E30" s="29" t="n"/>
      <c r="F30" s="29" t="n"/>
      <c r="G30" s="29" t="n"/>
      <c r="H30" s="29" t="n"/>
      <c r="I30" s="29" t="n"/>
      <c r="J30" s="29" t="n"/>
      <c r="K30" s="29" t="n"/>
    </row>
    <row r="31">
      <c r="A31" s="29" t="n"/>
      <c r="B31" s="29" t="n"/>
      <c r="C31" s="29" t="n"/>
      <c r="D31" s="29" t="n"/>
      <c r="E31" s="29" t="n"/>
      <c r="F31" s="29" t="n"/>
      <c r="G31" s="29" t="n"/>
      <c r="H31" s="29" t="n"/>
      <c r="I31" s="29" t="n"/>
      <c r="J31" s="29" t="n"/>
      <c r="K31" s="29" t="n"/>
    </row>
    <row r="32">
      <c r="A32" s="29" t="n"/>
      <c r="B32" s="29" t="n"/>
      <c r="C32" s="29" t="n"/>
      <c r="D32" s="29" t="n"/>
      <c r="E32" s="29" t="n"/>
      <c r="F32" s="29" t="n"/>
      <c r="G32" s="29" t="n"/>
      <c r="H32" s="29" t="n"/>
      <c r="I32" s="29" t="n"/>
      <c r="J32" s="29" t="n"/>
      <c r="K32" s="29" t="n"/>
    </row>
    <row r="33">
      <c r="A33" s="29" t="n"/>
      <c r="B33" s="29" t="n"/>
      <c r="C33" s="29" t="n"/>
      <c r="D33" s="29" t="n"/>
      <c r="E33" s="29" t="n"/>
      <c r="F33" s="29" t="n"/>
      <c r="G33" s="29" t="n"/>
      <c r="H33" s="29" t="n"/>
      <c r="I33" s="29" t="n"/>
      <c r="J33" s="29" t="n"/>
      <c r="K33" s="29" t="n"/>
    </row>
    <row r="34">
      <c r="A34" s="29" t="n"/>
      <c r="B34" s="29" t="n"/>
      <c r="C34" s="29" t="n"/>
      <c r="D34" s="29" t="n"/>
      <c r="E34" s="29" t="n"/>
      <c r="F34" s="29" t="n"/>
      <c r="G34" s="29" t="n"/>
      <c r="H34" s="29" t="n"/>
      <c r="I34" s="29" t="n"/>
      <c r="J34" s="29" t="n"/>
      <c r="K34" s="29" t="n"/>
    </row>
    <row r="35">
      <c r="A35" s="29" t="n"/>
      <c r="B35" s="29" t="n"/>
      <c r="C35" s="29" t="n"/>
      <c r="D35" s="29" t="n"/>
      <c r="E35" s="29" t="n"/>
      <c r="F35" s="29" t="n"/>
      <c r="G35" s="29" t="n"/>
      <c r="H35" s="29" t="n"/>
      <c r="I35" s="29" t="n"/>
      <c r="J35" s="29" t="n"/>
      <c r="K35" s="29" t="n"/>
    </row>
    <row r="36">
      <c r="A36" s="29" t="n"/>
      <c r="B36" s="29" t="n"/>
      <c r="C36" s="29" t="n"/>
      <c r="D36" s="29" t="n"/>
      <c r="E36" s="29" t="n"/>
      <c r="F36" s="29" t="n"/>
      <c r="G36" s="29" t="n"/>
      <c r="H36" s="29" t="n"/>
      <c r="I36" s="29" t="n"/>
      <c r="J36" s="29" t="n"/>
      <c r="K36" s="29" t="n"/>
    </row>
    <row r="37">
      <c r="A37" s="29" t="n"/>
      <c r="B37" s="29" t="n"/>
      <c r="C37" s="29" t="n"/>
      <c r="D37" s="29" t="n"/>
      <c r="E37" s="29" t="n"/>
      <c r="F37" s="29" t="n"/>
      <c r="G37" s="29" t="n"/>
      <c r="H37" s="29" t="n"/>
      <c r="I37" s="29" t="n"/>
      <c r="J37" s="29" t="n"/>
      <c r="K37" s="29" t="n"/>
    </row>
    <row r="38">
      <c r="A38" s="29" t="n"/>
      <c r="B38" s="29" t="n"/>
      <c r="C38" s="29" t="n"/>
      <c r="D38" s="29" t="n"/>
      <c r="E38" s="29" t="n"/>
      <c r="F38" s="29" t="n"/>
      <c r="G38" s="29" t="n"/>
      <c r="H38" s="29" t="n"/>
      <c r="I38" s="29" t="n"/>
      <c r="J38" s="29" t="n"/>
      <c r="K38" s="29" t="n"/>
    </row>
    <row r="39">
      <c r="A39" s="29" t="n"/>
      <c r="B39" s="29" t="n"/>
      <c r="C39" s="29" t="n"/>
      <c r="D39" s="29" t="n"/>
      <c r="E39" s="29" t="n"/>
      <c r="F39" s="29" t="n"/>
      <c r="G39" s="29" t="n"/>
      <c r="H39" s="29" t="n"/>
      <c r="I39" s="29" t="n"/>
      <c r="J39" s="29" t="n"/>
      <c r="K39" s="29" t="n"/>
    </row>
    <row r="40">
      <c r="A40" s="29" t="n"/>
      <c r="B40" s="29" t="n"/>
      <c r="C40" s="29" t="n"/>
      <c r="D40" s="29" t="n"/>
      <c r="E40" s="29" t="n"/>
      <c r="F40" s="29" t="n"/>
      <c r="G40" s="29" t="n"/>
      <c r="H40" s="29" t="n"/>
      <c r="I40" s="29" t="n"/>
      <c r="J40" s="29" t="n"/>
      <c r="K40" s="29" t="n"/>
    </row>
    <row r="41">
      <c r="A41" s="29" t="n"/>
      <c r="B41" s="29" t="n"/>
      <c r="C41" s="29" t="n"/>
      <c r="D41" s="29" t="n"/>
      <c r="E41" s="29" t="n"/>
      <c r="F41" s="29" t="n"/>
      <c r="G41" s="29" t="n"/>
      <c r="H41" s="29" t="n"/>
      <c r="I41" s="29" t="n"/>
      <c r="J41" s="29" t="n"/>
      <c r="K41" s="29" t="n"/>
    </row>
    <row r="42">
      <c r="A42" s="29" t="n"/>
      <c r="B42" s="29" t="n"/>
      <c r="C42" s="29" t="n"/>
      <c r="D42" s="29" t="n"/>
      <c r="E42" s="29" t="n"/>
      <c r="F42" s="29" t="n"/>
      <c r="G42" s="29" t="n"/>
      <c r="H42" s="29" t="n"/>
      <c r="I42" s="29" t="n"/>
      <c r="J42" s="29" t="n"/>
      <c r="K42" s="29" t="n"/>
    </row>
    <row r="43">
      <c r="A43" s="29" t="n"/>
      <c r="B43" s="29" t="n"/>
      <c r="C43" s="29" t="n"/>
      <c r="D43" s="29" t="n"/>
      <c r="E43" s="29" t="n"/>
      <c r="F43" s="29" t="n"/>
      <c r="G43" s="29" t="n"/>
      <c r="H43" s="29" t="n"/>
      <c r="I43" s="29" t="n"/>
      <c r="J43" s="29" t="n"/>
      <c r="K43" s="29" t="n"/>
    </row>
    <row r="44">
      <c r="A44" s="29" t="n"/>
      <c r="B44" s="29" t="n"/>
      <c r="C44" s="29" t="n"/>
      <c r="D44" s="29" t="n"/>
      <c r="E44" s="29" t="n"/>
      <c r="F44" s="29" t="n"/>
      <c r="G44" s="29" t="n"/>
      <c r="H44" s="29" t="n"/>
      <c r="I44" s="29" t="n"/>
      <c r="J44" s="29" t="n"/>
      <c r="K44" s="29" t="n"/>
    </row>
  </sheetData>
  <sheetProtection selectLockedCells="0" selectUnlockedCells="0" sheet="1" objects="0" insertRows="1" insertHyperlinks="1" autoFilter="0" scenarios="0" formatColumns="0" deleteColumns="1" insertColumns="1" pivotTables="1" deleteRows="1" formatCells="0" formatRows="0" sort="1"/>
  <autoFilter ref="A4:K44"/>
  <pageMargins left="0.75" right="0.75" top="1" bottom="1" header="0.5" footer="0.5"/>
  <pageSetup orientation="landscape" fitToHeight="0" fitToWidth="1"/>
</worksheet>
</file>

<file path=xl/worksheets/sheet59.xml><?xml version="1.0" encoding="utf-8"?>
<worksheet xmlns="http://schemas.openxmlformats.org/spreadsheetml/2006/main">
  <sheetPr>
    <tabColor rgb="00A6A6A6"/>
    <outlinePr summaryBelow="1" summaryRight="1"/>
    <pageSetUpPr fitToPage="1"/>
  </sheetPr>
  <dimension ref="A1:J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4" customWidth="1" min="3" max="3"/>
    <col width="10" customWidth="1" min="4" max="4"/>
    <col width="12" customWidth="1" min="5" max="5"/>
    <col width="12" customWidth="1" min="6" max="6"/>
    <col width="12" customWidth="1" min="7" max="7"/>
    <col width="8" customWidth="1" min="8" max="8"/>
    <col width="20" customWidth="1" min="9" max="9"/>
    <col width="24" customWidth="1" min="10" max="10"/>
  </cols>
  <sheetData>
    <row r="1" ht="26" customHeight="1">
      <c r="A1" s="22" t="inlineStr">
        <is>
          <t>محاضر الاستلام GRN (المرحلة 2 - هيكل فقط)</t>
        </is>
      </c>
      <c r="B1" s="1" t="n"/>
      <c r="C1" s="1" t="n"/>
      <c r="D1" s="1" t="n"/>
      <c r="E1" s="1" t="n"/>
      <c r="F1" s="1" t="n"/>
      <c r="G1" s="1" t="n"/>
      <c r="H1" s="1" t="n"/>
      <c r="I1" s="1" t="n"/>
      <c r="J1" s="1" t="n"/>
    </row>
    <row r="2">
      <c r="A2" s="35" t="inlineStr">
        <is>
          <t>الاستلام قبل الفاتورة يُسجل في 2110 (بضاعة مستلمة غير مفوترة) عند التفعيل.</t>
        </is>
      </c>
    </row>
    <row r="3">
      <c r="A3" s="36" t="inlineStr">
        <is>
          <t>خلايا الإدخال</t>
        </is>
      </c>
      <c r="B3" s="37" t="inlineStr">
        <is>
          <t>معادلات (لا تعدّل)</t>
        </is>
      </c>
    </row>
    <row r="4" ht="34" customHeight="1">
      <c r="A4" s="24" t="inlineStr">
        <is>
          <t>رقم الاستلام</t>
        </is>
      </c>
      <c r="B4" s="24" t="inlineStr">
        <is>
          <t>التاريخ</t>
        </is>
      </c>
      <c r="C4" s="24" t="inlineStr">
        <is>
          <t>رقم الأمر</t>
        </is>
      </c>
      <c r="D4" s="24" t="inlineStr">
        <is>
          <t>المورد</t>
        </is>
      </c>
      <c r="E4" s="24" t="inlineStr">
        <is>
          <t>الصنف</t>
        </is>
      </c>
      <c r="F4" s="24" t="inlineStr">
        <is>
          <t>الكمية المستلمة</t>
        </is>
      </c>
      <c r="G4" s="24" t="inlineStr">
        <is>
          <t>الكمية المرفوضة</t>
        </is>
      </c>
      <c r="H4" s="24" t="inlineStr">
        <is>
          <t>الوحدة</t>
        </is>
      </c>
      <c r="I4" s="24" t="inlineStr">
        <is>
          <t>أمين المخزن</t>
        </is>
      </c>
      <c r="J4" s="24" t="inlineStr">
        <is>
          <t>ملاحظات</t>
        </is>
      </c>
    </row>
    <row r="5">
      <c r="A5" s="29" t="n"/>
      <c r="B5" s="29" t="n"/>
      <c r="C5" s="29" t="n"/>
      <c r="D5" s="29" t="n"/>
      <c r="E5" s="29" t="n"/>
      <c r="F5" s="29" t="n"/>
      <c r="G5" s="29" t="n"/>
      <c r="H5" s="29" t="n"/>
      <c r="I5" s="29" t="n"/>
      <c r="J5" s="29" t="n"/>
    </row>
    <row r="6">
      <c r="A6" s="29" t="n"/>
      <c r="B6" s="29" t="n"/>
      <c r="C6" s="29" t="n"/>
      <c r="D6" s="29" t="n"/>
      <c r="E6" s="29" t="n"/>
      <c r="F6" s="29" t="n"/>
      <c r="G6" s="29" t="n"/>
      <c r="H6" s="29" t="n"/>
      <c r="I6" s="29" t="n"/>
      <c r="J6" s="29" t="n"/>
    </row>
    <row r="7">
      <c r="A7" s="29" t="n"/>
      <c r="B7" s="29" t="n"/>
      <c r="C7" s="29" t="n"/>
      <c r="D7" s="29" t="n"/>
      <c r="E7" s="29" t="n"/>
      <c r="F7" s="29" t="n"/>
      <c r="G7" s="29" t="n"/>
      <c r="H7" s="29" t="n"/>
      <c r="I7" s="29" t="n"/>
      <c r="J7" s="29" t="n"/>
    </row>
    <row r="8">
      <c r="A8" s="29" t="n"/>
      <c r="B8" s="29" t="n"/>
      <c r="C8" s="29" t="n"/>
      <c r="D8" s="29" t="n"/>
      <c r="E8" s="29" t="n"/>
      <c r="F8" s="29" t="n"/>
      <c r="G8" s="29" t="n"/>
      <c r="H8" s="29" t="n"/>
      <c r="I8" s="29" t="n"/>
      <c r="J8" s="29" t="n"/>
    </row>
    <row r="9">
      <c r="A9" s="29" t="n"/>
      <c r="B9" s="29" t="n"/>
      <c r="C9" s="29" t="n"/>
      <c r="D9" s="29" t="n"/>
      <c r="E9" s="29" t="n"/>
      <c r="F9" s="29" t="n"/>
      <c r="G9" s="29" t="n"/>
      <c r="H9" s="29" t="n"/>
      <c r="I9" s="29" t="n"/>
      <c r="J9" s="29" t="n"/>
    </row>
    <row r="10">
      <c r="A10" s="29" t="n"/>
      <c r="B10" s="29" t="n"/>
      <c r="C10" s="29" t="n"/>
      <c r="D10" s="29" t="n"/>
      <c r="E10" s="29" t="n"/>
      <c r="F10" s="29" t="n"/>
      <c r="G10" s="29" t="n"/>
      <c r="H10" s="29" t="n"/>
      <c r="I10" s="29" t="n"/>
      <c r="J10" s="29" t="n"/>
    </row>
    <row r="11">
      <c r="A11" s="29" t="n"/>
      <c r="B11" s="29" t="n"/>
      <c r="C11" s="29" t="n"/>
      <c r="D11" s="29" t="n"/>
      <c r="E11" s="29" t="n"/>
      <c r="F11" s="29" t="n"/>
      <c r="G11" s="29" t="n"/>
      <c r="H11" s="29" t="n"/>
      <c r="I11" s="29" t="n"/>
      <c r="J11" s="29" t="n"/>
    </row>
    <row r="12">
      <c r="A12" s="29" t="n"/>
      <c r="B12" s="29" t="n"/>
      <c r="C12" s="29" t="n"/>
      <c r="D12" s="29" t="n"/>
      <c r="E12" s="29" t="n"/>
      <c r="F12" s="29" t="n"/>
      <c r="G12" s="29" t="n"/>
      <c r="H12" s="29" t="n"/>
      <c r="I12" s="29" t="n"/>
      <c r="J12" s="29" t="n"/>
    </row>
    <row r="13">
      <c r="A13" s="29" t="n"/>
      <c r="B13" s="29" t="n"/>
      <c r="C13" s="29" t="n"/>
      <c r="D13" s="29" t="n"/>
      <c r="E13" s="29" t="n"/>
      <c r="F13" s="29" t="n"/>
      <c r="G13" s="29" t="n"/>
      <c r="H13" s="29" t="n"/>
      <c r="I13" s="29" t="n"/>
      <c r="J13" s="29" t="n"/>
    </row>
    <row r="14">
      <c r="A14" s="29" t="n"/>
      <c r="B14" s="29" t="n"/>
      <c r="C14" s="29" t="n"/>
      <c r="D14" s="29" t="n"/>
      <c r="E14" s="29" t="n"/>
      <c r="F14" s="29" t="n"/>
      <c r="G14" s="29" t="n"/>
      <c r="H14" s="29" t="n"/>
      <c r="I14" s="29" t="n"/>
      <c r="J14" s="29" t="n"/>
    </row>
    <row r="15">
      <c r="A15" s="29" t="n"/>
      <c r="B15" s="29" t="n"/>
      <c r="C15" s="29" t="n"/>
      <c r="D15" s="29" t="n"/>
      <c r="E15" s="29" t="n"/>
      <c r="F15" s="29" t="n"/>
      <c r="G15" s="29" t="n"/>
      <c r="H15" s="29" t="n"/>
      <c r="I15" s="29" t="n"/>
      <c r="J15" s="29" t="n"/>
    </row>
    <row r="16">
      <c r="A16" s="29" t="n"/>
      <c r="B16" s="29" t="n"/>
      <c r="C16" s="29" t="n"/>
      <c r="D16" s="29" t="n"/>
      <c r="E16" s="29" t="n"/>
      <c r="F16" s="29" t="n"/>
      <c r="G16" s="29" t="n"/>
      <c r="H16" s="29" t="n"/>
      <c r="I16" s="29" t="n"/>
      <c r="J16" s="29" t="n"/>
    </row>
    <row r="17">
      <c r="A17" s="29" t="n"/>
      <c r="B17" s="29" t="n"/>
      <c r="C17" s="29" t="n"/>
      <c r="D17" s="29" t="n"/>
      <c r="E17" s="29" t="n"/>
      <c r="F17" s="29" t="n"/>
      <c r="G17" s="29" t="n"/>
      <c r="H17" s="29" t="n"/>
      <c r="I17" s="29" t="n"/>
      <c r="J17" s="29" t="n"/>
    </row>
    <row r="18">
      <c r="A18" s="29" t="n"/>
      <c r="B18" s="29" t="n"/>
      <c r="C18" s="29" t="n"/>
      <c r="D18" s="29" t="n"/>
      <c r="E18" s="29" t="n"/>
      <c r="F18" s="29" t="n"/>
      <c r="G18" s="29" t="n"/>
      <c r="H18" s="29" t="n"/>
      <c r="I18" s="29" t="n"/>
      <c r="J18" s="29" t="n"/>
    </row>
    <row r="19">
      <c r="A19" s="29" t="n"/>
      <c r="B19" s="29" t="n"/>
      <c r="C19" s="29" t="n"/>
      <c r="D19" s="29" t="n"/>
      <c r="E19" s="29" t="n"/>
      <c r="F19" s="29" t="n"/>
      <c r="G19" s="29" t="n"/>
      <c r="H19" s="29" t="n"/>
      <c r="I19" s="29" t="n"/>
      <c r="J19" s="29" t="n"/>
    </row>
    <row r="20">
      <c r="A20" s="29" t="n"/>
      <c r="B20" s="29" t="n"/>
      <c r="C20" s="29" t="n"/>
      <c r="D20" s="29" t="n"/>
      <c r="E20" s="29" t="n"/>
      <c r="F20" s="29" t="n"/>
      <c r="G20" s="29" t="n"/>
      <c r="H20" s="29" t="n"/>
      <c r="I20" s="29" t="n"/>
      <c r="J20" s="29" t="n"/>
    </row>
    <row r="21">
      <c r="A21" s="29" t="n"/>
      <c r="B21" s="29" t="n"/>
      <c r="C21" s="29" t="n"/>
      <c r="D21" s="29" t="n"/>
      <c r="E21" s="29" t="n"/>
      <c r="F21" s="29" t="n"/>
      <c r="G21" s="29" t="n"/>
      <c r="H21" s="29" t="n"/>
      <c r="I21" s="29" t="n"/>
      <c r="J21" s="29" t="n"/>
    </row>
    <row r="22">
      <c r="A22" s="29" t="n"/>
      <c r="B22" s="29" t="n"/>
      <c r="C22" s="29" t="n"/>
      <c r="D22" s="29" t="n"/>
      <c r="E22" s="29" t="n"/>
      <c r="F22" s="29" t="n"/>
      <c r="G22" s="29" t="n"/>
      <c r="H22" s="29" t="n"/>
      <c r="I22" s="29" t="n"/>
      <c r="J22" s="29" t="n"/>
    </row>
    <row r="23">
      <c r="A23" s="29" t="n"/>
      <c r="B23" s="29" t="n"/>
      <c r="C23" s="29" t="n"/>
      <c r="D23" s="29" t="n"/>
      <c r="E23" s="29" t="n"/>
      <c r="F23" s="29" t="n"/>
      <c r="G23" s="29" t="n"/>
      <c r="H23" s="29" t="n"/>
      <c r="I23" s="29" t="n"/>
      <c r="J23" s="29" t="n"/>
    </row>
    <row r="24">
      <c r="A24" s="29" t="n"/>
      <c r="B24" s="29" t="n"/>
      <c r="C24" s="29" t="n"/>
      <c r="D24" s="29" t="n"/>
      <c r="E24" s="29" t="n"/>
      <c r="F24" s="29" t="n"/>
      <c r="G24" s="29" t="n"/>
      <c r="H24" s="29" t="n"/>
      <c r="I24" s="29" t="n"/>
      <c r="J24" s="29" t="n"/>
    </row>
    <row r="25">
      <c r="A25" s="29" t="n"/>
      <c r="B25" s="29" t="n"/>
      <c r="C25" s="29" t="n"/>
      <c r="D25" s="29" t="n"/>
      <c r="E25" s="29" t="n"/>
      <c r="F25" s="29" t="n"/>
      <c r="G25" s="29" t="n"/>
      <c r="H25" s="29" t="n"/>
      <c r="I25" s="29" t="n"/>
      <c r="J25" s="29" t="n"/>
    </row>
    <row r="26">
      <c r="A26" s="29" t="n"/>
      <c r="B26" s="29" t="n"/>
      <c r="C26" s="29" t="n"/>
      <c r="D26" s="29" t="n"/>
      <c r="E26" s="29" t="n"/>
      <c r="F26" s="29" t="n"/>
      <c r="G26" s="29" t="n"/>
      <c r="H26" s="29" t="n"/>
      <c r="I26" s="29" t="n"/>
      <c r="J26" s="29" t="n"/>
    </row>
    <row r="27">
      <c r="A27" s="29" t="n"/>
      <c r="B27" s="29" t="n"/>
      <c r="C27" s="29" t="n"/>
      <c r="D27" s="29" t="n"/>
      <c r="E27" s="29" t="n"/>
      <c r="F27" s="29" t="n"/>
      <c r="G27" s="29" t="n"/>
      <c r="H27" s="29" t="n"/>
      <c r="I27" s="29" t="n"/>
      <c r="J27" s="29" t="n"/>
    </row>
    <row r="28">
      <c r="A28" s="29" t="n"/>
      <c r="B28" s="29" t="n"/>
      <c r="C28" s="29" t="n"/>
      <c r="D28" s="29" t="n"/>
      <c r="E28" s="29" t="n"/>
      <c r="F28" s="29" t="n"/>
      <c r="G28" s="29" t="n"/>
      <c r="H28" s="29" t="n"/>
      <c r="I28" s="29" t="n"/>
      <c r="J28" s="29" t="n"/>
    </row>
    <row r="29">
      <c r="A29" s="29" t="n"/>
      <c r="B29" s="29" t="n"/>
      <c r="C29" s="29" t="n"/>
      <c r="D29" s="29" t="n"/>
      <c r="E29" s="29" t="n"/>
      <c r="F29" s="29" t="n"/>
      <c r="G29" s="29" t="n"/>
      <c r="H29" s="29" t="n"/>
      <c r="I29" s="29" t="n"/>
      <c r="J29" s="29" t="n"/>
    </row>
    <row r="30">
      <c r="A30" s="29" t="n"/>
      <c r="B30" s="29" t="n"/>
      <c r="C30" s="29" t="n"/>
      <c r="D30" s="29" t="n"/>
      <c r="E30" s="29" t="n"/>
      <c r="F30" s="29" t="n"/>
      <c r="G30" s="29" t="n"/>
      <c r="H30" s="29" t="n"/>
      <c r="I30" s="29" t="n"/>
      <c r="J30" s="29" t="n"/>
    </row>
    <row r="31">
      <c r="A31" s="29" t="n"/>
      <c r="B31" s="29" t="n"/>
      <c r="C31" s="29" t="n"/>
      <c r="D31" s="29" t="n"/>
      <c r="E31" s="29" t="n"/>
      <c r="F31" s="29" t="n"/>
      <c r="G31" s="29" t="n"/>
      <c r="H31" s="29" t="n"/>
      <c r="I31" s="29" t="n"/>
      <c r="J31" s="29" t="n"/>
    </row>
    <row r="32">
      <c r="A32" s="29" t="n"/>
      <c r="B32" s="29" t="n"/>
      <c r="C32" s="29" t="n"/>
      <c r="D32" s="29" t="n"/>
      <c r="E32" s="29" t="n"/>
      <c r="F32" s="29" t="n"/>
      <c r="G32" s="29" t="n"/>
      <c r="H32" s="29" t="n"/>
      <c r="I32" s="29" t="n"/>
      <c r="J32" s="29" t="n"/>
    </row>
    <row r="33">
      <c r="A33" s="29" t="n"/>
      <c r="B33" s="29" t="n"/>
      <c r="C33" s="29" t="n"/>
      <c r="D33" s="29" t="n"/>
      <c r="E33" s="29" t="n"/>
      <c r="F33" s="29" t="n"/>
      <c r="G33" s="29" t="n"/>
      <c r="H33" s="29" t="n"/>
      <c r="I33" s="29" t="n"/>
      <c r="J33" s="29" t="n"/>
    </row>
    <row r="34">
      <c r="A34" s="29" t="n"/>
      <c r="B34" s="29" t="n"/>
      <c r="C34" s="29" t="n"/>
      <c r="D34" s="29" t="n"/>
      <c r="E34" s="29" t="n"/>
      <c r="F34" s="29" t="n"/>
      <c r="G34" s="29" t="n"/>
      <c r="H34" s="29" t="n"/>
      <c r="I34" s="29" t="n"/>
      <c r="J34" s="29" t="n"/>
    </row>
    <row r="35">
      <c r="A35" s="29" t="n"/>
      <c r="B35" s="29" t="n"/>
      <c r="C35" s="29" t="n"/>
      <c r="D35" s="29" t="n"/>
      <c r="E35" s="29" t="n"/>
      <c r="F35" s="29" t="n"/>
      <c r="G35" s="29" t="n"/>
      <c r="H35" s="29" t="n"/>
      <c r="I35" s="29" t="n"/>
      <c r="J35" s="29" t="n"/>
    </row>
    <row r="36">
      <c r="A36" s="29" t="n"/>
      <c r="B36" s="29" t="n"/>
      <c r="C36" s="29" t="n"/>
      <c r="D36" s="29" t="n"/>
      <c r="E36" s="29" t="n"/>
      <c r="F36" s="29" t="n"/>
      <c r="G36" s="29" t="n"/>
      <c r="H36" s="29" t="n"/>
      <c r="I36" s="29" t="n"/>
      <c r="J36" s="29" t="n"/>
    </row>
    <row r="37">
      <c r="A37" s="29" t="n"/>
      <c r="B37" s="29" t="n"/>
      <c r="C37" s="29" t="n"/>
      <c r="D37" s="29" t="n"/>
      <c r="E37" s="29" t="n"/>
      <c r="F37" s="29" t="n"/>
      <c r="G37" s="29" t="n"/>
      <c r="H37" s="29" t="n"/>
      <c r="I37" s="29" t="n"/>
      <c r="J37" s="29" t="n"/>
    </row>
    <row r="38">
      <c r="A38" s="29" t="n"/>
      <c r="B38" s="29" t="n"/>
      <c r="C38" s="29" t="n"/>
      <c r="D38" s="29" t="n"/>
      <c r="E38" s="29" t="n"/>
      <c r="F38" s="29" t="n"/>
      <c r="G38" s="29" t="n"/>
      <c r="H38" s="29" t="n"/>
      <c r="I38" s="29" t="n"/>
      <c r="J38" s="29" t="n"/>
    </row>
    <row r="39">
      <c r="A39" s="29" t="n"/>
      <c r="B39" s="29" t="n"/>
      <c r="C39" s="29" t="n"/>
      <c r="D39" s="29" t="n"/>
      <c r="E39" s="29" t="n"/>
      <c r="F39" s="29" t="n"/>
      <c r="G39" s="29" t="n"/>
      <c r="H39" s="29" t="n"/>
      <c r="I39" s="29" t="n"/>
      <c r="J39" s="29" t="n"/>
    </row>
    <row r="40">
      <c r="A40" s="29" t="n"/>
      <c r="B40" s="29" t="n"/>
      <c r="C40" s="29" t="n"/>
      <c r="D40" s="29" t="n"/>
      <c r="E40" s="29" t="n"/>
      <c r="F40" s="29" t="n"/>
      <c r="G40" s="29" t="n"/>
      <c r="H40" s="29" t="n"/>
      <c r="I40" s="29" t="n"/>
      <c r="J40" s="29" t="n"/>
    </row>
    <row r="41">
      <c r="A41" s="29" t="n"/>
      <c r="B41" s="29" t="n"/>
      <c r="C41" s="29" t="n"/>
      <c r="D41" s="29" t="n"/>
      <c r="E41" s="29" t="n"/>
      <c r="F41" s="29" t="n"/>
      <c r="G41" s="29" t="n"/>
      <c r="H41" s="29" t="n"/>
      <c r="I41" s="29" t="n"/>
      <c r="J41" s="29" t="n"/>
    </row>
    <row r="42">
      <c r="A42" s="29" t="n"/>
      <c r="B42" s="29" t="n"/>
      <c r="C42" s="29" t="n"/>
      <c r="D42" s="29" t="n"/>
      <c r="E42" s="29" t="n"/>
      <c r="F42" s="29" t="n"/>
      <c r="G42" s="29" t="n"/>
      <c r="H42" s="29" t="n"/>
      <c r="I42" s="29" t="n"/>
      <c r="J42" s="29" t="n"/>
    </row>
    <row r="43">
      <c r="A43" s="29" t="n"/>
      <c r="B43" s="29" t="n"/>
      <c r="C43" s="29" t="n"/>
      <c r="D43" s="29" t="n"/>
      <c r="E43" s="29" t="n"/>
      <c r="F43" s="29" t="n"/>
      <c r="G43" s="29" t="n"/>
      <c r="H43" s="29" t="n"/>
      <c r="I43" s="29" t="n"/>
      <c r="J43" s="29" t="n"/>
    </row>
    <row r="44">
      <c r="A44" s="29" t="n"/>
      <c r="B44" s="29" t="n"/>
      <c r="C44" s="29" t="n"/>
      <c r="D44" s="29" t="n"/>
      <c r="E44" s="29" t="n"/>
      <c r="F44" s="29" t="n"/>
      <c r="G44" s="29" t="n"/>
      <c r="H44" s="29" t="n"/>
      <c r="I44" s="29" t="n"/>
      <c r="J44" s="29" t="n"/>
    </row>
  </sheetData>
  <sheetProtection selectLockedCells="0" selectUnlockedCells="0" sheet="1" objects="0" insertRows="1" insertHyperlinks="1" autoFilter="0" scenarios="0" formatColumns="0" deleteColumns="1" insertColumns="1" pivotTables="1" deleteRows="1" formatCells="0" formatRows="0" sort="1"/>
  <autoFilter ref="A4:J44"/>
  <pageMargins left="0.75" right="0.75" top="1" bottom="1" header="0.5" footer="0.5"/>
  <pageSetup orientation="landscape" fitToHeight="0" fitToWidth="1"/>
</worksheet>
</file>

<file path=xl/worksheets/sheet60.xml><?xml version="1.0" encoding="utf-8"?>
<worksheet xmlns="http://schemas.openxmlformats.org/spreadsheetml/2006/main">
  <sheetPr>
    <tabColor rgb="00A6A6A6"/>
    <outlinePr summaryBelow="1" summaryRight="1"/>
    <pageSetUpPr fitToPage="1"/>
  </sheetPr>
  <dimension ref="A1:M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2" customWidth="1" min="3" max="3"/>
    <col width="10" customWidth="1" min="4" max="4"/>
    <col width="10" customWidth="1" min="5" max="5"/>
    <col width="12" customWidth="1" min="6" max="6"/>
    <col width="12" customWidth="1" min="7" max="7"/>
    <col width="11" customWidth="1" min="8" max="8"/>
    <col width="11" customWidth="1" min="9" max="9"/>
    <col width="14" customWidth="1" min="10" max="10"/>
    <col width="16" customWidth="1" min="11" max="11"/>
    <col width="18" customWidth="1" min="12" max="12"/>
    <col width="18" customWidth="1" min="13" max="13"/>
  </cols>
  <sheetData>
    <row r="1" ht="26" customHeight="1">
      <c r="A1" s="22" t="inlineStr">
        <is>
          <t>حركات المخزون (المرحلة 2 - هيكل فقط)</t>
        </is>
      </c>
      <c r="B1" s="1" t="n"/>
      <c r="C1" s="1" t="n"/>
      <c r="D1" s="1" t="n"/>
      <c r="E1" s="1" t="n"/>
      <c r="F1" s="1" t="n"/>
      <c r="G1" s="1" t="n"/>
      <c r="H1" s="1" t="n"/>
      <c r="I1" s="1" t="n"/>
      <c r="J1" s="1" t="n"/>
      <c r="K1" s="1" t="n"/>
      <c r="L1" s="1" t="n"/>
      <c r="M1" s="1" t="n"/>
    </row>
    <row r="2">
      <c r="A2" s="35" t="inlineStr">
        <is>
          <t>الرصيد يُحسب من هذا السجل فقط، وتكلفة التحويل = التكلفة الدفترية المعتمدة.</t>
        </is>
      </c>
    </row>
    <row r="3">
      <c r="A3" s="36" t="inlineStr">
        <is>
          <t>خلايا الإدخال</t>
        </is>
      </c>
      <c r="B3" s="37" t="inlineStr">
        <is>
          <t>معادلات (لا تعدّل)</t>
        </is>
      </c>
    </row>
    <row r="4" ht="34" customHeight="1">
      <c r="A4" s="24" t="inlineStr">
        <is>
          <t>رقم الحركة</t>
        </is>
      </c>
      <c r="B4" s="24" t="inlineStr">
        <is>
          <t>التاريخ</t>
        </is>
      </c>
      <c r="C4" s="24" t="inlineStr">
        <is>
          <t>الصنف</t>
        </is>
      </c>
      <c r="D4" s="24" t="inlineStr">
        <is>
          <t>الكمية</t>
        </is>
      </c>
      <c r="E4" s="24" t="inlineStr">
        <is>
          <t>وحدة القياس</t>
        </is>
      </c>
      <c r="F4" s="24" t="inlineStr">
        <is>
          <t>تكلفة الوحدة</t>
        </is>
      </c>
      <c r="G4" s="24" t="inlineStr">
        <is>
          <t>القيمة</t>
        </is>
      </c>
      <c r="H4" s="24" t="inlineStr">
        <is>
          <t>المخزن المصدر</t>
        </is>
      </c>
      <c r="I4" s="24" t="inlineStr">
        <is>
          <t>المخزن المستلم</t>
        </is>
      </c>
      <c r="J4" s="24" t="inlineStr">
        <is>
          <t>نوع الحركة</t>
        </is>
      </c>
      <c r="K4" s="24" t="inlineStr">
        <is>
          <t>المستند المرجعي</t>
        </is>
      </c>
      <c r="L4" s="24" t="inlineStr">
        <is>
          <t>منفذ الحركة</t>
        </is>
      </c>
      <c r="M4" s="24" t="inlineStr">
        <is>
          <t>المعتمد</t>
        </is>
      </c>
    </row>
    <row r="5">
      <c r="A5" s="29" t="n"/>
      <c r="B5" s="29" t="n"/>
      <c r="C5" s="29" t="n"/>
      <c r="D5" s="29" t="n"/>
      <c r="E5" s="29" t="n"/>
      <c r="F5" s="29" t="n"/>
      <c r="G5" s="29" t="n"/>
      <c r="H5" s="29" t="n"/>
      <c r="I5" s="29" t="n"/>
      <c r="J5" s="29" t="n"/>
      <c r="K5" s="29" t="n"/>
      <c r="L5" s="29" t="n"/>
      <c r="M5" s="29" t="n"/>
    </row>
    <row r="6">
      <c r="A6" s="29" t="n"/>
      <c r="B6" s="29" t="n"/>
      <c r="C6" s="29" t="n"/>
      <c r="D6" s="29" t="n"/>
      <c r="E6" s="29" t="n"/>
      <c r="F6" s="29" t="n"/>
      <c r="G6" s="29" t="n"/>
      <c r="H6" s="29" t="n"/>
      <c r="I6" s="29" t="n"/>
      <c r="J6" s="29" t="n"/>
      <c r="K6" s="29" t="n"/>
      <c r="L6" s="29" t="n"/>
      <c r="M6" s="29" t="n"/>
    </row>
    <row r="7">
      <c r="A7" s="29" t="n"/>
      <c r="B7" s="29" t="n"/>
      <c r="C7" s="29" t="n"/>
      <c r="D7" s="29" t="n"/>
      <c r="E7" s="29" t="n"/>
      <c r="F7" s="29" t="n"/>
      <c r="G7" s="29" t="n"/>
      <c r="H7" s="29" t="n"/>
      <c r="I7" s="29" t="n"/>
      <c r="J7" s="29" t="n"/>
      <c r="K7" s="29" t="n"/>
      <c r="L7" s="29" t="n"/>
      <c r="M7" s="29" t="n"/>
    </row>
    <row r="8">
      <c r="A8" s="29" t="n"/>
      <c r="B8" s="29" t="n"/>
      <c r="C8" s="29" t="n"/>
      <c r="D8" s="29" t="n"/>
      <c r="E8" s="29" t="n"/>
      <c r="F8" s="29" t="n"/>
      <c r="G8" s="29" t="n"/>
      <c r="H8" s="29" t="n"/>
      <c r="I8" s="29" t="n"/>
      <c r="J8" s="29" t="n"/>
      <c r="K8" s="29" t="n"/>
      <c r="L8" s="29" t="n"/>
      <c r="M8" s="29" t="n"/>
    </row>
    <row r="9">
      <c r="A9" s="29" t="n"/>
      <c r="B9" s="29" t="n"/>
      <c r="C9" s="29" t="n"/>
      <c r="D9" s="29" t="n"/>
      <c r="E9" s="29" t="n"/>
      <c r="F9" s="29" t="n"/>
      <c r="G9" s="29" t="n"/>
      <c r="H9" s="29" t="n"/>
      <c r="I9" s="29" t="n"/>
      <c r="J9" s="29" t="n"/>
      <c r="K9" s="29" t="n"/>
      <c r="L9" s="29" t="n"/>
      <c r="M9" s="29" t="n"/>
    </row>
    <row r="10">
      <c r="A10" s="29" t="n"/>
      <c r="B10" s="29" t="n"/>
      <c r="C10" s="29" t="n"/>
      <c r="D10" s="29" t="n"/>
      <c r="E10" s="29" t="n"/>
      <c r="F10" s="29" t="n"/>
      <c r="G10" s="29" t="n"/>
      <c r="H10" s="29" t="n"/>
      <c r="I10" s="29" t="n"/>
      <c r="J10" s="29" t="n"/>
      <c r="K10" s="29" t="n"/>
      <c r="L10" s="29" t="n"/>
      <c r="M10" s="29" t="n"/>
    </row>
    <row r="11">
      <c r="A11" s="29" t="n"/>
      <c r="B11" s="29" t="n"/>
      <c r="C11" s="29" t="n"/>
      <c r="D11" s="29" t="n"/>
      <c r="E11" s="29" t="n"/>
      <c r="F11" s="29" t="n"/>
      <c r="G11" s="29" t="n"/>
      <c r="H11" s="29" t="n"/>
      <c r="I11" s="29" t="n"/>
      <c r="J11" s="29" t="n"/>
      <c r="K11" s="29" t="n"/>
      <c r="L11" s="29" t="n"/>
      <c r="M11" s="29" t="n"/>
    </row>
    <row r="12">
      <c r="A12" s="29" t="n"/>
      <c r="B12" s="29" t="n"/>
      <c r="C12" s="29" t="n"/>
      <c r="D12" s="29" t="n"/>
      <c r="E12" s="29" t="n"/>
      <c r="F12" s="29" t="n"/>
      <c r="G12" s="29" t="n"/>
      <c r="H12" s="29" t="n"/>
      <c r="I12" s="29" t="n"/>
      <c r="J12" s="29" t="n"/>
      <c r="K12" s="29" t="n"/>
      <c r="L12" s="29" t="n"/>
      <c r="M12" s="29" t="n"/>
    </row>
    <row r="13">
      <c r="A13" s="29" t="n"/>
      <c r="B13" s="29" t="n"/>
      <c r="C13" s="29" t="n"/>
      <c r="D13" s="29" t="n"/>
      <c r="E13" s="29" t="n"/>
      <c r="F13" s="29" t="n"/>
      <c r="G13" s="29" t="n"/>
      <c r="H13" s="29" t="n"/>
      <c r="I13" s="29" t="n"/>
      <c r="J13" s="29" t="n"/>
      <c r="K13" s="29" t="n"/>
      <c r="L13" s="29" t="n"/>
      <c r="M13" s="29" t="n"/>
    </row>
    <row r="14">
      <c r="A14" s="29" t="n"/>
      <c r="B14" s="29" t="n"/>
      <c r="C14" s="29" t="n"/>
      <c r="D14" s="29" t="n"/>
      <c r="E14" s="29" t="n"/>
      <c r="F14" s="29" t="n"/>
      <c r="G14" s="29" t="n"/>
      <c r="H14" s="29" t="n"/>
      <c r="I14" s="29" t="n"/>
      <c r="J14" s="29" t="n"/>
      <c r="K14" s="29" t="n"/>
      <c r="L14" s="29" t="n"/>
      <c r="M14" s="29" t="n"/>
    </row>
    <row r="15">
      <c r="A15" s="29" t="n"/>
      <c r="B15" s="29" t="n"/>
      <c r="C15" s="29" t="n"/>
      <c r="D15" s="29" t="n"/>
      <c r="E15" s="29" t="n"/>
      <c r="F15" s="29" t="n"/>
      <c r="G15" s="29" t="n"/>
      <c r="H15" s="29" t="n"/>
      <c r="I15" s="29" t="n"/>
      <c r="J15" s="29" t="n"/>
      <c r="K15" s="29" t="n"/>
      <c r="L15" s="29" t="n"/>
      <c r="M15" s="29" t="n"/>
    </row>
    <row r="16">
      <c r="A16" s="29" t="n"/>
      <c r="B16" s="29" t="n"/>
      <c r="C16" s="29" t="n"/>
      <c r="D16" s="29" t="n"/>
      <c r="E16" s="29" t="n"/>
      <c r="F16" s="29" t="n"/>
      <c r="G16" s="29" t="n"/>
      <c r="H16" s="29" t="n"/>
      <c r="I16" s="29" t="n"/>
      <c r="J16" s="29" t="n"/>
      <c r="K16" s="29" t="n"/>
      <c r="L16" s="29" t="n"/>
      <c r="M16" s="29" t="n"/>
    </row>
    <row r="17">
      <c r="A17" s="29" t="n"/>
      <c r="B17" s="29" t="n"/>
      <c r="C17" s="29" t="n"/>
      <c r="D17" s="29" t="n"/>
      <c r="E17" s="29" t="n"/>
      <c r="F17" s="29" t="n"/>
      <c r="G17" s="29" t="n"/>
      <c r="H17" s="29" t="n"/>
      <c r="I17" s="29" t="n"/>
      <c r="J17" s="29" t="n"/>
      <c r="K17" s="29" t="n"/>
      <c r="L17" s="29" t="n"/>
      <c r="M17" s="29" t="n"/>
    </row>
    <row r="18">
      <c r="A18" s="29" t="n"/>
      <c r="B18" s="29" t="n"/>
      <c r="C18" s="29" t="n"/>
      <c r="D18" s="29" t="n"/>
      <c r="E18" s="29" t="n"/>
      <c r="F18" s="29" t="n"/>
      <c r="G18" s="29" t="n"/>
      <c r="H18" s="29" t="n"/>
      <c r="I18" s="29" t="n"/>
      <c r="J18" s="29" t="n"/>
      <c r="K18" s="29" t="n"/>
      <c r="L18" s="29" t="n"/>
      <c r="M18" s="29" t="n"/>
    </row>
    <row r="19">
      <c r="A19" s="29" t="n"/>
      <c r="B19" s="29" t="n"/>
      <c r="C19" s="29" t="n"/>
      <c r="D19" s="29" t="n"/>
      <c r="E19" s="29" t="n"/>
      <c r="F19" s="29" t="n"/>
      <c r="G19" s="29" t="n"/>
      <c r="H19" s="29" t="n"/>
      <c r="I19" s="29" t="n"/>
      <c r="J19" s="29" t="n"/>
      <c r="K19" s="29" t="n"/>
      <c r="L19" s="29" t="n"/>
      <c r="M19" s="29" t="n"/>
    </row>
    <row r="20">
      <c r="A20" s="29" t="n"/>
      <c r="B20" s="29" t="n"/>
      <c r="C20" s="29" t="n"/>
      <c r="D20" s="29" t="n"/>
      <c r="E20" s="29" t="n"/>
      <c r="F20" s="29" t="n"/>
      <c r="G20" s="29" t="n"/>
      <c r="H20" s="29" t="n"/>
      <c r="I20" s="29" t="n"/>
      <c r="J20" s="29" t="n"/>
      <c r="K20" s="29" t="n"/>
      <c r="L20" s="29" t="n"/>
      <c r="M20" s="29" t="n"/>
    </row>
    <row r="21">
      <c r="A21" s="29" t="n"/>
      <c r="B21" s="29" t="n"/>
      <c r="C21" s="29" t="n"/>
      <c r="D21" s="29" t="n"/>
      <c r="E21" s="29" t="n"/>
      <c r="F21" s="29" t="n"/>
      <c r="G21" s="29" t="n"/>
      <c r="H21" s="29" t="n"/>
      <c r="I21" s="29" t="n"/>
      <c r="J21" s="29" t="n"/>
      <c r="K21" s="29" t="n"/>
      <c r="L21" s="29" t="n"/>
      <c r="M21" s="29" t="n"/>
    </row>
    <row r="22">
      <c r="A22" s="29" t="n"/>
      <c r="B22" s="29" t="n"/>
      <c r="C22" s="29" t="n"/>
      <c r="D22" s="29" t="n"/>
      <c r="E22" s="29" t="n"/>
      <c r="F22" s="29" t="n"/>
      <c r="G22" s="29" t="n"/>
      <c r="H22" s="29" t="n"/>
      <c r="I22" s="29" t="n"/>
      <c r="J22" s="29" t="n"/>
      <c r="K22" s="29" t="n"/>
      <c r="L22" s="29" t="n"/>
      <c r="M22" s="29" t="n"/>
    </row>
    <row r="23">
      <c r="A23" s="29" t="n"/>
      <c r="B23" s="29" t="n"/>
      <c r="C23" s="29" t="n"/>
      <c r="D23" s="29" t="n"/>
      <c r="E23" s="29" t="n"/>
      <c r="F23" s="29" t="n"/>
      <c r="G23" s="29" t="n"/>
      <c r="H23" s="29" t="n"/>
      <c r="I23" s="29" t="n"/>
      <c r="J23" s="29" t="n"/>
      <c r="K23" s="29" t="n"/>
      <c r="L23" s="29" t="n"/>
      <c r="M23" s="29" t="n"/>
    </row>
    <row r="24">
      <c r="A24" s="29" t="n"/>
      <c r="B24" s="29" t="n"/>
      <c r="C24" s="29" t="n"/>
      <c r="D24" s="29" t="n"/>
      <c r="E24" s="29" t="n"/>
      <c r="F24" s="29" t="n"/>
      <c r="G24" s="29" t="n"/>
      <c r="H24" s="29" t="n"/>
      <c r="I24" s="29" t="n"/>
      <c r="J24" s="29" t="n"/>
      <c r="K24" s="29" t="n"/>
      <c r="L24" s="29" t="n"/>
      <c r="M24" s="29" t="n"/>
    </row>
    <row r="25">
      <c r="A25" s="29" t="n"/>
      <c r="B25" s="29" t="n"/>
      <c r="C25" s="29" t="n"/>
      <c r="D25" s="29" t="n"/>
      <c r="E25" s="29" t="n"/>
      <c r="F25" s="29" t="n"/>
      <c r="G25" s="29" t="n"/>
      <c r="H25" s="29" t="n"/>
      <c r="I25" s="29" t="n"/>
      <c r="J25" s="29" t="n"/>
      <c r="K25" s="29" t="n"/>
      <c r="L25" s="29" t="n"/>
      <c r="M25" s="29" t="n"/>
    </row>
    <row r="26">
      <c r="A26" s="29" t="n"/>
      <c r="B26" s="29" t="n"/>
      <c r="C26" s="29" t="n"/>
      <c r="D26" s="29" t="n"/>
      <c r="E26" s="29" t="n"/>
      <c r="F26" s="29" t="n"/>
      <c r="G26" s="29" t="n"/>
      <c r="H26" s="29" t="n"/>
      <c r="I26" s="29" t="n"/>
      <c r="J26" s="29" t="n"/>
      <c r="K26" s="29" t="n"/>
      <c r="L26" s="29" t="n"/>
      <c r="M26" s="29" t="n"/>
    </row>
    <row r="27">
      <c r="A27" s="29" t="n"/>
      <c r="B27" s="29" t="n"/>
      <c r="C27" s="29" t="n"/>
      <c r="D27" s="29" t="n"/>
      <c r="E27" s="29" t="n"/>
      <c r="F27" s="29" t="n"/>
      <c r="G27" s="29" t="n"/>
      <c r="H27" s="29" t="n"/>
      <c r="I27" s="29" t="n"/>
      <c r="J27" s="29" t="n"/>
      <c r="K27" s="29" t="n"/>
      <c r="L27" s="29" t="n"/>
      <c r="M27" s="29" t="n"/>
    </row>
    <row r="28">
      <c r="A28" s="29" t="n"/>
      <c r="B28" s="29" t="n"/>
      <c r="C28" s="29" t="n"/>
      <c r="D28" s="29" t="n"/>
      <c r="E28" s="29" t="n"/>
      <c r="F28" s="29" t="n"/>
      <c r="G28" s="29" t="n"/>
      <c r="H28" s="29" t="n"/>
      <c r="I28" s="29" t="n"/>
      <c r="J28" s="29" t="n"/>
      <c r="K28" s="29" t="n"/>
      <c r="L28" s="29" t="n"/>
      <c r="M28" s="29" t="n"/>
    </row>
    <row r="29">
      <c r="A29" s="29" t="n"/>
      <c r="B29" s="29" t="n"/>
      <c r="C29" s="29" t="n"/>
      <c r="D29" s="29" t="n"/>
      <c r="E29" s="29" t="n"/>
      <c r="F29" s="29" t="n"/>
      <c r="G29" s="29" t="n"/>
      <c r="H29" s="29" t="n"/>
      <c r="I29" s="29" t="n"/>
      <c r="J29" s="29" t="n"/>
      <c r="K29" s="29" t="n"/>
      <c r="L29" s="29" t="n"/>
      <c r="M29" s="29" t="n"/>
    </row>
    <row r="30">
      <c r="A30" s="29" t="n"/>
      <c r="B30" s="29" t="n"/>
      <c r="C30" s="29" t="n"/>
      <c r="D30" s="29" t="n"/>
      <c r="E30" s="29" t="n"/>
      <c r="F30" s="29" t="n"/>
      <c r="G30" s="29" t="n"/>
      <c r="H30" s="29" t="n"/>
      <c r="I30" s="29" t="n"/>
      <c r="J30" s="29" t="n"/>
      <c r="K30" s="29" t="n"/>
      <c r="L30" s="29" t="n"/>
      <c r="M30" s="29" t="n"/>
    </row>
    <row r="31">
      <c r="A31" s="29" t="n"/>
      <c r="B31" s="29" t="n"/>
      <c r="C31" s="29" t="n"/>
      <c r="D31" s="29" t="n"/>
      <c r="E31" s="29" t="n"/>
      <c r="F31" s="29" t="n"/>
      <c r="G31" s="29" t="n"/>
      <c r="H31" s="29" t="n"/>
      <c r="I31" s="29" t="n"/>
      <c r="J31" s="29" t="n"/>
      <c r="K31" s="29" t="n"/>
      <c r="L31" s="29" t="n"/>
      <c r="M31" s="29" t="n"/>
    </row>
    <row r="32">
      <c r="A32" s="29" t="n"/>
      <c r="B32" s="29" t="n"/>
      <c r="C32" s="29" t="n"/>
      <c r="D32" s="29" t="n"/>
      <c r="E32" s="29" t="n"/>
      <c r="F32" s="29" t="n"/>
      <c r="G32" s="29" t="n"/>
      <c r="H32" s="29" t="n"/>
      <c r="I32" s="29" t="n"/>
      <c r="J32" s="29" t="n"/>
      <c r="K32" s="29" t="n"/>
      <c r="L32" s="29" t="n"/>
      <c r="M32" s="29" t="n"/>
    </row>
    <row r="33">
      <c r="A33" s="29" t="n"/>
      <c r="B33" s="29" t="n"/>
      <c r="C33" s="29" t="n"/>
      <c r="D33" s="29" t="n"/>
      <c r="E33" s="29" t="n"/>
      <c r="F33" s="29" t="n"/>
      <c r="G33" s="29" t="n"/>
      <c r="H33" s="29" t="n"/>
      <c r="I33" s="29" t="n"/>
      <c r="J33" s="29" t="n"/>
      <c r="K33" s="29" t="n"/>
      <c r="L33" s="29" t="n"/>
      <c r="M33" s="29" t="n"/>
    </row>
    <row r="34">
      <c r="A34" s="29" t="n"/>
      <c r="B34" s="29" t="n"/>
      <c r="C34" s="29" t="n"/>
      <c r="D34" s="29" t="n"/>
      <c r="E34" s="29" t="n"/>
      <c r="F34" s="29" t="n"/>
      <c r="G34" s="29" t="n"/>
      <c r="H34" s="29" t="n"/>
      <c r="I34" s="29" t="n"/>
      <c r="J34" s="29" t="n"/>
      <c r="K34" s="29" t="n"/>
      <c r="L34" s="29" t="n"/>
      <c r="M34" s="29" t="n"/>
    </row>
    <row r="35">
      <c r="A35" s="29" t="n"/>
      <c r="B35" s="29" t="n"/>
      <c r="C35" s="29" t="n"/>
      <c r="D35" s="29" t="n"/>
      <c r="E35" s="29" t="n"/>
      <c r="F35" s="29" t="n"/>
      <c r="G35" s="29" t="n"/>
      <c r="H35" s="29" t="n"/>
      <c r="I35" s="29" t="n"/>
      <c r="J35" s="29" t="n"/>
      <c r="K35" s="29" t="n"/>
      <c r="L35" s="29" t="n"/>
      <c r="M35" s="29" t="n"/>
    </row>
    <row r="36">
      <c r="A36" s="29" t="n"/>
      <c r="B36" s="29" t="n"/>
      <c r="C36" s="29" t="n"/>
      <c r="D36" s="29" t="n"/>
      <c r="E36" s="29" t="n"/>
      <c r="F36" s="29" t="n"/>
      <c r="G36" s="29" t="n"/>
      <c r="H36" s="29" t="n"/>
      <c r="I36" s="29" t="n"/>
      <c r="J36" s="29" t="n"/>
      <c r="K36" s="29" t="n"/>
      <c r="L36" s="29" t="n"/>
      <c r="M36" s="29" t="n"/>
    </row>
    <row r="37">
      <c r="A37" s="29" t="n"/>
      <c r="B37" s="29" t="n"/>
      <c r="C37" s="29" t="n"/>
      <c r="D37" s="29" t="n"/>
      <c r="E37" s="29" t="n"/>
      <c r="F37" s="29" t="n"/>
      <c r="G37" s="29" t="n"/>
      <c r="H37" s="29" t="n"/>
      <c r="I37" s="29" t="n"/>
      <c r="J37" s="29" t="n"/>
      <c r="K37" s="29" t="n"/>
      <c r="L37" s="29" t="n"/>
      <c r="M37" s="29" t="n"/>
    </row>
    <row r="38">
      <c r="A38" s="29" t="n"/>
      <c r="B38" s="29" t="n"/>
      <c r="C38" s="29" t="n"/>
      <c r="D38" s="29" t="n"/>
      <c r="E38" s="29" t="n"/>
      <c r="F38" s="29" t="n"/>
      <c r="G38" s="29" t="n"/>
      <c r="H38" s="29" t="n"/>
      <c r="I38" s="29" t="n"/>
      <c r="J38" s="29" t="n"/>
      <c r="K38" s="29" t="n"/>
      <c r="L38" s="29" t="n"/>
      <c r="M38" s="29" t="n"/>
    </row>
    <row r="39">
      <c r="A39" s="29" t="n"/>
      <c r="B39" s="29" t="n"/>
      <c r="C39" s="29" t="n"/>
      <c r="D39" s="29" t="n"/>
      <c r="E39" s="29" t="n"/>
      <c r="F39" s="29" t="n"/>
      <c r="G39" s="29" t="n"/>
      <c r="H39" s="29" t="n"/>
      <c r="I39" s="29" t="n"/>
      <c r="J39" s="29" t="n"/>
      <c r="K39" s="29" t="n"/>
      <c r="L39" s="29" t="n"/>
      <c r="M39" s="29" t="n"/>
    </row>
    <row r="40">
      <c r="A40" s="29" t="n"/>
      <c r="B40" s="29" t="n"/>
      <c r="C40" s="29" t="n"/>
      <c r="D40" s="29" t="n"/>
      <c r="E40" s="29" t="n"/>
      <c r="F40" s="29" t="n"/>
      <c r="G40" s="29" t="n"/>
      <c r="H40" s="29" t="n"/>
      <c r="I40" s="29" t="n"/>
      <c r="J40" s="29" t="n"/>
      <c r="K40" s="29" t="n"/>
      <c r="L40" s="29" t="n"/>
      <c r="M40" s="29" t="n"/>
    </row>
    <row r="41">
      <c r="A41" s="29" t="n"/>
      <c r="B41" s="29" t="n"/>
      <c r="C41" s="29" t="n"/>
      <c r="D41" s="29" t="n"/>
      <c r="E41" s="29" t="n"/>
      <c r="F41" s="29" t="n"/>
      <c r="G41" s="29" t="n"/>
      <c r="H41" s="29" t="n"/>
      <c r="I41" s="29" t="n"/>
      <c r="J41" s="29" t="n"/>
      <c r="K41" s="29" t="n"/>
      <c r="L41" s="29" t="n"/>
      <c r="M41" s="29" t="n"/>
    </row>
    <row r="42">
      <c r="A42" s="29" t="n"/>
      <c r="B42" s="29" t="n"/>
      <c r="C42" s="29" t="n"/>
      <c r="D42" s="29" t="n"/>
      <c r="E42" s="29" t="n"/>
      <c r="F42" s="29" t="n"/>
      <c r="G42" s="29" t="n"/>
      <c r="H42" s="29" t="n"/>
      <c r="I42" s="29" t="n"/>
      <c r="J42" s="29" t="n"/>
      <c r="K42" s="29" t="n"/>
      <c r="L42" s="29" t="n"/>
      <c r="M42" s="29" t="n"/>
    </row>
    <row r="43">
      <c r="A43" s="29" t="n"/>
      <c r="B43" s="29" t="n"/>
      <c r="C43" s="29" t="n"/>
      <c r="D43" s="29" t="n"/>
      <c r="E43" s="29" t="n"/>
      <c r="F43" s="29" t="n"/>
      <c r="G43" s="29" t="n"/>
      <c r="H43" s="29" t="n"/>
      <c r="I43" s="29" t="n"/>
      <c r="J43" s="29" t="n"/>
      <c r="K43" s="29" t="n"/>
      <c r="L43" s="29" t="n"/>
      <c r="M43" s="29" t="n"/>
    </row>
    <row r="44">
      <c r="A44" s="29" t="n"/>
      <c r="B44" s="29" t="n"/>
      <c r="C44" s="29" t="n"/>
      <c r="D44" s="29" t="n"/>
      <c r="E44" s="29" t="n"/>
      <c r="F44" s="29" t="n"/>
      <c r="G44" s="29" t="n"/>
      <c r="H44" s="29" t="n"/>
      <c r="I44" s="29" t="n"/>
      <c r="J44" s="29" t="n"/>
      <c r="K44" s="29" t="n"/>
      <c r="L44" s="29" t="n"/>
      <c r="M44" s="29" t="n"/>
    </row>
  </sheetData>
  <sheetProtection selectLockedCells="0" selectUnlockedCells="0" sheet="1" objects="0" insertRows="1" insertHyperlinks="1" autoFilter="0" scenarios="0" formatColumns="0" deleteColumns="1" insertColumns="1" pivotTables="1" deleteRows="1" formatCells="0" formatRows="0" sort="1"/>
  <autoFilter ref="A4:M44"/>
  <pageMargins left="0.75" right="0.75" top="1" bottom="1" header="0.5" footer="0.5"/>
  <pageSetup orientation="landscape" fitToHeight="0" fitToWidth="1"/>
</worksheet>
</file>

<file path=xl/worksheets/sheet61.xml><?xml version="1.0" encoding="utf-8"?>
<worksheet xmlns="http://schemas.openxmlformats.org/spreadsheetml/2006/main">
  <sheetPr>
    <tabColor rgb="00A6A6A6"/>
    <outlinePr summaryBelow="1" summaryRight="1"/>
    <pageSetUpPr fitToPage="1"/>
  </sheetPr>
  <dimension ref="A1:J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9" customWidth="1" min="3" max="3"/>
    <col width="12" customWidth="1" min="4" max="4"/>
    <col width="12" customWidth="1" min="5" max="5"/>
    <col width="12" customWidth="1" min="6" max="6"/>
    <col width="10" customWidth="1" min="7" max="7"/>
    <col width="12" customWidth="1" min="8" max="8"/>
    <col width="20" customWidth="1" min="9" max="9"/>
    <col width="18" customWidth="1" min="10" max="10"/>
  </cols>
  <sheetData>
    <row r="1" ht="26" customHeight="1">
      <c r="A1" s="22" t="inlineStr">
        <is>
          <t>الجرد وفروق الجرد (المرحلة 2 - هيكل فقط)</t>
        </is>
      </c>
      <c r="B1" s="1" t="n"/>
      <c r="C1" s="1" t="n"/>
      <c r="D1" s="1" t="n"/>
      <c r="E1" s="1" t="n"/>
      <c r="F1" s="1" t="n"/>
      <c r="G1" s="1" t="n"/>
      <c r="H1" s="1" t="n"/>
      <c r="I1" s="1" t="n"/>
      <c r="J1" s="1" t="n"/>
    </row>
    <row r="2">
      <c r="A2" s="35" t="inlineStr">
        <is>
          <t>الرصيد الدفتري ثم الفعلي ثم الفرق ثم مستند التسوية.</t>
        </is>
      </c>
    </row>
    <row r="3">
      <c r="A3" s="36" t="inlineStr">
        <is>
          <t>خلايا الإدخال</t>
        </is>
      </c>
      <c r="B3" s="37" t="inlineStr">
        <is>
          <t>معادلات (لا تعدّل)</t>
        </is>
      </c>
    </row>
    <row r="4" ht="34" customHeight="1">
      <c r="A4" s="24" t="inlineStr">
        <is>
          <t>رقم محضر الجرد</t>
        </is>
      </c>
      <c r="B4" s="24" t="inlineStr">
        <is>
          <t>التاريخ</t>
        </is>
      </c>
      <c r="C4" s="24" t="inlineStr">
        <is>
          <t>الموقع</t>
        </is>
      </c>
      <c r="D4" s="24" t="inlineStr">
        <is>
          <t>الصنف</t>
        </is>
      </c>
      <c r="E4" s="24" t="inlineStr">
        <is>
          <t>الرصيد الدفتري</t>
        </is>
      </c>
      <c r="F4" s="24" t="inlineStr">
        <is>
          <t>الرصيد الفعلي</t>
        </is>
      </c>
      <c r="G4" s="24" t="inlineStr">
        <is>
          <t>الفرق</t>
        </is>
      </c>
      <c r="H4" s="24" t="inlineStr">
        <is>
          <t>قيمة الفرق</t>
        </is>
      </c>
      <c r="I4" s="24" t="inlineStr">
        <is>
          <t>السبب</t>
        </is>
      </c>
      <c r="J4" s="24" t="inlineStr">
        <is>
          <t>معتمد</t>
        </is>
      </c>
    </row>
    <row r="5">
      <c r="A5" s="29" t="n"/>
      <c r="B5" s="29" t="n"/>
      <c r="C5" s="29" t="n"/>
      <c r="D5" s="29" t="n"/>
      <c r="E5" s="29" t="n"/>
      <c r="F5" s="29" t="n"/>
      <c r="G5" s="29" t="n"/>
      <c r="H5" s="29" t="n"/>
      <c r="I5" s="29" t="n"/>
      <c r="J5" s="29" t="n"/>
    </row>
    <row r="6">
      <c r="A6" s="29" t="n"/>
      <c r="B6" s="29" t="n"/>
      <c r="C6" s="29" t="n"/>
      <c r="D6" s="29" t="n"/>
      <c r="E6" s="29" t="n"/>
      <c r="F6" s="29" t="n"/>
      <c r="G6" s="29" t="n"/>
      <c r="H6" s="29" t="n"/>
      <c r="I6" s="29" t="n"/>
      <c r="J6" s="29" t="n"/>
    </row>
    <row r="7">
      <c r="A7" s="29" t="n"/>
      <c r="B7" s="29" t="n"/>
      <c r="C7" s="29" t="n"/>
      <c r="D7" s="29" t="n"/>
      <c r="E7" s="29" t="n"/>
      <c r="F7" s="29" t="n"/>
      <c r="G7" s="29" t="n"/>
      <c r="H7" s="29" t="n"/>
      <c r="I7" s="29" t="n"/>
      <c r="J7" s="29" t="n"/>
    </row>
    <row r="8">
      <c r="A8" s="29" t="n"/>
      <c r="B8" s="29" t="n"/>
      <c r="C8" s="29" t="n"/>
      <c r="D8" s="29" t="n"/>
      <c r="E8" s="29" t="n"/>
      <c r="F8" s="29" t="n"/>
      <c r="G8" s="29" t="n"/>
      <c r="H8" s="29" t="n"/>
      <c r="I8" s="29" t="n"/>
      <c r="J8" s="29" t="n"/>
    </row>
    <row r="9">
      <c r="A9" s="29" t="n"/>
      <c r="B9" s="29" t="n"/>
      <c r="C9" s="29" t="n"/>
      <c r="D9" s="29" t="n"/>
      <c r="E9" s="29" t="n"/>
      <c r="F9" s="29" t="n"/>
      <c r="G9" s="29" t="n"/>
      <c r="H9" s="29" t="n"/>
      <c r="I9" s="29" t="n"/>
      <c r="J9" s="29" t="n"/>
    </row>
    <row r="10">
      <c r="A10" s="29" t="n"/>
      <c r="B10" s="29" t="n"/>
      <c r="C10" s="29" t="n"/>
      <c r="D10" s="29" t="n"/>
      <c r="E10" s="29" t="n"/>
      <c r="F10" s="29" t="n"/>
      <c r="G10" s="29" t="n"/>
      <c r="H10" s="29" t="n"/>
      <c r="I10" s="29" t="n"/>
      <c r="J10" s="29" t="n"/>
    </row>
    <row r="11">
      <c r="A11" s="29" t="n"/>
      <c r="B11" s="29" t="n"/>
      <c r="C11" s="29" t="n"/>
      <c r="D11" s="29" t="n"/>
      <c r="E11" s="29" t="n"/>
      <c r="F11" s="29" t="n"/>
      <c r="G11" s="29" t="n"/>
      <c r="H11" s="29" t="n"/>
      <c r="I11" s="29" t="n"/>
      <c r="J11" s="29" t="n"/>
    </row>
    <row r="12">
      <c r="A12" s="29" t="n"/>
      <c r="B12" s="29" t="n"/>
      <c r="C12" s="29" t="n"/>
      <c r="D12" s="29" t="n"/>
      <c r="E12" s="29" t="n"/>
      <c r="F12" s="29" t="n"/>
      <c r="G12" s="29" t="n"/>
      <c r="H12" s="29" t="n"/>
      <c r="I12" s="29" t="n"/>
      <c r="J12" s="29" t="n"/>
    </row>
    <row r="13">
      <c r="A13" s="29" t="n"/>
      <c r="B13" s="29" t="n"/>
      <c r="C13" s="29" t="n"/>
      <c r="D13" s="29" t="n"/>
      <c r="E13" s="29" t="n"/>
      <c r="F13" s="29" t="n"/>
      <c r="G13" s="29" t="n"/>
      <c r="H13" s="29" t="n"/>
      <c r="I13" s="29" t="n"/>
      <c r="J13" s="29" t="n"/>
    </row>
    <row r="14">
      <c r="A14" s="29" t="n"/>
      <c r="B14" s="29" t="n"/>
      <c r="C14" s="29" t="n"/>
      <c r="D14" s="29" t="n"/>
      <c r="E14" s="29" t="n"/>
      <c r="F14" s="29" t="n"/>
      <c r="G14" s="29" t="n"/>
      <c r="H14" s="29" t="n"/>
      <c r="I14" s="29" t="n"/>
      <c r="J14" s="29" t="n"/>
    </row>
    <row r="15">
      <c r="A15" s="29" t="n"/>
      <c r="B15" s="29" t="n"/>
      <c r="C15" s="29" t="n"/>
      <c r="D15" s="29" t="n"/>
      <c r="E15" s="29" t="n"/>
      <c r="F15" s="29" t="n"/>
      <c r="G15" s="29" t="n"/>
      <c r="H15" s="29" t="n"/>
      <c r="I15" s="29" t="n"/>
      <c r="J15" s="29" t="n"/>
    </row>
    <row r="16">
      <c r="A16" s="29" t="n"/>
      <c r="B16" s="29" t="n"/>
      <c r="C16" s="29" t="n"/>
      <c r="D16" s="29" t="n"/>
      <c r="E16" s="29" t="n"/>
      <c r="F16" s="29" t="n"/>
      <c r="G16" s="29" t="n"/>
      <c r="H16" s="29" t="n"/>
      <c r="I16" s="29" t="n"/>
      <c r="J16" s="29" t="n"/>
    </row>
    <row r="17">
      <c r="A17" s="29" t="n"/>
      <c r="B17" s="29" t="n"/>
      <c r="C17" s="29" t="n"/>
      <c r="D17" s="29" t="n"/>
      <c r="E17" s="29" t="n"/>
      <c r="F17" s="29" t="n"/>
      <c r="G17" s="29" t="n"/>
      <c r="H17" s="29" t="n"/>
      <c r="I17" s="29" t="n"/>
      <c r="J17" s="29" t="n"/>
    </row>
    <row r="18">
      <c r="A18" s="29" t="n"/>
      <c r="B18" s="29" t="n"/>
      <c r="C18" s="29" t="n"/>
      <c r="D18" s="29" t="n"/>
      <c r="E18" s="29" t="n"/>
      <c r="F18" s="29" t="n"/>
      <c r="G18" s="29" t="n"/>
      <c r="H18" s="29" t="n"/>
      <c r="I18" s="29" t="n"/>
      <c r="J18" s="29" t="n"/>
    </row>
    <row r="19">
      <c r="A19" s="29" t="n"/>
      <c r="B19" s="29" t="n"/>
      <c r="C19" s="29" t="n"/>
      <c r="D19" s="29" t="n"/>
      <c r="E19" s="29" t="n"/>
      <c r="F19" s="29" t="n"/>
      <c r="G19" s="29" t="n"/>
      <c r="H19" s="29" t="n"/>
      <c r="I19" s="29" t="n"/>
      <c r="J19" s="29" t="n"/>
    </row>
    <row r="20">
      <c r="A20" s="29" t="n"/>
      <c r="B20" s="29" t="n"/>
      <c r="C20" s="29" t="n"/>
      <c r="D20" s="29" t="n"/>
      <c r="E20" s="29" t="n"/>
      <c r="F20" s="29" t="n"/>
      <c r="G20" s="29" t="n"/>
      <c r="H20" s="29" t="n"/>
      <c r="I20" s="29" t="n"/>
      <c r="J20" s="29" t="n"/>
    </row>
    <row r="21">
      <c r="A21" s="29" t="n"/>
      <c r="B21" s="29" t="n"/>
      <c r="C21" s="29" t="n"/>
      <c r="D21" s="29" t="n"/>
      <c r="E21" s="29" t="n"/>
      <c r="F21" s="29" t="n"/>
      <c r="G21" s="29" t="n"/>
      <c r="H21" s="29" t="n"/>
      <c r="I21" s="29" t="n"/>
      <c r="J21" s="29" t="n"/>
    </row>
    <row r="22">
      <c r="A22" s="29" t="n"/>
      <c r="B22" s="29" t="n"/>
      <c r="C22" s="29" t="n"/>
      <c r="D22" s="29" t="n"/>
      <c r="E22" s="29" t="n"/>
      <c r="F22" s="29" t="n"/>
      <c r="G22" s="29" t="n"/>
      <c r="H22" s="29" t="n"/>
      <c r="I22" s="29" t="n"/>
      <c r="J22" s="29" t="n"/>
    </row>
    <row r="23">
      <c r="A23" s="29" t="n"/>
      <c r="B23" s="29" t="n"/>
      <c r="C23" s="29" t="n"/>
      <c r="D23" s="29" t="n"/>
      <c r="E23" s="29" t="n"/>
      <c r="F23" s="29" t="n"/>
      <c r="G23" s="29" t="n"/>
      <c r="H23" s="29" t="n"/>
      <c r="I23" s="29" t="n"/>
      <c r="J23" s="29" t="n"/>
    </row>
    <row r="24">
      <c r="A24" s="29" t="n"/>
      <c r="B24" s="29" t="n"/>
      <c r="C24" s="29" t="n"/>
      <c r="D24" s="29" t="n"/>
      <c r="E24" s="29" t="n"/>
      <c r="F24" s="29" t="n"/>
      <c r="G24" s="29" t="n"/>
      <c r="H24" s="29" t="n"/>
      <c r="I24" s="29" t="n"/>
      <c r="J24" s="29" t="n"/>
    </row>
    <row r="25">
      <c r="A25" s="29" t="n"/>
      <c r="B25" s="29" t="n"/>
      <c r="C25" s="29" t="n"/>
      <c r="D25" s="29" t="n"/>
      <c r="E25" s="29" t="n"/>
      <c r="F25" s="29" t="n"/>
      <c r="G25" s="29" t="n"/>
      <c r="H25" s="29" t="n"/>
      <c r="I25" s="29" t="n"/>
      <c r="J25" s="29" t="n"/>
    </row>
    <row r="26">
      <c r="A26" s="29" t="n"/>
      <c r="B26" s="29" t="n"/>
      <c r="C26" s="29" t="n"/>
      <c r="D26" s="29" t="n"/>
      <c r="E26" s="29" t="n"/>
      <c r="F26" s="29" t="n"/>
      <c r="G26" s="29" t="n"/>
      <c r="H26" s="29" t="n"/>
      <c r="I26" s="29" t="n"/>
      <c r="J26" s="29" t="n"/>
    </row>
    <row r="27">
      <c r="A27" s="29" t="n"/>
      <c r="B27" s="29" t="n"/>
      <c r="C27" s="29" t="n"/>
      <c r="D27" s="29" t="n"/>
      <c r="E27" s="29" t="n"/>
      <c r="F27" s="29" t="n"/>
      <c r="G27" s="29" t="n"/>
      <c r="H27" s="29" t="n"/>
      <c r="I27" s="29" t="n"/>
      <c r="J27" s="29" t="n"/>
    </row>
    <row r="28">
      <c r="A28" s="29" t="n"/>
      <c r="B28" s="29" t="n"/>
      <c r="C28" s="29" t="n"/>
      <c r="D28" s="29" t="n"/>
      <c r="E28" s="29" t="n"/>
      <c r="F28" s="29" t="n"/>
      <c r="G28" s="29" t="n"/>
      <c r="H28" s="29" t="n"/>
      <c r="I28" s="29" t="n"/>
      <c r="J28" s="29" t="n"/>
    </row>
    <row r="29">
      <c r="A29" s="29" t="n"/>
      <c r="B29" s="29" t="n"/>
      <c r="C29" s="29" t="n"/>
      <c r="D29" s="29" t="n"/>
      <c r="E29" s="29" t="n"/>
      <c r="F29" s="29" t="n"/>
      <c r="G29" s="29" t="n"/>
      <c r="H29" s="29" t="n"/>
      <c r="I29" s="29" t="n"/>
      <c r="J29" s="29" t="n"/>
    </row>
    <row r="30">
      <c r="A30" s="29" t="n"/>
      <c r="B30" s="29" t="n"/>
      <c r="C30" s="29" t="n"/>
      <c r="D30" s="29" t="n"/>
      <c r="E30" s="29" t="n"/>
      <c r="F30" s="29" t="n"/>
      <c r="G30" s="29" t="n"/>
      <c r="H30" s="29" t="n"/>
      <c r="I30" s="29" t="n"/>
      <c r="J30" s="29" t="n"/>
    </row>
    <row r="31">
      <c r="A31" s="29" t="n"/>
      <c r="B31" s="29" t="n"/>
      <c r="C31" s="29" t="n"/>
      <c r="D31" s="29" t="n"/>
      <c r="E31" s="29" t="n"/>
      <c r="F31" s="29" t="n"/>
      <c r="G31" s="29" t="n"/>
      <c r="H31" s="29" t="n"/>
      <c r="I31" s="29" t="n"/>
      <c r="J31" s="29" t="n"/>
    </row>
    <row r="32">
      <c r="A32" s="29" t="n"/>
      <c r="B32" s="29" t="n"/>
      <c r="C32" s="29" t="n"/>
      <c r="D32" s="29" t="n"/>
      <c r="E32" s="29" t="n"/>
      <c r="F32" s="29" t="n"/>
      <c r="G32" s="29" t="n"/>
      <c r="H32" s="29" t="n"/>
      <c r="I32" s="29" t="n"/>
      <c r="J32" s="29" t="n"/>
    </row>
    <row r="33">
      <c r="A33" s="29" t="n"/>
      <c r="B33" s="29" t="n"/>
      <c r="C33" s="29" t="n"/>
      <c r="D33" s="29" t="n"/>
      <c r="E33" s="29" t="n"/>
      <c r="F33" s="29" t="n"/>
      <c r="G33" s="29" t="n"/>
      <c r="H33" s="29" t="n"/>
      <c r="I33" s="29" t="n"/>
      <c r="J33" s="29" t="n"/>
    </row>
    <row r="34">
      <c r="A34" s="29" t="n"/>
      <c r="B34" s="29" t="n"/>
      <c r="C34" s="29" t="n"/>
      <c r="D34" s="29" t="n"/>
      <c r="E34" s="29" t="n"/>
      <c r="F34" s="29" t="n"/>
      <c r="G34" s="29" t="n"/>
      <c r="H34" s="29" t="n"/>
      <c r="I34" s="29" t="n"/>
      <c r="J34" s="29" t="n"/>
    </row>
    <row r="35">
      <c r="A35" s="29" t="n"/>
      <c r="B35" s="29" t="n"/>
      <c r="C35" s="29" t="n"/>
      <c r="D35" s="29" t="n"/>
      <c r="E35" s="29" t="n"/>
      <c r="F35" s="29" t="n"/>
      <c r="G35" s="29" t="n"/>
      <c r="H35" s="29" t="n"/>
      <c r="I35" s="29" t="n"/>
      <c r="J35" s="29" t="n"/>
    </row>
    <row r="36">
      <c r="A36" s="29" t="n"/>
      <c r="B36" s="29" t="n"/>
      <c r="C36" s="29" t="n"/>
      <c r="D36" s="29" t="n"/>
      <c r="E36" s="29" t="n"/>
      <c r="F36" s="29" t="n"/>
      <c r="G36" s="29" t="n"/>
      <c r="H36" s="29" t="n"/>
      <c r="I36" s="29" t="n"/>
      <c r="J36" s="29" t="n"/>
    </row>
    <row r="37">
      <c r="A37" s="29" t="n"/>
      <c r="B37" s="29" t="n"/>
      <c r="C37" s="29" t="n"/>
      <c r="D37" s="29" t="n"/>
      <c r="E37" s="29" t="n"/>
      <c r="F37" s="29" t="n"/>
      <c r="G37" s="29" t="n"/>
      <c r="H37" s="29" t="n"/>
      <c r="I37" s="29" t="n"/>
      <c r="J37" s="29" t="n"/>
    </row>
    <row r="38">
      <c r="A38" s="29" t="n"/>
      <c r="B38" s="29" t="n"/>
      <c r="C38" s="29" t="n"/>
      <c r="D38" s="29" t="n"/>
      <c r="E38" s="29" t="n"/>
      <c r="F38" s="29" t="n"/>
      <c r="G38" s="29" t="n"/>
      <c r="H38" s="29" t="n"/>
      <c r="I38" s="29" t="n"/>
      <c r="J38" s="29" t="n"/>
    </row>
    <row r="39">
      <c r="A39" s="29" t="n"/>
      <c r="B39" s="29" t="n"/>
      <c r="C39" s="29" t="n"/>
      <c r="D39" s="29" t="n"/>
      <c r="E39" s="29" t="n"/>
      <c r="F39" s="29" t="n"/>
      <c r="G39" s="29" t="n"/>
      <c r="H39" s="29" t="n"/>
      <c r="I39" s="29" t="n"/>
      <c r="J39" s="29" t="n"/>
    </row>
    <row r="40">
      <c r="A40" s="29" t="n"/>
      <c r="B40" s="29" t="n"/>
      <c r="C40" s="29" t="n"/>
      <c r="D40" s="29" t="n"/>
      <c r="E40" s="29" t="n"/>
      <c r="F40" s="29" t="n"/>
      <c r="G40" s="29" t="n"/>
      <c r="H40" s="29" t="n"/>
      <c r="I40" s="29" t="n"/>
      <c r="J40" s="29" t="n"/>
    </row>
    <row r="41">
      <c r="A41" s="29" t="n"/>
      <c r="B41" s="29" t="n"/>
      <c r="C41" s="29" t="n"/>
      <c r="D41" s="29" t="n"/>
      <c r="E41" s="29" t="n"/>
      <c r="F41" s="29" t="n"/>
      <c r="G41" s="29" t="n"/>
      <c r="H41" s="29" t="n"/>
      <c r="I41" s="29" t="n"/>
      <c r="J41" s="29" t="n"/>
    </row>
    <row r="42">
      <c r="A42" s="29" t="n"/>
      <c r="B42" s="29" t="n"/>
      <c r="C42" s="29" t="n"/>
      <c r="D42" s="29" t="n"/>
      <c r="E42" s="29" t="n"/>
      <c r="F42" s="29" t="n"/>
      <c r="G42" s="29" t="n"/>
      <c r="H42" s="29" t="n"/>
      <c r="I42" s="29" t="n"/>
      <c r="J42" s="29" t="n"/>
    </row>
    <row r="43">
      <c r="A43" s="29" t="n"/>
      <c r="B43" s="29" t="n"/>
      <c r="C43" s="29" t="n"/>
      <c r="D43" s="29" t="n"/>
      <c r="E43" s="29" t="n"/>
      <c r="F43" s="29" t="n"/>
      <c r="G43" s="29" t="n"/>
      <c r="H43" s="29" t="n"/>
      <c r="I43" s="29" t="n"/>
      <c r="J43" s="29" t="n"/>
    </row>
    <row r="44">
      <c r="A44" s="29" t="n"/>
      <c r="B44" s="29" t="n"/>
      <c r="C44" s="29" t="n"/>
      <c r="D44" s="29" t="n"/>
      <c r="E44" s="29" t="n"/>
      <c r="F44" s="29" t="n"/>
      <c r="G44" s="29" t="n"/>
      <c r="H44" s="29" t="n"/>
      <c r="I44" s="29" t="n"/>
      <c r="J44" s="29" t="n"/>
    </row>
  </sheetData>
  <sheetProtection selectLockedCells="0" selectUnlockedCells="0" sheet="1" objects="0" insertRows="1" insertHyperlinks="1" autoFilter="0" scenarios="0" formatColumns="0" deleteColumns="1" insertColumns="1" pivotTables="1" deleteRows="1" formatCells="0" formatRows="0" sort="1"/>
  <autoFilter ref="A4:J44"/>
  <pageMargins left="0.75" right="0.75" top="1" bottom="1" header="0.5" footer="0.5"/>
  <pageSetup orientation="landscape" fitToHeight="0" fitToWidth="1"/>
</worksheet>
</file>

<file path=xl/worksheets/sheet62.xml><?xml version="1.0" encoding="utf-8"?>
<worksheet xmlns="http://schemas.openxmlformats.org/spreadsheetml/2006/main">
  <sheetPr>
    <tabColor rgb="00A6A6A6"/>
    <outlinePr summaryBelow="1" summaryRight="1"/>
    <pageSetUpPr fitToPage="1"/>
  </sheetPr>
  <dimension ref="A1:K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12" customWidth="1" min="3" max="3"/>
    <col width="12" customWidth="1" min="4" max="4"/>
    <col width="10" customWidth="1" min="5" max="5"/>
    <col width="8" customWidth="1" min="6" max="6"/>
    <col width="10" customWidth="1" min="7" max="7"/>
    <col width="11" customWidth="1" min="8" max="8"/>
    <col width="12" customWidth="1" min="9" max="9"/>
    <col width="12" customWidth="1" min="10" max="10"/>
    <col width="10" customWidth="1" min="11" max="11"/>
  </cols>
  <sheetData>
    <row r="1" ht="26" customHeight="1">
      <c r="A1" s="22" t="inlineStr">
        <is>
          <t>وصفات الإنتاج والمنيو (المرحلة 2 - هيكل فقط)</t>
        </is>
      </c>
      <c r="B1" s="1" t="n"/>
      <c r="C1" s="1" t="n"/>
      <c r="D1" s="1" t="n"/>
      <c r="E1" s="1" t="n"/>
      <c r="F1" s="1" t="n"/>
      <c r="G1" s="1" t="n"/>
      <c r="H1" s="1" t="n"/>
      <c r="I1" s="1" t="n"/>
      <c r="J1" s="1" t="n"/>
      <c r="K1" s="1" t="n"/>
    </row>
    <row r="2">
      <c r="A2" s="35" t="inlineStr">
        <is>
          <t>كود الوصفة، المكونات، الفاقد المعياري، الناتج الصالح، تكلفة الدفعة والوحدة، ومقارنة بالفعلي.</t>
        </is>
      </c>
    </row>
    <row r="3">
      <c r="A3" s="36" t="inlineStr">
        <is>
          <t>خلايا الإدخال</t>
        </is>
      </c>
      <c r="B3" s="37" t="inlineStr">
        <is>
          <t>معادلات (لا تعدّل)</t>
        </is>
      </c>
    </row>
    <row r="4" ht="34" customHeight="1">
      <c r="A4" s="24" t="inlineStr">
        <is>
          <t>كود الوصفة</t>
        </is>
      </c>
      <c r="B4" s="24" t="inlineStr">
        <is>
          <t>الاسم</t>
        </is>
      </c>
      <c r="C4" s="24" t="inlineStr">
        <is>
          <t>النوع (إنتاج/منيو)</t>
        </is>
      </c>
      <c r="D4" s="24" t="inlineStr">
        <is>
          <t>المكوّن</t>
        </is>
      </c>
      <c r="E4" s="24" t="inlineStr">
        <is>
          <t>الكمية</t>
        </is>
      </c>
      <c r="F4" s="24" t="inlineStr">
        <is>
          <t>الوحدة</t>
        </is>
      </c>
      <c r="G4" s="24" t="inlineStr">
        <is>
          <t>الفاقد المعياري %</t>
        </is>
      </c>
      <c r="H4" s="24" t="inlineStr">
        <is>
          <t>الناتج الصالح</t>
        </is>
      </c>
      <c r="I4" s="24" t="inlineStr">
        <is>
          <t>تكلفة الدفعة</t>
        </is>
      </c>
      <c r="J4" s="24" t="inlineStr">
        <is>
          <t>تكلفة الوحدة</t>
        </is>
      </c>
      <c r="K4" s="24" t="inlineStr">
        <is>
          <t>سعر البيع</t>
        </is>
      </c>
    </row>
    <row r="5">
      <c r="A5" s="29" t="n"/>
      <c r="B5" s="29" t="n"/>
      <c r="C5" s="29" t="n"/>
      <c r="D5" s="29" t="n"/>
      <c r="E5" s="29" t="n"/>
      <c r="F5" s="29" t="n"/>
      <c r="G5" s="29" t="n"/>
      <c r="H5" s="29" t="n"/>
      <c r="I5" s="29" t="n"/>
      <c r="J5" s="29" t="n"/>
      <c r="K5" s="29" t="n"/>
    </row>
    <row r="6">
      <c r="A6" s="29" t="n"/>
      <c r="B6" s="29" t="n"/>
      <c r="C6" s="29" t="n"/>
      <c r="D6" s="29" t="n"/>
      <c r="E6" s="29" t="n"/>
      <c r="F6" s="29" t="n"/>
      <c r="G6" s="29" t="n"/>
      <c r="H6" s="29" t="n"/>
      <c r="I6" s="29" t="n"/>
      <c r="J6" s="29" t="n"/>
      <c r="K6" s="29" t="n"/>
    </row>
    <row r="7">
      <c r="A7" s="29" t="n"/>
      <c r="B7" s="29" t="n"/>
      <c r="C7" s="29" t="n"/>
      <c r="D7" s="29" t="n"/>
      <c r="E7" s="29" t="n"/>
      <c r="F7" s="29" t="n"/>
      <c r="G7" s="29" t="n"/>
      <c r="H7" s="29" t="n"/>
      <c r="I7" s="29" t="n"/>
      <c r="J7" s="29" t="n"/>
      <c r="K7" s="29" t="n"/>
    </row>
    <row r="8">
      <c r="A8" s="29" t="n"/>
      <c r="B8" s="29" t="n"/>
      <c r="C8" s="29" t="n"/>
      <c r="D8" s="29" t="n"/>
      <c r="E8" s="29" t="n"/>
      <c r="F8" s="29" t="n"/>
      <c r="G8" s="29" t="n"/>
      <c r="H8" s="29" t="n"/>
      <c r="I8" s="29" t="n"/>
      <c r="J8" s="29" t="n"/>
      <c r="K8" s="29" t="n"/>
    </row>
    <row r="9">
      <c r="A9" s="29" t="n"/>
      <c r="B9" s="29" t="n"/>
      <c r="C9" s="29" t="n"/>
      <c r="D9" s="29" t="n"/>
      <c r="E9" s="29" t="n"/>
      <c r="F9" s="29" t="n"/>
      <c r="G9" s="29" t="n"/>
      <c r="H9" s="29" t="n"/>
      <c r="I9" s="29" t="n"/>
      <c r="J9" s="29" t="n"/>
      <c r="K9" s="29" t="n"/>
    </row>
    <row r="10">
      <c r="A10" s="29" t="n"/>
      <c r="B10" s="29" t="n"/>
      <c r="C10" s="29" t="n"/>
      <c r="D10" s="29" t="n"/>
      <c r="E10" s="29" t="n"/>
      <c r="F10" s="29" t="n"/>
      <c r="G10" s="29" t="n"/>
      <c r="H10" s="29" t="n"/>
      <c r="I10" s="29" t="n"/>
      <c r="J10" s="29" t="n"/>
      <c r="K10" s="29" t="n"/>
    </row>
    <row r="11">
      <c r="A11" s="29" t="n"/>
      <c r="B11" s="29" t="n"/>
      <c r="C11" s="29" t="n"/>
      <c r="D11" s="29" t="n"/>
      <c r="E11" s="29" t="n"/>
      <c r="F11" s="29" t="n"/>
      <c r="G11" s="29" t="n"/>
      <c r="H11" s="29" t="n"/>
      <c r="I11" s="29" t="n"/>
      <c r="J11" s="29" t="n"/>
      <c r="K11" s="29" t="n"/>
    </row>
    <row r="12">
      <c r="A12" s="29" t="n"/>
      <c r="B12" s="29" t="n"/>
      <c r="C12" s="29" t="n"/>
      <c r="D12" s="29" t="n"/>
      <c r="E12" s="29" t="n"/>
      <c r="F12" s="29" t="n"/>
      <c r="G12" s="29" t="n"/>
      <c r="H12" s="29" t="n"/>
      <c r="I12" s="29" t="n"/>
      <c r="J12" s="29" t="n"/>
      <c r="K12" s="29" t="n"/>
    </row>
    <row r="13">
      <c r="A13" s="29" t="n"/>
      <c r="B13" s="29" t="n"/>
      <c r="C13" s="29" t="n"/>
      <c r="D13" s="29" t="n"/>
      <c r="E13" s="29" t="n"/>
      <c r="F13" s="29" t="n"/>
      <c r="G13" s="29" t="n"/>
      <c r="H13" s="29" t="n"/>
      <c r="I13" s="29" t="n"/>
      <c r="J13" s="29" t="n"/>
      <c r="K13" s="29" t="n"/>
    </row>
    <row r="14">
      <c r="A14" s="29" t="n"/>
      <c r="B14" s="29" t="n"/>
      <c r="C14" s="29" t="n"/>
      <c r="D14" s="29" t="n"/>
      <c r="E14" s="29" t="n"/>
      <c r="F14" s="29" t="n"/>
      <c r="G14" s="29" t="n"/>
      <c r="H14" s="29" t="n"/>
      <c r="I14" s="29" t="n"/>
      <c r="J14" s="29" t="n"/>
      <c r="K14" s="29" t="n"/>
    </row>
    <row r="15">
      <c r="A15" s="29" t="n"/>
      <c r="B15" s="29" t="n"/>
      <c r="C15" s="29" t="n"/>
      <c r="D15" s="29" t="n"/>
      <c r="E15" s="29" t="n"/>
      <c r="F15" s="29" t="n"/>
      <c r="G15" s="29" t="n"/>
      <c r="H15" s="29" t="n"/>
      <c r="I15" s="29" t="n"/>
      <c r="J15" s="29" t="n"/>
      <c r="K15" s="29" t="n"/>
    </row>
    <row r="16">
      <c r="A16" s="29" t="n"/>
      <c r="B16" s="29" t="n"/>
      <c r="C16" s="29" t="n"/>
      <c r="D16" s="29" t="n"/>
      <c r="E16" s="29" t="n"/>
      <c r="F16" s="29" t="n"/>
      <c r="G16" s="29" t="n"/>
      <c r="H16" s="29" t="n"/>
      <c r="I16" s="29" t="n"/>
      <c r="J16" s="29" t="n"/>
      <c r="K16" s="29" t="n"/>
    </row>
    <row r="17">
      <c r="A17" s="29" t="n"/>
      <c r="B17" s="29" t="n"/>
      <c r="C17" s="29" t="n"/>
      <c r="D17" s="29" t="n"/>
      <c r="E17" s="29" t="n"/>
      <c r="F17" s="29" t="n"/>
      <c r="G17" s="29" t="n"/>
      <c r="H17" s="29" t="n"/>
      <c r="I17" s="29" t="n"/>
      <c r="J17" s="29" t="n"/>
      <c r="K17" s="29" t="n"/>
    </row>
    <row r="18">
      <c r="A18" s="29" t="n"/>
      <c r="B18" s="29" t="n"/>
      <c r="C18" s="29" t="n"/>
      <c r="D18" s="29" t="n"/>
      <c r="E18" s="29" t="n"/>
      <c r="F18" s="29" t="n"/>
      <c r="G18" s="29" t="n"/>
      <c r="H18" s="29" t="n"/>
      <c r="I18" s="29" t="n"/>
      <c r="J18" s="29" t="n"/>
      <c r="K18" s="29" t="n"/>
    </row>
    <row r="19">
      <c r="A19" s="29" t="n"/>
      <c r="B19" s="29" t="n"/>
      <c r="C19" s="29" t="n"/>
      <c r="D19" s="29" t="n"/>
      <c r="E19" s="29" t="n"/>
      <c r="F19" s="29" t="n"/>
      <c r="G19" s="29" t="n"/>
      <c r="H19" s="29" t="n"/>
      <c r="I19" s="29" t="n"/>
      <c r="J19" s="29" t="n"/>
      <c r="K19" s="29" t="n"/>
    </row>
    <row r="20">
      <c r="A20" s="29" t="n"/>
      <c r="B20" s="29" t="n"/>
      <c r="C20" s="29" t="n"/>
      <c r="D20" s="29" t="n"/>
      <c r="E20" s="29" t="n"/>
      <c r="F20" s="29" t="n"/>
      <c r="G20" s="29" t="n"/>
      <c r="H20" s="29" t="n"/>
      <c r="I20" s="29" t="n"/>
      <c r="J20" s="29" t="n"/>
      <c r="K20" s="29" t="n"/>
    </row>
    <row r="21">
      <c r="A21" s="29" t="n"/>
      <c r="B21" s="29" t="n"/>
      <c r="C21" s="29" t="n"/>
      <c r="D21" s="29" t="n"/>
      <c r="E21" s="29" t="n"/>
      <c r="F21" s="29" t="n"/>
      <c r="G21" s="29" t="n"/>
      <c r="H21" s="29" t="n"/>
      <c r="I21" s="29" t="n"/>
      <c r="J21" s="29" t="n"/>
      <c r="K21" s="29" t="n"/>
    </row>
    <row r="22">
      <c r="A22" s="29" t="n"/>
      <c r="B22" s="29" t="n"/>
      <c r="C22" s="29" t="n"/>
      <c r="D22" s="29" t="n"/>
      <c r="E22" s="29" t="n"/>
      <c r="F22" s="29" t="n"/>
      <c r="G22" s="29" t="n"/>
      <c r="H22" s="29" t="n"/>
      <c r="I22" s="29" t="n"/>
      <c r="J22" s="29" t="n"/>
      <c r="K22" s="29" t="n"/>
    </row>
    <row r="23">
      <c r="A23" s="29" t="n"/>
      <c r="B23" s="29" t="n"/>
      <c r="C23" s="29" t="n"/>
      <c r="D23" s="29" t="n"/>
      <c r="E23" s="29" t="n"/>
      <c r="F23" s="29" t="n"/>
      <c r="G23" s="29" t="n"/>
      <c r="H23" s="29" t="n"/>
      <c r="I23" s="29" t="n"/>
      <c r="J23" s="29" t="n"/>
      <c r="K23" s="29" t="n"/>
    </row>
    <row r="24">
      <c r="A24" s="29" t="n"/>
      <c r="B24" s="29" t="n"/>
      <c r="C24" s="29" t="n"/>
      <c r="D24" s="29" t="n"/>
      <c r="E24" s="29" t="n"/>
      <c r="F24" s="29" t="n"/>
      <c r="G24" s="29" t="n"/>
      <c r="H24" s="29" t="n"/>
      <c r="I24" s="29" t="n"/>
      <c r="J24" s="29" t="n"/>
      <c r="K24" s="29" t="n"/>
    </row>
    <row r="25">
      <c r="A25" s="29" t="n"/>
      <c r="B25" s="29" t="n"/>
      <c r="C25" s="29" t="n"/>
      <c r="D25" s="29" t="n"/>
      <c r="E25" s="29" t="n"/>
      <c r="F25" s="29" t="n"/>
      <c r="G25" s="29" t="n"/>
      <c r="H25" s="29" t="n"/>
      <c r="I25" s="29" t="n"/>
      <c r="J25" s="29" t="n"/>
      <c r="K25" s="29" t="n"/>
    </row>
    <row r="26">
      <c r="A26" s="29" t="n"/>
      <c r="B26" s="29" t="n"/>
      <c r="C26" s="29" t="n"/>
      <c r="D26" s="29" t="n"/>
      <c r="E26" s="29" t="n"/>
      <c r="F26" s="29" t="n"/>
      <c r="G26" s="29" t="n"/>
      <c r="H26" s="29" t="n"/>
      <c r="I26" s="29" t="n"/>
      <c r="J26" s="29" t="n"/>
      <c r="K26" s="29" t="n"/>
    </row>
    <row r="27">
      <c r="A27" s="29" t="n"/>
      <c r="B27" s="29" t="n"/>
      <c r="C27" s="29" t="n"/>
      <c r="D27" s="29" t="n"/>
      <c r="E27" s="29" t="n"/>
      <c r="F27" s="29" t="n"/>
      <c r="G27" s="29" t="n"/>
      <c r="H27" s="29" t="n"/>
      <c r="I27" s="29" t="n"/>
      <c r="J27" s="29" t="n"/>
      <c r="K27" s="29" t="n"/>
    </row>
    <row r="28">
      <c r="A28" s="29" t="n"/>
      <c r="B28" s="29" t="n"/>
      <c r="C28" s="29" t="n"/>
      <c r="D28" s="29" t="n"/>
      <c r="E28" s="29" t="n"/>
      <c r="F28" s="29" t="n"/>
      <c r="G28" s="29" t="n"/>
      <c r="H28" s="29" t="n"/>
      <c r="I28" s="29" t="n"/>
      <c r="J28" s="29" t="n"/>
      <c r="K28" s="29" t="n"/>
    </row>
    <row r="29">
      <c r="A29" s="29" t="n"/>
      <c r="B29" s="29" t="n"/>
      <c r="C29" s="29" t="n"/>
      <c r="D29" s="29" t="n"/>
      <c r="E29" s="29" t="n"/>
      <c r="F29" s="29" t="n"/>
      <c r="G29" s="29" t="n"/>
      <c r="H29" s="29" t="n"/>
      <c r="I29" s="29" t="n"/>
      <c r="J29" s="29" t="n"/>
      <c r="K29" s="29" t="n"/>
    </row>
    <row r="30">
      <c r="A30" s="29" t="n"/>
      <c r="B30" s="29" t="n"/>
      <c r="C30" s="29" t="n"/>
      <c r="D30" s="29" t="n"/>
      <c r="E30" s="29" t="n"/>
      <c r="F30" s="29" t="n"/>
      <c r="G30" s="29" t="n"/>
      <c r="H30" s="29" t="n"/>
      <c r="I30" s="29" t="n"/>
      <c r="J30" s="29" t="n"/>
      <c r="K30" s="29" t="n"/>
    </row>
    <row r="31">
      <c r="A31" s="29" t="n"/>
      <c r="B31" s="29" t="n"/>
      <c r="C31" s="29" t="n"/>
      <c r="D31" s="29" t="n"/>
      <c r="E31" s="29" t="n"/>
      <c r="F31" s="29" t="n"/>
      <c r="G31" s="29" t="n"/>
      <c r="H31" s="29" t="n"/>
      <c r="I31" s="29" t="n"/>
      <c r="J31" s="29" t="n"/>
      <c r="K31" s="29" t="n"/>
    </row>
    <row r="32">
      <c r="A32" s="29" t="n"/>
      <c r="B32" s="29" t="n"/>
      <c r="C32" s="29" t="n"/>
      <c r="D32" s="29" t="n"/>
      <c r="E32" s="29" t="n"/>
      <c r="F32" s="29" t="n"/>
      <c r="G32" s="29" t="n"/>
      <c r="H32" s="29" t="n"/>
      <c r="I32" s="29" t="n"/>
      <c r="J32" s="29" t="n"/>
      <c r="K32" s="29" t="n"/>
    </row>
    <row r="33">
      <c r="A33" s="29" t="n"/>
      <c r="B33" s="29" t="n"/>
      <c r="C33" s="29" t="n"/>
      <c r="D33" s="29" t="n"/>
      <c r="E33" s="29" t="n"/>
      <c r="F33" s="29" t="n"/>
      <c r="G33" s="29" t="n"/>
      <c r="H33" s="29" t="n"/>
      <c r="I33" s="29" t="n"/>
      <c r="J33" s="29" t="n"/>
      <c r="K33" s="29" t="n"/>
    </row>
    <row r="34">
      <c r="A34" s="29" t="n"/>
      <c r="B34" s="29" t="n"/>
      <c r="C34" s="29" t="n"/>
      <c r="D34" s="29" t="n"/>
      <c r="E34" s="29" t="n"/>
      <c r="F34" s="29" t="n"/>
      <c r="G34" s="29" t="n"/>
      <c r="H34" s="29" t="n"/>
      <c r="I34" s="29" t="n"/>
      <c r="J34" s="29" t="n"/>
      <c r="K34" s="29" t="n"/>
    </row>
    <row r="35">
      <c r="A35" s="29" t="n"/>
      <c r="B35" s="29" t="n"/>
      <c r="C35" s="29" t="n"/>
      <c r="D35" s="29" t="n"/>
      <c r="E35" s="29" t="n"/>
      <c r="F35" s="29" t="n"/>
      <c r="G35" s="29" t="n"/>
      <c r="H35" s="29" t="n"/>
      <c r="I35" s="29" t="n"/>
      <c r="J35" s="29" t="n"/>
      <c r="K35" s="29" t="n"/>
    </row>
    <row r="36">
      <c r="A36" s="29" t="n"/>
      <c r="B36" s="29" t="n"/>
      <c r="C36" s="29" t="n"/>
      <c r="D36" s="29" t="n"/>
      <c r="E36" s="29" t="n"/>
      <c r="F36" s="29" t="n"/>
      <c r="G36" s="29" t="n"/>
      <c r="H36" s="29" t="n"/>
      <c r="I36" s="29" t="n"/>
      <c r="J36" s="29" t="n"/>
      <c r="K36" s="29" t="n"/>
    </row>
    <row r="37">
      <c r="A37" s="29" t="n"/>
      <c r="B37" s="29" t="n"/>
      <c r="C37" s="29" t="n"/>
      <c r="D37" s="29" t="n"/>
      <c r="E37" s="29" t="n"/>
      <c r="F37" s="29" t="n"/>
      <c r="G37" s="29" t="n"/>
      <c r="H37" s="29" t="n"/>
      <c r="I37" s="29" t="n"/>
      <c r="J37" s="29" t="n"/>
      <c r="K37" s="29" t="n"/>
    </row>
    <row r="38">
      <c r="A38" s="29" t="n"/>
      <c r="B38" s="29" t="n"/>
      <c r="C38" s="29" t="n"/>
      <c r="D38" s="29" t="n"/>
      <c r="E38" s="29" t="n"/>
      <c r="F38" s="29" t="n"/>
      <c r="G38" s="29" t="n"/>
      <c r="H38" s="29" t="n"/>
      <c r="I38" s="29" t="n"/>
      <c r="J38" s="29" t="n"/>
      <c r="K38" s="29" t="n"/>
    </row>
    <row r="39">
      <c r="A39" s="29" t="n"/>
      <c r="B39" s="29" t="n"/>
      <c r="C39" s="29" t="n"/>
      <c r="D39" s="29" t="n"/>
      <c r="E39" s="29" t="n"/>
      <c r="F39" s="29" t="n"/>
      <c r="G39" s="29" t="n"/>
      <c r="H39" s="29" t="n"/>
      <c r="I39" s="29" t="n"/>
      <c r="J39" s="29" t="n"/>
      <c r="K39" s="29" t="n"/>
    </row>
    <row r="40">
      <c r="A40" s="29" t="n"/>
      <c r="B40" s="29" t="n"/>
      <c r="C40" s="29" t="n"/>
      <c r="D40" s="29" t="n"/>
      <c r="E40" s="29" t="n"/>
      <c r="F40" s="29" t="n"/>
      <c r="G40" s="29" t="n"/>
      <c r="H40" s="29" t="n"/>
      <c r="I40" s="29" t="n"/>
      <c r="J40" s="29" t="n"/>
      <c r="K40" s="29" t="n"/>
    </row>
    <row r="41">
      <c r="A41" s="29" t="n"/>
      <c r="B41" s="29" t="n"/>
      <c r="C41" s="29" t="n"/>
      <c r="D41" s="29" t="n"/>
      <c r="E41" s="29" t="n"/>
      <c r="F41" s="29" t="n"/>
      <c r="G41" s="29" t="n"/>
      <c r="H41" s="29" t="n"/>
      <c r="I41" s="29" t="n"/>
      <c r="J41" s="29" t="n"/>
      <c r="K41" s="29" t="n"/>
    </row>
    <row r="42">
      <c r="A42" s="29" t="n"/>
      <c r="B42" s="29" t="n"/>
      <c r="C42" s="29" t="n"/>
      <c r="D42" s="29" t="n"/>
      <c r="E42" s="29" t="n"/>
      <c r="F42" s="29" t="n"/>
      <c r="G42" s="29" t="n"/>
      <c r="H42" s="29" t="n"/>
      <c r="I42" s="29" t="n"/>
      <c r="J42" s="29" t="n"/>
      <c r="K42" s="29" t="n"/>
    </row>
    <row r="43">
      <c r="A43" s="29" t="n"/>
      <c r="B43" s="29" t="n"/>
      <c r="C43" s="29" t="n"/>
      <c r="D43" s="29" t="n"/>
      <c r="E43" s="29" t="n"/>
      <c r="F43" s="29" t="n"/>
      <c r="G43" s="29" t="n"/>
      <c r="H43" s="29" t="n"/>
      <c r="I43" s="29" t="n"/>
      <c r="J43" s="29" t="n"/>
      <c r="K43" s="29" t="n"/>
    </row>
    <row r="44">
      <c r="A44" s="29" t="n"/>
      <c r="B44" s="29" t="n"/>
      <c r="C44" s="29" t="n"/>
      <c r="D44" s="29" t="n"/>
      <c r="E44" s="29" t="n"/>
      <c r="F44" s="29" t="n"/>
      <c r="G44" s="29" t="n"/>
      <c r="H44" s="29" t="n"/>
      <c r="I44" s="29" t="n"/>
      <c r="J44" s="29" t="n"/>
      <c r="K44" s="29" t="n"/>
    </row>
  </sheetData>
  <sheetProtection selectLockedCells="0" selectUnlockedCells="0" sheet="1" objects="0" insertRows="1" insertHyperlinks="1" autoFilter="0" scenarios="0" formatColumns="0" deleteColumns="1" insertColumns="1" pivotTables="1" deleteRows="1" formatCells="0" formatRows="0" sort="1"/>
  <autoFilter ref="A4:K44"/>
  <pageMargins left="0.75" right="0.75" top="1" bottom="1" header="0.5" footer="0.5"/>
  <pageSetup orientation="landscape" fitToHeight="0" fitToWidth="1"/>
</worksheet>
</file>

<file path=xl/worksheets/sheet63.xml><?xml version="1.0" encoding="utf-8"?>
<worksheet xmlns="http://schemas.openxmlformats.org/spreadsheetml/2006/main">
  <sheetPr>
    <tabColor rgb="00A6A6A6"/>
    <outlinePr summaryBelow="1" summaryRight="1"/>
    <pageSetUpPr fitToPage="1"/>
  </sheetPr>
  <dimension ref="A1:J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2" customWidth="1" min="3" max="3"/>
    <col width="11" customWidth="1" min="4" max="4"/>
    <col width="11" customWidth="1" min="5" max="5"/>
    <col width="10" customWidth="1" min="6" max="6"/>
    <col width="10" customWidth="1" min="7" max="7"/>
    <col width="10" customWidth="1" min="8" max="8"/>
    <col width="14" customWidth="1" min="9" max="9"/>
    <col width="18" customWidth="1" min="10" max="10"/>
  </cols>
  <sheetData>
    <row r="1" ht="26" customHeight="1">
      <c r="A1" s="22" t="inlineStr">
        <is>
          <t>الإنتاج في السنتر كيتشن (المرحلة 2 - هيكل فقط)</t>
        </is>
      </c>
      <c r="B1" s="1" t="n"/>
      <c r="C1" s="1" t="n"/>
      <c r="D1" s="1" t="n"/>
      <c r="E1" s="1" t="n"/>
      <c r="F1" s="1" t="n"/>
      <c r="G1" s="1" t="n"/>
      <c r="H1" s="1" t="n"/>
      <c r="I1" s="1" t="n"/>
      <c r="J1" s="1" t="n"/>
    </row>
    <row r="2">
      <c r="A2" s="35" t="inlineStr">
        <is>
          <t>طلبات الإنتاج، الصرف، الناتج، الهالك الطبيعي/غير الطبيعي، التحويل للفروع.</t>
        </is>
      </c>
    </row>
    <row r="3">
      <c r="A3" s="36" t="inlineStr">
        <is>
          <t>خلايا الإدخال</t>
        </is>
      </c>
      <c r="B3" s="37" t="inlineStr">
        <is>
          <t>معادلات (لا تعدّل)</t>
        </is>
      </c>
    </row>
    <row r="4" ht="34" customHeight="1">
      <c r="A4" s="24" t="inlineStr">
        <is>
          <t>رقم تقرير الإنتاج</t>
        </is>
      </c>
      <c r="B4" s="24" t="inlineStr">
        <is>
          <t>التاريخ</t>
        </is>
      </c>
      <c r="C4" s="24" t="inlineStr">
        <is>
          <t>الوصفة</t>
        </is>
      </c>
      <c r="D4" s="24" t="inlineStr">
        <is>
          <t>الكمية المخططة</t>
        </is>
      </c>
      <c r="E4" s="24" t="inlineStr">
        <is>
          <t>الكمية الفعلية</t>
        </is>
      </c>
      <c r="F4" s="24" t="inlineStr">
        <is>
          <t>هالك طبيعي</t>
        </is>
      </c>
      <c r="G4" s="24" t="inlineStr">
        <is>
          <t>هالك غير طبيعي</t>
        </is>
      </c>
      <c r="H4" s="24" t="inlineStr">
        <is>
          <t>محوّل إلى</t>
        </is>
      </c>
      <c r="I4" s="24" t="inlineStr">
        <is>
          <t>رقم التحويل</t>
        </is>
      </c>
      <c r="J4" s="24" t="inlineStr">
        <is>
          <t>المسؤول</t>
        </is>
      </c>
    </row>
    <row r="5">
      <c r="A5" s="29" t="n"/>
      <c r="B5" s="29" t="n"/>
      <c r="C5" s="29" t="n"/>
      <c r="D5" s="29" t="n"/>
      <c r="E5" s="29" t="n"/>
      <c r="F5" s="29" t="n"/>
      <c r="G5" s="29" t="n"/>
      <c r="H5" s="29" t="n"/>
      <c r="I5" s="29" t="n"/>
      <c r="J5" s="29" t="n"/>
    </row>
    <row r="6">
      <c r="A6" s="29" t="n"/>
      <c r="B6" s="29" t="n"/>
      <c r="C6" s="29" t="n"/>
      <c r="D6" s="29" t="n"/>
      <c r="E6" s="29" t="n"/>
      <c r="F6" s="29" t="n"/>
      <c r="G6" s="29" t="n"/>
      <c r="H6" s="29" t="n"/>
      <c r="I6" s="29" t="n"/>
      <c r="J6" s="29" t="n"/>
    </row>
    <row r="7">
      <c r="A7" s="29" t="n"/>
      <c r="B7" s="29" t="n"/>
      <c r="C7" s="29" t="n"/>
      <c r="D7" s="29" t="n"/>
      <c r="E7" s="29" t="n"/>
      <c r="F7" s="29" t="n"/>
      <c r="G7" s="29" t="n"/>
      <c r="H7" s="29" t="n"/>
      <c r="I7" s="29" t="n"/>
      <c r="J7" s="29" t="n"/>
    </row>
    <row r="8">
      <c r="A8" s="29" t="n"/>
      <c r="B8" s="29" t="n"/>
      <c r="C8" s="29" t="n"/>
      <c r="D8" s="29" t="n"/>
      <c r="E8" s="29" t="n"/>
      <c r="F8" s="29" t="n"/>
      <c r="G8" s="29" t="n"/>
      <c r="H8" s="29" t="n"/>
      <c r="I8" s="29" t="n"/>
      <c r="J8" s="29" t="n"/>
    </row>
    <row r="9">
      <c r="A9" s="29" t="n"/>
      <c r="B9" s="29" t="n"/>
      <c r="C9" s="29" t="n"/>
      <c r="D9" s="29" t="n"/>
      <c r="E9" s="29" t="n"/>
      <c r="F9" s="29" t="n"/>
      <c r="G9" s="29" t="n"/>
      <c r="H9" s="29" t="n"/>
      <c r="I9" s="29" t="n"/>
      <c r="J9" s="29" t="n"/>
    </row>
    <row r="10">
      <c r="A10" s="29" t="n"/>
      <c r="B10" s="29" t="n"/>
      <c r="C10" s="29" t="n"/>
      <c r="D10" s="29" t="n"/>
      <c r="E10" s="29" t="n"/>
      <c r="F10" s="29" t="n"/>
      <c r="G10" s="29" t="n"/>
      <c r="H10" s="29" t="n"/>
      <c r="I10" s="29" t="n"/>
      <c r="J10" s="29" t="n"/>
    </row>
    <row r="11">
      <c r="A11" s="29" t="n"/>
      <c r="B11" s="29" t="n"/>
      <c r="C11" s="29" t="n"/>
      <c r="D11" s="29" t="n"/>
      <c r="E11" s="29" t="n"/>
      <c r="F11" s="29" t="n"/>
      <c r="G11" s="29" t="n"/>
      <c r="H11" s="29" t="n"/>
      <c r="I11" s="29" t="n"/>
      <c r="J11" s="29" t="n"/>
    </row>
    <row r="12">
      <c r="A12" s="29" t="n"/>
      <c r="B12" s="29" t="n"/>
      <c r="C12" s="29" t="n"/>
      <c r="D12" s="29" t="n"/>
      <c r="E12" s="29" t="n"/>
      <c r="F12" s="29" t="n"/>
      <c r="G12" s="29" t="n"/>
      <c r="H12" s="29" t="n"/>
      <c r="I12" s="29" t="n"/>
      <c r="J12" s="29" t="n"/>
    </row>
    <row r="13">
      <c r="A13" s="29" t="n"/>
      <c r="B13" s="29" t="n"/>
      <c r="C13" s="29" t="n"/>
      <c r="D13" s="29" t="n"/>
      <c r="E13" s="29" t="n"/>
      <c r="F13" s="29" t="n"/>
      <c r="G13" s="29" t="n"/>
      <c r="H13" s="29" t="n"/>
      <c r="I13" s="29" t="n"/>
      <c r="J13" s="29" t="n"/>
    </row>
    <row r="14">
      <c r="A14" s="29" t="n"/>
      <c r="B14" s="29" t="n"/>
      <c r="C14" s="29" t="n"/>
      <c r="D14" s="29" t="n"/>
      <c r="E14" s="29" t="n"/>
      <c r="F14" s="29" t="n"/>
      <c r="G14" s="29" t="n"/>
      <c r="H14" s="29" t="n"/>
      <c r="I14" s="29" t="n"/>
      <c r="J14" s="29" t="n"/>
    </row>
    <row r="15">
      <c r="A15" s="29" t="n"/>
      <c r="B15" s="29" t="n"/>
      <c r="C15" s="29" t="n"/>
      <c r="D15" s="29" t="n"/>
      <c r="E15" s="29" t="n"/>
      <c r="F15" s="29" t="n"/>
      <c r="G15" s="29" t="n"/>
      <c r="H15" s="29" t="n"/>
      <c r="I15" s="29" t="n"/>
      <c r="J15" s="29" t="n"/>
    </row>
    <row r="16">
      <c r="A16" s="29" t="n"/>
      <c r="B16" s="29" t="n"/>
      <c r="C16" s="29" t="n"/>
      <c r="D16" s="29" t="n"/>
      <c r="E16" s="29" t="n"/>
      <c r="F16" s="29" t="n"/>
      <c r="G16" s="29" t="n"/>
      <c r="H16" s="29" t="n"/>
      <c r="I16" s="29" t="n"/>
      <c r="J16" s="29" t="n"/>
    </row>
    <row r="17">
      <c r="A17" s="29" t="n"/>
      <c r="B17" s="29" t="n"/>
      <c r="C17" s="29" t="n"/>
      <c r="D17" s="29" t="n"/>
      <c r="E17" s="29" t="n"/>
      <c r="F17" s="29" t="n"/>
      <c r="G17" s="29" t="n"/>
      <c r="H17" s="29" t="n"/>
      <c r="I17" s="29" t="n"/>
      <c r="J17" s="29" t="n"/>
    </row>
    <row r="18">
      <c r="A18" s="29" t="n"/>
      <c r="B18" s="29" t="n"/>
      <c r="C18" s="29" t="n"/>
      <c r="D18" s="29" t="n"/>
      <c r="E18" s="29" t="n"/>
      <c r="F18" s="29" t="n"/>
      <c r="G18" s="29" t="n"/>
      <c r="H18" s="29" t="n"/>
      <c r="I18" s="29" t="n"/>
      <c r="J18" s="29" t="n"/>
    </row>
    <row r="19">
      <c r="A19" s="29" t="n"/>
      <c r="B19" s="29" t="n"/>
      <c r="C19" s="29" t="n"/>
      <c r="D19" s="29" t="n"/>
      <c r="E19" s="29" t="n"/>
      <c r="F19" s="29" t="n"/>
      <c r="G19" s="29" t="n"/>
      <c r="H19" s="29" t="n"/>
      <c r="I19" s="29" t="n"/>
      <c r="J19" s="29" t="n"/>
    </row>
    <row r="20">
      <c r="A20" s="29" t="n"/>
      <c r="B20" s="29" t="n"/>
      <c r="C20" s="29" t="n"/>
      <c r="D20" s="29" t="n"/>
      <c r="E20" s="29" t="n"/>
      <c r="F20" s="29" t="n"/>
      <c r="G20" s="29" t="n"/>
      <c r="H20" s="29" t="n"/>
      <c r="I20" s="29" t="n"/>
      <c r="J20" s="29" t="n"/>
    </row>
    <row r="21">
      <c r="A21" s="29" t="n"/>
      <c r="B21" s="29" t="n"/>
      <c r="C21" s="29" t="n"/>
      <c r="D21" s="29" t="n"/>
      <c r="E21" s="29" t="n"/>
      <c r="F21" s="29" t="n"/>
      <c r="G21" s="29" t="n"/>
      <c r="H21" s="29" t="n"/>
      <c r="I21" s="29" t="n"/>
      <c r="J21" s="29" t="n"/>
    </row>
    <row r="22">
      <c r="A22" s="29" t="n"/>
      <c r="B22" s="29" t="n"/>
      <c r="C22" s="29" t="n"/>
      <c r="D22" s="29" t="n"/>
      <c r="E22" s="29" t="n"/>
      <c r="F22" s="29" t="n"/>
      <c r="G22" s="29" t="n"/>
      <c r="H22" s="29" t="n"/>
      <c r="I22" s="29" t="n"/>
      <c r="J22" s="29" t="n"/>
    </row>
    <row r="23">
      <c r="A23" s="29" t="n"/>
      <c r="B23" s="29" t="n"/>
      <c r="C23" s="29" t="n"/>
      <c r="D23" s="29" t="n"/>
      <c r="E23" s="29" t="n"/>
      <c r="F23" s="29" t="n"/>
      <c r="G23" s="29" t="n"/>
      <c r="H23" s="29" t="n"/>
      <c r="I23" s="29" t="n"/>
      <c r="J23" s="29" t="n"/>
    </row>
    <row r="24">
      <c r="A24" s="29" t="n"/>
      <c r="B24" s="29" t="n"/>
      <c r="C24" s="29" t="n"/>
      <c r="D24" s="29" t="n"/>
      <c r="E24" s="29" t="n"/>
      <c r="F24" s="29" t="n"/>
      <c r="G24" s="29" t="n"/>
      <c r="H24" s="29" t="n"/>
      <c r="I24" s="29" t="n"/>
      <c r="J24" s="29" t="n"/>
    </row>
    <row r="25">
      <c r="A25" s="29" t="n"/>
      <c r="B25" s="29" t="n"/>
      <c r="C25" s="29" t="n"/>
      <c r="D25" s="29" t="n"/>
      <c r="E25" s="29" t="n"/>
      <c r="F25" s="29" t="n"/>
      <c r="G25" s="29" t="n"/>
      <c r="H25" s="29" t="n"/>
      <c r="I25" s="29" t="n"/>
      <c r="J25" s="29" t="n"/>
    </row>
    <row r="26">
      <c r="A26" s="29" t="n"/>
      <c r="B26" s="29" t="n"/>
      <c r="C26" s="29" t="n"/>
      <c r="D26" s="29" t="n"/>
      <c r="E26" s="29" t="n"/>
      <c r="F26" s="29" t="n"/>
      <c r="G26" s="29" t="n"/>
      <c r="H26" s="29" t="n"/>
      <c r="I26" s="29" t="n"/>
      <c r="J26" s="29" t="n"/>
    </row>
    <row r="27">
      <c r="A27" s="29" t="n"/>
      <c r="B27" s="29" t="n"/>
      <c r="C27" s="29" t="n"/>
      <c r="D27" s="29" t="n"/>
      <c r="E27" s="29" t="n"/>
      <c r="F27" s="29" t="n"/>
      <c r="G27" s="29" t="n"/>
      <c r="H27" s="29" t="n"/>
      <c r="I27" s="29" t="n"/>
      <c r="J27" s="29" t="n"/>
    </row>
    <row r="28">
      <c r="A28" s="29" t="n"/>
      <c r="B28" s="29" t="n"/>
      <c r="C28" s="29" t="n"/>
      <c r="D28" s="29" t="n"/>
      <c r="E28" s="29" t="n"/>
      <c r="F28" s="29" t="n"/>
      <c r="G28" s="29" t="n"/>
      <c r="H28" s="29" t="n"/>
      <c r="I28" s="29" t="n"/>
      <c r="J28" s="29" t="n"/>
    </row>
    <row r="29">
      <c r="A29" s="29" t="n"/>
      <c r="B29" s="29" t="n"/>
      <c r="C29" s="29" t="n"/>
      <c r="D29" s="29" t="n"/>
      <c r="E29" s="29" t="n"/>
      <c r="F29" s="29" t="n"/>
      <c r="G29" s="29" t="n"/>
      <c r="H29" s="29" t="n"/>
      <c r="I29" s="29" t="n"/>
      <c r="J29" s="29" t="n"/>
    </row>
    <row r="30">
      <c r="A30" s="29" t="n"/>
      <c r="B30" s="29" t="n"/>
      <c r="C30" s="29" t="n"/>
      <c r="D30" s="29" t="n"/>
      <c r="E30" s="29" t="n"/>
      <c r="F30" s="29" t="n"/>
      <c r="G30" s="29" t="n"/>
      <c r="H30" s="29" t="n"/>
      <c r="I30" s="29" t="n"/>
      <c r="J30" s="29" t="n"/>
    </row>
    <row r="31">
      <c r="A31" s="29" t="n"/>
      <c r="B31" s="29" t="n"/>
      <c r="C31" s="29" t="n"/>
      <c r="D31" s="29" t="n"/>
      <c r="E31" s="29" t="n"/>
      <c r="F31" s="29" t="n"/>
      <c r="G31" s="29" t="n"/>
      <c r="H31" s="29" t="n"/>
      <c r="I31" s="29" t="n"/>
      <c r="J31" s="29" t="n"/>
    </row>
    <row r="32">
      <c r="A32" s="29" t="n"/>
      <c r="B32" s="29" t="n"/>
      <c r="C32" s="29" t="n"/>
      <c r="D32" s="29" t="n"/>
      <c r="E32" s="29" t="n"/>
      <c r="F32" s="29" t="n"/>
      <c r="G32" s="29" t="n"/>
      <c r="H32" s="29" t="n"/>
      <c r="I32" s="29" t="n"/>
      <c r="J32" s="29" t="n"/>
    </row>
    <row r="33">
      <c r="A33" s="29" t="n"/>
      <c r="B33" s="29" t="n"/>
      <c r="C33" s="29" t="n"/>
      <c r="D33" s="29" t="n"/>
      <c r="E33" s="29" t="n"/>
      <c r="F33" s="29" t="n"/>
      <c r="G33" s="29" t="n"/>
      <c r="H33" s="29" t="n"/>
      <c r="I33" s="29" t="n"/>
      <c r="J33" s="29" t="n"/>
    </row>
    <row r="34">
      <c r="A34" s="29" t="n"/>
      <c r="B34" s="29" t="n"/>
      <c r="C34" s="29" t="n"/>
      <c r="D34" s="29" t="n"/>
      <c r="E34" s="29" t="n"/>
      <c r="F34" s="29" t="n"/>
      <c r="G34" s="29" t="n"/>
      <c r="H34" s="29" t="n"/>
      <c r="I34" s="29" t="n"/>
      <c r="J34" s="29" t="n"/>
    </row>
    <row r="35">
      <c r="A35" s="29" t="n"/>
      <c r="B35" s="29" t="n"/>
      <c r="C35" s="29" t="n"/>
      <c r="D35" s="29" t="n"/>
      <c r="E35" s="29" t="n"/>
      <c r="F35" s="29" t="n"/>
      <c r="G35" s="29" t="n"/>
      <c r="H35" s="29" t="n"/>
      <c r="I35" s="29" t="n"/>
      <c r="J35" s="29" t="n"/>
    </row>
    <row r="36">
      <c r="A36" s="29" t="n"/>
      <c r="B36" s="29" t="n"/>
      <c r="C36" s="29" t="n"/>
      <c r="D36" s="29" t="n"/>
      <c r="E36" s="29" t="n"/>
      <c r="F36" s="29" t="n"/>
      <c r="G36" s="29" t="n"/>
      <c r="H36" s="29" t="n"/>
      <c r="I36" s="29" t="n"/>
      <c r="J36" s="29" t="n"/>
    </row>
    <row r="37">
      <c r="A37" s="29" t="n"/>
      <c r="B37" s="29" t="n"/>
      <c r="C37" s="29" t="n"/>
      <c r="D37" s="29" t="n"/>
      <c r="E37" s="29" t="n"/>
      <c r="F37" s="29" t="n"/>
      <c r="G37" s="29" t="n"/>
      <c r="H37" s="29" t="n"/>
      <c r="I37" s="29" t="n"/>
      <c r="J37" s="29" t="n"/>
    </row>
    <row r="38">
      <c r="A38" s="29" t="n"/>
      <c r="B38" s="29" t="n"/>
      <c r="C38" s="29" t="n"/>
      <c r="D38" s="29" t="n"/>
      <c r="E38" s="29" t="n"/>
      <c r="F38" s="29" t="n"/>
      <c r="G38" s="29" t="n"/>
      <c r="H38" s="29" t="n"/>
      <c r="I38" s="29" t="n"/>
      <c r="J38" s="29" t="n"/>
    </row>
    <row r="39">
      <c r="A39" s="29" t="n"/>
      <c r="B39" s="29" t="n"/>
      <c r="C39" s="29" t="n"/>
      <c r="D39" s="29" t="n"/>
      <c r="E39" s="29" t="n"/>
      <c r="F39" s="29" t="n"/>
      <c r="G39" s="29" t="n"/>
      <c r="H39" s="29" t="n"/>
      <c r="I39" s="29" t="n"/>
      <c r="J39" s="29" t="n"/>
    </row>
    <row r="40">
      <c r="A40" s="29" t="n"/>
      <c r="B40" s="29" t="n"/>
      <c r="C40" s="29" t="n"/>
      <c r="D40" s="29" t="n"/>
      <c r="E40" s="29" t="n"/>
      <c r="F40" s="29" t="n"/>
      <c r="G40" s="29" t="n"/>
      <c r="H40" s="29" t="n"/>
      <c r="I40" s="29" t="n"/>
      <c r="J40" s="29" t="n"/>
    </row>
    <row r="41">
      <c r="A41" s="29" t="n"/>
      <c r="B41" s="29" t="n"/>
      <c r="C41" s="29" t="n"/>
      <c r="D41" s="29" t="n"/>
      <c r="E41" s="29" t="n"/>
      <c r="F41" s="29" t="n"/>
      <c r="G41" s="29" t="n"/>
      <c r="H41" s="29" t="n"/>
      <c r="I41" s="29" t="n"/>
      <c r="J41" s="29" t="n"/>
    </row>
    <row r="42">
      <c r="A42" s="29" t="n"/>
      <c r="B42" s="29" t="n"/>
      <c r="C42" s="29" t="n"/>
      <c r="D42" s="29" t="n"/>
      <c r="E42" s="29" t="n"/>
      <c r="F42" s="29" t="n"/>
      <c r="G42" s="29" t="n"/>
      <c r="H42" s="29" t="n"/>
      <c r="I42" s="29" t="n"/>
      <c r="J42" s="29" t="n"/>
    </row>
    <row r="43">
      <c r="A43" s="29" t="n"/>
      <c r="B43" s="29" t="n"/>
      <c r="C43" s="29" t="n"/>
      <c r="D43" s="29" t="n"/>
      <c r="E43" s="29" t="n"/>
      <c r="F43" s="29" t="n"/>
      <c r="G43" s="29" t="n"/>
      <c r="H43" s="29" t="n"/>
      <c r="I43" s="29" t="n"/>
      <c r="J43" s="29" t="n"/>
    </row>
    <row r="44">
      <c r="A44" s="29" t="n"/>
      <c r="B44" s="29" t="n"/>
      <c r="C44" s="29" t="n"/>
      <c r="D44" s="29" t="n"/>
      <c r="E44" s="29" t="n"/>
      <c r="F44" s="29" t="n"/>
      <c r="G44" s="29" t="n"/>
      <c r="H44" s="29" t="n"/>
      <c r="I44" s="29" t="n"/>
      <c r="J44" s="29" t="n"/>
    </row>
  </sheetData>
  <sheetProtection selectLockedCells="0" selectUnlockedCells="0" sheet="1" objects="0" insertRows="1" insertHyperlinks="1" autoFilter="0" scenarios="0" formatColumns="0" deleteColumns="1" insertColumns="1" pivotTables="1" deleteRows="1" formatCells="0" formatRows="0" sort="1"/>
  <autoFilter ref="A4:J44"/>
  <pageMargins left="0.75" right="0.75" top="1" bottom="1" header="0.5" footer="0.5"/>
  <pageSetup orientation="landscape" fitToHeight="0" fitToWidth="1"/>
</worksheet>
</file>

<file path=xl/worksheets/sheet64.xml><?xml version="1.0" encoding="utf-8"?>
<worksheet xmlns="http://schemas.openxmlformats.org/spreadsheetml/2006/main">
  <sheetPr>
    <tabColor rgb="00A6A6A6"/>
    <outlinePr summaryBelow="1" summaryRight="1"/>
    <pageSetUpPr fitToPage="1"/>
  </sheetPr>
  <dimension ref="A1:L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9" customWidth="1" min="3" max="3"/>
    <col width="11" customWidth="1" min="4" max="4"/>
    <col width="10" customWidth="1" min="5" max="5"/>
    <col width="10" customWidth="1" min="6" max="6"/>
    <col width="11" customWidth="1" min="7" max="7"/>
    <col width="10" customWidth="1" min="8" max="8"/>
    <col width="10" customWidth="1" min="9" max="9"/>
    <col width="12" customWidth="1" min="10" max="10"/>
    <col width="10" customWidth="1" min="11" max="11"/>
    <col width="10" customWidth="1" min="12" max="12"/>
  </cols>
  <sheetData>
    <row r="1" ht="26" customHeight="1">
      <c r="A1" s="22" t="inlineStr">
        <is>
          <t>الرواتب (المرحلة 3 - هيكل فقط)</t>
        </is>
      </c>
      <c r="B1" s="1" t="n"/>
      <c r="C1" s="1" t="n"/>
      <c r="D1" s="1" t="n"/>
      <c r="E1" s="1" t="n"/>
      <c r="F1" s="1" t="n"/>
      <c r="G1" s="1" t="n"/>
      <c r="H1" s="1" t="n"/>
      <c r="I1" s="1" t="n"/>
      <c r="J1" s="1" t="n"/>
      <c r="K1" s="1" t="n"/>
      <c r="L1" s="1" t="n"/>
    </row>
    <row r="2">
      <c r="A2" s="35" t="inlineStr">
        <is>
          <t>الاستحقاق منفصل عن الدفع، والجزاءات لا تُخصم دون اعتماد ومراجعة قانونية.</t>
        </is>
      </c>
    </row>
    <row r="3">
      <c r="A3" s="36" t="inlineStr">
        <is>
          <t>خلايا الإدخال</t>
        </is>
      </c>
      <c r="B3" s="37" t="inlineStr">
        <is>
          <t>معادلات (لا تعدّل)</t>
        </is>
      </c>
    </row>
    <row r="4" ht="34" customHeight="1">
      <c r="A4" s="24" t="inlineStr">
        <is>
          <t>الموظف</t>
        </is>
      </c>
      <c r="B4" s="24" t="inlineStr">
        <is>
          <t>الفرع</t>
        </is>
      </c>
      <c r="C4" s="24" t="inlineStr">
        <is>
          <t>الشهر</t>
        </is>
      </c>
      <c r="D4" s="24" t="inlineStr">
        <is>
          <t>الأساسي</t>
        </is>
      </c>
      <c r="E4" s="24" t="inlineStr">
        <is>
          <t>البدلات</t>
        </is>
      </c>
      <c r="F4" s="24" t="inlineStr">
        <is>
          <t>الإضافي</t>
        </is>
      </c>
      <c r="G4" s="24" t="inlineStr">
        <is>
          <t>الجزاءات المعتمدة</t>
        </is>
      </c>
      <c r="H4" s="24" t="inlineStr">
        <is>
          <t>السلف</t>
        </is>
      </c>
      <c r="I4" s="24" t="inlineStr">
        <is>
          <t>الخصومات</t>
        </is>
      </c>
      <c r="J4" s="24" t="inlineStr">
        <is>
          <t>صافي المستحق</t>
        </is>
      </c>
      <c r="K4" s="24" t="inlineStr">
        <is>
          <t>المدفوع</t>
        </is>
      </c>
      <c r="L4" s="24" t="inlineStr">
        <is>
          <t>المتبقي</t>
        </is>
      </c>
    </row>
    <row r="5">
      <c r="A5" s="29" t="n"/>
      <c r="B5" s="29" t="n"/>
      <c r="C5" s="29" t="n"/>
      <c r="D5" s="29" t="n"/>
      <c r="E5" s="29" t="n"/>
      <c r="F5" s="29" t="n"/>
      <c r="G5" s="29" t="n"/>
      <c r="H5" s="29" t="n"/>
      <c r="I5" s="29" t="n"/>
      <c r="J5" s="29" t="n"/>
      <c r="K5" s="29" t="n"/>
      <c r="L5" s="29" t="n"/>
    </row>
    <row r="6">
      <c r="A6" s="29" t="n"/>
      <c r="B6" s="29" t="n"/>
      <c r="C6" s="29" t="n"/>
      <c r="D6" s="29" t="n"/>
      <c r="E6" s="29" t="n"/>
      <c r="F6" s="29" t="n"/>
      <c r="G6" s="29" t="n"/>
      <c r="H6" s="29" t="n"/>
      <c r="I6" s="29" t="n"/>
      <c r="J6" s="29" t="n"/>
      <c r="K6" s="29" t="n"/>
      <c r="L6" s="29" t="n"/>
    </row>
    <row r="7">
      <c r="A7" s="29" t="n"/>
      <c r="B7" s="29" t="n"/>
      <c r="C7" s="29" t="n"/>
      <c r="D7" s="29" t="n"/>
      <c r="E7" s="29" t="n"/>
      <c r="F7" s="29" t="n"/>
      <c r="G7" s="29" t="n"/>
      <c r="H7" s="29" t="n"/>
      <c r="I7" s="29" t="n"/>
      <c r="J7" s="29" t="n"/>
      <c r="K7" s="29" t="n"/>
      <c r="L7" s="29" t="n"/>
    </row>
    <row r="8">
      <c r="A8" s="29" t="n"/>
      <c r="B8" s="29" t="n"/>
      <c r="C8" s="29" t="n"/>
      <c r="D8" s="29" t="n"/>
      <c r="E8" s="29" t="n"/>
      <c r="F8" s="29" t="n"/>
      <c r="G8" s="29" t="n"/>
      <c r="H8" s="29" t="n"/>
      <c r="I8" s="29" t="n"/>
      <c r="J8" s="29" t="n"/>
      <c r="K8" s="29" t="n"/>
      <c r="L8" s="29" t="n"/>
    </row>
    <row r="9">
      <c r="A9" s="29" t="n"/>
      <c r="B9" s="29" t="n"/>
      <c r="C9" s="29" t="n"/>
      <c r="D9" s="29" t="n"/>
      <c r="E9" s="29" t="n"/>
      <c r="F9" s="29" t="n"/>
      <c r="G9" s="29" t="n"/>
      <c r="H9" s="29" t="n"/>
      <c r="I9" s="29" t="n"/>
      <c r="J9" s="29" t="n"/>
      <c r="K9" s="29" t="n"/>
      <c r="L9" s="29" t="n"/>
    </row>
    <row r="10">
      <c r="A10" s="29" t="n"/>
      <c r="B10" s="29" t="n"/>
      <c r="C10" s="29" t="n"/>
      <c r="D10" s="29" t="n"/>
      <c r="E10" s="29" t="n"/>
      <c r="F10" s="29" t="n"/>
      <c r="G10" s="29" t="n"/>
      <c r="H10" s="29" t="n"/>
      <c r="I10" s="29" t="n"/>
      <c r="J10" s="29" t="n"/>
      <c r="K10" s="29" t="n"/>
      <c r="L10" s="29" t="n"/>
    </row>
    <row r="11">
      <c r="A11" s="29" t="n"/>
      <c r="B11" s="29" t="n"/>
      <c r="C11" s="29" t="n"/>
      <c r="D11" s="29" t="n"/>
      <c r="E11" s="29" t="n"/>
      <c r="F11" s="29" t="n"/>
      <c r="G11" s="29" t="n"/>
      <c r="H11" s="29" t="n"/>
      <c r="I11" s="29" t="n"/>
      <c r="J11" s="29" t="n"/>
      <c r="K11" s="29" t="n"/>
      <c r="L11" s="29" t="n"/>
    </row>
    <row r="12">
      <c r="A12" s="29" t="n"/>
      <c r="B12" s="29" t="n"/>
      <c r="C12" s="29" t="n"/>
      <c r="D12" s="29" t="n"/>
      <c r="E12" s="29" t="n"/>
      <c r="F12" s="29" t="n"/>
      <c r="G12" s="29" t="n"/>
      <c r="H12" s="29" t="n"/>
      <c r="I12" s="29" t="n"/>
      <c r="J12" s="29" t="n"/>
      <c r="K12" s="29" t="n"/>
      <c r="L12" s="29" t="n"/>
    </row>
    <row r="13">
      <c r="A13" s="29" t="n"/>
      <c r="B13" s="29" t="n"/>
      <c r="C13" s="29" t="n"/>
      <c r="D13" s="29" t="n"/>
      <c r="E13" s="29" t="n"/>
      <c r="F13" s="29" t="n"/>
      <c r="G13" s="29" t="n"/>
      <c r="H13" s="29" t="n"/>
      <c r="I13" s="29" t="n"/>
      <c r="J13" s="29" t="n"/>
      <c r="K13" s="29" t="n"/>
      <c r="L13" s="29" t="n"/>
    </row>
    <row r="14">
      <c r="A14" s="29" t="n"/>
      <c r="B14" s="29" t="n"/>
      <c r="C14" s="29" t="n"/>
      <c r="D14" s="29" t="n"/>
      <c r="E14" s="29" t="n"/>
      <c r="F14" s="29" t="n"/>
      <c r="G14" s="29" t="n"/>
      <c r="H14" s="29" t="n"/>
      <c r="I14" s="29" t="n"/>
      <c r="J14" s="29" t="n"/>
      <c r="K14" s="29" t="n"/>
      <c r="L14" s="29" t="n"/>
    </row>
    <row r="15">
      <c r="A15" s="29" t="n"/>
      <c r="B15" s="29" t="n"/>
      <c r="C15" s="29" t="n"/>
      <c r="D15" s="29" t="n"/>
      <c r="E15" s="29" t="n"/>
      <c r="F15" s="29" t="n"/>
      <c r="G15" s="29" t="n"/>
      <c r="H15" s="29" t="n"/>
      <c r="I15" s="29" t="n"/>
      <c r="J15" s="29" t="n"/>
      <c r="K15" s="29" t="n"/>
      <c r="L15" s="29" t="n"/>
    </row>
    <row r="16">
      <c r="A16" s="29" t="n"/>
      <c r="B16" s="29" t="n"/>
      <c r="C16" s="29" t="n"/>
      <c r="D16" s="29" t="n"/>
      <c r="E16" s="29" t="n"/>
      <c r="F16" s="29" t="n"/>
      <c r="G16" s="29" t="n"/>
      <c r="H16" s="29" t="n"/>
      <c r="I16" s="29" t="n"/>
      <c r="J16" s="29" t="n"/>
      <c r="K16" s="29" t="n"/>
      <c r="L16" s="29" t="n"/>
    </row>
    <row r="17">
      <c r="A17" s="29" t="n"/>
      <c r="B17" s="29" t="n"/>
      <c r="C17" s="29" t="n"/>
      <c r="D17" s="29" t="n"/>
      <c r="E17" s="29" t="n"/>
      <c r="F17" s="29" t="n"/>
      <c r="G17" s="29" t="n"/>
      <c r="H17" s="29" t="n"/>
      <c r="I17" s="29" t="n"/>
      <c r="J17" s="29" t="n"/>
      <c r="K17" s="29" t="n"/>
      <c r="L17" s="29" t="n"/>
    </row>
    <row r="18">
      <c r="A18" s="29" t="n"/>
      <c r="B18" s="29" t="n"/>
      <c r="C18" s="29" t="n"/>
      <c r="D18" s="29" t="n"/>
      <c r="E18" s="29" t="n"/>
      <c r="F18" s="29" t="n"/>
      <c r="G18" s="29" t="n"/>
      <c r="H18" s="29" t="n"/>
      <c r="I18" s="29" t="n"/>
      <c r="J18" s="29" t="n"/>
      <c r="K18" s="29" t="n"/>
      <c r="L18" s="29" t="n"/>
    </row>
    <row r="19">
      <c r="A19" s="29" t="n"/>
      <c r="B19" s="29" t="n"/>
      <c r="C19" s="29" t="n"/>
      <c r="D19" s="29" t="n"/>
      <c r="E19" s="29" t="n"/>
      <c r="F19" s="29" t="n"/>
      <c r="G19" s="29" t="n"/>
      <c r="H19" s="29" t="n"/>
      <c r="I19" s="29" t="n"/>
      <c r="J19" s="29" t="n"/>
      <c r="K19" s="29" t="n"/>
      <c r="L19" s="29" t="n"/>
    </row>
    <row r="20">
      <c r="A20" s="29" t="n"/>
      <c r="B20" s="29" t="n"/>
      <c r="C20" s="29" t="n"/>
      <c r="D20" s="29" t="n"/>
      <c r="E20" s="29" t="n"/>
      <c r="F20" s="29" t="n"/>
      <c r="G20" s="29" t="n"/>
      <c r="H20" s="29" t="n"/>
      <c r="I20" s="29" t="n"/>
      <c r="J20" s="29" t="n"/>
      <c r="K20" s="29" t="n"/>
      <c r="L20" s="29" t="n"/>
    </row>
    <row r="21">
      <c r="A21" s="29" t="n"/>
      <c r="B21" s="29" t="n"/>
      <c r="C21" s="29" t="n"/>
      <c r="D21" s="29" t="n"/>
      <c r="E21" s="29" t="n"/>
      <c r="F21" s="29" t="n"/>
      <c r="G21" s="29" t="n"/>
      <c r="H21" s="29" t="n"/>
      <c r="I21" s="29" t="n"/>
      <c r="J21" s="29" t="n"/>
      <c r="K21" s="29" t="n"/>
      <c r="L21" s="29" t="n"/>
    </row>
    <row r="22">
      <c r="A22" s="29" t="n"/>
      <c r="B22" s="29" t="n"/>
      <c r="C22" s="29" t="n"/>
      <c r="D22" s="29" t="n"/>
      <c r="E22" s="29" t="n"/>
      <c r="F22" s="29" t="n"/>
      <c r="G22" s="29" t="n"/>
      <c r="H22" s="29" t="n"/>
      <c r="I22" s="29" t="n"/>
      <c r="J22" s="29" t="n"/>
      <c r="K22" s="29" t="n"/>
      <c r="L22" s="29" t="n"/>
    </row>
    <row r="23">
      <c r="A23" s="29" t="n"/>
      <c r="B23" s="29" t="n"/>
      <c r="C23" s="29" t="n"/>
      <c r="D23" s="29" t="n"/>
      <c r="E23" s="29" t="n"/>
      <c r="F23" s="29" t="n"/>
      <c r="G23" s="29" t="n"/>
      <c r="H23" s="29" t="n"/>
      <c r="I23" s="29" t="n"/>
      <c r="J23" s="29" t="n"/>
      <c r="K23" s="29" t="n"/>
      <c r="L23" s="29" t="n"/>
    </row>
    <row r="24">
      <c r="A24" s="29" t="n"/>
      <c r="B24" s="29" t="n"/>
      <c r="C24" s="29" t="n"/>
      <c r="D24" s="29" t="n"/>
      <c r="E24" s="29" t="n"/>
      <c r="F24" s="29" t="n"/>
      <c r="G24" s="29" t="n"/>
      <c r="H24" s="29" t="n"/>
      <c r="I24" s="29" t="n"/>
      <c r="J24" s="29" t="n"/>
      <c r="K24" s="29" t="n"/>
      <c r="L24" s="29" t="n"/>
    </row>
    <row r="25">
      <c r="A25" s="29" t="n"/>
      <c r="B25" s="29" t="n"/>
      <c r="C25" s="29" t="n"/>
      <c r="D25" s="29" t="n"/>
      <c r="E25" s="29" t="n"/>
      <c r="F25" s="29" t="n"/>
      <c r="G25" s="29" t="n"/>
      <c r="H25" s="29" t="n"/>
      <c r="I25" s="29" t="n"/>
      <c r="J25" s="29" t="n"/>
      <c r="K25" s="29" t="n"/>
      <c r="L25" s="29" t="n"/>
    </row>
    <row r="26">
      <c r="A26" s="29" t="n"/>
      <c r="B26" s="29" t="n"/>
      <c r="C26" s="29" t="n"/>
      <c r="D26" s="29" t="n"/>
      <c r="E26" s="29" t="n"/>
      <c r="F26" s="29" t="n"/>
      <c r="G26" s="29" t="n"/>
      <c r="H26" s="29" t="n"/>
      <c r="I26" s="29" t="n"/>
      <c r="J26" s="29" t="n"/>
      <c r="K26" s="29" t="n"/>
      <c r="L26" s="29" t="n"/>
    </row>
    <row r="27">
      <c r="A27" s="29" t="n"/>
      <c r="B27" s="29" t="n"/>
      <c r="C27" s="29" t="n"/>
      <c r="D27" s="29" t="n"/>
      <c r="E27" s="29" t="n"/>
      <c r="F27" s="29" t="n"/>
      <c r="G27" s="29" t="n"/>
      <c r="H27" s="29" t="n"/>
      <c r="I27" s="29" t="n"/>
      <c r="J27" s="29" t="n"/>
      <c r="K27" s="29" t="n"/>
      <c r="L27" s="29" t="n"/>
    </row>
    <row r="28">
      <c r="A28" s="29" t="n"/>
      <c r="B28" s="29" t="n"/>
      <c r="C28" s="29" t="n"/>
      <c r="D28" s="29" t="n"/>
      <c r="E28" s="29" t="n"/>
      <c r="F28" s="29" t="n"/>
      <c r="G28" s="29" t="n"/>
      <c r="H28" s="29" t="n"/>
      <c r="I28" s="29" t="n"/>
      <c r="J28" s="29" t="n"/>
      <c r="K28" s="29" t="n"/>
      <c r="L28" s="29" t="n"/>
    </row>
    <row r="29">
      <c r="A29" s="29" t="n"/>
      <c r="B29" s="29" t="n"/>
      <c r="C29" s="29" t="n"/>
      <c r="D29" s="29" t="n"/>
      <c r="E29" s="29" t="n"/>
      <c r="F29" s="29" t="n"/>
      <c r="G29" s="29" t="n"/>
      <c r="H29" s="29" t="n"/>
      <c r="I29" s="29" t="n"/>
      <c r="J29" s="29" t="n"/>
      <c r="K29" s="29" t="n"/>
      <c r="L29" s="29" t="n"/>
    </row>
    <row r="30">
      <c r="A30" s="29" t="n"/>
      <c r="B30" s="29" t="n"/>
      <c r="C30" s="29" t="n"/>
      <c r="D30" s="29" t="n"/>
      <c r="E30" s="29" t="n"/>
      <c r="F30" s="29" t="n"/>
      <c r="G30" s="29" t="n"/>
      <c r="H30" s="29" t="n"/>
      <c r="I30" s="29" t="n"/>
      <c r="J30" s="29" t="n"/>
      <c r="K30" s="29" t="n"/>
      <c r="L30" s="29" t="n"/>
    </row>
    <row r="31">
      <c r="A31" s="29" t="n"/>
      <c r="B31" s="29" t="n"/>
      <c r="C31" s="29" t="n"/>
      <c r="D31" s="29" t="n"/>
      <c r="E31" s="29" t="n"/>
      <c r="F31" s="29" t="n"/>
      <c r="G31" s="29" t="n"/>
      <c r="H31" s="29" t="n"/>
      <c r="I31" s="29" t="n"/>
      <c r="J31" s="29" t="n"/>
      <c r="K31" s="29" t="n"/>
      <c r="L31" s="29" t="n"/>
    </row>
    <row r="32">
      <c r="A32" s="29" t="n"/>
      <c r="B32" s="29" t="n"/>
      <c r="C32" s="29" t="n"/>
      <c r="D32" s="29" t="n"/>
      <c r="E32" s="29" t="n"/>
      <c r="F32" s="29" t="n"/>
      <c r="G32" s="29" t="n"/>
      <c r="H32" s="29" t="n"/>
      <c r="I32" s="29" t="n"/>
      <c r="J32" s="29" t="n"/>
      <c r="K32" s="29" t="n"/>
      <c r="L32" s="29" t="n"/>
    </row>
    <row r="33">
      <c r="A33" s="29" t="n"/>
      <c r="B33" s="29" t="n"/>
      <c r="C33" s="29" t="n"/>
      <c r="D33" s="29" t="n"/>
      <c r="E33" s="29" t="n"/>
      <c r="F33" s="29" t="n"/>
      <c r="G33" s="29" t="n"/>
      <c r="H33" s="29" t="n"/>
      <c r="I33" s="29" t="n"/>
      <c r="J33" s="29" t="n"/>
      <c r="K33" s="29" t="n"/>
      <c r="L33" s="29" t="n"/>
    </row>
    <row r="34">
      <c r="A34" s="29" t="n"/>
      <c r="B34" s="29" t="n"/>
      <c r="C34" s="29" t="n"/>
      <c r="D34" s="29" t="n"/>
      <c r="E34" s="29" t="n"/>
      <c r="F34" s="29" t="n"/>
      <c r="G34" s="29" t="n"/>
      <c r="H34" s="29" t="n"/>
      <c r="I34" s="29" t="n"/>
      <c r="J34" s="29" t="n"/>
      <c r="K34" s="29" t="n"/>
      <c r="L34" s="29" t="n"/>
    </row>
    <row r="35">
      <c r="A35" s="29" t="n"/>
      <c r="B35" s="29" t="n"/>
      <c r="C35" s="29" t="n"/>
      <c r="D35" s="29" t="n"/>
      <c r="E35" s="29" t="n"/>
      <c r="F35" s="29" t="n"/>
      <c r="G35" s="29" t="n"/>
      <c r="H35" s="29" t="n"/>
      <c r="I35" s="29" t="n"/>
      <c r="J35" s="29" t="n"/>
      <c r="K35" s="29" t="n"/>
      <c r="L35" s="29" t="n"/>
    </row>
    <row r="36">
      <c r="A36" s="29" t="n"/>
      <c r="B36" s="29" t="n"/>
      <c r="C36" s="29" t="n"/>
      <c r="D36" s="29" t="n"/>
      <c r="E36" s="29" t="n"/>
      <c r="F36" s="29" t="n"/>
      <c r="G36" s="29" t="n"/>
      <c r="H36" s="29" t="n"/>
      <c r="I36" s="29" t="n"/>
      <c r="J36" s="29" t="n"/>
      <c r="K36" s="29" t="n"/>
      <c r="L36" s="29" t="n"/>
    </row>
    <row r="37">
      <c r="A37" s="29" t="n"/>
      <c r="B37" s="29" t="n"/>
      <c r="C37" s="29" t="n"/>
      <c r="D37" s="29" t="n"/>
      <c r="E37" s="29" t="n"/>
      <c r="F37" s="29" t="n"/>
      <c r="G37" s="29" t="n"/>
      <c r="H37" s="29" t="n"/>
      <c r="I37" s="29" t="n"/>
      <c r="J37" s="29" t="n"/>
      <c r="K37" s="29" t="n"/>
      <c r="L37" s="29" t="n"/>
    </row>
    <row r="38">
      <c r="A38" s="29" t="n"/>
      <c r="B38" s="29" t="n"/>
      <c r="C38" s="29" t="n"/>
      <c r="D38" s="29" t="n"/>
      <c r="E38" s="29" t="n"/>
      <c r="F38" s="29" t="n"/>
      <c r="G38" s="29" t="n"/>
      <c r="H38" s="29" t="n"/>
      <c r="I38" s="29" t="n"/>
      <c r="J38" s="29" t="n"/>
      <c r="K38" s="29" t="n"/>
      <c r="L38" s="29" t="n"/>
    </row>
    <row r="39">
      <c r="A39" s="29" t="n"/>
      <c r="B39" s="29" t="n"/>
      <c r="C39" s="29" t="n"/>
      <c r="D39" s="29" t="n"/>
      <c r="E39" s="29" t="n"/>
      <c r="F39" s="29" t="n"/>
      <c r="G39" s="29" t="n"/>
      <c r="H39" s="29" t="n"/>
      <c r="I39" s="29" t="n"/>
      <c r="J39" s="29" t="n"/>
      <c r="K39" s="29" t="n"/>
      <c r="L39" s="29" t="n"/>
    </row>
    <row r="40">
      <c r="A40" s="29" t="n"/>
      <c r="B40" s="29" t="n"/>
      <c r="C40" s="29" t="n"/>
      <c r="D40" s="29" t="n"/>
      <c r="E40" s="29" t="n"/>
      <c r="F40" s="29" t="n"/>
      <c r="G40" s="29" t="n"/>
      <c r="H40" s="29" t="n"/>
      <c r="I40" s="29" t="n"/>
      <c r="J40" s="29" t="n"/>
      <c r="K40" s="29" t="n"/>
      <c r="L40" s="29" t="n"/>
    </row>
    <row r="41">
      <c r="A41" s="29" t="n"/>
      <c r="B41" s="29" t="n"/>
      <c r="C41" s="29" t="n"/>
      <c r="D41" s="29" t="n"/>
      <c r="E41" s="29" t="n"/>
      <c r="F41" s="29" t="n"/>
      <c r="G41" s="29" t="n"/>
      <c r="H41" s="29" t="n"/>
      <c r="I41" s="29" t="n"/>
      <c r="J41" s="29" t="n"/>
      <c r="K41" s="29" t="n"/>
      <c r="L41" s="29" t="n"/>
    </row>
    <row r="42">
      <c r="A42" s="29" t="n"/>
      <c r="B42" s="29" t="n"/>
      <c r="C42" s="29" t="n"/>
      <c r="D42" s="29" t="n"/>
      <c r="E42" s="29" t="n"/>
      <c r="F42" s="29" t="n"/>
      <c r="G42" s="29" t="n"/>
      <c r="H42" s="29" t="n"/>
      <c r="I42" s="29" t="n"/>
      <c r="J42" s="29" t="n"/>
      <c r="K42" s="29" t="n"/>
      <c r="L42" s="29" t="n"/>
    </row>
    <row r="43">
      <c r="A43" s="29" t="n"/>
      <c r="B43" s="29" t="n"/>
      <c r="C43" s="29" t="n"/>
      <c r="D43" s="29" t="n"/>
      <c r="E43" s="29" t="n"/>
      <c r="F43" s="29" t="n"/>
      <c r="G43" s="29" t="n"/>
      <c r="H43" s="29" t="n"/>
      <c r="I43" s="29" t="n"/>
      <c r="J43" s="29" t="n"/>
      <c r="K43" s="29" t="n"/>
      <c r="L43" s="29" t="n"/>
    </row>
    <row r="44">
      <c r="A44" s="29" t="n"/>
      <c r="B44" s="29" t="n"/>
      <c r="C44" s="29" t="n"/>
      <c r="D44" s="29" t="n"/>
      <c r="E44" s="29" t="n"/>
      <c r="F44" s="29" t="n"/>
      <c r="G44" s="29" t="n"/>
      <c r="H44" s="29" t="n"/>
      <c r="I44" s="29" t="n"/>
      <c r="J44" s="29" t="n"/>
      <c r="K44" s="29" t="n"/>
      <c r="L44" s="29" t="n"/>
    </row>
  </sheetData>
  <sheetProtection selectLockedCells="0" selectUnlockedCells="0" sheet="1" objects="0" insertRows="1" insertHyperlinks="1" autoFilter="0" scenarios="0" formatColumns="0" deleteColumns="1" insertColumns="1" pivotTables="1" deleteRows="1" formatCells="0" formatRows="0" sort="1"/>
  <autoFilter ref="A4:L44"/>
  <pageMargins left="0.75" right="0.75" top="1" bottom="1" header="0.5" footer="0.5"/>
  <pageSetup orientation="landscape" fitToHeight="0" fitToWidth="1"/>
</worksheet>
</file>

<file path=xl/worksheets/sheet65.xml><?xml version="1.0" encoding="utf-8"?>
<worksheet xmlns="http://schemas.openxmlformats.org/spreadsheetml/2006/main">
  <sheetPr>
    <tabColor rgb="00A6A6A6"/>
    <outlinePr summaryBelow="1" summaryRight="1"/>
    <pageSetUpPr fitToPage="1"/>
  </sheetPr>
  <dimension ref="A1:K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9" customWidth="1" min="3" max="3"/>
    <col width="12" customWidth="1" min="4" max="4"/>
    <col width="12" customWidth="1" min="5" max="5"/>
    <col width="9" customWidth="1" min="6" max="6"/>
    <col width="10" customWidth="1" min="7" max="7"/>
    <col width="12" customWidth="1" min="8" max="8"/>
    <col width="9" customWidth="1" min="9" max="9"/>
    <col width="12" customWidth="1" min="10" max="10"/>
    <col width="12" customWidth="1" min="11" max="11"/>
  </cols>
  <sheetData>
    <row r="1" ht="26" customHeight="1">
      <c r="A1" s="22" t="inlineStr">
        <is>
          <t>سجل الأصول الثابتة (المرحلة 3 - هيكل فقط)</t>
        </is>
      </c>
      <c r="B1" s="1" t="n"/>
      <c r="C1" s="1" t="n"/>
      <c r="D1" s="1" t="n"/>
      <c r="E1" s="1" t="n"/>
      <c r="F1" s="1" t="n"/>
      <c r="G1" s="1" t="n"/>
      <c r="H1" s="1" t="n"/>
      <c r="I1" s="1" t="n"/>
      <c r="J1" s="1" t="n"/>
      <c r="K1" s="1" t="n"/>
    </row>
    <row r="2">
      <c r="A2" s="35" t="inlineStr">
        <is>
          <t>كود الأصل، العمر الإنتاجي، طريقة الإهلاك، مجمع الإهلاك والقيمة الدفترية.</t>
        </is>
      </c>
    </row>
    <row r="3">
      <c r="A3" s="36" t="inlineStr">
        <is>
          <t>خلايا الإدخال</t>
        </is>
      </c>
      <c r="B3" s="37" t="inlineStr">
        <is>
          <t>معادلات (لا تعدّل)</t>
        </is>
      </c>
    </row>
    <row r="4" ht="34" customHeight="1">
      <c r="A4" s="24" t="inlineStr">
        <is>
          <t>كود الأصل</t>
        </is>
      </c>
      <c r="B4" s="24" t="inlineStr">
        <is>
          <t>الوصف</t>
        </is>
      </c>
      <c r="C4" s="24" t="inlineStr">
        <is>
          <t>الحساب</t>
        </is>
      </c>
      <c r="D4" s="24" t="inlineStr">
        <is>
          <t>تاريخ الشراء</t>
        </is>
      </c>
      <c r="E4" s="24" t="inlineStr">
        <is>
          <t>التكلفة</t>
        </is>
      </c>
      <c r="F4" s="24" t="inlineStr">
        <is>
          <t>العمر (سنة)</t>
        </is>
      </c>
      <c r="G4" s="24" t="inlineStr">
        <is>
          <t>قيمة الخردة</t>
        </is>
      </c>
      <c r="H4" s="24" t="inlineStr">
        <is>
          <t>طريقة الإهلاك</t>
        </is>
      </c>
      <c r="I4" s="24" t="inlineStr">
        <is>
          <t>الموقع</t>
        </is>
      </c>
      <c r="J4" s="24" t="inlineStr">
        <is>
          <t>مجمع الإهلاك</t>
        </is>
      </c>
      <c r="K4" s="24" t="inlineStr">
        <is>
          <t>القيمة الدفترية</t>
        </is>
      </c>
    </row>
    <row r="5">
      <c r="A5" s="29" t="n"/>
      <c r="B5" s="29" t="n"/>
      <c r="C5" s="29" t="n"/>
      <c r="D5" s="29" t="n"/>
      <c r="E5" s="29" t="n"/>
      <c r="F5" s="29" t="n"/>
      <c r="G5" s="29" t="n"/>
      <c r="H5" s="29" t="n"/>
      <c r="I5" s="29" t="n"/>
      <c r="J5" s="29" t="n"/>
      <c r="K5" s="29" t="n"/>
    </row>
    <row r="6">
      <c r="A6" s="29" t="n"/>
      <c r="B6" s="29" t="n"/>
      <c r="C6" s="29" t="n"/>
      <c r="D6" s="29" t="n"/>
      <c r="E6" s="29" t="n"/>
      <c r="F6" s="29" t="n"/>
      <c r="G6" s="29" t="n"/>
      <c r="H6" s="29" t="n"/>
      <c r="I6" s="29" t="n"/>
      <c r="J6" s="29" t="n"/>
      <c r="K6" s="29" t="n"/>
    </row>
    <row r="7">
      <c r="A7" s="29" t="n"/>
      <c r="B7" s="29" t="n"/>
      <c r="C7" s="29" t="n"/>
      <c r="D7" s="29" t="n"/>
      <c r="E7" s="29" t="n"/>
      <c r="F7" s="29" t="n"/>
      <c r="G7" s="29" t="n"/>
      <c r="H7" s="29" t="n"/>
      <c r="I7" s="29" t="n"/>
      <c r="J7" s="29" t="n"/>
      <c r="K7" s="29" t="n"/>
    </row>
    <row r="8">
      <c r="A8" s="29" t="n"/>
      <c r="B8" s="29" t="n"/>
      <c r="C8" s="29" t="n"/>
      <c r="D8" s="29" t="n"/>
      <c r="E8" s="29" t="n"/>
      <c r="F8" s="29" t="n"/>
      <c r="G8" s="29" t="n"/>
      <c r="H8" s="29" t="n"/>
      <c r="I8" s="29" t="n"/>
      <c r="J8" s="29" t="n"/>
      <c r="K8" s="29" t="n"/>
    </row>
    <row r="9">
      <c r="A9" s="29" t="n"/>
      <c r="B9" s="29" t="n"/>
      <c r="C9" s="29" t="n"/>
      <c r="D9" s="29" t="n"/>
      <c r="E9" s="29" t="n"/>
      <c r="F9" s="29" t="n"/>
      <c r="G9" s="29" t="n"/>
      <c r="H9" s="29" t="n"/>
      <c r="I9" s="29" t="n"/>
      <c r="J9" s="29" t="n"/>
      <c r="K9" s="29" t="n"/>
    </row>
    <row r="10">
      <c r="A10" s="29" t="n"/>
      <c r="B10" s="29" t="n"/>
      <c r="C10" s="29" t="n"/>
      <c r="D10" s="29" t="n"/>
      <c r="E10" s="29" t="n"/>
      <c r="F10" s="29" t="n"/>
      <c r="G10" s="29" t="n"/>
      <c r="H10" s="29" t="n"/>
      <c r="I10" s="29" t="n"/>
      <c r="J10" s="29" t="n"/>
      <c r="K10" s="29" t="n"/>
    </row>
    <row r="11">
      <c r="A11" s="29" t="n"/>
      <c r="B11" s="29" t="n"/>
      <c r="C11" s="29" t="n"/>
      <c r="D11" s="29" t="n"/>
      <c r="E11" s="29" t="n"/>
      <c r="F11" s="29" t="n"/>
      <c r="G11" s="29" t="n"/>
      <c r="H11" s="29" t="n"/>
      <c r="I11" s="29" t="n"/>
      <c r="J11" s="29" t="n"/>
      <c r="K11" s="29" t="n"/>
    </row>
    <row r="12">
      <c r="A12" s="29" t="n"/>
      <c r="B12" s="29" t="n"/>
      <c r="C12" s="29" t="n"/>
      <c r="D12" s="29" t="n"/>
      <c r="E12" s="29" t="n"/>
      <c r="F12" s="29" t="n"/>
      <c r="G12" s="29" t="n"/>
      <c r="H12" s="29" t="n"/>
      <c r="I12" s="29" t="n"/>
      <c r="J12" s="29" t="n"/>
      <c r="K12" s="29" t="n"/>
    </row>
    <row r="13">
      <c r="A13" s="29" t="n"/>
      <c r="B13" s="29" t="n"/>
      <c r="C13" s="29" t="n"/>
      <c r="D13" s="29" t="n"/>
      <c r="E13" s="29" t="n"/>
      <c r="F13" s="29" t="n"/>
      <c r="G13" s="29" t="n"/>
      <c r="H13" s="29" t="n"/>
      <c r="I13" s="29" t="n"/>
      <c r="J13" s="29" t="n"/>
      <c r="K13" s="29" t="n"/>
    </row>
    <row r="14">
      <c r="A14" s="29" t="n"/>
      <c r="B14" s="29" t="n"/>
      <c r="C14" s="29" t="n"/>
      <c r="D14" s="29" t="n"/>
      <c r="E14" s="29" t="n"/>
      <c r="F14" s="29" t="n"/>
      <c r="G14" s="29" t="n"/>
      <c r="H14" s="29" t="n"/>
      <c r="I14" s="29" t="n"/>
      <c r="J14" s="29" t="n"/>
      <c r="K14" s="29" t="n"/>
    </row>
    <row r="15">
      <c r="A15" s="29" t="n"/>
      <c r="B15" s="29" t="n"/>
      <c r="C15" s="29" t="n"/>
      <c r="D15" s="29" t="n"/>
      <c r="E15" s="29" t="n"/>
      <c r="F15" s="29" t="n"/>
      <c r="G15" s="29" t="n"/>
      <c r="H15" s="29" t="n"/>
      <c r="I15" s="29" t="n"/>
      <c r="J15" s="29" t="n"/>
      <c r="K15" s="29" t="n"/>
    </row>
    <row r="16">
      <c r="A16" s="29" t="n"/>
      <c r="B16" s="29" t="n"/>
      <c r="C16" s="29" t="n"/>
      <c r="D16" s="29" t="n"/>
      <c r="E16" s="29" t="n"/>
      <c r="F16" s="29" t="n"/>
      <c r="G16" s="29" t="n"/>
      <c r="H16" s="29" t="n"/>
      <c r="I16" s="29" t="n"/>
      <c r="J16" s="29" t="n"/>
      <c r="K16" s="29" t="n"/>
    </row>
    <row r="17">
      <c r="A17" s="29" t="n"/>
      <c r="B17" s="29" t="n"/>
      <c r="C17" s="29" t="n"/>
      <c r="D17" s="29" t="n"/>
      <c r="E17" s="29" t="n"/>
      <c r="F17" s="29" t="n"/>
      <c r="G17" s="29" t="n"/>
      <c r="H17" s="29" t="n"/>
      <c r="I17" s="29" t="n"/>
      <c r="J17" s="29" t="n"/>
      <c r="K17" s="29" t="n"/>
    </row>
    <row r="18">
      <c r="A18" s="29" t="n"/>
      <c r="B18" s="29" t="n"/>
      <c r="C18" s="29" t="n"/>
      <c r="D18" s="29" t="n"/>
      <c r="E18" s="29" t="n"/>
      <c r="F18" s="29" t="n"/>
      <c r="G18" s="29" t="n"/>
      <c r="H18" s="29" t="n"/>
      <c r="I18" s="29" t="n"/>
      <c r="J18" s="29" t="n"/>
      <c r="K18" s="29" t="n"/>
    </row>
    <row r="19">
      <c r="A19" s="29" t="n"/>
      <c r="B19" s="29" t="n"/>
      <c r="C19" s="29" t="n"/>
      <c r="D19" s="29" t="n"/>
      <c r="E19" s="29" t="n"/>
      <c r="F19" s="29" t="n"/>
      <c r="G19" s="29" t="n"/>
      <c r="H19" s="29" t="n"/>
      <c r="I19" s="29" t="n"/>
      <c r="J19" s="29" t="n"/>
      <c r="K19" s="29" t="n"/>
    </row>
    <row r="20">
      <c r="A20" s="29" t="n"/>
      <c r="B20" s="29" t="n"/>
      <c r="C20" s="29" t="n"/>
      <c r="D20" s="29" t="n"/>
      <c r="E20" s="29" t="n"/>
      <c r="F20" s="29" t="n"/>
      <c r="G20" s="29" t="n"/>
      <c r="H20" s="29" t="n"/>
      <c r="I20" s="29" t="n"/>
      <c r="J20" s="29" t="n"/>
      <c r="K20" s="29" t="n"/>
    </row>
    <row r="21">
      <c r="A21" s="29" t="n"/>
      <c r="B21" s="29" t="n"/>
      <c r="C21" s="29" t="n"/>
      <c r="D21" s="29" t="n"/>
      <c r="E21" s="29" t="n"/>
      <c r="F21" s="29" t="n"/>
      <c r="G21" s="29" t="n"/>
      <c r="H21" s="29" t="n"/>
      <c r="I21" s="29" t="n"/>
      <c r="J21" s="29" t="n"/>
      <c r="K21" s="29" t="n"/>
    </row>
    <row r="22">
      <c r="A22" s="29" t="n"/>
      <c r="B22" s="29" t="n"/>
      <c r="C22" s="29" t="n"/>
      <c r="D22" s="29" t="n"/>
      <c r="E22" s="29" t="n"/>
      <c r="F22" s="29" t="n"/>
      <c r="G22" s="29" t="n"/>
      <c r="H22" s="29" t="n"/>
      <c r="I22" s="29" t="n"/>
      <c r="J22" s="29" t="n"/>
      <c r="K22" s="29" t="n"/>
    </row>
    <row r="23">
      <c r="A23" s="29" t="n"/>
      <c r="B23" s="29" t="n"/>
      <c r="C23" s="29" t="n"/>
      <c r="D23" s="29" t="n"/>
      <c r="E23" s="29" t="n"/>
      <c r="F23" s="29" t="n"/>
      <c r="G23" s="29" t="n"/>
      <c r="H23" s="29" t="n"/>
      <c r="I23" s="29" t="n"/>
      <c r="J23" s="29" t="n"/>
      <c r="K23" s="29" t="n"/>
    </row>
    <row r="24">
      <c r="A24" s="29" t="n"/>
      <c r="B24" s="29" t="n"/>
      <c r="C24" s="29" t="n"/>
      <c r="D24" s="29" t="n"/>
      <c r="E24" s="29" t="n"/>
      <c r="F24" s="29" t="n"/>
      <c r="G24" s="29" t="n"/>
      <c r="H24" s="29" t="n"/>
      <c r="I24" s="29" t="n"/>
      <c r="J24" s="29" t="n"/>
      <c r="K24" s="29" t="n"/>
    </row>
    <row r="25">
      <c r="A25" s="29" t="n"/>
      <c r="B25" s="29" t="n"/>
      <c r="C25" s="29" t="n"/>
      <c r="D25" s="29" t="n"/>
      <c r="E25" s="29" t="n"/>
      <c r="F25" s="29" t="n"/>
      <c r="G25" s="29" t="n"/>
      <c r="H25" s="29" t="n"/>
      <c r="I25" s="29" t="n"/>
      <c r="J25" s="29" t="n"/>
      <c r="K25" s="29" t="n"/>
    </row>
    <row r="26">
      <c r="A26" s="29" t="n"/>
      <c r="B26" s="29" t="n"/>
      <c r="C26" s="29" t="n"/>
      <c r="D26" s="29" t="n"/>
      <c r="E26" s="29" t="n"/>
      <c r="F26" s="29" t="n"/>
      <c r="G26" s="29" t="n"/>
      <c r="H26" s="29" t="n"/>
      <c r="I26" s="29" t="n"/>
      <c r="J26" s="29" t="n"/>
      <c r="K26" s="29" t="n"/>
    </row>
    <row r="27">
      <c r="A27" s="29" t="n"/>
      <c r="B27" s="29" t="n"/>
      <c r="C27" s="29" t="n"/>
      <c r="D27" s="29" t="n"/>
      <c r="E27" s="29" t="n"/>
      <c r="F27" s="29" t="n"/>
      <c r="G27" s="29" t="n"/>
      <c r="H27" s="29" t="n"/>
      <c r="I27" s="29" t="n"/>
      <c r="J27" s="29" t="n"/>
      <c r="K27" s="29" t="n"/>
    </row>
    <row r="28">
      <c r="A28" s="29" t="n"/>
      <c r="B28" s="29" t="n"/>
      <c r="C28" s="29" t="n"/>
      <c r="D28" s="29" t="n"/>
      <c r="E28" s="29" t="n"/>
      <c r="F28" s="29" t="n"/>
      <c r="G28" s="29" t="n"/>
      <c r="H28" s="29" t="n"/>
      <c r="I28" s="29" t="n"/>
      <c r="J28" s="29" t="n"/>
      <c r="K28" s="29" t="n"/>
    </row>
    <row r="29">
      <c r="A29" s="29" t="n"/>
      <c r="B29" s="29" t="n"/>
      <c r="C29" s="29" t="n"/>
      <c r="D29" s="29" t="n"/>
      <c r="E29" s="29" t="n"/>
      <c r="F29" s="29" t="n"/>
      <c r="G29" s="29" t="n"/>
      <c r="H29" s="29" t="n"/>
      <c r="I29" s="29" t="n"/>
      <c r="J29" s="29" t="n"/>
      <c r="K29" s="29" t="n"/>
    </row>
    <row r="30">
      <c r="A30" s="29" t="n"/>
      <c r="B30" s="29" t="n"/>
      <c r="C30" s="29" t="n"/>
      <c r="D30" s="29" t="n"/>
      <c r="E30" s="29" t="n"/>
      <c r="F30" s="29" t="n"/>
      <c r="G30" s="29" t="n"/>
      <c r="H30" s="29" t="n"/>
      <c r="I30" s="29" t="n"/>
      <c r="J30" s="29" t="n"/>
      <c r="K30" s="29" t="n"/>
    </row>
    <row r="31">
      <c r="A31" s="29" t="n"/>
      <c r="B31" s="29" t="n"/>
      <c r="C31" s="29" t="n"/>
      <c r="D31" s="29" t="n"/>
      <c r="E31" s="29" t="n"/>
      <c r="F31" s="29" t="n"/>
      <c r="G31" s="29" t="n"/>
      <c r="H31" s="29" t="n"/>
      <c r="I31" s="29" t="n"/>
      <c r="J31" s="29" t="n"/>
      <c r="K31" s="29" t="n"/>
    </row>
    <row r="32">
      <c r="A32" s="29" t="n"/>
      <c r="B32" s="29" t="n"/>
      <c r="C32" s="29" t="n"/>
      <c r="D32" s="29" t="n"/>
      <c r="E32" s="29" t="n"/>
      <c r="F32" s="29" t="n"/>
      <c r="G32" s="29" t="n"/>
      <c r="H32" s="29" t="n"/>
      <c r="I32" s="29" t="n"/>
      <c r="J32" s="29" t="n"/>
      <c r="K32" s="29" t="n"/>
    </row>
    <row r="33">
      <c r="A33" s="29" t="n"/>
      <c r="B33" s="29" t="n"/>
      <c r="C33" s="29" t="n"/>
      <c r="D33" s="29" t="n"/>
      <c r="E33" s="29" t="n"/>
      <c r="F33" s="29" t="n"/>
      <c r="G33" s="29" t="n"/>
      <c r="H33" s="29" t="n"/>
      <c r="I33" s="29" t="n"/>
      <c r="J33" s="29" t="n"/>
      <c r="K33" s="29" t="n"/>
    </row>
    <row r="34">
      <c r="A34" s="29" t="n"/>
      <c r="B34" s="29" t="n"/>
      <c r="C34" s="29" t="n"/>
      <c r="D34" s="29" t="n"/>
      <c r="E34" s="29" t="n"/>
      <c r="F34" s="29" t="n"/>
      <c r="G34" s="29" t="n"/>
      <c r="H34" s="29" t="n"/>
      <c r="I34" s="29" t="n"/>
      <c r="J34" s="29" t="n"/>
      <c r="K34" s="29" t="n"/>
    </row>
    <row r="35">
      <c r="A35" s="29" t="n"/>
      <c r="B35" s="29" t="n"/>
      <c r="C35" s="29" t="n"/>
      <c r="D35" s="29" t="n"/>
      <c r="E35" s="29" t="n"/>
      <c r="F35" s="29" t="n"/>
      <c r="G35" s="29" t="n"/>
      <c r="H35" s="29" t="n"/>
      <c r="I35" s="29" t="n"/>
      <c r="J35" s="29" t="n"/>
      <c r="K35" s="29" t="n"/>
    </row>
    <row r="36">
      <c r="A36" s="29" t="n"/>
      <c r="B36" s="29" t="n"/>
      <c r="C36" s="29" t="n"/>
      <c r="D36" s="29" t="n"/>
      <c r="E36" s="29" t="n"/>
      <c r="F36" s="29" t="n"/>
      <c r="G36" s="29" t="n"/>
      <c r="H36" s="29" t="n"/>
      <c r="I36" s="29" t="n"/>
      <c r="J36" s="29" t="n"/>
      <c r="K36" s="29" t="n"/>
    </row>
    <row r="37">
      <c r="A37" s="29" t="n"/>
      <c r="B37" s="29" t="n"/>
      <c r="C37" s="29" t="n"/>
      <c r="D37" s="29" t="n"/>
      <c r="E37" s="29" t="n"/>
      <c r="F37" s="29" t="n"/>
      <c r="G37" s="29" t="n"/>
      <c r="H37" s="29" t="n"/>
      <c r="I37" s="29" t="n"/>
      <c r="J37" s="29" t="n"/>
      <c r="K37" s="29" t="n"/>
    </row>
    <row r="38">
      <c r="A38" s="29" t="n"/>
      <c r="B38" s="29" t="n"/>
      <c r="C38" s="29" t="n"/>
      <c r="D38" s="29" t="n"/>
      <c r="E38" s="29" t="n"/>
      <c r="F38" s="29" t="n"/>
      <c r="G38" s="29" t="n"/>
      <c r="H38" s="29" t="n"/>
      <c r="I38" s="29" t="n"/>
      <c r="J38" s="29" t="n"/>
      <c r="K38" s="29" t="n"/>
    </row>
    <row r="39">
      <c r="A39" s="29" t="n"/>
      <c r="B39" s="29" t="n"/>
      <c r="C39" s="29" t="n"/>
      <c r="D39" s="29" t="n"/>
      <c r="E39" s="29" t="n"/>
      <c r="F39" s="29" t="n"/>
      <c r="G39" s="29" t="n"/>
      <c r="H39" s="29" t="n"/>
      <c r="I39" s="29" t="n"/>
      <c r="J39" s="29" t="n"/>
      <c r="K39" s="29" t="n"/>
    </row>
    <row r="40">
      <c r="A40" s="29" t="n"/>
      <c r="B40" s="29" t="n"/>
      <c r="C40" s="29" t="n"/>
      <c r="D40" s="29" t="n"/>
      <c r="E40" s="29" t="n"/>
      <c r="F40" s="29" t="n"/>
      <c r="G40" s="29" t="n"/>
      <c r="H40" s="29" t="n"/>
      <c r="I40" s="29" t="n"/>
      <c r="J40" s="29" t="n"/>
      <c r="K40" s="29" t="n"/>
    </row>
    <row r="41">
      <c r="A41" s="29" t="n"/>
      <c r="B41" s="29" t="n"/>
      <c r="C41" s="29" t="n"/>
      <c r="D41" s="29" t="n"/>
      <c r="E41" s="29" t="n"/>
      <c r="F41" s="29" t="n"/>
      <c r="G41" s="29" t="n"/>
      <c r="H41" s="29" t="n"/>
      <c r="I41" s="29" t="n"/>
      <c r="J41" s="29" t="n"/>
      <c r="K41" s="29" t="n"/>
    </row>
    <row r="42">
      <c r="A42" s="29" t="n"/>
      <c r="B42" s="29" t="n"/>
      <c r="C42" s="29" t="n"/>
      <c r="D42" s="29" t="n"/>
      <c r="E42" s="29" t="n"/>
      <c r="F42" s="29" t="n"/>
      <c r="G42" s="29" t="n"/>
      <c r="H42" s="29" t="n"/>
      <c r="I42" s="29" t="n"/>
      <c r="J42" s="29" t="n"/>
      <c r="K42" s="29" t="n"/>
    </row>
    <row r="43">
      <c r="A43" s="29" t="n"/>
      <c r="B43" s="29" t="n"/>
      <c r="C43" s="29" t="n"/>
      <c r="D43" s="29" t="n"/>
      <c r="E43" s="29" t="n"/>
      <c r="F43" s="29" t="n"/>
      <c r="G43" s="29" t="n"/>
      <c r="H43" s="29" t="n"/>
      <c r="I43" s="29" t="n"/>
      <c r="J43" s="29" t="n"/>
      <c r="K43" s="29" t="n"/>
    </row>
    <row r="44">
      <c r="A44" s="29" t="n"/>
      <c r="B44" s="29" t="n"/>
      <c r="C44" s="29" t="n"/>
      <c r="D44" s="29" t="n"/>
      <c r="E44" s="29" t="n"/>
      <c r="F44" s="29" t="n"/>
      <c r="G44" s="29" t="n"/>
      <c r="H44" s="29" t="n"/>
      <c r="I44" s="29" t="n"/>
      <c r="J44" s="29" t="n"/>
      <c r="K44" s="29" t="n"/>
    </row>
  </sheetData>
  <sheetProtection selectLockedCells="0" selectUnlockedCells="0" sheet="1" objects="0" insertRows="1" insertHyperlinks="1" autoFilter="0" scenarios="0" formatColumns="0" deleteColumns="1" insertColumns="1" pivotTables="1" deleteRows="1" formatCells="0" formatRows="0" sort="1"/>
  <autoFilter ref="A4:K44"/>
  <pageMargins left="0.75" right="0.75" top="1" bottom="1" header="0.5" footer="0.5"/>
  <pageSetup orientation="landscape" fitToHeight="0" fitToWidth="1"/>
</worksheet>
</file>

<file path=xl/worksheets/sheet66.xml><?xml version="1.0" encoding="utf-8"?>
<worksheet xmlns="http://schemas.openxmlformats.org/spreadsheetml/2006/main">
  <sheetPr>
    <tabColor rgb="00A6A6A6"/>
    <outlinePr summaryBelow="1" summaryRight="1"/>
    <pageSetUpPr fitToPage="1"/>
  </sheetPr>
  <dimension ref="A1:I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0" customWidth="1" min="3" max="3"/>
    <col width="12" customWidth="1" min="4" max="4"/>
    <col width="12" customWidth="1" min="5" max="5"/>
    <col width="12" customWidth="1" min="6" max="6"/>
    <col width="12" customWidth="1" min="7" max="7"/>
    <col width="10" customWidth="1" min="8" max="8"/>
    <col width="20" customWidth="1" min="9" max="9"/>
  </cols>
  <sheetData>
    <row r="1" ht="26" customHeight="1">
      <c r="A1" s="22" t="inlineStr">
        <is>
          <t>السلف والعهد (المرحلة 3 - هيكل فقط)</t>
        </is>
      </c>
      <c r="B1" s="1" t="n"/>
      <c r="C1" s="1" t="n"/>
      <c r="D1" s="1" t="n"/>
      <c r="E1" s="1" t="n"/>
      <c r="F1" s="1" t="n"/>
      <c r="G1" s="1" t="n"/>
      <c r="H1" s="1" t="n"/>
      <c r="I1" s="1" t="n"/>
    </row>
    <row r="2">
      <c r="A2" s="35" t="inlineStr">
        <is>
          <t>السلفة والعهدة أصل وليست مصروفًا حتى تُسوى بالمستندات.</t>
        </is>
      </c>
    </row>
    <row r="3">
      <c r="A3" s="36" t="inlineStr">
        <is>
          <t>خلايا الإدخال</t>
        </is>
      </c>
      <c r="B3" s="37" t="inlineStr">
        <is>
          <t>معادلات (لا تعدّل)</t>
        </is>
      </c>
    </row>
    <row r="4" ht="34" customHeight="1">
      <c r="A4" s="24" t="inlineStr">
        <is>
          <t>الرقم</t>
        </is>
      </c>
      <c r="B4" s="24" t="inlineStr">
        <is>
          <t>التاريخ</t>
        </is>
      </c>
      <c r="C4" s="24" t="inlineStr">
        <is>
          <t>الموظف</t>
        </is>
      </c>
      <c r="D4" s="24" t="inlineStr">
        <is>
          <t>النوع (سلفة/عهدة)</t>
        </is>
      </c>
      <c r="E4" s="24" t="inlineStr">
        <is>
          <t>المبلغ</t>
        </is>
      </c>
      <c r="F4" s="24" t="inlineStr">
        <is>
          <t>المُسدَّد/المُسوّى</t>
        </is>
      </c>
      <c r="G4" s="24" t="inlineStr">
        <is>
          <t>الرصيد</t>
        </is>
      </c>
      <c r="H4" s="24" t="inlineStr">
        <is>
          <t>الحالة</t>
        </is>
      </c>
      <c r="I4" s="24" t="inlineStr">
        <is>
          <t>المعتمد</t>
        </is>
      </c>
    </row>
    <row r="5">
      <c r="A5" s="29" t="n"/>
      <c r="B5" s="29" t="n"/>
      <c r="C5" s="29" t="n"/>
      <c r="D5" s="29" t="n"/>
      <c r="E5" s="29" t="n"/>
      <c r="F5" s="29" t="n"/>
      <c r="G5" s="29" t="n"/>
      <c r="H5" s="29" t="n"/>
      <c r="I5" s="29" t="n"/>
    </row>
    <row r="6">
      <c r="A6" s="29" t="n"/>
      <c r="B6" s="29" t="n"/>
      <c r="C6" s="29" t="n"/>
      <c r="D6" s="29" t="n"/>
      <c r="E6" s="29" t="n"/>
      <c r="F6" s="29" t="n"/>
      <c r="G6" s="29" t="n"/>
      <c r="H6" s="29" t="n"/>
      <c r="I6" s="29" t="n"/>
    </row>
    <row r="7">
      <c r="A7" s="29" t="n"/>
      <c r="B7" s="29" t="n"/>
      <c r="C7" s="29" t="n"/>
      <c r="D7" s="29" t="n"/>
      <c r="E7" s="29" t="n"/>
      <c r="F7" s="29" t="n"/>
      <c r="G7" s="29" t="n"/>
      <c r="H7" s="29" t="n"/>
      <c r="I7" s="29" t="n"/>
    </row>
    <row r="8">
      <c r="A8" s="29" t="n"/>
      <c r="B8" s="29" t="n"/>
      <c r="C8" s="29" t="n"/>
      <c r="D8" s="29" t="n"/>
      <c r="E8" s="29" t="n"/>
      <c r="F8" s="29" t="n"/>
      <c r="G8" s="29" t="n"/>
      <c r="H8" s="29" t="n"/>
      <c r="I8" s="29" t="n"/>
    </row>
    <row r="9">
      <c r="A9" s="29" t="n"/>
      <c r="B9" s="29" t="n"/>
      <c r="C9" s="29" t="n"/>
      <c r="D9" s="29" t="n"/>
      <c r="E9" s="29" t="n"/>
      <c r="F9" s="29" t="n"/>
      <c r="G9" s="29" t="n"/>
      <c r="H9" s="29" t="n"/>
      <c r="I9" s="29" t="n"/>
    </row>
    <row r="10">
      <c r="A10" s="29" t="n"/>
      <c r="B10" s="29" t="n"/>
      <c r="C10" s="29" t="n"/>
      <c r="D10" s="29" t="n"/>
      <c r="E10" s="29" t="n"/>
      <c r="F10" s="29" t="n"/>
      <c r="G10" s="29" t="n"/>
      <c r="H10" s="29" t="n"/>
      <c r="I10" s="29" t="n"/>
    </row>
    <row r="11">
      <c r="A11" s="29" t="n"/>
      <c r="B11" s="29" t="n"/>
      <c r="C11" s="29" t="n"/>
      <c r="D11" s="29" t="n"/>
      <c r="E11" s="29" t="n"/>
      <c r="F11" s="29" t="n"/>
      <c r="G11" s="29" t="n"/>
      <c r="H11" s="29" t="n"/>
      <c r="I11" s="29" t="n"/>
    </row>
    <row r="12">
      <c r="A12" s="29" t="n"/>
      <c r="B12" s="29" t="n"/>
      <c r="C12" s="29" t="n"/>
      <c r="D12" s="29" t="n"/>
      <c r="E12" s="29" t="n"/>
      <c r="F12" s="29" t="n"/>
      <c r="G12" s="29" t="n"/>
      <c r="H12" s="29" t="n"/>
      <c r="I12" s="29" t="n"/>
    </row>
    <row r="13">
      <c r="A13" s="29" t="n"/>
      <c r="B13" s="29" t="n"/>
      <c r="C13" s="29" t="n"/>
      <c r="D13" s="29" t="n"/>
      <c r="E13" s="29" t="n"/>
      <c r="F13" s="29" t="n"/>
      <c r="G13" s="29" t="n"/>
      <c r="H13" s="29" t="n"/>
      <c r="I13" s="29" t="n"/>
    </row>
    <row r="14">
      <c r="A14" s="29" t="n"/>
      <c r="B14" s="29" t="n"/>
      <c r="C14" s="29" t="n"/>
      <c r="D14" s="29" t="n"/>
      <c r="E14" s="29" t="n"/>
      <c r="F14" s="29" t="n"/>
      <c r="G14" s="29" t="n"/>
      <c r="H14" s="29" t="n"/>
      <c r="I14" s="29" t="n"/>
    </row>
    <row r="15">
      <c r="A15" s="29" t="n"/>
      <c r="B15" s="29" t="n"/>
      <c r="C15" s="29" t="n"/>
      <c r="D15" s="29" t="n"/>
      <c r="E15" s="29" t="n"/>
      <c r="F15" s="29" t="n"/>
      <c r="G15" s="29" t="n"/>
      <c r="H15" s="29" t="n"/>
      <c r="I15" s="29" t="n"/>
    </row>
    <row r="16">
      <c r="A16" s="29" t="n"/>
      <c r="B16" s="29" t="n"/>
      <c r="C16" s="29" t="n"/>
      <c r="D16" s="29" t="n"/>
      <c r="E16" s="29" t="n"/>
      <c r="F16" s="29" t="n"/>
      <c r="G16" s="29" t="n"/>
      <c r="H16" s="29" t="n"/>
      <c r="I16" s="29" t="n"/>
    </row>
    <row r="17">
      <c r="A17" s="29" t="n"/>
      <c r="B17" s="29" t="n"/>
      <c r="C17" s="29" t="n"/>
      <c r="D17" s="29" t="n"/>
      <c r="E17" s="29" t="n"/>
      <c r="F17" s="29" t="n"/>
      <c r="G17" s="29" t="n"/>
      <c r="H17" s="29" t="n"/>
      <c r="I17" s="29" t="n"/>
    </row>
    <row r="18">
      <c r="A18" s="29" t="n"/>
      <c r="B18" s="29" t="n"/>
      <c r="C18" s="29" t="n"/>
      <c r="D18" s="29" t="n"/>
      <c r="E18" s="29" t="n"/>
      <c r="F18" s="29" t="n"/>
      <c r="G18" s="29" t="n"/>
      <c r="H18" s="29" t="n"/>
      <c r="I18" s="29" t="n"/>
    </row>
    <row r="19">
      <c r="A19" s="29" t="n"/>
      <c r="B19" s="29" t="n"/>
      <c r="C19" s="29" t="n"/>
      <c r="D19" s="29" t="n"/>
      <c r="E19" s="29" t="n"/>
      <c r="F19" s="29" t="n"/>
      <c r="G19" s="29" t="n"/>
      <c r="H19" s="29" t="n"/>
      <c r="I19" s="29" t="n"/>
    </row>
    <row r="20">
      <c r="A20" s="29" t="n"/>
      <c r="B20" s="29" t="n"/>
      <c r="C20" s="29" t="n"/>
      <c r="D20" s="29" t="n"/>
      <c r="E20" s="29" t="n"/>
      <c r="F20" s="29" t="n"/>
      <c r="G20" s="29" t="n"/>
      <c r="H20" s="29" t="n"/>
      <c r="I20" s="29" t="n"/>
    </row>
    <row r="21">
      <c r="A21" s="29" t="n"/>
      <c r="B21" s="29" t="n"/>
      <c r="C21" s="29" t="n"/>
      <c r="D21" s="29" t="n"/>
      <c r="E21" s="29" t="n"/>
      <c r="F21" s="29" t="n"/>
      <c r="G21" s="29" t="n"/>
      <c r="H21" s="29" t="n"/>
      <c r="I21" s="29" t="n"/>
    </row>
    <row r="22">
      <c r="A22" s="29" t="n"/>
      <c r="B22" s="29" t="n"/>
      <c r="C22" s="29" t="n"/>
      <c r="D22" s="29" t="n"/>
      <c r="E22" s="29" t="n"/>
      <c r="F22" s="29" t="n"/>
      <c r="G22" s="29" t="n"/>
      <c r="H22" s="29" t="n"/>
      <c r="I22" s="29" t="n"/>
    </row>
    <row r="23">
      <c r="A23" s="29" t="n"/>
      <c r="B23" s="29" t="n"/>
      <c r="C23" s="29" t="n"/>
      <c r="D23" s="29" t="n"/>
      <c r="E23" s="29" t="n"/>
      <c r="F23" s="29" t="n"/>
      <c r="G23" s="29" t="n"/>
      <c r="H23" s="29" t="n"/>
      <c r="I23" s="29" t="n"/>
    </row>
    <row r="24">
      <c r="A24" s="29" t="n"/>
      <c r="B24" s="29" t="n"/>
      <c r="C24" s="29" t="n"/>
      <c r="D24" s="29" t="n"/>
      <c r="E24" s="29" t="n"/>
      <c r="F24" s="29" t="n"/>
      <c r="G24" s="29" t="n"/>
      <c r="H24" s="29" t="n"/>
      <c r="I24" s="29" t="n"/>
    </row>
    <row r="25">
      <c r="A25" s="29" t="n"/>
      <c r="B25" s="29" t="n"/>
      <c r="C25" s="29" t="n"/>
      <c r="D25" s="29" t="n"/>
      <c r="E25" s="29" t="n"/>
      <c r="F25" s="29" t="n"/>
      <c r="G25" s="29" t="n"/>
      <c r="H25" s="29" t="n"/>
      <c r="I25" s="29" t="n"/>
    </row>
    <row r="26">
      <c r="A26" s="29" t="n"/>
      <c r="B26" s="29" t="n"/>
      <c r="C26" s="29" t="n"/>
      <c r="D26" s="29" t="n"/>
      <c r="E26" s="29" t="n"/>
      <c r="F26" s="29" t="n"/>
      <c r="G26" s="29" t="n"/>
      <c r="H26" s="29" t="n"/>
      <c r="I26" s="29" t="n"/>
    </row>
    <row r="27">
      <c r="A27" s="29" t="n"/>
      <c r="B27" s="29" t="n"/>
      <c r="C27" s="29" t="n"/>
      <c r="D27" s="29" t="n"/>
      <c r="E27" s="29" t="n"/>
      <c r="F27" s="29" t="n"/>
      <c r="G27" s="29" t="n"/>
      <c r="H27" s="29" t="n"/>
      <c r="I27" s="29" t="n"/>
    </row>
    <row r="28">
      <c r="A28" s="29" t="n"/>
      <c r="B28" s="29" t="n"/>
      <c r="C28" s="29" t="n"/>
      <c r="D28" s="29" t="n"/>
      <c r="E28" s="29" t="n"/>
      <c r="F28" s="29" t="n"/>
      <c r="G28" s="29" t="n"/>
      <c r="H28" s="29" t="n"/>
      <c r="I28" s="29" t="n"/>
    </row>
    <row r="29">
      <c r="A29" s="29" t="n"/>
      <c r="B29" s="29" t="n"/>
      <c r="C29" s="29" t="n"/>
      <c r="D29" s="29" t="n"/>
      <c r="E29" s="29" t="n"/>
      <c r="F29" s="29" t="n"/>
      <c r="G29" s="29" t="n"/>
      <c r="H29" s="29" t="n"/>
      <c r="I29" s="29" t="n"/>
    </row>
    <row r="30">
      <c r="A30" s="29" t="n"/>
      <c r="B30" s="29" t="n"/>
      <c r="C30" s="29" t="n"/>
      <c r="D30" s="29" t="n"/>
      <c r="E30" s="29" t="n"/>
      <c r="F30" s="29" t="n"/>
      <c r="G30" s="29" t="n"/>
      <c r="H30" s="29" t="n"/>
      <c r="I30" s="29" t="n"/>
    </row>
    <row r="31">
      <c r="A31" s="29" t="n"/>
      <c r="B31" s="29" t="n"/>
      <c r="C31" s="29" t="n"/>
      <c r="D31" s="29" t="n"/>
      <c r="E31" s="29" t="n"/>
      <c r="F31" s="29" t="n"/>
      <c r="G31" s="29" t="n"/>
      <c r="H31" s="29" t="n"/>
      <c r="I31" s="29" t="n"/>
    </row>
    <row r="32">
      <c r="A32" s="29" t="n"/>
      <c r="B32" s="29" t="n"/>
      <c r="C32" s="29" t="n"/>
      <c r="D32" s="29" t="n"/>
      <c r="E32" s="29" t="n"/>
      <c r="F32" s="29" t="n"/>
      <c r="G32" s="29" t="n"/>
      <c r="H32" s="29" t="n"/>
      <c r="I32" s="29" t="n"/>
    </row>
    <row r="33">
      <c r="A33" s="29" t="n"/>
      <c r="B33" s="29" t="n"/>
      <c r="C33" s="29" t="n"/>
      <c r="D33" s="29" t="n"/>
      <c r="E33" s="29" t="n"/>
      <c r="F33" s="29" t="n"/>
      <c r="G33" s="29" t="n"/>
      <c r="H33" s="29" t="n"/>
      <c r="I33" s="29" t="n"/>
    </row>
    <row r="34">
      <c r="A34" s="29" t="n"/>
      <c r="B34" s="29" t="n"/>
      <c r="C34" s="29" t="n"/>
      <c r="D34" s="29" t="n"/>
      <c r="E34" s="29" t="n"/>
      <c r="F34" s="29" t="n"/>
      <c r="G34" s="29" t="n"/>
      <c r="H34" s="29" t="n"/>
      <c r="I34" s="29" t="n"/>
    </row>
    <row r="35">
      <c r="A35" s="29" t="n"/>
      <c r="B35" s="29" t="n"/>
      <c r="C35" s="29" t="n"/>
      <c r="D35" s="29" t="n"/>
      <c r="E35" s="29" t="n"/>
      <c r="F35" s="29" t="n"/>
      <c r="G35" s="29" t="n"/>
      <c r="H35" s="29" t="n"/>
      <c r="I35" s="29" t="n"/>
    </row>
    <row r="36">
      <c r="A36" s="29" t="n"/>
      <c r="B36" s="29" t="n"/>
      <c r="C36" s="29" t="n"/>
      <c r="D36" s="29" t="n"/>
      <c r="E36" s="29" t="n"/>
      <c r="F36" s="29" t="n"/>
      <c r="G36" s="29" t="n"/>
      <c r="H36" s="29" t="n"/>
      <c r="I36" s="29" t="n"/>
    </row>
    <row r="37">
      <c r="A37" s="29" t="n"/>
      <c r="B37" s="29" t="n"/>
      <c r="C37" s="29" t="n"/>
      <c r="D37" s="29" t="n"/>
      <c r="E37" s="29" t="n"/>
      <c r="F37" s="29" t="n"/>
      <c r="G37" s="29" t="n"/>
      <c r="H37" s="29" t="n"/>
      <c r="I37" s="29" t="n"/>
    </row>
    <row r="38">
      <c r="A38" s="29" t="n"/>
      <c r="B38" s="29" t="n"/>
      <c r="C38" s="29" t="n"/>
      <c r="D38" s="29" t="n"/>
      <c r="E38" s="29" t="n"/>
      <c r="F38" s="29" t="n"/>
      <c r="G38" s="29" t="n"/>
      <c r="H38" s="29" t="n"/>
      <c r="I38" s="29" t="n"/>
    </row>
    <row r="39">
      <c r="A39" s="29" t="n"/>
      <c r="B39" s="29" t="n"/>
      <c r="C39" s="29" t="n"/>
      <c r="D39" s="29" t="n"/>
      <c r="E39" s="29" t="n"/>
      <c r="F39" s="29" t="n"/>
      <c r="G39" s="29" t="n"/>
      <c r="H39" s="29" t="n"/>
      <c r="I39" s="29" t="n"/>
    </row>
    <row r="40">
      <c r="A40" s="29" t="n"/>
      <c r="B40" s="29" t="n"/>
      <c r="C40" s="29" t="n"/>
      <c r="D40" s="29" t="n"/>
      <c r="E40" s="29" t="n"/>
      <c r="F40" s="29" t="n"/>
      <c r="G40" s="29" t="n"/>
      <c r="H40" s="29" t="n"/>
      <c r="I40" s="29" t="n"/>
    </row>
    <row r="41">
      <c r="A41" s="29" t="n"/>
      <c r="B41" s="29" t="n"/>
      <c r="C41" s="29" t="n"/>
      <c r="D41" s="29" t="n"/>
      <c r="E41" s="29" t="n"/>
      <c r="F41" s="29" t="n"/>
      <c r="G41" s="29" t="n"/>
      <c r="H41" s="29" t="n"/>
      <c r="I41" s="29" t="n"/>
    </row>
    <row r="42">
      <c r="A42" s="29" t="n"/>
      <c r="B42" s="29" t="n"/>
      <c r="C42" s="29" t="n"/>
      <c r="D42" s="29" t="n"/>
      <c r="E42" s="29" t="n"/>
      <c r="F42" s="29" t="n"/>
      <c r="G42" s="29" t="n"/>
      <c r="H42" s="29" t="n"/>
      <c r="I42" s="29" t="n"/>
    </row>
    <row r="43">
      <c r="A43" s="29" t="n"/>
      <c r="B43" s="29" t="n"/>
      <c r="C43" s="29" t="n"/>
      <c r="D43" s="29" t="n"/>
      <c r="E43" s="29" t="n"/>
      <c r="F43" s="29" t="n"/>
      <c r="G43" s="29" t="n"/>
      <c r="H43" s="29" t="n"/>
      <c r="I43" s="29" t="n"/>
    </row>
    <row r="44">
      <c r="A44" s="29" t="n"/>
      <c r="B44" s="29" t="n"/>
      <c r="C44" s="29" t="n"/>
      <c r="D44" s="29" t="n"/>
      <c r="E44" s="29" t="n"/>
      <c r="F44" s="29" t="n"/>
      <c r="G44" s="29" t="n"/>
      <c r="H44" s="29" t="n"/>
      <c r="I44" s="29" t="n"/>
    </row>
  </sheetData>
  <sheetProtection selectLockedCells="0" selectUnlockedCells="0" sheet="1" objects="0" insertRows="1" insertHyperlinks="1" autoFilter="0" scenarios="0" formatColumns="0" deleteColumns="1" insertColumns="1" pivotTables="1" deleteRows="1" formatCells="0" formatRows="0" sort="1"/>
  <autoFilter ref="A4:I44"/>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Satamoni Finance Builder</dc:creator>
  <dc:title xmlns:dc="http://purl.org/dc/elements/1.1/">Satamoni_Financial_Management_System</dc:title>
  <dc:subject xmlns:dc="http://purl.org/dc/elements/1.1/">نظام الحسابات والإدارة المالية - مطاعم ستاموني (المرحلة 1)</dc:subject>
  <dcterms:created xmlns:dcterms="http://purl.org/dc/terms/" xmlns:xsi="http://www.w3.org/2001/XMLSchema-instance" xsi:type="dcterms:W3CDTF">2026-10-19T01:59:58Z</dcterms:created>
  <dcterms:modified xmlns:dcterms="http://purl.org/dc/terms/" xmlns:xsi="http://www.w3.org/2001/XMLSchema-instance" xsi:type="dcterms:W3CDTF">2026-10-19T02:00:04Z</dcterms:modified>
</cp:coreProperties>
</file>